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codeName="ThisWorkbook" defaultThemeVersion="124226"/>
  <mc:AlternateContent xmlns:mc="http://schemas.openxmlformats.org/markup-compatibility/2006">
    <mc:Choice Requires="x15">
      <x15ac:absPath xmlns:x15ac="http://schemas.microsoft.com/office/spreadsheetml/2010/11/ac" url="/Users/rishidas/Documents/Internship_SRK/TEM_Mining/TEM_interface/"/>
    </mc:Choice>
  </mc:AlternateContent>
  <xr:revisionPtr revIDLastSave="0" documentId="13_ncr:1_{9D26E2D5-51C5-DF4C-B809-9F2DAA58B86B}" xr6:coauthVersionLast="47" xr6:coauthVersionMax="47" xr10:uidLastSave="{00000000-0000-0000-0000-000000000000}"/>
  <bookViews>
    <workbookView xWindow="34200" yWindow="600" windowWidth="38400" windowHeight="21000" tabRatio="928" firstSheet="4" activeTab="6" xr2:uid="{F015CA2C-F0ED-4392-B0E7-D958E0F048B0}"/>
  </bookViews>
  <sheets>
    <sheet name="Title" sheetId="80" r:id="rId1"/>
    <sheet name="Revision" sheetId="81" r:id="rId2"/>
    <sheet name="Scenario Matrix" sheetId="188" r:id="rId3"/>
    <sheet name="Disclaimer" sheetId="82" r:id="rId4"/>
    <sheet name="Guide" sheetId="83" r:id="rId5"/>
    <sheet name="Assumptions_Dashboard" sheetId="21" r:id="rId6"/>
    <sheet name="Production Schedule" sheetId="130" r:id="rId7"/>
    <sheet name="Sensitivity" sheetId="151" state="hidden" r:id="rId8"/>
    <sheet name="P&amp;L" sheetId="178" r:id="rId9"/>
    <sheet name="CF" sheetId="180" r:id="rId10"/>
    <sheet name="Tax" sheetId="179" r:id="rId11"/>
    <sheet name="Borrowings-Owner" sheetId="154" r:id="rId12"/>
    <sheet name="Borrowings-MDO" sheetId="167" state="hidden" r:id="rId13"/>
    <sheet name="Depreciation-Owner" sheetId="173" r:id="rId14"/>
    <sheet name="Depreciation-MDO" sheetId="176" state="hidden" r:id="rId15"/>
    <sheet name="Project CAPEX" sheetId="136" r:id="rId16"/>
    <sheet name="Owner CAPEX" sheetId="146" r:id="rId17"/>
    <sheet name="MDO CAPEX" sheetId="149" r:id="rId18"/>
    <sheet name="Capex Breakups" sheetId="187" r:id="rId19"/>
    <sheet name="Project OPEX" sheetId="137" r:id="rId20"/>
    <sheet name="Owner OPEX" sheetId="145" r:id="rId21"/>
    <sheet name="Contractor OPEX" sheetId="144" r:id="rId22"/>
    <sheet name="Pre-Operative" sheetId="141" r:id="rId23"/>
    <sheet name="Land" sheetId="139" r:id="rId24"/>
    <sheet name="R&amp;R" sheetId="140" r:id="rId25"/>
    <sheet name="Fleet" sheetId="133" r:id="rId26"/>
    <sheet name="Equipment" sheetId="131" r:id="rId27"/>
    <sheet name="Equipment Op Cost" sheetId="142" r:id="rId28"/>
    <sheet name="Productivity" sheetId="134" r:id="rId29"/>
    <sheet name="Productivity - SM" sheetId="175" r:id="rId30"/>
    <sheet name="Equipment Master Data" sheetId="132" r:id="rId31"/>
    <sheet name="Explosive" sheetId="152" r:id="rId32"/>
    <sheet name="Wage-Owner" sheetId="135" r:id="rId33"/>
    <sheet name="Wage-MDO" sheetId="166" r:id="rId34"/>
    <sheet name="Government" sheetId="153" r:id="rId35"/>
    <sheet name="Coal Price" sheetId="161" r:id="rId36"/>
    <sheet name="Dashboard" sheetId="183" r:id="rId37"/>
  </sheets>
  <externalReferences>
    <externalReference r:id="rId38"/>
  </externalReferences>
  <definedNames>
    <definedName name="_____CLK1">#REF!</definedName>
    <definedName name="____CLK1">#REF!</definedName>
    <definedName name="___CLK1">#REF!</definedName>
    <definedName name="___rrr11">#REF!</definedName>
    <definedName name="___sde098">#REF!</definedName>
    <definedName name="__CLK1">#REF!</definedName>
    <definedName name="__rrr11">#REF!</definedName>
    <definedName name="__sde098">#REF!</definedName>
    <definedName name="_0">#REF!</definedName>
    <definedName name="_04">#REF!</definedName>
    <definedName name="_1">#REF!</definedName>
    <definedName name="_10">#REF!</definedName>
    <definedName name="_11">#REF!</definedName>
    <definedName name="_111">#REF!</definedName>
    <definedName name="_115">#REF!</definedName>
    <definedName name="_12">#REF!</definedName>
    <definedName name="_13">#REF!</definedName>
    <definedName name="_14">#REF!</definedName>
    <definedName name="_15">#REF!</definedName>
    <definedName name="_16">#REF!</definedName>
    <definedName name="_17">#REF!</definedName>
    <definedName name="_2">#REF!</definedName>
    <definedName name="_200">#REF!</definedName>
    <definedName name="_201">#REF!</definedName>
    <definedName name="_202">#REF!</definedName>
    <definedName name="_203">#REF!</definedName>
    <definedName name="_204">#REF!</definedName>
    <definedName name="_205">#REF!</definedName>
    <definedName name="_206">#REF!</definedName>
    <definedName name="_207">#REF!</definedName>
    <definedName name="_208">#REF!</definedName>
    <definedName name="_209">#REF!</definedName>
    <definedName name="_210">#REF!</definedName>
    <definedName name="_211">#REF!</definedName>
    <definedName name="_212">#REF!</definedName>
    <definedName name="_213">#REF!</definedName>
    <definedName name="_214">#REF!</definedName>
    <definedName name="_215">#REF!</definedName>
    <definedName name="_216">#REF!</definedName>
    <definedName name="_217">#REF!</definedName>
    <definedName name="_218">#REF!</definedName>
    <definedName name="_219">#REF!</definedName>
    <definedName name="_220">#REF!</definedName>
    <definedName name="_221">#REF!</definedName>
    <definedName name="_222">#REF!</definedName>
    <definedName name="_223">#REF!</definedName>
    <definedName name="_224">#REF!</definedName>
    <definedName name="_225">#REF!</definedName>
    <definedName name="_226">#REF!</definedName>
    <definedName name="_227">#REF!</definedName>
    <definedName name="_228">#REF!</definedName>
    <definedName name="_229">#REF!</definedName>
    <definedName name="_230">#REF!</definedName>
    <definedName name="_231">#REF!</definedName>
    <definedName name="_232">#REF!</definedName>
    <definedName name="_233">#REF!</definedName>
    <definedName name="_234">#REF!</definedName>
    <definedName name="_235">#REF!</definedName>
    <definedName name="_236">#REF!</definedName>
    <definedName name="_237">#REF!</definedName>
    <definedName name="_238">#REF!</definedName>
    <definedName name="_239">#REF!</definedName>
    <definedName name="_240">#REF!</definedName>
    <definedName name="_241">#REF!</definedName>
    <definedName name="_242">#REF!</definedName>
    <definedName name="_243">#REF!</definedName>
    <definedName name="_244">#REF!</definedName>
    <definedName name="_245">#REF!</definedName>
    <definedName name="_246">#REF!</definedName>
    <definedName name="_247">#REF!</definedName>
    <definedName name="_248">#REF!</definedName>
    <definedName name="_249">#REF!</definedName>
    <definedName name="_250">#REF!</definedName>
    <definedName name="_251">#REF!</definedName>
    <definedName name="_252">#REF!</definedName>
    <definedName name="_253">#REF!</definedName>
    <definedName name="_254">#REF!</definedName>
    <definedName name="_255">#REF!</definedName>
    <definedName name="_256">#REF!</definedName>
    <definedName name="_257">#REF!</definedName>
    <definedName name="_258">#REF!</definedName>
    <definedName name="_259">#REF!</definedName>
    <definedName name="_260">#REF!</definedName>
    <definedName name="_261">#REF!</definedName>
    <definedName name="_262">#REF!</definedName>
    <definedName name="_263">#REF!</definedName>
    <definedName name="_264">#REF!</definedName>
    <definedName name="_265">#REF!</definedName>
    <definedName name="_266">#REF!</definedName>
    <definedName name="_267">#REF!</definedName>
    <definedName name="_268">#REF!</definedName>
    <definedName name="_269">#REF!</definedName>
    <definedName name="_270">#REF!</definedName>
    <definedName name="_271">#REF!</definedName>
    <definedName name="_272">#REF!</definedName>
    <definedName name="_273">#REF!</definedName>
    <definedName name="_274">#REF!</definedName>
    <definedName name="_275">#REF!</definedName>
    <definedName name="_276">#REF!</definedName>
    <definedName name="_3">#REF!</definedName>
    <definedName name="_4">#REF!</definedName>
    <definedName name="_4001">#REF!</definedName>
    <definedName name="_5">#REF!</definedName>
    <definedName name="_500">#REF!</definedName>
    <definedName name="_501">#REF!</definedName>
    <definedName name="_502">#REF!</definedName>
    <definedName name="_503">#REF!</definedName>
    <definedName name="_504">#REF!</definedName>
    <definedName name="_505">#REF!</definedName>
    <definedName name="_506">#REF!</definedName>
    <definedName name="_507">#REF!</definedName>
    <definedName name="_508">#REF!</definedName>
    <definedName name="_509">#REF!</definedName>
    <definedName name="_510">#REF!</definedName>
    <definedName name="_511">#REF!</definedName>
    <definedName name="_512">#REF!</definedName>
    <definedName name="_513">#REF!</definedName>
    <definedName name="_514">#REF!</definedName>
    <definedName name="_515">#REF!</definedName>
    <definedName name="_516">#REF!</definedName>
    <definedName name="_517">#REF!</definedName>
    <definedName name="_518">#REF!</definedName>
    <definedName name="_519">#REF!</definedName>
    <definedName name="_520">#REF!</definedName>
    <definedName name="_521">#REF!</definedName>
    <definedName name="_522">#REF!</definedName>
    <definedName name="_523">#REF!</definedName>
    <definedName name="_524">#REF!</definedName>
    <definedName name="_525">#REF!</definedName>
    <definedName name="_526">#REF!</definedName>
    <definedName name="_527">#REF!</definedName>
    <definedName name="_528">#REF!</definedName>
    <definedName name="_529">#REF!</definedName>
    <definedName name="_530">#REF!</definedName>
    <definedName name="_531">#REF!</definedName>
    <definedName name="_532">#REF!</definedName>
    <definedName name="_533">#REF!</definedName>
    <definedName name="_534">#REF!</definedName>
    <definedName name="_535">#REF!</definedName>
    <definedName name="_536">#REF!</definedName>
    <definedName name="_537">#REF!</definedName>
    <definedName name="_538">#REF!</definedName>
    <definedName name="_539">#REF!</definedName>
    <definedName name="_540">#REF!</definedName>
    <definedName name="_541">#REF!</definedName>
    <definedName name="_542">#REF!</definedName>
    <definedName name="_543">#REF!</definedName>
    <definedName name="_544">#REF!</definedName>
    <definedName name="_545">#REF!</definedName>
    <definedName name="_546">#REF!</definedName>
    <definedName name="_547">#REF!</definedName>
    <definedName name="_548">#REF!</definedName>
    <definedName name="_549">#REF!</definedName>
    <definedName name="_550">#REF!</definedName>
    <definedName name="_551">#REF!</definedName>
    <definedName name="_552">#REF!</definedName>
    <definedName name="_553">#REF!</definedName>
    <definedName name="_554">#REF!</definedName>
    <definedName name="_555">#REF!</definedName>
    <definedName name="_556">#REF!</definedName>
    <definedName name="_557">#REF!</definedName>
    <definedName name="_558">#REF!</definedName>
    <definedName name="_559">#REF!</definedName>
    <definedName name="_560">#REF!</definedName>
    <definedName name="_561">#REF!</definedName>
    <definedName name="_562">#REF!</definedName>
    <definedName name="_563">#REF!</definedName>
    <definedName name="_564">#REF!</definedName>
    <definedName name="_565">#REF!</definedName>
    <definedName name="_566">#REF!</definedName>
    <definedName name="_567">#REF!</definedName>
    <definedName name="_568">#REF!</definedName>
    <definedName name="_569">#REF!</definedName>
    <definedName name="_570">#REF!</definedName>
    <definedName name="_571">#REF!</definedName>
    <definedName name="_572">#REF!</definedName>
    <definedName name="_573">#REF!</definedName>
    <definedName name="_574">#REF!</definedName>
    <definedName name="_575">#REF!</definedName>
    <definedName name="_576">#REF!</definedName>
    <definedName name="_6">#REF!</definedName>
    <definedName name="_7">#REF!</definedName>
    <definedName name="_8">#REF!</definedName>
    <definedName name="_9">#REF!</definedName>
    <definedName name="_999">#REF!</definedName>
    <definedName name="_CLK1">#REF!</definedName>
    <definedName name="_xlnm._FilterDatabase" localSheetId="5" hidden="1">Assumptions_Dashboard!#REF!</definedName>
    <definedName name="_Order1" hidden="1">255</definedName>
    <definedName name="_Order2" hidden="1">0</definedName>
    <definedName name="_rrr11">#REF!</definedName>
    <definedName name="_sde098">#REF!</definedName>
    <definedName name="\X">#REF!</definedName>
    <definedName name="\Z">#REF!</definedName>
    <definedName name="a">#REF!</definedName>
    <definedName name="AB">#REF!</definedName>
    <definedName name="abc">#REF!</definedName>
    <definedName name="ajh">#REF!</definedName>
    <definedName name="AN">#REF!</definedName>
    <definedName name="anurag">#REF!</definedName>
    <definedName name="APP_A">#REF!</definedName>
    <definedName name="APP_A.9.1">#REF!</definedName>
    <definedName name="APP_A.9.2">#REF!</definedName>
    <definedName name="APP_B1">#REF!</definedName>
    <definedName name="APP_C1">#REF!</definedName>
    <definedName name="APP_C2">#REF!</definedName>
    <definedName name="APP_C3">#REF!</definedName>
    <definedName name="APP_C4">#REF!</definedName>
    <definedName name="APP_D1">#REF!</definedName>
    <definedName name="APP_D2">#REF!</definedName>
    <definedName name="APP_E1">#REF!</definedName>
    <definedName name="APP_E2">#REF!</definedName>
    <definedName name="ATG_F1">#REF!</definedName>
    <definedName name="ATG_F2">#REF!</definedName>
    <definedName name="ATG_F3">#REF!</definedName>
    <definedName name="ATG_F4">#REF!</definedName>
    <definedName name="ATG_F5">#REF!</definedName>
    <definedName name="ATG_F6">#REF!</definedName>
    <definedName name="ATG_F7">#REF!</definedName>
    <definedName name="ATG_F8">#REF!</definedName>
    <definedName name="Avail">#REF!</definedName>
    <definedName name="Bus">#REF!</definedName>
    <definedName name="C_Equip">#REF!</definedName>
    <definedName name="CL">#REF!</definedName>
    <definedName name="CLK">#REF!</definedName>
    <definedName name="Coal_ATG_WP_F1">#REF!</definedName>
    <definedName name="Coal_ATG_WP_F2">#REF!</definedName>
    <definedName name="Coal_Rehandle">#REF!</definedName>
    <definedName name="Consumables">#REF!</definedName>
    <definedName name="Contingency_Capital">#REF!</definedName>
    <definedName name="Contingency_Operating">#REF!</definedName>
    <definedName name="cost">"$#REF!.$D$9"</definedName>
    <definedName name="Cost_Type">#REF!</definedName>
    <definedName name="cost1">"$#REF!.$C$9"</definedName>
    <definedName name="cost2">"$#REF!.$#REF!$#REF!"</definedName>
    <definedName name="Costmine">#REF!</definedName>
    <definedName name="Costs_Equip">#REF!</definedName>
    <definedName name="_xlnm.Database">#REF!</definedName>
    <definedName name="Day">#REF!</definedName>
    <definedName name="Days">#REF!</definedName>
    <definedName name="DB">#REF!</definedName>
    <definedName name="DKK">#REF!</definedName>
    <definedName name="Emulsion">#REF!</definedName>
    <definedName name="Explosive">#REF!</definedName>
    <definedName name="FAFAF">#REF!</definedName>
    <definedName name="Fuel">#REF!</definedName>
    <definedName name="FuelOil">#REF!</definedName>
    <definedName name="GP">#REF!</definedName>
    <definedName name="HDPE">#REF!</definedName>
    <definedName name="HEADER">#REF!</definedName>
    <definedName name="HED">#REF!</definedName>
    <definedName name="hgguj">"$#REF!.$#REF!$#REF!"</definedName>
    <definedName name="hgguj___0">"$#REF!.$#REF!$#REF!"</definedName>
    <definedName name="Hours">#REF!</definedName>
    <definedName name="ifr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R">#REF!</definedName>
    <definedName name="kk">#REF!</definedName>
    <definedName name="Labour_Calc">#REF!</definedName>
    <definedName name="Labour_LU">#REF!</definedName>
    <definedName name="latest">#REF!</definedName>
    <definedName name="LIST">#REF!</definedName>
    <definedName name="List_Costmine">#REF!</definedName>
    <definedName name="List_Equip_Calc">#REF!</definedName>
    <definedName name="List_Equip_Cost">#REF!</definedName>
    <definedName name="List_Equip_Labour_Type">#REF!</definedName>
    <definedName name="List_Equip_Names">#REF!</definedName>
    <definedName name="List_Explosive">#REF!</definedName>
    <definedName name="List_Material">#REF!</definedName>
    <definedName name="List_Units">#REF!</definedName>
    <definedName name="List_Units_OT">#REF!</definedName>
    <definedName name="List_Used">#REF!</definedName>
    <definedName name="Lube">#REF!</definedName>
    <definedName name="Material_Properties">#REF!</definedName>
    <definedName name="Material_Type">#REF!</definedName>
    <definedName name="mks">"$#REF!.$#REF!$#REF!"</definedName>
    <definedName name="Month">#REF!</definedName>
    <definedName name="Months">#REF!</definedName>
    <definedName name="NCWA" localSheetId="9">#REF!</definedName>
    <definedName name="NCWA" localSheetId="8">#REF!</definedName>
    <definedName name="NCWA" localSheetId="10">#REF!</definedName>
    <definedName name="NCWA">#REF!</definedName>
    <definedName name="Op_Time">#REF!</definedName>
    <definedName name="OpEff_LH">#REF!</definedName>
    <definedName name="OpEff_TT">#REF!</definedName>
    <definedName name="PitByPitExport">#REF!</definedName>
    <definedName name="piyush\">#REF!</definedName>
    <definedName name="plantrate">#REF!</definedName>
    <definedName name="Power">#REF!</definedName>
    <definedName name="POWER_USER_EXCEL_CHART_104E4573_357B_4E64_B1AA_42303EF01AD5" localSheetId="9">#REF!</definedName>
    <definedName name="POWER_USER_EXCEL_CHART_104E4573_357B_4E64_B1AA_42303EF01AD5" localSheetId="8">#REF!</definedName>
    <definedName name="POWER_USER_EXCEL_CHART_104E4573_357B_4E64_B1AA_42303EF01AD5" localSheetId="10">#REF!</definedName>
    <definedName name="POWER_USER_EXCEL_CHART_104E4573_357B_4E64_B1AA_42303EF01AD5">#REF!</definedName>
    <definedName name="POWER_USER_EXCEL_CHART_19E605EA_21F5_4A19_8CDB_A8D60E45D8C1">#REF!</definedName>
    <definedName name="POWER_USER_EXCEL_CHART_46D58BF7_D8E9_4FA5_8359_FEA854584A54">#REF!</definedName>
    <definedName name="POWER_USER_EXCEL_CHART_5646464F_4FF8_4E2E_AD81_8E1EC2648437">#REF!</definedName>
    <definedName name="POWER_USER_EXCEL_CHART_7FE9BA3C_E519_47CD_95ED_164422658EF1" localSheetId="9">#REF!</definedName>
    <definedName name="POWER_USER_EXCEL_CHART_7FE9BA3C_E519_47CD_95ED_164422658EF1" localSheetId="8">#REF!</definedName>
    <definedName name="POWER_USER_EXCEL_CHART_7FE9BA3C_E519_47CD_95ED_164422658EF1" localSheetId="10">#REF!</definedName>
    <definedName name="POWER_USER_EXCEL_CHART_7FE9BA3C_E519_47CD_95ED_164422658EF1">#REF!</definedName>
    <definedName name="POWER_USER_EXCEL_CHART_8A2981B3_0396_44A6_80DF_048870273E3A" localSheetId="9">#REF!</definedName>
    <definedName name="POWER_USER_EXCEL_CHART_8A2981B3_0396_44A6_80DF_048870273E3A" localSheetId="8">#REF!</definedName>
    <definedName name="POWER_USER_EXCEL_CHART_8A2981B3_0396_44A6_80DF_048870273E3A" localSheetId="10">#REF!</definedName>
    <definedName name="POWER_USER_EXCEL_CHART_8A2981B3_0396_44A6_80DF_048870273E3A">#REF!</definedName>
    <definedName name="POWER_USER_EXCEL_CHART_8ABB3340_4E8D_4B24_B9FC_1ECA8AF3FA16">#REF!</definedName>
    <definedName name="POWER_USER_EXCEL_CHART_8DBB9148_ECF4_45EB_92A5_AB124357C8F4" localSheetId="9">#REF!</definedName>
    <definedName name="POWER_USER_EXCEL_CHART_8DBB9148_ECF4_45EB_92A5_AB124357C8F4" localSheetId="8">#REF!</definedName>
    <definedName name="POWER_USER_EXCEL_CHART_8DBB9148_ECF4_45EB_92A5_AB124357C8F4" localSheetId="10">#REF!</definedName>
    <definedName name="POWER_USER_EXCEL_CHART_8DBB9148_ECF4_45EB_92A5_AB124357C8F4">#REF!</definedName>
    <definedName name="POWER_USER_EXCEL_CHART_A3AD8991_72FE_41D2_A4BD_C20F28BE5131">#REF!</definedName>
    <definedName name="Presplit">#REF!</definedName>
    <definedName name="_xlnm.Print_Area" localSheetId="3">Disclaimer!$C$2:$L$32</definedName>
    <definedName name="_xlnm.Print_Area" localSheetId="1">Revision!$B$3:$F$32</definedName>
    <definedName name="_xlnm.Print_Area" localSheetId="0">Title!$C$1:$J$22</definedName>
    <definedName name="_xlnm.Print_Area">#REF!</definedName>
    <definedName name="Prod">#REF!</definedName>
    <definedName name="Prodcoal">#REF!</definedName>
    <definedName name="Production">#REF!</definedName>
    <definedName name="Prodwaste">#REF!</definedName>
    <definedName name="Q">#REF!</definedName>
    <definedName name="QEEquip">#REF!</definedName>
    <definedName name="QEUsed">#REF!</definedName>
    <definedName name="R_9">#REF!</definedName>
    <definedName name="rake">#REF!</definedName>
    <definedName name="RECALC">#REF!</definedName>
    <definedName name="REPLACE">#REF!</definedName>
    <definedName name="S">#REF!</definedName>
    <definedName name="Schedule">#REF!</definedName>
    <definedName name="Sensitivities">#REF!</definedName>
    <definedName name="Sensitivity_LU">#REF!</definedName>
    <definedName name="Sequence">#REF!</definedName>
    <definedName name="Sequence3">#REF!</definedName>
    <definedName name="SequenceV">#REF!</definedName>
    <definedName name="Shifts">#REF!</definedName>
    <definedName name="Shutdown">#REF!</definedName>
    <definedName name="solver_cvg" hidden="1">0.0001</definedName>
    <definedName name="solver_drv" hidden="1">1</definedName>
    <definedName name="solver_eng" hidden="1">1</definedName>
    <definedName name="solver_est" hidden="1">1</definedName>
    <definedName name="solver_itr" hidden="1">2147483647</definedName>
    <definedName name="solver_mip" hidden="1">2147483647</definedName>
    <definedName name="solver_mni" hidden="1">30</definedName>
    <definedName name="solver_mrt" hidden="1">0.075</definedName>
    <definedName name="solver_msl" hidden="1">2</definedName>
    <definedName name="solver_neg" hidden="1">1</definedName>
    <definedName name="solver_nod" hidden="1">2147483647</definedName>
    <definedName name="solver_num" hidden="1">0</definedName>
    <definedName name="solver_nwt" hidden="1">1</definedName>
    <definedName name="solver_pre" hidden="1">0.000001</definedName>
    <definedName name="solver_rbv" hidden="1">1</definedName>
    <definedName name="solver_rel1" hidden="1">3</definedName>
    <definedName name="solver_rel2" hidden="1">3</definedName>
    <definedName name="solver_rel3" hidden="1">3</definedName>
    <definedName name="solver_rel4" hidden="1">3</definedName>
    <definedName name="solver_rhs1" hidden="1">0</definedName>
    <definedName name="solver_rhs2" hidden="1">0</definedName>
    <definedName name="solver_rhs3" hidden="1">0</definedName>
    <definedName name="solver_rhs4" hidden="1">0</definedName>
    <definedName name="solver_rlx" hidden="1">2</definedName>
    <definedName name="solver_rsd" hidden="1">0</definedName>
    <definedName name="solver_scl" hidden="1">1</definedName>
    <definedName name="solver_sho" hidden="1">2</definedName>
    <definedName name="solver_ssz" hidden="1">100</definedName>
    <definedName name="solver_tim" hidden="1">2147483647</definedName>
    <definedName name="solver_tol" hidden="1">0.01</definedName>
    <definedName name="solver_typ" hidden="1">1</definedName>
    <definedName name="solver_val" hidden="1">0</definedName>
    <definedName name="solver_ver" hidden="1">3</definedName>
    <definedName name="ss">#REF!</definedName>
    <definedName name="toz">#REF!</definedName>
    <definedName name="Training_End">#REF!</definedName>
    <definedName name="Training_Start">#REF!</definedName>
    <definedName name="Travel_loaded">#REF!</definedName>
    <definedName name="Travel_Time">#REF!</definedName>
    <definedName name="TRUCK">#REF!</definedName>
    <definedName name="UNI_PRES_MATRIX" hidden="1">4</definedName>
    <definedName name="UNI_RET_VALUE" hidden="1">16</definedName>
    <definedName name="Units">#REF!</definedName>
    <definedName name="Units_OT">#REF!</definedName>
    <definedName name="v">#REF!</definedName>
    <definedName name="vivek">#REF!</definedName>
    <definedName name="vks">#REF!</definedName>
    <definedName name="Volume">#REF!</definedName>
    <definedName name="vv">#REF!</definedName>
    <definedName name="W_Equip">#REF!</definedName>
    <definedName name="Week">#REF!</definedName>
    <definedName name="wrn.12._.Costs._.Act._.Fcast._.All." localSheetId="9" hidden="1">{#N/A,#N/A,FALSE,"Act.Fcst Costs"}</definedName>
    <definedName name="wrn.12._.Costs._.Act._.Fcast._.All." localSheetId="23" hidden="1">{#N/A,#N/A,FALSE,"Act.Fcst Costs"}</definedName>
    <definedName name="wrn.12._.Costs._.Act._.Fcast._.All." localSheetId="8" hidden="1">{#N/A,#N/A,FALSE,"Act.Fcst Costs"}</definedName>
    <definedName name="wrn.12._.Costs._.Act._.Fcast._.All." localSheetId="22" hidden="1">{#N/A,#N/A,FALSE,"Act.Fcst Costs"}</definedName>
    <definedName name="wrn.12._.Costs._.Act._.Fcast._.All." localSheetId="7" hidden="1">{#N/A,#N/A,FALSE,"Act.Fcst Costs"}</definedName>
    <definedName name="wrn.12._.Costs._.Act._.Fcast._.All." localSheetId="10" hidden="1">{#N/A,#N/A,FALSE,"Act.Fcst Costs"}</definedName>
    <definedName name="wrn.12._.Costs._.Act._.Fcast._.All." hidden="1">{#N/A,#N/A,FALSE,"Act.Fcst Costs"}</definedName>
    <definedName name="wrn.Budget._.Document." localSheetId="9"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3"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8"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2"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7"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10"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Debbie._.Hawkins." localSheetId="9" hidden="1">{"Admin Costs",#N/A,FALSE,"Act.Fcst Costs"}</definedName>
    <definedName name="wrn.Debbie._.Hawkins." localSheetId="23" hidden="1">{"Admin Costs",#N/A,FALSE,"Act.Fcst Costs"}</definedName>
    <definedName name="wrn.Debbie._.Hawkins." localSheetId="8" hidden="1">{"Admin Costs",#N/A,FALSE,"Act.Fcst Costs"}</definedName>
    <definedName name="wrn.Debbie._.Hawkins." localSheetId="22" hidden="1">{"Admin Costs",#N/A,FALSE,"Act.Fcst Costs"}</definedName>
    <definedName name="wrn.Debbie._.Hawkins." localSheetId="7" hidden="1">{"Admin Costs",#N/A,FALSE,"Act.Fcst Costs"}</definedName>
    <definedName name="wrn.Debbie._.Hawkins." localSheetId="10" hidden="1">{"Admin Costs",#N/A,FALSE,"Act.Fcst Costs"}</definedName>
    <definedName name="wrn.Debbie._.Hawkins." hidden="1">{"Admin Costs",#N/A,FALSE,"Act.Fcst Costs"}</definedName>
    <definedName name="wrn.George._.Viska." localSheetId="9" hidden="1">{#N/A,#N/A,FALSE,"Cost Report";#N/A,#N/A,FALSE,"Qtly Summ.";#N/A,#N/A,FALSE,"Mar  Qtr";#N/A,#N/A,FALSE,"Report Summary"}</definedName>
    <definedName name="wrn.George._.Viska." localSheetId="23" hidden="1">{#N/A,#N/A,FALSE,"Cost Report";#N/A,#N/A,FALSE,"Qtly Summ.";#N/A,#N/A,FALSE,"Mar  Qtr";#N/A,#N/A,FALSE,"Report Summary"}</definedName>
    <definedName name="wrn.George._.Viska." localSheetId="8" hidden="1">{#N/A,#N/A,FALSE,"Cost Report";#N/A,#N/A,FALSE,"Qtly Summ.";#N/A,#N/A,FALSE,"Mar  Qtr";#N/A,#N/A,FALSE,"Report Summary"}</definedName>
    <definedName name="wrn.George._.Viska." localSheetId="22" hidden="1">{#N/A,#N/A,FALSE,"Cost Report";#N/A,#N/A,FALSE,"Qtly Summ.";#N/A,#N/A,FALSE,"Mar  Qtr";#N/A,#N/A,FALSE,"Report Summary"}</definedName>
    <definedName name="wrn.George._.Viska." localSheetId="7" hidden="1">{#N/A,#N/A,FALSE,"Cost Report";#N/A,#N/A,FALSE,"Qtly Summ.";#N/A,#N/A,FALSE,"Mar  Qtr";#N/A,#N/A,FALSE,"Report Summary"}</definedName>
    <definedName name="wrn.George._.Viska." localSheetId="10" hidden="1">{#N/A,#N/A,FALSE,"Cost Report";#N/A,#N/A,FALSE,"Qtly Summ.";#N/A,#N/A,FALSE,"Mar  Qtr";#N/A,#N/A,FALSE,"Report Summary"}</definedName>
    <definedName name="wrn.George._.Viska." hidden="1">{#N/A,#N/A,FALSE,"Cost Report";#N/A,#N/A,FALSE,"Qtly Summ.";#N/A,#N/A,FALSE,"Mar  Qtr";#N/A,#N/A,FALSE,"Report Summary"}</definedName>
    <definedName name="wrn.Melbourne." localSheetId="9" hidden="1">{#N/A,#N/A,FALSE,"Cost Report";#N/A,#N/A,FALSE,"Sept Qtr";#N/A,#N/A,FALSE,"Qtly Summ.";#N/A,#N/A,FALSE,"Report Summary";#N/A,#N/A,FALSE,"Ammort &amp; Dep.";#N/A,#N/A,FALSE,"Rev. GIC Summ.";#N/A,#N/A,FALSE,"CAPEX";#N/A,#N/A,FALSE,"Stockpile Adj.";#N/A,#N/A,FALSE,"Cost Summary"}</definedName>
    <definedName name="wrn.Melbourne." localSheetId="23" hidden="1">{#N/A,#N/A,FALSE,"Cost Report";#N/A,#N/A,FALSE,"Sept Qtr";#N/A,#N/A,FALSE,"Qtly Summ.";#N/A,#N/A,FALSE,"Report Summary";#N/A,#N/A,FALSE,"Ammort &amp; Dep.";#N/A,#N/A,FALSE,"Rev. GIC Summ.";#N/A,#N/A,FALSE,"CAPEX";#N/A,#N/A,FALSE,"Stockpile Adj.";#N/A,#N/A,FALSE,"Cost Summary"}</definedName>
    <definedName name="wrn.Melbourne." localSheetId="8" hidden="1">{#N/A,#N/A,FALSE,"Cost Report";#N/A,#N/A,FALSE,"Sept Qtr";#N/A,#N/A,FALSE,"Qtly Summ.";#N/A,#N/A,FALSE,"Report Summary";#N/A,#N/A,FALSE,"Ammort &amp; Dep.";#N/A,#N/A,FALSE,"Rev. GIC Summ.";#N/A,#N/A,FALSE,"CAPEX";#N/A,#N/A,FALSE,"Stockpile Adj.";#N/A,#N/A,FALSE,"Cost Summary"}</definedName>
    <definedName name="wrn.Melbourne." localSheetId="22" hidden="1">{#N/A,#N/A,FALSE,"Cost Report";#N/A,#N/A,FALSE,"Sept Qtr";#N/A,#N/A,FALSE,"Qtly Summ.";#N/A,#N/A,FALSE,"Report Summary";#N/A,#N/A,FALSE,"Ammort &amp; Dep.";#N/A,#N/A,FALSE,"Rev. GIC Summ.";#N/A,#N/A,FALSE,"CAPEX";#N/A,#N/A,FALSE,"Stockpile Adj.";#N/A,#N/A,FALSE,"Cost Summary"}</definedName>
    <definedName name="wrn.Melbourne." localSheetId="7" hidden="1">{#N/A,#N/A,FALSE,"Cost Report";#N/A,#N/A,FALSE,"Sept Qtr";#N/A,#N/A,FALSE,"Qtly Summ.";#N/A,#N/A,FALSE,"Report Summary";#N/A,#N/A,FALSE,"Ammort &amp; Dep.";#N/A,#N/A,FALSE,"Rev. GIC Summ.";#N/A,#N/A,FALSE,"CAPEX";#N/A,#N/A,FALSE,"Stockpile Adj.";#N/A,#N/A,FALSE,"Cost Summary"}</definedName>
    <definedName name="wrn.Melbourne." localSheetId="10" hidden="1">{#N/A,#N/A,FALSE,"Cost Report";#N/A,#N/A,FALSE,"Sept Qtr";#N/A,#N/A,FALSE,"Qtly Summ.";#N/A,#N/A,FALSE,"Report Summary";#N/A,#N/A,FALSE,"Ammort &amp; Dep.";#N/A,#N/A,FALSE,"Rev. GIC Summ.";#N/A,#N/A,FALSE,"CAPEX";#N/A,#N/A,FALSE,"Stockpile Adj.";#N/A,#N/A,FALSE,"Cost Summary"}</definedName>
    <definedName name="wrn.Melbourne." hidden="1">{#N/A,#N/A,FALSE,"Cost Report";#N/A,#N/A,FALSE,"Sept Qtr";#N/A,#N/A,FALSE,"Qtly Summ.";#N/A,#N/A,FALSE,"Report Summary";#N/A,#N/A,FALSE,"Ammort &amp; Dep.";#N/A,#N/A,FALSE,"Rev. GIC Summ.";#N/A,#N/A,FALSE,"CAPEX";#N/A,#N/A,FALSE,"Stockpile Adj.";#N/A,#N/A,FALSE,"Cost Summary"}</definedName>
    <definedName name="wrn.Month._.Report." localSheetId="9"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3"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8"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2"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7"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10"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localSheetId="9" hidden="1">{#N/A,#N/A,FALSE,"Cost Report";#N/A,#N/A,FALSE,"Table 2.1";#N/A,#N/A,FALSE,"Plant Statistics";"Plant Costs",#N/A,FALSE,"Cost Summary"}</definedName>
    <definedName name="wrn.Murray._.Simons." localSheetId="23" hidden="1">{#N/A,#N/A,FALSE,"Cost Report";#N/A,#N/A,FALSE,"Table 2.1";#N/A,#N/A,FALSE,"Plant Statistics";"Plant Costs",#N/A,FALSE,"Cost Summary"}</definedName>
    <definedName name="wrn.Murray._.Simons." localSheetId="8" hidden="1">{#N/A,#N/A,FALSE,"Cost Report";#N/A,#N/A,FALSE,"Table 2.1";#N/A,#N/A,FALSE,"Plant Statistics";"Plant Costs",#N/A,FALSE,"Cost Summary"}</definedName>
    <definedName name="wrn.Murray._.Simons." localSheetId="22" hidden="1">{#N/A,#N/A,FALSE,"Cost Report";#N/A,#N/A,FALSE,"Table 2.1";#N/A,#N/A,FALSE,"Plant Statistics";"Plant Costs",#N/A,FALSE,"Cost Summary"}</definedName>
    <definedName name="wrn.Murray._.Simons." localSheetId="7" hidden="1">{#N/A,#N/A,FALSE,"Cost Report";#N/A,#N/A,FALSE,"Table 2.1";#N/A,#N/A,FALSE,"Plant Statistics";"Plant Costs",#N/A,FALSE,"Cost Summary"}</definedName>
    <definedName name="wrn.Murray._.Simons." localSheetId="10" hidden="1">{#N/A,#N/A,FALSE,"Cost Report";#N/A,#N/A,FALSE,"Table 2.1";#N/A,#N/A,FALSE,"Plant Statistics";"Plant Costs",#N/A,FALSE,"Cost Summary"}</definedName>
    <definedName name="wrn.Murray._.Simons." hidden="1">{#N/A,#N/A,FALSE,"Cost Report";#N/A,#N/A,FALSE,"Table 2.1";#N/A,#N/A,FALSE,"Plant Statistics";"Plant Costs",#N/A,FALSE,"Cost Summary"}</definedName>
    <definedName name="wrn.Peter._.Johnston." localSheetId="9"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8"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2"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7"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10"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Rob._.Smith." localSheetId="9" hidden="1">{#N/A,#N/A,FALSE,"Cost Report";"Geology",#N/A,FALSE,"Cost Summary";"Geolgy Recon",#N/A,FALSE,"UG Geology Rep."}</definedName>
    <definedName name="wrn.Rob._.Smith." localSheetId="23" hidden="1">{#N/A,#N/A,FALSE,"Cost Report";"Geology",#N/A,FALSE,"Cost Summary";"Geolgy Recon",#N/A,FALSE,"UG Geology Rep."}</definedName>
    <definedName name="wrn.Rob._.Smith." localSheetId="8" hidden="1">{#N/A,#N/A,FALSE,"Cost Report";"Geology",#N/A,FALSE,"Cost Summary";"Geolgy Recon",#N/A,FALSE,"UG Geology Rep."}</definedName>
    <definedName name="wrn.Rob._.Smith." localSheetId="22" hidden="1">{#N/A,#N/A,FALSE,"Cost Report";"Geology",#N/A,FALSE,"Cost Summary";"Geolgy Recon",#N/A,FALSE,"UG Geology Rep."}</definedName>
    <definedName name="wrn.Rob._.Smith." localSheetId="7" hidden="1">{#N/A,#N/A,FALSE,"Cost Report";"Geology",#N/A,FALSE,"Cost Summary";"Geolgy Recon",#N/A,FALSE,"UG Geology Rep."}</definedName>
    <definedName name="wrn.Rob._.Smith." localSheetId="10" hidden="1">{#N/A,#N/A,FALSE,"Cost Report";"Geology",#N/A,FALSE,"Cost Summary";"Geolgy Recon",#N/A,FALSE,"UG Geology Rep."}</definedName>
    <definedName name="wrn.Rob._.Smith." hidden="1">{#N/A,#N/A,FALSE,"Cost Report";"Geology",#N/A,FALSE,"Cost Summary";"Geolgy Recon",#N/A,FALSE,"UG Geology Rep."}</definedName>
    <definedName name="wrn.Simon._.Wulff." localSheetId="9"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3"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8"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2"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7"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10"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X">#REF!</definedName>
    <definedName name="xxx" localSheetId="9" hidden="1">{#N/A,#N/A,FALSE,"Act.Fcst Costs"}</definedName>
    <definedName name="xxx" localSheetId="23" hidden="1">{#N/A,#N/A,FALSE,"Act.Fcst Costs"}</definedName>
    <definedName name="xxx" localSheetId="8" hidden="1">{#N/A,#N/A,FALSE,"Act.Fcst Costs"}</definedName>
    <definedName name="xxx" localSheetId="22" hidden="1">{#N/A,#N/A,FALSE,"Act.Fcst Costs"}</definedName>
    <definedName name="xxx" localSheetId="7" hidden="1">{#N/A,#N/A,FALSE,"Act.Fcst Costs"}</definedName>
    <definedName name="xxx" localSheetId="10" hidden="1">{#N/A,#N/A,FALSE,"Act.Fcst Costs"}</definedName>
    <definedName name="xxx" hidden="1">{#N/A,#N/A,FALSE,"Act.Fcst Costs"}</definedName>
    <definedName name="Y">#REF!</definedName>
    <definedName name="yd">#REF!</definedName>
    <definedName name="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 i="161" l="1"/>
  <c r="L63" i="161"/>
  <c r="L62" i="161"/>
  <c r="K61" i="161" l="1"/>
  <c r="L61" i="161"/>
  <c r="K60" i="161"/>
  <c r="L60" i="161"/>
  <c r="M60" i="130"/>
  <c r="M59" i="130"/>
  <c r="M58" i="130"/>
  <c r="M57" i="130"/>
  <c r="M56" i="130"/>
  <c r="M55" i="130"/>
  <c r="M54" i="130"/>
  <c r="M53" i="130"/>
  <c r="M52" i="130"/>
  <c r="M51" i="130"/>
  <c r="M50" i="130"/>
  <c r="M49" i="130"/>
  <c r="M48" i="130"/>
  <c r="M47" i="130"/>
  <c r="M46" i="130"/>
  <c r="M45" i="130"/>
  <c r="M44" i="130"/>
  <c r="M43" i="130"/>
  <c r="M42" i="130"/>
  <c r="D98" i="21" l="1"/>
  <c r="E24" i="140" l="1"/>
  <c r="F24" i="140"/>
  <c r="N31" i="139"/>
  <c r="N30" i="139"/>
  <c r="N29" i="139"/>
  <c r="D22" i="139"/>
  <c r="L43" i="139"/>
  <c r="L42" i="139"/>
  <c r="M10" i="139" l="1"/>
  <c r="N22" i="139"/>
  <c r="M11" i="139"/>
  <c r="L10" i="139"/>
  <c r="N10" i="139"/>
  <c r="M22" i="139"/>
  <c r="M16" i="139"/>
  <c r="L18" i="139"/>
  <c r="L22" i="139"/>
  <c r="E22" i="139"/>
  <c r="G36" i="139"/>
  <c r="R8" i="140"/>
  <c r="S8" i="140" s="1"/>
  <c r="T8" i="140" s="1"/>
  <c r="U8" i="140" s="1"/>
  <c r="V8" i="140" s="1"/>
  <c r="W8" i="140" s="1"/>
  <c r="X8" i="140" s="1"/>
  <c r="Y8" i="140" s="1"/>
  <c r="Z8" i="140" s="1"/>
  <c r="Q8" i="140"/>
  <c r="N8" i="140"/>
  <c r="O8" i="140"/>
  <c r="P8" i="140"/>
  <c r="L6" i="140"/>
  <c r="M6" i="140"/>
  <c r="N6" i="140"/>
  <c r="O6" i="140"/>
  <c r="P6" i="140"/>
  <c r="Q6" i="140"/>
  <c r="R6" i="140"/>
  <c r="S6" i="140"/>
  <c r="T6" i="140"/>
  <c r="U6" i="140"/>
  <c r="V6" i="140"/>
  <c r="W6" i="140"/>
  <c r="X6" i="140"/>
  <c r="Y6" i="140"/>
  <c r="Z6" i="140"/>
  <c r="K6" i="140"/>
  <c r="G30" i="141"/>
  <c r="J61" i="145"/>
  <c r="K61" i="145"/>
  <c r="L61" i="145"/>
  <c r="M61" i="145"/>
  <c r="N61" i="145"/>
  <c r="R61" i="145"/>
  <c r="S61" i="145"/>
  <c r="I61" i="145"/>
  <c r="AA21" i="187"/>
  <c r="AA61" i="145" s="1"/>
  <c r="Z21" i="187"/>
  <c r="Z61" i="145" s="1"/>
  <c r="Y21" i="187"/>
  <c r="Y61" i="145" s="1"/>
  <c r="X21" i="187"/>
  <c r="X61" i="145" s="1"/>
  <c r="W21" i="187"/>
  <c r="W61" i="145" s="1"/>
  <c r="V21" i="187"/>
  <c r="V61" i="145" s="1"/>
  <c r="U21" i="187"/>
  <c r="U61" i="145" s="1"/>
  <c r="T21" i="187"/>
  <c r="T61" i="145" s="1"/>
  <c r="S21" i="187"/>
  <c r="R21" i="187"/>
  <c r="Q21" i="187"/>
  <c r="Q61" i="145" s="1"/>
  <c r="P21" i="187"/>
  <c r="P61" i="145" s="1"/>
  <c r="O21" i="187"/>
  <c r="O61" i="145" s="1"/>
  <c r="N21" i="187"/>
  <c r="M21" i="187"/>
  <c r="L21" i="187"/>
  <c r="K21" i="187"/>
  <c r="J21" i="187"/>
  <c r="I21" i="187"/>
  <c r="S20" i="187"/>
  <c r="T20" i="187" s="1"/>
  <c r="U20" i="187" s="1"/>
  <c r="V20" i="187" s="1"/>
  <c r="W20" i="187" s="1"/>
  <c r="X20" i="187" s="1"/>
  <c r="N20" i="187"/>
  <c r="O20" i="187" s="1"/>
  <c r="P20" i="187" s="1"/>
  <c r="Q20" i="187" s="1"/>
  <c r="H46" i="161"/>
  <c r="I46" i="161"/>
  <c r="D47" i="161"/>
  <c r="E47" i="161"/>
  <c r="D48" i="161"/>
  <c r="E48" i="161"/>
  <c r="D49" i="161"/>
  <c r="E49" i="161"/>
  <c r="D50" i="161"/>
  <c r="E50" i="161"/>
  <c r="D51" i="161"/>
  <c r="E51" i="161"/>
  <c r="D52" i="161"/>
  <c r="E52" i="161"/>
  <c r="D53" i="161"/>
  <c r="E53" i="161"/>
  <c r="D54" i="161"/>
  <c r="E54" i="161"/>
  <c r="D55" i="161"/>
  <c r="E55" i="161"/>
  <c r="D56" i="161"/>
  <c r="E56" i="161"/>
  <c r="D57" i="161"/>
  <c r="E57" i="161"/>
  <c r="D58" i="161"/>
  <c r="E58" i="161"/>
  <c r="D59" i="161"/>
  <c r="E59" i="161"/>
  <c r="D60" i="161"/>
  <c r="E60" i="161"/>
  <c r="D61" i="161"/>
  <c r="E61" i="161"/>
  <c r="D62" i="161"/>
  <c r="E62" i="161"/>
  <c r="D63" i="161"/>
  <c r="E63" i="161"/>
  <c r="D64" i="161"/>
  <c r="E64" i="161"/>
  <c r="E46" i="161"/>
  <c r="D46" i="161"/>
  <c r="L59" i="161"/>
  <c r="L56" i="161"/>
  <c r="L55" i="161"/>
  <c r="L54" i="161"/>
  <c r="L53" i="161"/>
  <c r="L52" i="161"/>
  <c r="L51" i="161"/>
  <c r="I48" i="161"/>
  <c r="K48" i="161" s="1"/>
  <c r="L47" i="161"/>
  <c r="L46" i="161"/>
  <c r="M18" i="139" l="1"/>
  <c r="Y20" i="187"/>
  <c r="Z20" i="187" s="1"/>
  <c r="AA20" i="187" s="1"/>
  <c r="F10" i="161"/>
  <c r="G10" i="161"/>
  <c r="H10" i="161"/>
  <c r="E10" i="161"/>
  <c r="L64" i="161"/>
  <c r="L58" i="161"/>
  <c r="L57" i="161"/>
  <c r="L48" i="161"/>
  <c r="L49" i="161" l="1"/>
  <c r="L50" i="161" s="1"/>
  <c r="H70" i="161" l="1" a="1"/>
  <c r="H70" i="161" s="1"/>
  <c r="H71" i="161" s="1"/>
  <c r="S70" i="161" l="1"/>
  <c r="S71" i="161" s="1"/>
  <c r="R70" i="161"/>
  <c r="R71" i="161" s="1"/>
  <c r="Q70" i="161"/>
  <c r="Q71" i="161" s="1"/>
  <c r="P70" i="161"/>
  <c r="P71" i="161" s="1"/>
  <c r="N70" i="161"/>
  <c r="N71" i="161" s="1"/>
  <c r="V70" i="161"/>
  <c r="V71" i="161" s="1"/>
  <c r="O70" i="161"/>
  <c r="O71" i="161" s="1"/>
  <c r="M70" i="161"/>
  <c r="M71" i="161" s="1"/>
  <c r="K70" i="161"/>
  <c r="K71" i="161" s="1"/>
  <c r="J70" i="161"/>
  <c r="J71" i="161" s="1"/>
  <c r="L70" i="161"/>
  <c r="L71" i="161" s="1"/>
  <c r="I70" i="161"/>
  <c r="I71" i="161" s="1"/>
  <c r="Z70" i="161"/>
  <c r="Z71" i="161" s="1"/>
  <c r="Y70" i="161"/>
  <c r="Y71" i="161" s="1"/>
  <c r="X70" i="161"/>
  <c r="X71" i="161" s="1"/>
  <c r="W70" i="161"/>
  <c r="W71" i="161" s="1"/>
  <c r="U70" i="161"/>
  <c r="U71" i="161" s="1"/>
  <c r="T70" i="161"/>
  <c r="T71" i="161" s="1"/>
  <c r="H18" i="178" l="1"/>
  <c r="I18" i="178"/>
  <c r="J18" i="178"/>
  <c r="G18" i="178"/>
  <c r="J65" i="161"/>
  <c r="H69" i="161" a="1"/>
  <c r="U69" i="161" s="1"/>
  <c r="P56" i="161"/>
  <c r="Q56" i="161" s="1"/>
  <c r="R56" i="161" s="1"/>
  <c r="R51" i="161"/>
  <c r="Q51" i="161"/>
  <c r="P51" i="161"/>
  <c r="O51" i="161"/>
  <c r="R50" i="161"/>
  <c r="R52" i="161" s="1"/>
  <c r="Q50" i="161"/>
  <c r="P50" i="161"/>
  <c r="O50" i="161"/>
  <c r="R49" i="161"/>
  <c r="R48" i="161"/>
  <c r="Q48" i="161"/>
  <c r="Q49" i="161" s="1"/>
  <c r="P48" i="161"/>
  <c r="P49" i="161" s="1"/>
  <c r="O48" i="161"/>
  <c r="O49" i="161" s="1"/>
  <c r="V10" i="161" l="1"/>
  <c r="X18" i="178" s="1"/>
  <c r="Q69" i="161"/>
  <c r="S69" i="161"/>
  <c r="P69" i="161"/>
  <c r="J69" i="161"/>
  <c r="R69" i="161"/>
  <c r="O69" i="161"/>
  <c r="N69" i="161"/>
  <c r="M69" i="161"/>
  <c r="L69" i="161"/>
  <c r="K69" i="161"/>
  <c r="T69" i="161"/>
  <c r="Z69" i="161"/>
  <c r="Y69" i="161"/>
  <c r="I69" i="161"/>
  <c r="H69" i="161"/>
  <c r="X69" i="161"/>
  <c r="W69" i="161"/>
  <c r="V69" i="161"/>
  <c r="O52" i="161"/>
  <c r="O53" i="161" s="1"/>
  <c r="P52" i="161"/>
  <c r="P53" i="161" s="1"/>
  <c r="Q52" i="161"/>
  <c r="Q53" i="161" s="1"/>
  <c r="R53" i="161"/>
  <c r="W10" i="161" l="1"/>
  <c r="Y18" i="178" s="1"/>
  <c r="X10" i="161"/>
  <c r="Z18" i="178" s="1"/>
  <c r="Y10" i="161"/>
  <c r="AA18" i="178" s="1"/>
  <c r="I10" i="161"/>
  <c r="K18" i="178" s="1"/>
  <c r="J10" i="161"/>
  <c r="L18" i="178" s="1"/>
  <c r="Z10" i="161"/>
  <c r="AB18" i="178" s="1"/>
  <c r="AA10" i="161"/>
  <c r="AC18" i="178" s="1"/>
  <c r="U10" i="161"/>
  <c r="W18" i="178" s="1"/>
  <c r="L10" i="161"/>
  <c r="N18" i="178" s="1"/>
  <c r="M10" i="161"/>
  <c r="O18" i="178" s="1"/>
  <c r="N10" i="161"/>
  <c r="P18" i="178" s="1"/>
  <c r="O10" i="161"/>
  <c r="Q18" i="178" s="1"/>
  <c r="P10" i="161"/>
  <c r="R18" i="178" s="1"/>
  <c r="S10" i="161"/>
  <c r="U18" i="178" s="1"/>
  <c r="K10" i="161"/>
  <c r="M18" i="178" s="1"/>
  <c r="Q10" i="161"/>
  <c r="S18" i="178" s="1"/>
  <c r="T10" i="161"/>
  <c r="V18" i="178" s="1"/>
  <c r="R10" i="161"/>
  <c r="T18" i="178" s="1"/>
  <c r="Q54" i="161"/>
  <c r="Q55" i="161" s="1"/>
  <c r="Q57" i="161" s="1"/>
  <c r="Q58" i="161" s="1"/>
  <c r="P54" i="161"/>
  <c r="P55" i="161" s="1"/>
  <c r="P57" i="161" s="1"/>
  <c r="P58" i="161" s="1"/>
  <c r="O54" i="161"/>
  <c r="O55" i="161"/>
  <c r="O57" i="161" s="1"/>
  <c r="O58" i="161" s="1"/>
  <c r="R54" i="161"/>
  <c r="R55" i="161"/>
  <c r="R57" i="161" s="1"/>
  <c r="R58" i="161" s="1"/>
  <c r="E6" i="139" l="1"/>
  <c r="F6" i="139"/>
  <c r="G6" i="139"/>
  <c r="H6" i="139"/>
  <c r="I6" i="139"/>
  <c r="J6" i="139"/>
  <c r="K6" i="139"/>
  <c r="L6" i="139"/>
  <c r="M6" i="139"/>
  <c r="N6" i="139"/>
  <c r="O6" i="139"/>
  <c r="P6" i="139"/>
  <c r="Q6" i="139"/>
  <c r="R6" i="139"/>
  <c r="S6" i="139"/>
  <c r="T6" i="139"/>
  <c r="U6" i="139"/>
  <c r="V6" i="139"/>
  <c r="W6" i="139"/>
  <c r="X6" i="139"/>
  <c r="Y6" i="139"/>
  <c r="Z6" i="139"/>
  <c r="D6" i="139"/>
  <c r="K66" i="139"/>
  <c r="K72" i="139"/>
  <c r="G78" i="139"/>
  <c r="H78" i="139"/>
  <c r="G79" i="139"/>
  <c r="H79" i="139"/>
  <c r="G80" i="139"/>
  <c r="H80" i="139"/>
  <c r="L80" i="139"/>
  <c r="G81" i="139"/>
  <c r="H81" i="139"/>
  <c r="G82" i="139"/>
  <c r="H82" i="139"/>
  <c r="G83" i="139"/>
  <c r="G84" i="139"/>
  <c r="G85" i="139"/>
  <c r="H85" i="139"/>
  <c r="F59" i="137" l="1"/>
  <c r="G59" i="137"/>
  <c r="H59" i="137"/>
  <c r="H13" i="137" s="1"/>
  <c r="I59" i="137"/>
  <c r="J59" i="137"/>
  <c r="K59" i="137"/>
  <c r="L59" i="137"/>
  <c r="M59" i="137"/>
  <c r="N59" i="137"/>
  <c r="O59" i="137"/>
  <c r="P59" i="137"/>
  <c r="Q59" i="137"/>
  <c r="R59" i="137"/>
  <c r="S59" i="137"/>
  <c r="T59" i="137"/>
  <c r="U59" i="137"/>
  <c r="V59" i="137"/>
  <c r="W59" i="137"/>
  <c r="X59" i="137"/>
  <c r="Y59" i="137"/>
  <c r="Z59" i="137"/>
  <c r="AA59" i="137"/>
  <c r="E59" i="137"/>
  <c r="E13" i="137" s="1"/>
  <c r="D59" i="137" l="1"/>
  <c r="F16" i="81"/>
  <c r="L59" i="140"/>
  <c r="L64" i="140" s="1"/>
  <c r="L68" i="140" s="1"/>
  <c r="L69" i="140" s="1"/>
  <c r="H60" i="140"/>
  <c r="J60" i="140"/>
  <c r="L60" i="140"/>
  <c r="H61" i="140"/>
  <c r="L61" i="140"/>
  <c r="H62" i="140"/>
  <c r="L62" i="140"/>
  <c r="H63" i="140"/>
  <c r="H65" i="140" s="1"/>
  <c r="H66" i="140" s="1"/>
  <c r="H67" i="140" s="1"/>
  <c r="L63" i="140"/>
  <c r="L65" i="140"/>
  <c r="L66" i="140"/>
  <c r="L67" i="140"/>
  <c r="D45" i="140"/>
  <c r="B46" i="140"/>
  <c r="D46" i="140"/>
  <c r="D47" i="140"/>
  <c r="E18" i="140" s="1"/>
  <c r="F18" i="140" s="1"/>
  <c r="B35" i="140"/>
  <c r="B36" i="140"/>
  <c r="B37" i="140"/>
  <c r="B38" i="140"/>
  <c r="B39" i="140"/>
  <c r="D40" i="140"/>
  <c r="E40" i="140"/>
  <c r="F40" i="140"/>
  <c r="G40" i="140"/>
  <c r="D49" i="140" s="1"/>
  <c r="G41" i="140" s="1"/>
  <c r="H40" i="140"/>
  <c r="I40" i="140"/>
  <c r="J40" i="140"/>
  <c r="K40" i="140"/>
  <c r="C41" i="140"/>
  <c r="E17" i="140"/>
  <c r="F17" i="140"/>
  <c r="B18" i="140"/>
  <c r="D18" i="140"/>
  <c r="B19" i="140"/>
  <c r="B20" i="140"/>
  <c r="E20" i="140"/>
  <c r="F20" i="140"/>
  <c r="B21" i="140"/>
  <c r="E21" i="140"/>
  <c r="F21" i="140"/>
  <c r="B23" i="140"/>
  <c r="E23" i="140"/>
  <c r="F23" i="140"/>
  <c r="B24" i="140"/>
  <c r="B25" i="140"/>
  <c r="F25" i="140"/>
  <c r="AC7" i="154"/>
  <c r="AB7" i="154"/>
  <c r="AA7" i="154"/>
  <c r="Z7" i="154"/>
  <c r="Y7" i="154"/>
  <c r="X7" i="154"/>
  <c r="W7" i="154"/>
  <c r="V7" i="154"/>
  <c r="U7" i="154"/>
  <c r="T7" i="154"/>
  <c r="S7" i="154"/>
  <c r="R7" i="154"/>
  <c r="Q7" i="154"/>
  <c r="P7" i="154"/>
  <c r="O7" i="154"/>
  <c r="N7" i="154"/>
  <c r="M7" i="154"/>
  <c r="L7" i="154"/>
  <c r="K7" i="154"/>
  <c r="J7" i="154"/>
  <c r="I7" i="154"/>
  <c r="H7" i="154"/>
  <c r="G7" i="154"/>
  <c r="B30" i="137"/>
  <c r="D183" i="21"/>
  <c r="D182" i="21"/>
  <c r="E19" i="140" l="1"/>
  <c r="F19" i="140" s="1"/>
  <c r="F22" i="140" s="1"/>
  <c r="F26" i="140" s="1"/>
  <c r="F27" i="140" s="1"/>
  <c r="D101" i="21"/>
  <c r="G6" i="140" l="1"/>
  <c r="H6" i="140"/>
  <c r="I6" i="140"/>
  <c r="J6" i="140"/>
  <c r="F6" i="140"/>
  <c r="E6" i="140"/>
  <c r="D6" i="140"/>
  <c r="G28" i="141"/>
  <c r="H28" i="141"/>
  <c r="I28" i="141"/>
  <c r="F28" i="141"/>
  <c r="F27" i="141"/>
  <c r="E6" i="141"/>
  <c r="C20" i="183" l="1"/>
  <c r="J69" i="145"/>
  <c r="K69" i="145"/>
  <c r="L69" i="145"/>
  <c r="M69" i="145"/>
  <c r="N69" i="145"/>
  <c r="O69" i="145"/>
  <c r="P69" i="145"/>
  <c r="Q69" i="145"/>
  <c r="R69" i="145"/>
  <c r="S69" i="145"/>
  <c r="T69" i="145"/>
  <c r="U69" i="145"/>
  <c r="V69" i="145"/>
  <c r="W69" i="145"/>
  <c r="X69" i="145"/>
  <c r="Y69" i="145"/>
  <c r="Z69" i="145"/>
  <c r="AA69" i="145"/>
  <c r="I69" i="145"/>
  <c r="J11" i="146"/>
  <c r="K11" i="146"/>
  <c r="L11" i="146"/>
  <c r="F10" i="141"/>
  <c r="G19" i="141"/>
  <c r="H19" i="141"/>
  <c r="I19" i="141"/>
  <c r="F19" i="141"/>
  <c r="N73" i="141"/>
  <c r="G18" i="141"/>
  <c r="H18" i="141"/>
  <c r="I18" i="141"/>
  <c r="F18" i="141"/>
  <c r="F17" i="141"/>
  <c r="F16" i="141"/>
  <c r="G17" i="141"/>
  <c r="H17" i="141"/>
  <c r="I17" i="141"/>
  <c r="D97" i="21"/>
  <c r="H22" i="141" s="1"/>
  <c r="F58" i="139"/>
  <c r="K37" i="21"/>
  <c r="K36" i="21"/>
  <c r="E6" i="153"/>
  <c r="T78" i="21"/>
  <c r="T79" i="21" s="1"/>
  <c r="T80" i="21" s="1"/>
  <c r="T81" i="21" s="1"/>
  <c r="T82" i="21" s="1"/>
  <c r="T83" i="21" s="1"/>
  <c r="T84" i="21" s="1"/>
  <c r="T85" i="21" s="1"/>
  <c r="T86" i="21" s="1"/>
  <c r="T87" i="21" s="1"/>
  <c r="T88" i="21" s="1"/>
  <c r="T89" i="21" s="1"/>
  <c r="T90" i="21" s="1"/>
  <c r="T91" i="21" s="1"/>
  <c r="T92" i="21" s="1"/>
  <c r="A46" i="161"/>
  <c r="A47" i="161"/>
  <c r="A48" i="161"/>
  <c r="A49" i="161"/>
  <c r="A42" i="161"/>
  <c r="A43" i="161" s="1"/>
  <c r="A44" i="161" s="1"/>
  <c r="A45" i="161" s="1"/>
  <c r="A41" i="161"/>
  <c r="G22" i="141" l="1"/>
  <c r="I22" i="141"/>
  <c r="F22" i="141"/>
  <c r="E18" i="141"/>
  <c r="E17" i="141"/>
  <c r="K34" i="21"/>
  <c r="K33" i="21"/>
  <c r="F66" i="137"/>
  <c r="G66" i="137"/>
  <c r="H66" i="137"/>
  <c r="E66" i="137"/>
  <c r="F65" i="137"/>
  <c r="G65" i="137"/>
  <c r="H65" i="137"/>
  <c r="E65" i="137"/>
  <c r="R4" i="21"/>
  <c r="Q20" i="21"/>
  <c r="Q19" i="21"/>
  <c r="K139" i="21" s="1"/>
  <c r="Q18" i="21"/>
  <c r="K138" i="21" s="1"/>
  <c r="Q17" i="21"/>
  <c r="Q16" i="21"/>
  <c r="K137" i="21" s="1"/>
  <c r="Q15" i="21"/>
  <c r="Q14" i="21"/>
  <c r="K136" i="21" s="1"/>
  <c r="Q13" i="21"/>
  <c r="K135" i="21" s="1"/>
  <c r="Q12" i="21"/>
  <c r="K134" i="21" s="1"/>
  <c r="Q11" i="21"/>
  <c r="K133" i="21" s="1"/>
  <c r="Q10" i="21"/>
  <c r="Q9" i="21"/>
  <c r="J68" i="145"/>
  <c r="K68" i="145"/>
  <c r="L68" i="145"/>
  <c r="M68" i="145"/>
  <c r="N68" i="145"/>
  <c r="O68" i="145"/>
  <c r="P68" i="145"/>
  <c r="Q68" i="145"/>
  <c r="R68" i="145"/>
  <c r="S68" i="145"/>
  <c r="T68" i="145"/>
  <c r="U68" i="145"/>
  <c r="V68" i="145"/>
  <c r="W68" i="145"/>
  <c r="X68" i="145"/>
  <c r="Y68" i="145"/>
  <c r="Z68" i="145"/>
  <c r="AA68" i="145"/>
  <c r="I68" i="145"/>
  <c r="J66" i="145"/>
  <c r="K66" i="145"/>
  <c r="L66" i="145"/>
  <c r="M66" i="145"/>
  <c r="N66" i="145"/>
  <c r="O66" i="145"/>
  <c r="P66" i="145"/>
  <c r="Q66" i="145"/>
  <c r="R66" i="145"/>
  <c r="S66" i="145"/>
  <c r="T66" i="145"/>
  <c r="U66" i="145"/>
  <c r="V66" i="145"/>
  <c r="W66" i="145"/>
  <c r="X66" i="145"/>
  <c r="Y66" i="145"/>
  <c r="Z66" i="145"/>
  <c r="AA66" i="145"/>
  <c r="I66" i="145"/>
  <c r="J65" i="145"/>
  <c r="K65" i="145"/>
  <c r="L65" i="145"/>
  <c r="M65" i="145"/>
  <c r="N65" i="145"/>
  <c r="O65" i="145"/>
  <c r="P65" i="145"/>
  <c r="Q65" i="145"/>
  <c r="R65" i="145"/>
  <c r="S65" i="145"/>
  <c r="T65" i="145"/>
  <c r="U65" i="145"/>
  <c r="V65" i="145"/>
  <c r="W65" i="145"/>
  <c r="X65" i="145"/>
  <c r="Y65" i="145"/>
  <c r="Z65" i="145"/>
  <c r="AA65" i="145"/>
  <c r="I65" i="145"/>
  <c r="AA66" i="137"/>
  <c r="J66" i="137"/>
  <c r="K66" i="137"/>
  <c r="L66" i="137"/>
  <c r="M66" i="137"/>
  <c r="N66" i="137"/>
  <c r="O66" i="137"/>
  <c r="P66" i="137"/>
  <c r="Q66" i="137"/>
  <c r="R66" i="137"/>
  <c r="S66" i="137"/>
  <c r="T66" i="137"/>
  <c r="U66" i="137"/>
  <c r="V66" i="137"/>
  <c r="W66" i="137"/>
  <c r="X66" i="137"/>
  <c r="Y66" i="137"/>
  <c r="Z66" i="137"/>
  <c r="I66" i="137"/>
  <c r="J60" i="145"/>
  <c r="J65" i="137" s="1"/>
  <c r="K60" i="145"/>
  <c r="K65" i="137" s="1"/>
  <c r="L60" i="145"/>
  <c r="L65" i="137" s="1"/>
  <c r="M60" i="145"/>
  <c r="M65" i="137" s="1"/>
  <c r="N60" i="145"/>
  <c r="N65" i="137" s="1"/>
  <c r="O60" i="145"/>
  <c r="O65" i="137" s="1"/>
  <c r="P60" i="145"/>
  <c r="P65" i="137" s="1"/>
  <c r="Q60" i="145"/>
  <c r="Q65" i="137" s="1"/>
  <c r="R60" i="145"/>
  <c r="R65" i="137" s="1"/>
  <c r="S60" i="145"/>
  <c r="S65" i="137" s="1"/>
  <c r="T60" i="145"/>
  <c r="T65" i="137" s="1"/>
  <c r="U60" i="145"/>
  <c r="U65" i="137" s="1"/>
  <c r="V60" i="145"/>
  <c r="V65" i="137" s="1"/>
  <c r="W60" i="145"/>
  <c r="W65" i="137" s="1"/>
  <c r="X60" i="145"/>
  <c r="X65" i="137" s="1"/>
  <c r="Y60" i="145"/>
  <c r="Y65" i="137" s="1"/>
  <c r="Z60" i="145"/>
  <c r="Z65" i="137" s="1"/>
  <c r="AA60" i="145"/>
  <c r="AA65" i="137" s="1"/>
  <c r="I60" i="145"/>
  <c r="I65" i="137" s="1"/>
  <c r="P6" i="21"/>
  <c r="P7" i="21" s="1"/>
  <c r="P8" i="21" s="1"/>
  <c r="P9" i="21" s="1"/>
  <c r="P10" i="21" s="1"/>
  <c r="P11" i="21" s="1"/>
  <c r="P12" i="21" s="1"/>
  <c r="P13" i="21" s="1"/>
  <c r="P14" i="21" s="1"/>
  <c r="P15" i="21" s="1"/>
  <c r="P16" i="21" s="1"/>
  <c r="P17" i="21" s="1"/>
  <c r="P18" i="21" s="1"/>
  <c r="P19" i="21" s="1"/>
  <c r="P20" i="21" s="1"/>
  <c r="P23" i="21" s="1"/>
  <c r="P24" i="21" s="1"/>
  <c r="P25" i="21" s="1"/>
  <c r="P26" i="21" s="1"/>
  <c r="P27" i="21" s="1"/>
  <c r="P28" i="21" s="1"/>
  <c r="P29" i="21" s="1"/>
  <c r="P30" i="21" s="1"/>
  <c r="P31" i="21" s="1"/>
  <c r="P32" i="21" s="1"/>
  <c r="K16" i="21"/>
  <c r="K17" i="21"/>
  <c r="K18" i="21"/>
  <c r="K19" i="21"/>
  <c r="K20" i="21"/>
  <c r="K21" i="21"/>
  <c r="K22" i="21"/>
  <c r="K23" i="21"/>
  <c r="K25" i="21"/>
  <c r="K26" i="21"/>
  <c r="K27" i="21"/>
  <c r="K28" i="21"/>
  <c r="K29" i="21"/>
  <c r="K15" i="21"/>
  <c r="J16" i="21"/>
  <c r="J17" i="21" s="1"/>
  <c r="J18" i="21" s="1"/>
  <c r="J19" i="21" s="1"/>
  <c r="J20" i="21" s="1"/>
  <c r="J21" i="21" s="1"/>
  <c r="J22" i="21" s="1"/>
  <c r="J23" i="21" s="1"/>
  <c r="J24" i="21" s="1"/>
  <c r="J25" i="21" s="1"/>
  <c r="J26" i="21" s="1"/>
  <c r="J27" i="21" s="1"/>
  <c r="J28" i="21" s="1"/>
  <c r="J29" i="21" s="1"/>
  <c r="F14" i="149"/>
  <c r="G14" i="149"/>
  <c r="H14" i="149"/>
  <c r="I14" i="149"/>
  <c r="J14" i="149"/>
  <c r="K14" i="149"/>
  <c r="L14" i="149"/>
  <c r="M14" i="149"/>
  <c r="N14" i="149"/>
  <c r="O14" i="149"/>
  <c r="P14" i="149"/>
  <c r="Q14" i="149"/>
  <c r="R14" i="149"/>
  <c r="S14" i="149"/>
  <c r="T14" i="149"/>
  <c r="U14" i="149"/>
  <c r="V14" i="149"/>
  <c r="W14" i="149"/>
  <c r="X14" i="149"/>
  <c r="Y14" i="149"/>
  <c r="Z14" i="149"/>
  <c r="AA14" i="149"/>
  <c r="E14" i="149"/>
  <c r="F20" i="146"/>
  <c r="G20" i="146"/>
  <c r="H20" i="146"/>
  <c r="I20" i="146"/>
  <c r="J20" i="146"/>
  <c r="K20" i="146"/>
  <c r="L20" i="146"/>
  <c r="M20" i="146"/>
  <c r="N20" i="146"/>
  <c r="O20" i="146"/>
  <c r="P20" i="146"/>
  <c r="Q20" i="146"/>
  <c r="R20" i="146"/>
  <c r="S20" i="146"/>
  <c r="T20" i="146"/>
  <c r="U20" i="146"/>
  <c r="V20" i="146"/>
  <c r="W20" i="146"/>
  <c r="X20" i="146"/>
  <c r="Y20" i="146"/>
  <c r="Z20" i="146"/>
  <c r="AA20" i="146"/>
  <c r="E20" i="146"/>
  <c r="F22" i="146"/>
  <c r="G22" i="146"/>
  <c r="H22" i="146"/>
  <c r="I22" i="146"/>
  <c r="J22" i="146"/>
  <c r="K22" i="146"/>
  <c r="L22" i="146"/>
  <c r="M22" i="146"/>
  <c r="N22" i="146"/>
  <c r="O22" i="146"/>
  <c r="P22" i="146"/>
  <c r="Q22" i="146"/>
  <c r="R22" i="146"/>
  <c r="S22" i="146"/>
  <c r="T22" i="146"/>
  <c r="U22" i="146"/>
  <c r="V22" i="146"/>
  <c r="W22" i="146"/>
  <c r="X22" i="146"/>
  <c r="Y22" i="146"/>
  <c r="Z22" i="146"/>
  <c r="AA22" i="146"/>
  <c r="E22" i="146"/>
  <c r="F16" i="149"/>
  <c r="G16" i="149"/>
  <c r="H16" i="149"/>
  <c r="I16" i="149"/>
  <c r="J16" i="149"/>
  <c r="K16" i="149"/>
  <c r="L16" i="149"/>
  <c r="M16" i="149"/>
  <c r="N16" i="149"/>
  <c r="O16" i="149"/>
  <c r="P16" i="149"/>
  <c r="Q16" i="149"/>
  <c r="R16" i="149"/>
  <c r="S16" i="149"/>
  <c r="T16" i="149"/>
  <c r="U16" i="149"/>
  <c r="V16" i="149"/>
  <c r="W16" i="149"/>
  <c r="X16" i="149"/>
  <c r="Y16" i="149"/>
  <c r="Z16" i="149"/>
  <c r="AA16" i="149"/>
  <c r="E16" i="149"/>
  <c r="C10" i="187"/>
  <c r="H12" i="149"/>
  <c r="I12" i="149"/>
  <c r="J12" i="149"/>
  <c r="K12" i="149"/>
  <c r="L12" i="149"/>
  <c r="M12" i="149"/>
  <c r="N12" i="149"/>
  <c r="O12" i="149"/>
  <c r="P12" i="149"/>
  <c r="Q12" i="149"/>
  <c r="R12" i="149"/>
  <c r="S12" i="149"/>
  <c r="T12" i="149"/>
  <c r="U12" i="149"/>
  <c r="V12" i="149"/>
  <c r="W12" i="149"/>
  <c r="X12" i="149"/>
  <c r="Y12" i="149"/>
  <c r="Z12" i="149"/>
  <c r="AA12" i="149"/>
  <c r="F12" i="149"/>
  <c r="G12" i="149"/>
  <c r="E12" i="149"/>
  <c r="C6" i="187"/>
  <c r="I6" i="187" s="1"/>
  <c r="I18" i="146" s="1"/>
  <c r="K18" i="146"/>
  <c r="L18" i="146"/>
  <c r="M18" i="146"/>
  <c r="N18" i="146"/>
  <c r="O18" i="146"/>
  <c r="P18" i="146"/>
  <c r="Q18" i="146"/>
  <c r="R18" i="146"/>
  <c r="S18" i="146"/>
  <c r="T18" i="146"/>
  <c r="U18" i="146"/>
  <c r="V18" i="146"/>
  <c r="W18" i="146"/>
  <c r="X18" i="146"/>
  <c r="Y18" i="146"/>
  <c r="Z18" i="146"/>
  <c r="AA18" i="146"/>
  <c r="E18" i="146"/>
  <c r="F21" i="146"/>
  <c r="G21" i="146"/>
  <c r="L21" i="146"/>
  <c r="M21" i="146"/>
  <c r="N21" i="146"/>
  <c r="O21" i="146"/>
  <c r="P21" i="146"/>
  <c r="Q21" i="146"/>
  <c r="R21" i="146"/>
  <c r="S21" i="146"/>
  <c r="T21" i="146"/>
  <c r="U21" i="146"/>
  <c r="V21" i="146"/>
  <c r="W21" i="146"/>
  <c r="X21" i="146"/>
  <c r="Y21" i="146"/>
  <c r="Z21" i="146"/>
  <c r="AA21" i="146"/>
  <c r="I23" i="146"/>
  <c r="J23" i="146"/>
  <c r="K23" i="146"/>
  <c r="L23" i="146"/>
  <c r="M23" i="146"/>
  <c r="N23" i="146"/>
  <c r="O23" i="146"/>
  <c r="P23" i="146"/>
  <c r="Q23" i="146"/>
  <c r="R23" i="146"/>
  <c r="S23" i="146"/>
  <c r="T23" i="146"/>
  <c r="U23" i="146"/>
  <c r="V23" i="146"/>
  <c r="W23" i="146"/>
  <c r="X23" i="146"/>
  <c r="Y23" i="146"/>
  <c r="Z23" i="146"/>
  <c r="AA23" i="146"/>
  <c r="E21" i="146"/>
  <c r="E23" i="146"/>
  <c r="K19" i="146"/>
  <c r="K19" i="136" s="1"/>
  <c r="L19" i="146"/>
  <c r="L19" i="136" s="1"/>
  <c r="M19" i="146"/>
  <c r="M19" i="136" s="1"/>
  <c r="N19" i="146"/>
  <c r="N19" i="136" s="1"/>
  <c r="O19" i="146"/>
  <c r="O19" i="136" s="1"/>
  <c r="P19" i="146"/>
  <c r="P19" i="136" s="1"/>
  <c r="Q19" i="146"/>
  <c r="Q19" i="136" s="1"/>
  <c r="R19" i="146"/>
  <c r="R19" i="136" s="1"/>
  <c r="S19" i="146"/>
  <c r="S19" i="136" s="1"/>
  <c r="T19" i="146"/>
  <c r="T19" i="136" s="1"/>
  <c r="U19" i="146"/>
  <c r="U19" i="136" s="1"/>
  <c r="V19" i="146"/>
  <c r="V19" i="136" s="1"/>
  <c r="W19" i="146"/>
  <c r="W19" i="136" s="1"/>
  <c r="X19" i="146"/>
  <c r="X19" i="136" s="1"/>
  <c r="Y19" i="146"/>
  <c r="Y19" i="136" s="1"/>
  <c r="Z19" i="146"/>
  <c r="Z19" i="136" s="1"/>
  <c r="AA19" i="146"/>
  <c r="AA19" i="136" s="1"/>
  <c r="E19" i="146"/>
  <c r="C11" i="187"/>
  <c r="A5" i="187"/>
  <c r="A6" i="187" s="1"/>
  <c r="A7" i="187" s="1"/>
  <c r="A8" i="187" s="1"/>
  <c r="A9" i="187" s="1"/>
  <c r="A10" i="187" s="1"/>
  <c r="A11" i="187" s="1"/>
  <c r="C72" i="187"/>
  <c r="C7" i="187" s="1"/>
  <c r="G7" i="187" s="1"/>
  <c r="G19" i="146" s="1"/>
  <c r="G19" i="136" s="1"/>
  <c r="AI19" i="136"/>
  <c r="AJ19" i="136"/>
  <c r="AK19" i="136"/>
  <c r="AL19" i="136"/>
  <c r="AM19" i="136"/>
  <c r="AN19" i="136"/>
  <c r="AO19" i="136"/>
  <c r="AP19" i="136"/>
  <c r="AQ19" i="136"/>
  <c r="AR19" i="136"/>
  <c r="K17" i="146"/>
  <c r="L17" i="146"/>
  <c r="M17" i="146"/>
  <c r="N17" i="146"/>
  <c r="O17" i="146"/>
  <c r="P17" i="146"/>
  <c r="Q17" i="146"/>
  <c r="R17" i="146"/>
  <c r="S17" i="146"/>
  <c r="T17" i="146"/>
  <c r="U17" i="146"/>
  <c r="V17" i="146"/>
  <c r="W17" i="146"/>
  <c r="X17" i="146"/>
  <c r="Y17" i="146"/>
  <c r="Z17" i="146"/>
  <c r="AA17" i="146"/>
  <c r="E17" i="146"/>
  <c r="F16" i="146"/>
  <c r="K16" i="146"/>
  <c r="L16" i="146"/>
  <c r="M16" i="146"/>
  <c r="N16" i="146"/>
  <c r="O16" i="146"/>
  <c r="P16" i="146"/>
  <c r="Q16" i="146"/>
  <c r="R16" i="146"/>
  <c r="S16" i="146"/>
  <c r="T16" i="146"/>
  <c r="U16" i="146"/>
  <c r="V16" i="146"/>
  <c r="W16" i="146"/>
  <c r="X16" i="146"/>
  <c r="Y16" i="146"/>
  <c r="Z16" i="146"/>
  <c r="AA16" i="146"/>
  <c r="E16" i="146"/>
  <c r="C104" i="187"/>
  <c r="C105" i="187" s="1"/>
  <c r="C96" i="187"/>
  <c r="C97" i="187" s="1"/>
  <c r="C36" i="187"/>
  <c r="C5" i="187" s="1"/>
  <c r="G5" i="187" s="1"/>
  <c r="G17" i="146" s="1"/>
  <c r="C26" i="187"/>
  <c r="C27" i="187" s="1"/>
  <c r="J4" i="187" s="1"/>
  <c r="J16" i="146" s="1"/>
  <c r="C19" i="187"/>
  <c r="C20" i="187" s="1"/>
  <c r="C67" i="187"/>
  <c r="C50" i="187"/>
  <c r="D79" i="187"/>
  <c r="D80" i="187" s="1"/>
  <c r="C8" i="187" s="1"/>
  <c r="D88" i="187"/>
  <c r="D89" i="187" s="1"/>
  <c r="C9" i="187" s="1"/>
  <c r="I9" i="187" s="1"/>
  <c r="I21" i="146" s="1"/>
  <c r="S10" i="187" l="1"/>
  <c r="F6" i="187"/>
  <c r="J5" i="187"/>
  <c r="J17" i="146" s="1"/>
  <c r="I5" i="187"/>
  <c r="I17" i="146" s="1"/>
  <c r="J7" i="187"/>
  <c r="J19" i="146" s="1"/>
  <c r="J19" i="136" s="1"/>
  <c r="I7" i="187"/>
  <c r="I19" i="146" s="1"/>
  <c r="I19" i="136" s="1"/>
  <c r="J6" i="187"/>
  <c r="J18" i="146" s="1"/>
  <c r="E19" i="136"/>
  <c r="C4" i="187"/>
  <c r="C12" i="187" s="1"/>
  <c r="G6" i="187"/>
  <c r="G18" i="146" s="1"/>
  <c r="F7" i="187"/>
  <c r="F19" i="146" s="1"/>
  <c r="F19" i="136" s="1"/>
  <c r="H7" i="187"/>
  <c r="H19" i="146" s="1"/>
  <c r="H19" i="136" s="1"/>
  <c r="I4" i="187"/>
  <c r="I16" i="146" s="1"/>
  <c r="H4" i="187"/>
  <c r="H16" i="146" s="1"/>
  <c r="F5" i="187"/>
  <c r="F17" i="146" s="1"/>
  <c r="H5" i="187"/>
  <c r="H17" i="146" s="1"/>
  <c r="R10" i="187"/>
  <c r="M10" i="187"/>
  <c r="O10" i="187"/>
  <c r="N10" i="187"/>
  <c r="L10" i="187"/>
  <c r="K10" i="187"/>
  <c r="J10" i="187"/>
  <c r="I10" i="187"/>
  <c r="W10" i="187"/>
  <c r="H9" i="187"/>
  <c r="H21" i="146" s="1"/>
  <c r="T10" i="187"/>
  <c r="H8" i="187"/>
  <c r="J9" i="187"/>
  <c r="J21" i="146" s="1"/>
  <c r="Q10" i="187"/>
  <c r="P10" i="187"/>
  <c r="G8" i="187"/>
  <c r="V10" i="187"/>
  <c r="U10" i="187"/>
  <c r="K9" i="187"/>
  <c r="K21" i="146" s="1"/>
  <c r="G4" i="187"/>
  <c r="G16" i="146" s="1"/>
  <c r="D8" i="187" l="1"/>
  <c r="D19" i="136"/>
  <c r="D19" i="146"/>
  <c r="M23" i="21" s="1"/>
  <c r="H6" i="187"/>
  <c r="H18" i="146" s="1"/>
  <c r="F18" i="146"/>
  <c r="D7" i="187"/>
  <c r="D17" i="146"/>
  <c r="M21" i="21" s="1"/>
  <c r="L83" i="21" s="1"/>
  <c r="D4" i="187"/>
  <c r="D5" i="187"/>
  <c r="G11" i="187"/>
  <c r="G23" i="146" s="1"/>
  <c r="H11" i="187"/>
  <c r="H23" i="146" s="1"/>
  <c r="F11" i="187"/>
  <c r="F23" i="146" s="1"/>
  <c r="D10" i="187"/>
  <c r="D9" i="187"/>
  <c r="T64" i="145" l="1"/>
  <c r="S64" i="145"/>
  <c r="R64" i="145"/>
  <c r="Q64" i="145"/>
  <c r="P64" i="145"/>
  <c r="O64" i="145"/>
  <c r="N64" i="145"/>
  <c r="M64" i="145"/>
  <c r="L64" i="145"/>
  <c r="K64" i="145"/>
  <c r="J64" i="145"/>
  <c r="I64" i="145"/>
  <c r="AA64" i="145"/>
  <c r="Z64" i="145"/>
  <c r="Y64" i="145"/>
  <c r="X64" i="145"/>
  <c r="W64" i="145"/>
  <c r="V64" i="145"/>
  <c r="U64" i="145"/>
  <c r="D6" i="187"/>
  <c r="D11" i="187"/>
  <c r="T13" i="146" l="1"/>
  <c r="U13" i="146"/>
  <c r="V13" i="146"/>
  <c r="W13" i="146"/>
  <c r="X13" i="146"/>
  <c r="Y13" i="146"/>
  <c r="Z13" i="146"/>
  <c r="AA13" i="146"/>
  <c r="E43" i="139"/>
  <c r="E42" i="139"/>
  <c r="E41" i="139"/>
  <c r="E40" i="139"/>
  <c r="E39" i="139"/>
  <c r="E38" i="139"/>
  <c r="E37" i="139"/>
  <c r="L36" i="139"/>
  <c r="E36" i="139"/>
  <c r="L35" i="139"/>
  <c r="I31" i="139"/>
  <c r="I30" i="139"/>
  <c r="K29" i="139"/>
  <c r="J29" i="139"/>
  <c r="H29" i="139"/>
  <c r="L29" i="139" s="1"/>
  <c r="G29" i="139"/>
  <c r="F29" i="139"/>
  <c r="E29" i="139"/>
  <c r="M29" i="139" s="1"/>
  <c r="K28" i="139"/>
  <c r="J28" i="139"/>
  <c r="H28" i="139"/>
  <c r="L28" i="139" s="1"/>
  <c r="G28" i="139"/>
  <c r="F28" i="139"/>
  <c r="E28" i="139"/>
  <c r="M28" i="139" s="1"/>
  <c r="K27" i="139"/>
  <c r="J27" i="139"/>
  <c r="H27" i="139"/>
  <c r="L27" i="139" s="1"/>
  <c r="G27" i="139"/>
  <c r="F27" i="139"/>
  <c r="E27" i="139"/>
  <c r="K26" i="139"/>
  <c r="J26" i="139"/>
  <c r="H26" i="139"/>
  <c r="L26" i="139" s="1"/>
  <c r="G26" i="139"/>
  <c r="F26" i="139"/>
  <c r="E26" i="139"/>
  <c r="M26" i="139" s="1"/>
  <c r="K25" i="139"/>
  <c r="J25" i="139"/>
  <c r="H25" i="139"/>
  <c r="L25" i="139" s="1"/>
  <c r="G25" i="139"/>
  <c r="F25" i="139"/>
  <c r="E25" i="139"/>
  <c r="M25" i="139" s="1"/>
  <c r="B25" i="139"/>
  <c r="B26" i="139" s="1"/>
  <c r="B27" i="139" s="1"/>
  <c r="B28" i="139" s="1"/>
  <c r="B29" i="139" s="1"/>
  <c r="K24" i="139"/>
  <c r="J24" i="139"/>
  <c r="H24" i="139"/>
  <c r="G24" i="139"/>
  <c r="F24" i="139"/>
  <c r="E24" i="139"/>
  <c r="B24" i="139"/>
  <c r="K23" i="139"/>
  <c r="J23" i="139"/>
  <c r="H23" i="139"/>
  <c r="L23" i="139" s="1"/>
  <c r="G23" i="139"/>
  <c r="F23" i="139"/>
  <c r="M23" i="139" s="1"/>
  <c r="E23" i="139"/>
  <c r="B23" i="139"/>
  <c r="K22" i="139"/>
  <c r="J22" i="139"/>
  <c r="H22" i="139"/>
  <c r="G22" i="139"/>
  <c r="G30" i="139" s="1"/>
  <c r="G31" i="139" s="1"/>
  <c r="F22" i="139"/>
  <c r="F30" i="139" s="1"/>
  <c r="F31" i="139" s="1"/>
  <c r="K18" i="139"/>
  <c r="J18" i="139"/>
  <c r="I18" i="139"/>
  <c r="H18" i="139"/>
  <c r="G18" i="139"/>
  <c r="F18" i="139"/>
  <c r="E18" i="139"/>
  <c r="D18" i="139"/>
  <c r="M17" i="139"/>
  <c r="N17" i="139" s="1"/>
  <c r="L17" i="139"/>
  <c r="N16" i="139"/>
  <c r="L16" i="139"/>
  <c r="M15" i="139"/>
  <c r="N15" i="139" s="1"/>
  <c r="L15" i="139"/>
  <c r="M14" i="139"/>
  <c r="N14" i="139" s="1"/>
  <c r="L14" i="139"/>
  <c r="M13" i="139"/>
  <c r="N13" i="139" s="1"/>
  <c r="L13" i="139"/>
  <c r="N12" i="139"/>
  <c r="M12" i="139"/>
  <c r="L12" i="139"/>
  <c r="N11" i="139"/>
  <c r="L11" i="139"/>
  <c r="B11" i="139"/>
  <c r="B12" i="139" s="1"/>
  <c r="B13" i="139" s="1"/>
  <c r="B14" i="139" s="1"/>
  <c r="B15" i="139" s="1"/>
  <c r="B16" i="139" s="1"/>
  <c r="B17" i="139" s="1"/>
  <c r="L37" i="139"/>
  <c r="C6" i="139"/>
  <c r="E4" i="139"/>
  <c r="F4" i="139" s="1"/>
  <c r="G4" i="139" s="1"/>
  <c r="H4" i="139" s="1"/>
  <c r="I4" i="139" s="1"/>
  <c r="J4" i="139" s="1"/>
  <c r="K4" i="139" s="1"/>
  <c r="L4" i="139" s="1"/>
  <c r="M4" i="139" s="1"/>
  <c r="N4" i="139" s="1"/>
  <c r="O4" i="139" s="1"/>
  <c r="P4" i="139" s="1"/>
  <c r="Q4" i="139" s="1"/>
  <c r="R4" i="139" s="1"/>
  <c r="S4" i="139" s="1"/>
  <c r="T4" i="139" s="1"/>
  <c r="U4" i="139" s="1"/>
  <c r="V4" i="139" s="1"/>
  <c r="W4" i="139" s="1"/>
  <c r="X4" i="139" s="1"/>
  <c r="Y4" i="139" s="1"/>
  <c r="Z4" i="139" s="1"/>
  <c r="F3" i="139"/>
  <c r="G3" i="139" s="1"/>
  <c r="H3" i="139" s="1"/>
  <c r="I3" i="139" s="1"/>
  <c r="J3" i="139" s="1"/>
  <c r="K3" i="139" s="1"/>
  <c r="L3" i="139" s="1"/>
  <c r="M3" i="139" s="1"/>
  <c r="N3" i="139" s="1"/>
  <c r="O3" i="139" s="1"/>
  <c r="P3" i="139" s="1"/>
  <c r="Q3" i="139" s="1"/>
  <c r="R3" i="139" s="1"/>
  <c r="S3" i="139" s="1"/>
  <c r="T3" i="139" s="1"/>
  <c r="U3" i="139" s="1"/>
  <c r="V3" i="139" s="1"/>
  <c r="W3" i="139" s="1"/>
  <c r="X3" i="139" s="1"/>
  <c r="Y3" i="139" s="1"/>
  <c r="Z3" i="139" s="1"/>
  <c r="E3" i="139"/>
  <c r="I6" i="153"/>
  <c r="E13" i="153"/>
  <c r="H13" i="153"/>
  <c r="I13" i="153"/>
  <c r="H258" i="135"/>
  <c r="H259" i="135"/>
  <c r="H260" i="135"/>
  <c r="H261" i="135"/>
  <c r="H262" i="135"/>
  <c r="H263" i="135"/>
  <c r="H264" i="135"/>
  <c r="H265" i="135"/>
  <c r="H266" i="135"/>
  <c r="H267" i="135"/>
  <c r="H268" i="135"/>
  <c r="H269" i="135"/>
  <c r="H270" i="135"/>
  <c r="H271" i="135"/>
  <c r="H272" i="135"/>
  <c r="H273" i="135"/>
  <c r="H274" i="135"/>
  <c r="H275" i="135"/>
  <c r="H276" i="135"/>
  <c r="H277" i="135"/>
  <c r="H278" i="135"/>
  <c r="H279" i="135"/>
  <c r="H257" i="135"/>
  <c r="H231" i="135"/>
  <c r="H232" i="135"/>
  <c r="H233" i="135"/>
  <c r="H234" i="135"/>
  <c r="H235" i="135"/>
  <c r="H236" i="135"/>
  <c r="H237" i="135"/>
  <c r="H238" i="135"/>
  <c r="H239" i="135"/>
  <c r="H240" i="135"/>
  <c r="H241" i="135"/>
  <c r="H242" i="135"/>
  <c r="H243" i="135"/>
  <c r="H244" i="135"/>
  <c r="H245" i="135"/>
  <c r="H246" i="135"/>
  <c r="H247" i="135"/>
  <c r="H248" i="135"/>
  <c r="H249" i="135"/>
  <c r="H250" i="135"/>
  <c r="H251" i="135"/>
  <c r="H252" i="135"/>
  <c r="H230" i="135"/>
  <c r="H12" i="135"/>
  <c r="H13" i="135"/>
  <c r="H14" i="135"/>
  <c r="H15" i="135"/>
  <c r="H16" i="135"/>
  <c r="H17" i="135"/>
  <c r="H18" i="135"/>
  <c r="H19" i="135"/>
  <c r="H20" i="135"/>
  <c r="H21" i="135"/>
  <c r="H22" i="135"/>
  <c r="H23" i="135"/>
  <c r="H24" i="135"/>
  <c r="H25" i="135"/>
  <c r="H26" i="135"/>
  <c r="H27" i="135"/>
  <c r="H28" i="135"/>
  <c r="H29" i="135"/>
  <c r="H30" i="135"/>
  <c r="H31" i="135"/>
  <c r="H32" i="135"/>
  <c r="H33" i="135"/>
  <c r="H34" i="135"/>
  <c r="H35" i="135"/>
  <c r="H36" i="135"/>
  <c r="H37" i="135"/>
  <c r="H38" i="135"/>
  <c r="H39" i="135"/>
  <c r="H40" i="135"/>
  <c r="H41" i="135"/>
  <c r="H42" i="135"/>
  <c r="H43" i="135"/>
  <c r="H44" i="135"/>
  <c r="H45" i="135"/>
  <c r="H46" i="135"/>
  <c r="H47" i="135"/>
  <c r="H48" i="135"/>
  <c r="H49" i="135"/>
  <c r="H50" i="135"/>
  <c r="H51" i="135"/>
  <c r="H52" i="135"/>
  <c r="H53" i="135"/>
  <c r="H54" i="135"/>
  <c r="H55" i="135"/>
  <c r="H56" i="135"/>
  <c r="H57" i="135"/>
  <c r="H58" i="135"/>
  <c r="H59" i="135"/>
  <c r="H60" i="135"/>
  <c r="H61" i="135"/>
  <c r="H62" i="135"/>
  <c r="H63" i="135"/>
  <c r="H64" i="135"/>
  <c r="H65" i="135"/>
  <c r="H66" i="135"/>
  <c r="H67" i="135"/>
  <c r="H68" i="135"/>
  <c r="H69" i="135"/>
  <c r="H70" i="135"/>
  <c r="H71" i="135"/>
  <c r="H72" i="135"/>
  <c r="H73" i="135"/>
  <c r="H74" i="135"/>
  <c r="H75" i="135"/>
  <c r="H76" i="135"/>
  <c r="H77" i="135"/>
  <c r="H78" i="135"/>
  <c r="H79" i="135"/>
  <c r="H80" i="135"/>
  <c r="H81" i="135"/>
  <c r="H82" i="135"/>
  <c r="H83" i="135"/>
  <c r="H84" i="135"/>
  <c r="H85" i="135"/>
  <c r="H86" i="135"/>
  <c r="H87" i="135"/>
  <c r="H88" i="135"/>
  <c r="H89" i="135"/>
  <c r="H90" i="135"/>
  <c r="H91" i="135"/>
  <c r="H92" i="135"/>
  <c r="H93" i="135"/>
  <c r="H94" i="135"/>
  <c r="H95" i="135"/>
  <c r="H96" i="135"/>
  <c r="H97" i="135"/>
  <c r="H98" i="135"/>
  <c r="H99" i="135"/>
  <c r="H100" i="135"/>
  <c r="H101" i="135"/>
  <c r="H102" i="135"/>
  <c r="H103" i="135"/>
  <c r="H104" i="135"/>
  <c r="H105" i="135"/>
  <c r="H106" i="135"/>
  <c r="H107" i="135"/>
  <c r="H108" i="135"/>
  <c r="H109" i="135"/>
  <c r="H110" i="135"/>
  <c r="H111" i="135"/>
  <c r="H112" i="135"/>
  <c r="H113" i="135"/>
  <c r="H114" i="135"/>
  <c r="H115" i="135"/>
  <c r="H116" i="135"/>
  <c r="H117" i="135"/>
  <c r="H118" i="135"/>
  <c r="H119" i="135"/>
  <c r="H120" i="135"/>
  <c r="H121" i="135"/>
  <c r="H122" i="135"/>
  <c r="H123" i="135"/>
  <c r="H124" i="135"/>
  <c r="H125" i="135"/>
  <c r="H126" i="135"/>
  <c r="H127" i="135"/>
  <c r="H128" i="135"/>
  <c r="H129" i="135"/>
  <c r="H130" i="135"/>
  <c r="H131" i="135"/>
  <c r="H132" i="135"/>
  <c r="H133" i="135"/>
  <c r="H134" i="135"/>
  <c r="H135" i="135"/>
  <c r="H136" i="135"/>
  <c r="H137" i="135"/>
  <c r="H138" i="135"/>
  <c r="H139" i="135"/>
  <c r="H140" i="135"/>
  <c r="H141" i="135"/>
  <c r="H142" i="135"/>
  <c r="H143" i="135"/>
  <c r="H144" i="135"/>
  <c r="H145" i="135"/>
  <c r="H146" i="135"/>
  <c r="H147" i="135"/>
  <c r="H148" i="135"/>
  <c r="H149" i="135"/>
  <c r="H150" i="135"/>
  <c r="H151" i="135"/>
  <c r="H152" i="135"/>
  <c r="H153" i="135"/>
  <c r="H154" i="135"/>
  <c r="H155" i="135"/>
  <c r="H156" i="135"/>
  <c r="H157" i="135"/>
  <c r="H158" i="135"/>
  <c r="H159" i="135"/>
  <c r="H160" i="135"/>
  <c r="H161" i="135"/>
  <c r="H162" i="135"/>
  <c r="H163" i="135"/>
  <c r="H164" i="135"/>
  <c r="H165" i="135"/>
  <c r="H166" i="135"/>
  <c r="H167" i="135"/>
  <c r="H168" i="135"/>
  <c r="H169" i="135"/>
  <c r="H170" i="135"/>
  <c r="H171" i="135"/>
  <c r="H172" i="135"/>
  <c r="H173" i="135"/>
  <c r="H174" i="135"/>
  <c r="H175" i="135"/>
  <c r="H176" i="135"/>
  <c r="H177" i="135"/>
  <c r="H178" i="135"/>
  <c r="H179" i="135"/>
  <c r="H180" i="135"/>
  <c r="H181" i="135"/>
  <c r="H182" i="135"/>
  <c r="H185" i="135"/>
  <c r="H186" i="135"/>
  <c r="H187" i="135"/>
  <c r="H188" i="135"/>
  <c r="H189" i="135"/>
  <c r="H190" i="135"/>
  <c r="H191" i="135"/>
  <c r="H192" i="135"/>
  <c r="H193" i="135"/>
  <c r="H194" i="135"/>
  <c r="H195" i="135"/>
  <c r="H196" i="135"/>
  <c r="H197" i="135"/>
  <c r="H198" i="135"/>
  <c r="H199" i="135"/>
  <c r="H200" i="135"/>
  <c r="H201" i="135"/>
  <c r="H202" i="135"/>
  <c r="H203" i="135"/>
  <c r="H204" i="135"/>
  <c r="H205" i="135"/>
  <c r="H206" i="135"/>
  <c r="H207" i="135"/>
  <c r="H208" i="135"/>
  <c r="H209" i="135"/>
  <c r="H210" i="135"/>
  <c r="H211" i="135"/>
  <c r="H212" i="135"/>
  <c r="H213" i="135"/>
  <c r="H214" i="135"/>
  <c r="H215" i="135"/>
  <c r="H216" i="135"/>
  <c r="H217" i="135"/>
  <c r="H218" i="135"/>
  <c r="H219" i="135"/>
  <c r="H220" i="135"/>
  <c r="H221" i="135"/>
  <c r="H222" i="135"/>
  <c r="H223" i="135"/>
  <c r="H224" i="135"/>
  <c r="H225" i="135"/>
  <c r="H226" i="135"/>
  <c r="H11" i="135"/>
  <c r="J284" i="135"/>
  <c r="I284" i="135"/>
  <c r="G226" i="135"/>
  <c r="G225" i="135"/>
  <c r="G224" i="135"/>
  <c r="G223" i="135"/>
  <c r="G222" i="135"/>
  <c r="G221" i="135"/>
  <c r="G220" i="135"/>
  <c r="G219" i="135"/>
  <c r="G218" i="135"/>
  <c r="G217" i="135"/>
  <c r="G216" i="135"/>
  <c r="G215" i="135"/>
  <c r="G214" i="135"/>
  <c r="G213" i="135"/>
  <c r="G212" i="135"/>
  <c r="G211" i="135"/>
  <c r="G210" i="135"/>
  <c r="G209" i="135"/>
  <c r="G208" i="135"/>
  <c r="G207" i="135"/>
  <c r="G206" i="135"/>
  <c r="G205" i="135"/>
  <c r="G204" i="135"/>
  <c r="G203" i="135"/>
  <c r="G202" i="135"/>
  <c r="G201" i="135"/>
  <c r="G200" i="135"/>
  <c r="G199" i="135"/>
  <c r="G198" i="135"/>
  <c r="G197" i="135"/>
  <c r="G196" i="135"/>
  <c r="G195" i="135"/>
  <c r="G194" i="135"/>
  <c r="G193" i="135"/>
  <c r="G192" i="135"/>
  <c r="G191" i="135"/>
  <c r="G190" i="135"/>
  <c r="G189" i="135"/>
  <c r="G188" i="135"/>
  <c r="G187" i="135"/>
  <c r="G186" i="135"/>
  <c r="G185" i="135"/>
  <c r="G180" i="135"/>
  <c r="G179" i="135"/>
  <c r="G178" i="135"/>
  <c r="G177" i="135"/>
  <c r="G176" i="135"/>
  <c r="G175" i="135"/>
  <c r="G174" i="135"/>
  <c r="G173" i="135"/>
  <c r="G172" i="135"/>
  <c r="G171" i="135"/>
  <c r="G170" i="135"/>
  <c r="G169" i="135"/>
  <c r="G168" i="135"/>
  <c r="G167" i="135"/>
  <c r="G166" i="135"/>
  <c r="G165" i="135"/>
  <c r="G164" i="135"/>
  <c r="G148" i="135"/>
  <c r="G147" i="135"/>
  <c r="G146" i="135"/>
  <c r="G139" i="135"/>
  <c r="G138" i="135"/>
  <c r="G133" i="135"/>
  <c r="G132" i="135"/>
  <c r="G131" i="135"/>
  <c r="G130" i="135"/>
  <c r="G129" i="135"/>
  <c r="G128" i="135"/>
  <c r="G127" i="135"/>
  <c r="G126" i="135"/>
  <c r="G125" i="135"/>
  <c r="G124" i="135"/>
  <c r="G123" i="135"/>
  <c r="G122" i="135"/>
  <c r="G121" i="135"/>
  <c r="G120" i="135"/>
  <c r="G119" i="135"/>
  <c r="G118" i="135"/>
  <c r="G117" i="135"/>
  <c r="G116" i="135"/>
  <c r="G115" i="135"/>
  <c r="G111" i="135"/>
  <c r="G109" i="135"/>
  <c r="G108" i="135"/>
  <c r="G107" i="135"/>
  <c r="G106" i="135"/>
  <c r="G105" i="135"/>
  <c r="G104" i="135"/>
  <c r="G103" i="135"/>
  <c r="G101" i="135"/>
  <c r="G100" i="135"/>
  <c r="G96" i="135"/>
  <c r="G95" i="135"/>
  <c r="G94" i="135"/>
  <c r="G91" i="135"/>
  <c r="G90" i="135"/>
  <c r="G88" i="135"/>
  <c r="G87" i="135"/>
  <c r="G86" i="135"/>
  <c r="G85" i="135"/>
  <c r="G84" i="135"/>
  <c r="G83" i="135"/>
  <c r="G82" i="135"/>
  <c r="G68" i="135"/>
  <c r="G66" i="135"/>
  <c r="G65" i="135"/>
  <c r="G62" i="135"/>
  <c r="G60" i="135"/>
  <c r="G59" i="135"/>
  <c r="G58" i="135"/>
  <c r="G55" i="135"/>
  <c r="G54" i="135"/>
  <c r="G53" i="135"/>
  <c r="G52" i="135"/>
  <c r="G51" i="135"/>
  <c r="G50" i="135"/>
  <c r="G49" i="135"/>
  <c r="J49" i="135" s="1"/>
  <c r="G45" i="135"/>
  <c r="G43" i="135"/>
  <c r="G42" i="135"/>
  <c r="M27" i="139" l="1"/>
  <c r="M30" i="139"/>
  <c r="M31" i="139" s="1"/>
  <c r="L24" i="139"/>
  <c r="L30" i="139"/>
  <c r="L31" i="139" s="1"/>
  <c r="L44" i="139" s="1"/>
  <c r="L45" i="139" s="1"/>
  <c r="E5" i="139" s="1"/>
  <c r="J30" i="139"/>
  <c r="J31" i="139" s="1"/>
  <c r="K30" i="139"/>
  <c r="K31" i="139" s="1"/>
  <c r="M24" i="139"/>
  <c r="G38" i="139"/>
  <c r="D24" i="139" s="1"/>
  <c r="N24" i="139" s="1"/>
  <c r="L38" i="139"/>
  <c r="F36" i="139"/>
  <c r="F37" i="139"/>
  <c r="G37" i="139" s="1"/>
  <c r="D23" i="139" s="1"/>
  <c r="N23" i="139" s="1"/>
  <c r="F38" i="139"/>
  <c r="N18" i="139"/>
  <c r="E30" i="139"/>
  <c r="E31" i="139" s="1"/>
  <c r="H30" i="139"/>
  <c r="H31" i="139" s="1"/>
  <c r="F39" i="139"/>
  <c r="G39" i="139" s="1"/>
  <c r="D25" i="139" s="1"/>
  <c r="N25" i="139" s="1"/>
  <c r="F40" i="139"/>
  <c r="G40" i="139" s="1"/>
  <c r="D26" i="139" s="1"/>
  <c r="N26" i="139" s="1"/>
  <c r="F41" i="139"/>
  <c r="G41" i="139" s="1"/>
  <c r="D27" i="139" s="1"/>
  <c r="N27" i="139" s="1"/>
  <c r="F42" i="139"/>
  <c r="G42" i="139" s="1"/>
  <c r="D28" i="139" s="1"/>
  <c r="N28" i="139" s="1"/>
  <c r="F43" i="139"/>
  <c r="G43" i="139" s="1"/>
  <c r="D29" i="139" s="1"/>
  <c r="D171" i="21"/>
  <c r="D135" i="21"/>
  <c r="H20" i="141" l="1"/>
  <c r="G20" i="141"/>
  <c r="I20" i="141"/>
  <c r="F20" i="141"/>
  <c r="D30" i="139"/>
  <c r="D31" i="139" s="1"/>
  <c r="R5" i="139" l="1"/>
  <c r="S13" i="146" s="1"/>
  <c r="P5" i="139"/>
  <c r="Q13" i="146" s="1"/>
  <c r="Q5" i="139"/>
  <c r="R13" i="146" s="1"/>
  <c r="N5" i="139"/>
  <c r="O13" i="146" s="1"/>
  <c r="M5" i="139"/>
  <c r="N13" i="146" s="1"/>
  <c r="O5" i="139"/>
  <c r="P13" i="146" s="1"/>
  <c r="D5" i="139"/>
  <c r="G5" i="139"/>
  <c r="H13" i="146" s="1"/>
  <c r="F5" i="139"/>
  <c r="G13" i="146" s="1"/>
  <c r="F13" i="146"/>
  <c r="L5" i="139"/>
  <c r="M13" i="146" s="1"/>
  <c r="K5" i="139"/>
  <c r="L13" i="146" s="1"/>
  <c r="J5" i="139"/>
  <c r="K13" i="146" s="1"/>
  <c r="I5" i="139"/>
  <c r="J13" i="146" s="1"/>
  <c r="H5" i="139"/>
  <c r="I13" i="146" s="1"/>
  <c r="C5" i="139" l="1"/>
  <c r="E13" i="146"/>
  <c r="D13" i="146" s="1"/>
  <c r="M17" i="21" s="1"/>
  <c r="F77" i="137"/>
  <c r="G77" i="137"/>
  <c r="H77" i="137"/>
  <c r="F79" i="137"/>
  <c r="G79" i="137"/>
  <c r="H79" i="137"/>
  <c r="E77" i="137"/>
  <c r="E79" i="137"/>
  <c r="F5" i="144" l="1"/>
  <c r="G5" i="144"/>
  <c r="H5" i="144"/>
  <c r="E5" i="144"/>
  <c r="F6" i="144"/>
  <c r="G6" i="144"/>
  <c r="H6" i="144"/>
  <c r="F7" i="144"/>
  <c r="G7" i="144"/>
  <c r="H7" i="144"/>
  <c r="E7" i="144"/>
  <c r="F9" i="144"/>
  <c r="G9" i="144"/>
  <c r="H9" i="144"/>
  <c r="I9" i="144"/>
  <c r="J9" i="144"/>
  <c r="K9" i="144"/>
  <c r="L9" i="144"/>
  <c r="M9" i="144"/>
  <c r="N9" i="144"/>
  <c r="O9" i="144"/>
  <c r="P9" i="144"/>
  <c r="Q9" i="144"/>
  <c r="R9" i="144"/>
  <c r="S9" i="144"/>
  <c r="T9" i="144"/>
  <c r="U9" i="144"/>
  <c r="V9" i="144"/>
  <c r="W9" i="144"/>
  <c r="X9" i="144"/>
  <c r="Y9" i="144"/>
  <c r="Z9" i="144"/>
  <c r="AA9" i="144"/>
  <c r="E9" i="144"/>
  <c r="E8" i="144" l="1"/>
  <c r="D9" i="144"/>
  <c r="Z60" i="133" l="1"/>
  <c r="AA60" i="133"/>
  <c r="AB60" i="133"/>
  <c r="AC60" i="133"/>
  <c r="I5" i="130" a="1"/>
  <c r="W5" i="130" s="1"/>
  <c r="W5" i="144" s="1"/>
  <c r="F35" i="130"/>
  <c r="G35" i="130"/>
  <c r="H35" i="130"/>
  <c r="I35" i="130"/>
  <c r="J35" i="130"/>
  <c r="K35" i="130"/>
  <c r="L35" i="130"/>
  <c r="M35" i="130"/>
  <c r="N35" i="130"/>
  <c r="O35" i="130"/>
  <c r="P35" i="130"/>
  <c r="Q35" i="130"/>
  <c r="R35" i="130"/>
  <c r="S35" i="130"/>
  <c r="T35" i="130"/>
  <c r="U35" i="130"/>
  <c r="V35" i="130"/>
  <c r="W35" i="130"/>
  <c r="X35" i="130"/>
  <c r="Y35" i="130"/>
  <c r="Z35" i="130"/>
  <c r="AA35" i="130"/>
  <c r="E35" i="130"/>
  <c r="I8" i="130" a="1"/>
  <c r="J8" i="130" s="1"/>
  <c r="J7" i="144" s="1"/>
  <c r="T5" i="130" l="1"/>
  <c r="T5" i="144" s="1"/>
  <c r="S5" i="130"/>
  <c r="S5" i="144" s="1"/>
  <c r="R5" i="130"/>
  <c r="R5" i="144" s="1"/>
  <c r="Q5" i="130"/>
  <c r="Q5" i="144" s="1"/>
  <c r="P5" i="130"/>
  <c r="P5" i="144" s="1"/>
  <c r="O5" i="130"/>
  <c r="O5" i="144" s="1"/>
  <c r="T12" i="130"/>
  <c r="R60" i="133" s="1"/>
  <c r="R12" i="130"/>
  <c r="P60" i="133" s="1"/>
  <c r="O12" i="130"/>
  <c r="M60" i="133" s="1"/>
  <c r="W12" i="130"/>
  <c r="U60" i="133" s="1"/>
  <c r="S12" i="130"/>
  <c r="Q60" i="133" s="1"/>
  <c r="Q12" i="130"/>
  <c r="O60" i="133" s="1"/>
  <c r="P12" i="130"/>
  <c r="N60" i="133" s="1"/>
  <c r="V5" i="130"/>
  <c r="U5" i="130"/>
  <c r="N5" i="130"/>
  <c r="M5" i="130"/>
  <c r="L5" i="130"/>
  <c r="K5" i="130"/>
  <c r="J5" i="130"/>
  <c r="I5" i="130"/>
  <c r="AA5" i="130"/>
  <c r="Z5" i="130"/>
  <c r="Y5" i="130"/>
  <c r="X5" i="130"/>
  <c r="P8" i="130"/>
  <c r="P7" i="144" s="1"/>
  <c r="O8" i="130"/>
  <c r="O7" i="144" s="1"/>
  <c r="N8" i="130"/>
  <c r="N7" i="144" s="1"/>
  <c r="M8" i="130"/>
  <c r="M7" i="144" s="1"/>
  <c r="L8" i="130"/>
  <c r="L7" i="144" s="1"/>
  <c r="K8" i="130"/>
  <c r="K7" i="144" s="1"/>
  <c r="I8" i="130"/>
  <c r="I7" i="144" s="1"/>
  <c r="AA8" i="130"/>
  <c r="AA7" i="144" s="1"/>
  <c r="Z8" i="130"/>
  <c r="Z7" i="144" s="1"/>
  <c r="Y8" i="130"/>
  <c r="Y7" i="144" s="1"/>
  <c r="X8" i="130"/>
  <c r="X7" i="144" s="1"/>
  <c r="W8" i="130"/>
  <c r="W7" i="144" s="1"/>
  <c r="V8" i="130"/>
  <c r="V7" i="144" s="1"/>
  <c r="U8" i="130"/>
  <c r="U7" i="144" s="1"/>
  <c r="T8" i="130"/>
  <c r="T7" i="144" s="1"/>
  <c r="S8" i="130"/>
  <c r="S7" i="144" s="1"/>
  <c r="R8" i="130"/>
  <c r="R7" i="144" s="1"/>
  <c r="Q8" i="130"/>
  <c r="Q7" i="144" s="1"/>
  <c r="Y5" i="144" l="1"/>
  <c r="Y12" i="130"/>
  <c r="W60" i="133" s="1"/>
  <c r="Z5" i="144"/>
  <c r="Z12" i="130"/>
  <c r="X60" i="133" s="1"/>
  <c r="AA5" i="144"/>
  <c r="AA12" i="130"/>
  <c r="Y60" i="133" s="1"/>
  <c r="I5" i="144"/>
  <c r="I12" i="130"/>
  <c r="J5" i="144"/>
  <c r="J12" i="130"/>
  <c r="H60" i="133" s="1"/>
  <c r="K5" i="144"/>
  <c r="K12" i="130"/>
  <c r="I60" i="133" s="1"/>
  <c r="L5" i="144"/>
  <c r="L12" i="130"/>
  <c r="J60" i="133" s="1"/>
  <c r="M5" i="144"/>
  <c r="M12" i="130"/>
  <c r="K60" i="133" s="1"/>
  <c r="N5" i="144"/>
  <c r="N12" i="130"/>
  <c r="L60" i="133" s="1"/>
  <c r="U5" i="144"/>
  <c r="U12" i="130"/>
  <c r="S60" i="133" s="1"/>
  <c r="V5" i="144"/>
  <c r="V12" i="130"/>
  <c r="T60" i="133" s="1"/>
  <c r="X5" i="144"/>
  <c r="X12" i="130"/>
  <c r="V60" i="133" s="1"/>
  <c r="D23" i="130"/>
  <c r="D5" i="130"/>
  <c r="D24" i="130"/>
  <c r="D8" i="130"/>
  <c r="G60" i="133" l="1"/>
  <c r="E60" i="133" s="1"/>
  <c r="D12" i="130"/>
  <c r="O61" i="130"/>
  <c r="D148" i="21" l="1"/>
  <c r="D144" i="21"/>
  <c r="F7" i="153" l="1"/>
  <c r="G7" i="153"/>
  <c r="H7" i="153"/>
  <c r="E7" i="153"/>
  <c r="F6" i="153"/>
  <c r="G6" i="153"/>
  <c r="H6" i="153"/>
  <c r="J6" i="153"/>
  <c r="K6" i="153"/>
  <c r="L6" i="153"/>
  <c r="M6" i="153"/>
  <c r="N6" i="153"/>
  <c r="O6" i="153"/>
  <c r="P6" i="153"/>
  <c r="Q6" i="153"/>
  <c r="R6" i="153"/>
  <c r="S6" i="153"/>
  <c r="T6" i="153"/>
  <c r="U6" i="153"/>
  <c r="V6" i="153"/>
  <c r="W6" i="153"/>
  <c r="X6" i="153"/>
  <c r="Y6" i="153"/>
  <c r="Z6" i="153"/>
  <c r="AA6" i="153"/>
  <c r="B25" i="137"/>
  <c r="E10" i="141" l="1"/>
  <c r="D24" i="153" l="1"/>
  <c r="I24" i="153" s="1"/>
  <c r="J72" i="145"/>
  <c r="J79" i="137" s="1"/>
  <c r="K72" i="145"/>
  <c r="K79" i="137" s="1"/>
  <c r="L72" i="145"/>
  <c r="L79" i="137" s="1"/>
  <c r="M72" i="145"/>
  <c r="M79" i="137" s="1"/>
  <c r="I72" i="145"/>
  <c r="I79" i="137" s="1"/>
  <c r="J43" i="130"/>
  <c r="N42" i="130" l="1"/>
  <c r="J44" i="130"/>
  <c r="J45" i="130" l="1"/>
  <c r="N43" i="130"/>
  <c r="N44" i="130" l="1"/>
  <c r="J46" i="130"/>
  <c r="J47" i="130" l="1"/>
  <c r="N45" i="130"/>
  <c r="N46" i="130" s="1"/>
  <c r="J48" i="130" l="1"/>
  <c r="N47" i="130"/>
  <c r="J49" i="130" l="1"/>
  <c r="N48" i="130"/>
  <c r="J50" i="130" l="1"/>
  <c r="N49" i="130"/>
  <c r="J51" i="130" l="1"/>
  <c r="N50" i="130"/>
  <c r="J52" i="130" l="1"/>
  <c r="N51" i="130"/>
  <c r="N52" i="130" l="1"/>
  <c r="J53" i="130"/>
  <c r="J54" i="130" l="1"/>
  <c r="N53" i="130"/>
  <c r="J55" i="130" l="1"/>
  <c r="N54" i="130"/>
  <c r="J56" i="130" l="1"/>
  <c r="N55" i="130"/>
  <c r="J57" i="130" l="1"/>
  <c r="N56" i="130"/>
  <c r="N57" i="130" l="1"/>
  <c r="J58" i="130"/>
  <c r="N58" i="130" l="1"/>
  <c r="J59" i="130"/>
  <c r="J60" i="130" l="1"/>
  <c r="N59" i="130"/>
  <c r="I14" i="130" l="1" a="1"/>
  <c r="N60" i="130"/>
  <c r="I14" i="130" l="1"/>
  <c r="I6" i="144" s="1"/>
  <c r="AA14" i="130"/>
  <c r="AA6" i="144" s="1"/>
  <c r="Z14" i="130"/>
  <c r="Z6" i="144" s="1"/>
  <c r="Y14" i="130"/>
  <c r="Y6" i="144" s="1"/>
  <c r="X14" i="130"/>
  <c r="X6" i="144" s="1"/>
  <c r="W14" i="130"/>
  <c r="W6" i="144" s="1"/>
  <c r="V14" i="130"/>
  <c r="V6" i="144" s="1"/>
  <c r="U14" i="130"/>
  <c r="U6" i="144" s="1"/>
  <c r="T14" i="130"/>
  <c r="T6" i="144" s="1"/>
  <c r="S14" i="130"/>
  <c r="S6" i="144" s="1"/>
  <c r="R14" i="130"/>
  <c r="R6" i="144" s="1"/>
  <c r="Q14" i="130"/>
  <c r="Q6" i="144" s="1"/>
  <c r="P14" i="130"/>
  <c r="P6" i="144" s="1"/>
  <c r="O14" i="130"/>
  <c r="O6" i="144" s="1"/>
  <c r="N14" i="130"/>
  <c r="N6" i="144" s="1"/>
  <c r="M14" i="130"/>
  <c r="M6" i="144" s="1"/>
  <c r="L14" i="130"/>
  <c r="L6" i="144" s="1"/>
  <c r="K14" i="130"/>
  <c r="K6" i="144" s="1"/>
  <c r="J14" i="130"/>
  <c r="J6" i="144" s="1"/>
  <c r="K61" i="130"/>
  <c r="L61" i="130"/>
  <c r="M61" i="130"/>
  <c r="AC125" i="133" l="1"/>
  <c r="AC94" i="133"/>
  <c r="AC126" i="133"/>
  <c r="AC118" i="133"/>
  <c r="AC104" i="133"/>
  <c r="AC115" i="133"/>
  <c r="AC105" i="133"/>
  <c r="AC101" i="133"/>
  <c r="AC106" i="133"/>
  <c r="AC121" i="133"/>
  <c r="AC117" i="133"/>
  <c r="AC88" i="133"/>
  <c r="AC120" i="133"/>
  <c r="AC108" i="133"/>
  <c r="AC109" i="133"/>
  <c r="AC110" i="133"/>
  <c r="AC111" i="133"/>
  <c r="AC112" i="133"/>
  <c r="AC92" i="133"/>
  <c r="AC124" i="133"/>
  <c r="AC93" i="133"/>
  <c r="AC102" i="133"/>
  <c r="AC95" i="133"/>
  <c r="AC100" i="133"/>
  <c r="AC99" i="133"/>
  <c r="AC127" i="133"/>
  <c r="AC89" i="133"/>
  <c r="AC128" i="133"/>
  <c r="AC96" i="133"/>
  <c r="AC98" i="133"/>
  <c r="AC103" i="133"/>
  <c r="AC97" i="133"/>
  <c r="AC107" i="133"/>
  <c r="AC113" i="133"/>
  <c r="AC114" i="133"/>
  <c r="AC87" i="133"/>
  <c r="AC91" i="133"/>
  <c r="AC123" i="133"/>
  <c r="AC119" i="133"/>
  <c r="AC116" i="133"/>
  <c r="AC90" i="133"/>
  <c r="AC122" i="133"/>
  <c r="AB111" i="133"/>
  <c r="AB105" i="133"/>
  <c r="AB91" i="133"/>
  <c r="AB118" i="133"/>
  <c r="AB123" i="133"/>
  <c r="AB98" i="133"/>
  <c r="AB125" i="133"/>
  <c r="AB87" i="133"/>
  <c r="AB128" i="133"/>
  <c r="AB122" i="133"/>
  <c r="AB110" i="133"/>
  <c r="AB96" i="133"/>
  <c r="AB120" i="133"/>
  <c r="AB114" i="133"/>
  <c r="AB92" i="133"/>
  <c r="AB95" i="133"/>
  <c r="AB115" i="133"/>
  <c r="AB89" i="133"/>
  <c r="AB101" i="133"/>
  <c r="AB93" i="133"/>
  <c r="AB116" i="133"/>
  <c r="AB103" i="133"/>
  <c r="AB121" i="133"/>
  <c r="AB99" i="133"/>
  <c r="AB102" i="133"/>
  <c r="AB126" i="133"/>
  <c r="AB106" i="133"/>
  <c r="AB117" i="133"/>
  <c r="AB94" i="133"/>
  <c r="AB113" i="133"/>
  <c r="AB97" i="133"/>
  <c r="AB127" i="133"/>
  <c r="AB124" i="133"/>
  <c r="AB104" i="133"/>
  <c r="AB119" i="133"/>
  <c r="AB90" i="133"/>
  <c r="AB107" i="133"/>
  <c r="AB112" i="133"/>
  <c r="AB108" i="133"/>
  <c r="AB109" i="133"/>
  <c r="AB88" i="133"/>
  <c r="AB100" i="133"/>
  <c r="AA96" i="133"/>
  <c r="AA104" i="133"/>
  <c r="AA93" i="133"/>
  <c r="AA97" i="133"/>
  <c r="AA89" i="133"/>
  <c r="AA116" i="133"/>
  <c r="AA113" i="133"/>
  <c r="AA107" i="133"/>
  <c r="AA103" i="133"/>
  <c r="AA114" i="133"/>
  <c r="AA121" i="133"/>
  <c r="AA111" i="133"/>
  <c r="AA118" i="133"/>
  <c r="AA110" i="133"/>
  <c r="AA90" i="133"/>
  <c r="AA122" i="133"/>
  <c r="AA87" i="133"/>
  <c r="AA119" i="133"/>
  <c r="AA91" i="133"/>
  <c r="AA120" i="133"/>
  <c r="AA115" i="133"/>
  <c r="AA94" i="133"/>
  <c r="AA117" i="133"/>
  <c r="AA88" i="133"/>
  <c r="AA100" i="133"/>
  <c r="AA109" i="133"/>
  <c r="AA92" i="133"/>
  <c r="AA124" i="133"/>
  <c r="AA123" i="133"/>
  <c r="AA126" i="133"/>
  <c r="AA106" i="133"/>
  <c r="AA112" i="133"/>
  <c r="AA108" i="133"/>
  <c r="AA105" i="133"/>
  <c r="AA128" i="133"/>
  <c r="AA99" i="133"/>
  <c r="AA102" i="133"/>
  <c r="AA125" i="133"/>
  <c r="AA101" i="133"/>
  <c r="AA98" i="133"/>
  <c r="AA95" i="133"/>
  <c r="AA127" i="133"/>
  <c r="Z128" i="133"/>
  <c r="Z109" i="133"/>
  <c r="Z99" i="133"/>
  <c r="Z117" i="133"/>
  <c r="Z96" i="133"/>
  <c r="Z88" i="133"/>
  <c r="Z124" i="133"/>
  <c r="Z89" i="133"/>
  <c r="Z104" i="133"/>
  <c r="Z87" i="133"/>
  <c r="Z119" i="133"/>
  <c r="Z107" i="133"/>
  <c r="Z103" i="133"/>
  <c r="Z118" i="133"/>
  <c r="Z126" i="133"/>
  <c r="Z123" i="133"/>
  <c r="Z101" i="133"/>
  <c r="Z106" i="133"/>
  <c r="Z91" i="133"/>
  <c r="Z112" i="133"/>
  <c r="Z111" i="133"/>
  <c r="Z108" i="133"/>
  <c r="Z105" i="133"/>
  <c r="Z102" i="133"/>
  <c r="Z125" i="133"/>
  <c r="Z93" i="133"/>
  <c r="Z94" i="133"/>
  <c r="Z100" i="133"/>
  <c r="Z114" i="133"/>
  <c r="Z115" i="133"/>
  <c r="Z97" i="133"/>
  <c r="Z90" i="133"/>
  <c r="Z122" i="133"/>
  <c r="Z116" i="133"/>
  <c r="Z113" i="133"/>
  <c r="Z110" i="133"/>
  <c r="Z98" i="133"/>
  <c r="Z95" i="133"/>
  <c r="Z127" i="133"/>
  <c r="Z92" i="133"/>
  <c r="Z121" i="133"/>
  <c r="Z120" i="133"/>
  <c r="Y126" i="133"/>
  <c r="Y120" i="133"/>
  <c r="Y97" i="133"/>
  <c r="Y119" i="133"/>
  <c r="Y116" i="133"/>
  <c r="Y127" i="133"/>
  <c r="Y92" i="133"/>
  <c r="Y124" i="133"/>
  <c r="Y89" i="133"/>
  <c r="Y90" i="133"/>
  <c r="Y98" i="133"/>
  <c r="Y102" i="133"/>
  <c r="Y109" i="133"/>
  <c r="Y99" i="133"/>
  <c r="Y110" i="133"/>
  <c r="Y104" i="133"/>
  <c r="Y113" i="133"/>
  <c r="Y101" i="133"/>
  <c r="Y107" i="133"/>
  <c r="Y94" i="133"/>
  <c r="Y117" i="133"/>
  <c r="Y115" i="133"/>
  <c r="Y88" i="133"/>
  <c r="Y100" i="133"/>
  <c r="Y112" i="133"/>
  <c r="Y103" i="133"/>
  <c r="Y111" i="133"/>
  <c r="Y105" i="133"/>
  <c r="Y125" i="133"/>
  <c r="Y122" i="133"/>
  <c r="Y96" i="133"/>
  <c r="Y128" i="133"/>
  <c r="Y93" i="133"/>
  <c r="Y87" i="133"/>
  <c r="Y95" i="133"/>
  <c r="Y121" i="133"/>
  <c r="Y108" i="133"/>
  <c r="Y118" i="133"/>
  <c r="Y106" i="133"/>
  <c r="Y91" i="133"/>
  <c r="Y123" i="133"/>
  <c r="Y114" i="133"/>
  <c r="X104" i="133"/>
  <c r="X101" i="133"/>
  <c r="X107" i="133"/>
  <c r="X105" i="133"/>
  <c r="X103" i="133"/>
  <c r="X102" i="133"/>
  <c r="X117" i="133"/>
  <c r="X113" i="133"/>
  <c r="X110" i="133"/>
  <c r="X92" i="133"/>
  <c r="X124" i="133"/>
  <c r="X88" i="133"/>
  <c r="X111" i="133"/>
  <c r="X94" i="133"/>
  <c r="X121" i="133"/>
  <c r="X118" i="133"/>
  <c r="X115" i="133"/>
  <c r="X127" i="133"/>
  <c r="X123" i="133"/>
  <c r="X108" i="133"/>
  <c r="X106" i="133"/>
  <c r="X99" i="133"/>
  <c r="X96" i="133"/>
  <c r="X91" i="133"/>
  <c r="X128" i="133"/>
  <c r="X122" i="133"/>
  <c r="X93" i="133"/>
  <c r="X125" i="133"/>
  <c r="X90" i="133"/>
  <c r="X87" i="133"/>
  <c r="X119" i="133"/>
  <c r="X116" i="133"/>
  <c r="X98" i="133"/>
  <c r="X89" i="133"/>
  <c r="X120" i="133"/>
  <c r="X95" i="133"/>
  <c r="X109" i="133"/>
  <c r="X97" i="133"/>
  <c r="X126" i="133"/>
  <c r="X112" i="133"/>
  <c r="X100" i="133"/>
  <c r="X114" i="133"/>
  <c r="W93" i="133"/>
  <c r="W97" i="133"/>
  <c r="W116" i="133"/>
  <c r="W108" i="133"/>
  <c r="W125" i="133"/>
  <c r="W94" i="133"/>
  <c r="W118" i="133"/>
  <c r="W115" i="133"/>
  <c r="W92" i="133"/>
  <c r="W117" i="133"/>
  <c r="W100" i="133"/>
  <c r="W104" i="133"/>
  <c r="W101" i="133"/>
  <c r="W95" i="133"/>
  <c r="W111" i="133"/>
  <c r="W126" i="133"/>
  <c r="W109" i="133"/>
  <c r="W119" i="133"/>
  <c r="W113" i="133"/>
  <c r="W110" i="133"/>
  <c r="W98" i="133"/>
  <c r="W127" i="133"/>
  <c r="W107" i="133"/>
  <c r="W89" i="133"/>
  <c r="W121" i="133"/>
  <c r="W87" i="133"/>
  <c r="W102" i="133"/>
  <c r="W99" i="133"/>
  <c r="W96" i="133"/>
  <c r="W128" i="133"/>
  <c r="W90" i="133"/>
  <c r="W122" i="133"/>
  <c r="W112" i="133"/>
  <c r="W124" i="133"/>
  <c r="W105" i="133"/>
  <c r="W106" i="133"/>
  <c r="W103" i="133"/>
  <c r="W88" i="133"/>
  <c r="W114" i="133"/>
  <c r="W120" i="133"/>
  <c r="W123" i="133"/>
  <c r="W91" i="133"/>
  <c r="V128" i="133"/>
  <c r="V126" i="133"/>
  <c r="V96" i="133"/>
  <c r="V89" i="133"/>
  <c r="V93" i="133"/>
  <c r="V105" i="133"/>
  <c r="V101" i="133"/>
  <c r="V98" i="133"/>
  <c r="V114" i="133"/>
  <c r="V111" i="133"/>
  <c r="V94" i="133"/>
  <c r="V95" i="133"/>
  <c r="V104" i="133"/>
  <c r="V118" i="133"/>
  <c r="V99" i="133"/>
  <c r="V125" i="133"/>
  <c r="V124" i="133"/>
  <c r="V107" i="133"/>
  <c r="V115" i="133"/>
  <c r="V112" i="133"/>
  <c r="V109" i="133"/>
  <c r="V106" i="133"/>
  <c r="V91" i="133"/>
  <c r="V120" i="133"/>
  <c r="V103" i="133"/>
  <c r="V122" i="133"/>
  <c r="V90" i="133"/>
  <c r="V116" i="133"/>
  <c r="V87" i="133"/>
  <c r="V119" i="133"/>
  <c r="V113" i="133"/>
  <c r="V110" i="133"/>
  <c r="V127" i="133"/>
  <c r="V92" i="133"/>
  <c r="V102" i="133"/>
  <c r="V100" i="133"/>
  <c r="V97" i="133"/>
  <c r="V108" i="133"/>
  <c r="V123" i="133"/>
  <c r="V88" i="133"/>
  <c r="V117" i="133"/>
  <c r="V121" i="133"/>
  <c r="U107" i="133"/>
  <c r="U98" i="133"/>
  <c r="U95" i="133"/>
  <c r="U102" i="133"/>
  <c r="U97" i="133"/>
  <c r="U96" i="133"/>
  <c r="U118" i="133"/>
  <c r="U128" i="133"/>
  <c r="U94" i="133"/>
  <c r="U125" i="133"/>
  <c r="U91" i="133"/>
  <c r="U115" i="133"/>
  <c r="U112" i="133"/>
  <c r="U109" i="133"/>
  <c r="U126" i="133"/>
  <c r="U108" i="133"/>
  <c r="U123" i="133"/>
  <c r="U116" i="133"/>
  <c r="U104" i="133"/>
  <c r="U121" i="133"/>
  <c r="U101" i="133"/>
  <c r="U127" i="133"/>
  <c r="U124" i="133"/>
  <c r="U92" i="133"/>
  <c r="U89" i="133"/>
  <c r="U88" i="133"/>
  <c r="U111" i="133"/>
  <c r="U100" i="133"/>
  <c r="U114" i="133"/>
  <c r="U93" i="133"/>
  <c r="U90" i="133"/>
  <c r="U122" i="133"/>
  <c r="U87" i="133"/>
  <c r="U119" i="133"/>
  <c r="U110" i="133"/>
  <c r="U113" i="133"/>
  <c r="U106" i="133"/>
  <c r="U103" i="133"/>
  <c r="U120" i="133"/>
  <c r="U105" i="133"/>
  <c r="U117" i="133"/>
  <c r="U99" i="133"/>
  <c r="T109" i="133"/>
  <c r="T106" i="133"/>
  <c r="T103" i="133"/>
  <c r="T116" i="133"/>
  <c r="T114" i="133"/>
  <c r="T110" i="133"/>
  <c r="T128" i="133"/>
  <c r="T90" i="133"/>
  <c r="T87" i="133"/>
  <c r="T119" i="133"/>
  <c r="T94" i="133"/>
  <c r="T105" i="133"/>
  <c r="T117" i="133"/>
  <c r="T108" i="133"/>
  <c r="T126" i="133"/>
  <c r="T97" i="133"/>
  <c r="T91" i="133"/>
  <c r="T120" i="133"/>
  <c r="T113" i="133"/>
  <c r="T104" i="133"/>
  <c r="T121" i="133"/>
  <c r="T101" i="133"/>
  <c r="T92" i="133"/>
  <c r="T98" i="133"/>
  <c r="T95" i="133"/>
  <c r="T127" i="133"/>
  <c r="T111" i="133"/>
  <c r="T93" i="133"/>
  <c r="T125" i="133"/>
  <c r="T122" i="133"/>
  <c r="T107" i="133"/>
  <c r="T89" i="133"/>
  <c r="T118" i="133"/>
  <c r="T124" i="133"/>
  <c r="T112" i="133"/>
  <c r="T100" i="133"/>
  <c r="T102" i="133"/>
  <c r="T115" i="133"/>
  <c r="T123" i="133"/>
  <c r="T88" i="133"/>
  <c r="T99" i="133"/>
  <c r="T96" i="133"/>
  <c r="S116" i="133"/>
  <c r="S111" i="133"/>
  <c r="S113" i="133"/>
  <c r="S108" i="133"/>
  <c r="S104" i="133"/>
  <c r="S126" i="133"/>
  <c r="S103" i="133"/>
  <c r="S100" i="133"/>
  <c r="S88" i="133"/>
  <c r="S94" i="133"/>
  <c r="S105" i="133"/>
  <c r="S117" i="133"/>
  <c r="S110" i="133"/>
  <c r="S101" i="133"/>
  <c r="S121" i="133"/>
  <c r="S87" i="133"/>
  <c r="S107" i="133"/>
  <c r="S98" i="133"/>
  <c r="S118" i="133"/>
  <c r="S115" i="133"/>
  <c r="S99" i="133"/>
  <c r="S128" i="133"/>
  <c r="S96" i="133"/>
  <c r="S93" i="133"/>
  <c r="S112" i="133"/>
  <c r="S125" i="133"/>
  <c r="S102" i="133"/>
  <c r="S123" i="133"/>
  <c r="S97" i="133"/>
  <c r="S91" i="133"/>
  <c r="S90" i="133"/>
  <c r="S122" i="133"/>
  <c r="S119" i="133"/>
  <c r="S95" i="133"/>
  <c r="S127" i="133"/>
  <c r="S124" i="133"/>
  <c r="S89" i="133"/>
  <c r="S92" i="133"/>
  <c r="S109" i="133"/>
  <c r="S106" i="133"/>
  <c r="S114" i="133"/>
  <c r="S120" i="133"/>
  <c r="R115" i="133"/>
  <c r="R112" i="133"/>
  <c r="R89" i="133"/>
  <c r="R91" i="133"/>
  <c r="R87" i="133"/>
  <c r="R125" i="133"/>
  <c r="R114" i="133"/>
  <c r="R128" i="133"/>
  <c r="R111" i="133"/>
  <c r="R93" i="133"/>
  <c r="R127" i="133"/>
  <c r="R121" i="133"/>
  <c r="R92" i="133"/>
  <c r="R119" i="133"/>
  <c r="R116" i="133"/>
  <c r="R113" i="133"/>
  <c r="R104" i="133"/>
  <c r="R110" i="133"/>
  <c r="R97" i="133"/>
  <c r="R94" i="133"/>
  <c r="R105" i="133"/>
  <c r="R117" i="133"/>
  <c r="R88" i="133"/>
  <c r="R99" i="133"/>
  <c r="R120" i="133"/>
  <c r="R108" i="133"/>
  <c r="R123" i="133"/>
  <c r="R102" i="133"/>
  <c r="R122" i="133"/>
  <c r="R90" i="133"/>
  <c r="R107" i="133"/>
  <c r="R101" i="133"/>
  <c r="R98" i="133"/>
  <c r="R95" i="133"/>
  <c r="R124" i="133"/>
  <c r="R118" i="133"/>
  <c r="R106" i="133"/>
  <c r="R103" i="133"/>
  <c r="R100" i="133"/>
  <c r="R96" i="133"/>
  <c r="R126" i="133"/>
  <c r="R109" i="133"/>
  <c r="Q115" i="133"/>
  <c r="Q112" i="133"/>
  <c r="Q103" i="133"/>
  <c r="Q116" i="133"/>
  <c r="Q96" i="133"/>
  <c r="Q113" i="133"/>
  <c r="Q125" i="133"/>
  <c r="Q90" i="133"/>
  <c r="Q110" i="133"/>
  <c r="Q120" i="133"/>
  <c r="Q107" i="133"/>
  <c r="Q102" i="133"/>
  <c r="Q91" i="133"/>
  <c r="Q87" i="133"/>
  <c r="Q117" i="133"/>
  <c r="Q106" i="133"/>
  <c r="Q93" i="133"/>
  <c r="Q128" i="133"/>
  <c r="Q105" i="133"/>
  <c r="Q111" i="133"/>
  <c r="Q95" i="133"/>
  <c r="Q127" i="133"/>
  <c r="Q118" i="133"/>
  <c r="Q92" i="133"/>
  <c r="Q124" i="133"/>
  <c r="Q109" i="133"/>
  <c r="Q89" i="133"/>
  <c r="Q121" i="133"/>
  <c r="Q108" i="133"/>
  <c r="Q88" i="133"/>
  <c r="Q119" i="133"/>
  <c r="Q114" i="133"/>
  <c r="Q122" i="133"/>
  <c r="Q123" i="133"/>
  <c r="Q104" i="133"/>
  <c r="Q101" i="133"/>
  <c r="Q100" i="133"/>
  <c r="Q97" i="133"/>
  <c r="Q126" i="133"/>
  <c r="Q99" i="133"/>
  <c r="Q98" i="133"/>
  <c r="Q94" i="133"/>
  <c r="P123" i="133"/>
  <c r="P88" i="133"/>
  <c r="P95" i="133"/>
  <c r="P116" i="133"/>
  <c r="P119" i="133"/>
  <c r="P114" i="133"/>
  <c r="P125" i="133"/>
  <c r="P89" i="133"/>
  <c r="P121" i="133"/>
  <c r="P115" i="133"/>
  <c r="P118" i="133"/>
  <c r="P109" i="133"/>
  <c r="P106" i="133"/>
  <c r="P100" i="133"/>
  <c r="P97" i="133"/>
  <c r="P128" i="133"/>
  <c r="P96" i="133"/>
  <c r="P111" i="133"/>
  <c r="P108" i="133"/>
  <c r="P105" i="133"/>
  <c r="P120" i="133"/>
  <c r="P102" i="133"/>
  <c r="P87" i="133"/>
  <c r="P110" i="133"/>
  <c r="P99" i="133"/>
  <c r="P107" i="133"/>
  <c r="P127" i="133"/>
  <c r="P104" i="133"/>
  <c r="P101" i="133"/>
  <c r="P98" i="133"/>
  <c r="P92" i="133"/>
  <c r="P124" i="133"/>
  <c r="P112" i="133"/>
  <c r="P94" i="133"/>
  <c r="P126" i="133"/>
  <c r="P91" i="133"/>
  <c r="P117" i="133"/>
  <c r="P103" i="133"/>
  <c r="P113" i="133"/>
  <c r="P122" i="133"/>
  <c r="P90" i="133"/>
  <c r="P93" i="133"/>
  <c r="O110" i="133"/>
  <c r="O105" i="133"/>
  <c r="O107" i="133"/>
  <c r="O90" i="133"/>
  <c r="O104" i="133"/>
  <c r="O102" i="133"/>
  <c r="O97" i="133"/>
  <c r="O94" i="133"/>
  <c r="O89" i="133"/>
  <c r="O121" i="133"/>
  <c r="O118" i="133"/>
  <c r="O99" i="133"/>
  <c r="O128" i="133"/>
  <c r="O108" i="133"/>
  <c r="O114" i="133"/>
  <c r="O93" i="133"/>
  <c r="O116" i="133"/>
  <c r="O125" i="133"/>
  <c r="O96" i="133"/>
  <c r="O127" i="133"/>
  <c r="O98" i="133"/>
  <c r="O95" i="133"/>
  <c r="O124" i="133"/>
  <c r="O92" i="133"/>
  <c r="O103" i="133"/>
  <c r="O115" i="133"/>
  <c r="O106" i="133"/>
  <c r="O122" i="133"/>
  <c r="O117" i="133"/>
  <c r="O101" i="133"/>
  <c r="O112" i="133"/>
  <c r="O109" i="133"/>
  <c r="O126" i="133"/>
  <c r="O91" i="133"/>
  <c r="O123" i="133"/>
  <c r="O88" i="133"/>
  <c r="O120" i="133"/>
  <c r="O119" i="133"/>
  <c r="O87" i="133"/>
  <c r="O113" i="133"/>
  <c r="O100" i="133"/>
  <c r="O111" i="133"/>
  <c r="N99" i="133"/>
  <c r="N119" i="133"/>
  <c r="N114" i="133"/>
  <c r="N118" i="133"/>
  <c r="N106" i="133"/>
  <c r="N98" i="133"/>
  <c r="N102" i="133"/>
  <c r="N127" i="133"/>
  <c r="N92" i="133"/>
  <c r="N113" i="133"/>
  <c r="N87" i="133"/>
  <c r="N110" i="133"/>
  <c r="N111" i="133"/>
  <c r="N128" i="133"/>
  <c r="N96" i="133"/>
  <c r="N108" i="133"/>
  <c r="N105" i="133"/>
  <c r="N104" i="133"/>
  <c r="N101" i="133"/>
  <c r="N121" i="133"/>
  <c r="N124" i="133"/>
  <c r="N89" i="133"/>
  <c r="N95" i="133"/>
  <c r="N115" i="133"/>
  <c r="N112" i="133"/>
  <c r="N88" i="133"/>
  <c r="N107" i="133"/>
  <c r="N109" i="133"/>
  <c r="N100" i="133"/>
  <c r="N103" i="133"/>
  <c r="N94" i="133"/>
  <c r="N126" i="133"/>
  <c r="N91" i="133"/>
  <c r="N123" i="133"/>
  <c r="N90" i="133"/>
  <c r="N125" i="133"/>
  <c r="N97" i="133"/>
  <c r="N93" i="133"/>
  <c r="N122" i="133"/>
  <c r="N116" i="133"/>
  <c r="N120" i="133"/>
  <c r="N117" i="133"/>
  <c r="M119" i="133"/>
  <c r="M116" i="133"/>
  <c r="M110" i="133"/>
  <c r="M100" i="133"/>
  <c r="M112" i="133"/>
  <c r="M113" i="133"/>
  <c r="M107" i="133"/>
  <c r="M105" i="133"/>
  <c r="M104" i="133"/>
  <c r="M102" i="133"/>
  <c r="M91" i="133"/>
  <c r="M123" i="133"/>
  <c r="M88" i="133"/>
  <c r="M101" i="133"/>
  <c r="M118" i="133"/>
  <c r="M98" i="133"/>
  <c r="M109" i="133"/>
  <c r="M103" i="133"/>
  <c r="M120" i="133"/>
  <c r="M117" i="133"/>
  <c r="M125" i="133"/>
  <c r="M114" i="133"/>
  <c r="M99" i="133"/>
  <c r="M94" i="133"/>
  <c r="M122" i="133"/>
  <c r="M111" i="133"/>
  <c r="M95" i="133"/>
  <c r="M127" i="133"/>
  <c r="M121" i="133"/>
  <c r="M92" i="133"/>
  <c r="M124" i="133"/>
  <c r="M89" i="133"/>
  <c r="M115" i="133"/>
  <c r="M106" i="133"/>
  <c r="M97" i="133"/>
  <c r="M108" i="133"/>
  <c r="M128" i="133"/>
  <c r="M96" i="133"/>
  <c r="M87" i="133"/>
  <c r="M90" i="133"/>
  <c r="M93" i="133"/>
  <c r="M126" i="133"/>
  <c r="L114" i="133"/>
  <c r="L111" i="133"/>
  <c r="L110" i="133"/>
  <c r="L118" i="133"/>
  <c r="L91" i="133"/>
  <c r="L121" i="133"/>
  <c r="L113" i="133"/>
  <c r="L128" i="133"/>
  <c r="L108" i="133"/>
  <c r="L96" i="133"/>
  <c r="L115" i="133"/>
  <c r="L89" i="133"/>
  <c r="L112" i="133"/>
  <c r="L122" i="133"/>
  <c r="L102" i="133"/>
  <c r="L90" i="133"/>
  <c r="L123" i="133"/>
  <c r="L87" i="133"/>
  <c r="L100" i="133"/>
  <c r="L109" i="133"/>
  <c r="L106" i="133"/>
  <c r="L97" i="133"/>
  <c r="L94" i="133"/>
  <c r="L126" i="133"/>
  <c r="L103" i="133"/>
  <c r="L88" i="133"/>
  <c r="L124" i="133"/>
  <c r="L120" i="133"/>
  <c r="L117" i="133"/>
  <c r="L105" i="133"/>
  <c r="L107" i="133"/>
  <c r="L119" i="133"/>
  <c r="L116" i="133"/>
  <c r="L99" i="133"/>
  <c r="L93" i="133"/>
  <c r="L104" i="133"/>
  <c r="L125" i="133"/>
  <c r="L101" i="133"/>
  <c r="L98" i="133"/>
  <c r="L95" i="133"/>
  <c r="L127" i="133"/>
  <c r="L92" i="133"/>
  <c r="K127" i="133"/>
  <c r="H103" i="133"/>
  <c r="I123" i="133"/>
  <c r="I105" i="133"/>
  <c r="H98" i="133"/>
  <c r="G105" i="133"/>
  <c r="G126" i="133"/>
  <c r="G113" i="133"/>
  <c r="H100" i="133"/>
  <c r="G91" i="133"/>
  <c r="J108" i="133"/>
  <c r="G109" i="133"/>
  <c r="G107" i="133"/>
  <c r="I127" i="133"/>
  <c r="I89" i="133"/>
  <c r="I103" i="133"/>
  <c r="K112" i="133"/>
  <c r="I126" i="133"/>
  <c r="J120" i="133"/>
  <c r="I116" i="133"/>
  <c r="I122" i="133"/>
  <c r="H87" i="133"/>
  <c r="K121" i="133"/>
  <c r="H120" i="133"/>
  <c r="G93" i="133"/>
  <c r="K89" i="133"/>
  <c r="K94" i="133"/>
  <c r="J114" i="133"/>
  <c r="H128" i="133"/>
  <c r="G102" i="133"/>
  <c r="J87" i="133"/>
  <c r="H112" i="133"/>
  <c r="J123" i="133"/>
  <c r="K117" i="133"/>
  <c r="J128" i="133"/>
  <c r="J101" i="133"/>
  <c r="H127" i="133"/>
  <c r="I115" i="133"/>
  <c r="G92" i="133"/>
  <c r="G95" i="133"/>
  <c r="J96" i="133"/>
  <c r="G103" i="133"/>
  <c r="I90" i="133"/>
  <c r="J127" i="133"/>
  <c r="J106" i="133"/>
  <c r="J97" i="133"/>
  <c r="I99" i="133"/>
  <c r="I107" i="133"/>
  <c r="H113" i="133"/>
  <c r="G112" i="133"/>
  <c r="K109" i="133"/>
  <c r="H123" i="133"/>
  <c r="J102" i="133"/>
  <c r="K107" i="133"/>
  <c r="K99" i="133"/>
  <c r="H118" i="133"/>
  <c r="G119" i="133"/>
  <c r="G90" i="133"/>
  <c r="K105" i="133"/>
  <c r="I125" i="133"/>
  <c r="I93" i="133"/>
  <c r="J95" i="133"/>
  <c r="I117" i="133"/>
  <c r="G123" i="133"/>
  <c r="J98" i="133"/>
  <c r="J93" i="133"/>
  <c r="K98" i="133"/>
  <c r="H97" i="133"/>
  <c r="H108" i="133"/>
  <c r="J99" i="133"/>
  <c r="H104" i="133"/>
  <c r="H121" i="133"/>
  <c r="I100" i="133"/>
  <c r="I111" i="133"/>
  <c r="G128" i="133"/>
  <c r="H122" i="133"/>
  <c r="I124" i="133"/>
  <c r="J103" i="133"/>
  <c r="G127" i="133"/>
  <c r="K110" i="133"/>
  <c r="K93" i="133"/>
  <c r="I121" i="133"/>
  <c r="K106" i="133"/>
  <c r="H105" i="133"/>
  <c r="I114" i="133"/>
  <c r="J104" i="133"/>
  <c r="G114" i="133"/>
  <c r="H126" i="133"/>
  <c r="J105" i="133"/>
  <c r="H111" i="133"/>
  <c r="K101" i="133"/>
  <c r="J118" i="133"/>
  <c r="G89" i="133"/>
  <c r="K108" i="133"/>
  <c r="H125" i="133"/>
  <c r="H116" i="133"/>
  <c r="J115" i="133"/>
  <c r="G121" i="133"/>
  <c r="G98" i="133"/>
  <c r="H92" i="133"/>
  <c r="D14" i="130"/>
  <c r="G115" i="133"/>
  <c r="G122" i="133"/>
  <c r="H96" i="133"/>
  <c r="J125" i="133"/>
  <c r="K102" i="133"/>
  <c r="I106" i="133"/>
  <c r="J94" i="133"/>
  <c r="H95" i="133"/>
  <c r="I104" i="133"/>
  <c r="K116" i="133"/>
  <c r="J109" i="133"/>
  <c r="I120" i="133"/>
  <c r="I110" i="133"/>
  <c r="J122" i="133"/>
  <c r="K120" i="133"/>
  <c r="G118" i="133"/>
  <c r="K126" i="133"/>
  <c r="G104" i="133"/>
  <c r="K90" i="133"/>
  <c r="H109" i="133"/>
  <c r="K123" i="133"/>
  <c r="I87" i="133"/>
  <c r="I101" i="133"/>
  <c r="K100" i="133"/>
  <c r="H107" i="133"/>
  <c r="J89" i="133"/>
  <c r="J88" i="133"/>
  <c r="H114" i="133"/>
  <c r="K91" i="133"/>
  <c r="K128" i="133"/>
  <c r="H94" i="133"/>
  <c r="G106" i="133"/>
  <c r="I97" i="133"/>
  <c r="I128" i="133"/>
  <c r="J100" i="133"/>
  <c r="I96" i="133"/>
  <c r="K103" i="133"/>
  <c r="H124" i="133"/>
  <c r="G125" i="133"/>
  <c r="G100" i="133"/>
  <c r="H91" i="133"/>
  <c r="G110" i="133"/>
  <c r="H89" i="133"/>
  <c r="H88" i="133"/>
  <c r="I113" i="133"/>
  <c r="I92" i="133"/>
  <c r="K97" i="133"/>
  <c r="K96" i="133"/>
  <c r="J124" i="133"/>
  <c r="J91" i="133"/>
  <c r="K104" i="133"/>
  <c r="J92" i="133"/>
  <c r="H117" i="133"/>
  <c r="J107" i="133"/>
  <c r="K95" i="133"/>
  <c r="G124" i="133"/>
  <c r="K119" i="133"/>
  <c r="J117" i="133"/>
  <c r="K92" i="133"/>
  <c r="G96" i="133"/>
  <c r="K124" i="133"/>
  <c r="K114" i="133"/>
  <c r="J116" i="133"/>
  <c r="I112" i="133"/>
  <c r="H102" i="133"/>
  <c r="G111" i="133"/>
  <c r="K118" i="133"/>
  <c r="K111" i="133"/>
  <c r="H93" i="133"/>
  <c r="G116" i="133"/>
  <c r="G97" i="133"/>
  <c r="K125" i="133"/>
  <c r="H106" i="133"/>
  <c r="G87" i="133"/>
  <c r="G101" i="133"/>
  <c r="I109" i="133"/>
  <c r="H99" i="133"/>
  <c r="K122" i="133"/>
  <c r="J112" i="133"/>
  <c r="I102" i="133"/>
  <c r="H90" i="133"/>
  <c r="K115" i="133"/>
  <c r="G108" i="133"/>
  <c r="H119" i="133"/>
  <c r="H115" i="133"/>
  <c r="I118" i="133"/>
  <c r="J121" i="133"/>
  <c r="G117" i="133"/>
  <c r="J126" i="133"/>
  <c r="I88" i="133"/>
  <c r="G88" i="133"/>
  <c r="G120" i="133"/>
  <c r="I94" i="133"/>
  <c r="I91" i="133"/>
  <c r="I108" i="133"/>
  <c r="J111" i="133"/>
  <c r="J113" i="133"/>
  <c r="K113" i="133"/>
  <c r="H110" i="133"/>
  <c r="K88" i="133"/>
  <c r="I95" i="133"/>
  <c r="J110" i="133"/>
  <c r="K87" i="133"/>
  <c r="G99" i="133"/>
  <c r="H101" i="133"/>
  <c r="J90" i="133"/>
  <c r="J119" i="133"/>
  <c r="I98" i="133"/>
  <c r="G94" i="133"/>
  <c r="I119" i="133"/>
  <c r="M8" i="140" l="1"/>
  <c r="N72" i="145" l="1"/>
  <c r="N79" i="137" s="1"/>
  <c r="O72" i="145" l="1"/>
  <c r="O79" i="137" s="1"/>
  <c r="P72" i="145" l="1"/>
  <c r="P79" i="137" s="1"/>
  <c r="Q72" i="145" l="1"/>
  <c r="Q79" i="137" s="1"/>
  <c r="R72" i="145" l="1"/>
  <c r="R79" i="137" s="1"/>
  <c r="F17" i="80"/>
  <c r="C16" i="81" s="1"/>
  <c r="B20" i="146"/>
  <c r="B14" i="149" l="1"/>
  <c r="K24" i="21"/>
  <c r="S72" i="145"/>
  <c r="S79" i="137" s="1"/>
  <c r="J24" i="167"/>
  <c r="I24" i="167"/>
  <c r="H24" i="167"/>
  <c r="G24" i="167"/>
  <c r="J24" i="154"/>
  <c r="I24" i="154"/>
  <c r="H24" i="154"/>
  <c r="G24" i="154"/>
  <c r="P63" i="141"/>
  <c r="T72" i="145" l="1"/>
  <c r="T79" i="137" s="1"/>
  <c r="H298" i="135"/>
  <c r="H284" i="135"/>
  <c r="U72" i="145" l="1"/>
  <c r="U79" i="137" s="1"/>
  <c r="V72" i="145" l="1"/>
  <c r="V79" i="137" s="1"/>
  <c r="K284" i="166"/>
  <c r="L284" i="166"/>
  <c r="M284" i="166"/>
  <c r="K285" i="166"/>
  <c r="L285" i="166"/>
  <c r="M285" i="166"/>
  <c r="K286" i="166"/>
  <c r="L286" i="166"/>
  <c r="M286" i="166"/>
  <c r="K287" i="166"/>
  <c r="L287" i="166"/>
  <c r="M287" i="166"/>
  <c r="K288" i="166"/>
  <c r="L288" i="166"/>
  <c r="M288" i="166"/>
  <c r="K289" i="166"/>
  <c r="L289" i="166"/>
  <c r="M289" i="166"/>
  <c r="K290" i="166"/>
  <c r="L290" i="166"/>
  <c r="M290" i="166"/>
  <c r="K291" i="166"/>
  <c r="L291" i="166"/>
  <c r="M291" i="166"/>
  <c r="K292" i="166"/>
  <c r="L292" i="166"/>
  <c r="M292" i="166"/>
  <c r="K293" i="166"/>
  <c r="L293" i="166"/>
  <c r="M293" i="166"/>
  <c r="K294" i="166"/>
  <c r="L294" i="166"/>
  <c r="M294" i="166"/>
  <c r="K295" i="166"/>
  <c r="L295" i="166"/>
  <c r="M295" i="166"/>
  <c r="K296" i="166"/>
  <c r="L296" i="166"/>
  <c r="M296" i="166"/>
  <c r="K297" i="166"/>
  <c r="L297" i="166"/>
  <c r="M297" i="166"/>
  <c r="K298" i="166"/>
  <c r="L298" i="166"/>
  <c r="M298" i="166"/>
  <c r="K299" i="166"/>
  <c r="L299" i="166"/>
  <c r="M299" i="166"/>
  <c r="J284" i="166"/>
  <c r="J285" i="166"/>
  <c r="J286" i="166"/>
  <c r="J287" i="166"/>
  <c r="J300" i="166" s="1"/>
  <c r="J288" i="166"/>
  <c r="J289" i="166"/>
  <c r="J290" i="166"/>
  <c r="J291" i="166"/>
  <c r="J292" i="166"/>
  <c r="J293" i="166"/>
  <c r="J294" i="166"/>
  <c r="J295" i="166"/>
  <c r="J296" i="166"/>
  <c r="J297" i="166"/>
  <c r="J298" i="166"/>
  <c r="J299" i="166"/>
  <c r="I298" i="135"/>
  <c r="M284" i="135"/>
  <c r="K285" i="135"/>
  <c r="L285" i="135"/>
  <c r="M285" i="135"/>
  <c r="K287" i="135"/>
  <c r="L287" i="135"/>
  <c r="M287" i="135"/>
  <c r="K288" i="135"/>
  <c r="L288" i="135"/>
  <c r="M288" i="135"/>
  <c r="K289" i="135"/>
  <c r="L289" i="135"/>
  <c r="M289" i="135"/>
  <c r="K290" i="135"/>
  <c r="L290" i="135"/>
  <c r="M290" i="135"/>
  <c r="K291" i="135"/>
  <c r="L291" i="135"/>
  <c r="M291" i="135"/>
  <c r="K292" i="135"/>
  <c r="L292" i="135"/>
  <c r="M292" i="135"/>
  <c r="K293" i="135"/>
  <c r="L293" i="135"/>
  <c r="M293" i="135"/>
  <c r="K294" i="135"/>
  <c r="L294" i="135"/>
  <c r="M294" i="135"/>
  <c r="K295" i="135"/>
  <c r="L295" i="135"/>
  <c r="M295" i="135"/>
  <c r="K296" i="135"/>
  <c r="L296" i="135"/>
  <c r="M296" i="135"/>
  <c r="K298" i="135"/>
  <c r="L298" i="135"/>
  <c r="M298" i="135"/>
  <c r="N298" i="135"/>
  <c r="O298" i="135"/>
  <c r="P298" i="135"/>
  <c r="Q298" i="135"/>
  <c r="R298" i="135"/>
  <c r="S298" i="135"/>
  <c r="T298" i="135"/>
  <c r="U298" i="135"/>
  <c r="V298" i="135"/>
  <c r="W298" i="135"/>
  <c r="X298" i="135"/>
  <c r="Y298" i="135"/>
  <c r="Z298" i="135"/>
  <c r="AA298" i="135"/>
  <c r="AB298" i="135"/>
  <c r="AC298" i="135"/>
  <c r="AD298" i="135"/>
  <c r="AE298" i="135"/>
  <c r="AF298" i="135"/>
  <c r="K299" i="135"/>
  <c r="L299" i="135"/>
  <c r="M299" i="135"/>
  <c r="J299" i="135"/>
  <c r="J298" i="135"/>
  <c r="J296" i="135"/>
  <c r="J295" i="135"/>
  <c r="J294" i="135"/>
  <c r="J293" i="135"/>
  <c r="J292" i="135"/>
  <c r="J291" i="135"/>
  <c r="J290" i="135"/>
  <c r="J288" i="135"/>
  <c r="J287" i="135"/>
  <c r="J285" i="135"/>
  <c r="W72" i="145" l="1"/>
  <c r="W79" i="137" s="1"/>
  <c r="K300" i="166"/>
  <c r="M300" i="166"/>
  <c r="L300" i="166"/>
  <c r="E16" i="141"/>
  <c r="E20" i="141"/>
  <c r="E22" i="141"/>
  <c r="E11" i="141"/>
  <c r="E12" i="141"/>
  <c r="E7" i="141"/>
  <c r="E8" i="141"/>
  <c r="E9" i="141"/>
  <c r="E29" i="141"/>
  <c r="E31" i="141"/>
  <c r="E32" i="141"/>
  <c r="E33" i="141"/>
  <c r="E34" i="141"/>
  <c r="E36" i="141"/>
  <c r="E38" i="141"/>
  <c r="E39" i="141"/>
  <c r="E28" i="141"/>
  <c r="E24" i="141"/>
  <c r="E19" i="141"/>
  <c r="B19" i="141"/>
  <c r="N74" i="141"/>
  <c r="X72" i="145" l="1"/>
  <c r="X79" i="137" s="1"/>
  <c r="F75" i="137"/>
  <c r="G75" i="137"/>
  <c r="H75" i="137"/>
  <c r="E75" i="137"/>
  <c r="Y72" i="145" l="1"/>
  <c r="Y79" i="137" s="1"/>
  <c r="F31" i="146"/>
  <c r="G31" i="146"/>
  <c r="H31" i="146"/>
  <c r="E31" i="146"/>
  <c r="E38" i="146" s="1"/>
  <c r="F15" i="146"/>
  <c r="G15" i="146"/>
  <c r="H15" i="146"/>
  <c r="E15" i="146"/>
  <c r="B8" i="140" l="1"/>
  <c r="Z72" i="145"/>
  <c r="Z79" i="137" s="1"/>
  <c r="P65" i="141"/>
  <c r="P66" i="141"/>
  <c r="P67" i="141" s="1"/>
  <c r="AA72" i="145" l="1"/>
  <c r="AA79" i="137" s="1"/>
  <c r="H30" i="141"/>
  <c r="I30" i="141"/>
  <c r="G76" i="167"/>
  <c r="E30" i="141" l="1"/>
  <c r="G76" i="154"/>
  <c r="G77" i="167"/>
  <c r="G87" i="167"/>
  <c r="E21" i="141" l="1"/>
  <c r="E35" i="141" l="1"/>
  <c r="D90" i="145" l="1"/>
  <c r="AG66" i="134"/>
  <c r="K46" i="161"/>
  <c r="E41" i="180"/>
  <c r="I28" i="173"/>
  <c r="J28" i="173"/>
  <c r="K28" i="173"/>
  <c r="L28" i="173"/>
  <c r="M28" i="173"/>
  <c r="N28" i="173"/>
  <c r="O28" i="173"/>
  <c r="P28" i="173"/>
  <c r="Q28" i="173"/>
  <c r="R28" i="173"/>
  <c r="S28" i="173"/>
  <c r="T28" i="173"/>
  <c r="U28" i="173"/>
  <c r="V28" i="173"/>
  <c r="W28" i="173"/>
  <c r="X28" i="173"/>
  <c r="Y28" i="173"/>
  <c r="Z28" i="173"/>
  <c r="AA28" i="173"/>
  <c r="AB28" i="173"/>
  <c r="AC28" i="173"/>
  <c r="AD28" i="173"/>
  <c r="I18" i="173"/>
  <c r="J18" i="173"/>
  <c r="K18" i="173"/>
  <c r="H28" i="173"/>
  <c r="H18" i="173"/>
  <c r="O9" i="173"/>
  <c r="M11" i="146"/>
  <c r="P9" i="173" s="1"/>
  <c r="N11" i="146"/>
  <c r="Q9" i="173" s="1"/>
  <c r="O11" i="146"/>
  <c r="R9" i="173" s="1"/>
  <c r="P11" i="146"/>
  <c r="S9" i="173" s="1"/>
  <c r="Q11" i="146"/>
  <c r="T9" i="173" s="1"/>
  <c r="R11" i="146"/>
  <c r="U9" i="173" s="1"/>
  <c r="S11" i="146"/>
  <c r="V9" i="173" s="1"/>
  <c r="T11" i="146"/>
  <c r="W9" i="173" s="1"/>
  <c r="U11" i="146"/>
  <c r="X9" i="173" s="1"/>
  <c r="V11" i="146"/>
  <c r="Y9" i="173" s="1"/>
  <c r="W11" i="146"/>
  <c r="Z9" i="173" s="1"/>
  <c r="X11" i="146"/>
  <c r="AA9" i="173" s="1"/>
  <c r="Y11" i="146"/>
  <c r="AB9" i="173" s="1"/>
  <c r="Z11" i="146"/>
  <c r="AC9" i="173" s="1"/>
  <c r="AA11" i="146"/>
  <c r="AD9" i="173" s="1"/>
  <c r="F12" i="146"/>
  <c r="I10" i="173" s="1"/>
  <c r="G12" i="146"/>
  <c r="J10" i="173" s="1"/>
  <c r="J12" i="146"/>
  <c r="M10" i="173" s="1"/>
  <c r="K12" i="146"/>
  <c r="N10" i="173" s="1"/>
  <c r="L12" i="146"/>
  <c r="O10" i="173" s="1"/>
  <c r="M12" i="146"/>
  <c r="P10" i="173" s="1"/>
  <c r="N12" i="146"/>
  <c r="Q10" i="173" s="1"/>
  <c r="O12" i="146"/>
  <c r="R10" i="173" s="1"/>
  <c r="P12" i="146"/>
  <c r="S10" i="173" s="1"/>
  <c r="Q12" i="146"/>
  <c r="T10" i="173" s="1"/>
  <c r="R12" i="146"/>
  <c r="U10" i="173" s="1"/>
  <c r="S12" i="146"/>
  <c r="V10" i="173" s="1"/>
  <c r="T12" i="146"/>
  <c r="W10" i="173" s="1"/>
  <c r="U12" i="146"/>
  <c r="X10" i="173" s="1"/>
  <c r="V12" i="146"/>
  <c r="Y10" i="173" s="1"/>
  <c r="W12" i="146"/>
  <c r="Z10" i="173" s="1"/>
  <c r="X12" i="146"/>
  <c r="AA10" i="173" s="1"/>
  <c r="Y12" i="146"/>
  <c r="AB10" i="173" s="1"/>
  <c r="Z12" i="146"/>
  <c r="AC10" i="173" s="1"/>
  <c r="AA12" i="146"/>
  <c r="AD10" i="173" s="1"/>
  <c r="F119" i="173"/>
  <c r="F185" i="173" s="1"/>
  <c r="F125" i="173" l="1"/>
  <c r="B31" i="137"/>
  <c r="B27" i="145"/>
  <c r="D65" i="161"/>
  <c r="F65" i="161" s="1"/>
  <c r="G47" i="161"/>
  <c r="G48" i="161" s="1"/>
  <c r="G49" i="161" s="1"/>
  <c r="G50" i="161" s="1"/>
  <c r="G51" i="161" s="1"/>
  <c r="G52" i="161" s="1"/>
  <c r="G53" i="161" s="1"/>
  <c r="G54" i="161" s="1"/>
  <c r="G55" i="161" s="1"/>
  <c r="G56" i="161" s="1"/>
  <c r="G57" i="161" s="1"/>
  <c r="G58" i="161" s="1"/>
  <c r="G59" i="161" s="1"/>
  <c r="G60" i="161" s="1"/>
  <c r="G61" i="161" s="1"/>
  <c r="G62" i="161" s="1"/>
  <c r="G63" i="161" s="1"/>
  <c r="G64" i="161" s="1"/>
  <c r="H47" i="161"/>
  <c r="I47" i="161" s="1"/>
  <c r="K47" i="161" s="1"/>
  <c r="G65" i="161" l="1"/>
  <c r="H48" i="161"/>
  <c r="H49" i="161" l="1"/>
  <c r="I49" i="161" s="1"/>
  <c r="K49" i="161" s="1"/>
  <c r="H50" i="161" l="1"/>
  <c r="I50" i="161" s="1"/>
  <c r="K50" i="161" s="1"/>
  <c r="H51" i="161" l="1"/>
  <c r="I51" i="161" s="1"/>
  <c r="K51" i="161" s="1"/>
  <c r="H52" i="161" l="1"/>
  <c r="I52" i="161" s="1"/>
  <c r="K52" i="161" s="1"/>
  <c r="H53" i="161" l="1"/>
  <c r="I53" i="161" s="1"/>
  <c r="K53" i="161" s="1"/>
  <c r="H54" i="161" l="1"/>
  <c r="I54" i="161" s="1"/>
  <c r="K54" i="161" s="1"/>
  <c r="H55" i="161" l="1"/>
  <c r="I55" i="161" s="1"/>
  <c r="K55" i="161" s="1"/>
  <c r="H56" i="161" l="1"/>
  <c r="I56" i="161" s="1"/>
  <c r="K56" i="161" s="1"/>
  <c r="H57" i="161" l="1"/>
  <c r="I57" i="161" s="1"/>
  <c r="K57" i="161" s="1"/>
  <c r="H58" i="161" l="1"/>
  <c r="I58" i="161" s="1"/>
  <c r="K58" i="161" s="1"/>
  <c r="H59" i="161" l="1"/>
  <c r="I59" i="161" s="1"/>
  <c r="K59" i="161" s="1"/>
  <c r="H60" i="161" l="1"/>
  <c r="I60" i="161" s="1"/>
  <c r="H61" i="161" l="1"/>
  <c r="I61" i="161" s="1"/>
  <c r="H62" i="161" l="1"/>
  <c r="I62" i="161" s="1"/>
  <c r="H63" i="161" l="1"/>
  <c r="I63" i="161" s="1"/>
  <c r="K63" i="161" s="1"/>
  <c r="H64" i="161" l="1"/>
  <c r="I64" i="161" s="1"/>
  <c r="K64" i="161" s="1"/>
  <c r="K65" i="161" s="1"/>
  <c r="I5" i="161" l="1" a="1"/>
  <c r="I5" i="161" s="1"/>
  <c r="I65" i="161"/>
  <c r="I5" i="153" l="1"/>
  <c r="AA5" i="153"/>
  <c r="J5" i="153"/>
  <c r="O5" i="153"/>
  <c r="R5" i="153"/>
  <c r="S5" i="153"/>
  <c r="T5" i="153"/>
  <c r="U5" i="153"/>
  <c r="V5" i="153"/>
  <c r="W5" i="153"/>
  <c r="X5" i="153"/>
  <c r="Y5" i="153"/>
  <c r="AE6" i="161"/>
  <c r="AE7" i="161" s="1"/>
  <c r="AF6" i="161"/>
  <c r="AF7" i="161" s="1"/>
  <c r="K5" i="153"/>
  <c r="M5" i="153"/>
  <c r="N5" i="153"/>
  <c r="P5" i="153"/>
  <c r="Q5" i="153"/>
  <c r="Z5" i="153"/>
  <c r="L5" i="153"/>
  <c r="O84" i="145" l="1"/>
  <c r="C40" i="178"/>
  <c r="E73" i="137"/>
  <c r="C38" i="183"/>
  <c r="C41" i="183"/>
  <c r="AA84" i="145" l="1"/>
  <c r="Z84" i="145"/>
  <c r="Y84" i="145"/>
  <c r="W84" i="145"/>
  <c r="Q84" i="145"/>
  <c r="G27" i="141"/>
  <c r="P84" i="145"/>
  <c r="H27" i="141"/>
  <c r="R84" i="145"/>
  <c r="I84" i="145"/>
  <c r="I91" i="137" s="1"/>
  <c r="J84" i="145"/>
  <c r="U84" i="145"/>
  <c r="S84" i="145"/>
  <c r="N84" i="145"/>
  <c r="X84" i="145"/>
  <c r="V84" i="145"/>
  <c r="T84" i="145"/>
  <c r="I27" i="141"/>
  <c r="M84" i="145"/>
  <c r="L84" i="145"/>
  <c r="K84" i="145"/>
  <c r="X125" i="183"/>
  <c r="W125" i="183"/>
  <c r="V125" i="183"/>
  <c r="U125" i="183"/>
  <c r="T125" i="183"/>
  <c r="S125" i="183"/>
  <c r="R125" i="183"/>
  <c r="Q125" i="183"/>
  <c r="P125" i="183"/>
  <c r="O125" i="183"/>
  <c r="N125" i="183"/>
  <c r="M125" i="183"/>
  <c r="L125" i="183"/>
  <c r="K125" i="183"/>
  <c r="J125" i="183"/>
  <c r="I125" i="183"/>
  <c r="H125" i="183"/>
  <c r="G125" i="183"/>
  <c r="F125" i="183"/>
  <c r="E125" i="183"/>
  <c r="D125" i="183"/>
  <c r="D105" i="183"/>
  <c r="X105" i="183"/>
  <c r="W105" i="183"/>
  <c r="V105" i="183"/>
  <c r="U105" i="183"/>
  <c r="T105" i="183"/>
  <c r="S105" i="183"/>
  <c r="R105" i="183"/>
  <c r="Q105" i="183"/>
  <c r="P105" i="183"/>
  <c r="O105" i="183"/>
  <c r="N105" i="183"/>
  <c r="M105" i="183"/>
  <c r="L105" i="183"/>
  <c r="K105" i="183"/>
  <c r="J105" i="183"/>
  <c r="I105" i="183"/>
  <c r="H105" i="183"/>
  <c r="G105" i="183"/>
  <c r="F105" i="183"/>
  <c r="E105" i="183"/>
  <c r="X103" i="183"/>
  <c r="W103" i="183"/>
  <c r="V103" i="183"/>
  <c r="U103" i="183"/>
  <c r="T103" i="183"/>
  <c r="S103" i="183"/>
  <c r="R103" i="183"/>
  <c r="Q103" i="183"/>
  <c r="P103" i="183"/>
  <c r="O103" i="183"/>
  <c r="N103" i="183"/>
  <c r="M103" i="183"/>
  <c r="L103" i="183"/>
  <c r="K103" i="183"/>
  <c r="J103" i="183"/>
  <c r="I103" i="183"/>
  <c r="H103" i="183"/>
  <c r="G103" i="183"/>
  <c r="F103" i="183"/>
  <c r="E103" i="183"/>
  <c r="D103" i="183"/>
  <c r="X102" i="183"/>
  <c r="W102" i="183"/>
  <c r="V102" i="183"/>
  <c r="U102" i="183"/>
  <c r="T102" i="183"/>
  <c r="S102" i="183"/>
  <c r="R102" i="183"/>
  <c r="Q102" i="183"/>
  <c r="P102" i="183"/>
  <c r="O102" i="183"/>
  <c r="N102" i="183"/>
  <c r="M102" i="183"/>
  <c r="L102" i="183"/>
  <c r="K102" i="183"/>
  <c r="J102" i="183"/>
  <c r="I102" i="183"/>
  <c r="H102" i="183"/>
  <c r="G102" i="183"/>
  <c r="F102" i="183"/>
  <c r="E102" i="183"/>
  <c r="D102" i="183"/>
  <c r="X101" i="183"/>
  <c r="X124" i="183" s="1"/>
  <c r="W101" i="183"/>
  <c r="W124" i="183" s="1"/>
  <c r="V101" i="183"/>
  <c r="V124" i="183" s="1"/>
  <c r="U101" i="183"/>
  <c r="U124" i="183" s="1"/>
  <c r="T101" i="183"/>
  <c r="T124" i="183" s="1"/>
  <c r="S101" i="183"/>
  <c r="S124" i="183" s="1"/>
  <c r="R101" i="183"/>
  <c r="R124" i="183" s="1"/>
  <c r="Q101" i="183"/>
  <c r="Q124" i="183" s="1"/>
  <c r="P101" i="183"/>
  <c r="P124" i="183" s="1"/>
  <c r="O101" i="183"/>
  <c r="O124" i="183" s="1"/>
  <c r="N101" i="183"/>
  <c r="N124" i="183" s="1"/>
  <c r="M101" i="183"/>
  <c r="M124" i="183" s="1"/>
  <c r="L101" i="183"/>
  <c r="L124" i="183" s="1"/>
  <c r="K101" i="183"/>
  <c r="K124" i="183" s="1"/>
  <c r="J101" i="183"/>
  <c r="J124" i="183" s="1"/>
  <c r="I101" i="183"/>
  <c r="I124" i="183" s="1"/>
  <c r="H101" i="183"/>
  <c r="H124" i="183" s="1"/>
  <c r="G101" i="183"/>
  <c r="G124" i="183" s="1"/>
  <c r="F101" i="183"/>
  <c r="F124" i="183" s="1"/>
  <c r="E101" i="183"/>
  <c r="E124" i="183" s="1"/>
  <c r="D101" i="183"/>
  <c r="D124" i="183" s="1"/>
  <c r="C73" i="183"/>
  <c r="C88" i="183" s="1"/>
  <c r="C72" i="183"/>
  <c r="C87" i="183" s="1"/>
  <c r="C71" i="183"/>
  <c r="C86" i="183" s="1"/>
  <c r="C70" i="183"/>
  <c r="C85" i="183" s="1"/>
  <c r="C69" i="183"/>
  <c r="C84" i="183" s="1"/>
  <c r="C68" i="183"/>
  <c r="C67" i="183"/>
  <c r="C83" i="183" s="1"/>
  <c r="C66" i="183"/>
  <c r="C82" i="183" s="1"/>
  <c r="C65" i="183"/>
  <c r="C81" i="183" s="1"/>
  <c r="C64" i="183"/>
  <c r="C80" i="183" s="1"/>
  <c r="C63" i="183"/>
  <c r="C79" i="183" s="1"/>
  <c r="C62" i="183"/>
  <c r="C78" i="183" s="1"/>
  <c r="C21" i="183"/>
  <c r="C18" i="183"/>
  <c r="D13" i="183"/>
  <c r="C13" i="183"/>
  <c r="D6" i="183"/>
  <c r="C6" i="183"/>
  <c r="AM110" i="183"/>
  <c r="AM107" i="183" s="1"/>
  <c r="B63" i="183"/>
  <c r="B64" i="183" s="1"/>
  <c r="B65" i="183" s="1"/>
  <c r="B66" i="183" s="1"/>
  <c r="B67" i="183" s="1"/>
  <c r="B68" i="183" s="1"/>
  <c r="B69" i="183" s="1"/>
  <c r="B70" i="183" s="1"/>
  <c r="B71" i="183" s="1"/>
  <c r="B72" i="183" s="1"/>
  <c r="B73" i="183" s="1"/>
  <c r="B53" i="183"/>
  <c r="B54" i="183" s="1"/>
  <c r="B55" i="183" s="1"/>
  <c r="B56" i="183" s="1"/>
  <c r="B52" i="183"/>
  <c r="B51" i="183"/>
  <c r="G36" i="183"/>
  <c r="B27" i="183"/>
  <c r="F22" i="183"/>
  <c r="F21" i="183"/>
  <c r="B6" i="183"/>
  <c r="B28" i="183" s="1"/>
  <c r="F5" i="183"/>
  <c r="G5" i="183" s="1"/>
  <c r="E27" i="141" l="1"/>
  <c r="F23" i="183"/>
  <c r="B7" i="183"/>
  <c r="B8" i="183" l="1"/>
  <c r="B29" i="183"/>
  <c r="B30" i="183" l="1"/>
  <c r="B9" i="183"/>
  <c r="B10" i="183" l="1"/>
  <c r="B31" i="183"/>
  <c r="B32" i="183" l="1"/>
  <c r="B11" i="183"/>
  <c r="B33" i="183" l="1"/>
  <c r="B12" i="183"/>
  <c r="B34" i="183" l="1"/>
  <c r="B13" i="183"/>
  <c r="B35" i="183" l="1"/>
  <c r="B14" i="183"/>
  <c r="B15" i="183" l="1"/>
  <c r="B36" i="183"/>
  <c r="B37" i="183" l="1"/>
  <c r="B16" i="183"/>
  <c r="B38" i="183" l="1"/>
  <c r="B17" i="183"/>
  <c r="B39" i="183" l="1"/>
  <c r="B18" i="183"/>
  <c r="B40" i="183" l="1"/>
  <c r="B19" i="183"/>
  <c r="B41" i="183" l="1"/>
  <c r="B20" i="183"/>
  <c r="B21" i="183" l="1"/>
  <c r="B42" i="183"/>
  <c r="B22" i="183" l="1"/>
  <c r="B43" i="183"/>
  <c r="B23" i="183" l="1"/>
  <c r="B45" i="183" s="1"/>
  <c r="B44" i="183"/>
  <c r="G6" i="183" l="1"/>
  <c r="F12" i="136" l="1"/>
  <c r="D84" i="145" l="1"/>
  <c r="E1" i="130"/>
  <c r="A6" i="130"/>
  <c r="E85" i="134"/>
  <c r="D85" i="134"/>
  <c r="G6" i="133"/>
  <c r="H66" i="134"/>
  <c r="H67" i="134" s="1"/>
  <c r="E3" i="130"/>
  <c r="B23" i="175"/>
  <c r="F1" i="130" l="1"/>
  <c r="C153" i="21"/>
  <c r="C152" i="21"/>
  <c r="B31" i="175"/>
  <c r="H102" i="173"/>
  <c r="D172" i="21"/>
  <c r="D173" i="21" s="1"/>
  <c r="D156" i="21"/>
  <c r="I12" i="146"/>
  <c r="L10" i="173" s="1"/>
  <c r="D114" i="21"/>
  <c r="D116" i="21"/>
  <c r="C92" i="21"/>
  <c r="D92" i="21"/>
  <c r="E92" i="21"/>
  <c r="F91" i="145"/>
  <c r="G1" i="130" l="1"/>
  <c r="U21" i="173"/>
  <c r="N20" i="173"/>
  <c r="AB17" i="173"/>
  <c r="V21" i="173"/>
  <c r="O20" i="173"/>
  <c r="AC17" i="173"/>
  <c r="W21" i="173"/>
  <c r="P20" i="173"/>
  <c r="AD17" i="173"/>
  <c r="X21" i="173"/>
  <c r="Q20" i="173"/>
  <c r="AB21" i="173"/>
  <c r="Y20" i="173"/>
  <c r="Q18" i="173"/>
  <c r="M17" i="173"/>
  <c r="AC21" i="173"/>
  <c r="Z20" i="173"/>
  <c r="R18" i="173"/>
  <c r="N17" i="173"/>
  <c r="AD21" i="173"/>
  <c r="AB20" i="173"/>
  <c r="T18" i="173"/>
  <c r="P17" i="173"/>
  <c r="Q17" i="173"/>
  <c r="AA20" i="173"/>
  <c r="S18" i="173"/>
  <c r="O17" i="173"/>
  <c r="AC20" i="173"/>
  <c r="U18" i="173"/>
  <c r="AD20" i="173"/>
  <c r="V18" i="173"/>
  <c r="R17" i="173"/>
  <c r="W18" i="173"/>
  <c r="S17" i="173"/>
  <c r="X18" i="173"/>
  <c r="T17" i="173"/>
  <c r="Y18" i="173"/>
  <c r="U17" i="173"/>
  <c r="Z18" i="173"/>
  <c r="V17" i="173"/>
  <c r="M20" i="173"/>
  <c r="AC18" i="173"/>
  <c r="R20" i="173"/>
  <c r="AD18" i="173"/>
  <c r="S20" i="173"/>
  <c r="T20" i="173"/>
  <c r="I21" i="173"/>
  <c r="U20" i="173"/>
  <c r="P18" i="173"/>
  <c r="H20" i="173"/>
  <c r="AB18" i="173"/>
  <c r="I20" i="173"/>
  <c r="J20" i="173"/>
  <c r="K20" i="173"/>
  <c r="O18" i="173"/>
  <c r="H21" i="173"/>
  <c r="AA18" i="173"/>
  <c r="H17" i="173"/>
  <c r="H13" i="173"/>
  <c r="T21" i="173"/>
  <c r="L18" i="173"/>
  <c r="I17" i="173"/>
  <c r="L20" i="173"/>
  <c r="W20" i="173"/>
  <c r="X20" i="173"/>
  <c r="W17" i="173"/>
  <c r="X17" i="173"/>
  <c r="Z17" i="173"/>
  <c r="AA17" i="173"/>
  <c r="Y21" i="173"/>
  <c r="Z21" i="173"/>
  <c r="AA21" i="173"/>
  <c r="J17" i="173"/>
  <c r="I13" i="173"/>
  <c r="V20" i="173"/>
  <c r="K17" i="173"/>
  <c r="J13" i="173"/>
  <c r="L17" i="173"/>
  <c r="K13" i="173"/>
  <c r="Y17" i="173"/>
  <c r="O21" i="173"/>
  <c r="P21" i="173"/>
  <c r="Q21" i="173"/>
  <c r="R21" i="173"/>
  <c r="M18" i="173"/>
  <c r="S21" i="173"/>
  <c r="N18" i="173"/>
  <c r="H12" i="146"/>
  <c r="K10" i="173" s="1"/>
  <c r="E12" i="146"/>
  <c r="H10" i="173" s="1"/>
  <c r="D35" i="130"/>
  <c r="H1" i="130" l="1"/>
  <c r="I1" i="130" l="1"/>
  <c r="B26" i="175"/>
  <c r="B27" i="175" s="1"/>
  <c r="B35" i="175" s="1"/>
  <c r="B12" i="175"/>
  <c r="J1" i="130" l="1"/>
  <c r="B36" i="175"/>
  <c r="B14" i="179"/>
  <c r="AP4" i="179"/>
  <c r="AP5" i="179"/>
  <c r="AJ4" i="179"/>
  <c r="AK4" i="179"/>
  <c r="I239" i="179"/>
  <c r="E18" i="178"/>
  <c r="H8" i="178"/>
  <c r="I8" i="178"/>
  <c r="J8" i="178"/>
  <c r="K8" i="178"/>
  <c r="L8" i="178"/>
  <c r="M8" i="178"/>
  <c r="N8" i="178"/>
  <c r="O8" i="178"/>
  <c r="P8" i="178"/>
  <c r="Q8" i="178"/>
  <c r="R8" i="178"/>
  <c r="S8" i="178"/>
  <c r="T8" i="178"/>
  <c r="U8" i="178"/>
  <c r="V8" i="178"/>
  <c r="W8" i="178"/>
  <c r="X8" i="178"/>
  <c r="Y8" i="178"/>
  <c r="Z8" i="178"/>
  <c r="AA8" i="178"/>
  <c r="AB8" i="178"/>
  <c r="AC8" i="178"/>
  <c r="G8" i="178"/>
  <c r="AN4" i="179"/>
  <c r="AO4" i="179"/>
  <c r="G5" i="178"/>
  <c r="F2" i="180" s="1"/>
  <c r="AK6" i="178"/>
  <c r="AJ3" i="180" s="1"/>
  <c r="AL6" i="178"/>
  <c r="AK3" i="180" s="1"/>
  <c r="AM6" i="178"/>
  <c r="AL3" i="180" s="1"/>
  <c r="AN6" i="178"/>
  <c r="AM3" i="180" s="1"/>
  <c r="AO6" i="178"/>
  <c r="AN5" i="179" s="1"/>
  <c r="AP6" i="178"/>
  <c r="AO5" i="179" s="1"/>
  <c r="G6" i="178"/>
  <c r="F3" i="180" s="1"/>
  <c r="K1" i="130" l="1"/>
  <c r="E8" i="178"/>
  <c r="F18" i="178" s="1"/>
  <c r="AM4" i="179"/>
  <c r="F5" i="179"/>
  <c r="AM5" i="179"/>
  <c r="AL4" i="179"/>
  <c r="AK5" i="179"/>
  <c r="AJ5" i="179"/>
  <c r="F4" i="179"/>
  <c r="AL5" i="179"/>
  <c r="D30" i="134"/>
  <c r="L1" i="130" l="1"/>
  <c r="I17" i="176"/>
  <c r="J17" i="176"/>
  <c r="K17" i="176"/>
  <c r="L17" i="176"/>
  <c r="M17" i="176"/>
  <c r="N17" i="176"/>
  <c r="O17" i="176"/>
  <c r="P17" i="176"/>
  <c r="Q17" i="176"/>
  <c r="R17" i="176"/>
  <c r="S17" i="176"/>
  <c r="T17" i="176"/>
  <c r="U17" i="176"/>
  <c r="U79" i="176" s="1"/>
  <c r="U157" i="176" s="1"/>
  <c r="V17" i="176"/>
  <c r="V79" i="176" s="1"/>
  <c r="V157" i="176" s="1"/>
  <c r="W17" i="176"/>
  <c r="X17" i="176"/>
  <c r="X79" i="176" s="1"/>
  <c r="X157" i="176" s="1"/>
  <c r="Y17" i="176"/>
  <c r="Z17" i="176"/>
  <c r="Z79" i="176" s="1"/>
  <c r="Z157" i="176" s="1"/>
  <c r="AA17" i="176"/>
  <c r="AA79" i="176" s="1"/>
  <c r="AA157" i="176" s="1"/>
  <c r="AB17" i="176"/>
  <c r="AB79" i="176" s="1"/>
  <c r="AB157" i="176" s="1"/>
  <c r="AC17" i="176"/>
  <c r="AC79" i="176" s="1"/>
  <c r="AC157" i="176" s="1"/>
  <c r="AD17" i="176"/>
  <c r="AD79" i="176" s="1"/>
  <c r="AD157" i="176" s="1"/>
  <c r="AE17" i="176"/>
  <c r="AF17" i="176"/>
  <c r="AG17" i="176"/>
  <c r="AH17" i="176"/>
  <c r="AI17" i="176"/>
  <c r="AI79" i="176" s="1"/>
  <c r="AI157" i="176" s="1"/>
  <c r="AJ17" i="176"/>
  <c r="AK17" i="176"/>
  <c r="H17" i="176"/>
  <c r="I29" i="176"/>
  <c r="J29" i="176"/>
  <c r="K29" i="176"/>
  <c r="L29" i="176"/>
  <c r="M29" i="176"/>
  <c r="N29" i="176"/>
  <c r="O29" i="176"/>
  <c r="P29" i="176"/>
  <c r="P91" i="176" s="1"/>
  <c r="P169" i="176" s="1"/>
  <c r="Q29" i="176"/>
  <c r="Q91" i="176" s="1"/>
  <c r="Q169" i="176" s="1"/>
  <c r="R29" i="176"/>
  <c r="S29" i="176"/>
  <c r="T29" i="176"/>
  <c r="T91" i="176" s="1"/>
  <c r="T169" i="176" s="1"/>
  <c r="U29" i="176"/>
  <c r="U91" i="176" s="1"/>
  <c r="U169" i="176" s="1"/>
  <c r="V29" i="176"/>
  <c r="W29" i="176"/>
  <c r="W91" i="176" s="1"/>
  <c r="W169" i="176" s="1"/>
  <c r="X29" i="176"/>
  <c r="Y29" i="176"/>
  <c r="Z29" i="176"/>
  <c r="Z91" i="176" s="1"/>
  <c r="Z169" i="176" s="1"/>
  <c r="AA29" i="176"/>
  <c r="AA91" i="176" s="1"/>
  <c r="AA169" i="176" s="1"/>
  <c r="AB29" i="176"/>
  <c r="AC29" i="176"/>
  <c r="AD29" i="176"/>
  <c r="AE29" i="176"/>
  <c r="AF29" i="176"/>
  <c r="AG29" i="176"/>
  <c r="AH29" i="176"/>
  <c r="AI29" i="176"/>
  <c r="AJ29" i="176"/>
  <c r="AK29" i="176"/>
  <c r="H29" i="176"/>
  <c r="I28" i="176"/>
  <c r="J28" i="176"/>
  <c r="K28" i="176"/>
  <c r="L28" i="176"/>
  <c r="M28" i="176"/>
  <c r="N28" i="176"/>
  <c r="O28" i="176"/>
  <c r="P28" i="176"/>
  <c r="Q28" i="176"/>
  <c r="R28" i="176"/>
  <c r="S28" i="176"/>
  <c r="T28" i="176"/>
  <c r="U28" i="176"/>
  <c r="V28" i="176"/>
  <c r="W28" i="176"/>
  <c r="X28" i="176"/>
  <c r="Y28" i="176"/>
  <c r="Z28" i="176"/>
  <c r="AA28" i="176"/>
  <c r="AB28" i="176"/>
  <c r="AC28" i="176"/>
  <c r="AD28" i="176"/>
  <c r="AE28" i="176"/>
  <c r="AF28" i="176"/>
  <c r="AG28" i="176"/>
  <c r="AH28" i="176"/>
  <c r="AI28" i="176"/>
  <c r="AJ28" i="176"/>
  <c r="AK28" i="176"/>
  <c r="H28" i="176"/>
  <c r="I27" i="176"/>
  <c r="J27" i="176"/>
  <c r="K27" i="176"/>
  <c r="L27" i="176"/>
  <c r="M27" i="176"/>
  <c r="N27" i="176"/>
  <c r="O27" i="176"/>
  <c r="P27" i="176"/>
  <c r="Q27" i="176"/>
  <c r="R27" i="176"/>
  <c r="S27" i="176"/>
  <c r="T27" i="176"/>
  <c r="V27" i="176"/>
  <c r="W27" i="176"/>
  <c r="X27" i="176"/>
  <c r="Y27" i="176"/>
  <c r="Z27" i="176"/>
  <c r="AA27" i="176"/>
  <c r="AB27" i="176"/>
  <c r="AC27" i="176"/>
  <c r="AD27" i="176"/>
  <c r="AE27" i="176"/>
  <c r="AF27" i="176"/>
  <c r="AG27" i="176"/>
  <c r="AH27" i="176"/>
  <c r="AI27" i="176"/>
  <c r="AJ27" i="176"/>
  <c r="AK27" i="176"/>
  <c r="H27" i="176"/>
  <c r="I19" i="176"/>
  <c r="J19" i="176"/>
  <c r="K19" i="176"/>
  <c r="L19" i="176"/>
  <c r="M19" i="176"/>
  <c r="N19" i="176"/>
  <c r="N91" i="176" s="1"/>
  <c r="N169" i="176" s="1"/>
  <c r="O19" i="176"/>
  <c r="P19" i="176"/>
  <c r="Q19" i="176"/>
  <c r="R19" i="176"/>
  <c r="S19" i="176"/>
  <c r="T19" i="176"/>
  <c r="U19" i="176"/>
  <c r="V19" i="176"/>
  <c r="W19" i="176"/>
  <c r="X19" i="176"/>
  <c r="Y19" i="176"/>
  <c r="Z19" i="176"/>
  <c r="AA19" i="176"/>
  <c r="AB19" i="176"/>
  <c r="AC19" i="176"/>
  <c r="AD19" i="176"/>
  <c r="AE19" i="176"/>
  <c r="AF19" i="176"/>
  <c r="AG19" i="176"/>
  <c r="AH19" i="176"/>
  <c r="AI19" i="176"/>
  <c r="AJ19" i="176"/>
  <c r="AK19" i="176"/>
  <c r="H19" i="176"/>
  <c r="I18" i="176"/>
  <c r="J18" i="176"/>
  <c r="K18" i="176"/>
  <c r="H18" i="176"/>
  <c r="H186" i="176"/>
  <c r="H180" i="176"/>
  <c r="H174" i="176"/>
  <c r="H168" i="176"/>
  <c r="H162" i="176"/>
  <c r="H156" i="176"/>
  <c r="H150" i="176"/>
  <c r="H144" i="176"/>
  <c r="H138" i="176"/>
  <c r="H132" i="176"/>
  <c r="H126" i="176"/>
  <c r="H120" i="176"/>
  <c r="H108" i="176"/>
  <c r="H102" i="176"/>
  <c r="H96" i="176"/>
  <c r="H90" i="176"/>
  <c r="H84" i="176"/>
  <c r="H78" i="176"/>
  <c r="H72" i="176"/>
  <c r="H66" i="176"/>
  <c r="H60" i="176"/>
  <c r="H54" i="176"/>
  <c r="H48" i="176"/>
  <c r="H42" i="176"/>
  <c r="C32" i="176"/>
  <c r="AK26" i="176"/>
  <c r="AJ26" i="176"/>
  <c r="AI26" i="176"/>
  <c r="AH26" i="176"/>
  <c r="AG26" i="176"/>
  <c r="AF26" i="176"/>
  <c r="AE26" i="176"/>
  <c r="AD26" i="176"/>
  <c r="AC26" i="176"/>
  <c r="AB26" i="176"/>
  <c r="AA26" i="176"/>
  <c r="Z26" i="176"/>
  <c r="Y26" i="176"/>
  <c r="X26" i="176"/>
  <c r="W26" i="176"/>
  <c r="V26" i="176"/>
  <c r="U26" i="176"/>
  <c r="T26" i="176"/>
  <c r="S26" i="176"/>
  <c r="R26" i="176"/>
  <c r="Q26" i="176"/>
  <c r="P26" i="176"/>
  <c r="O26" i="176"/>
  <c r="N26" i="176"/>
  <c r="M26" i="176"/>
  <c r="L26" i="176"/>
  <c r="K26" i="176"/>
  <c r="J26" i="176"/>
  <c r="I26" i="176"/>
  <c r="H26" i="176"/>
  <c r="C25" i="176"/>
  <c r="C22" i="176"/>
  <c r="C107" i="176" s="1"/>
  <c r="C21" i="176"/>
  <c r="C101" i="176" s="1"/>
  <c r="C20" i="176"/>
  <c r="C95" i="176" s="1"/>
  <c r="C19" i="176"/>
  <c r="C89" i="176" s="1"/>
  <c r="C18" i="176"/>
  <c r="C83" i="176" s="1"/>
  <c r="C442" i="176" s="1"/>
  <c r="C17" i="176"/>
  <c r="C77" i="176" s="1"/>
  <c r="C16" i="176"/>
  <c r="C71" i="176" s="1"/>
  <c r="AK15" i="176"/>
  <c r="AJ15" i="176"/>
  <c r="AI15" i="176"/>
  <c r="AH15" i="176"/>
  <c r="AG15" i="176"/>
  <c r="AG67" i="176" s="1"/>
  <c r="AG145" i="176" s="1"/>
  <c r="AF15" i="176"/>
  <c r="AF67" i="176" s="1"/>
  <c r="AF145" i="176" s="1"/>
  <c r="AE15" i="176"/>
  <c r="AD15" i="176"/>
  <c r="AC15" i="176"/>
  <c r="AB15" i="176"/>
  <c r="AB67" i="176" s="1"/>
  <c r="AB145" i="176" s="1"/>
  <c r="AA15" i="176"/>
  <c r="AA67" i="176" s="1"/>
  <c r="AA145" i="176" s="1"/>
  <c r="Z15" i="176"/>
  <c r="Z67" i="176" s="1"/>
  <c r="Z145" i="176" s="1"/>
  <c r="Y15" i="176"/>
  <c r="X15" i="176"/>
  <c r="W15" i="176"/>
  <c r="W67" i="176" s="1"/>
  <c r="W145" i="176" s="1"/>
  <c r="V15" i="176"/>
  <c r="V67" i="176" s="1"/>
  <c r="V145" i="176" s="1"/>
  <c r="U15" i="176"/>
  <c r="T15" i="176"/>
  <c r="S15" i="176"/>
  <c r="S67" i="176" s="1"/>
  <c r="S145" i="176" s="1"/>
  <c r="R15" i="176"/>
  <c r="R67" i="176" s="1"/>
  <c r="R145" i="176" s="1"/>
  <c r="Q15" i="176"/>
  <c r="P15" i="176"/>
  <c r="P67" i="176" s="1"/>
  <c r="P145" i="176" s="1"/>
  <c r="O15" i="176"/>
  <c r="O67" i="176" s="1"/>
  <c r="O145" i="176" s="1"/>
  <c r="N15" i="176"/>
  <c r="M15" i="176"/>
  <c r="L15" i="176"/>
  <c r="K15" i="176"/>
  <c r="J15" i="176"/>
  <c r="I15" i="176"/>
  <c r="H15" i="176"/>
  <c r="C15" i="176"/>
  <c r="C65" i="176" s="1"/>
  <c r="C143" i="176" s="1"/>
  <c r="AK14" i="176"/>
  <c r="AJ14" i="176"/>
  <c r="AI14" i="176"/>
  <c r="AH14" i="176"/>
  <c r="AG14" i="176"/>
  <c r="AF14" i="176"/>
  <c r="AE14" i="176"/>
  <c r="AD14" i="176"/>
  <c r="AC14" i="176"/>
  <c r="AB14" i="176"/>
  <c r="AA14" i="176"/>
  <c r="Z14" i="176"/>
  <c r="Y14" i="176"/>
  <c r="X14" i="176"/>
  <c r="W14" i="176"/>
  <c r="V14" i="176"/>
  <c r="U14" i="176"/>
  <c r="T14" i="176"/>
  <c r="S14" i="176"/>
  <c r="R14" i="176"/>
  <c r="Q14" i="176"/>
  <c r="P14" i="176"/>
  <c r="O14" i="176"/>
  <c r="N14" i="176"/>
  <c r="M14" i="176"/>
  <c r="L14" i="176"/>
  <c r="K14" i="176"/>
  <c r="J14" i="176"/>
  <c r="I14" i="176"/>
  <c r="H14" i="176"/>
  <c r="C14" i="176"/>
  <c r="C59" i="176" s="1"/>
  <c r="C13" i="176"/>
  <c r="C53" i="176" s="1"/>
  <c r="C267" i="176" s="1"/>
  <c r="AK12" i="176"/>
  <c r="AJ12" i="176"/>
  <c r="AI12" i="176"/>
  <c r="AH12" i="176"/>
  <c r="AG12" i="176"/>
  <c r="AF12" i="176"/>
  <c r="AE12" i="176"/>
  <c r="AD12" i="176"/>
  <c r="AC12" i="176"/>
  <c r="AB12" i="176"/>
  <c r="AA12" i="176"/>
  <c r="Z12" i="176"/>
  <c r="Y12" i="176"/>
  <c r="X12" i="176"/>
  <c r="W12" i="176"/>
  <c r="V12" i="176"/>
  <c r="U12" i="176"/>
  <c r="T12" i="176"/>
  <c r="S12" i="176"/>
  <c r="R12" i="176"/>
  <c r="Q12" i="176"/>
  <c r="P12" i="176"/>
  <c r="O12" i="176"/>
  <c r="N12" i="176"/>
  <c r="M12" i="176"/>
  <c r="L12" i="176"/>
  <c r="K12" i="176"/>
  <c r="J12" i="176"/>
  <c r="I12" i="176"/>
  <c r="H12" i="176"/>
  <c r="C12" i="176"/>
  <c r="AK11" i="176"/>
  <c r="AK49" i="176" s="1"/>
  <c r="AK127" i="176" s="1"/>
  <c r="AJ11" i="176"/>
  <c r="AJ49" i="176" s="1"/>
  <c r="AJ127" i="176" s="1"/>
  <c r="AI11" i="176"/>
  <c r="AI49" i="176" s="1"/>
  <c r="AI127" i="176" s="1"/>
  <c r="AH11" i="176"/>
  <c r="AH49" i="176" s="1"/>
  <c r="AH127" i="176" s="1"/>
  <c r="AG11" i="176"/>
  <c r="AG49" i="176" s="1"/>
  <c r="AG127" i="176" s="1"/>
  <c r="AF11" i="176"/>
  <c r="AE11" i="176"/>
  <c r="AE49" i="176" s="1"/>
  <c r="AE127" i="176" s="1"/>
  <c r="AD11" i="176"/>
  <c r="AC11" i="176"/>
  <c r="AC49" i="176" s="1"/>
  <c r="AC127" i="176" s="1"/>
  <c r="AB11" i="176"/>
  <c r="AA11" i="176"/>
  <c r="AA49" i="176" s="1"/>
  <c r="AA127" i="176" s="1"/>
  <c r="Z11" i="176"/>
  <c r="Z49" i="176" s="1"/>
  <c r="Z127" i="176" s="1"/>
  <c r="Y11" i="176"/>
  <c r="X11" i="176"/>
  <c r="X49" i="176" s="1"/>
  <c r="X127" i="176" s="1"/>
  <c r="W11" i="176"/>
  <c r="V11" i="176"/>
  <c r="V49" i="176" s="1"/>
  <c r="V127" i="176" s="1"/>
  <c r="U11" i="176"/>
  <c r="U49" i="176" s="1"/>
  <c r="U127" i="176" s="1"/>
  <c r="T11" i="176"/>
  <c r="S11" i="176"/>
  <c r="R11" i="176"/>
  <c r="Q11" i="176"/>
  <c r="P11" i="176"/>
  <c r="O11" i="176"/>
  <c r="N11" i="176"/>
  <c r="M11" i="176"/>
  <c r="L11" i="176"/>
  <c r="K11" i="176"/>
  <c r="J11" i="176"/>
  <c r="I11" i="176"/>
  <c r="H11" i="176"/>
  <c r="C11" i="176"/>
  <c r="C47" i="176" s="1"/>
  <c r="AK10" i="176"/>
  <c r="AJ10" i="176"/>
  <c r="AI10" i="176"/>
  <c r="AH10" i="176"/>
  <c r="AG10" i="176"/>
  <c r="AF10" i="176"/>
  <c r="AE10" i="176"/>
  <c r="AD10" i="176"/>
  <c r="AC10" i="176"/>
  <c r="AB10" i="176"/>
  <c r="AA10" i="176"/>
  <c r="Z10" i="176"/>
  <c r="Y10" i="176"/>
  <c r="X10" i="176"/>
  <c r="W10" i="176"/>
  <c r="V10" i="176"/>
  <c r="U10" i="176"/>
  <c r="T10" i="176"/>
  <c r="S10" i="176"/>
  <c r="R10" i="176"/>
  <c r="Q10" i="176"/>
  <c r="P10" i="176"/>
  <c r="O10" i="176"/>
  <c r="N10" i="176"/>
  <c r="M10" i="176"/>
  <c r="L10" i="176"/>
  <c r="K10" i="176"/>
  <c r="J10" i="176"/>
  <c r="I10" i="176"/>
  <c r="H10" i="176"/>
  <c r="C10" i="176"/>
  <c r="AK9" i="176"/>
  <c r="AJ9" i="176"/>
  <c r="AI9" i="176"/>
  <c r="AH9" i="176"/>
  <c r="AH43" i="176" s="1"/>
  <c r="AH121" i="176" s="1"/>
  <c r="AG9" i="176"/>
  <c r="AF9" i="176"/>
  <c r="AE9" i="176"/>
  <c r="AD9" i="176"/>
  <c r="AC9" i="176"/>
  <c r="AC43" i="176" s="1"/>
  <c r="AC121" i="176" s="1"/>
  <c r="AB9" i="176"/>
  <c r="AA9" i="176"/>
  <c r="Z9" i="176"/>
  <c r="Y9" i="176"/>
  <c r="X9" i="176"/>
  <c r="W9" i="176"/>
  <c r="V9" i="176"/>
  <c r="U9" i="176"/>
  <c r="T9" i="176"/>
  <c r="S9" i="176"/>
  <c r="S43" i="176" s="1"/>
  <c r="S121" i="176" s="1"/>
  <c r="R9" i="176"/>
  <c r="Q9" i="176"/>
  <c r="P9" i="176"/>
  <c r="O9" i="176"/>
  <c r="N9" i="176"/>
  <c r="M9" i="176"/>
  <c r="L9" i="176"/>
  <c r="C9" i="176"/>
  <c r="C41" i="176" s="1"/>
  <c r="C119" i="176" s="1"/>
  <c r="AK6" i="176"/>
  <c r="AJ6" i="176"/>
  <c r="AI6" i="176"/>
  <c r="AH6" i="176"/>
  <c r="AG6" i="176"/>
  <c r="AF6" i="176"/>
  <c r="AE6" i="176"/>
  <c r="AD6" i="176"/>
  <c r="AC6" i="176"/>
  <c r="AB6" i="176"/>
  <c r="AA6" i="176"/>
  <c r="Z6" i="176"/>
  <c r="Y6" i="176"/>
  <c r="X6" i="176"/>
  <c r="W6" i="176"/>
  <c r="V6" i="176"/>
  <c r="U6" i="176"/>
  <c r="T6" i="176"/>
  <c r="S6" i="176"/>
  <c r="R6" i="176"/>
  <c r="Q6" i="176"/>
  <c r="P6" i="176"/>
  <c r="O6" i="176"/>
  <c r="N6" i="176"/>
  <c r="M6" i="176"/>
  <c r="L6" i="176"/>
  <c r="K6" i="176"/>
  <c r="J6" i="176"/>
  <c r="I6" i="176"/>
  <c r="H6" i="176"/>
  <c r="AK5" i="176"/>
  <c r="AJ5" i="176"/>
  <c r="AI5" i="176"/>
  <c r="AH5" i="176"/>
  <c r="AG5" i="176"/>
  <c r="AF5" i="176"/>
  <c r="AE5" i="176"/>
  <c r="AD5" i="176"/>
  <c r="AC5" i="176"/>
  <c r="AB5" i="176"/>
  <c r="AA5" i="176"/>
  <c r="Z5" i="176"/>
  <c r="Y5" i="176"/>
  <c r="X5" i="176"/>
  <c r="W5" i="176"/>
  <c r="V5" i="176"/>
  <c r="U5" i="176"/>
  <c r="T5" i="176"/>
  <c r="S5" i="176"/>
  <c r="R5" i="176"/>
  <c r="Q5" i="176"/>
  <c r="P5" i="176"/>
  <c r="O5" i="176"/>
  <c r="N5" i="176"/>
  <c r="M5" i="176"/>
  <c r="L5" i="176"/>
  <c r="K5" i="176"/>
  <c r="J5" i="176"/>
  <c r="I5" i="176"/>
  <c r="I7" i="176" s="1"/>
  <c r="H5" i="176"/>
  <c r="AK4" i="176"/>
  <c r="AJ4" i="176"/>
  <c r="AI4" i="176"/>
  <c r="AH4" i="176"/>
  <c r="AG4" i="176"/>
  <c r="AF4" i="176"/>
  <c r="AE4" i="176"/>
  <c r="AD4" i="176"/>
  <c r="AC4" i="176"/>
  <c r="AB4" i="176"/>
  <c r="AA4" i="176"/>
  <c r="Z4" i="176"/>
  <c r="Y4" i="176"/>
  <c r="X4" i="176"/>
  <c r="W4" i="176"/>
  <c r="V4" i="176"/>
  <c r="U4" i="176"/>
  <c r="T4" i="176"/>
  <c r="S4" i="176"/>
  <c r="R4" i="176"/>
  <c r="Q4" i="176"/>
  <c r="P4" i="176"/>
  <c r="O4" i="176"/>
  <c r="N4" i="176"/>
  <c r="M4" i="176"/>
  <c r="L4" i="176"/>
  <c r="K4" i="176"/>
  <c r="J4" i="176"/>
  <c r="I4" i="176"/>
  <c r="H4" i="176"/>
  <c r="H3" i="176"/>
  <c r="H40" i="176" s="1"/>
  <c r="H118" i="176" s="1"/>
  <c r="H196" i="176" s="1"/>
  <c r="H231" i="176" s="1"/>
  <c r="H266" i="176" s="1"/>
  <c r="H301" i="176" s="1"/>
  <c r="H336" i="176" s="1"/>
  <c r="H371" i="176" s="1"/>
  <c r="H406" i="176" s="1"/>
  <c r="H441" i="176" s="1"/>
  <c r="H476" i="176" s="1"/>
  <c r="H511" i="176" s="1"/>
  <c r="H546" i="176" s="1"/>
  <c r="H581" i="176" s="1"/>
  <c r="H2" i="176"/>
  <c r="H39" i="176" s="1"/>
  <c r="H117" i="176" s="1"/>
  <c r="H186" i="173"/>
  <c r="H180" i="173"/>
  <c r="H174" i="173"/>
  <c r="H168" i="173"/>
  <c r="H162" i="173"/>
  <c r="H156" i="173"/>
  <c r="H150" i="173"/>
  <c r="H144" i="173"/>
  <c r="H138" i="173"/>
  <c r="H132" i="173"/>
  <c r="H126" i="173"/>
  <c r="H120" i="173"/>
  <c r="H7" i="176" l="1"/>
  <c r="K85" i="176"/>
  <c r="K163" i="176" s="1"/>
  <c r="AB91" i="176"/>
  <c r="AB169" i="176" s="1"/>
  <c r="AC91" i="176"/>
  <c r="AC169" i="176" s="1"/>
  <c r="J7" i="176"/>
  <c r="K7" i="176"/>
  <c r="W7" i="176"/>
  <c r="AE91" i="176"/>
  <c r="AE169" i="176" s="1"/>
  <c r="L7" i="176"/>
  <c r="O7" i="176"/>
  <c r="P7" i="176"/>
  <c r="R7" i="176"/>
  <c r="M7" i="176"/>
  <c r="N7" i="176"/>
  <c r="AJ7" i="176"/>
  <c r="AK7" i="176"/>
  <c r="S7" i="176"/>
  <c r="R91" i="176"/>
  <c r="R169" i="176" s="1"/>
  <c r="AI91" i="176"/>
  <c r="AI169" i="176" s="1"/>
  <c r="M1" i="130"/>
  <c r="Z16" i="176"/>
  <c r="Y16" i="176"/>
  <c r="X16" i="176"/>
  <c r="W16" i="176"/>
  <c r="V16" i="176"/>
  <c r="U16" i="176"/>
  <c r="T16" i="176"/>
  <c r="S16" i="176"/>
  <c r="R16" i="176"/>
  <c r="Q16" i="176"/>
  <c r="P16" i="176"/>
  <c r="O16" i="176"/>
  <c r="N16" i="176"/>
  <c r="H16" i="176"/>
  <c r="M16" i="176"/>
  <c r="L16" i="176"/>
  <c r="K16" i="176"/>
  <c r="J16" i="176"/>
  <c r="I16" i="176"/>
  <c r="AK16" i="176"/>
  <c r="AJ16" i="176"/>
  <c r="AI16" i="176"/>
  <c r="AH16" i="176"/>
  <c r="AG16" i="176"/>
  <c r="AF16" i="176"/>
  <c r="AE16" i="176"/>
  <c r="AD16" i="176"/>
  <c r="AC16" i="176"/>
  <c r="AB16" i="176"/>
  <c r="AA16" i="176"/>
  <c r="AF43" i="176"/>
  <c r="AF121" i="176" s="1"/>
  <c r="W49" i="176"/>
  <c r="W127" i="176" s="1"/>
  <c r="AD67" i="176"/>
  <c r="AD145" i="176" s="1"/>
  <c r="AH67" i="176"/>
  <c r="AH145" i="176" s="1"/>
  <c r="AI67" i="176"/>
  <c r="AI145" i="176" s="1"/>
  <c r="AB49" i="176"/>
  <c r="AB127" i="176" s="1"/>
  <c r="AD49" i="176"/>
  <c r="AD127" i="176" s="1"/>
  <c r="I61" i="176"/>
  <c r="I139" i="176" s="1"/>
  <c r="H61" i="176"/>
  <c r="H139" i="176" s="1"/>
  <c r="H140" i="176" s="1"/>
  <c r="AE61" i="176"/>
  <c r="AE139" i="176" s="1"/>
  <c r="AG61" i="176"/>
  <c r="AG139" i="176" s="1"/>
  <c r="L61" i="176"/>
  <c r="L139" i="176" s="1"/>
  <c r="AB61" i="176"/>
  <c r="AB139" i="176" s="1"/>
  <c r="M61" i="176"/>
  <c r="M139" i="176" s="1"/>
  <c r="AC61" i="176"/>
  <c r="AC139" i="176" s="1"/>
  <c r="AD43" i="176"/>
  <c r="AD121" i="176" s="1"/>
  <c r="AI61" i="176"/>
  <c r="AI139" i="176" s="1"/>
  <c r="AB43" i="176"/>
  <c r="AB121" i="176" s="1"/>
  <c r="Q67" i="176"/>
  <c r="Q145" i="176" s="1"/>
  <c r="AE43" i="176"/>
  <c r="AE121" i="176" s="1"/>
  <c r="AC67" i="176"/>
  <c r="AC145" i="176" s="1"/>
  <c r="AE67" i="176"/>
  <c r="AE145" i="176" s="1"/>
  <c r="V61" i="176"/>
  <c r="V139" i="176" s="1"/>
  <c r="Q49" i="176"/>
  <c r="Q127" i="176" s="1"/>
  <c r="AA61" i="176"/>
  <c r="AA139" i="176" s="1"/>
  <c r="AG43" i="176"/>
  <c r="AG121" i="176" s="1"/>
  <c r="W61" i="176"/>
  <c r="W139" i="176" s="1"/>
  <c r="E10" i="176"/>
  <c r="AH61" i="176"/>
  <c r="AH139" i="176" s="1"/>
  <c r="E26" i="176"/>
  <c r="E6" i="176"/>
  <c r="E5" i="176"/>
  <c r="X7" i="176"/>
  <c r="AE79" i="176"/>
  <c r="AE157" i="176" s="1"/>
  <c r="Q79" i="176"/>
  <c r="Q157" i="176" s="1"/>
  <c r="S91" i="176"/>
  <c r="S169" i="176" s="1"/>
  <c r="AD91" i="176"/>
  <c r="AD169" i="176" s="1"/>
  <c r="AF91" i="176"/>
  <c r="AF169" i="176" s="1"/>
  <c r="AG91" i="176"/>
  <c r="AG169" i="176" s="1"/>
  <c r="AF79" i="176"/>
  <c r="AF157" i="176" s="1"/>
  <c r="AG79" i="176"/>
  <c r="AG157" i="176" s="1"/>
  <c r="AH79" i="176"/>
  <c r="AH157" i="176" s="1"/>
  <c r="H67" i="176"/>
  <c r="H145" i="176" s="1"/>
  <c r="H146" i="176" s="1"/>
  <c r="I67" i="176"/>
  <c r="I145" i="176" s="1"/>
  <c r="J67" i="176"/>
  <c r="J145" i="176" s="1"/>
  <c r="K67" i="176"/>
  <c r="K145" i="176" s="1"/>
  <c r="L67" i="176"/>
  <c r="L145" i="176" s="1"/>
  <c r="M67" i="176"/>
  <c r="M145" i="176" s="1"/>
  <c r="N67" i="176"/>
  <c r="N145" i="176" s="1"/>
  <c r="U67" i="176"/>
  <c r="U145" i="176" s="1"/>
  <c r="U61" i="176"/>
  <c r="U139" i="176" s="1"/>
  <c r="AF61" i="176"/>
  <c r="AF139" i="176" s="1"/>
  <c r="AD61" i="176"/>
  <c r="AD139" i="176" s="1"/>
  <c r="P61" i="176"/>
  <c r="P139" i="176" s="1"/>
  <c r="Q61" i="176"/>
  <c r="Q139" i="176" s="1"/>
  <c r="Z61" i="176"/>
  <c r="Z139" i="176" s="1"/>
  <c r="E12" i="176"/>
  <c r="L43" i="176"/>
  <c r="L121" i="176" s="1"/>
  <c r="U43" i="176"/>
  <c r="U121" i="176" s="1"/>
  <c r="V43" i="176"/>
  <c r="V121" i="176" s="1"/>
  <c r="M43" i="176"/>
  <c r="M121" i="176" s="1"/>
  <c r="N43" i="176"/>
  <c r="N121" i="176" s="1"/>
  <c r="Q43" i="176"/>
  <c r="Q121" i="176" s="1"/>
  <c r="W43" i="176"/>
  <c r="W121" i="176" s="1"/>
  <c r="O43" i="176"/>
  <c r="O121" i="176" s="1"/>
  <c r="H195" i="176"/>
  <c r="C582" i="176"/>
  <c r="C185" i="176"/>
  <c r="C173" i="176"/>
  <c r="C512" i="176"/>
  <c r="C477" i="176"/>
  <c r="C167" i="176"/>
  <c r="C372" i="176"/>
  <c r="C149" i="176"/>
  <c r="C232" i="176"/>
  <c r="C125" i="176"/>
  <c r="AJ43" i="176"/>
  <c r="AJ121" i="176" s="1"/>
  <c r="AJ61" i="176"/>
  <c r="AJ139" i="176" s="1"/>
  <c r="AJ67" i="176"/>
  <c r="AJ145" i="176" s="1"/>
  <c r="AJ79" i="176"/>
  <c r="AJ157" i="176" s="1"/>
  <c r="AK43" i="176"/>
  <c r="AK121" i="176" s="1"/>
  <c r="AK61" i="176"/>
  <c r="AK139" i="176" s="1"/>
  <c r="AK79" i="176"/>
  <c r="AK157" i="176" s="1"/>
  <c r="C137" i="176"/>
  <c r="C302" i="176"/>
  <c r="C407" i="176"/>
  <c r="C155" i="176"/>
  <c r="C547" i="176"/>
  <c r="C179" i="176"/>
  <c r="E11" i="176"/>
  <c r="E14" i="176"/>
  <c r="E15" i="176"/>
  <c r="E17" i="176"/>
  <c r="E19" i="176"/>
  <c r="H49" i="176"/>
  <c r="H127" i="176" s="1"/>
  <c r="H128" i="176" s="1"/>
  <c r="H79" i="176"/>
  <c r="H157" i="176" s="1"/>
  <c r="H158" i="176" s="1"/>
  <c r="H85" i="176"/>
  <c r="H163" i="176" s="1"/>
  <c r="H164" i="176" s="1"/>
  <c r="H91" i="176"/>
  <c r="H169" i="176" s="1"/>
  <c r="H170" i="176" s="1"/>
  <c r="I79" i="176"/>
  <c r="I157" i="176" s="1"/>
  <c r="I91" i="176"/>
  <c r="I169" i="176" s="1"/>
  <c r="J79" i="176"/>
  <c r="J157" i="176" s="1"/>
  <c r="K61" i="176"/>
  <c r="K139" i="176" s="1"/>
  <c r="K79" i="176"/>
  <c r="K157" i="176" s="1"/>
  <c r="AJ91" i="176"/>
  <c r="AJ169" i="176" s="1"/>
  <c r="Y7" i="176"/>
  <c r="Z7" i="176"/>
  <c r="AK91" i="176"/>
  <c r="AK169" i="176" s="1"/>
  <c r="M49" i="176"/>
  <c r="M127" i="176" s="1"/>
  <c r="AA7" i="176"/>
  <c r="N49" i="176"/>
  <c r="N127" i="176" s="1"/>
  <c r="N61" i="176"/>
  <c r="N139" i="176" s="1"/>
  <c r="I49" i="176"/>
  <c r="I127" i="176" s="1"/>
  <c r="C337" i="176"/>
  <c r="AB7" i="176"/>
  <c r="O49" i="176"/>
  <c r="O127" i="176" s="1"/>
  <c r="O61" i="176"/>
  <c r="O139" i="176" s="1"/>
  <c r="J49" i="176"/>
  <c r="J127" i="176" s="1"/>
  <c r="AC7" i="176"/>
  <c r="P43" i="176"/>
  <c r="P121" i="176" s="1"/>
  <c r="P49" i="176"/>
  <c r="P127" i="176" s="1"/>
  <c r="K49" i="176"/>
  <c r="K127" i="176" s="1"/>
  <c r="AD7" i="176"/>
  <c r="L49" i="176"/>
  <c r="L127" i="176" s="1"/>
  <c r="L79" i="176"/>
  <c r="L157" i="176" s="1"/>
  <c r="AE7" i="176"/>
  <c r="R43" i="176"/>
  <c r="R121" i="176" s="1"/>
  <c r="R61" i="176"/>
  <c r="R139" i="176" s="1"/>
  <c r="M79" i="176"/>
  <c r="M157" i="176" s="1"/>
  <c r="AF7" i="176"/>
  <c r="S61" i="176"/>
  <c r="S139" i="176" s="1"/>
  <c r="R49" i="176"/>
  <c r="R127" i="176" s="1"/>
  <c r="AK67" i="176"/>
  <c r="AK145" i="176" s="1"/>
  <c r="N79" i="176"/>
  <c r="N157" i="176" s="1"/>
  <c r="AG7" i="176"/>
  <c r="T43" i="176"/>
  <c r="T121" i="176" s="1"/>
  <c r="T61" i="176"/>
  <c r="T139" i="176" s="1"/>
  <c r="T67" i="176"/>
  <c r="T145" i="176" s="1"/>
  <c r="S49" i="176"/>
  <c r="S127" i="176" s="1"/>
  <c r="O79" i="176"/>
  <c r="O157" i="176" s="1"/>
  <c r="AH7" i="176"/>
  <c r="T49" i="176"/>
  <c r="T127" i="176" s="1"/>
  <c r="P79" i="176"/>
  <c r="P157" i="176" s="1"/>
  <c r="AI7" i="176"/>
  <c r="C161" i="176"/>
  <c r="R79" i="176"/>
  <c r="R157" i="176" s="1"/>
  <c r="X43" i="176"/>
  <c r="X121" i="176" s="1"/>
  <c r="X61" i="176"/>
  <c r="X139" i="176" s="1"/>
  <c r="X67" i="176"/>
  <c r="X145" i="176" s="1"/>
  <c r="X91" i="176"/>
  <c r="X169" i="176" s="1"/>
  <c r="S79" i="176"/>
  <c r="S157" i="176" s="1"/>
  <c r="Y43" i="176"/>
  <c r="Y121" i="176" s="1"/>
  <c r="Y61" i="176"/>
  <c r="Y139" i="176" s="1"/>
  <c r="Y67" i="176"/>
  <c r="Y145" i="176" s="1"/>
  <c r="Y79" i="176"/>
  <c r="Y157" i="176" s="1"/>
  <c r="Y91" i="176"/>
  <c r="Y169" i="176" s="1"/>
  <c r="T79" i="176"/>
  <c r="T157" i="176" s="1"/>
  <c r="J91" i="176"/>
  <c r="J169" i="176" s="1"/>
  <c r="E4" i="176"/>
  <c r="Y49" i="176"/>
  <c r="Y127" i="176" s="1"/>
  <c r="K91" i="176"/>
  <c r="K169" i="176" s="1"/>
  <c r="I85" i="176"/>
  <c r="I163" i="176" s="1"/>
  <c r="L91" i="176"/>
  <c r="L169" i="176" s="1"/>
  <c r="C197" i="176"/>
  <c r="J85" i="176"/>
  <c r="J163" i="176" s="1"/>
  <c r="M91" i="176"/>
  <c r="M169" i="176" s="1"/>
  <c r="O91" i="176"/>
  <c r="O169" i="176" s="1"/>
  <c r="C131" i="176"/>
  <c r="J61" i="176"/>
  <c r="J139" i="176" s="1"/>
  <c r="E29" i="176"/>
  <c r="E28" i="176"/>
  <c r="Z43" i="176"/>
  <c r="Z121" i="176" s="1"/>
  <c r="AF49" i="176"/>
  <c r="AF127" i="176" s="1"/>
  <c r="AA43" i="176"/>
  <c r="AA121" i="176" s="1"/>
  <c r="AH91" i="176"/>
  <c r="AH169" i="176" s="1"/>
  <c r="AI43" i="176"/>
  <c r="AI121" i="176" s="1"/>
  <c r="T7" i="176"/>
  <c r="U7" i="176"/>
  <c r="V7" i="176"/>
  <c r="V91" i="176"/>
  <c r="V169" i="176" s="1"/>
  <c r="W79" i="176"/>
  <c r="W157" i="176" s="1"/>
  <c r="Q7" i="176"/>
  <c r="E169" i="176" l="1"/>
  <c r="E145" i="176"/>
  <c r="E139" i="176"/>
  <c r="E127" i="176"/>
  <c r="E157" i="176"/>
  <c r="H142" i="176"/>
  <c r="I138" i="176" s="1"/>
  <c r="N1" i="130"/>
  <c r="AF73" i="176"/>
  <c r="AF151" i="176" s="1"/>
  <c r="AG73" i="176"/>
  <c r="AG151" i="176" s="1"/>
  <c r="AH73" i="176"/>
  <c r="AH151" i="176" s="1"/>
  <c r="AI73" i="176"/>
  <c r="AI151" i="176" s="1"/>
  <c r="AJ73" i="176"/>
  <c r="AJ151" i="176" s="1"/>
  <c r="AK73" i="176"/>
  <c r="AK151" i="176" s="1"/>
  <c r="I73" i="176"/>
  <c r="I151" i="176" s="1"/>
  <c r="J73" i="176"/>
  <c r="J151" i="176" s="1"/>
  <c r="K73" i="176"/>
  <c r="K151" i="176" s="1"/>
  <c r="L73" i="176"/>
  <c r="L151" i="176" s="1"/>
  <c r="M73" i="176"/>
  <c r="M151" i="176" s="1"/>
  <c r="E16" i="176"/>
  <c r="H73" i="176"/>
  <c r="H151" i="176" s="1"/>
  <c r="H152" i="176" s="1"/>
  <c r="O73" i="176"/>
  <c r="O151" i="176" s="1"/>
  <c r="P73" i="176"/>
  <c r="P151" i="176" s="1"/>
  <c r="Q73" i="176"/>
  <c r="Q151" i="176" s="1"/>
  <c r="R73" i="176"/>
  <c r="R151" i="176" s="1"/>
  <c r="S73" i="176"/>
  <c r="S151" i="176" s="1"/>
  <c r="T73" i="176"/>
  <c r="T151" i="176" s="1"/>
  <c r="V73" i="176"/>
  <c r="V151" i="176" s="1"/>
  <c r="W73" i="176"/>
  <c r="W151" i="176" s="1"/>
  <c r="X73" i="176"/>
  <c r="X151" i="176" s="1"/>
  <c r="Y73" i="176"/>
  <c r="Y151" i="176" s="1"/>
  <c r="Z73" i="176"/>
  <c r="Z151" i="176" s="1"/>
  <c r="AA73" i="176"/>
  <c r="AA151" i="176" s="1"/>
  <c r="AC73" i="176"/>
  <c r="AC151" i="176" s="1"/>
  <c r="AD73" i="176"/>
  <c r="AD151" i="176" s="1"/>
  <c r="AE73" i="176"/>
  <c r="AE151" i="176" s="1"/>
  <c r="N73" i="176"/>
  <c r="N151" i="176" s="1"/>
  <c r="AB73" i="176"/>
  <c r="AB151" i="176" s="1"/>
  <c r="E79" i="176"/>
  <c r="E61" i="176"/>
  <c r="H159" i="176"/>
  <c r="E67" i="176"/>
  <c r="H165" i="176"/>
  <c r="H129" i="176"/>
  <c r="H130" i="176"/>
  <c r="I126" i="176" s="1"/>
  <c r="E49" i="176"/>
  <c r="H230" i="176"/>
  <c r="H160" i="176"/>
  <c r="I156" i="176" s="1"/>
  <c r="H141" i="176"/>
  <c r="H171" i="176"/>
  <c r="H147" i="176"/>
  <c r="H166" i="176"/>
  <c r="I162" i="176" s="1"/>
  <c r="H172" i="176"/>
  <c r="I168" i="176" s="1"/>
  <c r="E7" i="176"/>
  <c r="H148" i="176"/>
  <c r="I144" i="176" s="1"/>
  <c r="E91" i="176"/>
  <c r="H153" i="176" l="1"/>
  <c r="O1" i="130"/>
  <c r="H154" i="176"/>
  <c r="I150" i="176" s="1"/>
  <c r="H265" i="176"/>
  <c r="P1" i="130" l="1"/>
  <c r="H300" i="176"/>
  <c r="Q1" i="130" l="1"/>
  <c r="H335" i="176"/>
  <c r="R1" i="130" l="1"/>
  <c r="H370" i="176"/>
  <c r="S1" i="130" l="1"/>
  <c r="H405" i="176"/>
  <c r="T1" i="130" l="1"/>
  <c r="H440" i="176"/>
  <c r="U1" i="130" l="1"/>
  <c r="H475" i="176"/>
  <c r="V1" i="130" l="1"/>
  <c r="H510" i="176"/>
  <c r="W1" i="130" l="1"/>
  <c r="H545" i="176"/>
  <c r="X1" i="130" l="1"/>
  <c r="H580" i="176"/>
  <c r="Y1" i="130" l="1"/>
  <c r="Z1" i="130" l="1"/>
  <c r="D19" i="21"/>
  <c r="K81" i="133"/>
  <c r="E45" i="134"/>
  <c r="A70" i="133"/>
  <c r="G71" i="133" s="1"/>
  <c r="H39" i="133"/>
  <c r="I39" i="133"/>
  <c r="J39" i="133"/>
  <c r="K39" i="133"/>
  <c r="L39" i="133"/>
  <c r="M39" i="133"/>
  <c r="N39" i="133"/>
  <c r="O39" i="133"/>
  <c r="P39" i="133"/>
  <c r="Q39" i="133"/>
  <c r="R39" i="133"/>
  <c r="S39" i="133"/>
  <c r="T39" i="133"/>
  <c r="U39" i="133"/>
  <c r="V39" i="133"/>
  <c r="W39" i="133"/>
  <c r="X39" i="133"/>
  <c r="Y39" i="133"/>
  <c r="Z39" i="133"/>
  <c r="AA39" i="133"/>
  <c r="AB39" i="133"/>
  <c r="AC39" i="133"/>
  <c r="G39" i="133"/>
  <c r="T11" i="130"/>
  <c r="AA1" i="130" l="1"/>
  <c r="AR71" i="133"/>
  <c r="D24" i="21" l="1"/>
  <c r="D11" i="21"/>
  <c r="F2" i="130" s="1"/>
  <c r="D10" i="21"/>
  <c r="D180" i="21" s="1"/>
  <c r="F3" i="130" l="1"/>
  <c r="G2" i="130"/>
  <c r="H108" i="173"/>
  <c r="H96" i="173"/>
  <c r="H90" i="173"/>
  <c r="H84" i="173"/>
  <c r="H78" i="173"/>
  <c r="H72" i="173"/>
  <c r="H66" i="173"/>
  <c r="H60" i="173"/>
  <c r="H54" i="173"/>
  <c r="H48" i="173"/>
  <c r="H2" i="130" l="1"/>
  <c r="G3" i="130"/>
  <c r="H42" i="173"/>
  <c r="I20" i="176"/>
  <c r="J20" i="176"/>
  <c r="K20" i="176"/>
  <c r="H20" i="176"/>
  <c r="I30" i="173"/>
  <c r="J30" i="173"/>
  <c r="K30" i="173"/>
  <c r="L30" i="173"/>
  <c r="M30" i="173"/>
  <c r="N30" i="173"/>
  <c r="O30" i="173"/>
  <c r="P30" i="173"/>
  <c r="Q30" i="173"/>
  <c r="R30" i="173"/>
  <c r="S30" i="173"/>
  <c r="T30" i="173"/>
  <c r="U30" i="173"/>
  <c r="V30" i="173"/>
  <c r="W30" i="173"/>
  <c r="X30" i="173"/>
  <c r="Y30" i="173"/>
  <c r="Z30" i="173"/>
  <c r="AA30" i="173"/>
  <c r="AB30" i="173"/>
  <c r="AC30" i="173"/>
  <c r="AD30" i="173"/>
  <c r="H30" i="173"/>
  <c r="H97" i="173" s="1"/>
  <c r="H175" i="173" s="1"/>
  <c r="R43" i="173"/>
  <c r="R121" i="173" s="1"/>
  <c r="S43" i="173"/>
  <c r="S121" i="173" s="1"/>
  <c r="T43" i="173"/>
  <c r="T121" i="173" s="1"/>
  <c r="U43" i="173"/>
  <c r="U121" i="173" s="1"/>
  <c r="V43" i="173"/>
  <c r="V121" i="173" s="1"/>
  <c r="W43" i="173"/>
  <c r="W121" i="173" s="1"/>
  <c r="C32" i="173"/>
  <c r="C25" i="173"/>
  <c r="C19" i="173"/>
  <c r="C89" i="173" s="1"/>
  <c r="C20" i="173"/>
  <c r="C95" i="173" s="1"/>
  <c r="C173" i="173" s="1"/>
  <c r="C21" i="173"/>
  <c r="C101" i="173" s="1"/>
  <c r="C179" i="173" s="1"/>
  <c r="C22" i="173"/>
  <c r="C107" i="173" s="1"/>
  <c r="C185" i="173" s="1"/>
  <c r="C10" i="173"/>
  <c r="C11" i="173"/>
  <c r="C47" i="173" s="1"/>
  <c r="C12" i="173"/>
  <c r="C13" i="173"/>
  <c r="C53" i="173" s="1"/>
  <c r="C14" i="173"/>
  <c r="C59" i="173" s="1"/>
  <c r="C15" i="173"/>
  <c r="C65" i="173" s="1"/>
  <c r="C16" i="173"/>
  <c r="C71" i="173" s="1"/>
  <c r="C17" i="173"/>
  <c r="C77" i="173" s="1"/>
  <c r="C18" i="173"/>
  <c r="C83" i="173" s="1"/>
  <c r="C161" i="173" s="1"/>
  <c r="C9" i="173"/>
  <c r="C41" i="173" s="1"/>
  <c r="H3" i="130" l="1"/>
  <c r="I2" i="130"/>
  <c r="J2" i="130" s="1"/>
  <c r="AD43" i="173"/>
  <c r="AD121" i="173" s="1"/>
  <c r="AC43" i="173"/>
  <c r="AC121" i="173" s="1"/>
  <c r="AB43" i="173"/>
  <c r="AB121" i="173" s="1"/>
  <c r="AA43" i="173"/>
  <c r="AA121" i="173" s="1"/>
  <c r="Z43" i="173"/>
  <c r="Z121" i="173" s="1"/>
  <c r="Y43" i="173"/>
  <c r="Y121" i="173" s="1"/>
  <c r="X43" i="173"/>
  <c r="X121" i="173" s="1"/>
  <c r="U79" i="173"/>
  <c r="U157" i="173" s="1"/>
  <c r="AC79" i="173"/>
  <c r="AC157" i="173" s="1"/>
  <c r="P79" i="173"/>
  <c r="P157" i="173" s="1"/>
  <c r="S79" i="173"/>
  <c r="S157" i="173" s="1"/>
  <c r="AA79" i="173"/>
  <c r="AA157" i="173" s="1"/>
  <c r="AB79" i="173"/>
  <c r="AB157" i="173" s="1"/>
  <c r="Z79" i="173"/>
  <c r="Z157" i="173" s="1"/>
  <c r="X79" i="173"/>
  <c r="X157" i="173" s="1"/>
  <c r="R79" i="173"/>
  <c r="R157" i="173" s="1"/>
  <c r="M79" i="173"/>
  <c r="M157" i="173" s="1"/>
  <c r="W79" i="173"/>
  <c r="W157" i="173" s="1"/>
  <c r="O79" i="173"/>
  <c r="O157" i="173" s="1"/>
  <c r="K79" i="173"/>
  <c r="K157" i="173" s="1"/>
  <c r="V79" i="173"/>
  <c r="V157" i="173" s="1"/>
  <c r="AD79" i="173"/>
  <c r="AD157" i="173" s="1"/>
  <c r="T79" i="173"/>
  <c r="T157" i="173" s="1"/>
  <c r="Q79" i="173"/>
  <c r="Q157" i="173" s="1"/>
  <c r="J79" i="173"/>
  <c r="J157" i="173" s="1"/>
  <c r="I79" i="173"/>
  <c r="I157" i="173" s="1"/>
  <c r="Y79" i="173"/>
  <c r="Y157" i="173" s="1"/>
  <c r="L79" i="173"/>
  <c r="L157" i="173" s="1"/>
  <c r="H79" i="173"/>
  <c r="H157" i="173" s="1"/>
  <c r="T97" i="173"/>
  <c r="T175" i="173" s="1"/>
  <c r="S97" i="173"/>
  <c r="S175" i="173" s="1"/>
  <c r="R97" i="173"/>
  <c r="R175" i="173" s="1"/>
  <c r="C149" i="173"/>
  <c r="C337" i="173"/>
  <c r="C137" i="173"/>
  <c r="C281" i="173"/>
  <c r="C131" i="173"/>
  <c r="C253" i="173"/>
  <c r="C119" i="173"/>
  <c r="C197" i="173"/>
  <c r="C143" i="173"/>
  <c r="C309" i="173"/>
  <c r="C125" i="173"/>
  <c r="C225" i="173"/>
  <c r="C167" i="173"/>
  <c r="C421" i="173"/>
  <c r="C155" i="173"/>
  <c r="C365" i="173"/>
  <c r="K85" i="173"/>
  <c r="K163" i="173" s="1"/>
  <c r="H85" i="173"/>
  <c r="H163" i="173" s="1"/>
  <c r="P97" i="173"/>
  <c r="P175" i="173" s="1"/>
  <c r="J85" i="173"/>
  <c r="J163" i="173" s="1"/>
  <c r="C505" i="173"/>
  <c r="Q97" i="173"/>
  <c r="Q175" i="173" s="1"/>
  <c r="C393" i="173"/>
  <c r="C477" i="173"/>
  <c r="I85" i="173"/>
  <c r="I163" i="173" s="1"/>
  <c r="C449" i="173"/>
  <c r="U97" i="173"/>
  <c r="U175" i="173" s="1"/>
  <c r="AD97" i="173"/>
  <c r="AD175" i="173" s="1"/>
  <c r="AC97" i="173"/>
  <c r="AC175" i="173" s="1"/>
  <c r="AB97" i="173"/>
  <c r="AB175" i="173" s="1"/>
  <c r="AA97" i="173"/>
  <c r="AA175" i="173" s="1"/>
  <c r="Z97" i="173"/>
  <c r="Z175" i="173" s="1"/>
  <c r="Y97" i="173"/>
  <c r="Y175" i="173" s="1"/>
  <c r="W97" i="173"/>
  <c r="W175" i="173" s="1"/>
  <c r="V97" i="173"/>
  <c r="V175" i="173" s="1"/>
  <c r="X97" i="173"/>
  <c r="X175" i="173" s="1"/>
  <c r="J97" i="173"/>
  <c r="J175" i="173" s="1"/>
  <c r="I97" i="173"/>
  <c r="I175" i="173" s="1"/>
  <c r="N97" i="173"/>
  <c r="N175" i="173" s="1"/>
  <c r="M97" i="173"/>
  <c r="M175" i="173" s="1"/>
  <c r="K97" i="173"/>
  <c r="K175" i="173" s="1"/>
  <c r="L97" i="173"/>
  <c r="L175" i="173" s="1"/>
  <c r="O97" i="173"/>
  <c r="O175" i="173" s="1"/>
  <c r="E10" i="173"/>
  <c r="E28" i="173"/>
  <c r="E30" i="173"/>
  <c r="E20" i="173"/>
  <c r="E175" i="173" l="1"/>
  <c r="E97" i="173"/>
  <c r="AD6" i="173"/>
  <c r="AC6" i="173"/>
  <c r="AB6" i="173"/>
  <c r="AA6" i="173"/>
  <c r="Z6" i="173"/>
  <c r="Y6" i="173"/>
  <c r="X6" i="173"/>
  <c r="W6" i="173"/>
  <c r="V6" i="173"/>
  <c r="U6" i="173"/>
  <c r="T6" i="173"/>
  <c r="S6" i="173"/>
  <c r="R6" i="173"/>
  <c r="Q6" i="173"/>
  <c r="P6" i="173"/>
  <c r="O6" i="173"/>
  <c r="N6" i="173"/>
  <c r="M6" i="173"/>
  <c r="L6" i="173"/>
  <c r="K6" i="173"/>
  <c r="J6" i="173"/>
  <c r="I6" i="173"/>
  <c r="H6" i="173"/>
  <c r="AD5" i="173"/>
  <c r="AC5" i="173"/>
  <c r="AB5" i="173"/>
  <c r="AA5" i="173"/>
  <c r="Z5" i="173"/>
  <c r="Y5" i="173"/>
  <c r="X5" i="173"/>
  <c r="W5" i="173"/>
  <c r="V5" i="173"/>
  <c r="U5" i="173"/>
  <c r="T5" i="173"/>
  <c r="S5" i="173"/>
  <c r="R5" i="173"/>
  <c r="Q5" i="173"/>
  <c r="P5" i="173"/>
  <c r="O5" i="173"/>
  <c r="N5" i="173"/>
  <c r="M5" i="173"/>
  <c r="L5" i="173"/>
  <c r="K5" i="173"/>
  <c r="J5" i="173"/>
  <c r="I5" i="173"/>
  <c r="H5" i="173"/>
  <c r="AD4" i="173"/>
  <c r="AC4" i="173"/>
  <c r="AB4" i="173"/>
  <c r="AA4" i="173"/>
  <c r="Z4" i="173"/>
  <c r="Y4" i="173"/>
  <c r="X4" i="173"/>
  <c r="W4" i="173"/>
  <c r="V4" i="173"/>
  <c r="U4" i="173"/>
  <c r="T4" i="173"/>
  <c r="S4" i="173"/>
  <c r="R4" i="173"/>
  <c r="Q4" i="173"/>
  <c r="P4" i="173"/>
  <c r="O4" i="173"/>
  <c r="N4" i="173"/>
  <c r="M4" i="173"/>
  <c r="L4" i="173"/>
  <c r="K4" i="173"/>
  <c r="J4" i="173"/>
  <c r="I4" i="173"/>
  <c r="H4" i="173"/>
  <c r="H3" i="173"/>
  <c r="H40" i="173" s="1"/>
  <c r="H118" i="173" s="1"/>
  <c r="H196" i="173" s="1"/>
  <c r="H224" i="173" s="1"/>
  <c r="H252" i="173" s="1"/>
  <c r="H280" i="173" s="1"/>
  <c r="H308" i="173" s="1"/>
  <c r="H336" i="173" s="1"/>
  <c r="H364" i="173" s="1"/>
  <c r="H392" i="173" s="1"/>
  <c r="H420" i="173" s="1"/>
  <c r="H448" i="173" s="1"/>
  <c r="H476" i="173" s="1"/>
  <c r="H504" i="173" s="1"/>
  <c r="H2" i="173"/>
  <c r="H39" i="173" s="1"/>
  <c r="H117" i="173" s="1"/>
  <c r="H195" i="173" l="1"/>
  <c r="H223" i="173" s="1"/>
  <c r="H164" i="173"/>
  <c r="H176" i="173"/>
  <c r="H158" i="173"/>
  <c r="E4" i="173"/>
  <c r="E5" i="173"/>
  <c r="E6" i="173"/>
  <c r="P7" i="173"/>
  <c r="Z7" i="173"/>
  <c r="AD7" i="173"/>
  <c r="AA7" i="173"/>
  <c r="AB7" i="173"/>
  <c r="AC7" i="173"/>
  <c r="X7" i="173"/>
  <c r="R7" i="173"/>
  <c r="V7" i="173"/>
  <c r="Q7" i="173"/>
  <c r="K7" i="173"/>
  <c r="T7" i="173"/>
  <c r="I7" i="173"/>
  <c r="L7" i="173"/>
  <c r="U7" i="173"/>
  <c r="Y7" i="173"/>
  <c r="M7" i="173"/>
  <c r="S7" i="173"/>
  <c r="W7" i="173"/>
  <c r="N7" i="173"/>
  <c r="H7" i="173"/>
  <c r="J7" i="173"/>
  <c r="O7" i="173"/>
  <c r="N20" i="176"/>
  <c r="Q20" i="176"/>
  <c r="R20" i="176"/>
  <c r="S20" i="176"/>
  <c r="T20" i="176"/>
  <c r="V20" i="176"/>
  <c r="W20" i="176"/>
  <c r="X20" i="176"/>
  <c r="Y20" i="176"/>
  <c r="AA20" i="176"/>
  <c r="AB20" i="176"/>
  <c r="AC20" i="176"/>
  <c r="AD20" i="176"/>
  <c r="AE20" i="176"/>
  <c r="AF20" i="176"/>
  <c r="AG20" i="176"/>
  <c r="AH20" i="176"/>
  <c r="AI20" i="176"/>
  <c r="AJ20" i="176"/>
  <c r="AK20" i="176"/>
  <c r="AK30" i="176"/>
  <c r="AJ30" i="176"/>
  <c r="AI30" i="176"/>
  <c r="AH30" i="176"/>
  <c r="AG30" i="176"/>
  <c r="AF30" i="176"/>
  <c r="AE30" i="176"/>
  <c r="AD30" i="176"/>
  <c r="AC30" i="176"/>
  <c r="AB30" i="176"/>
  <c r="AA30" i="176"/>
  <c r="Z30" i="176"/>
  <c r="Y30" i="176"/>
  <c r="X30" i="176"/>
  <c r="W30" i="176"/>
  <c r="V30" i="176"/>
  <c r="U30" i="176"/>
  <c r="T30" i="176"/>
  <c r="S30" i="176"/>
  <c r="R30" i="176"/>
  <c r="Q30" i="176"/>
  <c r="P30" i="176"/>
  <c r="O30" i="176"/>
  <c r="N30" i="176"/>
  <c r="M30" i="176"/>
  <c r="L30" i="176"/>
  <c r="K30" i="176"/>
  <c r="K97" i="176" s="1"/>
  <c r="K175" i="176" s="1"/>
  <c r="J30" i="176"/>
  <c r="J97" i="176" s="1"/>
  <c r="J175" i="176" s="1"/>
  <c r="I30" i="176"/>
  <c r="I97" i="176" s="1"/>
  <c r="I175" i="176" s="1"/>
  <c r="H30" i="176"/>
  <c r="O20" i="176" l="1"/>
  <c r="O97" i="176" s="1"/>
  <c r="O175" i="176" s="1"/>
  <c r="AH97" i="176"/>
  <c r="AH175" i="176" s="1"/>
  <c r="AJ97" i="176"/>
  <c r="AJ175" i="176" s="1"/>
  <c r="AI97" i="176"/>
  <c r="AI175" i="176" s="1"/>
  <c r="AC97" i="176"/>
  <c r="AC175" i="176" s="1"/>
  <c r="AK97" i="176"/>
  <c r="AK175" i="176" s="1"/>
  <c r="AG97" i="176"/>
  <c r="AG175" i="176" s="1"/>
  <c r="AF97" i="176"/>
  <c r="AF175" i="176" s="1"/>
  <c r="E30" i="176"/>
  <c r="H97" i="176"/>
  <c r="V97" i="176"/>
  <c r="V175" i="176" s="1"/>
  <c r="T97" i="176"/>
  <c r="T175" i="176" s="1"/>
  <c r="AE97" i="176"/>
  <c r="AE175" i="176" s="1"/>
  <c r="W97" i="176"/>
  <c r="W175" i="176" s="1"/>
  <c r="S97" i="176"/>
  <c r="S175" i="176" s="1"/>
  <c r="AD97" i="176"/>
  <c r="AD175" i="176" s="1"/>
  <c r="AA97" i="176"/>
  <c r="AA175" i="176" s="1"/>
  <c r="R97" i="176"/>
  <c r="R175" i="176" s="1"/>
  <c r="Y97" i="176"/>
  <c r="Y175" i="176" s="1"/>
  <c r="X97" i="176"/>
  <c r="X175" i="176" s="1"/>
  <c r="Q97" i="176"/>
  <c r="Q175" i="176" s="1"/>
  <c r="AB97" i="176"/>
  <c r="AB175" i="176" s="1"/>
  <c r="N97" i="176"/>
  <c r="N175" i="176" s="1"/>
  <c r="H160" i="173"/>
  <c r="I156" i="173" s="1"/>
  <c r="H159" i="173"/>
  <c r="H178" i="173"/>
  <c r="I174" i="173" s="1"/>
  <c r="H177" i="173"/>
  <c r="H251" i="173"/>
  <c r="E7" i="173"/>
  <c r="U20" i="176"/>
  <c r="U97" i="176" s="1"/>
  <c r="U175" i="176" s="1"/>
  <c r="H175" i="176" l="1"/>
  <c r="H279" i="173"/>
  <c r="P20" i="176"/>
  <c r="P97" i="176" s="1"/>
  <c r="P175" i="176" s="1"/>
  <c r="Z20" i="176"/>
  <c r="Z97" i="176" s="1"/>
  <c r="Z175" i="176" s="1"/>
  <c r="M20" i="176" l="1"/>
  <c r="M97" i="176" s="1"/>
  <c r="M175" i="176" s="1"/>
  <c r="H176" i="176"/>
  <c r="H177" i="176" s="1"/>
  <c r="H307" i="173"/>
  <c r="H178" i="176" l="1"/>
  <c r="I174" i="176" s="1"/>
  <c r="H335" i="173"/>
  <c r="L20" i="176" l="1"/>
  <c r="H363" i="173"/>
  <c r="I19" i="173"/>
  <c r="J19" i="173"/>
  <c r="H19" i="173"/>
  <c r="H29" i="173"/>
  <c r="AD29" i="173"/>
  <c r="AC29" i="173"/>
  <c r="AB29" i="173"/>
  <c r="AA29" i="173"/>
  <c r="Z29" i="173"/>
  <c r="Y29" i="173"/>
  <c r="X29" i="173"/>
  <c r="W29" i="173"/>
  <c r="V29" i="173"/>
  <c r="U29" i="173"/>
  <c r="S29" i="173"/>
  <c r="R29" i="173"/>
  <c r="Q29" i="173"/>
  <c r="P29" i="173"/>
  <c r="O29" i="173"/>
  <c r="N29" i="173"/>
  <c r="M29" i="173"/>
  <c r="L29" i="173"/>
  <c r="J29" i="173"/>
  <c r="I29" i="173"/>
  <c r="AD19" i="173"/>
  <c r="AC19" i="173"/>
  <c r="AB19" i="173"/>
  <c r="AA19" i="173"/>
  <c r="Z19" i="173"/>
  <c r="Y19" i="173"/>
  <c r="X19" i="173"/>
  <c r="W19" i="173"/>
  <c r="V19" i="173"/>
  <c r="U19" i="173"/>
  <c r="T19" i="173"/>
  <c r="R19" i="173"/>
  <c r="Q19" i="173"/>
  <c r="P19" i="173"/>
  <c r="I31" i="173"/>
  <c r="J31" i="173"/>
  <c r="K31" i="173"/>
  <c r="L31" i="173"/>
  <c r="M31" i="173"/>
  <c r="N31" i="173"/>
  <c r="O31" i="173"/>
  <c r="P31" i="173"/>
  <c r="Q31" i="173"/>
  <c r="R31" i="173"/>
  <c r="S31" i="173"/>
  <c r="T31" i="173"/>
  <c r="U31" i="173"/>
  <c r="V31" i="173"/>
  <c r="W31" i="173"/>
  <c r="X31" i="173"/>
  <c r="Y31" i="173"/>
  <c r="Z31" i="173"/>
  <c r="AA31" i="173"/>
  <c r="AB31" i="173"/>
  <c r="AC31" i="173"/>
  <c r="AD31" i="173"/>
  <c r="H31" i="173"/>
  <c r="O19" i="173" l="1"/>
  <c r="O91" i="173" s="1"/>
  <c r="O169" i="173" s="1"/>
  <c r="L97" i="176"/>
  <c r="E20" i="176"/>
  <c r="J91" i="173"/>
  <c r="J169" i="173" s="1"/>
  <c r="I91" i="173"/>
  <c r="I169" i="173" s="1"/>
  <c r="Q91" i="173"/>
  <c r="Q169" i="173" s="1"/>
  <c r="U91" i="173"/>
  <c r="U169" i="173" s="1"/>
  <c r="W91" i="173"/>
  <c r="W169" i="173" s="1"/>
  <c r="Y91" i="173"/>
  <c r="Y169" i="173" s="1"/>
  <c r="Z91" i="173"/>
  <c r="Z169" i="173" s="1"/>
  <c r="AA91" i="173"/>
  <c r="AA169" i="173" s="1"/>
  <c r="AB91" i="173"/>
  <c r="AB169" i="173" s="1"/>
  <c r="AC91" i="173"/>
  <c r="AC169" i="173" s="1"/>
  <c r="V91" i="173"/>
  <c r="V169" i="173" s="1"/>
  <c r="X91" i="173"/>
  <c r="X169" i="173" s="1"/>
  <c r="AD91" i="173"/>
  <c r="AD169" i="173" s="1"/>
  <c r="P91" i="173"/>
  <c r="P169" i="173" s="1"/>
  <c r="H91" i="173"/>
  <c r="H169" i="173" s="1"/>
  <c r="R91" i="173"/>
  <c r="R169" i="173" s="1"/>
  <c r="H391" i="173"/>
  <c r="S103" i="173"/>
  <c r="S181" i="173" s="1"/>
  <c r="AD103" i="173"/>
  <c r="AD181" i="173" s="1"/>
  <c r="AC103" i="173"/>
  <c r="AC181" i="173" s="1"/>
  <c r="AB103" i="173"/>
  <c r="AB181" i="173" s="1"/>
  <c r="AA103" i="173"/>
  <c r="AA181" i="173" s="1"/>
  <c r="I103" i="173"/>
  <c r="I181" i="173" s="1"/>
  <c r="Z103" i="173"/>
  <c r="Z181" i="173" s="1"/>
  <c r="Y103" i="173"/>
  <c r="Y181" i="173" s="1"/>
  <c r="X103" i="173"/>
  <c r="X181" i="173" s="1"/>
  <c r="W103" i="173"/>
  <c r="W181" i="173" s="1"/>
  <c r="V103" i="173"/>
  <c r="V181" i="173" s="1"/>
  <c r="U103" i="173"/>
  <c r="U181" i="173" s="1"/>
  <c r="T103" i="173"/>
  <c r="T181" i="173" s="1"/>
  <c r="R103" i="173"/>
  <c r="R181" i="173" s="1"/>
  <c r="Q103" i="173"/>
  <c r="Q181" i="173" s="1"/>
  <c r="P103" i="173"/>
  <c r="P181" i="173" s="1"/>
  <c r="E31" i="173"/>
  <c r="O103" i="173"/>
  <c r="O181" i="173" s="1"/>
  <c r="K29" i="173"/>
  <c r="L175" i="176" l="1"/>
  <c r="E175" i="176" s="1"/>
  <c r="E97" i="176"/>
  <c r="H170" i="173"/>
  <c r="H171" i="173" s="1"/>
  <c r="H103" i="173"/>
  <c r="H181" i="173" s="1"/>
  <c r="H182" i="173" s="1"/>
  <c r="H183" i="173" s="1"/>
  <c r="H419" i="173"/>
  <c r="S19" i="173"/>
  <c r="S91" i="173" s="1"/>
  <c r="S169" i="173" s="1"/>
  <c r="H172" i="173" l="1"/>
  <c r="I168" i="173" s="1"/>
  <c r="H184" i="173"/>
  <c r="I180" i="173" s="1"/>
  <c r="H447" i="173"/>
  <c r="T29" i="173"/>
  <c r="AK31" i="176"/>
  <c r="AJ31" i="176"/>
  <c r="AI31" i="176"/>
  <c r="AH31" i="176"/>
  <c r="AG31" i="176"/>
  <c r="AF31" i="176"/>
  <c r="AE31" i="176"/>
  <c r="AD31" i="176"/>
  <c r="AC31" i="176"/>
  <c r="AB31" i="176"/>
  <c r="AA31" i="176"/>
  <c r="Z31" i="176"/>
  <c r="Y31" i="176"/>
  <c r="X31" i="176"/>
  <c r="W31" i="176"/>
  <c r="V31" i="176"/>
  <c r="U31" i="176"/>
  <c r="T31" i="176"/>
  <c r="S31" i="176"/>
  <c r="R31" i="176"/>
  <c r="Q31" i="176"/>
  <c r="P31" i="176"/>
  <c r="O31" i="176"/>
  <c r="N31" i="176"/>
  <c r="M31" i="176"/>
  <c r="L31" i="176"/>
  <c r="K31" i="176"/>
  <c r="I31" i="176"/>
  <c r="H31" i="176"/>
  <c r="E72" i="137"/>
  <c r="A12" i="136"/>
  <c r="A13" i="136" s="1"/>
  <c r="A12" i="146"/>
  <c r="A13" i="146" s="1"/>
  <c r="A33" i="136" l="1"/>
  <c r="A14" i="136"/>
  <c r="A14" i="146"/>
  <c r="A33" i="146"/>
  <c r="U21" i="176"/>
  <c r="U103" i="176" s="1"/>
  <c r="U181" i="176" s="1"/>
  <c r="V21" i="176"/>
  <c r="V103" i="176" s="1"/>
  <c r="V181" i="176" s="1"/>
  <c r="Z21" i="176"/>
  <c r="Z103" i="176" s="1"/>
  <c r="Z181" i="176" s="1"/>
  <c r="AI21" i="176"/>
  <c r="AI103" i="176" s="1"/>
  <c r="AI181" i="176" s="1"/>
  <c r="S21" i="176"/>
  <c r="S103" i="176" s="1"/>
  <c r="S181" i="176" s="1"/>
  <c r="T21" i="176"/>
  <c r="T103" i="176" s="1"/>
  <c r="T181" i="176" s="1"/>
  <c r="AD21" i="176"/>
  <c r="AD103" i="176" s="1"/>
  <c r="AD181" i="176" s="1"/>
  <c r="AE21" i="176"/>
  <c r="AE103" i="176" s="1"/>
  <c r="AE181" i="176" s="1"/>
  <c r="AK21" i="176"/>
  <c r="AK103" i="176" s="1"/>
  <c r="AK181" i="176" s="1"/>
  <c r="R21" i="176"/>
  <c r="R103" i="176" s="1"/>
  <c r="R181" i="176" s="1"/>
  <c r="W21" i="176"/>
  <c r="W103" i="176" s="1"/>
  <c r="W181" i="176" s="1"/>
  <c r="X21" i="176"/>
  <c r="X103" i="176" s="1"/>
  <c r="X181" i="176" s="1"/>
  <c r="Y21" i="176"/>
  <c r="Y103" i="176" s="1"/>
  <c r="Y181" i="176" s="1"/>
  <c r="AA21" i="176"/>
  <c r="AA103" i="176" s="1"/>
  <c r="AA181" i="176" s="1"/>
  <c r="AB21" i="176"/>
  <c r="AB103" i="176" s="1"/>
  <c r="AB181" i="176" s="1"/>
  <c r="AC21" i="176"/>
  <c r="AC103" i="176" s="1"/>
  <c r="AC181" i="176" s="1"/>
  <c r="AG21" i="176"/>
  <c r="AG103" i="176" s="1"/>
  <c r="AG181" i="176" s="1"/>
  <c r="AH21" i="176"/>
  <c r="AH103" i="176" s="1"/>
  <c r="AH181" i="176" s="1"/>
  <c r="AJ21" i="176"/>
  <c r="AJ103" i="176" s="1"/>
  <c r="AJ181" i="176" s="1"/>
  <c r="P21" i="176"/>
  <c r="P103" i="176" s="1"/>
  <c r="P181" i="176" s="1"/>
  <c r="AF21" i="176"/>
  <c r="AF103" i="176" s="1"/>
  <c r="AF181" i="176" s="1"/>
  <c r="Q21" i="176"/>
  <c r="Q103" i="176" s="1"/>
  <c r="Q181" i="176" s="1"/>
  <c r="H21" i="176"/>
  <c r="H103" i="176" s="1"/>
  <c r="H181" i="176" s="1"/>
  <c r="H182" i="176" s="1"/>
  <c r="I21" i="176"/>
  <c r="I103" i="176" s="1"/>
  <c r="I181" i="176" s="1"/>
  <c r="J31" i="176"/>
  <c r="E31" i="176" s="1"/>
  <c r="T91" i="173"/>
  <c r="T169" i="173" s="1"/>
  <c r="E29" i="173"/>
  <c r="H475" i="173"/>
  <c r="K19" i="173"/>
  <c r="N19" i="173"/>
  <c r="N91" i="173" s="1"/>
  <c r="N169" i="173" s="1"/>
  <c r="A15" i="136" l="1"/>
  <c r="A34" i="136"/>
  <c r="A15" i="146"/>
  <c r="A34" i="146"/>
  <c r="M19" i="173"/>
  <c r="M91" i="173" s="1"/>
  <c r="M169" i="173" s="1"/>
  <c r="H184" i="176"/>
  <c r="I180" i="176" s="1"/>
  <c r="H183" i="176"/>
  <c r="K91" i="173"/>
  <c r="H503" i="173"/>
  <c r="L19" i="173"/>
  <c r="L91" i="173" s="1"/>
  <c r="L169" i="173" s="1"/>
  <c r="A16" i="136" l="1"/>
  <c r="A35" i="136"/>
  <c r="A16" i="146"/>
  <c r="A35" i="146"/>
  <c r="O21" i="176"/>
  <c r="O103" i="176" s="1"/>
  <c r="O181" i="176" s="1"/>
  <c r="E19" i="173"/>
  <c r="E91" i="173"/>
  <c r="K169" i="173"/>
  <c r="E169" i="173" s="1"/>
  <c r="A17" i="136" l="1"/>
  <c r="A36" i="136"/>
  <c r="A17" i="146"/>
  <c r="A36" i="146"/>
  <c r="L15" i="173"/>
  <c r="L67" i="173" s="1"/>
  <c r="L145" i="173" s="1"/>
  <c r="AD15" i="173"/>
  <c r="AD67" i="173" s="1"/>
  <c r="AD145" i="173" s="1"/>
  <c r="AC15" i="173"/>
  <c r="AC67" i="173" s="1"/>
  <c r="AC145" i="173" s="1"/>
  <c r="AB15" i="173"/>
  <c r="AB67" i="173" s="1"/>
  <c r="AB145" i="173" s="1"/>
  <c r="AA15" i="173"/>
  <c r="AA67" i="173" s="1"/>
  <c r="AA145" i="173" s="1"/>
  <c r="Z15" i="173"/>
  <c r="Z67" i="173" s="1"/>
  <c r="Z145" i="173" s="1"/>
  <c r="Y15" i="173"/>
  <c r="Y67" i="173" s="1"/>
  <c r="Y145" i="173" s="1"/>
  <c r="X15" i="173"/>
  <c r="X67" i="173" s="1"/>
  <c r="X145" i="173" s="1"/>
  <c r="W15" i="173"/>
  <c r="W67" i="173" s="1"/>
  <c r="W145" i="173" s="1"/>
  <c r="V15" i="173"/>
  <c r="V67" i="173" s="1"/>
  <c r="V145" i="173" s="1"/>
  <c r="U15" i="173"/>
  <c r="U67" i="173" s="1"/>
  <c r="U145" i="173" s="1"/>
  <c r="T15" i="173"/>
  <c r="T67" i="173" s="1"/>
  <c r="T145" i="173" s="1"/>
  <c r="S15" i="173"/>
  <c r="S67" i="173" s="1"/>
  <c r="S145" i="173" s="1"/>
  <c r="R15" i="173"/>
  <c r="R67" i="173" s="1"/>
  <c r="R145" i="173" s="1"/>
  <c r="Q15" i="173"/>
  <c r="Q67" i="173" s="1"/>
  <c r="Q145" i="173" s="1"/>
  <c r="P15" i="173"/>
  <c r="P67" i="173" s="1"/>
  <c r="P145" i="173" s="1"/>
  <c r="N15" i="173"/>
  <c r="N67" i="173" s="1"/>
  <c r="N145" i="173" s="1"/>
  <c r="K15" i="173"/>
  <c r="K67" i="173" s="1"/>
  <c r="K145" i="173" s="1"/>
  <c r="J15" i="173"/>
  <c r="J67" i="173" s="1"/>
  <c r="J145" i="173" s="1"/>
  <c r="I15" i="173"/>
  <c r="I67" i="173" s="1"/>
  <c r="I145" i="173" s="1"/>
  <c r="B23" i="145"/>
  <c r="B27" i="137"/>
  <c r="C149" i="133"/>
  <c r="L45" i="134"/>
  <c r="K45" i="134"/>
  <c r="I45" i="134"/>
  <c r="L44" i="134"/>
  <c r="K44" i="134"/>
  <c r="I44" i="134"/>
  <c r="H44" i="134"/>
  <c r="L43" i="134"/>
  <c r="K43" i="134"/>
  <c r="B145" i="133"/>
  <c r="O18" i="176"/>
  <c r="P18" i="176"/>
  <c r="Q18" i="176"/>
  <c r="R18" i="176"/>
  <c r="S18" i="176"/>
  <c r="T18" i="176"/>
  <c r="U18" i="176"/>
  <c r="V18" i="176"/>
  <c r="W18" i="176"/>
  <c r="X18" i="176"/>
  <c r="Y18" i="176"/>
  <c r="Z18" i="176"/>
  <c r="AA18" i="176"/>
  <c r="AB18" i="176"/>
  <c r="AC18" i="176"/>
  <c r="AD18" i="176"/>
  <c r="AE18" i="176"/>
  <c r="AF18" i="176"/>
  <c r="AG18" i="176"/>
  <c r="AH18" i="176"/>
  <c r="AI18" i="176"/>
  <c r="AJ18" i="176"/>
  <c r="AK18" i="176"/>
  <c r="G13" i="167"/>
  <c r="H13" i="167" s="1"/>
  <c r="H67" i="167" s="1"/>
  <c r="G89" i="167"/>
  <c r="AJ78" i="167"/>
  <c r="AI78" i="167"/>
  <c r="AI79" i="167" s="1"/>
  <c r="AH78" i="167"/>
  <c r="AG78" i="167"/>
  <c r="AF78" i="167"/>
  <c r="AE78" i="167"/>
  <c r="AD78" i="167"/>
  <c r="AC78" i="167"/>
  <c r="AB78" i="167"/>
  <c r="AA78" i="167"/>
  <c r="Z78" i="167"/>
  <c r="Y78" i="167"/>
  <c r="X78" i="167"/>
  <c r="X79" i="167" s="1"/>
  <c r="W78" i="167"/>
  <c r="V78" i="167"/>
  <c r="U78" i="167"/>
  <c r="T78" i="167"/>
  <c r="S78" i="167"/>
  <c r="R78" i="167"/>
  <c r="Q78" i="167"/>
  <c r="P78" i="167"/>
  <c r="O78" i="167"/>
  <c r="N78" i="167"/>
  <c r="M78" i="167"/>
  <c r="L78" i="167"/>
  <c r="K78" i="167"/>
  <c r="J78" i="167"/>
  <c r="I78" i="167"/>
  <c r="H78" i="167"/>
  <c r="G78" i="167"/>
  <c r="AJ77" i="167"/>
  <c r="AI77" i="167"/>
  <c r="AH77" i="167"/>
  <c r="AG77" i="167"/>
  <c r="AG79" i="167" s="1"/>
  <c r="AF77" i="167"/>
  <c r="AE77" i="167"/>
  <c r="AD77" i="167"/>
  <c r="AC77" i="167"/>
  <c r="AB77" i="167"/>
  <c r="AA77" i="167"/>
  <c r="Z77" i="167"/>
  <c r="Y77" i="167"/>
  <c r="X77" i="167"/>
  <c r="W77" i="167"/>
  <c r="V77" i="167"/>
  <c r="U77" i="167"/>
  <c r="T77" i="167"/>
  <c r="S77" i="167"/>
  <c r="R77" i="167"/>
  <c r="Q77" i="167"/>
  <c r="P77" i="167"/>
  <c r="O77" i="167"/>
  <c r="N77" i="167"/>
  <c r="M77" i="167"/>
  <c r="L77" i="167"/>
  <c r="K77" i="167"/>
  <c r="J77" i="167"/>
  <c r="I77" i="167"/>
  <c r="H77" i="167"/>
  <c r="AJ76" i="167"/>
  <c r="AI76" i="167"/>
  <c r="AH76" i="167"/>
  <c r="AG76" i="167"/>
  <c r="AF76" i="167"/>
  <c r="AE76" i="167"/>
  <c r="AD76" i="167"/>
  <c r="AC76" i="167"/>
  <c r="AB76" i="167"/>
  <c r="AA76" i="167"/>
  <c r="Z76" i="167"/>
  <c r="Y76" i="167"/>
  <c r="X76" i="167"/>
  <c r="W76" i="167"/>
  <c r="V76" i="167"/>
  <c r="U76" i="167"/>
  <c r="T76" i="167"/>
  <c r="S76" i="167"/>
  <c r="R76" i="167"/>
  <c r="Q76" i="167"/>
  <c r="P76" i="167"/>
  <c r="O76" i="167"/>
  <c r="N76" i="167"/>
  <c r="M76" i="167"/>
  <c r="L76" i="167"/>
  <c r="K76" i="167"/>
  <c r="J76" i="167"/>
  <c r="I76" i="167"/>
  <c r="H76" i="167"/>
  <c r="E68" i="167"/>
  <c r="G66" i="167"/>
  <c r="E59" i="167"/>
  <c r="E58" i="167"/>
  <c r="E57" i="167"/>
  <c r="E56" i="167"/>
  <c r="E55" i="167"/>
  <c r="G22" i="167"/>
  <c r="E16" i="167"/>
  <c r="G16" i="167" s="1"/>
  <c r="H16" i="167" s="1"/>
  <c r="I16" i="167" s="1"/>
  <c r="J16" i="167" s="1"/>
  <c r="K16" i="167" s="1"/>
  <c r="L16" i="167" s="1"/>
  <c r="M16" i="167" s="1"/>
  <c r="N16" i="167" s="1"/>
  <c r="O16" i="167" s="1"/>
  <c r="P16" i="167" s="1"/>
  <c r="Q16" i="167" s="1"/>
  <c r="R16" i="167" s="1"/>
  <c r="S16" i="167" s="1"/>
  <c r="T16" i="167" s="1"/>
  <c r="U16" i="167" s="1"/>
  <c r="V16" i="167" s="1"/>
  <c r="W16" i="167" s="1"/>
  <c r="X16" i="167" s="1"/>
  <c r="Y16" i="167" s="1"/>
  <c r="Z16" i="167" s="1"/>
  <c r="AA16" i="167" s="1"/>
  <c r="AB16" i="167" s="1"/>
  <c r="AC16" i="167" s="1"/>
  <c r="AD16" i="167" s="1"/>
  <c r="AE16" i="167" s="1"/>
  <c r="AF16" i="167" s="1"/>
  <c r="AG16" i="167" s="1"/>
  <c r="AH16" i="167" s="1"/>
  <c r="AI16" i="167" s="1"/>
  <c r="AJ16" i="167" s="1"/>
  <c r="E10" i="167"/>
  <c r="AJ4" i="167"/>
  <c r="AI4" i="167"/>
  <c r="AH4" i="167"/>
  <c r="AG4" i="167"/>
  <c r="AF4" i="167"/>
  <c r="AE4" i="167"/>
  <c r="AD4" i="167"/>
  <c r="AC4" i="167"/>
  <c r="AB4" i="167"/>
  <c r="AA4" i="167"/>
  <c r="Z4" i="167"/>
  <c r="Y4" i="167"/>
  <c r="X4" i="167"/>
  <c r="W4" i="167"/>
  <c r="V4" i="167"/>
  <c r="U4" i="167"/>
  <c r="T4" i="167"/>
  <c r="S4" i="167"/>
  <c r="R4" i="167"/>
  <c r="Q4" i="167"/>
  <c r="P4" i="167"/>
  <c r="O4" i="167"/>
  <c r="N4" i="167"/>
  <c r="M4" i="167"/>
  <c r="L4" i="167"/>
  <c r="K4" i="167"/>
  <c r="J4" i="167"/>
  <c r="I4" i="167"/>
  <c r="H4" i="167"/>
  <c r="G4" i="167"/>
  <c r="E16" i="154"/>
  <c r="E68" i="154"/>
  <c r="H77" i="154"/>
  <c r="I77" i="154"/>
  <c r="J77" i="154"/>
  <c r="K77" i="154"/>
  <c r="L77" i="154"/>
  <c r="M77" i="154"/>
  <c r="N77" i="154"/>
  <c r="O77" i="154"/>
  <c r="P77" i="154"/>
  <c r="Q77" i="154"/>
  <c r="R77" i="154"/>
  <c r="S77" i="154"/>
  <c r="T77" i="154"/>
  <c r="U77" i="154"/>
  <c r="V77" i="154"/>
  <c r="W77" i="154"/>
  <c r="X77" i="154"/>
  <c r="Y77" i="154"/>
  <c r="Z77" i="154"/>
  <c r="AA77" i="154"/>
  <c r="AB77" i="154"/>
  <c r="AC77" i="154"/>
  <c r="H78" i="154"/>
  <c r="I78" i="154"/>
  <c r="J78" i="154"/>
  <c r="K78" i="154"/>
  <c r="L78" i="154"/>
  <c r="M78" i="154"/>
  <c r="N78" i="154"/>
  <c r="O78" i="154"/>
  <c r="P78" i="154"/>
  <c r="Q78" i="154"/>
  <c r="R78" i="154"/>
  <c r="S78" i="154"/>
  <c r="T78" i="154"/>
  <c r="U78" i="154"/>
  <c r="V78" i="154"/>
  <c r="W78" i="154"/>
  <c r="X78" i="154"/>
  <c r="Y78" i="154"/>
  <c r="Z78" i="154"/>
  <c r="AA78" i="154"/>
  <c r="AB78" i="154"/>
  <c r="AC78" i="154"/>
  <c r="G78" i="154"/>
  <c r="G77" i="154"/>
  <c r="E77" i="154" l="1"/>
  <c r="E78" i="154"/>
  <c r="A18" i="136"/>
  <c r="A19" i="136" s="1"/>
  <c r="A37" i="136"/>
  <c r="A18" i="146"/>
  <c r="A19" i="146" s="1"/>
  <c r="A20" i="146" s="1"/>
  <c r="A37" i="146"/>
  <c r="C37" i="183"/>
  <c r="O15" i="173"/>
  <c r="O67" i="173" s="1"/>
  <c r="O145" i="173" s="1"/>
  <c r="Y79" i="167"/>
  <c r="I79" i="167"/>
  <c r="AD79" i="167"/>
  <c r="Z79" i="167"/>
  <c r="Z80" i="167" s="1"/>
  <c r="Z81" i="167" s="1"/>
  <c r="Z82" i="167" s="1"/>
  <c r="H79" i="167"/>
  <c r="I80" i="167" s="1"/>
  <c r="I81" i="167" s="1"/>
  <c r="I82" i="167" s="1"/>
  <c r="AE79" i="167"/>
  <c r="AE80" i="167" s="1"/>
  <c r="AE81" i="167" s="1"/>
  <c r="AE82" i="167" s="1"/>
  <c r="AH79" i="167"/>
  <c r="AI80" i="167" s="1"/>
  <c r="AI81" i="167" s="1"/>
  <c r="AI82" i="167" s="1"/>
  <c r="AA79" i="167"/>
  <c r="AC79" i="167"/>
  <c r="AD80" i="167"/>
  <c r="AD81" i="167" s="1"/>
  <c r="AD82" i="167" s="1"/>
  <c r="M79" i="167"/>
  <c r="M80" i="167" s="1"/>
  <c r="M81" i="167" s="1"/>
  <c r="M82" i="167" s="1"/>
  <c r="N79" i="167"/>
  <c r="N80" i="167" s="1"/>
  <c r="N81" i="167" s="1"/>
  <c r="N82" i="167" s="1"/>
  <c r="O79" i="167"/>
  <c r="O80" i="167" s="1"/>
  <c r="O81" i="167" s="1"/>
  <c r="O82" i="167" s="1"/>
  <c r="Q79" i="167"/>
  <c r="AA80" i="167"/>
  <c r="AA81" i="167" s="1"/>
  <c r="AA82" i="167" s="1"/>
  <c r="R79" i="167"/>
  <c r="R80" i="167" s="1"/>
  <c r="R81" i="167" s="1"/>
  <c r="R82" i="167" s="1"/>
  <c r="S79" i="167"/>
  <c r="S80" i="167" s="1"/>
  <c r="S81" i="167" s="1"/>
  <c r="S82" i="167" s="1"/>
  <c r="T79" i="167"/>
  <c r="U79" i="167"/>
  <c r="U80" i="167" s="1"/>
  <c r="U81" i="167" s="1"/>
  <c r="U82" i="167" s="1"/>
  <c r="P79" i="167"/>
  <c r="P80" i="167" s="1"/>
  <c r="P81" i="167" s="1"/>
  <c r="P82" i="167" s="1"/>
  <c r="AF79" i="167"/>
  <c r="G72" i="137"/>
  <c r="F72" i="137"/>
  <c r="H72" i="137"/>
  <c r="I72" i="137"/>
  <c r="H15" i="173"/>
  <c r="N79" i="173"/>
  <c r="E17" i="173"/>
  <c r="AA85" i="173"/>
  <c r="AA163" i="173" s="1"/>
  <c r="P85" i="176"/>
  <c r="P163" i="176" s="1"/>
  <c r="V85" i="173"/>
  <c r="V163" i="173" s="1"/>
  <c r="S85" i="173"/>
  <c r="S163" i="173" s="1"/>
  <c r="AI85" i="176"/>
  <c r="AI163" i="176" s="1"/>
  <c r="AH85" i="176"/>
  <c r="AH163" i="176" s="1"/>
  <c r="R85" i="173"/>
  <c r="R163" i="173" s="1"/>
  <c r="AJ85" i="176"/>
  <c r="AJ163" i="176" s="1"/>
  <c r="AD85" i="176"/>
  <c r="AD163" i="176" s="1"/>
  <c r="Q85" i="176"/>
  <c r="Q163" i="176" s="1"/>
  <c r="AG85" i="176"/>
  <c r="AG163" i="176" s="1"/>
  <c r="AC85" i="176"/>
  <c r="AC163" i="176" s="1"/>
  <c r="Y85" i="173"/>
  <c r="Y163" i="173" s="1"/>
  <c r="X85" i="173"/>
  <c r="X163" i="173" s="1"/>
  <c r="W85" i="173"/>
  <c r="W163" i="173" s="1"/>
  <c r="AB85" i="176"/>
  <c r="AB163" i="176" s="1"/>
  <c r="AB85" i="173"/>
  <c r="AB163" i="173" s="1"/>
  <c r="Z85" i="173"/>
  <c r="Z163" i="173" s="1"/>
  <c r="Q85" i="173"/>
  <c r="Q163" i="173" s="1"/>
  <c r="P85" i="173"/>
  <c r="P163" i="173" s="1"/>
  <c r="O85" i="173"/>
  <c r="O163" i="173" s="1"/>
  <c r="AK85" i="176"/>
  <c r="AK163" i="176" s="1"/>
  <c r="AE85" i="176"/>
  <c r="AE163" i="176" s="1"/>
  <c r="AA85" i="176"/>
  <c r="AA163" i="176" s="1"/>
  <c r="U85" i="176"/>
  <c r="U163" i="176" s="1"/>
  <c r="S85" i="176"/>
  <c r="S163" i="176" s="1"/>
  <c r="R85" i="176"/>
  <c r="R163" i="176" s="1"/>
  <c r="O85" i="176"/>
  <c r="O163" i="176" s="1"/>
  <c r="Z85" i="176"/>
  <c r="Z163" i="176" s="1"/>
  <c r="AC85" i="173"/>
  <c r="AC163" i="173" s="1"/>
  <c r="T85" i="173"/>
  <c r="T163" i="173" s="1"/>
  <c r="AF85" i="176"/>
  <c r="AF163" i="176" s="1"/>
  <c r="Y85" i="176"/>
  <c r="Y163" i="176" s="1"/>
  <c r="X85" i="176"/>
  <c r="X163" i="176" s="1"/>
  <c r="T85" i="176"/>
  <c r="T163" i="176" s="1"/>
  <c r="N85" i="173"/>
  <c r="N163" i="173" s="1"/>
  <c r="W85" i="176"/>
  <c r="W163" i="176" s="1"/>
  <c r="U85" i="173"/>
  <c r="U163" i="173" s="1"/>
  <c r="M85" i="173"/>
  <c r="M163" i="173" s="1"/>
  <c r="V85" i="176"/>
  <c r="V163" i="176" s="1"/>
  <c r="AD85" i="173"/>
  <c r="AD163" i="173" s="1"/>
  <c r="E4" i="167"/>
  <c r="L85" i="173"/>
  <c r="L163" i="173" s="1"/>
  <c r="E18" i="173"/>
  <c r="J72" i="137"/>
  <c r="G67" i="167"/>
  <c r="G69" i="167" s="1"/>
  <c r="I13" i="167"/>
  <c r="AH80" i="167"/>
  <c r="AH81" i="167" s="1"/>
  <c r="AH82" i="167" s="1"/>
  <c r="T80" i="167"/>
  <c r="T81" i="167" s="1"/>
  <c r="T82" i="167" s="1"/>
  <c r="E77" i="167"/>
  <c r="AJ79" i="167"/>
  <c r="AJ80" i="167" s="1"/>
  <c r="AJ81" i="167" s="1"/>
  <c r="AJ82" i="167" s="1"/>
  <c r="AB79" i="167"/>
  <c r="AB80" i="167" s="1"/>
  <c r="AB81" i="167" s="1"/>
  <c r="AB82" i="167" s="1"/>
  <c r="E78" i="167"/>
  <c r="AC80" i="167"/>
  <c r="AC81" i="167" s="1"/>
  <c r="AC82" i="167" s="1"/>
  <c r="Y80" i="167"/>
  <c r="Y81" i="167" s="1"/>
  <c r="Y82" i="167" s="1"/>
  <c r="J79" i="167"/>
  <c r="J80" i="167" s="1"/>
  <c r="J81" i="167" s="1"/>
  <c r="J82" i="167" s="1"/>
  <c r="K79" i="167"/>
  <c r="K80" i="167" s="1"/>
  <c r="K81" i="167" s="1"/>
  <c r="K82" i="167" s="1"/>
  <c r="G14" i="167"/>
  <c r="H14" i="167"/>
  <c r="V79" i="167"/>
  <c r="W79" i="167"/>
  <c r="X80" i="167" s="1"/>
  <c r="X81" i="167" s="1"/>
  <c r="X82" i="167" s="1"/>
  <c r="L79" i="167"/>
  <c r="A20" i="136" l="1"/>
  <c r="A21" i="136" s="1"/>
  <c r="A22" i="136" s="1"/>
  <c r="A23" i="136" s="1"/>
  <c r="A24" i="136" s="1"/>
  <c r="A25" i="136" s="1"/>
  <c r="A38" i="136"/>
  <c r="A21" i="146"/>
  <c r="A22" i="146" s="1"/>
  <c r="A23" i="146" s="1"/>
  <c r="A24" i="146" s="1"/>
  <c r="A25" i="146" s="1"/>
  <c r="A38" i="146"/>
  <c r="AF80" i="167"/>
  <c r="AF81" i="167" s="1"/>
  <c r="AF82" i="167" s="1"/>
  <c r="V80" i="167"/>
  <c r="V81" i="167" s="1"/>
  <c r="V82" i="167" s="1"/>
  <c r="Q80" i="167"/>
  <c r="Q81" i="167" s="1"/>
  <c r="Q82" i="167" s="1"/>
  <c r="AG80" i="167"/>
  <c r="AG81" i="167" s="1"/>
  <c r="AG82" i="167" s="1"/>
  <c r="W73" i="137"/>
  <c r="K73" i="137"/>
  <c r="V73" i="137"/>
  <c r="Q73" i="137"/>
  <c r="L73" i="137"/>
  <c r="U73" i="137"/>
  <c r="R73" i="137"/>
  <c r="F73" i="137"/>
  <c r="M73" i="137"/>
  <c r="G73" i="137"/>
  <c r="K72" i="137"/>
  <c r="U72" i="137"/>
  <c r="V72" i="137"/>
  <c r="L72" i="137"/>
  <c r="M72" i="137"/>
  <c r="T72" i="137"/>
  <c r="S72" i="137"/>
  <c r="R72" i="137"/>
  <c r="Q72" i="137"/>
  <c r="P72" i="137"/>
  <c r="O72" i="137"/>
  <c r="N72" i="137"/>
  <c r="Z72" i="137"/>
  <c r="AA72" i="137"/>
  <c r="Y72" i="137"/>
  <c r="X72" i="137"/>
  <c r="W72" i="137"/>
  <c r="H67" i="173"/>
  <c r="E79" i="173"/>
  <c r="N157" i="173"/>
  <c r="E157" i="173" s="1"/>
  <c r="E163" i="173"/>
  <c r="E85" i="173"/>
  <c r="I14" i="167"/>
  <c r="I67" i="167"/>
  <c r="J13" i="167"/>
  <c r="G70" i="167"/>
  <c r="G71" i="167" s="1"/>
  <c r="H66" i="167" s="1"/>
  <c r="L80" i="167"/>
  <c r="L81" i="167" s="1"/>
  <c r="L82" i="167" s="1"/>
  <c r="W80" i="167"/>
  <c r="W81" i="167" s="1"/>
  <c r="W82" i="167" s="1"/>
  <c r="M15" i="173" l="1"/>
  <c r="M67" i="173" s="1"/>
  <c r="M145" i="173" s="1"/>
  <c r="X73" i="137"/>
  <c r="AA73" i="137"/>
  <c r="H73" i="137"/>
  <c r="J73" i="137"/>
  <c r="I73" i="137"/>
  <c r="T73" i="137"/>
  <c r="Y73" i="137"/>
  <c r="Z73" i="137"/>
  <c r="S73" i="137"/>
  <c r="O73" i="137"/>
  <c r="N73" i="137"/>
  <c r="P73" i="137"/>
  <c r="H145" i="173"/>
  <c r="J14" i="167"/>
  <c r="J67" i="167"/>
  <c r="K13" i="167"/>
  <c r="H69" i="167"/>
  <c r="E67" i="173" l="1"/>
  <c r="E15" i="173"/>
  <c r="E145" i="173"/>
  <c r="H146" i="173"/>
  <c r="H147" i="173" s="1"/>
  <c r="D66" i="145"/>
  <c r="D73" i="137"/>
  <c r="K14" i="167"/>
  <c r="K67" i="167"/>
  <c r="L13" i="167"/>
  <c r="H70" i="167"/>
  <c r="H71" i="167" s="1"/>
  <c r="I66" i="167" s="1"/>
  <c r="H148" i="173" l="1"/>
  <c r="I144" i="173" s="1"/>
  <c r="L67" i="167"/>
  <c r="L14" i="167"/>
  <c r="M13" i="167"/>
  <c r="I69" i="167"/>
  <c r="N13" i="167" l="1"/>
  <c r="M67" i="167"/>
  <c r="M14" i="167"/>
  <c r="I70" i="167"/>
  <c r="O13" i="167" l="1"/>
  <c r="N14" i="167"/>
  <c r="N67" i="167"/>
  <c r="I71" i="167"/>
  <c r="J66" i="167" s="1"/>
  <c r="O14" i="167" l="1"/>
  <c r="O67" i="167"/>
  <c r="P13" i="167"/>
  <c r="J69" i="167"/>
  <c r="P14" i="167" l="1"/>
  <c r="P67" i="167"/>
  <c r="Q13" i="167"/>
  <c r="J70" i="167"/>
  <c r="J71" i="167" s="1"/>
  <c r="K66" i="167" s="1"/>
  <c r="Q14" i="167" l="1"/>
  <c r="Q67" i="167"/>
  <c r="R13" i="167"/>
  <c r="K69" i="167"/>
  <c r="R67" i="167" l="1"/>
  <c r="R14" i="167"/>
  <c r="S13" i="167"/>
  <c r="K70" i="167"/>
  <c r="K71" i="167" s="1"/>
  <c r="L66" i="167" s="1"/>
  <c r="S14" i="167" l="1"/>
  <c r="T13" i="167"/>
  <c r="S67" i="167"/>
  <c r="L69" i="167"/>
  <c r="L70" i="167" s="1"/>
  <c r="U13" i="167" l="1"/>
  <c r="T14" i="167"/>
  <c r="T67" i="167"/>
  <c r="L71" i="167"/>
  <c r="M66" i="167" s="1"/>
  <c r="V13" i="167" l="1"/>
  <c r="U67" i="167"/>
  <c r="U14" i="167"/>
  <c r="M69" i="167"/>
  <c r="M70" i="167" s="1"/>
  <c r="V67" i="167" l="1"/>
  <c r="W13" i="167"/>
  <c r="V14" i="167"/>
  <c r="M71" i="167"/>
  <c r="N66" i="167" s="1"/>
  <c r="W14" i="167" l="1"/>
  <c r="X13" i="167"/>
  <c r="W67" i="167"/>
  <c r="N69" i="167"/>
  <c r="N70" i="167" s="1"/>
  <c r="N71" i="167" s="1"/>
  <c r="O66" i="167" s="1"/>
  <c r="X14" i="167" l="1"/>
  <c r="X67" i="167"/>
  <c r="Y13" i="167"/>
  <c r="O69" i="167"/>
  <c r="O70" i="167" s="1"/>
  <c r="O71" i="167" l="1"/>
  <c r="P66" i="167" s="1"/>
  <c r="P69" i="167" s="1"/>
  <c r="P70" i="167" s="1"/>
  <c r="Y14" i="167"/>
  <c r="Y67" i="167"/>
  <c r="Z13" i="167"/>
  <c r="P71" i="167" l="1"/>
  <c r="Q66" i="167" s="1"/>
  <c r="Q69" i="167" s="1"/>
  <c r="Q70" i="167" s="1"/>
  <c r="Z14" i="167"/>
  <c r="Z67" i="167"/>
  <c r="AA13" i="167"/>
  <c r="AA67" i="167" l="1"/>
  <c r="AB13" i="167"/>
  <c r="AA14" i="167"/>
  <c r="Q71" i="167"/>
  <c r="R66" i="167" s="1"/>
  <c r="AB67" i="167" l="1"/>
  <c r="AC13" i="167"/>
  <c r="AB14" i="167"/>
  <c r="R69" i="167"/>
  <c r="R70" i="167" s="1"/>
  <c r="AC14" i="167" l="1"/>
  <c r="AD13" i="167"/>
  <c r="AC67" i="167"/>
  <c r="R71" i="167"/>
  <c r="S66" i="167" s="1"/>
  <c r="AE13" i="167" l="1"/>
  <c r="AD14" i="167"/>
  <c r="AD67" i="167"/>
  <c r="S69" i="167"/>
  <c r="S70" i="167" s="1"/>
  <c r="AF13" i="167" l="1"/>
  <c r="AE14" i="167"/>
  <c r="AE67" i="167"/>
  <c r="S71" i="167"/>
  <c r="T66" i="167" s="1"/>
  <c r="AG13" i="167" l="1"/>
  <c r="AF14" i="167"/>
  <c r="AF67" i="167"/>
  <c r="T69" i="167"/>
  <c r="T70" i="167" s="1"/>
  <c r="H76" i="154"/>
  <c r="I76" i="154"/>
  <c r="J76" i="154"/>
  <c r="K76" i="154"/>
  <c r="L76" i="154"/>
  <c r="M76" i="154"/>
  <c r="N76" i="154"/>
  <c r="O76" i="154"/>
  <c r="P76" i="154"/>
  <c r="Q76" i="154"/>
  <c r="R76" i="154"/>
  <c r="S76" i="154"/>
  <c r="T76" i="154"/>
  <c r="U76" i="154"/>
  <c r="V76" i="154"/>
  <c r="W76" i="154"/>
  <c r="X76" i="154"/>
  <c r="Y76" i="154"/>
  <c r="Z76" i="154"/>
  <c r="AA76" i="154"/>
  <c r="AB76" i="154"/>
  <c r="AC76" i="154"/>
  <c r="E59" i="154"/>
  <c r="E58" i="154"/>
  <c r="E57" i="154"/>
  <c r="E56" i="154"/>
  <c r="E55" i="154"/>
  <c r="G13" i="154"/>
  <c r="G67" i="154" s="1"/>
  <c r="H4" i="154"/>
  <c r="I4" i="154"/>
  <c r="J4" i="154"/>
  <c r="K4" i="154"/>
  <c r="L4" i="154"/>
  <c r="M4" i="154"/>
  <c r="N4" i="154"/>
  <c r="O4" i="154"/>
  <c r="P4" i="154"/>
  <c r="Q4" i="154"/>
  <c r="R4" i="154"/>
  <c r="S4" i="154"/>
  <c r="T4" i="154"/>
  <c r="U4" i="154"/>
  <c r="V4" i="154"/>
  <c r="W4" i="154"/>
  <c r="X4" i="154"/>
  <c r="Y4" i="154"/>
  <c r="Z4" i="154"/>
  <c r="AA4" i="154"/>
  <c r="AB4" i="154"/>
  <c r="AC4" i="154"/>
  <c r="G4" i="154"/>
  <c r="G89" i="154"/>
  <c r="G87" i="154"/>
  <c r="G66" i="154"/>
  <c r="F33" i="180"/>
  <c r="G22" i="154"/>
  <c r="G16" i="154"/>
  <c r="H16" i="154" s="1"/>
  <c r="I16" i="154" s="1"/>
  <c r="J16" i="154" s="1"/>
  <c r="K16" i="154" s="1"/>
  <c r="L16" i="154" s="1"/>
  <c r="M16" i="154" s="1"/>
  <c r="N16" i="154" s="1"/>
  <c r="O16" i="154" s="1"/>
  <c r="P16" i="154" s="1"/>
  <c r="Q16" i="154" s="1"/>
  <c r="R16" i="154" s="1"/>
  <c r="S16" i="154" s="1"/>
  <c r="T16" i="154" s="1"/>
  <c r="U16" i="154" s="1"/>
  <c r="V16" i="154" s="1"/>
  <c r="W16" i="154" s="1"/>
  <c r="X16" i="154" s="1"/>
  <c r="Y16" i="154" s="1"/>
  <c r="Z16" i="154" s="1"/>
  <c r="AA16" i="154" s="1"/>
  <c r="AB16" i="154" s="1"/>
  <c r="AC16" i="154" s="1"/>
  <c r="E76" i="154" l="1"/>
  <c r="H13" i="154"/>
  <c r="I13" i="154" s="1"/>
  <c r="J13" i="154" s="1"/>
  <c r="K13" i="154" s="1"/>
  <c r="L13" i="154" s="1"/>
  <c r="M13" i="154" s="1"/>
  <c r="N13" i="154" s="1"/>
  <c r="O13" i="154" s="1"/>
  <c r="P13" i="154" s="1"/>
  <c r="P67" i="154" s="1"/>
  <c r="T71" i="167"/>
  <c r="U66" i="167" s="1"/>
  <c r="U69" i="167" s="1"/>
  <c r="U70" i="167" s="1"/>
  <c r="AG67" i="167"/>
  <c r="AH13" i="167"/>
  <c r="AG14" i="167"/>
  <c r="G14" i="154"/>
  <c r="E4" i="154"/>
  <c r="G69" i="154"/>
  <c r="E10" i="154"/>
  <c r="Q13" i="154" l="1"/>
  <c r="Q14" i="154" s="1"/>
  <c r="P14" i="154"/>
  <c r="N14" i="154"/>
  <c r="L14" i="154"/>
  <c r="K67" i="154"/>
  <c r="O67" i="154"/>
  <c r="N67" i="154"/>
  <c r="M67" i="154"/>
  <c r="L67" i="154"/>
  <c r="H14" i="154"/>
  <c r="I67" i="154"/>
  <c r="J67" i="154"/>
  <c r="O14" i="154"/>
  <c r="H67" i="154"/>
  <c r="M14" i="154"/>
  <c r="K14" i="154"/>
  <c r="J14" i="154"/>
  <c r="I14" i="154"/>
  <c r="AH67" i="167"/>
  <c r="AI13" i="167"/>
  <c r="AH14" i="167"/>
  <c r="U71" i="167"/>
  <c r="V66" i="167" s="1"/>
  <c r="G70" i="154"/>
  <c r="G71" i="154" s="1"/>
  <c r="H66" i="154" s="1"/>
  <c r="Q67" i="154" l="1"/>
  <c r="R13" i="154"/>
  <c r="R14" i="154" s="1"/>
  <c r="H69" i="154"/>
  <c r="H70" i="154" s="1"/>
  <c r="AJ13" i="167"/>
  <c r="AI67" i="167"/>
  <c r="AI14" i="167"/>
  <c r="V69" i="167"/>
  <c r="V70" i="167" s="1"/>
  <c r="R67" i="154" l="1"/>
  <c r="S13" i="154"/>
  <c r="T13" i="154" s="1"/>
  <c r="V71" i="167"/>
  <c r="W66" i="167" s="1"/>
  <c r="W69" i="167" s="1"/>
  <c r="W70" i="167" s="1"/>
  <c r="AJ14" i="167"/>
  <c r="AJ67" i="167"/>
  <c r="H71" i="154"/>
  <c r="I66" i="154" s="1"/>
  <c r="S67" i="154" l="1"/>
  <c r="S14" i="154"/>
  <c r="W71" i="167"/>
  <c r="X66" i="167" s="1"/>
  <c r="X69" i="167" s="1"/>
  <c r="X70" i="167" s="1"/>
  <c r="T14" i="154"/>
  <c r="U13" i="154"/>
  <c r="T67" i="154"/>
  <c r="I69" i="154"/>
  <c r="X71" i="167" l="1"/>
  <c r="Y66" i="167" s="1"/>
  <c r="I70" i="154"/>
  <c r="U14" i="154"/>
  <c r="V13" i="154"/>
  <c r="U67" i="154"/>
  <c r="Y69" i="167" l="1"/>
  <c r="Y70" i="167" s="1"/>
  <c r="I71" i="154"/>
  <c r="J66" i="154" s="1"/>
  <c r="J69" i="154" s="1"/>
  <c r="V14" i="154"/>
  <c r="W13" i="154"/>
  <c r="V67" i="154"/>
  <c r="Y71" i="167" l="1"/>
  <c r="Z66" i="167" s="1"/>
  <c r="J70" i="154"/>
  <c r="J71" i="154" s="1"/>
  <c r="W14" i="154"/>
  <c r="X13" i="154"/>
  <c r="W67" i="154"/>
  <c r="E67" i="167" l="1"/>
  <c r="Z69" i="167"/>
  <c r="Z70" i="167" s="1"/>
  <c r="X14" i="154"/>
  <c r="Y13" i="154"/>
  <c r="X67" i="154"/>
  <c r="K66" i="154"/>
  <c r="Z71" i="167" l="1"/>
  <c r="AA66" i="167" s="1"/>
  <c r="K69" i="154"/>
  <c r="Y14" i="154"/>
  <c r="Z13" i="154"/>
  <c r="Y67" i="154"/>
  <c r="AA69" i="167" l="1"/>
  <c r="AA70" i="167" s="1"/>
  <c r="Z14" i="154"/>
  <c r="AA13" i="154"/>
  <c r="Z67" i="154"/>
  <c r="K70" i="154"/>
  <c r="K71" i="154" s="1"/>
  <c r="AA71" i="167" l="1"/>
  <c r="AB66" i="167" s="1"/>
  <c r="L66" i="154"/>
  <c r="AB13" i="154"/>
  <c r="AA14" i="154"/>
  <c r="AA67" i="154"/>
  <c r="AB69" i="167" l="1"/>
  <c r="AB70" i="167" s="1"/>
  <c r="AC13" i="154"/>
  <c r="AB14" i="154"/>
  <c r="AB67" i="154"/>
  <c r="L69" i="154"/>
  <c r="AB71" i="167" l="1"/>
  <c r="AC66" i="167" s="1"/>
  <c r="L70" i="154"/>
  <c r="L71" i="154" s="1"/>
  <c r="AC14" i="154"/>
  <c r="AC67" i="154"/>
  <c r="AC69" i="167" l="1"/>
  <c r="AC70" i="167" s="1"/>
  <c r="M66" i="154"/>
  <c r="AC71" i="167" l="1"/>
  <c r="AD66" i="167" s="1"/>
  <c r="M69" i="154"/>
  <c r="M70" i="154" s="1"/>
  <c r="AD69" i="167" l="1"/>
  <c r="AD70" i="167" s="1"/>
  <c r="M71" i="154"/>
  <c r="N66" i="154" s="1"/>
  <c r="AD71" i="167" l="1"/>
  <c r="AE66" i="167" s="1"/>
  <c r="N69" i="154"/>
  <c r="N70" i="154" s="1"/>
  <c r="AE69" i="167" l="1"/>
  <c r="AE70" i="167" s="1"/>
  <c r="N71" i="154"/>
  <c r="O66" i="154" s="1"/>
  <c r="AE71" i="167" l="1"/>
  <c r="AF66" i="167" s="1"/>
  <c r="O69" i="154"/>
  <c r="O70" i="154" s="1"/>
  <c r="AF69" i="167" l="1"/>
  <c r="AF70" i="167" s="1"/>
  <c r="O71" i="154"/>
  <c r="P66" i="154" s="1"/>
  <c r="AF71" i="167" l="1"/>
  <c r="AG66" i="167" s="1"/>
  <c r="P69" i="154"/>
  <c r="P70" i="154" s="1"/>
  <c r="P71" i="154" s="1"/>
  <c r="AG69" i="167" l="1"/>
  <c r="AG70" i="167" s="1"/>
  <c r="Q66" i="154"/>
  <c r="AG71" i="167" l="1"/>
  <c r="AH66" i="167" s="1"/>
  <c r="E67" i="154"/>
  <c r="Q69" i="154"/>
  <c r="Q70" i="154" s="1"/>
  <c r="AH69" i="167" l="1"/>
  <c r="AH70" i="167" s="1"/>
  <c r="Q71" i="154"/>
  <c r="AH71" i="167" l="1"/>
  <c r="AI66" i="167" s="1"/>
  <c r="R66" i="154"/>
  <c r="AI69" i="167" l="1"/>
  <c r="AI70" i="167" s="1"/>
  <c r="R69" i="154"/>
  <c r="R70" i="154" s="1"/>
  <c r="R71" i="154" l="1"/>
  <c r="S66" i="154" s="1"/>
  <c r="AI71" i="167"/>
  <c r="AJ66" i="167" s="1"/>
  <c r="AJ69" i="167" l="1"/>
  <c r="AJ70" i="167" s="1"/>
  <c r="S69" i="154"/>
  <c r="S70" i="154" s="1"/>
  <c r="AJ71" i="167" l="1"/>
  <c r="S71" i="154"/>
  <c r="T66" i="154" l="1"/>
  <c r="T69" i="154" l="1"/>
  <c r="T70" i="154" s="1"/>
  <c r="T71" i="154" l="1"/>
  <c r="U66" i="154" s="1"/>
  <c r="U69" i="154" l="1"/>
  <c r="U70" i="154" s="1"/>
  <c r="U71" i="154" l="1"/>
  <c r="V66" i="154" s="1"/>
  <c r="V69" i="154" l="1"/>
  <c r="V70" i="154" s="1"/>
  <c r="V71" i="154" l="1"/>
  <c r="W66" i="154" s="1"/>
  <c r="E69" i="167"/>
  <c r="E70" i="167" l="1"/>
  <c r="W69" i="154"/>
  <c r="W70" i="154" s="1"/>
  <c r="W71" i="154" l="1"/>
  <c r="X66" i="154" s="1"/>
  <c r="X69" i="154" l="1"/>
  <c r="X70" i="154" s="1"/>
  <c r="X71" i="154" l="1"/>
  <c r="Y66" i="154" s="1"/>
  <c r="Y69" i="154" l="1"/>
  <c r="Y70" i="154" s="1"/>
  <c r="Y71" i="154" l="1"/>
  <c r="Z66" i="154" s="1"/>
  <c r="Z69" i="154" l="1"/>
  <c r="Z70" i="154" s="1"/>
  <c r="Z71" i="154" s="1"/>
  <c r="AA66" i="154" l="1"/>
  <c r="AA69" i="154" l="1"/>
  <c r="AA70" i="154" s="1"/>
  <c r="AA71" i="154" l="1"/>
  <c r="AB66" i="154" l="1"/>
  <c r="AB69" i="154" l="1"/>
  <c r="AB70" i="154" s="1"/>
  <c r="AB71" i="154" l="1"/>
  <c r="AC66" i="154" l="1"/>
  <c r="AC69" i="154" l="1"/>
  <c r="AC70" i="154" s="1"/>
  <c r="AC71" i="154" l="1"/>
  <c r="E69" i="154" l="1"/>
  <c r="E70" i="154" l="1"/>
  <c r="Z79" i="154" l="1"/>
  <c r="AB79" i="154"/>
  <c r="W79" i="154"/>
  <c r="V79" i="154"/>
  <c r="AA79" i="154"/>
  <c r="AC79" i="154"/>
  <c r="Q79" i="154"/>
  <c r="P79" i="154"/>
  <c r="O79" i="154"/>
  <c r="Y79" i="154"/>
  <c r="S79" i="154"/>
  <c r="K79" i="154"/>
  <c r="M79" i="154"/>
  <c r="N79" i="154"/>
  <c r="L79" i="154"/>
  <c r="R79" i="154"/>
  <c r="T79" i="154"/>
  <c r="H79" i="154"/>
  <c r="AB80" i="154"/>
  <c r="AB81" i="154" s="1"/>
  <c r="AB82" i="154" s="1"/>
  <c r="U79" i="154"/>
  <c r="V80" i="154" s="1"/>
  <c r="V81" i="154" s="1"/>
  <c r="V82" i="154" s="1"/>
  <c r="I79" i="154"/>
  <c r="X79" i="154"/>
  <c r="J79" i="154"/>
  <c r="W80" i="154" l="1"/>
  <c r="W81" i="154" s="1"/>
  <c r="W82" i="154" s="1"/>
  <c r="X80" i="154"/>
  <c r="X81" i="154" s="1"/>
  <c r="X82" i="154" s="1"/>
  <c r="AC80" i="154"/>
  <c r="AC81" i="154" s="1"/>
  <c r="AC82" i="154" s="1"/>
  <c r="Z80" i="154"/>
  <c r="Z81" i="154" s="1"/>
  <c r="Z82" i="154" s="1"/>
  <c r="AA80" i="154"/>
  <c r="AA81" i="154" s="1"/>
  <c r="AA82" i="154" s="1"/>
  <c r="R80" i="154"/>
  <c r="R81" i="154" s="1"/>
  <c r="R82" i="154" s="1"/>
  <c r="J80" i="154"/>
  <c r="J81" i="154" s="1"/>
  <c r="J82" i="154" s="1"/>
  <c r="I80" i="154"/>
  <c r="I81" i="154" s="1"/>
  <c r="I82" i="154" s="1"/>
  <c r="N80" i="154"/>
  <c r="N81" i="154" s="1"/>
  <c r="N82" i="154" s="1"/>
  <c r="S80" i="154"/>
  <c r="S81" i="154" s="1"/>
  <c r="S82" i="154" s="1"/>
  <c r="L80" i="154"/>
  <c r="L81" i="154" s="1"/>
  <c r="L82" i="154" s="1"/>
  <c r="U80" i="154"/>
  <c r="U81" i="154" s="1"/>
  <c r="U82" i="154" s="1"/>
  <c r="T80" i="154"/>
  <c r="T81" i="154" s="1"/>
  <c r="T82" i="154" s="1"/>
  <c r="K80" i="154"/>
  <c r="K81" i="154" s="1"/>
  <c r="K82" i="154" s="1"/>
  <c r="Y80" i="154"/>
  <c r="Y81" i="154" s="1"/>
  <c r="Y82" i="154" s="1"/>
  <c r="G79" i="154"/>
  <c r="E79" i="154" s="1"/>
  <c r="M80" i="154"/>
  <c r="M81" i="154" s="1"/>
  <c r="M82" i="154" s="1"/>
  <c r="O80" i="154"/>
  <c r="O81" i="154" s="1"/>
  <c r="O82" i="154" s="1"/>
  <c r="P80" i="154"/>
  <c r="P81" i="154" s="1"/>
  <c r="P82" i="154" s="1"/>
  <c r="Q80" i="154"/>
  <c r="Q81" i="154" s="1"/>
  <c r="Q82" i="154" s="1"/>
  <c r="G80" i="154" l="1"/>
  <c r="H80" i="154"/>
  <c r="H81" i="154" s="1"/>
  <c r="H82" i="154" s="1"/>
  <c r="E80" i="154" l="1"/>
  <c r="G81" i="154"/>
  <c r="E81" i="154" s="1"/>
  <c r="G82" i="154" l="1"/>
  <c r="E82" i="154" s="1"/>
  <c r="AP32" i="136" l="1"/>
  <c r="AQ32" i="136"/>
  <c r="AR32" i="136"/>
  <c r="E65" i="21"/>
  <c r="E64" i="21"/>
  <c r="E63" i="21"/>
  <c r="B42" i="137"/>
  <c r="Q28" i="21" s="1"/>
  <c r="B43" i="137"/>
  <c r="Q29" i="21" s="1"/>
  <c r="F81" i="145"/>
  <c r="F88" i="137" s="1"/>
  <c r="E81" i="145"/>
  <c r="E88" i="137" s="1"/>
  <c r="B38" i="145"/>
  <c r="B39" i="145"/>
  <c r="J14" i="173" l="1"/>
  <c r="I14" i="173"/>
  <c r="H14" i="173"/>
  <c r="S14" i="173"/>
  <c r="N14" i="173"/>
  <c r="V26" i="173" l="1"/>
  <c r="AB14" i="173"/>
  <c r="X26" i="173"/>
  <c r="AC14" i="173"/>
  <c r="Y26" i="173"/>
  <c r="AD14" i="173"/>
  <c r="Z26" i="173"/>
  <c r="AB26" i="173"/>
  <c r="AD26" i="173"/>
  <c r="AI32" i="136"/>
  <c r="AJ32" i="136"/>
  <c r="W26" i="173"/>
  <c r="AC26" i="173"/>
  <c r="AL32" i="136"/>
  <c r="AM32" i="136"/>
  <c r="AN32" i="136"/>
  <c r="H26" i="173"/>
  <c r="I26" i="173"/>
  <c r="L26" i="173"/>
  <c r="Q14" i="173"/>
  <c r="N26" i="173"/>
  <c r="N61" i="173" s="1"/>
  <c r="N139" i="173" s="1"/>
  <c r="T14" i="173"/>
  <c r="O26" i="173"/>
  <c r="P26" i="173"/>
  <c r="Q26" i="173"/>
  <c r="W14" i="173"/>
  <c r="R26" i="173"/>
  <c r="X14" i="173"/>
  <c r="Z14" i="173"/>
  <c r="AA14" i="173"/>
  <c r="AK32" i="136"/>
  <c r="AO32" i="136"/>
  <c r="O14" i="173"/>
  <c r="J26" i="173"/>
  <c r="J61" i="173" s="1"/>
  <c r="J139" i="173" s="1"/>
  <c r="P14" i="173"/>
  <c r="M26" i="173"/>
  <c r="R14" i="173"/>
  <c r="U14" i="173"/>
  <c r="V14" i="173"/>
  <c r="Y14" i="173"/>
  <c r="U26" i="173"/>
  <c r="U61" i="173" l="1"/>
  <c r="U139" i="173" s="1"/>
  <c r="AB61" i="173"/>
  <c r="AB139" i="173" s="1"/>
  <c r="X61" i="173"/>
  <c r="X139" i="173" s="1"/>
  <c r="R61" i="173"/>
  <c r="R139" i="173" s="1"/>
  <c r="AD61" i="173"/>
  <c r="AD139" i="173" s="1"/>
  <c r="V61" i="173"/>
  <c r="V139" i="173" s="1"/>
  <c r="Y61" i="173"/>
  <c r="Y139" i="173" s="1"/>
  <c r="AC61" i="173"/>
  <c r="AC139" i="173" s="1"/>
  <c r="O61" i="173"/>
  <c r="O139" i="173" s="1"/>
  <c r="Z61" i="173"/>
  <c r="Z139" i="173" s="1"/>
  <c r="P61" i="173"/>
  <c r="P139" i="173" s="1"/>
  <c r="W61" i="173"/>
  <c r="W139" i="173" s="1"/>
  <c r="Q61" i="173"/>
  <c r="Q139" i="173" s="1"/>
  <c r="G32" i="136"/>
  <c r="AA32" i="136"/>
  <c r="Y32" i="136"/>
  <c r="O32" i="136"/>
  <c r="V32" i="136"/>
  <c r="N32" i="136"/>
  <c r="U32" i="136"/>
  <c r="M32" i="136"/>
  <c r="K32" i="136"/>
  <c r="I32" i="136"/>
  <c r="F32" i="136"/>
  <c r="E32" i="136"/>
  <c r="W32" i="136"/>
  <c r="R32" i="136"/>
  <c r="Z32" i="136"/>
  <c r="J32" i="136"/>
  <c r="L32" i="136"/>
  <c r="T32" i="136"/>
  <c r="S32" i="136"/>
  <c r="H61" i="173"/>
  <c r="H139" i="173" s="1"/>
  <c r="I61" i="173"/>
  <c r="I139" i="173" s="1"/>
  <c r="AP33" i="136"/>
  <c r="AQ33" i="136"/>
  <c r="AR33" i="136"/>
  <c r="AC16" i="173" l="1"/>
  <c r="AN33" i="136"/>
  <c r="S27" i="173"/>
  <c r="O16" i="173"/>
  <c r="W27" i="173"/>
  <c r="AA16" i="173"/>
  <c r="V16" i="173"/>
  <c r="T16" i="173"/>
  <c r="R16" i="173"/>
  <c r="X27" i="173"/>
  <c r="AC27" i="173"/>
  <c r="AI33" i="136"/>
  <c r="AK33" i="136"/>
  <c r="AL33" i="136"/>
  <c r="AM33" i="136"/>
  <c r="AO33" i="136"/>
  <c r="Y16" i="173"/>
  <c r="N27" i="173"/>
  <c r="O27" i="173"/>
  <c r="P27" i="173"/>
  <c r="V27" i="173"/>
  <c r="Y27" i="173"/>
  <c r="AD27" i="173"/>
  <c r="Z16" i="173"/>
  <c r="M27" i="173"/>
  <c r="Q27" i="173"/>
  <c r="Q16" i="173"/>
  <c r="Z27" i="173"/>
  <c r="AJ33" i="136"/>
  <c r="AB16" i="173"/>
  <c r="W16" i="173"/>
  <c r="U16" i="173"/>
  <c r="AA27" i="173"/>
  <c r="AD16" i="173"/>
  <c r="L27" i="173"/>
  <c r="X16" i="173"/>
  <c r="R27" i="173"/>
  <c r="P16" i="173"/>
  <c r="AB27" i="173"/>
  <c r="H140" i="173"/>
  <c r="U33" i="136" l="1"/>
  <c r="I33" i="136"/>
  <c r="J33" i="136"/>
  <c r="R73" i="173"/>
  <c r="R151" i="173" s="1"/>
  <c r="Q73" i="173"/>
  <c r="Q151" i="173" s="1"/>
  <c r="W73" i="173"/>
  <c r="W151" i="173" s="1"/>
  <c r="AD73" i="173"/>
  <c r="AD151" i="173" s="1"/>
  <c r="Y73" i="173"/>
  <c r="Y151" i="173" s="1"/>
  <c r="AB73" i="173"/>
  <c r="AB151" i="173" s="1"/>
  <c r="X33" i="136"/>
  <c r="S33" i="136"/>
  <c r="M33" i="136"/>
  <c r="L33" i="136"/>
  <c r="V73" i="173"/>
  <c r="V151" i="173" s="1"/>
  <c r="AA73" i="173"/>
  <c r="AA151" i="173" s="1"/>
  <c r="T33" i="136"/>
  <c r="K33" i="136"/>
  <c r="P33" i="136"/>
  <c r="K27" i="173"/>
  <c r="V33" i="136"/>
  <c r="W33" i="136"/>
  <c r="Z73" i="173"/>
  <c r="Z151" i="173" s="1"/>
  <c r="O33" i="136"/>
  <c r="O73" i="173"/>
  <c r="O151" i="173" s="1"/>
  <c r="N33" i="136"/>
  <c r="Y33" i="136"/>
  <c r="P73" i="173"/>
  <c r="P151" i="173" s="1"/>
  <c r="X73" i="173"/>
  <c r="X151" i="173" s="1"/>
  <c r="AA33" i="136"/>
  <c r="Z33" i="136"/>
  <c r="AC73" i="173"/>
  <c r="AC151" i="173" s="1"/>
  <c r="H141" i="173"/>
  <c r="H142" i="173"/>
  <c r="I138" i="173" s="1"/>
  <c r="H152" i="166"/>
  <c r="H42" i="166"/>
  <c r="H41" i="166"/>
  <c r="H40" i="166"/>
  <c r="H39" i="166"/>
  <c r="H38" i="166"/>
  <c r="H37" i="166"/>
  <c r="H36" i="166"/>
  <c r="H35" i="166"/>
  <c r="H34" i="166"/>
  <c r="H30" i="166"/>
  <c r="H27" i="166"/>
  <c r="H28" i="166"/>
  <c r="H25" i="166"/>
  <c r="H26" i="166"/>
  <c r="H24" i="166"/>
  <c r="H23" i="166"/>
  <c r="H22" i="166"/>
  <c r="H20" i="166"/>
  <c r="H16" i="166"/>
  <c r="H17" i="166"/>
  <c r="H15" i="166"/>
  <c r="H12" i="166"/>
  <c r="H11" i="166"/>
  <c r="G224" i="166"/>
  <c r="G225" i="166"/>
  <c r="G226" i="166"/>
  <c r="G190" i="166"/>
  <c r="G191" i="166"/>
  <c r="G192" i="166"/>
  <c r="G193" i="166"/>
  <c r="G194" i="166"/>
  <c r="G195" i="166"/>
  <c r="G196" i="166"/>
  <c r="G197" i="166"/>
  <c r="G198" i="166"/>
  <c r="G199" i="166"/>
  <c r="G200" i="166"/>
  <c r="G201" i="166"/>
  <c r="G202" i="166"/>
  <c r="G203" i="166"/>
  <c r="G204" i="166"/>
  <c r="G205" i="166"/>
  <c r="G206" i="166"/>
  <c r="G207" i="166"/>
  <c r="G208" i="166"/>
  <c r="G209" i="166"/>
  <c r="G210" i="166"/>
  <c r="G211" i="166"/>
  <c r="G212" i="166"/>
  <c r="G213" i="166"/>
  <c r="G214" i="166"/>
  <c r="G215" i="166"/>
  <c r="G216" i="166"/>
  <c r="G217" i="166"/>
  <c r="G218" i="166"/>
  <c r="G219" i="166"/>
  <c r="G220" i="166"/>
  <c r="G221" i="166"/>
  <c r="G222" i="166"/>
  <c r="G223" i="166"/>
  <c r="G189" i="166"/>
  <c r="G188" i="166"/>
  <c r="G187" i="166"/>
  <c r="G186" i="166"/>
  <c r="G185" i="166"/>
  <c r="G180" i="166"/>
  <c r="N180" i="166" s="1"/>
  <c r="O180" i="166" s="1"/>
  <c r="P180" i="166" s="1"/>
  <c r="Q180" i="166" s="1"/>
  <c r="R180" i="166" s="1"/>
  <c r="S180" i="166" s="1"/>
  <c r="T180" i="166" s="1"/>
  <c r="U180" i="166" s="1"/>
  <c r="V180" i="166" s="1"/>
  <c r="W180" i="166" s="1"/>
  <c r="X180" i="166" s="1"/>
  <c r="Y180" i="166" s="1"/>
  <c r="Z180" i="166" s="1"/>
  <c r="AA180" i="166" s="1"/>
  <c r="AB180" i="166" s="1"/>
  <c r="AC180" i="166" s="1"/>
  <c r="AD180" i="166" s="1"/>
  <c r="AE180" i="166" s="1"/>
  <c r="AF180" i="166" s="1"/>
  <c r="AG180" i="166" s="1"/>
  <c r="AH180" i="166" s="1"/>
  <c r="AI180" i="166" s="1"/>
  <c r="AJ180" i="166" s="1"/>
  <c r="AK180" i="166" s="1"/>
  <c r="AL180" i="166" s="1"/>
  <c r="AM180" i="166" s="1"/>
  <c r="G179" i="166"/>
  <c r="N179" i="166" s="1"/>
  <c r="O179" i="166" s="1"/>
  <c r="P179" i="166" s="1"/>
  <c r="Q179" i="166" s="1"/>
  <c r="R179" i="166" s="1"/>
  <c r="S179" i="166" s="1"/>
  <c r="T179" i="166" s="1"/>
  <c r="U179" i="166" s="1"/>
  <c r="V179" i="166" s="1"/>
  <c r="W179" i="166" s="1"/>
  <c r="X179" i="166" s="1"/>
  <c r="Y179" i="166" s="1"/>
  <c r="Z179" i="166" s="1"/>
  <c r="AA179" i="166" s="1"/>
  <c r="AB179" i="166" s="1"/>
  <c r="AC179" i="166" s="1"/>
  <c r="AD179" i="166" s="1"/>
  <c r="AE179" i="166" s="1"/>
  <c r="AF179" i="166" s="1"/>
  <c r="AG179" i="166" s="1"/>
  <c r="AH179" i="166" s="1"/>
  <c r="AI179" i="166" s="1"/>
  <c r="AJ179" i="166" s="1"/>
  <c r="AK179" i="166" s="1"/>
  <c r="AL179" i="166" s="1"/>
  <c r="AM179" i="166" s="1"/>
  <c r="G178" i="166"/>
  <c r="N178" i="166" s="1"/>
  <c r="O178" i="166" s="1"/>
  <c r="P178" i="166" s="1"/>
  <c r="Q178" i="166" s="1"/>
  <c r="R178" i="166" s="1"/>
  <c r="S178" i="166" s="1"/>
  <c r="T178" i="166" s="1"/>
  <c r="U178" i="166" s="1"/>
  <c r="V178" i="166" s="1"/>
  <c r="W178" i="166" s="1"/>
  <c r="X178" i="166" s="1"/>
  <c r="Y178" i="166" s="1"/>
  <c r="Z178" i="166" s="1"/>
  <c r="AA178" i="166" s="1"/>
  <c r="AB178" i="166" s="1"/>
  <c r="AC178" i="166" s="1"/>
  <c r="AD178" i="166" s="1"/>
  <c r="AE178" i="166" s="1"/>
  <c r="AF178" i="166" s="1"/>
  <c r="AG178" i="166" s="1"/>
  <c r="AH178" i="166" s="1"/>
  <c r="AI178" i="166" s="1"/>
  <c r="AJ178" i="166" s="1"/>
  <c r="AK178" i="166" s="1"/>
  <c r="AL178" i="166" s="1"/>
  <c r="AM178" i="166" s="1"/>
  <c r="G177" i="166"/>
  <c r="N177" i="166" s="1"/>
  <c r="O177" i="166" s="1"/>
  <c r="P177" i="166" s="1"/>
  <c r="Q177" i="166" s="1"/>
  <c r="R177" i="166" s="1"/>
  <c r="S177" i="166" s="1"/>
  <c r="T177" i="166" s="1"/>
  <c r="U177" i="166" s="1"/>
  <c r="V177" i="166" s="1"/>
  <c r="W177" i="166" s="1"/>
  <c r="X177" i="166" s="1"/>
  <c r="Y177" i="166" s="1"/>
  <c r="Z177" i="166" s="1"/>
  <c r="AA177" i="166" s="1"/>
  <c r="AB177" i="166" s="1"/>
  <c r="AC177" i="166" s="1"/>
  <c r="AD177" i="166" s="1"/>
  <c r="AE177" i="166" s="1"/>
  <c r="AF177" i="166" s="1"/>
  <c r="AG177" i="166" s="1"/>
  <c r="AH177" i="166" s="1"/>
  <c r="AI177" i="166" s="1"/>
  <c r="AJ177" i="166" s="1"/>
  <c r="AK177" i="166" s="1"/>
  <c r="AL177" i="166" s="1"/>
  <c r="AM177" i="166" s="1"/>
  <c r="G176" i="166"/>
  <c r="N176" i="166" s="1"/>
  <c r="O176" i="166" s="1"/>
  <c r="P176" i="166" s="1"/>
  <c r="Q176" i="166" s="1"/>
  <c r="R176" i="166" s="1"/>
  <c r="S176" i="166" s="1"/>
  <c r="T176" i="166" s="1"/>
  <c r="U176" i="166" s="1"/>
  <c r="V176" i="166" s="1"/>
  <c r="W176" i="166" s="1"/>
  <c r="X176" i="166" s="1"/>
  <c r="Y176" i="166" s="1"/>
  <c r="Z176" i="166" s="1"/>
  <c r="AA176" i="166" s="1"/>
  <c r="AB176" i="166" s="1"/>
  <c r="AC176" i="166" s="1"/>
  <c r="AD176" i="166" s="1"/>
  <c r="AE176" i="166" s="1"/>
  <c r="AF176" i="166" s="1"/>
  <c r="AG176" i="166" s="1"/>
  <c r="AH176" i="166" s="1"/>
  <c r="AI176" i="166" s="1"/>
  <c r="AJ176" i="166" s="1"/>
  <c r="AK176" i="166" s="1"/>
  <c r="AL176" i="166" s="1"/>
  <c r="AM176" i="166" s="1"/>
  <c r="G175" i="166"/>
  <c r="N175" i="166" s="1"/>
  <c r="O175" i="166" s="1"/>
  <c r="P175" i="166" s="1"/>
  <c r="Q175" i="166" s="1"/>
  <c r="R175" i="166" s="1"/>
  <c r="S175" i="166" s="1"/>
  <c r="T175" i="166" s="1"/>
  <c r="U175" i="166" s="1"/>
  <c r="V175" i="166" s="1"/>
  <c r="W175" i="166" s="1"/>
  <c r="X175" i="166" s="1"/>
  <c r="Y175" i="166" s="1"/>
  <c r="Z175" i="166" s="1"/>
  <c r="AA175" i="166" s="1"/>
  <c r="AB175" i="166" s="1"/>
  <c r="AC175" i="166" s="1"/>
  <c r="AD175" i="166" s="1"/>
  <c r="AE175" i="166" s="1"/>
  <c r="AF175" i="166" s="1"/>
  <c r="AG175" i="166" s="1"/>
  <c r="AH175" i="166" s="1"/>
  <c r="AI175" i="166" s="1"/>
  <c r="AJ175" i="166" s="1"/>
  <c r="AK175" i="166" s="1"/>
  <c r="AL175" i="166" s="1"/>
  <c r="AM175" i="166" s="1"/>
  <c r="G174" i="166"/>
  <c r="N174" i="166" s="1"/>
  <c r="O174" i="166" s="1"/>
  <c r="P174" i="166" s="1"/>
  <c r="Q174" i="166" s="1"/>
  <c r="R174" i="166" s="1"/>
  <c r="S174" i="166" s="1"/>
  <c r="T174" i="166" s="1"/>
  <c r="U174" i="166" s="1"/>
  <c r="V174" i="166" s="1"/>
  <c r="W174" i="166" s="1"/>
  <c r="X174" i="166" s="1"/>
  <c r="Y174" i="166" s="1"/>
  <c r="Z174" i="166" s="1"/>
  <c r="AA174" i="166" s="1"/>
  <c r="AB174" i="166" s="1"/>
  <c r="AC174" i="166" s="1"/>
  <c r="AD174" i="166" s="1"/>
  <c r="AE174" i="166" s="1"/>
  <c r="AF174" i="166" s="1"/>
  <c r="AG174" i="166" s="1"/>
  <c r="AH174" i="166" s="1"/>
  <c r="AI174" i="166" s="1"/>
  <c r="AJ174" i="166" s="1"/>
  <c r="AK174" i="166" s="1"/>
  <c r="AL174" i="166" s="1"/>
  <c r="AM174" i="166" s="1"/>
  <c r="G173" i="166"/>
  <c r="N173" i="166" s="1"/>
  <c r="O173" i="166" s="1"/>
  <c r="P173" i="166" s="1"/>
  <c r="Q173" i="166" s="1"/>
  <c r="R173" i="166" s="1"/>
  <c r="S173" i="166" s="1"/>
  <c r="T173" i="166" s="1"/>
  <c r="U173" i="166" s="1"/>
  <c r="V173" i="166" s="1"/>
  <c r="W173" i="166" s="1"/>
  <c r="X173" i="166" s="1"/>
  <c r="Y173" i="166" s="1"/>
  <c r="Z173" i="166" s="1"/>
  <c r="AA173" i="166" s="1"/>
  <c r="AB173" i="166" s="1"/>
  <c r="AC173" i="166" s="1"/>
  <c r="AD173" i="166" s="1"/>
  <c r="AE173" i="166" s="1"/>
  <c r="AF173" i="166" s="1"/>
  <c r="AG173" i="166" s="1"/>
  <c r="AH173" i="166" s="1"/>
  <c r="AI173" i="166" s="1"/>
  <c r="AJ173" i="166" s="1"/>
  <c r="AK173" i="166" s="1"/>
  <c r="AL173" i="166" s="1"/>
  <c r="AM173" i="166" s="1"/>
  <c r="G172" i="166"/>
  <c r="N172" i="166" s="1"/>
  <c r="O172" i="166" s="1"/>
  <c r="P172" i="166" s="1"/>
  <c r="Q172" i="166" s="1"/>
  <c r="R172" i="166" s="1"/>
  <c r="S172" i="166" s="1"/>
  <c r="T172" i="166" s="1"/>
  <c r="U172" i="166" s="1"/>
  <c r="V172" i="166" s="1"/>
  <c r="W172" i="166" s="1"/>
  <c r="X172" i="166" s="1"/>
  <c r="Y172" i="166" s="1"/>
  <c r="Z172" i="166" s="1"/>
  <c r="AA172" i="166" s="1"/>
  <c r="AB172" i="166" s="1"/>
  <c r="AC172" i="166" s="1"/>
  <c r="AD172" i="166" s="1"/>
  <c r="AE172" i="166" s="1"/>
  <c r="AF172" i="166" s="1"/>
  <c r="AG172" i="166" s="1"/>
  <c r="AH172" i="166" s="1"/>
  <c r="AI172" i="166" s="1"/>
  <c r="AJ172" i="166" s="1"/>
  <c r="AK172" i="166" s="1"/>
  <c r="AL172" i="166" s="1"/>
  <c r="AM172" i="166" s="1"/>
  <c r="G171" i="166"/>
  <c r="N171" i="166" s="1"/>
  <c r="O171" i="166" s="1"/>
  <c r="P171" i="166" s="1"/>
  <c r="Q171" i="166" s="1"/>
  <c r="R171" i="166" s="1"/>
  <c r="S171" i="166" s="1"/>
  <c r="T171" i="166" s="1"/>
  <c r="U171" i="166" s="1"/>
  <c r="V171" i="166" s="1"/>
  <c r="W171" i="166" s="1"/>
  <c r="X171" i="166" s="1"/>
  <c r="Y171" i="166" s="1"/>
  <c r="Z171" i="166" s="1"/>
  <c r="AA171" i="166" s="1"/>
  <c r="AB171" i="166" s="1"/>
  <c r="AC171" i="166" s="1"/>
  <c r="AD171" i="166" s="1"/>
  <c r="AE171" i="166" s="1"/>
  <c r="AF171" i="166" s="1"/>
  <c r="AG171" i="166" s="1"/>
  <c r="AH171" i="166" s="1"/>
  <c r="AI171" i="166" s="1"/>
  <c r="AJ171" i="166" s="1"/>
  <c r="AK171" i="166" s="1"/>
  <c r="AL171" i="166" s="1"/>
  <c r="AM171" i="166" s="1"/>
  <c r="G170" i="166"/>
  <c r="N170" i="166" s="1"/>
  <c r="O170" i="166" s="1"/>
  <c r="P170" i="166" s="1"/>
  <c r="Q170" i="166" s="1"/>
  <c r="R170" i="166" s="1"/>
  <c r="S170" i="166" s="1"/>
  <c r="T170" i="166" s="1"/>
  <c r="U170" i="166" s="1"/>
  <c r="V170" i="166" s="1"/>
  <c r="W170" i="166" s="1"/>
  <c r="X170" i="166" s="1"/>
  <c r="Y170" i="166" s="1"/>
  <c r="Z170" i="166" s="1"/>
  <c r="AA170" i="166" s="1"/>
  <c r="AB170" i="166" s="1"/>
  <c r="AC170" i="166" s="1"/>
  <c r="AD170" i="166" s="1"/>
  <c r="AE170" i="166" s="1"/>
  <c r="AF170" i="166" s="1"/>
  <c r="AG170" i="166" s="1"/>
  <c r="AH170" i="166" s="1"/>
  <c r="AI170" i="166" s="1"/>
  <c r="AJ170" i="166" s="1"/>
  <c r="AK170" i="166" s="1"/>
  <c r="AL170" i="166" s="1"/>
  <c r="AM170" i="166" s="1"/>
  <c r="G169" i="166"/>
  <c r="N169" i="166" s="1"/>
  <c r="O169" i="166" s="1"/>
  <c r="P169" i="166" s="1"/>
  <c r="Q169" i="166" s="1"/>
  <c r="R169" i="166" s="1"/>
  <c r="S169" i="166" s="1"/>
  <c r="T169" i="166" s="1"/>
  <c r="U169" i="166" s="1"/>
  <c r="V169" i="166" s="1"/>
  <c r="W169" i="166" s="1"/>
  <c r="X169" i="166" s="1"/>
  <c r="Y169" i="166" s="1"/>
  <c r="Z169" i="166" s="1"/>
  <c r="AA169" i="166" s="1"/>
  <c r="AB169" i="166" s="1"/>
  <c r="AC169" i="166" s="1"/>
  <c r="AD169" i="166" s="1"/>
  <c r="AE169" i="166" s="1"/>
  <c r="AF169" i="166" s="1"/>
  <c r="AG169" i="166" s="1"/>
  <c r="AH169" i="166" s="1"/>
  <c r="AI169" i="166" s="1"/>
  <c r="AJ169" i="166" s="1"/>
  <c r="AK169" i="166" s="1"/>
  <c r="AL169" i="166" s="1"/>
  <c r="AM169" i="166" s="1"/>
  <c r="G168" i="166"/>
  <c r="N168" i="166" s="1"/>
  <c r="O168" i="166" s="1"/>
  <c r="P168" i="166" s="1"/>
  <c r="Q168" i="166" s="1"/>
  <c r="R168" i="166" s="1"/>
  <c r="S168" i="166" s="1"/>
  <c r="T168" i="166" s="1"/>
  <c r="U168" i="166" s="1"/>
  <c r="V168" i="166" s="1"/>
  <c r="W168" i="166" s="1"/>
  <c r="X168" i="166" s="1"/>
  <c r="Y168" i="166" s="1"/>
  <c r="Z168" i="166" s="1"/>
  <c r="AA168" i="166" s="1"/>
  <c r="AB168" i="166" s="1"/>
  <c r="AC168" i="166" s="1"/>
  <c r="AD168" i="166" s="1"/>
  <c r="AE168" i="166" s="1"/>
  <c r="AF168" i="166" s="1"/>
  <c r="AG168" i="166" s="1"/>
  <c r="AH168" i="166" s="1"/>
  <c r="AI168" i="166" s="1"/>
  <c r="AJ168" i="166" s="1"/>
  <c r="AK168" i="166" s="1"/>
  <c r="AL168" i="166" s="1"/>
  <c r="AM168" i="166" s="1"/>
  <c r="G167" i="166"/>
  <c r="N167" i="166" s="1"/>
  <c r="O167" i="166" s="1"/>
  <c r="P167" i="166" s="1"/>
  <c r="Q167" i="166" s="1"/>
  <c r="R167" i="166" s="1"/>
  <c r="S167" i="166" s="1"/>
  <c r="T167" i="166" s="1"/>
  <c r="U167" i="166" s="1"/>
  <c r="V167" i="166" s="1"/>
  <c r="W167" i="166" s="1"/>
  <c r="X167" i="166" s="1"/>
  <c r="Y167" i="166" s="1"/>
  <c r="Z167" i="166" s="1"/>
  <c r="AA167" i="166" s="1"/>
  <c r="AB167" i="166" s="1"/>
  <c r="AC167" i="166" s="1"/>
  <c r="AD167" i="166" s="1"/>
  <c r="AE167" i="166" s="1"/>
  <c r="AF167" i="166" s="1"/>
  <c r="AG167" i="166" s="1"/>
  <c r="AH167" i="166" s="1"/>
  <c r="AI167" i="166" s="1"/>
  <c r="AJ167" i="166" s="1"/>
  <c r="AK167" i="166" s="1"/>
  <c r="AL167" i="166" s="1"/>
  <c r="AM167" i="166" s="1"/>
  <c r="G166" i="166"/>
  <c r="N166" i="166" s="1"/>
  <c r="O166" i="166" s="1"/>
  <c r="P166" i="166" s="1"/>
  <c r="Q166" i="166" s="1"/>
  <c r="R166" i="166" s="1"/>
  <c r="S166" i="166" s="1"/>
  <c r="T166" i="166" s="1"/>
  <c r="U166" i="166" s="1"/>
  <c r="V166" i="166" s="1"/>
  <c r="W166" i="166" s="1"/>
  <c r="X166" i="166" s="1"/>
  <c r="Y166" i="166" s="1"/>
  <c r="Z166" i="166" s="1"/>
  <c r="AA166" i="166" s="1"/>
  <c r="AB166" i="166" s="1"/>
  <c r="AC166" i="166" s="1"/>
  <c r="AD166" i="166" s="1"/>
  <c r="AE166" i="166" s="1"/>
  <c r="AF166" i="166" s="1"/>
  <c r="AG166" i="166" s="1"/>
  <c r="AH166" i="166" s="1"/>
  <c r="AI166" i="166" s="1"/>
  <c r="AJ166" i="166" s="1"/>
  <c r="AK166" i="166" s="1"/>
  <c r="AL166" i="166" s="1"/>
  <c r="AM166" i="166" s="1"/>
  <c r="G165" i="166"/>
  <c r="N165" i="166" s="1"/>
  <c r="O165" i="166" s="1"/>
  <c r="P165" i="166" s="1"/>
  <c r="Q165" i="166" s="1"/>
  <c r="R165" i="166" s="1"/>
  <c r="S165" i="166" s="1"/>
  <c r="T165" i="166" s="1"/>
  <c r="U165" i="166" s="1"/>
  <c r="V165" i="166" s="1"/>
  <c r="W165" i="166" s="1"/>
  <c r="X165" i="166" s="1"/>
  <c r="Y165" i="166" s="1"/>
  <c r="Z165" i="166" s="1"/>
  <c r="AA165" i="166" s="1"/>
  <c r="AB165" i="166" s="1"/>
  <c r="AC165" i="166" s="1"/>
  <c r="AD165" i="166" s="1"/>
  <c r="AE165" i="166" s="1"/>
  <c r="AF165" i="166" s="1"/>
  <c r="AG165" i="166" s="1"/>
  <c r="AH165" i="166" s="1"/>
  <c r="AI165" i="166" s="1"/>
  <c r="AJ165" i="166" s="1"/>
  <c r="AK165" i="166" s="1"/>
  <c r="AL165" i="166" s="1"/>
  <c r="AM165" i="166" s="1"/>
  <c r="G164" i="166"/>
  <c r="N164" i="166" s="1"/>
  <c r="O164" i="166" s="1"/>
  <c r="P164" i="166" s="1"/>
  <c r="Q164" i="166" s="1"/>
  <c r="R164" i="166" s="1"/>
  <c r="S164" i="166" s="1"/>
  <c r="T164" i="166" s="1"/>
  <c r="U164" i="166" s="1"/>
  <c r="V164" i="166" s="1"/>
  <c r="W164" i="166" s="1"/>
  <c r="X164" i="166" s="1"/>
  <c r="Y164" i="166" s="1"/>
  <c r="Z164" i="166" s="1"/>
  <c r="AA164" i="166" s="1"/>
  <c r="AB164" i="166" s="1"/>
  <c r="AC164" i="166" s="1"/>
  <c r="AD164" i="166" s="1"/>
  <c r="AE164" i="166" s="1"/>
  <c r="AF164" i="166" s="1"/>
  <c r="AG164" i="166" s="1"/>
  <c r="AH164" i="166" s="1"/>
  <c r="AI164" i="166" s="1"/>
  <c r="AJ164" i="166" s="1"/>
  <c r="AK164" i="166" s="1"/>
  <c r="AL164" i="166" s="1"/>
  <c r="AM164" i="166" s="1"/>
  <c r="G162" i="166"/>
  <c r="N162" i="166" s="1"/>
  <c r="O162" i="166" s="1"/>
  <c r="P162" i="166" s="1"/>
  <c r="Q162" i="166" s="1"/>
  <c r="R162" i="166" s="1"/>
  <c r="S162" i="166" s="1"/>
  <c r="T162" i="166" s="1"/>
  <c r="U162" i="166" s="1"/>
  <c r="V162" i="166" s="1"/>
  <c r="W162" i="166" s="1"/>
  <c r="X162" i="166" s="1"/>
  <c r="Y162" i="166" s="1"/>
  <c r="Z162" i="166" s="1"/>
  <c r="AA162" i="166" s="1"/>
  <c r="AB162" i="166" s="1"/>
  <c r="AC162" i="166" s="1"/>
  <c r="AD162" i="166" s="1"/>
  <c r="AE162" i="166" s="1"/>
  <c r="AF162" i="166" s="1"/>
  <c r="AG162" i="166" s="1"/>
  <c r="AH162" i="166" s="1"/>
  <c r="AI162" i="166" s="1"/>
  <c r="AJ162" i="166" s="1"/>
  <c r="AK162" i="166" s="1"/>
  <c r="AL162" i="166" s="1"/>
  <c r="AM162" i="166" s="1"/>
  <c r="G161" i="166"/>
  <c r="N161" i="166" s="1"/>
  <c r="O161" i="166" s="1"/>
  <c r="P161" i="166" s="1"/>
  <c r="Q161" i="166" s="1"/>
  <c r="R161" i="166" s="1"/>
  <c r="S161" i="166" s="1"/>
  <c r="T161" i="166" s="1"/>
  <c r="U161" i="166" s="1"/>
  <c r="V161" i="166" s="1"/>
  <c r="W161" i="166" s="1"/>
  <c r="X161" i="166" s="1"/>
  <c r="Y161" i="166" s="1"/>
  <c r="Z161" i="166" s="1"/>
  <c r="AA161" i="166" s="1"/>
  <c r="AB161" i="166" s="1"/>
  <c r="AC161" i="166" s="1"/>
  <c r="AD161" i="166" s="1"/>
  <c r="AE161" i="166" s="1"/>
  <c r="AF161" i="166" s="1"/>
  <c r="AG161" i="166" s="1"/>
  <c r="AH161" i="166" s="1"/>
  <c r="AI161" i="166" s="1"/>
  <c r="AJ161" i="166" s="1"/>
  <c r="AK161" i="166" s="1"/>
  <c r="AL161" i="166" s="1"/>
  <c r="AM161" i="166" s="1"/>
  <c r="G159" i="166"/>
  <c r="N159" i="166" s="1"/>
  <c r="O159" i="166" s="1"/>
  <c r="P159" i="166" s="1"/>
  <c r="Q159" i="166" s="1"/>
  <c r="R159" i="166" s="1"/>
  <c r="S159" i="166" s="1"/>
  <c r="T159" i="166" s="1"/>
  <c r="U159" i="166" s="1"/>
  <c r="V159" i="166" s="1"/>
  <c r="W159" i="166" s="1"/>
  <c r="X159" i="166" s="1"/>
  <c r="Y159" i="166" s="1"/>
  <c r="Z159" i="166" s="1"/>
  <c r="AA159" i="166" s="1"/>
  <c r="AB159" i="166" s="1"/>
  <c r="AC159" i="166" s="1"/>
  <c r="AD159" i="166" s="1"/>
  <c r="AE159" i="166" s="1"/>
  <c r="AF159" i="166" s="1"/>
  <c r="AG159" i="166" s="1"/>
  <c r="AH159" i="166" s="1"/>
  <c r="AI159" i="166" s="1"/>
  <c r="AJ159" i="166" s="1"/>
  <c r="AK159" i="166" s="1"/>
  <c r="AL159" i="166" s="1"/>
  <c r="AM159" i="166" s="1"/>
  <c r="G158" i="166"/>
  <c r="N158" i="166" s="1"/>
  <c r="O158" i="166" s="1"/>
  <c r="P158" i="166" s="1"/>
  <c r="Q158" i="166" s="1"/>
  <c r="R158" i="166" s="1"/>
  <c r="S158" i="166" s="1"/>
  <c r="T158" i="166" s="1"/>
  <c r="U158" i="166" s="1"/>
  <c r="V158" i="166" s="1"/>
  <c r="W158" i="166" s="1"/>
  <c r="X158" i="166" s="1"/>
  <c r="Y158" i="166" s="1"/>
  <c r="Z158" i="166" s="1"/>
  <c r="AA158" i="166" s="1"/>
  <c r="AB158" i="166" s="1"/>
  <c r="AC158" i="166" s="1"/>
  <c r="AD158" i="166" s="1"/>
  <c r="AE158" i="166" s="1"/>
  <c r="AF158" i="166" s="1"/>
  <c r="AG158" i="166" s="1"/>
  <c r="AH158" i="166" s="1"/>
  <c r="AI158" i="166" s="1"/>
  <c r="AJ158" i="166" s="1"/>
  <c r="AK158" i="166" s="1"/>
  <c r="AL158" i="166" s="1"/>
  <c r="AM158" i="166" s="1"/>
  <c r="G157" i="166"/>
  <c r="N157" i="166" s="1"/>
  <c r="O157" i="166" s="1"/>
  <c r="P157" i="166" s="1"/>
  <c r="Q157" i="166" s="1"/>
  <c r="R157" i="166" s="1"/>
  <c r="S157" i="166" s="1"/>
  <c r="T157" i="166" s="1"/>
  <c r="U157" i="166" s="1"/>
  <c r="V157" i="166" s="1"/>
  <c r="W157" i="166" s="1"/>
  <c r="X157" i="166" s="1"/>
  <c r="Y157" i="166" s="1"/>
  <c r="Z157" i="166" s="1"/>
  <c r="AA157" i="166" s="1"/>
  <c r="AB157" i="166" s="1"/>
  <c r="AC157" i="166" s="1"/>
  <c r="AD157" i="166" s="1"/>
  <c r="AE157" i="166" s="1"/>
  <c r="AF157" i="166" s="1"/>
  <c r="AG157" i="166" s="1"/>
  <c r="AH157" i="166" s="1"/>
  <c r="AI157" i="166" s="1"/>
  <c r="AJ157" i="166" s="1"/>
  <c r="AK157" i="166" s="1"/>
  <c r="AL157" i="166" s="1"/>
  <c r="AM157" i="166" s="1"/>
  <c r="G155" i="166"/>
  <c r="N155" i="166" s="1"/>
  <c r="O155" i="166" s="1"/>
  <c r="P155" i="166" s="1"/>
  <c r="Q155" i="166" s="1"/>
  <c r="R155" i="166" s="1"/>
  <c r="S155" i="166" s="1"/>
  <c r="T155" i="166" s="1"/>
  <c r="U155" i="166" s="1"/>
  <c r="V155" i="166" s="1"/>
  <c r="W155" i="166" s="1"/>
  <c r="X155" i="166" s="1"/>
  <c r="Y155" i="166" s="1"/>
  <c r="Z155" i="166" s="1"/>
  <c r="AA155" i="166" s="1"/>
  <c r="AB155" i="166" s="1"/>
  <c r="AC155" i="166" s="1"/>
  <c r="AD155" i="166" s="1"/>
  <c r="AE155" i="166" s="1"/>
  <c r="AF155" i="166" s="1"/>
  <c r="AG155" i="166" s="1"/>
  <c r="AH155" i="166" s="1"/>
  <c r="AI155" i="166" s="1"/>
  <c r="AJ155" i="166" s="1"/>
  <c r="AK155" i="166" s="1"/>
  <c r="AL155" i="166" s="1"/>
  <c r="AM155" i="166" s="1"/>
  <c r="G154" i="166"/>
  <c r="N154" i="166" s="1"/>
  <c r="O154" i="166" s="1"/>
  <c r="P154" i="166" s="1"/>
  <c r="Q154" i="166" s="1"/>
  <c r="R154" i="166" s="1"/>
  <c r="S154" i="166" s="1"/>
  <c r="T154" i="166" s="1"/>
  <c r="U154" i="166" s="1"/>
  <c r="V154" i="166" s="1"/>
  <c r="W154" i="166" s="1"/>
  <c r="X154" i="166" s="1"/>
  <c r="Y154" i="166" s="1"/>
  <c r="Z154" i="166" s="1"/>
  <c r="AA154" i="166" s="1"/>
  <c r="AB154" i="166" s="1"/>
  <c r="AC154" i="166" s="1"/>
  <c r="AD154" i="166" s="1"/>
  <c r="AE154" i="166" s="1"/>
  <c r="AF154" i="166" s="1"/>
  <c r="AG154" i="166" s="1"/>
  <c r="AH154" i="166" s="1"/>
  <c r="AI154" i="166" s="1"/>
  <c r="AJ154" i="166" s="1"/>
  <c r="AK154" i="166" s="1"/>
  <c r="AL154" i="166" s="1"/>
  <c r="AM154" i="166" s="1"/>
  <c r="O156" i="166"/>
  <c r="P156" i="166" s="1"/>
  <c r="Q156" i="166" s="1"/>
  <c r="R156" i="166" s="1"/>
  <c r="S156" i="166" s="1"/>
  <c r="T156" i="166" s="1"/>
  <c r="U156" i="166" s="1"/>
  <c r="V156" i="166" s="1"/>
  <c r="W156" i="166" s="1"/>
  <c r="X156" i="166" s="1"/>
  <c r="Y156" i="166" s="1"/>
  <c r="Z156" i="166" s="1"/>
  <c r="AA156" i="166" s="1"/>
  <c r="AB156" i="166" s="1"/>
  <c r="AC156" i="166" s="1"/>
  <c r="AD156" i="166" s="1"/>
  <c r="AE156" i="166" s="1"/>
  <c r="AF156" i="166" s="1"/>
  <c r="AG156" i="166" s="1"/>
  <c r="AH156" i="166" s="1"/>
  <c r="AI156" i="166" s="1"/>
  <c r="AJ156" i="166" s="1"/>
  <c r="AK156" i="166" s="1"/>
  <c r="AL156" i="166" s="1"/>
  <c r="AM156" i="166" s="1"/>
  <c r="O163" i="166"/>
  <c r="P163" i="166" s="1"/>
  <c r="Q163" i="166" s="1"/>
  <c r="R163" i="166" s="1"/>
  <c r="S163" i="166" s="1"/>
  <c r="T163" i="166" s="1"/>
  <c r="U163" i="166" s="1"/>
  <c r="V163" i="166" s="1"/>
  <c r="W163" i="166" s="1"/>
  <c r="X163" i="166" s="1"/>
  <c r="Y163" i="166" s="1"/>
  <c r="Z163" i="166" s="1"/>
  <c r="AA163" i="166" s="1"/>
  <c r="AB163" i="166" s="1"/>
  <c r="AC163" i="166" s="1"/>
  <c r="AD163" i="166" s="1"/>
  <c r="AE163" i="166" s="1"/>
  <c r="AF163" i="166" s="1"/>
  <c r="AG163" i="166" s="1"/>
  <c r="AH163" i="166" s="1"/>
  <c r="AI163" i="166" s="1"/>
  <c r="AJ163" i="166" s="1"/>
  <c r="AK163" i="166" s="1"/>
  <c r="AL163" i="166" s="1"/>
  <c r="AM163" i="166" s="1"/>
  <c r="N156" i="166"/>
  <c r="N160" i="166"/>
  <c r="O160" i="166" s="1"/>
  <c r="P160" i="166" s="1"/>
  <c r="Q160" i="166" s="1"/>
  <c r="R160" i="166" s="1"/>
  <c r="S160" i="166" s="1"/>
  <c r="T160" i="166" s="1"/>
  <c r="U160" i="166" s="1"/>
  <c r="V160" i="166" s="1"/>
  <c r="W160" i="166" s="1"/>
  <c r="X160" i="166" s="1"/>
  <c r="Y160" i="166" s="1"/>
  <c r="Z160" i="166" s="1"/>
  <c r="AA160" i="166" s="1"/>
  <c r="AB160" i="166" s="1"/>
  <c r="AC160" i="166" s="1"/>
  <c r="AD160" i="166" s="1"/>
  <c r="AE160" i="166" s="1"/>
  <c r="AF160" i="166" s="1"/>
  <c r="AG160" i="166" s="1"/>
  <c r="AH160" i="166" s="1"/>
  <c r="AI160" i="166" s="1"/>
  <c r="AJ160" i="166" s="1"/>
  <c r="AK160" i="166" s="1"/>
  <c r="AL160" i="166" s="1"/>
  <c r="AM160" i="166" s="1"/>
  <c r="N163" i="166"/>
  <c r="G153" i="166"/>
  <c r="N153" i="166" s="1"/>
  <c r="O153" i="166" s="1"/>
  <c r="P153" i="166" s="1"/>
  <c r="Q153" i="166" s="1"/>
  <c r="R153" i="166" s="1"/>
  <c r="S153" i="166" s="1"/>
  <c r="T153" i="166" s="1"/>
  <c r="U153" i="166" s="1"/>
  <c r="V153" i="166" s="1"/>
  <c r="W153" i="166" s="1"/>
  <c r="X153" i="166" s="1"/>
  <c r="Y153" i="166" s="1"/>
  <c r="Z153" i="166" s="1"/>
  <c r="AA153" i="166" s="1"/>
  <c r="AB153" i="166" s="1"/>
  <c r="AC153" i="166" s="1"/>
  <c r="AD153" i="166" s="1"/>
  <c r="AE153" i="166" s="1"/>
  <c r="AF153" i="166" s="1"/>
  <c r="AG153" i="166" s="1"/>
  <c r="AH153" i="166" s="1"/>
  <c r="AI153" i="166" s="1"/>
  <c r="AJ153" i="166" s="1"/>
  <c r="AK153" i="166" s="1"/>
  <c r="AL153" i="166" s="1"/>
  <c r="AM153" i="166" s="1"/>
  <c r="G152" i="166"/>
  <c r="N152" i="166" s="1"/>
  <c r="G148" i="166"/>
  <c r="N148" i="166" s="1"/>
  <c r="O148" i="166" s="1"/>
  <c r="P148" i="166" s="1"/>
  <c r="Q148" i="166" s="1"/>
  <c r="R148" i="166" s="1"/>
  <c r="S148" i="166" s="1"/>
  <c r="T148" i="166" s="1"/>
  <c r="U148" i="166" s="1"/>
  <c r="V148" i="166" s="1"/>
  <c r="W148" i="166" s="1"/>
  <c r="X148" i="166" s="1"/>
  <c r="Y148" i="166" s="1"/>
  <c r="Z148" i="166" s="1"/>
  <c r="AA148" i="166" s="1"/>
  <c r="AB148" i="166" s="1"/>
  <c r="AC148" i="166" s="1"/>
  <c r="AD148" i="166" s="1"/>
  <c r="AE148" i="166" s="1"/>
  <c r="AF148" i="166" s="1"/>
  <c r="AG148" i="166" s="1"/>
  <c r="AH148" i="166" s="1"/>
  <c r="AI148" i="166" s="1"/>
  <c r="AJ148" i="166" s="1"/>
  <c r="AK148" i="166" s="1"/>
  <c r="AL148" i="166" s="1"/>
  <c r="AM148" i="166" s="1"/>
  <c r="G147" i="166"/>
  <c r="N147" i="166" s="1"/>
  <c r="G146" i="166"/>
  <c r="N146" i="166" s="1"/>
  <c r="O146" i="166" s="1"/>
  <c r="P146" i="166" s="1"/>
  <c r="Q146" i="166" s="1"/>
  <c r="R146" i="166" s="1"/>
  <c r="S146" i="166" s="1"/>
  <c r="T146" i="166" s="1"/>
  <c r="U146" i="166" s="1"/>
  <c r="V146" i="166" s="1"/>
  <c r="W146" i="166" s="1"/>
  <c r="X146" i="166" s="1"/>
  <c r="Y146" i="166" s="1"/>
  <c r="Z146" i="166" s="1"/>
  <c r="AA146" i="166" s="1"/>
  <c r="AB146" i="166" s="1"/>
  <c r="AC146" i="166" s="1"/>
  <c r="AD146" i="166" s="1"/>
  <c r="AE146" i="166" s="1"/>
  <c r="AF146" i="166" s="1"/>
  <c r="AG146" i="166" s="1"/>
  <c r="AH146" i="166" s="1"/>
  <c r="AI146" i="166" s="1"/>
  <c r="AJ146" i="166" s="1"/>
  <c r="AK146" i="166" s="1"/>
  <c r="AL146" i="166" s="1"/>
  <c r="AM146" i="166" s="1"/>
  <c r="G139" i="166"/>
  <c r="N139" i="166" s="1"/>
  <c r="O139" i="166" s="1"/>
  <c r="P139" i="166" s="1"/>
  <c r="Q139" i="166" s="1"/>
  <c r="R139" i="166" s="1"/>
  <c r="S139" i="166" s="1"/>
  <c r="T139" i="166" s="1"/>
  <c r="U139" i="166" s="1"/>
  <c r="V139" i="166" s="1"/>
  <c r="W139" i="166" s="1"/>
  <c r="X139" i="166" s="1"/>
  <c r="Y139" i="166" s="1"/>
  <c r="Z139" i="166" s="1"/>
  <c r="AA139" i="166" s="1"/>
  <c r="AB139" i="166" s="1"/>
  <c r="AC139" i="166" s="1"/>
  <c r="AD139" i="166" s="1"/>
  <c r="AE139" i="166" s="1"/>
  <c r="AF139" i="166" s="1"/>
  <c r="AG139" i="166" s="1"/>
  <c r="AH139" i="166" s="1"/>
  <c r="AI139" i="166" s="1"/>
  <c r="AJ139" i="166" s="1"/>
  <c r="AK139" i="166" s="1"/>
  <c r="AL139" i="166" s="1"/>
  <c r="AM139" i="166" s="1"/>
  <c r="G138" i="166"/>
  <c r="N138" i="166" s="1"/>
  <c r="O138" i="166" s="1"/>
  <c r="P138" i="166" s="1"/>
  <c r="Q138" i="166" s="1"/>
  <c r="R138" i="166" s="1"/>
  <c r="S138" i="166" s="1"/>
  <c r="T138" i="166" s="1"/>
  <c r="U138" i="166" s="1"/>
  <c r="V138" i="166" s="1"/>
  <c r="W138" i="166" s="1"/>
  <c r="X138" i="166" s="1"/>
  <c r="Y138" i="166" s="1"/>
  <c r="Z138" i="166" s="1"/>
  <c r="AA138" i="166" s="1"/>
  <c r="AB138" i="166" s="1"/>
  <c r="AC138" i="166" s="1"/>
  <c r="AD138" i="166" s="1"/>
  <c r="AE138" i="166" s="1"/>
  <c r="AF138" i="166" s="1"/>
  <c r="AG138" i="166" s="1"/>
  <c r="AH138" i="166" s="1"/>
  <c r="AI138" i="166" s="1"/>
  <c r="AJ138" i="166" s="1"/>
  <c r="AK138" i="166" s="1"/>
  <c r="AL138" i="166" s="1"/>
  <c r="AM138" i="166" s="1"/>
  <c r="G136" i="166"/>
  <c r="N136" i="166" s="1"/>
  <c r="G133" i="166"/>
  <c r="N133" i="166" s="1"/>
  <c r="O133" i="166" s="1"/>
  <c r="P133" i="166" s="1"/>
  <c r="Q133" i="166" s="1"/>
  <c r="R133" i="166" s="1"/>
  <c r="S133" i="166" s="1"/>
  <c r="T133" i="166" s="1"/>
  <c r="U133" i="166" s="1"/>
  <c r="V133" i="166" s="1"/>
  <c r="W133" i="166" s="1"/>
  <c r="X133" i="166" s="1"/>
  <c r="Y133" i="166" s="1"/>
  <c r="Z133" i="166" s="1"/>
  <c r="AA133" i="166" s="1"/>
  <c r="AB133" i="166" s="1"/>
  <c r="AC133" i="166" s="1"/>
  <c r="AD133" i="166" s="1"/>
  <c r="AE133" i="166" s="1"/>
  <c r="AF133" i="166" s="1"/>
  <c r="AG133" i="166" s="1"/>
  <c r="AH133" i="166" s="1"/>
  <c r="AI133" i="166" s="1"/>
  <c r="AJ133" i="166" s="1"/>
  <c r="AK133" i="166" s="1"/>
  <c r="AL133" i="166" s="1"/>
  <c r="AM133" i="166" s="1"/>
  <c r="G132" i="166"/>
  <c r="N132" i="166" s="1"/>
  <c r="O132" i="166" s="1"/>
  <c r="P132" i="166" s="1"/>
  <c r="Q132" i="166" s="1"/>
  <c r="R132" i="166" s="1"/>
  <c r="S132" i="166" s="1"/>
  <c r="T132" i="166" s="1"/>
  <c r="U132" i="166" s="1"/>
  <c r="V132" i="166" s="1"/>
  <c r="W132" i="166" s="1"/>
  <c r="X132" i="166" s="1"/>
  <c r="Y132" i="166" s="1"/>
  <c r="Z132" i="166" s="1"/>
  <c r="AA132" i="166" s="1"/>
  <c r="AB132" i="166" s="1"/>
  <c r="AC132" i="166" s="1"/>
  <c r="AD132" i="166" s="1"/>
  <c r="AE132" i="166" s="1"/>
  <c r="AF132" i="166" s="1"/>
  <c r="AG132" i="166" s="1"/>
  <c r="AH132" i="166" s="1"/>
  <c r="AI132" i="166" s="1"/>
  <c r="AJ132" i="166" s="1"/>
  <c r="AK132" i="166" s="1"/>
  <c r="AL132" i="166" s="1"/>
  <c r="AM132" i="166" s="1"/>
  <c r="G131" i="166"/>
  <c r="N131" i="166" s="1"/>
  <c r="O131" i="166" s="1"/>
  <c r="P131" i="166" s="1"/>
  <c r="Q131" i="166" s="1"/>
  <c r="R131" i="166" s="1"/>
  <c r="S131" i="166" s="1"/>
  <c r="T131" i="166" s="1"/>
  <c r="U131" i="166" s="1"/>
  <c r="V131" i="166" s="1"/>
  <c r="W131" i="166" s="1"/>
  <c r="X131" i="166" s="1"/>
  <c r="Y131" i="166" s="1"/>
  <c r="Z131" i="166" s="1"/>
  <c r="AA131" i="166" s="1"/>
  <c r="AB131" i="166" s="1"/>
  <c r="AC131" i="166" s="1"/>
  <c r="AD131" i="166" s="1"/>
  <c r="AE131" i="166" s="1"/>
  <c r="AF131" i="166" s="1"/>
  <c r="AG131" i="166" s="1"/>
  <c r="AH131" i="166" s="1"/>
  <c r="AI131" i="166" s="1"/>
  <c r="AJ131" i="166" s="1"/>
  <c r="AK131" i="166" s="1"/>
  <c r="AL131" i="166" s="1"/>
  <c r="AM131" i="166" s="1"/>
  <c r="G130" i="166"/>
  <c r="N130" i="166" s="1"/>
  <c r="O130" i="166" s="1"/>
  <c r="P130" i="166" s="1"/>
  <c r="Q130" i="166" s="1"/>
  <c r="R130" i="166" s="1"/>
  <c r="S130" i="166" s="1"/>
  <c r="T130" i="166" s="1"/>
  <c r="U130" i="166" s="1"/>
  <c r="V130" i="166" s="1"/>
  <c r="W130" i="166" s="1"/>
  <c r="X130" i="166" s="1"/>
  <c r="Y130" i="166" s="1"/>
  <c r="Z130" i="166" s="1"/>
  <c r="AA130" i="166" s="1"/>
  <c r="AB130" i="166" s="1"/>
  <c r="AC130" i="166" s="1"/>
  <c r="AD130" i="166" s="1"/>
  <c r="AE130" i="166" s="1"/>
  <c r="AF130" i="166" s="1"/>
  <c r="AG130" i="166" s="1"/>
  <c r="AH130" i="166" s="1"/>
  <c r="AI130" i="166" s="1"/>
  <c r="AJ130" i="166" s="1"/>
  <c r="AK130" i="166" s="1"/>
  <c r="AL130" i="166" s="1"/>
  <c r="AM130" i="166" s="1"/>
  <c r="G129" i="166"/>
  <c r="N129" i="166" s="1"/>
  <c r="O129" i="166" s="1"/>
  <c r="P129" i="166" s="1"/>
  <c r="Q129" i="166" s="1"/>
  <c r="R129" i="166" s="1"/>
  <c r="S129" i="166" s="1"/>
  <c r="T129" i="166" s="1"/>
  <c r="U129" i="166" s="1"/>
  <c r="V129" i="166" s="1"/>
  <c r="W129" i="166" s="1"/>
  <c r="X129" i="166" s="1"/>
  <c r="Y129" i="166" s="1"/>
  <c r="Z129" i="166" s="1"/>
  <c r="AA129" i="166" s="1"/>
  <c r="AB129" i="166" s="1"/>
  <c r="AC129" i="166" s="1"/>
  <c r="AD129" i="166" s="1"/>
  <c r="AE129" i="166" s="1"/>
  <c r="AF129" i="166" s="1"/>
  <c r="AG129" i="166" s="1"/>
  <c r="AH129" i="166" s="1"/>
  <c r="AI129" i="166" s="1"/>
  <c r="AJ129" i="166" s="1"/>
  <c r="AK129" i="166" s="1"/>
  <c r="AL129" i="166" s="1"/>
  <c r="AM129" i="166" s="1"/>
  <c r="G128" i="166"/>
  <c r="N128" i="166" s="1"/>
  <c r="O128" i="166" s="1"/>
  <c r="P128" i="166" s="1"/>
  <c r="Q128" i="166" s="1"/>
  <c r="R128" i="166" s="1"/>
  <c r="S128" i="166" s="1"/>
  <c r="T128" i="166" s="1"/>
  <c r="U128" i="166" s="1"/>
  <c r="V128" i="166" s="1"/>
  <c r="W128" i="166" s="1"/>
  <c r="X128" i="166" s="1"/>
  <c r="Y128" i="166" s="1"/>
  <c r="Z128" i="166" s="1"/>
  <c r="AA128" i="166" s="1"/>
  <c r="AB128" i="166" s="1"/>
  <c r="AC128" i="166" s="1"/>
  <c r="AD128" i="166" s="1"/>
  <c r="AE128" i="166" s="1"/>
  <c r="AF128" i="166" s="1"/>
  <c r="AG128" i="166" s="1"/>
  <c r="AH128" i="166" s="1"/>
  <c r="AI128" i="166" s="1"/>
  <c r="AJ128" i="166" s="1"/>
  <c r="AK128" i="166" s="1"/>
  <c r="AL128" i="166" s="1"/>
  <c r="AM128" i="166" s="1"/>
  <c r="G127" i="166"/>
  <c r="N127" i="166" s="1"/>
  <c r="O127" i="166" s="1"/>
  <c r="P127" i="166" s="1"/>
  <c r="Q127" i="166" s="1"/>
  <c r="R127" i="166" s="1"/>
  <c r="S127" i="166" s="1"/>
  <c r="T127" i="166" s="1"/>
  <c r="U127" i="166" s="1"/>
  <c r="V127" i="166" s="1"/>
  <c r="W127" i="166" s="1"/>
  <c r="X127" i="166" s="1"/>
  <c r="Y127" i="166" s="1"/>
  <c r="Z127" i="166" s="1"/>
  <c r="AA127" i="166" s="1"/>
  <c r="AB127" i="166" s="1"/>
  <c r="AC127" i="166" s="1"/>
  <c r="AD127" i="166" s="1"/>
  <c r="AE127" i="166" s="1"/>
  <c r="AF127" i="166" s="1"/>
  <c r="AG127" i="166" s="1"/>
  <c r="AH127" i="166" s="1"/>
  <c r="AI127" i="166" s="1"/>
  <c r="AJ127" i="166" s="1"/>
  <c r="AK127" i="166" s="1"/>
  <c r="AL127" i="166" s="1"/>
  <c r="AM127" i="166" s="1"/>
  <c r="G126" i="166"/>
  <c r="N126" i="166" s="1"/>
  <c r="O126" i="166" s="1"/>
  <c r="P126" i="166" s="1"/>
  <c r="Q126" i="166" s="1"/>
  <c r="R126" i="166" s="1"/>
  <c r="S126" i="166" s="1"/>
  <c r="T126" i="166" s="1"/>
  <c r="U126" i="166" s="1"/>
  <c r="V126" i="166" s="1"/>
  <c r="W126" i="166" s="1"/>
  <c r="X126" i="166" s="1"/>
  <c r="Y126" i="166" s="1"/>
  <c r="Z126" i="166" s="1"/>
  <c r="AA126" i="166" s="1"/>
  <c r="AB126" i="166" s="1"/>
  <c r="AC126" i="166" s="1"/>
  <c r="AD126" i="166" s="1"/>
  <c r="AE126" i="166" s="1"/>
  <c r="AF126" i="166" s="1"/>
  <c r="AG126" i="166" s="1"/>
  <c r="AH126" i="166" s="1"/>
  <c r="AI126" i="166" s="1"/>
  <c r="AJ126" i="166" s="1"/>
  <c r="AK126" i="166" s="1"/>
  <c r="AL126" i="166" s="1"/>
  <c r="AM126" i="166" s="1"/>
  <c r="G125" i="166"/>
  <c r="N125" i="166" s="1"/>
  <c r="O125" i="166" s="1"/>
  <c r="P125" i="166" s="1"/>
  <c r="Q125" i="166" s="1"/>
  <c r="R125" i="166" s="1"/>
  <c r="S125" i="166" s="1"/>
  <c r="T125" i="166" s="1"/>
  <c r="U125" i="166" s="1"/>
  <c r="V125" i="166" s="1"/>
  <c r="W125" i="166" s="1"/>
  <c r="X125" i="166" s="1"/>
  <c r="Y125" i="166" s="1"/>
  <c r="Z125" i="166" s="1"/>
  <c r="AA125" i="166" s="1"/>
  <c r="AB125" i="166" s="1"/>
  <c r="AC125" i="166" s="1"/>
  <c r="AD125" i="166" s="1"/>
  <c r="AE125" i="166" s="1"/>
  <c r="AF125" i="166" s="1"/>
  <c r="AG125" i="166" s="1"/>
  <c r="AH125" i="166" s="1"/>
  <c r="AI125" i="166" s="1"/>
  <c r="AJ125" i="166" s="1"/>
  <c r="AK125" i="166" s="1"/>
  <c r="AL125" i="166" s="1"/>
  <c r="AM125" i="166" s="1"/>
  <c r="G124" i="166"/>
  <c r="N124" i="166" s="1"/>
  <c r="O124" i="166" s="1"/>
  <c r="P124" i="166" s="1"/>
  <c r="Q124" i="166" s="1"/>
  <c r="R124" i="166" s="1"/>
  <c r="S124" i="166" s="1"/>
  <c r="T124" i="166" s="1"/>
  <c r="U124" i="166" s="1"/>
  <c r="V124" i="166" s="1"/>
  <c r="W124" i="166" s="1"/>
  <c r="X124" i="166" s="1"/>
  <c r="Y124" i="166" s="1"/>
  <c r="Z124" i="166" s="1"/>
  <c r="AA124" i="166" s="1"/>
  <c r="AB124" i="166" s="1"/>
  <c r="AC124" i="166" s="1"/>
  <c r="AD124" i="166" s="1"/>
  <c r="AE124" i="166" s="1"/>
  <c r="AF124" i="166" s="1"/>
  <c r="AG124" i="166" s="1"/>
  <c r="AH124" i="166" s="1"/>
  <c r="AI124" i="166" s="1"/>
  <c r="AJ124" i="166" s="1"/>
  <c r="AK124" i="166" s="1"/>
  <c r="AL124" i="166" s="1"/>
  <c r="AM124" i="166" s="1"/>
  <c r="G123" i="166"/>
  <c r="N123" i="166" s="1"/>
  <c r="O123" i="166" s="1"/>
  <c r="P123" i="166" s="1"/>
  <c r="Q123" i="166" s="1"/>
  <c r="R123" i="166" s="1"/>
  <c r="S123" i="166" s="1"/>
  <c r="T123" i="166" s="1"/>
  <c r="U123" i="166" s="1"/>
  <c r="V123" i="166" s="1"/>
  <c r="W123" i="166" s="1"/>
  <c r="X123" i="166" s="1"/>
  <c r="Y123" i="166" s="1"/>
  <c r="Z123" i="166" s="1"/>
  <c r="AA123" i="166" s="1"/>
  <c r="AB123" i="166" s="1"/>
  <c r="AC123" i="166" s="1"/>
  <c r="AD123" i="166" s="1"/>
  <c r="AE123" i="166" s="1"/>
  <c r="AF123" i="166" s="1"/>
  <c r="AG123" i="166" s="1"/>
  <c r="AH123" i="166" s="1"/>
  <c r="AI123" i="166" s="1"/>
  <c r="AJ123" i="166" s="1"/>
  <c r="AK123" i="166" s="1"/>
  <c r="AL123" i="166" s="1"/>
  <c r="AM123" i="166" s="1"/>
  <c r="G122" i="166"/>
  <c r="N122" i="166" s="1"/>
  <c r="O122" i="166" s="1"/>
  <c r="P122" i="166" s="1"/>
  <c r="Q122" i="166" s="1"/>
  <c r="R122" i="166" s="1"/>
  <c r="S122" i="166" s="1"/>
  <c r="T122" i="166" s="1"/>
  <c r="U122" i="166" s="1"/>
  <c r="V122" i="166" s="1"/>
  <c r="W122" i="166" s="1"/>
  <c r="X122" i="166" s="1"/>
  <c r="Y122" i="166" s="1"/>
  <c r="Z122" i="166" s="1"/>
  <c r="AA122" i="166" s="1"/>
  <c r="AB122" i="166" s="1"/>
  <c r="AC122" i="166" s="1"/>
  <c r="AD122" i="166" s="1"/>
  <c r="AE122" i="166" s="1"/>
  <c r="AF122" i="166" s="1"/>
  <c r="AG122" i="166" s="1"/>
  <c r="AH122" i="166" s="1"/>
  <c r="AI122" i="166" s="1"/>
  <c r="AJ122" i="166" s="1"/>
  <c r="AK122" i="166" s="1"/>
  <c r="AL122" i="166" s="1"/>
  <c r="AM122" i="166" s="1"/>
  <c r="G121" i="166"/>
  <c r="N121" i="166" s="1"/>
  <c r="O121" i="166" s="1"/>
  <c r="P121" i="166" s="1"/>
  <c r="Q121" i="166" s="1"/>
  <c r="R121" i="166" s="1"/>
  <c r="S121" i="166" s="1"/>
  <c r="T121" i="166" s="1"/>
  <c r="U121" i="166" s="1"/>
  <c r="V121" i="166" s="1"/>
  <c r="W121" i="166" s="1"/>
  <c r="X121" i="166" s="1"/>
  <c r="Y121" i="166" s="1"/>
  <c r="Z121" i="166" s="1"/>
  <c r="AA121" i="166" s="1"/>
  <c r="AB121" i="166" s="1"/>
  <c r="AC121" i="166" s="1"/>
  <c r="AD121" i="166" s="1"/>
  <c r="AE121" i="166" s="1"/>
  <c r="AF121" i="166" s="1"/>
  <c r="AG121" i="166" s="1"/>
  <c r="AH121" i="166" s="1"/>
  <c r="AI121" i="166" s="1"/>
  <c r="AJ121" i="166" s="1"/>
  <c r="AK121" i="166" s="1"/>
  <c r="AL121" i="166" s="1"/>
  <c r="AM121" i="166" s="1"/>
  <c r="G120" i="166"/>
  <c r="N120" i="166" s="1"/>
  <c r="O120" i="166" s="1"/>
  <c r="P120" i="166" s="1"/>
  <c r="Q120" i="166" s="1"/>
  <c r="R120" i="166" s="1"/>
  <c r="S120" i="166" s="1"/>
  <c r="T120" i="166" s="1"/>
  <c r="U120" i="166" s="1"/>
  <c r="V120" i="166" s="1"/>
  <c r="W120" i="166" s="1"/>
  <c r="X120" i="166" s="1"/>
  <c r="Y120" i="166" s="1"/>
  <c r="Z120" i="166" s="1"/>
  <c r="AA120" i="166" s="1"/>
  <c r="AB120" i="166" s="1"/>
  <c r="AC120" i="166" s="1"/>
  <c r="AD120" i="166" s="1"/>
  <c r="AE120" i="166" s="1"/>
  <c r="AF120" i="166" s="1"/>
  <c r="AG120" i="166" s="1"/>
  <c r="AH120" i="166" s="1"/>
  <c r="AI120" i="166" s="1"/>
  <c r="AJ120" i="166" s="1"/>
  <c r="AK120" i="166" s="1"/>
  <c r="AL120" i="166" s="1"/>
  <c r="AM120" i="166" s="1"/>
  <c r="G119" i="166"/>
  <c r="N119" i="166" s="1"/>
  <c r="O119" i="166" s="1"/>
  <c r="P119" i="166" s="1"/>
  <c r="Q119" i="166" s="1"/>
  <c r="R119" i="166" s="1"/>
  <c r="S119" i="166" s="1"/>
  <c r="T119" i="166" s="1"/>
  <c r="U119" i="166" s="1"/>
  <c r="V119" i="166" s="1"/>
  <c r="W119" i="166" s="1"/>
  <c r="X119" i="166" s="1"/>
  <c r="Y119" i="166" s="1"/>
  <c r="Z119" i="166" s="1"/>
  <c r="AA119" i="166" s="1"/>
  <c r="AB119" i="166" s="1"/>
  <c r="AC119" i="166" s="1"/>
  <c r="AD119" i="166" s="1"/>
  <c r="AE119" i="166" s="1"/>
  <c r="AF119" i="166" s="1"/>
  <c r="AG119" i="166" s="1"/>
  <c r="AH119" i="166" s="1"/>
  <c r="AI119" i="166" s="1"/>
  <c r="AJ119" i="166" s="1"/>
  <c r="AK119" i="166" s="1"/>
  <c r="AL119" i="166" s="1"/>
  <c r="AM119" i="166" s="1"/>
  <c r="G118" i="166"/>
  <c r="N118" i="166" s="1"/>
  <c r="O118" i="166" s="1"/>
  <c r="P118" i="166" s="1"/>
  <c r="Q118" i="166" s="1"/>
  <c r="R118" i="166" s="1"/>
  <c r="S118" i="166" s="1"/>
  <c r="T118" i="166" s="1"/>
  <c r="U118" i="166" s="1"/>
  <c r="V118" i="166" s="1"/>
  <c r="W118" i="166" s="1"/>
  <c r="X118" i="166" s="1"/>
  <c r="Y118" i="166" s="1"/>
  <c r="Z118" i="166" s="1"/>
  <c r="AA118" i="166" s="1"/>
  <c r="AB118" i="166" s="1"/>
  <c r="AC118" i="166" s="1"/>
  <c r="AD118" i="166" s="1"/>
  <c r="AE118" i="166" s="1"/>
  <c r="AF118" i="166" s="1"/>
  <c r="AG118" i="166" s="1"/>
  <c r="AH118" i="166" s="1"/>
  <c r="AI118" i="166" s="1"/>
  <c r="AJ118" i="166" s="1"/>
  <c r="AK118" i="166" s="1"/>
  <c r="AL118" i="166" s="1"/>
  <c r="AM118" i="166" s="1"/>
  <c r="G117" i="166"/>
  <c r="N117" i="166" s="1"/>
  <c r="O117" i="166" s="1"/>
  <c r="P117" i="166" s="1"/>
  <c r="Q117" i="166" s="1"/>
  <c r="R117" i="166" s="1"/>
  <c r="S117" i="166" s="1"/>
  <c r="T117" i="166" s="1"/>
  <c r="U117" i="166" s="1"/>
  <c r="V117" i="166" s="1"/>
  <c r="W117" i="166" s="1"/>
  <c r="X117" i="166" s="1"/>
  <c r="Y117" i="166" s="1"/>
  <c r="Z117" i="166" s="1"/>
  <c r="AA117" i="166" s="1"/>
  <c r="AB117" i="166" s="1"/>
  <c r="AC117" i="166" s="1"/>
  <c r="AD117" i="166" s="1"/>
  <c r="AE117" i="166" s="1"/>
  <c r="AF117" i="166" s="1"/>
  <c r="AG117" i="166" s="1"/>
  <c r="AH117" i="166" s="1"/>
  <c r="AI117" i="166" s="1"/>
  <c r="AJ117" i="166" s="1"/>
  <c r="AK117" i="166" s="1"/>
  <c r="AL117" i="166" s="1"/>
  <c r="AM117" i="166" s="1"/>
  <c r="G116" i="166"/>
  <c r="N116" i="166" s="1"/>
  <c r="O116" i="166" s="1"/>
  <c r="P116" i="166" s="1"/>
  <c r="Q116" i="166" s="1"/>
  <c r="R116" i="166" s="1"/>
  <c r="S116" i="166" s="1"/>
  <c r="T116" i="166" s="1"/>
  <c r="U116" i="166" s="1"/>
  <c r="V116" i="166" s="1"/>
  <c r="W116" i="166" s="1"/>
  <c r="X116" i="166" s="1"/>
  <c r="Y116" i="166" s="1"/>
  <c r="Z116" i="166" s="1"/>
  <c r="AA116" i="166" s="1"/>
  <c r="AB116" i="166" s="1"/>
  <c r="AC116" i="166" s="1"/>
  <c r="AD116" i="166" s="1"/>
  <c r="AE116" i="166" s="1"/>
  <c r="AF116" i="166" s="1"/>
  <c r="AG116" i="166" s="1"/>
  <c r="AH116" i="166" s="1"/>
  <c r="AI116" i="166" s="1"/>
  <c r="AJ116" i="166" s="1"/>
  <c r="AK116" i="166" s="1"/>
  <c r="AL116" i="166" s="1"/>
  <c r="AM116" i="166" s="1"/>
  <c r="G115" i="166"/>
  <c r="N115" i="166" s="1"/>
  <c r="G111" i="166"/>
  <c r="N111" i="166" s="1"/>
  <c r="O111" i="166" s="1"/>
  <c r="P111" i="166" s="1"/>
  <c r="Q111" i="166" s="1"/>
  <c r="R111" i="166" s="1"/>
  <c r="S111" i="166" s="1"/>
  <c r="T111" i="166" s="1"/>
  <c r="U111" i="166" s="1"/>
  <c r="V111" i="166" s="1"/>
  <c r="W111" i="166" s="1"/>
  <c r="X111" i="166" s="1"/>
  <c r="Y111" i="166" s="1"/>
  <c r="Z111" i="166" s="1"/>
  <c r="AA111" i="166" s="1"/>
  <c r="AB111" i="166" s="1"/>
  <c r="AC111" i="166" s="1"/>
  <c r="AD111" i="166" s="1"/>
  <c r="AE111" i="166" s="1"/>
  <c r="AF111" i="166" s="1"/>
  <c r="AG111" i="166" s="1"/>
  <c r="AH111" i="166" s="1"/>
  <c r="AI111" i="166" s="1"/>
  <c r="AJ111" i="166" s="1"/>
  <c r="AK111" i="166" s="1"/>
  <c r="AL111" i="166" s="1"/>
  <c r="AM111" i="166" s="1"/>
  <c r="G109" i="166"/>
  <c r="N109" i="166" s="1"/>
  <c r="O109" i="166" s="1"/>
  <c r="P109" i="166" s="1"/>
  <c r="Q109" i="166" s="1"/>
  <c r="R109" i="166" s="1"/>
  <c r="S109" i="166" s="1"/>
  <c r="T109" i="166" s="1"/>
  <c r="U109" i="166" s="1"/>
  <c r="V109" i="166" s="1"/>
  <c r="W109" i="166" s="1"/>
  <c r="X109" i="166" s="1"/>
  <c r="Y109" i="166" s="1"/>
  <c r="Z109" i="166" s="1"/>
  <c r="AA109" i="166" s="1"/>
  <c r="AB109" i="166" s="1"/>
  <c r="AC109" i="166" s="1"/>
  <c r="AD109" i="166" s="1"/>
  <c r="AE109" i="166" s="1"/>
  <c r="AF109" i="166" s="1"/>
  <c r="AG109" i="166" s="1"/>
  <c r="AH109" i="166" s="1"/>
  <c r="AI109" i="166" s="1"/>
  <c r="AJ109" i="166" s="1"/>
  <c r="AK109" i="166" s="1"/>
  <c r="AL109" i="166" s="1"/>
  <c r="AM109" i="166" s="1"/>
  <c r="G108" i="166"/>
  <c r="N108" i="166" s="1"/>
  <c r="O108" i="166" s="1"/>
  <c r="P108" i="166" s="1"/>
  <c r="Q108" i="166" s="1"/>
  <c r="R108" i="166" s="1"/>
  <c r="S108" i="166" s="1"/>
  <c r="T108" i="166" s="1"/>
  <c r="U108" i="166" s="1"/>
  <c r="V108" i="166" s="1"/>
  <c r="W108" i="166" s="1"/>
  <c r="X108" i="166" s="1"/>
  <c r="Y108" i="166" s="1"/>
  <c r="Z108" i="166" s="1"/>
  <c r="AA108" i="166" s="1"/>
  <c r="AB108" i="166" s="1"/>
  <c r="AC108" i="166" s="1"/>
  <c r="AD108" i="166" s="1"/>
  <c r="AE108" i="166" s="1"/>
  <c r="AF108" i="166" s="1"/>
  <c r="AG108" i="166" s="1"/>
  <c r="AH108" i="166" s="1"/>
  <c r="AI108" i="166" s="1"/>
  <c r="AJ108" i="166" s="1"/>
  <c r="AK108" i="166" s="1"/>
  <c r="AL108" i="166" s="1"/>
  <c r="AM108" i="166" s="1"/>
  <c r="G107" i="166"/>
  <c r="N107" i="166" s="1"/>
  <c r="O107" i="166" s="1"/>
  <c r="P107" i="166" s="1"/>
  <c r="Q107" i="166" s="1"/>
  <c r="R107" i="166" s="1"/>
  <c r="S107" i="166" s="1"/>
  <c r="T107" i="166" s="1"/>
  <c r="U107" i="166" s="1"/>
  <c r="V107" i="166" s="1"/>
  <c r="W107" i="166" s="1"/>
  <c r="X107" i="166" s="1"/>
  <c r="Y107" i="166" s="1"/>
  <c r="Z107" i="166" s="1"/>
  <c r="AA107" i="166" s="1"/>
  <c r="AB107" i="166" s="1"/>
  <c r="AC107" i="166" s="1"/>
  <c r="AD107" i="166" s="1"/>
  <c r="AE107" i="166" s="1"/>
  <c r="AF107" i="166" s="1"/>
  <c r="AG107" i="166" s="1"/>
  <c r="AH107" i="166" s="1"/>
  <c r="AI107" i="166" s="1"/>
  <c r="AJ107" i="166" s="1"/>
  <c r="AK107" i="166" s="1"/>
  <c r="AL107" i="166" s="1"/>
  <c r="AM107" i="166" s="1"/>
  <c r="G106" i="166"/>
  <c r="N106" i="166" s="1"/>
  <c r="O106" i="166" s="1"/>
  <c r="P106" i="166" s="1"/>
  <c r="Q106" i="166" s="1"/>
  <c r="R106" i="166" s="1"/>
  <c r="S106" i="166" s="1"/>
  <c r="T106" i="166" s="1"/>
  <c r="U106" i="166" s="1"/>
  <c r="V106" i="166" s="1"/>
  <c r="W106" i="166" s="1"/>
  <c r="X106" i="166" s="1"/>
  <c r="Y106" i="166" s="1"/>
  <c r="Z106" i="166" s="1"/>
  <c r="AA106" i="166" s="1"/>
  <c r="AB106" i="166" s="1"/>
  <c r="AC106" i="166" s="1"/>
  <c r="AD106" i="166" s="1"/>
  <c r="AE106" i="166" s="1"/>
  <c r="AF106" i="166" s="1"/>
  <c r="AG106" i="166" s="1"/>
  <c r="AH106" i="166" s="1"/>
  <c r="AI106" i="166" s="1"/>
  <c r="AJ106" i="166" s="1"/>
  <c r="AK106" i="166" s="1"/>
  <c r="AL106" i="166" s="1"/>
  <c r="AM106" i="166" s="1"/>
  <c r="G105" i="166"/>
  <c r="N105" i="166" s="1"/>
  <c r="O105" i="166" s="1"/>
  <c r="P105" i="166" s="1"/>
  <c r="Q105" i="166" s="1"/>
  <c r="R105" i="166" s="1"/>
  <c r="S105" i="166" s="1"/>
  <c r="T105" i="166" s="1"/>
  <c r="U105" i="166" s="1"/>
  <c r="V105" i="166" s="1"/>
  <c r="W105" i="166" s="1"/>
  <c r="X105" i="166" s="1"/>
  <c r="Y105" i="166" s="1"/>
  <c r="Z105" i="166" s="1"/>
  <c r="AA105" i="166" s="1"/>
  <c r="AB105" i="166" s="1"/>
  <c r="AC105" i="166" s="1"/>
  <c r="AD105" i="166" s="1"/>
  <c r="AE105" i="166" s="1"/>
  <c r="AF105" i="166" s="1"/>
  <c r="AG105" i="166" s="1"/>
  <c r="AH105" i="166" s="1"/>
  <c r="AI105" i="166" s="1"/>
  <c r="AJ105" i="166" s="1"/>
  <c r="AK105" i="166" s="1"/>
  <c r="AL105" i="166" s="1"/>
  <c r="AM105" i="166" s="1"/>
  <c r="G104" i="166"/>
  <c r="N104" i="166" s="1"/>
  <c r="O104" i="166" s="1"/>
  <c r="P104" i="166" s="1"/>
  <c r="Q104" i="166" s="1"/>
  <c r="R104" i="166" s="1"/>
  <c r="S104" i="166" s="1"/>
  <c r="T104" i="166" s="1"/>
  <c r="U104" i="166" s="1"/>
  <c r="V104" i="166" s="1"/>
  <c r="W104" i="166" s="1"/>
  <c r="X104" i="166" s="1"/>
  <c r="Y104" i="166" s="1"/>
  <c r="Z104" i="166" s="1"/>
  <c r="AA104" i="166" s="1"/>
  <c r="AB104" i="166" s="1"/>
  <c r="AC104" i="166" s="1"/>
  <c r="AD104" i="166" s="1"/>
  <c r="AE104" i="166" s="1"/>
  <c r="AF104" i="166" s="1"/>
  <c r="AG104" i="166" s="1"/>
  <c r="AH104" i="166" s="1"/>
  <c r="AI104" i="166" s="1"/>
  <c r="AJ104" i="166" s="1"/>
  <c r="AK104" i="166" s="1"/>
  <c r="AL104" i="166" s="1"/>
  <c r="AM104" i="166" s="1"/>
  <c r="G103" i="166"/>
  <c r="N103" i="166" s="1"/>
  <c r="O103" i="166" s="1"/>
  <c r="P103" i="166" s="1"/>
  <c r="Q103" i="166" s="1"/>
  <c r="R103" i="166" s="1"/>
  <c r="S103" i="166" s="1"/>
  <c r="T103" i="166" s="1"/>
  <c r="U103" i="166" s="1"/>
  <c r="V103" i="166" s="1"/>
  <c r="W103" i="166" s="1"/>
  <c r="X103" i="166" s="1"/>
  <c r="Y103" i="166" s="1"/>
  <c r="Z103" i="166" s="1"/>
  <c r="AA103" i="166" s="1"/>
  <c r="AB103" i="166" s="1"/>
  <c r="AC103" i="166" s="1"/>
  <c r="AD103" i="166" s="1"/>
  <c r="AE103" i="166" s="1"/>
  <c r="AF103" i="166" s="1"/>
  <c r="AG103" i="166" s="1"/>
  <c r="AH103" i="166" s="1"/>
  <c r="AI103" i="166" s="1"/>
  <c r="AJ103" i="166" s="1"/>
  <c r="AK103" i="166" s="1"/>
  <c r="AL103" i="166" s="1"/>
  <c r="AM103" i="166" s="1"/>
  <c r="G101" i="166"/>
  <c r="N101" i="166" s="1"/>
  <c r="O101" i="166" s="1"/>
  <c r="P101" i="166" s="1"/>
  <c r="Q101" i="166" s="1"/>
  <c r="R101" i="166" s="1"/>
  <c r="S101" i="166" s="1"/>
  <c r="T101" i="166" s="1"/>
  <c r="U101" i="166" s="1"/>
  <c r="V101" i="166" s="1"/>
  <c r="W101" i="166" s="1"/>
  <c r="X101" i="166" s="1"/>
  <c r="Y101" i="166" s="1"/>
  <c r="Z101" i="166" s="1"/>
  <c r="AA101" i="166" s="1"/>
  <c r="AB101" i="166" s="1"/>
  <c r="AC101" i="166" s="1"/>
  <c r="AD101" i="166" s="1"/>
  <c r="AE101" i="166" s="1"/>
  <c r="AF101" i="166" s="1"/>
  <c r="AG101" i="166" s="1"/>
  <c r="AH101" i="166" s="1"/>
  <c r="AI101" i="166" s="1"/>
  <c r="AJ101" i="166" s="1"/>
  <c r="AK101" i="166" s="1"/>
  <c r="AL101" i="166" s="1"/>
  <c r="AM101" i="166" s="1"/>
  <c r="G100" i="166"/>
  <c r="N100" i="166" s="1"/>
  <c r="O100" i="166" s="1"/>
  <c r="P100" i="166" s="1"/>
  <c r="Q100" i="166" s="1"/>
  <c r="R100" i="166" s="1"/>
  <c r="S100" i="166" s="1"/>
  <c r="T100" i="166" s="1"/>
  <c r="U100" i="166" s="1"/>
  <c r="V100" i="166" s="1"/>
  <c r="W100" i="166" s="1"/>
  <c r="X100" i="166" s="1"/>
  <c r="Y100" i="166" s="1"/>
  <c r="Z100" i="166" s="1"/>
  <c r="AA100" i="166" s="1"/>
  <c r="AB100" i="166" s="1"/>
  <c r="AC100" i="166" s="1"/>
  <c r="AD100" i="166" s="1"/>
  <c r="AE100" i="166" s="1"/>
  <c r="AF100" i="166" s="1"/>
  <c r="AG100" i="166" s="1"/>
  <c r="AH100" i="166" s="1"/>
  <c r="AI100" i="166" s="1"/>
  <c r="AJ100" i="166" s="1"/>
  <c r="AK100" i="166" s="1"/>
  <c r="AL100" i="166" s="1"/>
  <c r="AM100" i="166" s="1"/>
  <c r="G96" i="166"/>
  <c r="N96" i="166" s="1"/>
  <c r="O96" i="166" s="1"/>
  <c r="P96" i="166" s="1"/>
  <c r="Q96" i="166" s="1"/>
  <c r="R96" i="166" s="1"/>
  <c r="S96" i="166" s="1"/>
  <c r="T96" i="166" s="1"/>
  <c r="U96" i="166" s="1"/>
  <c r="V96" i="166" s="1"/>
  <c r="W96" i="166" s="1"/>
  <c r="X96" i="166" s="1"/>
  <c r="Y96" i="166" s="1"/>
  <c r="Z96" i="166" s="1"/>
  <c r="AA96" i="166" s="1"/>
  <c r="AB96" i="166" s="1"/>
  <c r="AC96" i="166" s="1"/>
  <c r="AD96" i="166" s="1"/>
  <c r="AE96" i="166" s="1"/>
  <c r="AF96" i="166" s="1"/>
  <c r="AG96" i="166" s="1"/>
  <c r="AH96" i="166" s="1"/>
  <c r="AI96" i="166" s="1"/>
  <c r="AJ96" i="166" s="1"/>
  <c r="AK96" i="166" s="1"/>
  <c r="AL96" i="166" s="1"/>
  <c r="AM96" i="166" s="1"/>
  <c r="G95" i="166"/>
  <c r="N95" i="166" s="1"/>
  <c r="O95" i="166" s="1"/>
  <c r="P95" i="166" s="1"/>
  <c r="Q95" i="166" s="1"/>
  <c r="R95" i="166" s="1"/>
  <c r="S95" i="166" s="1"/>
  <c r="T95" i="166" s="1"/>
  <c r="U95" i="166" s="1"/>
  <c r="V95" i="166" s="1"/>
  <c r="W95" i="166" s="1"/>
  <c r="X95" i="166" s="1"/>
  <c r="Y95" i="166" s="1"/>
  <c r="Z95" i="166" s="1"/>
  <c r="AA95" i="166" s="1"/>
  <c r="AB95" i="166" s="1"/>
  <c r="AC95" i="166" s="1"/>
  <c r="AD95" i="166" s="1"/>
  <c r="AE95" i="166" s="1"/>
  <c r="AF95" i="166" s="1"/>
  <c r="AG95" i="166" s="1"/>
  <c r="AH95" i="166" s="1"/>
  <c r="AI95" i="166" s="1"/>
  <c r="AJ95" i="166" s="1"/>
  <c r="AK95" i="166" s="1"/>
  <c r="AL95" i="166" s="1"/>
  <c r="AM95" i="166" s="1"/>
  <c r="G94" i="166"/>
  <c r="N94" i="166" s="1"/>
  <c r="G91" i="166"/>
  <c r="N91" i="166" s="1"/>
  <c r="O91" i="166" s="1"/>
  <c r="P91" i="166" s="1"/>
  <c r="Q91" i="166" s="1"/>
  <c r="R91" i="166" s="1"/>
  <c r="S91" i="166" s="1"/>
  <c r="T91" i="166" s="1"/>
  <c r="U91" i="166" s="1"/>
  <c r="V91" i="166" s="1"/>
  <c r="W91" i="166" s="1"/>
  <c r="X91" i="166" s="1"/>
  <c r="Y91" i="166" s="1"/>
  <c r="Z91" i="166" s="1"/>
  <c r="AA91" i="166" s="1"/>
  <c r="AB91" i="166" s="1"/>
  <c r="AC91" i="166" s="1"/>
  <c r="AD91" i="166" s="1"/>
  <c r="AE91" i="166" s="1"/>
  <c r="AF91" i="166" s="1"/>
  <c r="AG91" i="166" s="1"/>
  <c r="AH91" i="166" s="1"/>
  <c r="AI91" i="166" s="1"/>
  <c r="AJ91" i="166" s="1"/>
  <c r="AK91" i="166" s="1"/>
  <c r="AL91" i="166" s="1"/>
  <c r="AM91" i="166" s="1"/>
  <c r="G90" i="166"/>
  <c r="N90" i="166" s="1"/>
  <c r="O90" i="166" s="1"/>
  <c r="P90" i="166" s="1"/>
  <c r="Q90" i="166" s="1"/>
  <c r="R90" i="166" s="1"/>
  <c r="S90" i="166" s="1"/>
  <c r="T90" i="166" s="1"/>
  <c r="U90" i="166" s="1"/>
  <c r="V90" i="166" s="1"/>
  <c r="W90" i="166" s="1"/>
  <c r="X90" i="166" s="1"/>
  <c r="Y90" i="166" s="1"/>
  <c r="Z90" i="166" s="1"/>
  <c r="AA90" i="166" s="1"/>
  <c r="AB90" i="166" s="1"/>
  <c r="AC90" i="166" s="1"/>
  <c r="AD90" i="166" s="1"/>
  <c r="AE90" i="166" s="1"/>
  <c r="AF90" i="166" s="1"/>
  <c r="AG90" i="166" s="1"/>
  <c r="AH90" i="166" s="1"/>
  <c r="AI90" i="166" s="1"/>
  <c r="AJ90" i="166" s="1"/>
  <c r="AK90" i="166" s="1"/>
  <c r="AL90" i="166" s="1"/>
  <c r="AM90" i="166" s="1"/>
  <c r="G88" i="166"/>
  <c r="N88" i="166" s="1"/>
  <c r="O88" i="166" s="1"/>
  <c r="P88" i="166" s="1"/>
  <c r="Q88" i="166" s="1"/>
  <c r="R88" i="166" s="1"/>
  <c r="S88" i="166" s="1"/>
  <c r="T88" i="166" s="1"/>
  <c r="U88" i="166" s="1"/>
  <c r="V88" i="166" s="1"/>
  <c r="W88" i="166" s="1"/>
  <c r="X88" i="166" s="1"/>
  <c r="Y88" i="166" s="1"/>
  <c r="Z88" i="166" s="1"/>
  <c r="AA88" i="166" s="1"/>
  <c r="AB88" i="166" s="1"/>
  <c r="AC88" i="166" s="1"/>
  <c r="AD88" i="166" s="1"/>
  <c r="AE88" i="166" s="1"/>
  <c r="AF88" i="166" s="1"/>
  <c r="AG88" i="166" s="1"/>
  <c r="AH88" i="166" s="1"/>
  <c r="AI88" i="166" s="1"/>
  <c r="AJ88" i="166" s="1"/>
  <c r="AK88" i="166" s="1"/>
  <c r="AL88" i="166" s="1"/>
  <c r="AM88" i="166" s="1"/>
  <c r="G87" i="166"/>
  <c r="N87" i="166" s="1"/>
  <c r="O87" i="166" s="1"/>
  <c r="P87" i="166" s="1"/>
  <c r="Q87" i="166" s="1"/>
  <c r="R87" i="166" s="1"/>
  <c r="S87" i="166" s="1"/>
  <c r="T87" i="166" s="1"/>
  <c r="U87" i="166" s="1"/>
  <c r="V87" i="166" s="1"/>
  <c r="W87" i="166" s="1"/>
  <c r="X87" i="166" s="1"/>
  <c r="Y87" i="166" s="1"/>
  <c r="Z87" i="166" s="1"/>
  <c r="AA87" i="166" s="1"/>
  <c r="AB87" i="166" s="1"/>
  <c r="AC87" i="166" s="1"/>
  <c r="AD87" i="166" s="1"/>
  <c r="AE87" i="166" s="1"/>
  <c r="AF87" i="166" s="1"/>
  <c r="AG87" i="166" s="1"/>
  <c r="AH87" i="166" s="1"/>
  <c r="AI87" i="166" s="1"/>
  <c r="AJ87" i="166" s="1"/>
  <c r="AK87" i="166" s="1"/>
  <c r="AL87" i="166" s="1"/>
  <c r="AM87" i="166" s="1"/>
  <c r="G86" i="166"/>
  <c r="N86" i="166" s="1"/>
  <c r="O86" i="166" s="1"/>
  <c r="P86" i="166" s="1"/>
  <c r="Q86" i="166" s="1"/>
  <c r="R86" i="166" s="1"/>
  <c r="S86" i="166" s="1"/>
  <c r="T86" i="166" s="1"/>
  <c r="U86" i="166" s="1"/>
  <c r="V86" i="166" s="1"/>
  <c r="W86" i="166" s="1"/>
  <c r="X86" i="166" s="1"/>
  <c r="Y86" i="166" s="1"/>
  <c r="Z86" i="166" s="1"/>
  <c r="AA86" i="166" s="1"/>
  <c r="AB86" i="166" s="1"/>
  <c r="AC86" i="166" s="1"/>
  <c r="AD86" i="166" s="1"/>
  <c r="AE86" i="166" s="1"/>
  <c r="AF86" i="166" s="1"/>
  <c r="AG86" i="166" s="1"/>
  <c r="AH86" i="166" s="1"/>
  <c r="AI86" i="166" s="1"/>
  <c r="AJ86" i="166" s="1"/>
  <c r="AK86" i="166" s="1"/>
  <c r="AL86" i="166" s="1"/>
  <c r="AM86" i="166" s="1"/>
  <c r="G85" i="166"/>
  <c r="N85" i="166" s="1"/>
  <c r="O85" i="166" s="1"/>
  <c r="P85" i="166" s="1"/>
  <c r="Q85" i="166" s="1"/>
  <c r="R85" i="166" s="1"/>
  <c r="S85" i="166" s="1"/>
  <c r="T85" i="166" s="1"/>
  <c r="U85" i="166" s="1"/>
  <c r="V85" i="166" s="1"/>
  <c r="W85" i="166" s="1"/>
  <c r="X85" i="166" s="1"/>
  <c r="Y85" i="166" s="1"/>
  <c r="Z85" i="166" s="1"/>
  <c r="AA85" i="166" s="1"/>
  <c r="AB85" i="166" s="1"/>
  <c r="AC85" i="166" s="1"/>
  <c r="AD85" i="166" s="1"/>
  <c r="AE85" i="166" s="1"/>
  <c r="AF85" i="166" s="1"/>
  <c r="AG85" i="166" s="1"/>
  <c r="AH85" i="166" s="1"/>
  <c r="AI85" i="166" s="1"/>
  <c r="AJ85" i="166" s="1"/>
  <c r="AK85" i="166" s="1"/>
  <c r="AL85" i="166" s="1"/>
  <c r="AM85" i="166" s="1"/>
  <c r="G84" i="166"/>
  <c r="N84" i="166" s="1"/>
  <c r="O84" i="166" s="1"/>
  <c r="P84" i="166" s="1"/>
  <c r="Q84" i="166" s="1"/>
  <c r="R84" i="166" s="1"/>
  <c r="S84" i="166" s="1"/>
  <c r="T84" i="166" s="1"/>
  <c r="U84" i="166" s="1"/>
  <c r="V84" i="166" s="1"/>
  <c r="W84" i="166" s="1"/>
  <c r="X84" i="166" s="1"/>
  <c r="Y84" i="166" s="1"/>
  <c r="Z84" i="166" s="1"/>
  <c r="AA84" i="166" s="1"/>
  <c r="AB84" i="166" s="1"/>
  <c r="AC84" i="166" s="1"/>
  <c r="AD84" i="166" s="1"/>
  <c r="AE84" i="166" s="1"/>
  <c r="AF84" i="166" s="1"/>
  <c r="AG84" i="166" s="1"/>
  <c r="AH84" i="166" s="1"/>
  <c r="AI84" i="166" s="1"/>
  <c r="AJ84" i="166" s="1"/>
  <c r="AK84" i="166" s="1"/>
  <c r="AL84" i="166" s="1"/>
  <c r="AM84" i="166" s="1"/>
  <c r="G83" i="166"/>
  <c r="N83" i="166" s="1"/>
  <c r="O83" i="166" s="1"/>
  <c r="P83" i="166" s="1"/>
  <c r="Q83" i="166" s="1"/>
  <c r="R83" i="166" s="1"/>
  <c r="S83" i="166" s="1"/>
  <c r="T83" i="166" s="1"/>
  <c r="U83" i="166" s="1"/>
  <c r="V83" i="166" s="1"/>
  <c r="W83" i="166" s="1"/>
  <c r="X83" i="166" s="1"/>
  <c r="Y83" i="166" s="1"/>
  <c r="Z83" i="166" s="1"/>
  <c r="AA83" i="166" s="1"/>
  <c r="AB83" i="166" s="1"/>
  <c r="AC83" i="166" s="1"/>
  <c r="AD83" i="166" s="1"/>
  <c r="AE83" i="166" s="1"/>
  <c r="AF83" i="166" s="1"/>
  <c r="AG83" i="166" s="1"/>
  <c r="AH83" i="166" s="1"/>
  <c r="AI83" i="166" s="1"/>
  <c r="AJ83" i="166" s="1"/>
  <c r="AK83" i="166" s="1"/>
  <c r="AL83" i="166" s="1"/>
  <c r="AM83" i="166" s="1"/>
  <c r="G82" i="166"/>
  <c r="N82" i="166" s="1"/>
  <c r="O82" i="166" s="1"/>
  <c r="P82" i="166" s="1"/>
  <c r="Q82" i="166" s="1"/>
  <c r="R82" i="166" s="1"/>
  <c r="S82" i="166" s="1"/>
  <c r="T82" i="166" s="1"/>
  <c r="U82" i="166" s="1"/>
  <c r="V82" i="166" s="1"/>
  <c r="W82" i="166" s="1"/>
  <c r="X82" i="166" s="1"/>
  <c r="Y82" i="166" s="1"/>
  <c r="Z82" i="166" s="1"/>
  <c r="AA82" i="166" s="1"/>
  <c r="AB82" i="166" s="1"/>
  <c r="AC82" i="166" s="1"/>
  <c r="AD82" i="166" s="1"/>
  <c r="AE82" i="166" s="1"/>
  <c r="AF82" i="166" s="1"/>
  <c r="AG82" i="166" s="1"/>
  <c r="AH82" i="166" s="1"/>
  <c r="AI82" i="166" s="1"/>
  <c r="AJ82" i="166" s="1"/>
  <c r="AK82" i="166" s="1"/>
  <c r="AL82" i="166" s="1"/>
  <c r="AM82" i="166" s="1"/>
  <c r="G80" i="166"/>
  <c r="N80" i="166" s="1"/>
  <c r="O80" i="166" s="1"/>
  <c r="P80" i="166" s="1"/>
  <c r="Q80" i="166" s="1"/>
  <c r="R80" i="166" s="1"/>
  <c r="S80" i="166" s="1"/>
  <c r="T80" i="166" s="1"/>
  <c r="U80" i="166" s="1"/>
  <c r="V80" i="166" s="1"/>
  <c r="W80" i="166" s="1"/>
  <c r="X80" i="166" s="1"/>
  <c r="Y80" i="166" s="1"/>
  <c r="Z80" i="166" s="1"/>
  <c r="AA80" i="166" s="1"/>
  <c r="AB80" i="166" s="1"/>
  <c r="AC80" i="166" s="1"/>
  <c r="AD80" i="166" s="1"/>
  <c r="AE80" i="166" s="1"/>
  <c r="AF80" i="166" s="1"/>
  <c r="AG80" i="166" s="1"/>
  <c r="AH80" i="166" s="1"/>
  <c r="AI80" i="166" s="1"/>
  <c r="AJ80" i="166" s="1"/>
  <c r="AK80" i="166" s="1"/>
  <c r="AL80" i="166" s="1"/>
  <c r="AM80" i="166" s="1"/>
  <c r="G79" i="166"/>
  <c r="N79" i="166" s="1"/>
  <c r="G66" i="166"/>
  <c r="N66" i="166" s="1"/>
  <c r="G65" i="166"/>
  <c r="N65" i="166" s="1"/>
  <c r="O65" i="166" s="1"/>
  <c r="P65" i="166" s="1"/>
  <c r="Q65" i="166" s="1"/>
  <c r="R65" i="166" s="1"/>
  <c r="S65" i="166" s="1"/>
  <c r="T65" i="166" s="1"/>
  <c r="U65" i="166" s="1"/>
  <c r="V65" i="166" s="1"/>
  <c r="W65" i="166" s="1"/>
  <c r="X65" i="166" s="1"/>
  <c r="Y65" i="166" s="1"/>
  <c r="Z65" i="166" s="1"/>
  <c r="AA65" i="166" s="1"/>
  <c r="AB65" i="166" s="1"/>
  <c r="AC65" i="166" s="1"/>
  <c r="AD65" i="166" s="1"/>
  <c r="AE65" i="166" s="1"/>
  <c r="AF65" i="166" s="1"/>
  <c r="AG65" i="166" s="1"/>
  <c r="AH65" i="166" s="1"/>
  <c r="AI65" i="166" s="1"/>
  <c r="AJ65" i="166" s="1"/>
  <c r="AK65" i="166" s="1"/>
  <c r="AL65" i="166" s="1"/>
  <c r="AM65" i="166" s="1"/>
  <c r="G62" i="166"/>
  <c r="N62" i="166" s="1"/>
  <c r="O62" i="166" s="1"/>
  <c r="P62" i="166" s="1"/>
  <c r="Q62" i="166" s="1"/>
  <c r="R62" i="166" s="1"/>
  <c r="S62" i="166" s="1"/>
  <c r="T62" i="166" s="1"/>
  <c r="U62" i="166" s="1"/>
  <c r="V62" i="166" s="1"/>
  <c r="W62" i="166" s="1"/>
  <c r="X62" i="166" s="1"/>
  <c r="Y62" i="166" s="1"/>
  <c r="Z62" i="166" s="1"/>
  <c r="AA62" i="166" s="1"/>
  <c r="AB62" i="166" s="1"/>
  <c r="AC62" i="166" s="1"/>
  <c r="AD62" i="166" s="1"/>
  <c r="AE62" i="166" s="1"/>
  <c r="AF62" i="166" s="1"/>
  <c r="AG62" i="166" s="1"/>
  <c r="AH62" i="166" s="1"/>
  <c r="AI62" i="166" s="1"/>
  <c r="AJ62" i="166" s="1"/>
  <c r="AK62" i="166" s="1"/>
  <c r="AL62" i="166" s="1"/>
  <c r="AM62" i="166" s="1"/>
  <c r="G60" i="166"/>
  <c r="N60" i="166" s="1"/>
  <c r="O60" i="166" s="1"/>
  <c r="P60" i="166" s="1"/>
  <c r="Q60" i="166" s="1"/>
  <c r="R60" i="166" s="1"/>
  <c r="S60" i="166" s="1"/>
  <c r="T60" i="166" s="1"/>
  <c r="U60" i="166" s="1"/>
  <c r="V60" i="166" s="1"/>
  <c r="W60" i="166" s="1"/>
  <c r="X60" i="166" s="1"/>
  <c r="Y60" i="166" s="1"/>
  <c r="Z60" i="166" s="1"/>
  <c r="AA60" i="166" s="1"/>
  <c r="AB60" i="166" s="1"/>
  <c r="AC60" i="166" s="1"/>
  <c r="AD60" i="166" s="1"/>
  <c r="AE60" i="166" s="1"/>
  <c r="AF60" i="166" s="1"/>
  <c r="AG60" i="166" s="1"/>
  <c r="AH60" i="166" s="1"/>
  <c r="AI60" i="166" s="1"/>
  <c r="AJ60" i="166" s="1"/>
  <c r="AK60" i="166" s="1"/>
  <c r="AL60" i="166" s="1"/>
  <c r="AM60" i="166" s="1"/>
  <c r="G59" i="166"/>
  <c r="N59" i="166" s="1"/>
  <c r="O59" i="166" s="1"/>
  <c r="P59" i="166" s="1"/>
  <c r="Q59" i="166" s="1"/>
  <c r="R59" i="166" s="1"/>
  <c r="S59" i="166" s="1"/>
  <c r="T59" i="166" s="1"/>
  <c r="U59" i="166" s="1"/>
  <c r="V59" i="166" s="1"/>
  <c r="W59" i="166" s="1"/>
  <c r="X59" i="166" s="1"/>
  <c r="Y59" i="166" s="1"/>
  <c r="Z59" i="166" s="1"/>
  <c r="AA59" i="166" s="1"/>
  <c r="AB59" i="166" s="1"/>
  <c r="AC59" i="166" s="1"/>
  <c r="AD59" i="166" s="1"/>
  <c r="AE59" i="166" s="1"/>
  <c r="AF59" i="166" s="1"/>
  <c r="AG59" i="166" s="1"/>
  <c r="AH59" i="166" s="1"/>
  <c r="AI59" i="166" s="1"/>
  <c r="AJ59" i="166" s="1"/>
  <c r="AK59" i="166" s="1"/>
  <c r="AL59" i="166" s="1"/>
  <c r="AM59" i="166" s="1"/>
  <c r="G58" i="166"/>
  <c r="N58" i="166" s="1"/>
  <c r="O58" i="166" s="1"/>
  <c r="P58" i="166" s="1"/>
  <c r="Q58" i="166" s="1"/>
  <c r="R58" i="166" s="1"/>
  <c r="S58" i="166" s="1"/>
  <c r="T58" i="166" s="1"/>
  <c r="U58" i="166" s="1"/>
  <c r="V58" i="166" s="1"/>
  <c r="W58" i="166" s="1"/>
  <c r="X58" i="166" s="1"/>
  <c r="Y58" i="166" s="1"/>
  <c r="Z58" i="166" s="1"/>
  <c r="AA58" i="166" s="1"/>
  <c r="AB58" i="166" s="1"/>
  <c r="AC58" i="166" s="1"/>
  <c r="AD58" i="166" s="1"/>
  <c r="AE58" i="166" s="1"/>
  <c r="AF58" i="166" s="1"/>
  <c r="AG58" i="166" s="1"/>
  <c r="AH58" i="166" s="1"/>
  <c r="AI58" i="166" s="1"/>
  <c r="AJ58" i="166" s="1"/>
  <c r="AK58" i="166" s="1"/>
  <c r="AL58" i="166" s="1"/>
  <c r="AM58" i="166" s="1"/>
  <c r="G57" i="166"/>
  <c r="N57" i="166" s="1"/>
  <c r="G55" i="166"/>
  <c r="N55" i="166" s="1"/>
  <c r="O55" i="166" s="1"/>
  <c r="P55" i="166" s="1"/>
  <c r="Q55" i="166" s="1"/>
  <c r="R55" i="166" s="1"/>
  <c r="S55" i="166" s="1"/>
  <c r="T55" i="166" s="1"/>
  <c r="U55" i="166" s="1"/>
  <c r="V55" i="166" s="1"/>
  <c r="W55" i="166" s="1"/>
  <c r="X55" i="166" s="1"/>
  <c r="Y55" i="166" s="1"/>
  <c r="Z55" i="166" s="1"/>
  <c r="AA55" i="166" s="1"/>
  <c r="AB55" i="166" s="1"/>
  <c r="AC55" i="166" s="1"/>
  <c r="AD55" i="166" s="1"/>
  <c r="AE55" i="166" s="1"/>
  <c r="AF55" i="166" s="1"/>
  <c r="AG55" i="166" s="1"/>
  <c r="AH55" i="166" s="1"/>
  <c r="AI55" i="166" s="1"/>
  <c r="AJ55" i="166" s="1"/>
  <c r="AK55" i="166" s="1"/>
  <c r="AL55" i="166" s="1"/>
  <c r="AM55" i="166" s="1"/>
  <c r="G54" i="166"/>
  <c r="N54" i="166" s="1"/>
  <c r="O54" i="166" s="1"/>
  <c r="P54" i="166" s="1"/>
  <c r="Q54" i="166" s="1"/>
  <c r="R54" i="166" s="1"/>
  <c r="S54" i="166" s="1"/>
  <c r="T54" i="166" s="1"/>
  <c r="U54" i="166" s="1"/>
  <c r="V54" i="166" s="1"/>
  <c r="W54" i="166" s="1"/>
  <c r="X54" i="166" s="1"/>
  <c r="Y54" i="166" s="1"/>
  <c r="Z54" i="166" s="1"/>
  <c r="AA54" i="166" s="1"/>
  <c r="AB54" i="166" s="1"/>
  <c r="AC54" i="166" s="1"/>
  <c r="AD54" i="166" s="1"/>
  <c r="AE54" i="166" s="1"/>
  <c r="AF54" i="166" s="1"/>
  <c r="AG54" i="166" s="1"/>
  <c r="AH54" i="166" s="1"/>
  <c r="AI54" i="166" s="1"/>
  <c r="AJ54" i="166" s="1"/>
  <c r="AK54" i="166" s="1"/>
  <c r="AL54" i="166" s="1"/>
  <c r="AM54" i="166" s="1"/>
  <c r="G53" i="166"/>
  <c r="N53" i="166" s="1"/>
  <c r="O53" i="166" s="1"/>
  <c r="P53" i="166" s="1"/>
  <c r="Q53" i="166" s="1"/>
  <c r="R53" i="166" s="1"/>
  <c r="S53" i="166" s="1"/>
  <c r="T53" i="166" s="1"/>
  <c r="U53" i="166" s="1"/>
  <c r="V53" i="166" s="1"/>
  <c r="W53" i="166" s="1"/>
  <c r="X53" i="166" s="1"/>
  <c r="Y53" i="166" s="1"/>
  <c r="Z53" i="166" s="1"/>
  <c r="AA53" i="166" s="1"/>
  <c r="AB53" i="166" s="1"/>
  <c r="AC53" i="166" s="1"/>
  <c r="AD53" i="166" s="1"/>
  <c r="AE53" i="166" s="1"/>
  <c r="AF53" i="166" s="1"/>
  <c r="AG53" i="166" s="1"/>
  <c r="AH53" i="166" s="1"/>
  <c r="AI53" i="166" s="1"/>
  <c r="AJ53" i="166" s="1"/>
  <c r="AK53" i="166" s="1"/>
  <c r="AL53" i="166" s="1"/>
  <c r="AM53" i="166" s="1"/>
  <c r="G52" i="166"/>
  <c r="N52" i="166" s="1"/>
  <c r="O52" i="166" s="1"/>
  <c r="P52" i="166" s="1"/>
  <c r="Q52" i="166" s="1"/>
  <c r="R52" i="166" s="1"/>
  <c r="S52" i="166" s="1"/>
  <c r="T52" i="166" s="1"/>
  <c r="U52" i="166" s="1"/>
  <c r="V52" i="166" s="1"/>
  <c r="W52" i="166" s="1"/>
  <c r="X52" i="166" s="1"/>
  <c r="Y52" i="166" s="1"/>
  <c r="Z52" i="166" s="1"/>
  <c r="AA52" i="166" s="1"/>
  <c r="AB52" i="166" s="1"/>
  <c r="AC52" i="166" s="1"/>
  <c r="AD52" i="166" s="1"/>
  <c r="AE52" i="166" s="1"/>
  <c r="AF52" i="166" s="1"/>
  <c r="AG52" i="166" s="1"/>
  <c r="AH52" i="166" s="1"/>
  <c r="AI52" i="166" s="1"/>
  <c r="AJ52" i="166" s="1"/>
  <c r="AK52" i="166" s="1"/>
  <c r="AL52" i="166" s="1"/>
  <c r="AM52" i="166" s="1"/>
  <c r="G51" i="166"/>
  <c r="N51" i="166" s="1"/>
  <c r="O51" i="166" s="1"/>
  <c r="P51" i="166" s="1"/>
  <c r="Q51" i="166" s="1"/>
  <c r="R51" i="166" s="1"/>
  <c r="S51" i="166" s="1"/>
  <c r="T51" i="166" s="1"/>
  <c r="U51" i="166" s="1"/>
  <c r="V51" i="166" s="1"/>
  <c r="W51" i="166" s="1"/>
  <c r="X51" i="166" s="1"/>
  <c r="Y51" i="166" s="1"/>
  <c r="Z51" i="166" s="1"/>
  <c r="AA51" i="166" s="1"/>
  <c r="AB51" i="166" s="1"/>
  <c r="AC51" i="166" s="1"/>
  <c r="AD51" i="166" s="1"/>
  <c r="AE51" i="166" s="1"/>
  <c r="AF51" i="166" s="1"/>
  <c r="AG51" i="166" s="1"/>
  <c r="AH51" i="166" s="1"/>
  <c r="AI51" i="166" s="1"/>
  <c r="AJ51" i="166" s="1"/>
  <c r="AK51" i="166" s="1"/>
  <c r="AL51" i="166" s="1"/>
  <c r="AM51" i="166" s="1"/>
  <c r="G50" i="166"/>
  <c r="N50" i="166" s="1"/>
  <c r="O50" i="166" s="1"/>
  <c r="P50" i="166" s="1"/>
  <c r="Q50" i="166" s="1"/>
  <c r="R50" i="166" s="1"/>
  <c r="S50" i="166" s="1"/>
  <c r="T50" i="166" s="1"/>
  <c r="U50" i="166" s="1"/>
  <c r="V50" i="166" s="1"/>
  <c r="W50" i="166" s="1"/>
  <c r="X50" i="166" s="1"/>
  <c r="Y50" i="166" s="1"/>
  <c r="Z50" i="166" s="1"/>
  <c r="AA50" i="166" s="1"/>
  <c r="AB50" i="166" s="1"/>
  <c r="AC50" i="166" s="1"/>
  <c r="AD50" i="166" s="1"/>
  <c r="AE50" i="166" s="1"/>
  <c r="AF50" i="166" s="1"/>
  <c r="AG50" i="166" s="1"/>
  <c r="AH50" i="166" s="1"/>
  <c r="AI50" i="166" s="1"/>
  <c r="AJ50" i="166" s="1"/>
  <c r="AK50" i="166" s="1"/>
  <c r="AL50" i="166" s="1"/>
  <c r="AM50" i="166" s="1"/>
  <c r="G49" i="166"/>
  <c r="N49" i="166" s="1"/>
  <c r="O49" i="166" s="1"/>
  <c r="P49" i="166" s="1"/>
  <c r="Q49" i="166" s="1"/>
  <c r="R49" i="166" s="1"/>
  <c r="S49" i="166" s="1"/>
  <c r="T49" i="166" s="1"/>
  <c r="U49" i="166" s="1"/>
  <c r="V49" i="166" s="1"/>
  <c r="W49" i="166" s="1"/>
  <c r="X49" i="166" s="1"/>
  <c r="Y49" i="166" s="1"/>
  <c r="Z49" i="166" s="1"/>
  <c r="AA49" i="166" s="1"/>
  <c r="AB49" i="166" s="1"/>
  <c r="AC49" i="166" s="1"/>
  <c r="AD49" i="166" s="1"/>
  <c r="AE49" i="166" s="1"/>
  <c r="AF49" i="166" s="1"/>
  <c r="AG49" i="166" s="1"/>
  <c r="AH49" i="166" s="1"/>
  <c r="AI49" i="166" s="1"/>
  <c r="AJ49" i="166" s="1"/>
  <c r="AK49" i="166" s="1"/>
  <c r="AL49" i="166" s="1"/>
  <c r="AM49" i="166" s="1"/>
  <c r="G48" i="166"/>
  <c r="G46" i="166"/>
  <c r="N46" i="166" s="1"/>
  <c r="O46" i="166" s="1"/>
  <c r="P46" i="166" s="1"/>
  <c r="Q46" i="166" s="1"/>
  <c r="R46" i="166" s="1"/>
  <c r="S46" i="166" s="1"/>
  <c r="T46" i="166" s="1"/>
  <c r="U46" i="166" s="1"/>
  <c r="V46" i="166" s="1"/>
  <c r="W46" i="166" s="1"/>
  <c r="X46" i="166" s="1"/>
  <c r="Y46" i="166" s="1"/>
  <c r="Z46" i="166" s="1"/>
  <c r="AA46" i="166" s="1"/>
  <c r="AB46" i="166" s="1"/>
  <c r="AC46" i="166" s="1"/>
  <c r="AD46" i="166" s="1"/>
  <c r="AE46" i="166" s="1"/>
  <c r="AF46" i="166" s="1"/>
  <c r="AG46" i="166" s="1"/>
  <c r="AH46" i="166" s="1"/>
  <c r="AI46" i="166" s="1"/>
  <c r="AJ46" i="166" s="1"/>
  <c r="AK46" i="166" s="1"/>
  <c r="AL46" i="166" s="1"/>
  <c r="AM46" i="166" s="1"/>
  <c r="G45" i="166"/>
  <c r="N45" i="166" s="1"/>
  <c r="O45" i="166" s="1"/>
  <c r="P45" i="166" s="1"/>
  <c r="Q45" i="166" s="1"/>
  <c r="R45" i="166" s="1"/>
  <c r="S45" i="166" s="1"/>
  <c r="T45" i="166" s="1"/>
  <c r="U45" i="166" s="1"/>
  <c r="V45" i="166" s="1"/>
  <c r="W45" i="166" s="1"/>
  <c r="X45" i="166" s="1"/>
  <c r="Y45" i="166" s="1"/>
  <c r="Z45" i="166" s="1"/>
  <c r="AA45" i="166" s="1"/>
  <c r="AB45" i="166" s="1"/>
  <c r="AC45" i="166" s="1"/>
  <c r="AD45" i="166" s="1"/>
  <c r="AE45" i="166" s="1"/>
  <c r="AF45" i="166" s="1"/>
  <c r="AG45" i="166" s="1"/>
  <c r="AH45" i="166" s="1"/>
  <c r="AI45" i="166" s="1"/>
  <c r="AJ45" i="166" s="1"/>
  <c r="AK45" i="166" s="1"/>
  <c r="AL45" i="166" s="1"/>
  <c r="AM45" i="166" s="1"/>
  <c r="G44" i="166"/>
  <c r="G42" i="166"/>
  <c r="N42" i="166" s="1"/>
  <c r="O42" i="166" s="1"/>
  <c r="P42" i="166" s="1"/>
  <c r="Q42" i="166" s="1"/>
  <c r="R42" i="166" s="1"/>
  <c r="S42" i="166" s="1"/>
  <c r="T42" i="166" s="1"/>
  <c r="U42" i="166" s="1"/>
  <c r="V42" i="166" s="1"/>
  <c r="W42" i="166" s="1"/>
  <c r="X42" i="166" s="1"/>
  <c r="Y42" i="166" s="1"/>
  <c r="Z42" i="166" s="1"/>
  <c r="AA42" i="166" s="1"/>
  <c r="AB42" i="166" s="1"/>
  <c r="AC42" i="166" s="1"/>
  <c r="AD42" i="166" s="1"/>
  <c r="AE42" i="166" s="1"/>
  <c r="AF42" i="166" s="1"/>
  <c r="AG42" i="166" s="1"/>
  <c r="AH42" i="166" s="1"/>
  <c r="AI42" i="166" s="1"/>
  <c r="AJ42" i="166" s="1"/>
  <c r="AK42" i="166" s="1"/>
  <c r="AL42" i="166" s="1"/>
  <c r="AM42" i="166" s="1"/>
  <c r="G41" i="166"/>
  <c r="N41" i="166" s="1"/>
  <c r="G38" i="166"/>
  <c r="N38" i="166" s="1"/>
  <c r="O38" i="166" s="1"/>
  <c r="P38" i="166" s="1"/>
  <c r="Q38" i="166" s="1"/>
  <c r="R38" i="166" s="1"/>
  <c r="S38" i="166" s="1"/>
  <c r="T38" i="166" s="1"/>
  <c r="U38" i="166" s="1"/>
  <c r="V38" i="166" s="1"/>
  <c r="W38" i="166" s="1"/>
  <c r="X38" i="166" s="1"/>
  <c r="Y38" i="166" s="1"/>
  <c r="Z38" i="166" s="1"/>
  <c r="AA38" i="166" s="1"/>
  <c r="AB38" i="166" s="1"/>
  <c r="AC38" i="166" s="1"/>
  <c r="AD38" i="166" s="1"/>
  <c r="AE38" i="166" s="1"/>
  <c r="AF38" i="166" s="1"/>
  <c r="AG38" i="166" s="1"/>
  <c r="AH38" i="166" s="1"/>
  <c r="AI38" i="166" s="1"/>
  <c r="AJ38" i="166" s="1"/>
  <c r="AK38" i="166" s="1"/>
  <c r="AL38" i="166" s="1"/>
  <c r="AM38" i="166" s="1"/>
  <c r="G37" i="166"/>
  <c r="N37" i="166" s="1"/>
  <c r="O37" i="166" s="1"/>
  <c r="P37" i="166" s="1"/>
  <c r="Q37" i="166" s="1"/>
  <c r="R37" i="166" s="1"/>
  <c r="S37" i="166" s="1"/>
  <c r="T37" i="166" s="1"/>
  <c r="U37" i="166" s="1"/>
  <c r="V37" i="166" s="1"/>
  <c r="W37" i="166" s="1"/>
  <c r="X37" i="166" s="1"/>
  <c r="Y37" i="166" s="1"/>
  <c r="Z37" i="166" s="1"/>
  <c r="AA37" i="166" s="1"/>
  <c r="AB37" i="166" s="1"/>
  <c r="AC37" i="166" s="1"/>
  <c r="AD37" i="166" s="1"/>
  <c r="AE37" i="166" s="1"/>
  <c r="AF37" i="166" s="1"/>
  <c r="AG37" i="166" s="1"/>
  <c r="AH37" i="166" s="1"/>
  <c r="AI37" i="166" s="1"/>
  <c r="AJ37" i="166" s="1"/>
  <c r="AK37" i="166" s="1"/>
  <c r="AL37" i="166" s="1"/>
  <c r="AM37" i="166" s="1"/>
  <c r="G36" i="166"/>
  <c r="N36" i="166" s="1"/>
  <c r="O36" i="166" s="1"/>
  <c r="P36" i="166" s="1"/>
  <c r="Q36" i="166" s="1"/>
  <c r="R36" i="166" s="1"/>
  <c r="S36" i="166" s="1"/>
  <c r="T36" i="166" s="1"/>
  <c r="U36" i="166" s="1"/>
  <c r="V36" i="166" s="1"/>
  <c r="W36" i="166" s="1"/>
  <c r="X36" i="166" s="1"/>
  <c r="Y36" i="166" s="1"/>
  <c r="Z36" i="166" s="1"/>
  <c r="AA36" i="166" s="1"/>
  <c r="AB36" i="166" s="1"/>
  <c r="AC36" i="166" s="1"/>
  <c r="AD36" i="166" s="1"/>
  <c r="AE36" i="166" s="1"/>
  <c r="AF36" i="166" s="1"/>
  <c r="AG36" i="166" s="1"/>
  <c r="AH36" i="166" s="1"/>
  <c r="AI36" i="166" s="1"/>
  <c r="AJ36" i="166" s="1"/>
  <c r="AK36" i="166" s="1"/>
  <c r="AL36" i="166" s="1"/>
  <c r="AM36" i="166" s="1"/>
  <c r="G35" i="166"/>
  <c r="N35" i="166" s="1"/>
  <c r="O35" i="166" s="1"/>
  <c r="P35" i="166" s="1"/>
  <c r="Q35" i="166" s="1"/>
  <c r="R35" i="166" s="1"/>
  <c r="S35" i="166" s="1"/>
  <c r="T35" i="166" s="1"/>
  <c r="U35" i="166" s="1"/>
  <c r="V35" i="166" s="1"/>
  <c r="W35" i="166" s="1"/>
  <c r="X35" i="166" s="1"/>
  <c r="Y35" i="166" s="1"/>
  <c r="Z35" i="166" s="1"/>
  <c r="AA35" i="166" s="1"/>
  <c r="AB35" i="166" s="1"/>
  <c r="AC35" i="166" s="1"/>
  <c r="AD35" i="166" s="1"/>
  <c r="AE35" i="166" s="1"/>
  <c r="AF35" i="166" s="1"/>
  <c r="AG35" i="166" s="1"/>
  <c r="AH35" i="166" s="1"/>
  <c r="AI35" i="166" s="1"/>
  <c r="AJ35" i="166" s="1"/>
  <c r="AK35" i="166" s="1"/>
  <c r="AL35" i="166" s="1"/>
  <c r="AM35" i="166" s="1"/>
  <c r="G34" i="166"/>
  <c r="N34" i="166" s="1"/>
  <c r="O34" i="166" s="1"/>
  <c r="P34" i="166" s="1"/>
  <c r="Q34" i="166" s="1"/>
  <c r="R34" i="166" s="1"/>
  <c r="S34" i="166" s="1"/>
  <c r="T34" i="166" s="1"/>
  <c r="U34" i="166" s="1"/>
  <c r="V34" i="166" s="1"/>
  <c r="W34" i="166" s="1"/>
  <c r="X34" i="166" s="1"/>
  <c r="Y34" i="166" s="1"/>
  <c r="Z34" i="166" s="1"/>
  <c r="AA34" i="166" s="1"/>
  <c r="AB34" i="166" s="1"/>
  <c r="AC34" i="166" s="1"/>
  <c r="AD34" i="166" s="1"/>
  <c r="AE34" i="166" s="1"/>
  <c r="AF34" i="166" s="1"/>
  <c r="AG34" i="166" s="1"/>
  <c r="AH34" i="166" s="1"/>
  <c r="AI34" i="166" s="1"/>
  <c r="AJ34" i="166" s="1"/>
  <c r="AK34" i="166" s="1"/>
  <c r="AL34" i="166" s="1"/>
  <c r="AM34" i="166" s="1"/>
  <c r="G31" i="166"/>
  <c r="N31" i="166" s="1"/>
  <c r="O31" i="166" s="1"/>
  <c r="P31" i="166" s="1"/>
  <c r="Q31" i="166" s="1"/>
  <c r="R31" i="166" s="1"/>
  <c r="S31" i="166" s="1"/>
  <c r="T31" i="166" s="1"/>
  <c r="U31" i="166" s="1"/>
  <c r="V31" i="166" s="1"/>
  <c r="W31" i="166" s="1"/>
  <c r="X31" i="166" s="1"/>
  <c r="Y31" i="166" s="1"/>
  <c r="Z31" i="166" s="1"/>
  <c r="AA31" i="166" s="1"/>
  <c r="AB31" i="166" s="1"/>
  <c r="AC31" i="166" s="1"/>
  <c r="AD31" i="166" s="1"/>
  <c r="AE31" i="166" s="1"/>
  <c r="AF31" i="166" s="1"/>
  <c r="AG31" i="166" s="1"/>
  <c r="AH31" i="166" s="1"/>
  <c r="AI31" i="166" s="1"/>
  <c r="AJ31" i="166" s="1"/>
  <c r="AK31" i="166" s="1"/>
  <c r="AL31" i="166" s="1"/>
  <c r="AM31" i="166" s="1"/>
  <c r="G30" i="166"/>
  <c r="N30" i="166" s="1"/>
  <c r="G28" i="166"/>
  <c r="N28" i="166" s="1"/>
  <c r="G27" i="166"/>
  <c r="N27" i="166" s="1"/>
  <c r="O27" i="166" s="1"/>
  <c r="P27" i="166" s="1"/>
  <c r="Q27" i="166" s="1"/>
  <c r="R27" i="166" s="1"/>
  <c r="S27" i="166" s="1"/>
  <c r="T27" i="166" s="1"/>
  <c r="U27" i="166" s="1"/>
  <c r="V27" i="166" s="1"/>
  <c r="W27" i="166" s="1"/>
  <c r="X27" i="166" s="1"/>
  <c r="Y27" i="166" s="1"/>
  <c r="Z27" i="166" s="1"/>
  <c r="AA27" i="166" s="1"/>
  <c r="AB27" i="166" s="1"/>
  <c r="AC27" i="166" s="1"/>
  <c r="AD27" i="166" s="1"/>
  <c r="AE27" i="166" s="1"/>
  <c r="AF27" i="166" s="1"/>
  <c r="AG27" i="166" s="1"/>
  <c r="AH27" i="166" s="1"/>
  <c r="AI27" i="166" s="1"/>
  <c r="AJ27" i="166" s="1"/>
  <c r="AK27" i="166" s="1"/>
  <c r="AL27" i="166" s="1"/>
  <c r="AM27" i="166" s="1"/>
  <c r="G26" i="166"/>
  <c r="N26" i="166" s="1"/>
  <c r="O26" i="166" s="1"/>
  <c r="P26" i="166" s="1"/>
  <c r="Q26" i="166" s="1"/>
  <c r="R26" i="166" s="1"/>
  <c r="S26" i="166" s="1"/>
  <c r="T26" i="166" s="1"/>
  <c r="U26" i="166" s="1"/>
  <c r="V26" i="166" s="1"/>
  <c r="W26" i="166" s="1"/>
  <c r="X26" i="166" s="1"/>
  <c r="Y26" i="166" s="1"/>
  <c r="Z26" i="166" s="1"/>
  <c r="AA26" i="166" s="1"/>
  <c r="AB26" i="166" s="1"/>
  <c r="AC26" i="166" s="1"/>
  <c r="AD26" i="166" s="1"/>
  <c r="AE26" i="166" s="1"/>
  <c r="AF26" i="166" s="1"/>
  <c r="AG26" i="166" s="1"/>
  <c r="AH26" i="166" s="1"/>
  <c r="AI26" i="166" s="1"/>
  <c r="AJ26" i="166" s="1"/>
  <c r="AK26" i="166" s="1"/>
  <c r="AL26" i="166" s="1"/>
  <c r="AM26" i="166" s="1"/>
  <c r="G25" i="166"/>
  <c r="N25" i="166" s="1"/>
  <c r="O25" i="166" s="1"/>
  <c r="P25" i="166" s="1"/>
  <c r="Q25" i="166" s="1"/>
  <c r="R25" i="166" s="1"/>
  <c r="S25" i="166" s="1"/>
  <c r="T25" i="166" s="1"/>
  <c r="U25" i="166" s="1"/>
  <c r="V25" i="166" s="1"/>
  <c r="W25" i="166" s="1"/>
  <c r="X25" i="166" s="1"/>
  <c r="Y25" i="166" s="1"/>
  <c r="Z25" i="166" s="1"/>
  <c r="AA25" i="166" s="1"/>
  <c r="AB25" i="166" s="1"/>
  <c r="AC25" i="166" s="1"/>
  <c r="AD25" i="166" s="1"/>
  <c r="AE25" i="166" s="1"/>
  <c r="AF25" i="166" s="1"/>
  <c r="AG25" i="166" s="1"/>
  <c r="AH25" i="166" s="1"/>
  <c r="AI25" i="166" s="1"/>
  <c r="AJ25" i="166" s="1"/>
  <c r="AK25" i="166" s="1"/>
  <c r="AL25" i="166" s="1"/>
  <c r="AM25" i="166" s="1"/>
  <c r="G24" i="166"/>
  <c r="N24" i="166" s="1"/>
  <c r="G23" i="166"/>
  <c r="N23" i="166" s="1"/>
  <c r="G22" i="166"/>
  <c r="N22" i="166" s="1"/>
  <c r="G20" i="166"/>
  <c r="N20" i="166" s="1"/>
  <c r="G17" i="166"/>
  <c r="N17" i="166" s="1"/>
  <c r="O17" i="166" s="1"/>
  <c r="P17" i="166" s="1"/>
  <c r="Q17" i="166" s="1"/>
  <c r="R17" i="166" s="1"/>
  <c r="S17" i="166" s="1"/>
  <c r="T17" i="166" s="1"/>
  <c r="U17" i="166" s="1"/>
  <c r="V17" i="166" s="1"/>
  <c r="W17" i="166" s="1"/>
  <c r="X17" i="166" s="1"/>
  <c r="Y17" i="166" s="1"/>
  <c r="Z17" i="166" s="1"/>
  <c r="AA17" i="166" s="1"/>
  <c r="AB17" i="166" s="1"/>
  <c r="AC17" i="166" s="1"/>
  <c r="AD17" i="166" s="1"/>
  <c r="AE17" i="166" s="1"/>
  <c r="AF17" i="166" s="1"/>
  <c r="AG17" i="166" s="1"/>
  <c r="AH17" i="166" s="1"/>
  <c r="AI17" i="166" s="1"/>
  <c r="AJ17" i="166" s="1"/>
  <c r="AK17" i="166" s="1"/>
  <c r="AL17" i="166" s="1"/>
  <c r="AM17" i="166" s="1"/>
  <c r="G16" i="166"/>
  <c r="N16" i="166" s="1"/>
  <c r="O16" i="166" s="1"/>
  <c r="P16" i="166" s="1"/>
  <c r="Q16" i="166" s="1"/>
  <c r="R16" i="166" s="1"/>
  <c r="S16" i="166" s="1"/>
  <c r="T16" i="166" s="1"/>
  <c r="U16" i="166" s="1"/>
  <c r="V16" i="166" s="1"/>
  <c r="W16" i="166" s="1"/>
  <c r="X16" i="166" s="1"/>
  <c r="Y16" i="166" s="1"/>
  <c r="Z16" i="166" s="1"/>
  <c r="AA16" i="166" s="1"/>
  <c r="AB16" i="166" s="1"/>
  <c r="AC16" i="166" s="1"/>
  <c r="AD16" i="166" s="1"/>
  <c r="AE16" i="166" s="1"/>
  <c r="AF16" i="166" s="1"/>
  <c r="AG16" i="166" s="1"/>
  <c r="AH16" i="166" s="1"/>
  <c r="AI16" i="166" s="1"/>
  <c r="AJ16" i="166" s="1"/>
  <c r="AK16" i="166" s="1"/>
  <c r="AL16" i="166" s="1"/>
  <c r="AM16" i="166" s="1"/>
  <c r="G15" i="166"/>
  <c r="N15" i="166" s="1"/>
  <c r="O15" i="166" s="1"/>
  <c r="P15" i="166" s="1"/>
  <c r="Q15" i="166" s="1"/>
  <c r="R15" i="166" s="1"/>
  <c r="G12" i="166"/>
  <c r="N12" i="166" s="1"/>
  <c r="O12" i="166" s="1"/>
  <c r="P12" i="166" s="1"/>
  <c r="Q12" i="166" s="1"/>
  <c r="R12" i="166" s="1"/>
  <c r="S12" i="166" s="1"/>
  <c r="T12" i="166" s="1"/>
  <c r="U12" i="166" s="1"/>
  <c r="V12" i="166" s="1"/>
  <c r="W12" i="166" s="1"/>
  <c r="X12" i="166" s="1"/>
  <c r="Y12" i="166" s="1"/>
  <c r="Z12" i="166" s="1"/>
  <c r="AA12" i="166" s="1"/>
  <c r="AB12" i="166" s="1"/>
  <c r="AC12" i="166" s="1"/>
  <c r="AD12" i="166" s="1"/>
  <c r="AE12" i="166" s="1"/>
  <c r="AF12" i="166" s="1"/>
  <c r="AG12" i="166" s="1"/>
  <c r="AH12" i="166" s="1"/>
  <c r="AI12" i="166" s="1"/>
  <c r="AJ12" i="166" s="1"/>
  <c r="AK12" i="166" s="1"/>
  <c r="AL12" i="166" s="1"/>
  <c r="AM12" i="166" s="1"/>
  <c r="G11" i="166"/>
  <c r="N68" i="166"/>
  <c r="N67" i="166"/>
  <c r="D320" i="166"/>
  <c r="E319" i="166"/>
  <c r="D316" i="166"/>
  <c r="E307" i="166"/>
  <c r="E321" i="166" s="1"/>
  <c r="D307" i="166"/>
  <c r="H273" i="166"/>
  <c r="H272" i="166"/>
  <c r="H271" i="166"/>
  <c r="H270" i="166"/>
  <c r="H269" i="166"/>
  <c r="H268" i="166"/>
  <c r="H267" i="166"/>
  <c r="H266" i="166"/>
  <c r="H265" i="166"/>
  <c r="H264" i="166"/>
  <c r="H263" i="166"/>
  <c r="H262" i="166"/>
  <c r="H261" i="166"/>
  <c r="H260" i="166"/>
  <c r="H259" i="166"/>
  <c r="H258" i="166"/>
  <c r="H257" i="166"/>
  <c r="H246" i="166"/>
  <c r="H245" i="166"/>
  <c r="H244" i="166"/>
  <c r="H243" i="166"/>
  <c r="H242" i="166"/>
  <c r="H241" i="166"/>
  <c r="H240" i="166"/>
  <c r="H239" i="166"/>
  <c r="H238" i="166"/>
  <c r="H237" i="166"/>
  <c r="H236" i="166"/>
  <c r="H235" i="166"/>
  <c r="H234" i="166"/>
  <c r="H233" i="166"/>
  <c r="H232" i="166"/>
  <c r="H231" i="166"/>
  <c r="H230" i="166"/>
  <c r="H221" i="166"/>
  <c r="H220" i="166"/>
  <c r="H219" i="166"/>
  <c r="H218" i="166"/>
  <c r="H217" i="166"/>
  <c r="H216" i="166"/>
  <c r="H215" i="166"/>
  <c r="H214" i="166"/>
  <c r="H213" i="166"/>
  <c r="H212" i="166"/>
  <c r="H211" i="166"/>
  <c r="H210" i="166"/>
  <c r="H209" i="166"/>
  <c r="H208" i="166"/>
  <c r="H207" i="166"/>
  <c r="H206" i="166"/>
  <c r="H205" i="166"/>
  <c r="H204" i="166"/>
  <c r="H203" i="166"/>
  <c r="H202" i="166"/>
  <c r="H201" i="166"/>
  <c r="H200" i="166"/>
  <c r="H199" i="166"/>
  <c r="H198" i="166"/>
  <c r="C198" i="166"/>
  <c r="H197" i="166"/>
  <c r="H196" i="166"/>
  <c r="H195" i="166"/>
  <c r="H194" i="166"/>
  <c r="H193" i="166"/>
  <c r="H192" i="166"/>
  <c r="H191" i="166"/>
  <c r="H190" i="166"/>
  <c r="H189" i="166"/>
  <c r="H188" i="166"/>
  <c r="H187" i="166"/>
  <c r="H186" i="166"/>
  <c r="H185" i="166"/>
  <c r="H184" i="166"/>
  <c r="H183" i="166"/>
  <c r="N182" i="166"/>
  <c r="O182" i="166" s="1"/>
  <c r="P182" i="166" s="1"/>
  <c r="Q182" i="166" s="1"/>
  <c r="R182" i="166" s="1"/>
  <c r="S182" i="166" s="1"/>
  <c r="T182" i="166" s="1"/>
  <c r="U182" i="166" s="1"/>
  <c r="V182" i="166" s="1"/>
  <c r="W182" i="166" s="1"/>
  <c r="X182" i="166" s="1"/>
  <c r="Y182" i="166" s="1"/>
  <c r="Z182" i="166" s="1"/>
  <c r="AA182" i="166" s="1"/>
  <c r="AB182" i="166" s="1"/>
  <c r="AC182" i="166" s="1"/>
  <c r="AD182" i="166" s="1"/>
  <c r="AE182" i="166" s="1"/>
  <c r="AF182" i="166" s="1"/>
  <c r="AG182" i="166" s="1"/>
  <c r="AH182" i="166" s="1"/>
  <c r="AI182" i="166" s="1"/>
  <c r="AJ182" i="166" s="1"/>
  <c r="AK182" i="166" s="1"/>
  <c r="AL182" i="166" s="1"/>
  <c r="AM182" i="166" s="1"/>
  <c r="N181" i="166"/>
  <c r="O181" i="166" s="1"/>
  <c r="P181" i="166" s="1"/>
  <c r="Q181" i="166" s="1"/>
  <c r="R181" i="166" s="1"/>
  <c r="S181" i="166" s="1"/>
  <c r="T181" i="166" s="1"/>
  <c r="U181" i="166" s="1"/>
  <c r="V181" i="166" s="1"/>
  <c r="W181" i="166" s="1"/>
  <c r="X181" i="166" s="1"/>
  <c r="Y181" i="166" s="1"/>
  <c r="Z181" i="166" s="1"/>
  <c r="AA181" i="166" s="1"/>
  <c r="AB181" i="166" s="1"/>
  <c r="AC181" i="166" s="1"/>
  <c r="AD181" i="166" s="1"/>
  <c r="AE181" i="166" s="1"/>
  <c r="AF181" i="166" s="1"/>
  <c r="AG181" i="166" s="1"/>
  <c r="AH181" i="166" s="1"/>
  <c r="AI181" i="166" s="1"/>
  <c r="AJ181" i="166" s="1"/>
  <c r="AK181" i="166" s="1"/>
  <c r="AL181" i="166" s="1"/>
  <c r="AM181" i="166" s="1"/>
  <c r="H178" i="166"/>
  <c r="H177" i="166"/>
  <c r="H176" i="166"/>
  <c r="H175" i="166"/>
  <c r="H174" i="166"/>
  <c r="H173" i="166"/>
  <c r="H172" i="166"/>
  <c r="H171" i="166"/>
  <c r="H170" i="166"/>
  <c r="H169" i="166"/>
  <c r="H168" i="166"/>
  <c r="H167" i="166"/>
  <c r="H166" i="166"/>
  <c r="H165" i="166"/>
  <c r="H164" i="166"/>
  <c r="H163" i="166"/>
  <c r="H162" i="166"/>
  <c r="H161" i="166"/>
  <c r="H160" i="166"/>
  <c r="H159" i="166"/>
  <c r="H158" i="166"/>
  <c r="H157" i="166"/>
  <c r="H156" i="166"/>
  <c r="H155" i="166"/>
  <c r="H154" i="166"/>
  <c r="H153" i="166"/>
  <c r="O151" i="166"/>
  <c r="P151" i="166" s="1"/>
  <c r="Q151" i="166" s="1"/>
  <c r="R151" i="166" s="1"/>
  <c r="S151" i="166" s="1"/>
  <c r="T151" i="166" s="1"/>
  <c r="U151" i="166" s="1"/>
  <c r="V151" i="166" s="1"/>
  <c r="W151" i="166" s="1"/>
  <c r="X151" i="166" s="1"/>
  <c r="Y151" i="166" s="1"/>
  <c r="Z151" i="166" s="1"/>
  <c r="AA151" i="166" s="1"/>
  <c r="AB151" i="166" s="1"/>
  <c r="AC151" i="166" s="1"/>
  <c r="AD151" i="166" s="1"/>
  <c r="AE151" i="166" s="1"/>
  <c r="AF151" i="166" s="1"/>
  <c r="AG151" i="166" s="1"/>
  <c r="AH151" i="166" s="1"/>
  <c r="AI151" i="166" s="1"/>
  <c r="AJ151" i="166" s="1"/>
  <c r="AK151" i="166" s="1"/>
  <c r="AL151" i="166" s="1"/>
  <c r="AM151" i="166" s="1"/>
  <c r="H151" i="166"/>
  <c r="H150" i="166"/>
  <c r="H149" i="166"/>
  <c r="N145" i="166"/>
  <c r="O145" i="166" s="1"/>
  <c r="P145" i="166" s="1"/>
  <c r="Q145" i="166" s="1"/>
  <c r="R145" i="166" s="1"/>
  <c r="S145" i="166" s="1"/>
  <c r="T145" i="166" s="1"/>
  <c r="U145" i="166" s="1"/>
  <c r="V145" i="166" s="1"/>
  <c r="W145" i="166" s="1"/>
  <c r="X145" i="166" s="1"/>
  <c r="Y145" i="166" s="1"/>
  <c r="Z145" i="166" s="1"/>
  <c r="AA145" i="166" s="1"/>
  <c r="AB145" i="166" s="1"/>
  <c r="AC145" i="166" s="1"/>
  <c r="AD145" i="166" s="1"/>
  <c r="AE145" i="166" s="1"/>
  <c r="AF145" i="166" s="1"/>
  <c r="AG145" i="166" s="1"/>
  <c r="AH145" i="166" s="1"/>
  <c r="AI145" i="166" s="1"/>
  <c r="AJ145" i="166" s="1"/>
  <c r="AK145" i="166" s="1"/>
  <c r="AL145" i="166" s="1"/>
  <c r="AM145" i="166" s="1"/>
  <c r="N144" i="166"/>
  <c r="O144" i="166" s="1"/>
  <c r="P144" i="166" s="1"/>
  <c r="Q144" i="166" s="1"/>
  <c r="R144" i="166" s="1"/>
  <c r="S144" i="166" s="1"/>
  <c r="T144" i="166" s="1"/>
  <c r="U144" i="166" s="1"/>
  <c r="V144" i="166" s="1"/>
  <c r="W144" i="166" s="1"/>
  <c r="X144" i="166" s="1"/>
  <c r="Y144" i="166" s="1"/>
  <c r="Z144" i="166" s="1"/>
  <c r="AA144" i="166" s="1"/>
  <c r="AB144" i="166" s="1"/>
  <c r="AC144" i="166" s="1"/>
  <c r="AD144" i="166" s="1"/>
  <c r="AE144" i="166" s="1"/>
  <c r="AF144" i="166" s="1"/>
  <c r="AG144" i="166" s="1"/>
  <c r="AH144" i="166" s="1"/>
  <c r="AI144" i="166" s="1"/>
  <c r="AJ144" i="166" s="1"/>
  <c r="AK144" i="166" s="1"/>
  <c r="AL144" i="166" s="1"/>
  <c r="AM144" i="166" s="1"/>
  <c r="O143" i="166"/>
  <c r="P143" i="166" s="1"/>
  <c r="Q143" i="166" s="1"/>
  <c r="R143" i="166" s="1"/>
  <c r="S143" i="166" s="1"/>
  <c r="T143" i="166" s="1"/>
  <c r="U143" i="166" s="1"/>
  <c r="V143" i="166" s="1"/>
  <c r="W143" i="166" s="1"/>
  <c r="X143" i="166" s="1"/>
  <c r="Y143" i="166" s="1"/>
  <c r="Z143" i="166" s="1"/>
  <c r="AA143" i="166" s="1"/>
  <c r="AB143" i="166" s="1"/>
  <c r="AC143" i="166" s="1"/>
  <c r="AD143" i="166" s="1"/>
  <c r="AE143" i="166" s="1"/>
  <c r="AF143" i="166" s="1"/>
  <c r="AG143" i="166" s="1"/>
  <c r="AH143" i="166" s="1"/>
  <c r="AI143" i="166" s="1"/>
  <c r="AJ143" i="166" s="1"/>
  <c r="AK143" i="166" s="1"/>
  <c r="AL143" i="166" s="1"/>
  <c r="AM143" i="166" s="1"/>
  <c r="N143" i="166"/>
  <c r="N142" i="166"/>
  <c r="O142" i="166" s="1"/>
  <c r="P142" i="166" s="1"/>
  <c r="Q142" i="166" s="1"/>
  <c r="R142" i="166" s="1"/>
  <c r="S142" i="166" s="1"/>
  <c r="T142" i="166" s="1"/>
  <c r="U142" i="166" s="1"/>
  <c r="V142" i="166" s="1"/>
  <c r="W142" i="166" s="1"/>
  <c r="X142" i="166" s="1"/>
  <c r="Y142" i="166" s="1"/>
  <c r="Z142" i="166" s="1"/>
  <c r="AA142" i="166" s="1"/>
  <c r="AB142" i="166" s="1"/>
  <c r="AC142" i="166" s="1"/>
  <c r="AD142" i="166" s="1"/>
  <c r="AE142" i="166" s="1"/>
  <c r="AF142" i="166" s="1"/>
  <c r="AG142" i="166" s="1"/>
  <c r="AH142" i="166" s="1"/>
  <c r="AI142" i="166" s="1"/>
  <c r="AJ142" i="166" s="1"/>
  <c r="AK142" i="166" s="1"/>
  <c r="AL142" i="166" s="1"/>
  <c r="AM142" i="166" s="1"/>
  <c r="N141" i="166"/>
  <c r="O141" i="166" s="1"/>
  <c r="P141" i="166" s="1"/>
  <c r="Q141" i="166" s="1"/>
  <c r="R141" i="166" s="1"/>
  <c r="S141" i="166" s="1"/>
  <c r="T141" i="166" s="1"/>
  <c r="U141" i="166" s="1"/>
  <c r="V141" i="166" s="1"/>
  <c r="W141" i="166" s="1"/>
  <c r="X141" i="166" s="1"/>
  <c r="Y141" i="166" s="1"/>
  <c r="Z141" i="166" s="1"/>
  <c r="AA141" i="166" s="1"/>
  <c r="AB141" i="166" s="1"/>
  <c r="AC141" i="166" s="1"/>
  <c r="AD141" i="166" s="1"/>
  <c r="AE141" i="166" s="1"/>
  <c r="AF141" i="166" s="1"/>
  <c r="AG141" i="166" s="1"/>
  <c r="AH141" i="166" s="1"/>
  <c r="AI141" i="166" s="1"/>
  <c r="AJ141" i="166" s="1"/>
  <c r="AK141" i="166" s="1"/>
  <c r="AL141" i="166" s="1"/>
  <c r="AM141" i="166" s="1"/>
  <c r="N140" i="166"/>
  <c r="O140" i="166" s="1"/>
  <c r="P140" i="166" s="1"/>
  <c r="Q140" i="166" s="1"/>
  <c r="R140" i="166" s="1"/>
  <c r="S140" i="166" s="1"/>
  <c r="T140" i="166" s="1"/>
  <c r="U140" i="166" s="1"/>
  <c r="V140" i="166" s="1"/>
  <c r="W140" i="166" s="1"/>
  <c r="X140" i="166" s="1"/>
  <c r="Y140" i="166" s="1"/>
  <c r="Z140" i="166" s="1"/>
  <c r="AA140" i="166" s="1"/>
  <c r="AB140" i="166" s="1"/>
  <c r="AC140" i="166" s="1"/>
  <c r="AD140" i="166" s="1"/>
  <c r="AE140" i="166" s="1"/>
  <c r="AF140" i="166" s="1"/>
  <c r="AG140" i="166" s="1"/>
  <c r="AH140" i="166" s="1"/>
  <c r="AI140" i="166" s="1"/>
  <c r="AJ140" i="166" s="1"/>
  <c r="AK140" i="166" s="1"/>
  <c r="AL140" i="166" s="1"/>
  <c r="AM140" i="166" s="1"/>
  <c r="H139" i="166"/>
  <c r="H138" i="166"/>
  <c r="N137" i="166"/>
  <c r="O137" i="166" s="1"/>
  <c r="P137" i="166" s="1"/>
  <c r="Q137" i="166" s="1"/>
  <c r="R137" i="166" s="1"/>
  <c r="S137" i="166" s="1"/>
  <c r="T137" i="166" s="1"/>
  <c r="U137" i="166" s="1"/>
  <c r="V137" i="166" s="1"/>
  <c r="W137" i="166" s="1"/>
  <c r="X137" i="166" s="1"/>
  <c r="Y137" i="166" s="1"/>
  <c r="Z137" i="166" s="1"/>
  <c r="AA137" i="166" s="1"/>
  <c r="AB137" i="166" s="1"/>
  <c r="AC137" i="166" s="1"/>
  <c r="AD137" i="166" s="1"/>
  <c r="AE137" i="166" s="1"/>
  <c r="AF137" i="166" s="1"/>
  <c r="AG137" i="166" s="1"/>
  <c r="AH137" i="166" s="1"/>
  <c r="AI137" i="166" s="1"/>
  <c r="AJ137" i="166" s="1"/>
  <c r="AK137" i="166" s="1"/>
  <c r="AL137" i="166" s="1"/>
  <c r="AM137" i="166" s="1"/>
  <c r="H137" i="166"/>
  <c r="H136" i="166"/>
  <c r="N135" i="166"/>
  <c r="O135" i="166" s="1"/>
  <c r="P135" i="166" s="1"/>
  <c r="Q135" i="166" s="1"/>
  <c r="R135" i="166" s="1"/>
  <c r="S135" i="166" s="1"/>
  <c r="T135" i="166" s="1"/>
  <c r="U135" i="166" s="1"/>
  <c r="V135" i="166" s="1"/>
  <c r="W135" i="166" s="1"/>
  <c r="X135" i="166" s="1"/>
  <c r="Y135" i="166" s="1"/>
  <c r="Z135" i="166" s="1"/>
  <c r="AA135" i="166" s="1"/>
  <c r="AB135" i="166" s="1"/>
  <c r="AC135" i="166" s="1"/>
  <c r="AD135" i="166" s="1"/>
  <c r="AE135" i="166" s="1"/>
  <c r="AF135" i="166" s="1"/>
  <c r="AG135" i="166" s="1"/>
  <c r="AH135" i="166" s="1"/>
  <c r="AI135" i="166" s="1"/>
  <c r="AJ135" i="166" s="1"/>
  <c r="AK135" i="166" s="1"/>
  <c r="AL135" i="166" s="1"/>
  <c r="AM135" i="166" s="1"/>
  <c r="H135" i="166"/>
  <c r="N134" i="166"/>
  <c r="O134" i="166" s="1"/>
  <c r="P134" i="166" s="1"/>
  <c r="Q134" i="166" s="1"/>
  <c r="R134" i="166" s="1"/>
  <c r="S134" i="166" s="1"/>
  <c r="T134" i="166" s="1"/>
  <c r="U134" i="166" s="1"/>
  <c r="V134" i="166" s="1"/>
  <c r="W134" i="166" s="1"/>
  <c r="X134" i="166" s="1"/>
  <c r="Y134" i="166" s="1"/>
  <c r="Z134" i="166" s="1"/>
  <c r="AA134" i="166" s="1"/>
  <c r="AB134" i="166" s="1"/>
  <c r="AC134" i="166" s="1"/>
  <c r="AD134" i="166" s="1"/>
  <c r="AE134" i="166" s="1"/>
  <c r="AF134" i="166" s="1"/>
  <c r="AG134" i="166" s="1"/>
  <c r="AH134" i="166" s="1"/>
  <c r="AI134" i="166" s="1"/>
  <c r="AJ134" i="166" s="1"/>
  <c r="AK134" i="166" s="1"/>
  <c r="AL134" i="166" s="1"/>
  <c r="AM134" i="166" s="1"/>
  <c r="H134" i="166"/>
  <c r="H129" i="166"/>
  <c r="H128" i="166"/>
  <c r="H127" i="166"/>
  <c r="H126" i="166"/>
  <c r="H125" i="166"/>
  <c r="H124" i="166"/>
  <c r="H123" i="166"/>
  <c r="H122" i="166"/>
  <c r="H121" i="166"/>
  <c r="H120" i="166"/>
  <c r="H119" i="166"/>
  <c r="H118" i="166"/>
  <c r="H117" i="166"/>
  <c r="H116" i="166"/>
  <c r="H115" i="166"/>
  <c r="N114" i="166"/>
  <c r="O114" i="166" s="1"/>
  <c r="P114" i="166" s="1"/>
  <c r="Q114" i="166" s="1"/>
  <c r="R114" i="166" s="1"/>
  <c r="S114" i="166" s="1"/>
  <c r="T114" i="166" s="1"/>
  <c r="U114" i="166" s="1"/>
  <c r="V114" i="166" s="1"/>
  <c r="W114" i="166" s="1"/>
  <c r="X114" i="166" s="1"/>
  <c r="Y114" i="166" s="1"/>
  <c r="Z114" i="166" s="1"/>
  <c r="AA114" i="166" s="1"/>
  <c r="AB114" i="166" s="1"/>
  <c r="AC114" i="166" s="1"/>
  <c r="AD114" i="166" s="1"/>
  <c r="AE114" i="166" s="1"/>
  <c r="AF114" i="166" s="1"/>
  <c r="AG114" i="166" s="1"/>
  <c r="AH114" i="166" s="1"/>
  <c r="AI114" i="166" s="1"/>
  <c r="AJ114" i="166" s="1"/>
  <c r="AK114" i="166" s="1"/>
  <c r="AL114" i="166" s="1"/>
  <c r="AM114" i="166" s="1"/>
  <c r="H114" i="166"/>
  <c r="N113" i="166"/>
  <c r="O113" i="166" s="1"/>
  <c r="P113" i="166" s="1"/>
  <c r="Q113" i="166" s="1"/>
  <c r="R113" i="166" s="1"/>
  <c r="S113" i="166" s="1"/>
  <c r="T113" i="166" s="1"/>
  <c r="U113" i="166" s="1"/>
  <c r="V113" i="166" s="1"/>
  <c r="W113" i="166" s="1"/>
  <c r="X113" i="166" s="1"/>
  <c r="Y113" i="166" s="1"/>
  <c r="Z113" i="166" s="1"/>
  <c r="AA113" i="166" s="1"/>
  <c r="AB113" i="166" s="1"/>
  <c r="AC113" i="166" s="1"/>
  <c r="AD113" i="166" s="1"/>
  <c r="AE113" i="166" s="1"/>
  <c r="AF113" i="166" s="1"/>
  <c r="AG113" i="166" s="1"/>
  <c r="AH113" i="166" s="1"/>
  <c r="AI113" i="166" s="1"/>
  <c r="AJ113" i="166" s="1"/>
  <c r="AK113" i="166" s="1"/>
  <c r="AL113" i="166" s="1"/>
  <c r="AM113" i="166" s="1"/>
  <c r="H113" i="166"/>
  <c r="N112" i="166"/>
  <c r="O112" i="166" s="1"/>
  <c r="P112" i="166" s="1"/>
  <c r="Q112" i="166" s="1"/>
  <c r="R112" i="166" s="1"/>
  <c r="S112" i="166" s="1"/>
  <c r="T112" i="166" s="1"/>
  <c r="U112" i="166" s="1"/>
  <c r="V112" i="166" s="1"/>
  <c r="W112" i="166" s="1"/>
  <c r="X112" i="166" s="1"/>
  <c r="Y112" i="166" s="1"/>
  <c r="Z112" i="166" s="1"/>
  <c r="AA112" i="166" s="1"/>
  <c r="AB112" i="166" s="1"/>
  <c r="AC112" i="166" s="1"/>
  <c r="AD112" i="166" s="1"/>
  <c r="AE112" i="166" s="1"/>
  <c r="AF112" i="166" s="1"/>
  <c r="AG112" i="166" s="1"/>
  <c r="AH112" i="166" s="1"/>
  <c r="AI112" i="166" s="1"/>
  <c r="AJ112" i="166" s="1"/>
  <c r="AK112" i="166" s="1"/>
  <c r="AL112" i="166" s="1"/>
  <c r="AM112" i="166" s="1"/>
  <c r="H112" i="166"/>
  <c r="N110" i="166"/>
  <c r="O110" i="166" s="1"/>
  <c r="P110" i="166" s="1"/>
  <c r="Q110" i="166" s="1"/>
  <c r="R110" i="166" s="1"/>
  <c r="S110" i="166" s="1"/>
  <c r="T110" i="166" s="1"/>
  <c r="U110" i="166" s="1"/>
  <c r="V110" i="166" s="1"/>
  <c r="W110" i="166" s="1"/>
  <c r="X110" i="166" s="1"/>
  <c r="Y110" i="166" s="1"/>
  <c r="Z110" i="166" s="1"/>
  <c r="AA110" i="166" s="1"/>
  <c r="AB110" i="166" s="1"/>
  <c r="AC110" i="166" s="1"/>
  <c r="AD110" i="166" s="1"/>
  <c r="AE110" i="166" s="1"/>
  <c r="AF110" i="166" s="1"/>
  <c r="AG110" i="166" s="1"/>
  <c r="AH110" i="166" s="1"/>
  <c r="AI110" i="166" s="1"/>
  <c r="AJ110" i="166" s="1"/>
  <c r="AK110" i="166" s="1"/>
  <c r="AL110" i="166" s="1"/>
  <c r="AM110" i="166" s="1"/>
  <c r="H109" i="166"/>
  <c r="H106" i="166"/>
  <c r="H105" i="166"/>
  <c r="H104" i="166"/>
  <c r="H103" i="166"/>
  <c r="N102" i="166"/>
  <c r="O102" i="166" s="1"/>
  <c r="P102" i="166" s="1"/>
  <c r="Q102" i="166" s="1"/>
  <c r="R102" i="166" s="1"/>
  <c r="S102" i="166" s="1"/>
  <c r="T102" i="166" s="1"/>
  <c r="U102" i="166" s="1"/>
  <c r="V102" i="166" s="1"/>
  <c r="W102" i="166" s="1"/>
  <c r="X102" i="166" s="1"/>
  <c r="Y102" i="166" s="1"/>
  <c r="Z102" i="166" s="1"/>
  <c r="AA102" i="166" s="1"/>
  <c r="AB102" i="166" s="1"/>
  <c r="AC102" i="166" s="1"/>
  <c r="AD102" i="166" s="1"/>
  <c r="AE102" i="166" s="1"/>
  <c r="AF102" i="166" s="1"/>
  <c r="AG102" i="166" s="1"/>
  <c r="AH102" i="166" s="1"/>
  <c r="AI102" i="166" s="1"/>
  <c r="AJ102" i="166" s="1"/>
  <c r="AK102" i="166" s="1"/>
  <c r="AL102" i="166" s="1"/>
  <c r="AM102" i="166" s="1"/>
  <c r="H102" i="166"/>
  <c r="H101" i="166"/>
  <c r="H100" i="166"/>
  <c r="N99" i="166"/>
  <c r="O99" i="166" s="1"/>
  <c r="P99" i="166" s="1"/>
  <c r="Q99" i="166" s="1"/>
  <c r="R99" i="166" s="1"/>
  <c r="S99" i="166" s="1"/>
  <c r="T99" i="166" s="1"/>
  <c r="U99" i="166" s="1"/>
  <c r="V99" i="166" s="1"/>
  <c r="W99" i="166" s="1"/>
  <c r="X99" i="166" s="1"/>
  <c r="Y99" i="166" s="1"/>
  <c r="Z99" i="166" s="1"/>
  <c r="AA99" i="166" s="1"/>
  <c r="AB99" i="166" s="1"/>
  <c r="AC99" i="166" s="1"/>
  <c r="AD99" i="166" s="1"/>
  <c r="AE99" i="166" s="1"/>
  <c r="AF99" i="166" s="1"/>
  <c r="AG99" i="166" s="1"/>
  <c r="AH99" i="166" s="1"/>
  <c r="AI99" i="166" s="1"/>
  <c r="AJ99" i="166" s="1"/>
  <c r="AK99" i="166" s="1"/>
  <c r="AL99" i="166" s="1"/>
  <c r="AM99" i="166" s="1"/>
  <c r="H99" i="166"/>
  <c r="N98" i="166"/>
  <c r="O98" i="166" s="1"/>
  <c r="P98" i="166" s="1"/>
  <c r="Q98" i="166" s="1"/>
  <c r="R98" i="166" s="1"/>
  <c r="S98" i="166" s="1"/>
  <c r="T98" i="166" s="1"/>
  <c r="U98" i="166" s="1"/>
  <c r="V98" i="166" s="1"/>
  <c r="W98" i="166" s="1"/>
  <c r="X98" i="166" s="1"/>
  <c r="Y98" i="166" s="1"/>
  <c r="Z98" i="166" s="1"/>
  <c r="AA98" i="166" s="1"/>
  <c r="AB98" i="166" s="1"/>
  <c r="AC98" i="166" s="1"/>
  <c r="AD98" i="166" s="1"/>
  <c r="AE98" i="166" s="1"/>
  <c r="AF98" i="166" s="1"/>
  <c r="AG98" i="166" s="1"/>
  <c r="AH98" i="166" s="1"/>
  <c r="AI98" i="166" s="1"/>
  <c r="AJ98" i="166" s="1"/>
  <c r="AK98" i="166" s="1"/>
  <c r="AL98" i="166" s="1"/>
  <c r="AM98" i="166" s="1"/>
  <c r="H98" i="166"/>
  <c r="N97" i="166"/>
  <c r="O97" i="166" s="1"/>
  <c r="P97" i="166" s="1"/>
  <c r="Q97" i="166" s="1"/>
  <c r="R97" i="166" s="1"/>
  <c r="S97" i="166" s="1"/>
  <c r="T97" i="166" s="1"/>
  <c r="U97" i="166" s="1"/>
  <c r="V97" i="166" s="1"/>
  <c r="W97" i="166" s="1"/>
  <c r="X97" i="166" s="1"/>
  <c r="Y97" i="166" s="1"/>
  <c r="Z97" i="166" s="1"/>
  <c r="AA97" i="166" s="1"/>
  <c r="AB97" i="166" s="1"/>
  <c r="AC97" i="166" s="1"/>
  <c r="AD97" i="166" s="1"/>
  <c r="AE97" i="166" s="1"/>
  <c r="AF97" i="166" s="1"/>
  <c r="AG97" i="166" s="1"/>
  <c r="AH97" i="166" s="1"/>
  <c r="AI97" i="166" s="1"/>
  <c r="AJ97" i="166" s="1"/>
  <c r="AK97" i="166" s="1"/>
  <c r="AL97" i="166" s="1"/>
  <c r="AM97" i="166" s="1"/>
  <c r="H97" i="166"/>
  <c r="N93" i="166"/>
  <c r="O93" i="166" s="1"/>
  <c r="P93" i="166" s="1"/>
  <c r="Q93" i="166" s="1"/>
  <c r="R93" i="166" s="1"/>
  <c r="S93" i="166" s="1"/>
  <c r="T93" i="166" s="1"/>
  <c r="U93" i="166" s="1"/>
  <c r="V93" i="166" s="1"/>
  <c r="W93" i="166" s="1"/>
  <c r="X93" i="166" s="1"/>
  <c r="Y93" i="166" s="1"/>
  <c r="Z93" i="166" s="1"/>
  <c r="AA93" i="166" s="1"/>
  <c r="AB93" i="166" s="1"/>
  <c r="AC93" i="166" s="1"/>
  <c r="AD93" i="166" s="1"/>
  <c r="AE93" i="166" s="1"/>
  <c r="AF93" i="166" s="1"/>
  <c r="AG93" i="166" s="1"/>
  <c r="AH93" i="166" s="1"/>
  <c r="AI93" i="166" s="1"/>
  <c r="AJ93" i="166" s="1"/>
  <c r="AK93" i="166" s="1"/>
  <c r="AL93" i="166" s="1"/>
  <c r="AM93" i="166" s="1"/>
  <c r="H93" i="166"/>
  <c r="N92" i="166"/>
  <c r="O92" i="166" s="1"/>
  <c r="P92" i="166" s="1"/>
  <c r="Q92" i="166" s="1"/>
  <c r="R92" i="166" s="1"/>
  <c r="S92" i="166" s="1"/>
  <c r="T92" i="166" s="1"/>
  <c r="U92" i="166" s="1"/>
  <c r="V92" i="166" s="1"/>
  <c r="W92" i="166" s="1"/>
  <c r="X92" i="166" s="1"/>
  <c r="Y92" i="166" s="1"/>
  <c r="Z92" i="166" s="1"/>
  <c r="AA92" i="166" s="1"/>
  <c r="AB92" i="166" s="1"/>
  <c r="AC92" i="166" s="1"/>
  <c r="AD92" i="166" s="1"/>
  <c r="AE92" i="166" s="1"/>
  <c r="AF92" i="166" s="1"/>
  <c r="AG92" i="166" s="1"/>
  <c r="AH92" i="166" s="1"/>
  <c r="AI92" i="166" s="1"/>
  <c r="AJ92" i="166" s="1"/>
  <c r="AK92" i="166" s="1"/>
  <c r="AL92" i="166" s="1"/>
  <c r="AM92" i="166" s="1"/>
  <c r="H92" i="166"/>
  <c r="N89" i="166"/>
  <c r="O89" i="166" s="1"/>
  <c r="P89" i="166" s="1"/>
  <c r="Q89" i="166" s="1"/>
  <c r="R89" i="166" s="1"/>
  <c r="S89" i="166" s="1"/>
  <c r="T89" i="166" s="1"/>
  <c r="U89" i="166" s="1"/>
  <c r="V89" i="166" s="1"/>
  <c r="W89" i="166" s="1"/>
  <c r="X89" i="166" s="1"/>
  <c r="Y89" i="166" s="1"/>
  <c r="Z89" i="166" s="1"/>
  <c r="AA89" i="166" s="1"/>
  <c r="AB89" i="166" s="1"/>
  <c r="AC89" i="166" s="1"/>
  <c r="AD89" i="166" s="1"/>
  <c r="AE89" i="166" s="1"/>
  <c r="AF89" i="166" s="1"/>
  <c r="AG89" i="166" s="1"/>
  <c r="AH89" i="166" s="1"/>
  <c r="AI89" i="166" s="1"/>
  <c r="AJ89" i="166" s="1"/>
  <c r="AK89" i="166" s="1"/>
  <c r="AL89" i="166" s="1"/>
  <c r="AM89" i="166" s="1"/>
  <c r="H89" i="166"/>
  <c r="H88" i="166"/>
  <c r="H86" i="166"/>
  <c r="H85" i="166"/>
  <c r="H84" i="166"/>
  <c r="H83" i="166"/>
  <c r="H82" i="166"/>
  <c r="H81" i="166"/>
  <c r="H80" i="166"/>
  <c r="H79" i="166"/>
  <c r="H78" i="166"/>
  <c r="H77" i="166"/>
  <c r="H76" i="166"/>
  <c r="N75" i="166"/>
  <c r="O75" i="166" s="1"/>
  <c r="P75" i="166" s="1"/>
  <c r="Q75" i="166" s="1"/>
  <c r="R75" i="166" s="1"/>
  <c r="S75" i="166" s="1"/>
  <c r="T75" i="166" s="1"/>
  <c r="U75" i="166" s="1"/>
  <c r="V75" i="166" s="1"/>
  <c r="W75" i="166" s="1"/>
  <c r="X75" i="166" s="1"/>
  <c r="Y75" i="166" s="1"/>
  <c r="Z75" i="166" s="1"/>
  <c r="AA75" i="166" s="1"/>
  <c r="AB75" i="166" s="1"/>
  <c r="AC75" i="166" s="1"/>
  <c r="AD75" i="166" s="1"/>
  <c r="AE75" i="166" s="1"/>
  <c r="AF75" i="166" s="1"/>
  <c r="AG75" i="166" s="1"/>
  <c r="AH75" i="166" s="1"/>
  <c r="AI75" i="166" s="1"/>
  <c r="AJ75" i="166" s="1"/>
  <c r="AK75" i="166" s="1"/>
  <c r="AL75" i="166" s="1"/>
  <c r="AM75" i="166" s="1"/>
  <c r="H75" i="166"/>
  <c r="N74" i="166"/>
  <c r="O74" i="166" s="1"/>
  <c r="P74" i="166" s="1"/>
  <c r="Q74" i="166" s="1"/>
  <c r="R74" i="166" s="1"/>
  <c r="S74" i="166" s="1"/>
  <c r="T74" i="166" s="1"/>
  <c r="U74" i="166" s="1"/>
  <c r="V74" i="166" s="1"/>
  <c r="W74" i="166" s="1"/>
  <c r="X74" i="166" s="1"/>
  <c r="Y74" i="166" s="1"/>
  <c r="Z74" i="166" s="1"/>
  <c r="AA74" i="166" s="1"/>
  <c r="AB74" i="166" s="1"/>
  <c r="AC74" i="166" s="1"/>
  <c r="AD74" i="166" s="1"/>
  <c r="AE74" i="166" s="1"/>
  <c r="AF74" i="166" s="1"/>
  <c r="AG74" i="166" s="1"/>
  <c r="AH74" i="166" s="1"/>
  <c r="AI74" i="166" s="1"/>
  <c r="AJ74" i="166" s="1"/>
  <c r="AK74" i="166" s="1"/>
  <c r="AL74" i="166" s="1"/>
  <c r="AM74" i="166" s="1"/>
  <c r="H74" i="166"/>
  <c r="N73" i="166"/>
  <c r="O73" i="166" s="1"/>
  <c r="P73" i="166" s="1"/>
  <c r="Q73" i="166" s="1"/>
  <c r="R73" i="166" s="1"/>
  <c r="S73" i="166" s="1"/>
  <c r="T73" i="166" s="1"/>
  <c r="U73" i="166" s="1"/>
  <c r="V73" i="166" s="1"/>
  <c r="W73" i="166" s="1"/>
  <c r="X73" i="166" s="1"/>
  <c r="Y73" i="166" s="1"/>
  <c r="Z73" i="166" s="1"/>
  <c r="AA73" i="166" s="1"/>
  <c r="AB73" i="166" s="1"/>
  <c r="AC73" i="166" s="1"/>
  <c r="AD73" i="166" s="1"/>
  <c r="AE73" i="166" s="1"/>
  <c r="AF73" i="166" s="1"/>
  <c r="AG73" i="166" s="1"/>
  <c r="AH73" i="166" s="1"/>
  <c r="AI73" i="166" s="1"/>
  <c r="AJ73" i="166" s="1"/>
  <c r="AK73" i="166" s="1"/>
  <c r="AL73" i="166" s="1"/>
  <c r="AM73" i="166" s="1"/>
  <c r="H73" i="166"/>
  <c r="N72" i="166"/>
  <c r="O72" i="166" s="1"/>
  <c r="P72" i="166" s="1"/>
  <c r="Q72" i="166" s="1"/>
  <c r="R72" i="166" s="1"/>
  <c r="S72" i="166" s="1"/>
  <c r="T72" i="166" s="1"/>
  <c r="U72" i="166" s="1"/>
  <c r="V72" i="166" s="1"/>
  <c r="W72" i="166" s="1"/>
  <c r="X72" i="166" s="1"/>
  <c r="Y72" i="166" s="1"/>
  <c r="Z72" i="166" s="1"/>
  <c r="AA72" i="166" s="1"/>
  <c r="AB72" i="166" s="1"/>
  <c r="AC72" i="166" s="1"/>
  <c r="AD72" i="166" s="1"/>
  <c r="AE72" i="166" s="1"/>
  <c r="AF72" i="166" s="1"/>
  <c r="AG72" i="166" s="1"/>
  <c r="AH72" i="166" s="1"/>
  <c r="AI72" i="166" s="1"/>
  <c r="AJ72" i="166" s="1"/>
  <c r="AK72" i="166" s="1"/>
  <c r="AL72" i="166" s="1"/>
  <c r="AM72" i="166" s="1"/>
  <c r="H72" i="166"/>
  <c r="N71" i="166"/>
  <c r="O71" i="166" s="1"/>
  <c r="P71" i="166" s="1"/>
  <c r="Q71" i="166" s="1"/>
  <c r="R71" i="166" s="1"/>
  <c r="S71" i="166" s="1"/>
  <c r="T71" i="166" s="1"/>
  <c r="U71" i="166" s="1"/>
  <c r="V71" i="166" s="1"/>
  <c r="W71" i="166" s="1"/>
  <c r="X71" i="166" s="1"/>
  <c r="Y71" i="166" s="1"/>
  <c r="Z71" i="166" s="1"/>
  <c r="AA71" i="166" s="1"/>
  <c r="AB71" i="166" s="1"/>
  <c r="AC71" i="166" s="1"/>
  <c r="AD71" i="166" s="1"/>
  <c r="AE71" i="166" s="1"/>
  <c r="AF71" i="166" s="1"/>
  <c r="AG71" i="166" s="1"/>
  <c r="AH71" i="166" s="1"/>
  <c r="AI71" i="166" s="1"/>
  <c r="AJ71" i="166" s="1"/>
  <c r="AK71" i="166" s="1"/>
  <c r="AL71" i="166" s="1"/>
  <c r="AM71" i="166" s="1"/>
  <c r="H71" i="166"/>
  <c r="N70" i="166"/>
  <c r="O70" i="166" s="1"/>
  <c r="P70" i="166" s="1"/>
  <c r="Q70" i="166" s="1"/>
  <c r="R70" i="166" s="1"/>
  <c r="S70" i="166" s="1"/>
  <c r="T70" i="166" s="1"/>
  <c r="U70" i="166" s="1"/>
  <c r="V70" i="166" s="1"/>
  <c r="W70" i="166" s="1"/>
  <c r="X70" i="166" s="1"/>
  <c r="Y70" i="166" s="1"/>
  <c r="Z70" i="166" s="1"/>
  <c r="AA70" i="166" s="1"/>
  <c r="AB70" i="166" s="1"/>
  <c r="AC70" i="166" s="1"/>
  <c r="AD70" i="166" s="1"/>
  <c r="AE70" i="166" s="1"/>
  <c r="AF70" i="166" s="1"/>
  <c r="AG70" i="166" s="1"/>
  <c r="AH70" i="166" s="1"/>
  <c r="AI70" i="166" s="1"/>
  <c r="AJ70" i="166" s="1"/>
  <c r="AK70" i="166" s="1"/>
  <c r="AL70" i="166" s="1"/>
  <c r="AM70" i="166" s="1"/>
  <c r="H70" i="166"/>
  <c r="N69" i="166"/>
  <c r="O69" i="166" s="1"/>
  <c r="P69" i="166" s="1"/>
  <c r="Q69" i="166" s="1"/>
  <c r="R69" i="166" s="1"/>
  <c r="S69" i="166" s="1"/>
  <c r="T69" i="166" s="1"/>
  <c r="U69" i="166" s="1"/>
  <c r="V69" i="166" s="1"/>
  <c r="W69" i="166" s="1"/>
  <c r="X69" i="166" s="1"/>
  <c r="Y69" i="166" s="1"/>
  <c r="Z69" i="166" s="1"/>
  <c r="AA69" i="166" s="1"/>
  <c r="AB69" i="166" s="1"/>
  <c r="AC69" i="166" s="1"/>
  <c r="AD69" i="166" s="1"/>
  <c r="AE69" i="166" s="1"/>
  <c r="AF69" i="166" s="1"/>
  <c r="AG69" i="166" s="1"/>
  <c r="AH69" i="166" s="1"/>
  <c r="AI69" i="166" s="1"/>
  <c r="AJ69" i="166" s="1"/>
  <c r="AK69" i="166" s="1"/>
  <c r="AL69" i="166" s="1"/>
  <c r="AM69" i="166" s="1"/>
  <c r="H69" i="166"/>
  <c r="O67" i="166"/>
  <c r="P67" i="166" s="1"/>
  <c r="Q67" i="166" s="1"/>
  <c r="R67" i="166" s="1"/>
  <c r="S67" i="166" s="1"/>
  <c r="T67" i="166" s="1"/>
  <c r="U67" i="166" s="1"/>
  <c r="V67" i="166" s="1"/>
  <c r="W67" i="166" s="1"/>
  <c r="X67" i="166" s="1"/>
  <c r="Y67" i="166" s="1"/>
  <c r="Z67" i="166" s="1"/>
  <c r="AA67" i="166" s="1"/>
  <c r="AB67" i="166" s="1"/>
  <c r="AC67" i="166" s="1"/>
  <c r="AD67" i="166" s="1"/>
  <c r="AE67" i="166" s="1"/>
  <c r="AF67" i="166" s="1"/>
  <c r="AG67" i="166" s="1"/>
  <c r="AH67" i="166" s="1"/>
  <c r="AI67" i="166" s="1"/>
  <c r="AJ67" i="166" s="1"/>
  <c r="AK67" i="166" s="1"/>
  <c r="AL67" i="166" s="1"/>
  <c r="AM67" i="166" s="1"/>
  <c r="H67" i="166"/>
  <c r="H66" i="166"/>
  <c r="H65" i="166"/>
  <c r="N64" i="166"/>
  <c r="O64" i="166" s="1"/>
  <c r="P64" i="166" s="1"/>
  <c r="Q64" i="166" s="1"/>
  <c r="R64" i="166" s="1"/>
  <c r="S64" i="166" s="1"/>
  <c r="T64" i="166" s="1"/>
  <c r="U64" i="166" s="1"/>
  <c r="V64" i="166" s="1"/>
  <c r="W64" i="166" s="1"/>
  <c r="X64" i="166" s="1"/>
  <c r="Y64" i="166" s="1"/>
  <c r="Z64" i="166" s="1"/>
  <c r="AA64" i="166" s="1"/>
  <c r="AB64" i="166" s="1"/>
  <c r="AC64" i="166" s="1"/>
  <c r="AD64" i="166" s="1"/>
  <c r="AE64" i="166" s="1"/>
  <c r="AF64" i="166" s="1"/>
  <c r="AG64" i="166" s="1"/>
  <c r="AH64" i="166" s="1"/>
  <c r="AI64" i="166" s="1"/>
  <c r="AJ64" i="166" s="1"/>
  <c r="AK64" i="166" s="1"/>
  <c r="AL64" i="166" s="1"/>
  <c r="AM64" i="166" s="1"/>
  <c r="N63" i="166"/>
  <c r="O63" i="166" s="1"/>
  <c r="P63" i="166" s="1"/>
  <c r="Q63" i="166" s="1"/>
  <c r="R63" i="166" s="1"/>
  <c r="S63" i="166" s="1"/>
  <c r="T63" i="166" s="1"/>
  <c r="U63" i="166" s="1"/>
  <c r="V63" i="166" s="1"/>
  <c r="W63" i="166" s="1"/>
  <c r="X63" i="166" s="1"/>
  <c r="Y63" i="166" s="1"/>
  <c r="Z63" i="166" s="1"/>
  <c r="AA63" i="166" s="1"/>
  <c r="AB63" i="166" s="1"/>
  <c r="AC63" i="166" s="1"/>
  <c r="AD63" i="166" s="1"/>
  <c r="AE63" i="166" s="1"/>
  <c r="AF63" i="166" s="1"/>
  <c r="AG63" i="166" s="1"/>
  <c r="AH63" i="166" s="1"/>
  <c r="AI63" i="166" s="1"/>
  <c r="AJ63" i="166" s="1"/>
  <c r="AK63" i="166" s="1"/>
  <c r="AL63" i="166" s="1"/>
  <c r="AM63" i="166" s="1"/>
  <c r="N61" i="166"/>
  <c r="O61" i="166" s="1"/>
  <c r="P61" i="166" s="1"/>
  <c r="Q61" i="166" s="1"/>
  <c r="R61" i="166" s="1"/>
  <c r="S61" i="166" s="1"/>
  <c r="T61" i="166" s="1"/>
  <c r="U61" i="166" s="1"/>
  <c r="V61" i="166" s="1"/>
  <c r="W61" i="166" s="1"/>
  <c r="X61" i="166" s="1"/>
  <c r="Y61" i="166" s="1"/>
  <c r="Z61" i="166" s="1"/>
  <c r="AA61" i="166" s="1"/>
  <c r="AB61" i="166" s="1"/>
  <c r="AC61" i="166" s="1"/>
  <c r="AD61" i="166" s="1"/>
  <c r="AE61" i="166" s="1"/>
  <c r="AF61" i="166" s="1"/>
  <c r="AG61" i="166" s="1"/>
  <c r="AH61" i="166" s="1"/>
  <c r="AI61" i="166" s="1"/>
  <c r="AJ61" i="166" s="1"/>
  <c r="AK61" i="166" s="1"/>
  <c r="AL61" i="166" s="1"/>
  <c r="AM61" i="166" s="1"/>
  <c r="H61" i="166"/>
  <c r="H58" i="166"/>
  <c r="H57" i="166"/>
  <c r="N56" i="166"/>
  <c r="O56" i="166" s="1"/>
  <c r="P56" i="166" s="1"/>
  <c r="Q56" i="166" s="1"/>
  <c r="R56" i="166" s="1"/>
  <c r="S56" i="166" s="1"/>
  <c r="T56" i="166" s="1"/>
  <c r="U56" i="166" s="1"/>
  <c r="V56" i="166" s="1"/>
  <c r="W56" i="166" s="1"/>
  <c r="X56" i="166" s="1"/>
  <c r="Y56" i="166" s="1"/>
  <c r="Z56" i="166" s="1"/>
  <c r="AA56" i="166" s="1"/>
  <c r="AB56" i="166" s="1"/>
  <c r="AC56" i="166" s="1"/>
  <c r="AD56" i="166" s="1"/>
  <c r="AE56" i="166" s="1"/>
  <c r="AF56" i="166" s="1"/>
  <c r="AG56" i="166" s="1"/>
  <c r="AH56" i="166" s="1"/>
  <c r="AI56" i="166" s="1"/>
  <c r="AJ56" i="166" s="1"/>
  <c r="AK56" i="166" s="1"/>
  <c r="AL56" i="166" s="1"/>
  <c r="AM56" i="166" s="1"/>
  <c r="N48" i="166"/>
  <c r="O48" i="166" s="1"/>
  <c r="P48" i="166" s="1"/>
  <c r="Q48" i="166" s="1"/>
  <c r="R48" i="166" s="1"/>
  <c r="S48" i="166" s="1"/>
  <c r="T48" i="166" s="1"/>
  <c r="U48" i="166" s="1"/>
  <c r="V48" i="166" s="1"/>
  <c r="W48" i="166" s="1"/>
  <c r="X48" i="166" s="1"/>
  <c r="Y48" i="166" s="1"/>
  <c r="Z48" i="166" s="1"/>
  <c r="AA48" i="166" s="1"/>
  <c r="AB48" i="166" s="1"/>
  <c r="AC48" i="166" s="1"/>
  <c r="AD48" i="166" s="1"/>
  <c r="AE48" i="166" s="1"/>
  <c r="AF48" i="166" s="1"/>
  <c r="AG48" i="166" s="1"/>
  <c r="AH48" i="166" s="1"/>
  <c r="AI48" i="166" s="1"/>
  <c r="AJ48" i="166" s="1"/>
  <c r="AK48" i="166" s="1"/>
  <c r="AL48" i="166" s="1"/>
  <c r="AM48" i="166" s="1"/>
  <c r="H48" i="166"/>
  <c r="N47" i="166"/>
  <c r="O47" i="166" s="1"/>
  <c r="P47" i="166" s="1"/>
  <c r="Q47" i="166" s="1"/>
  <c r="R47" i="166" s="1"/>
  <c r="S47" i="166" s="1"/>
  <c r="T47" i="166" s="1"/>
  <c r="U47" i="166" s="1"/>
  <c r="V47" i="166" s="1"/>
  <c r="W47" i="166" s="1"/>
  <c r="X47" i="166" s="1"/>
  <c r="Y47" i="166" s="1"/>
  <c r="Z47" i="166" s="1"/>
  <c r="AA47" i="166" s="1"/>
  <c r="AB47" i="166" s="1"/>
  <c r="AC47" i="166" s="1"/>
  <c r="AD47" i="166" s="1"/>
  <c r="AE47" i="166" s="1"/>
  <c r="AF47" i="166" s="1"/>
  <c r="AG47" i="166" s="1"/>
  <c r="AH47" i="166" s="1"/>
  <c r="AI47" i="166" s="1"/>
  <c r="AJ47" i="166" s="1"/>
  <c r="AK47" i="166" s="1"/>
  <c r="AL47" i="166" s="1"/>
  <c r="AM47" i="166" s="1"/>
  <c r="N44" i="166"/>
  <c r="O44" i="166" s="1"/>
  <c r="P44" i="166" s="1"/>
  <c r="Q44" i="166" s="1"/>
  <c r="R44" i="166" s="1"/>
  <c r="S44" i="166" s="1"/>
  <c r="T44" i="166" s="1"/>
  <c r="U44" i="166" s="1"/>
  <c r="V44" i="166" s="1"/>
  <c r="W44" i="166" s="1"/>
  <c r="X44" i="166" s="1"/>
  <c r="Y44" i="166" s="1"/>
  <c r="Z44" i="166" s="1"/>
  <c r="AA44" i="166" s="1"/>
  <c r="AB44" i="166" s="1"/>
  <c r="AC44" i="166" s="1"/>
  <c r="AD44" i="166" s="1"/>
  <c r="AE44" i="166" s="1"/>
  <c r="AF44" i="166" s="1"/>
  <c r="AG44" i="166" s="1"/>
  <c r="AH44" i="166" s="1"/>
  <c r="AI44" i="166" s="1"/>
  <c r="AJ44" i="166" s="1"/>
  <c r="AK44" i="166" s="1"/>
  <c r="AL44" i="166" s="1"/>
  <c r="AM44" i="166" s="1"/>
  <c r="N40" i="166"/>
  <c r="O40" i="166" s="1"/>
  <c r="P40" i="166" s="1"/>
  <c r="Q40" i="166" s="1"/>
  <c r="R40" i="166" s="1"/>
  <c r="S40" i="166" s="1"/>
  <c r="T40" i="166" s="1"/>
  <c r="U40" i="166" s="1"/>
  <c r="V40" i="166" s="1"/>
  <c r="W40" i="166" s="1"/>
  <c r="X40" i="166" s="1"/>
  <c r="Y40" i="166" s="1"/>
  <c r="Z40" i="166" s="1"/>
  <c r="AA40" i="166" s="1"/>
  <c r="AB40" i="166" s="1"/>
  <c r="AC40" i="166" s="1"/>
  <c r="AD40" i="166" s="1"/>
  <c r="AE40" i="166" s="1"/>
  <c r="AF40" i="166" s="1"/>
  <c r="AG40" i="166" s="1"/>
  <c r="AH40" i="166" s="1"/>
  <c r="AI40" i="166" s="1"/>
  <c r="AJ40" i="166" s="1"/>
  <c r="AK40" i="166" s="1"/>
  <c r="AL40" i="166" s="1"/>
  <c r="AM40" i="166" s="1"/>
  <c r="N33" i="166"/>
  <c r="O33" i="166" s="1"/>
  <c r="P33" i="166" s="1"/>
  <c r="Q33" i="166" s="1"/>
  <c r="R33" i="166" s="1"/>
  <c r="S33" i="166" s="1"/>
  <c r="T33" i="166" s="1"/>
  <c r="U33" i="166" s="1"/>
  <c r="V33" i="166" s="1"/>
  <c r="W33" i="166" s="1"/>
  <c r="X33" i="166" s="1"/>
  <c r="Y33" i="166" s="1"/>
  <c r="Z33" i="166" s="1"/>
  <c r="AA33" i="166" s="1"/>
  <c r="AB33" i="166" s="1"/>
  <c r="AC33" i="166" s="1"/>
  <c r="AD33" i="166" s="1"/>
  <c r="AE33" i="166" s="1"/>
  <c r="AF33" i="166" s="1"/>
  <c r="AG33" i="166" s="1"/>
  <c r="AH33" i="166" s="1"/>
  <c r="AI33" i="166" s="1"/>
  <c r="AJ33" i="166" s="1"/>
  <c r="AK33" i="166" s="1"/>
  <c r="AL33" i="166" s="1"/>
  <c r="AM33" i="166" s="1"/>
  <c r="N21" i="166"/>
  <c r="O21" i="166" s="1"/>
  <c r="P21" i="166" s="1"/>
  <c r="Q21" i="166" s="1"/>
  <c r="R21" i="166" s="1"/>
  <c r="S21" i="166" s="1"/>
  <c r="T21" i="166" s="1"/>
  <c r="U21" i="166" s="1"/>
  <c r="V21" i="166" s="1"/>
  <c r="W21" i="166" s="1"/>
  <c r="X21" i="166" s="1"/>
  <c r="Y21" i="166" s="1"/>
  <c r="Z21" i="166" s="1"/>
  <c r="AA21" i="166" s="1"/>
  <c r="AB21" i="166" s="1"/>
  <c r="AC21" i="166" s="1"/>
  <c r="AD21" i="166" s="1"/>
  <c r="AE21" i="166" s="1"/>
  <c r="AF21" i="166" s="1"/>
  <c r="AG21" i="166" s="1"/>
  <c r="AH21" i="166" s="1"/>
  <c r="AI21" i="166" s="1"/>
  <c r="AJ21" i="166" s="1"/>
  <c r="AK21" i="166" s="1"/>
  <c r="AL21" i="166" s="1"/>
  <c r="AM21" i="166" s="1"/>
  <c r="N19" i="166"/>
  <c r="O19" i="166" s="1"/>
  <c r="P19" i="166" s="1"/>
  <c r="Q19" i="166" s="1"/>
  <c r="R19" i="166" s="1"/>
  <c r="S19" i="166" s="1"/>
  <c r="T19" i="166" s="1"/>
  <c r="U19" i="166" s="1"/>
  <c r="V19" i="166" s="1"/>
  <c r="W19" i="166" s="1"/>
  <c r="X19" i="166" s="1"/>
  <c r="Y19" i="166" s="1"/>
  <c r="Z19" i="166" s="1"/>
  <c r="AA19" i="166" s="1"/>
  <c r="AB19" i="166" s="1"/>
  <c r="AC19" i="166" s="1"/>
  <c r="AD19" i="166" s="1"/>
  <c r="AE19" i="166" s="1"/>
  <c r="AF19" i="166" s="1"/>
  <c r="AG19" i="166" s="1"/>
  <c r="AH19" i="166" s="1"/>
  <c r="AI19" i="166" s="1"/>
  <c r="AJ19" i="166" s="1"/>
  <c r="AK19" i="166" s="1"/>
  <c r="AL19" i="166" s="1"/>
  <c r="AM19" i="166" s="1"/>
  <c r="N18" i="166"/>
  <c r="O18" i="166" s="1"/>
  <c r="P18" i="166" s="1"/>
  <c r="Q18" i="166" s="1"/>
  <c r="R18" i="166" s="1"/>
  <c r="S18" i="166" s="1"/>
  <c r="T18" i="166" s="1"/>
  <c r="U18" i="166" s="1"/>
  <c r="V18" i="166" s="1"/>
  <c r="W18" i="166" s="1"/>
  <c r="X18" i="166" s="1"/>
  <c r="Y18" i="166" s="1"/>
  <c r="Z18" i="166" s="1"/>
  <c r="AA18" i="166" s="1"/>
  <c r="AB18" i="166" s="1"/>
  <c r="AC18" i="166" s="1"/>
  <c r="AD18" i="166" s="1"/>
  <c r="AE18" i="166" s="1"/>
  <c r="AF18" i="166" s="1"/>
  <c r="AG18" i="166" s="1"/>
  <c r="AH18" i="166" s="1"/>
  <c r="AI18" i="166" s="1"/>
  <c r="AJ18" i="166" s="1"/>
  <c r="AK18" i="166" s="1"/>
  <c r="AL18" i="166" s="1"/>
  <c r="AM18" i="166" s="1"/>
  <c r="N14" i="166"/>
  <c r="O14" i="166" s="1"/>
  <c r="P14" i="166" s="1"/>
  <c r="Q14" i="166" s="1"/>
  <c r="R14" i="166" s="1"/>
  <c r="S14" i="166" s="1"/>
  <c r="T14" i="166" s="1"/>
  <c r="U14" i="166" s="1"/>
  <c r="V14" i="166" s="1"/>
  <c r="W14" i="166" s="1"/>
  <c r="X14" i="166" s="1"/>
  <c r="Y14" i="166" s="1"/>
  <c r="Z14" i="166" s="1"/>
  <c r="AA14" i="166" s="1"/>
  <c r="AB14" i="166" s="1"/>
  <c r="AC14" i="166" s="1"/>
  <c r="AD14" i="166" s="1"/>
  <c r="AE14" i="166" s="1"/>
  <c r="AF14" i="166" s="1"/>
  <c r="AG14" i="166" s="1"/>
  <c r="AH14" i="166" s="1"/>
  <c r="AI14" i="166" s="1"/>
  <c r="AJ14" i="166" s="1"/>
  <c r="AK14" i="166" s="1"/>
  <c r="AL14" i="166" s="1"/>
  <c r="AM14" i="166" s="1"/>
  <c r="BI9" i="166"/>
  <c r="BH9" i="166"/>
  <c r="BG9" i="166"/>
  <c r="BF9" i="166"/>
  <c r="BE9" i="166"/>
  <c r="BD9" i="166"/>
  <c r="BC9" i="166"/>
  <c r="BB9" i="166"/>
  <c r="BA9" i="166"/>
  <c r="AZ9" i="166"/>
  <c r="AY9" i="166"/>
  <c r="AX9" i="166"/>
  <c r="AW9" i="166"/>
  <c r="AV9" i="166"/>
  <c r="AU9" i="166"/>
  <c r="BI6" i="166"/>
  <c r="BH6" i="166"/>
  <c r="BG6" i="166"/>
  <c r="BF6" i="166"/>
  <c r="BE6" i="166"/>
  <c r="BD6" i="166"/>
  <c r="BC6" i="166"/>
  <c r="BB6" i="166"/>
  <c r="BA6" i="166"/>
  <c r="AZ6" i="166"/>
  <c r="AY6" i="166"/>
  <c r="AX6" i="166"/>
  <c r="AW6" i="166"/>
  <c r="AV6" i="166"/>
  <c r="AU6" i="166"/>
  <c r="AT6" i="166"/>
  <c r="AS6" i="166"/>
  <c r="AR6" i="166"/>
  <c r="AQ6" i="166"/>
  <c r="AP6" i="166"/>
  <c r="AO6" i="166"/>
  <c r="AN6" i="166"/>
  <c r="AM6" i="166"/>
  <c r="AL6" i="166"/>
  <c r="AK6" i="166"/>
  <c r="AJ6" i="166"/>
  <c r="AI6" i="166"/>
  <c r="AH6" i="166"/>
  <c r="AG6" i="166"/>
  <c r="AF6" i="166"/>
  <c r="AE6" i="166"/>
  <c r="AD6" i="166"/>
  <c r="AC6" i="166"/>
  <c r="AB6" i="166"/>
  <c r="AA6" i="166"/>
  <c r="Z6" i="166"/>
  <c r="Y6" i="166"/>
  <c r="X6" i="166"/>
  <c r="W6" i="166"/>
  <c r="V6" i="166"/>
  <c r="U6" i="166"/>
  <c r="T6" i="166"/>
  <c r="S6" i="166"/>
  <c r="R6" i="166"/>
  <c r="Q6" i="166"/>
  <c r="P6" i="166"/>
  <c r="O6" i="166"/>
  <c r="N6" i="166"/>
  <c r="M6" i="166"/>
  <c r="L6" i="166"/>
  <c r="K6" i="166"/>
  <c r="J6" i="166"/>
  <c r="BI5" i="166"/>
  <c r="BH5" i="166"/>
  <c r="BG5" i="166"/>
  <c r="BF5" i="166"/>
  <c r="BE5" i="166"/>
  <c r="BD5" i="166"/>
  <c r="BC5" i="166"/>
  <c r="BB5" i="166"/>
  <c r="BA5" i="166"/>
  <c r="AZ5" i="166"/>
  <c r="AY5" i="166"/>
  <c r="AX5" i="166"/>
  <c r="AW5" i="166"/>
  <c r="AV5" i="166"/>
  <c r="AU5" i="166"/>
  <c r="AT5" i="166"/>
  <c r="AS5" i="166"/>
  <c r="AR5" i="166"/>
  <c r="AQ5" i="166"/>
  <c r="AP5" i="166"/>
  <c r="AO5" i="166"/>
  <c r="AN5" i="166"/>
  <c r="AM5" i="166"/>
  <c r="AL5" i="166"/>
  <c r="AK5" i="166"/>
  <c r="AJ5" i="166"/>
  <c r="AI5" i="166"/>
  <c r="AH5" i="166"/>
  <c r="AG5" i="166"/>
  <c r="AF5" i="166"/>
  <c r="AE5" i="166"/>
  <c r="AD5" i="166"/>
  <c r="AC5" i="166"/>
  <c r="AB5" i="166"/>
  <c r="AA5" i="166"/>
  <c r="Z5" i="166"/>
  <c r="Y5" i="166"/>
  <c r="X5" i="166"/>
  <c r="W5" i="166"/>
  <c r="V5" i="166"/>
  <c r="U5" i="166"/>
  <c r="T5" i="166"/>
  <c r="S5" i="166"/>
  <c r="R5" i="166"/>
  <c r="Q5" i="166"/>
  <c r="P5" i="166"/>
  <c r="O5" i="166"/>
  <c r="N5" i="166"/>
  <c r="M5" i="166"/>
  <c r="L5" i="166"/>
  <c r="K5" i="166"/>
  <c r="J5" i="166"/>
  <c r="BI4" i="166"/>
  <c r="BH4" i="166"/>
  <c r="BG4" i="166"/>
  <c r="BF4" i="166"/>
  <c r="BE4" i="166"/>
  <c r="BD4" i="166"/>
  <c r="BC4" i="166"/>
  <c r="BB4" i="166"/>
  <c r="BA4" i="166"/>
  <c r="AZ4" i="166"/>
  <c r="AY4" i="166"/>
  <c r="AX4" i="166"/>
  <c r="AW4" i="166"/>
  <c r="AV4" i="166"/>
  <c r="AU4" i="166"/>
  <c r="AT4" i="166"/>
  <c r="AS4" i="166"/>
  <c r="AR4" i="166"/>
  <c r="AQ4" i="166"/>
  <c r="AP4" i="166"/>
  <c r="AO4" i="166"/>
  <c r="AN4" i="166"/>
  <c r="AM4" i="166"/>
  <c r="AL4" i="166"/>
  <c r="AK4" i="166"/>
  <c r="AJ4" i="166"/>
  <c r="AI4" i="166"/>
  <c r="AH4" i="166"/>
  <c r="AG4" i="166"/>
  <c r="AF4" i="166"/>
  <c r="AE4" i="166"/>
  <c r="AD4" i="166"/>
  <c r="AC4" i="166"/>
  <c r="AB4" i="166"/>
  <c r="AA4" i="166"/>
  <c r="Z4" i="166"/>
  <c r="Y4" i="166"/>
  <c r="X4" i="166"/>
  <c r="W4" i="166"/>
  <c r="V4" i="166"/>
  <c r="U4" i="166"/>
  <c r="T4" i="166"/>
  <c r="S4" i="166"/>
  <c r="R4" i="166"/>
  <c r="Q4" i="166"/>
  <c r="P4" i="166"/>
  <c r="O4" i="166"/>
  <c r="N4" i="166"/>
  <c r="M4" i="166"/>
  <c r="L4" i="166"/>
  <c r="K4" i="166"/>
  <c r="J4" i="166"/>
  <c r="BI3" i="166"/>
  <c r="BH3" i="166"/>
  <c r="BG3" i="166"/>
  <c r="BF3" i="166"/>
  <c r="BE3" i="166"/>
  <c r="BD3" i="166"/>
  <c r="BC3" i="166"/>
  <c r="BB3" i="166"/>
  <c r="BA3" i="166"/>
  <c r="AZ3" i="166"/>
  <c r="AY3" i="166"/>
  <c r="AX3" i="166"/>
  <c r="AW3" i="166"/>
  <c r="AV3" i="166"/>
  <c r="AU3" i="166"/>
  <c r="BF7" i="166" l="1"/>
  <c r="AL7" i="166"/>
  <c r="O28" i="166"/>
  <c r="N293" i="166"/>
  <c r="O152" i="166"/>
  <c r="N285" i="166"/>
  <c r="O41" i="166"/>
  <c r="N286" i="166"/>
  <c r="O57" i="166"/>
  <c r="N299" i="166"/>
  <c r="O30" i="166"/>
  <c r="N294" i="166"/>
  <c r="O79" i="166"/>
  <c r="N291" i="166"/>
  <c r="O147" i="166"/>
  <c r="N290" i="166"/>
  <c r="N295" i="166"/>
  <c r="O22" i="166"/>
  <c r="N296" i="166"/>
  <c r="O136" i="166"/>
  <c r="N289" i="166"/>
  <c r="N11" i="166"/>
  <c r="O23" i="166"/>
  <c r="N297" i="166"/>
  <c r="O94" i="166"/>
  <c r="N292" i="166"/>
  <c r="O24" i="166"/>
  <c r="N298" i="166"/>
  <c r="O115" i="166"/>
  <c r="N288" i="166"/>
  <c r="I27" i="173"/>
  <c r="J27" i="173"/>
  <c r="H27" i="173"/>
  <c r="H33" i="136"/>
  <c r="BC7" i="166"/>
  <c r="M7" i="166"/>
  <c r="AS7" i="166"/>
  <c r="BE7" i="166"/>
  <c r="BD7" i="166"/>
  <c r="AW7" i="166"/>
  <c r="AX7" i="166"/>
  <c r="AY7" i="166"/>
  <c r="AV7" i="166"/>
  <c r="N7" i="166"/>
  <c r="O7" i="166"/>
  <c r="S7" i="166"/>
  <c r="Q7" i="166"/>
  <c r="P7" i="166"/>
  <c r="R7" i="166"/>
  <c r="AJ7" i="166"/>
  <c r="AK7" i="166"/>
  <c r="AI7" i="166"/>
  <c r="D321" i="166"/>
  <c r="BG7" i="166"/>
  <c r="AB7" i="166"/>
  <c r="AA7" i="166"/>
  <c r="AM7" i="166"/>
  <c r="BH7" i="166"/>
  <c r="AC7" i="166"/>
  <c r="BI7" i="166"/>
  <c r="AD7" i="166"/>
  <c r="AE7" i="166"/>
  <c r="AU7" i="166"/>
  <c r="AT7" i="166"/>
  <c r="AN7" i="166"/>
  <c r="T7" i="166"/>
  <c r="AZ7" i="166"/>
  <c r="AF7" i="166"/>
  <c r="AO7" i="166"/>
  <c r="U7" i="166"/>
  <c r="BA7" i="166"/>
  <c r="AG7" i="166"/>
  <c r="J7" i="166"/>
  <c r="AP7" i="166"/>
  <c r="V7" i="166"/>
  <c r="BB7" i="166"/>
  <c r="AH7" i="166"/>
  <c r="K7" i="166"/>
  <c r="AQ7" i="166"/>
  <c r="L7" i="166"/>
  <c r="AR7" i="166"/>
  <c r="O66" i="166"/>
  <c r="P66" i="166" s="1"/>
  <c r="Q66" i="166" s="1"/>
  <c r="R66" i="166" s="1"/>
  <c r="S66" i="166" s="1"/>
  <c r="T66" i="166" s="1"/>
  <c r="U66" i="166" s="1"/>
  <c r="V66" i="166" s="1"/>
  <c r="W66" i="166" s="1"/>
  <c r="X66" i="166" s="1"/>
  <c r="Y66" i="166" s="1"/>
  <c r="Z66" i="166" s="1"/>
  <c r="AA66" i="166" s="1"/>
  <c r="AB66" i="166" s="1"/>
  <c r="AC66" i="166" s="1"/>
  <c r="AD66" i="166" s="1"/>
  <c r="AE66" i="166" s="1"/>
  <c r="AF66" i="166" s="1"/>
  <c r="AG66" i="166" s="1"/>
  <c r="AH66" i="166" s="1"/>
  <c r="AI66" i="166" s="1"/>
  <c r="AJ66" i="166" s="1"/>
  <c r="AK66" i="166" s="1"/>
  <c r="AL66" i="166" s="1"/>
  <c r="AM66" i="166" s="1"/>
  <c r="O68" i="166"/>
  <c r="P68" i="166" s="1"/>
  <c r="Q68" i="166" s="1"/>
  <c r="R68" i="166" s="1"/>
  <c r="S68" i="166" s="1"/>
  <c r="T68" i="166" s="1"/>
  <c r="U68" i="166" s="1"/>
  <c r="V68" i="166" s="1"/>
  <c r="W68" i="166" s="1"/>
  <c r="X68" i="166" s="1"/>
  <c r="Y68" i="166" s="1"/>
  <c r="Z68" i="166" s="1"/>
  <c r="AA68" i="166" s="1"/>
  <c r="AB68" i="166" s="1"/>
  <c r="AC68" i="166" s="1"/>
  <c r="AD68" i="166" s="1"/>
  <c r="AE68" i="166" s="1"/>
  <c r="AF68" i="166" s="1"/>
  <c r="AG68" i="166" s="1"/>
  <c r="AH68" i="166" s="1"/>
  <c r="AI68" i="166" s="1"/>
  <c r="AJ68" i="166" s="1"/>
  <c r="AK68" i="166" s="1"/>
  <c r="AL68" i="166" s="1"/>
  <c r="AM68" i="166" s="1"/>
  <c r="O20" i="166"/>
  <c r="W7" i="166"/>
  <c r="X7" i="166"/>
  <c r="Y7" i="166"/>
  <c r="Z7" i="166"/>
  <c r="N180" i="135"/>
  <c r="O180" i="135" s="1"/>
  <c r="P180" i="135" s="1"/>
  <c r="Q180" i="135" s="1"/>
  <c r="R180" i="135" s="1"/>
  <c r="S180" i="135" s="1"/>
  <c r="T180" i="135" s="1"/>
  <c r="U180" i="135" s="1"/>
  <c r="V180" i="135" s="1"/>
  <c r="W180" i="135" s="1"/>
  <c r="X180" i="135" s="1"/>
  <c r="Y180" i="135" s="1"/>
  <c r="Z180" i="135" s="1"/>
  <c r="AA180" i="135" s="1"/>
  <c r="AB180" i="135" s="1"/>
  <c r="AC180" i="135" s="1"/>
  <c r="AD180" i="135" s="1"/>
  <c r="AE180" i="135" s="1"/>
  <c r="AF180" i="135" s="1"/>
  <c r="N179" i="135"/>
  <c r="O179" i="135" s="1"/>
  <c r="P179" i="135" s="1"/>
  <c r="Q179" i="135" s="1"/>
  <c r="R179" i="135" s="1"/>
  <c r="S179" i="135" s="1"/>
  <c r="T179" i="135" s="1"/>
  <c r="U179" i="135" s="1"/>
  <c r="V179" i="135" s="1"/>
  <c r="W179" i="135" s="1"/>
  <c r="X179" i="135" s="1"/>
  <c r="Y179" i="135" s="1"/>
  <c r="Z179" i="135" s="1"/>
  <c r="AA179" i="135" s="1"/>
  <c r="AB179" i="135" s="1"/>
  <c r="AC179" i="135" s="1"/>
  <c r="AD179" i="135" s="1"/>
  <c r="AE179" i="135" s="1"/>
  <c r="AF179" i="135" s="1"/>
  <c r="N178" i="135"/>
  <c r="O178" i="135" s="1"/>
  <c r="P178" i="135" s="1"/>
  <c r="Q178" i="135" s="1"/>
  <c r="R178" i="135" s="1"/>
  <c r="S178" i="135" s="1"/>
  <c r="T178" i="135" s="1"/>
  <c r="U178" i="135" s="1"/>
  <c r="V178" i="135" s="1"/>
  <c r="W178" i="135" s="1"/>
  <c r="X178" i="135" s="1"/>
  <c r="Y178" i="135" s="1"/>
  <c r="Z178" i="135" s="1"/>
  <c r="AA178" i="135" s="1"/>
  <c r="AB178" i="135" s="1"/>
  <c r="AC178" i="135" s="1"/>
  <c r="AD178" i="135" s="1"/>
  <c r="AE178" i="135" s="1"/>
  <c r="AF178" i="135" s="1"/>
  <c r="N177" i="135"/>
  <c r="O177" i="135" s="1"/>
  <c r="P177" i="135" s="1"/>
  <c r="Q177" i="135" s="1"/>
  <c r="R177" i="135" s="1"/>
  <c r="S177" i="135" s="1"/>
  <c r="T177" i="135" s="1"/>
  <c r="U177" i="135" s="1"/>
  <c r="V177" i="135" s="1"/>
  <c r="W177" i="135" s="1"/>
  <c r="X177" i="135" s="1"/>
  <c r="Y177" i="135" s="1"/>
  <c r="Z177" i="135" s="1"/>
  <c r="AA177" i="135" s="1"/>
  <c r="AB177" i="135" s="1"/>
  <c r="AC177" i="135" s="1"/>
  <c r="AD177" i="135" s="1"/>
  <c r="AE177" i="135" s="1"/>
  <c r="AF177" i="135" s="1"/>
  <c r="N176" i="135"/>
  <c r="O176" i="135" s="1"/>
  <c r="P176" i="135" s="1"/>
  <c r="Q176" i="135" s="1"/>
  <c r="R176" i="135" s="1"/>
  <c r="S176" i="135" s="1"/>
  <c r="T176" i="135" s="1"/>
  <c r="U176" i="135" s="1"/>
  <c r="V176" i="135" s="1"/>
  <c r="W176" i="135" s="1"/>
  <c r="X176" i="135" s="1"/>
  <c r="Y176" i="135" s="1"/>
  <c r="Z176" i="135" s="1"/>
  <c r="AA176" i="135" s="1"/>
  <c r="AB176" i="135" s="1"/>
  <c r="AC176" i="135" s="1"/>
  <c r="AD176" i="135" s="1"/>
  <c r="AE176" i="135" s="1"/>
  <c r="AF176" i="135" s="1"/>
  <c r="N175" i="135"/>
  <c r="O175" i="135" s="1"/>
  <c r="P175" i="135" s="1"/>
  <c r="Q175" i="135" s="1"/>
  <c r="R175" i="135" s="1"/>
  <c r="S175" i="135" s="1"/>
  <c r="T175" i="135" s="1"/>
  <c r="U175" i="135" s="1"/>
  <c r="V175" i="135" s="1"/>
  <c r="W175" i="135" s="1"/>
  <c r="X175" i="135" s="1"/>
  <c r="Y175" i="135" s="1"/>
  <c r="Z175" i="135" s="1"/>
  <c r="AA175" i="135" s="1"/>
  <c r="AB175" i="135" s="1"/>
  <c r="AC175" i="135" s="1"/>
  <c r="AD175" i="135" s="1"/>
  <c r="AE175" i="135" s="1"/>
  <c r="AF175" i="135" s="1"/>
  <c r="N174" i="135"/>
  <c r="N173" i="135"/>
  <c r="O173" i="135" s="1"/>
  <c r="P173" i="135" s="1"/>
  <c r="Q173" i="135" s="1"/>
  <c r="R173" i="135" s="1"/>
  <c r="S173" i="135" s="1"/>
  <c r="T173" i="135" s="1"/>
  <c r="U173" i="135" s="1"/>
  <c r="V173" i="135" s="1"/>
  <c r="W173" i="135" s="1"/>
  <c r="X173" i="135" s="1"/>
  <c r="Y173" i="135" s="1"/>
  <c r="Z173" i="135" s="1"/>
  <c r="AA173" i="135" s="1"/>
  <c r="AB173" i="135" s="1"/>
  <c r="AC173" i="135" s="1"/>
  <c r="AD173" i="135" s="1"/>
  <c r="AE173" i="135" s="1"/>
  <c r="AF173" i="135" s="1"/>
  <c r="N172" i="135"/>
  <c r="O172" i="135" s="1"/>
  <c r="P172" i="135" s="1"/>
  <c r="Q172" i="135" s="1"/>
  <c r="R172" i="135" s="1"/>
  <c r="S172" i="135" s="1"/>
  <c r="T172" i="135" s="1"/>
  <c r="U172" i="135" s="1"/>
  <c r="V172" i="135" s="1"/>
  <c r="W172" i="135" s="1"/>
  <c r="X172" i="135" s="1"/>
  <c r="Y172" i="135" s="1"/>
  <c r="Z172" i="135" s="1"/>
  <c r="AA172" i="135" s="1"/>
  <c r="AB172" i="135" s="1"/>
  <c r="AC172" i="135" s="1"/>
  <c r="AD172" i="135" s="1"/>
  <c r="AE172" i="135" s="1"/>
  <c r="AF172" i="135" s="1"/>
  <c r="N171" i="135"/>
  <c r="O171" i="135" s="1"/>
  <c r="P171" i="135" s="1"/>
  <c r="Q171" i="135" s="1"/>
  <c r="R171" i="135" s="1"/>
  <c r="S171" i="135" s="1"/>
  <c r="T171" i="135" s="1"/>
  <c r="U171" i="135" s="1"/>
  <c r="V171" i="135" s="1"/>
  <c r="W171" i="135" s="1"/>
  <c r="X171" i="135" s="1"/>
  <c r="Y171" i="135" s="1"/>
  <c r="Z171" i="135" s="1"/>
  <c r="AA171" i="135" s="1"/>
  <c r="AB171" i="135" s="1"/>
  <c r="AC171" i="135" s="1"/>
  <c r="AD171" i="135" s="1"/>
  <c r="AE171" i="135" s="1"/>
  <c r="AF171" i="135" s="1"/>
  <c r="N170" i="135"/>
  <c r="O170" i="135" s="1"/>
  <c r="P170" i="135" s="1"/>
  <c r="Q170" i="135" s="1"/>
  <c r="R170" i="135" s="1"/>
  <c r="S170" i="135" s="1"/>
  <c r="T170" i="135" s="1"/>
  <c r="U170" i="135" s="1"/>
  <c r="V170" i="135" s="1"/>
  <c r="W170" i="135" s="1"/>
  <c r="X170" i="135" s="1"/>
  <c r="Y170" i="135" s="1"/>
  <c r="Z170" i="135" s="1"/>
  <c r="AA170" i="135" s="1"/>
  <c r="AB170" i="135" s="1"/>
  <c r="AC170" i="135" s="1"/>
  <c r="AD170" i="135" s="1"/>
  <c r="AE170" i="135" s="1"/>
  <c r="AF170" i="135" s="1"/>
  <c r="N169" i="135"/>
  <c r="O169" i="135" s="1"/>
  <c r="P169" i="135" s="1"/>
  <c r="Q169" i="135" s="1"/>
  <c r="R169" i="135" s="1"/>
  <c r="S169" i="135" s="1"/>
  <c r="T169" i="135" s="1"/>
  <c r="U169" i="135" s="1"/>
  <c r="V169" i="135" s="1"/>
  <c r="W169" i="135" s="1"/>
  <c r="X169" i="135" s="1"/>
  <c r="Y169" i="135" s="1"/>
  <c r="Z169" i="135" s="1"/>
  <c r="AA169" i="135" s="1"/>
  <c r="AB169" i="135" s="1"/>
  <c r="AC169" i="135" s="1"/>
  <c r="AD169" i="135" s="1"/>
  <c r="AE169" i="135" s="1"/>
  <c r="AF169" i="135" s="1"/>
  <c r="N168" i="135"/>
  <c r="O168" i="135" s="1"/>
  <c r="P168" i="135" s="1"/>
  <c r="Q168" i="135" s="1"/>
  <c r="R168" i="135" s="1"/>
  <c r="S168" i="135" s="1"/>
  <c r="T168" i="135" s="1"/>
  <c r="U168" i="135" s="1"/>
  <c r="V168" i="135" s="1"/>
  <c r="W168" i="135" s="1"/>
  <c r="X168" i="135" s="1"/>
  <c r="Y168" i="135" s="1"/>
  <c r="Z168" i="135" s="1"/>
  <c r="AA168" i="135" s="1"/>
  <c r="AB168" i="135" s="1"/>
  <c r="AC168" i="135" s="1"/>
  <c r="AD168" i="135" s="1"/>
  <c r="AE168" i="135" s="1"/>
  <c r="AF168" i="135" s="1"/>
  <c r="N167" i="135"/>
  <c r="O167" i="135" s="1"/>
  <c r="P167" i="135" s="1"/>
  <c r="Q167" i="135" s="1"/>
  <c r="R167" i="135" s="1"/>
  <c r="S167" i="135" s="1"/>
  <c r="T167" i="135" s="1"/>
  <c r="U167" i="135" s="1"/>
  <c r="V167" i="135" s="1"/>
  <c r="W167" i="135" s="1"/>
  <c r="X167" i="135" s="1"/>
  <c r="Y167" i="135" s="1"/>
  <c r="Z167" i="135" s="1"/>
  <c r="AA167" i="135" s="1"/>
  <c r="AB167" i="135" s="1"/>
  <c r="AC167" i="135" s="1"/>
  <c r="AD167" i="135" s="1"/>
  <c r="AE167" i="135" s="1"/>
  <c r="AF167" i="135" s="1"/>
  <c r="N166" i="135"/>
  <c r="O166" i="135" s="1"/>
  <c r="P166" i="135" s="1"/>
  <c r="Q166" i="135" s="1"/>
  <c r="R166" i="135" s="1"/>
  <c r="S166" i="135" s="1"/>
  <c r="T166" i="135" s="1"/>
  <c r="U166" i="135" s="1"/>
  <c r="V166" i="135" s="1"/>
  <c r="W166" i="135" s="1"/>
  <c r="X166" i="135" s="1"/>
  <c r="Y166" i="135" s="1"/>
  <c r="Z166" i="135" s="1"/>
  <c r="AA166" i="135" s="1"/>
  <c r="AB166" i="135" s="1"/>
  <c r="AC166" i="135" s="1"/>
  <c r="AD166" i="135" s="1"/>
  <c r="AE166" i="135" s="1"/>
  <c r="AF166" i="135" s="1"/>
  <c r="N165" i="135"/>
  <c r="O165" i="135" s="1"/>
  <c r="P165" i="135" s="1"/>
  <c r="Q165" i="135" s="1"/>
  <c r="R165" i="135" s="1"/>
  <c r="S165" i="135" s="1"/>
  <c r="T165" i="135" s="1"/>
  <c r="U165" i="135" s="1"/>
  <c r="V165" i="135" s="1"/>
  <c r="W165" i="135" s="1"/>
  <c r="X165" i="135" s="1"/>
  <c r="Y165" i="135" s="1"/>
  <c r="Z165" i="135" s="1"/>
  <c r="AA165" i="135" s="1"/>
  <c r="AB165" i="135" s="1"/>
  <c r="AC165" i="135" s="1"/>
  <c r="AD165" i="135" s="1"/>
  <c r="AE165" i="135" s="1"/>
  <c r="AF165" i="135" s="1"/>
  <c r="N164" i="135"/>
  <c r="N148" i="135"/>
  <c r="O148" i="135" s="1"/>
  <c r="P148" i="135" s="1"/>
  <c r="Q148" i="135" s="1"/>
  <c r="R148" i="135" s="1"/>
  <c r="S148" i="135" s="1"/>
  <c r="T148" i="135" s="1"/>
  <c r="U148" i="135" s="1"/>
  <c r="V148" i="135" s="1"/>
  <c r="W148" i="135" s="1"/>
  <c r="X148" i="135" s="1"/>
  <c r="Y148" i="135" s="1"/>
  <c r="Z148" i="135" s="1"/>
  <c r="AA148" i="135" s="1"/>
  <c r="AB148" i="135" s="1"/>
  <c r="AC148" i="135" s="1"/>
  <c r="AD148" i="135" s="1"/>
  <c r="AE148" i="135" s="1"/>
  <c r="AF148" i="135" s="1"/>
  <c r="N147" i="135"/>
  <c r="N146" i="135"/>
  <c r="O146" i="135" s="1"/>
  <c r="P146" i="135" s="1"/>
  <c r="Q146" i="135" s="1"/>
  <c r="R146" i="135" s="1"/>
  <c r="S146" i="135" s="1"/>
  <c r="T146" i="135" s="1"/>
  <c r="U146" i="135" s="1"/>
  <c r="V146" i="135" s="1"/>
  <c r="W146" i="135" s="1"/>
  <c r="X146" i="135" s="1"/>
  <c r="Y146" i="135" s="1"/>
  <c r="Z146" i="135" s="1"/>
  <c r="AA146" i="135" s="1"/>
  <c r="AB146" i="135" s="1"/>
  <c r="AC146" i="135" s="1"/>
  <c r="AD146" i="135" s="1"/>
  <c r="AE146" i="135" s="1"/>
  <c r="AF146" i="135" s="1"/>
  <c r="N139" i="135"/>
  <c r="O139" i="135" s="1"/>
  <c r="P139" i="135" s="1"/>
  <c r="Q139" i="135" s="1"/>
  <c r="R139" i="135" s="1"/>
  <c r="S139" i="135" s="1"/>
  <c r="T139" i="135" s="1"/>
  <c r="U139" i="135" s="1"/>
  <c r="V139" i="135" s="1"/>
  <c r="W139" i="135" s="1"/>
  <c r="X139" i="135" s="1"/>
  <c r="Y139" i="135" s="1"/>
  <c r="Z139" i="135" s="1"/>
  <c r="AA139" i="135" s="1"/>
  <c r="AB139" i="135" s="1"/>
  <c r="AC139" i="135" s="1"/>
  <c r="AD139" i="135" s="1"/>
  <c r="AE139" i="135" s="1"/>
  <c r="AF139" i="135" s="1"/>
  <c r="N138" i="135"/>
  <c r="N133" i="135"/>
  <c r="O133" i="135" s="1"/>
  <c r="P133" i="135" s="1"/>
  <c r="Q133" i="135" s="1"/>
  <c r="R133" i="135" s="1"/>
  <c r="S133" i="135" s="1"/>
  <c r="T133" i="135" s="1"/>
  <c r="U133" i="135" s="1"/>
  <c r="V133" i="135" s="1"/>
  <c r="W133" i="135" s="1"/>
  <c r="X133" i="135" s="1"/>
  <c r="Y133" i="135" s="1"/>
  <c r="Z133" i="135" s="1"/>
  <c r="AA133" i="135" s="1"/>
  <c r="AB133" i="135" s="1"/>
  <c r="AC133" i="135" s="1"/>
  <c r="AD133" i="135" s="1"/>
  <c r="AE133" i="135" s="1"/>
  <c r="AF133" i="135" s="1"/>
  <c r="N132" i="135"/>
  <c r="O132" i="135" s="1"/>
  <c r="P132" i="135" s="1"/>
  <c r="Q132" i="135" s="1"/>
  <c r="R132" i="135" s="1"/>
  <c r="S132" i="135" s="1"/>
  <c r="T132" i="135" s="1"/>
  <c r="U132" i="135" s="1"/>
  <c r="V132" i="135" s="1"/>
  <c r="W132" i="135" s="1"/>
  <c r="X132" i="135" s="1"/>
  <c r="Y132" i="135" s="1"/>
  <c r="Z132" i="135" s="1"/>
  <c r="AA132" i="135" s="1"/>
  <c r="AB132" i="135" s="1"/>
  <c r="AC132" i="135" s="1"/>
  <c r="AD132" i="135" s="1"/>
  <c r="AE132" i="135" s="1"/>
  <c r="AF132" i="135" s="1"/>
  <c r="N131" i="135"/>
  <c r="O131" i="135" s="1"/>
  <c r="P131" i="135" s="1"/>
  <c r="Q131" i="135" s="1"/>
  <c r="R131" i="135" s="1"/>
  <c r="S131" i="135" s="1"/>
  <c r="T131" i="135" s="1"/>
  <c r="U131" i="135" s="1"/>
  <c r="V131" i="135" s="1"/>
  <c r="W131" i="135" s="1"/>
  <c r="X131" i="135" s="1"/>
  <c r="Y131" i="135" s="1"/>
  <c r="Z131" i="135" s="1"/>
  <c r="AA131" i="135" s="1"/>
  <c r="AB131" i="135" s="1"/>
  <c r="AC131" i="135" s="1"/>
  <c r="AD131" i="135" s="1"/>
  <c r="AE131" i="135" s="1"/>
  <c r="AF131" i="135" s="1"/>
  <c r="N130" i="135"/>
  <c r="O130" i="135" s="1"/>
  <c r="P130" i="135" s="1"/>
  <c r="Q130" i="135" s="1"/>
  <c r="R130" i="135" s="1"/>
  <c r="S130" i="135" s="1"/>
  <c r="T130" i="135" s="1"/>
  <c r="U130" i="135" s="1"/>
  <c r="V130" i="135" s="1"/>
  <c r="W130" i="135" s="1"/>
  <c r="X130" i="135" s="1"/>
  <c r="Y130" i="135" s="1"/>
  <c r="Z130" i="135" s="1"/>
  <c r="AA130" i="135" s="1"/>
  <c r="AB130" i="135" s="1"/>
  <c r="AC130" i="135" s="1"/>
  <c r="AD130" i="135" s="1"/>
  <c r="AE130" i="135" s="1"/>
  <c r="AF130" i="135" s="1"/>
  <c r="N129" i="135"/>
  <c r="O129" i="135" s="1"/>
  <c r="P129" i="135" s="1"/>
  <c r="Q129" i="135" s="1"/>
  <c r="R129" i="135" s="1"/>
  <c r="S129" i="135" s="1"/>
  <c r="T129" i="135" s="1"/>
  <c r="U129" i="135" s="1"/>
  <c r="V129" i="135" s="1"/>
  <c r="W129" i="135" s="1"/>
  <c r="X129" i="135" s="1"/>
  <c r="Y129" i="135" s="1"/>
  <c r="Z129" i="135" s="1"/>
  <c r="AA129" i="135" s="1"/>
  <c r="AB129" i="135" s="1"/>
  <c r="AC129" i="135" s="1"/>
  <c r="AD129" i="135" s="1"/>
  <c r="AE129" i="135" s="1"/>
  <c r="AF129" i="135" s="1"/>
  <c r="N128" i="135"/>
  <c r="O128" i="135" s="1"/>
  <c r="P128" i="135" s="1"/>
  <c r="Q128" i="135" s="1"/>
  <c r="R128" i="135" s="1"/>
  <c r="S128" i="135" s="1"/>
  <c r="T128" i="135" s="1"/>
  <c r="U128" i="135" s="1"/>
  <c r="V128" i="135" s="1"/>
  <c r="W128" i="135" s="1"/>
  <c r="X128" i="135" s="1"/>
  <c r="Y128" i="135" s="1"/>
  <c r="Z128" i="135" s="1"/>
  <c r="AA128" i="135" s="1"/>
  <c r="AB128" i="135" s="1"/>
  <c r="AC128" i="135" s="1"/>
  <c r="AD128" i="135" s="1"/>
  <c r="AE128" i="135" s="1"/>
  <c r="AF128" i="135" s="1"/>
  <c r="N127" i="135"/>
  <c r="O127" i="135" s="1"/>
  <c r="P127" i="135" s="1"/>
  <c r="Q127" i="135" s="1"/>
  <c r="R127" i="135" s="1"/>
  <c r="S127" i="135" s="1"/>
  <c r="T127" i="135" s="1"/>
  <c r="U127" i="135" s="1"/>
  <c r="V127" i="135" s="1"/>
  <c r="W127" i="135" s="1"/>
  <c r="X127" i="135" s="1"/>
  <c r="Y127" i="135" s="1"/>
  <c r="Z127" i="135" s="1"/>
  <c r="AA127" i="135" s="1"/>
  <c r="AB127" i="135" s="1"/>
  <c r="AC127" i="135" s="1"/>
  <c r="AD127" i="135" s="1"/>
  <c r="AE127" i="135" s="1"/>
  <c r="AF127" i="135" s="1"/>
  <c r="N126" i="135"/>
  <c r="O126" i="135" s="1"/>
  <c r="P126" i="135" s="1"/>
  <c r="Q126" i="135" s="1"/>
  <c r="R126" i="135" s="1"/>
  <c r="S126" i="135" s="1"/>
  <c r="T126" i="135" s="1"/>
  <c r="U126" i="135" s="1"/>
  <c r="V126" i="135" s="1"/>
  <c r="W126" i="135" s="1"/>
  <c r="X126" i="135" s="1"/>
  <c r="Y126" i="135" s="1"/>
  <c r="Z126" i="135" s="1"/>
  <c r="AA126" i="135" s="1"/>
  <c r="AB126" i="135" s="1"/>
  <c r="AC126" i="135" s="1"/>
  <c r="AD126" i="135" s="1"/>
  <c r="AE126" i="135" s="1"/>
  <c r="AF126" i="135" s="1"/>
  <c r="N125" i="135"/>
  <c r="O125" i="135" s="1"/>
  <c r="P125" i="135" s="1"/>
  <c r="Q125" i="135" s="1"/>
  <c r="R125" i="135" s="1"/>
  <c r="S125" i="135" s="1"/>
  <c r="T125" i="135" s="1"/>
  <c r="U125" i="135" s="1"/>
  <c r="V125" i="135" s="1"/>
  <c r="W125" i="135" s="1"/>
  <c r="X125" i="135" s="1"/>
  <c r="Y125" i="135" s="1"/>
  <c r="Z125" i="135" s="1"/>
  <c r="AA125" i="135" s="1"/>
  <c r="AB125" i="135" s="1"/>
  <c r="AC125" i="135" s="1"/>
  <c r="AD125" i="135" s="1"/>
  <c r="AE125" i="135" s="1"/>
  <c r="AF125" i="135" s="1"/>
  <c r="N124" i="135"/>
  <c r="O124" i="135" s="1"/>
  <c r="P124" i="135" s="1"/>
  <c r="Q124" i="135" s="1"/>
  <c r="R124" i="135" s="1"/>
  <c r="S124" i="135" s="1"/>
  <c r="T124" i="135" s="1"/>
  <c r="U124" i="135" s="1"/>
  <c r="V124" i="135" s="1"/>
  <c r="W124" i="135" s="1"/>
  <c r="X124" i="135" s="1"/>
  <c r="Y124" i="135" s="1"/>
  <c r="Z124" i="135" s="1"/>
  <c r="AA124" i="135" s="1"/>
  <c r="AB124" i="135" s="1"/>
  <c r="AC124" i="135" s="1"/>
  <c r="AD124" i="135" s="1"/>
  <c r="AE124" i="135" s="1"/>
  <c r="AF124" i="135" s="1"/>
  <c r="N123" i="135"/>
  <c r="O123" i="135" s="1"/>
  <c r="P123" i="135" s="1"/>
  <c r="Q123" i="135" s="1"/>
  <c r="R123" i="135" s="1"/>
  <c r="S123" i="135" s="1"/>
  <c r="T123" i="135" s="1"/>
  <c r="U123" i="135" s="1"/>
  <c r="V123" i="135" s="1"/>
  <c r="W123" i="135" s="1"/>
  <c r="X123" i="135" s="1"/>
  <c r="Y123" i="135" s="1"/>
  <c r="Z123" i="135" s="1"/>
  <c r="AA123" i="135" s="1"/>
  <c r="AB123" i="135" s="1"/>
  <c r="AC123" i="135" s="1"/>
  <c r="AD123" i="135" s="1"/>
  <c r="AE123" i="135" s="1"/>
  <c r="AF123" i="135" s="1"/>
  <c r="N122" i="135"/>
  <c r="O122" i="135" s="1"/>
  <c r="P122" i="135" s="1"/>
  <c r="Q122" i="135" s="1"/>
  <c r="R122" i="135" s="1"/>
  <c r="S122" i="135" s="1"/>
  <c r="T122" i="135" s="1"/>
  <c r="U122" i="135" s="1"/>
  <c r="V122" i="135" s="1"/>
  <c r="W122" i="135" s="1"/>
  <c r="X122" i="135" s="1"/>
  <c r="Y122" i="135" s="1"/>
  <c r="Z122" i="135" s="1"/>
  <c r="AA122" i="135" s="1"/>
  <c r="AB122" i="135" s="1"/>
  <c r="AC122" i="135" s="1"/>
  <c r="AD122" i="135" s="1"/>
  <c r="AE122" i="135" s="1"/>
  <c r="AF122" i="135" s="1"/>
  <c r="N121" i="135"/>
  <c r="O121" i="135" s="1"/>
  <c r="P121" i="135" s="1"/>
  <c r="Q121" i="135" s="1"/>
  <c r="R121" i="135" s="1"/>
  <c r="S121" i="135" s="1"/>
  <c r="T121" i="135" s="1"/>
  <c r="U121" i="135" s="1"/>
  <c r="V121" i="135" s="1"/>
  <c r="W121" i="135" s="1"/>
  <c r="X121" i="135" s="1"/>
  <c r="Y121" i="135" s="1"/>
  <c r="Z121" i="135" s="1"/>
  <c r="AA121" i="135" s="1"/>
  <c r="AB121" i="135" s="1"/>
  <c r="AC121" i="135" s="1"/>
  <c r="AD121" i="135" s="1"/>
  <c r="AE121" i="135" s="1"/>
  <c r="AF121" i="135" s="1"/>
  <c r="N120" i="135"/>
  <c r="O120" i="135" s="1"/>
  <c r="P120" i="135" s="1"/>
  <c r="Q120" i="135" s="1"/>
  <c r="R120" i="135" s="1"/>
  <c r="S120" i="135" s="1"/>
  <c r="T120" i="135" s="1"/>
  <c r="U120" i="135" s="1"/>
  <c r="V120" i="135" s="1"/>
  <c r="W120" i="135" s="1"/>
  <c r="X120" i="135" s="1"/>
  <c r="Y120" i="135" s="1"/>
  <c r="Z120" i="135" s="1"/>
  <c r="AA120" i="135" s="1"/>
  <c r="AB120" i="135" s="1"/>
  <c r="AC120" i="135" s="1"/>
  <c r="AD120" i="135" s="1"/>
  <c r="AE120" i="135" s="1"/>
  <c r="AF120" i="135" s="1"/>
  <c r="N119" i="135"/>
  <c r="O119" i="135" s="1"/>
  <c r="P119" i="135" s="1"/>
  <c r="Q119" i="135" s="1"/>
  <c r="R119" i="135" s="1"/>
  <c r="S119" i="135" s="1"/>
  <c r="T119" i="135" s="1"/>
  <c r="U119" i="135" s="1"/>
  <c r="V119" i="135" s="1"/>
  <c r="W119" i="135" s="1"/>
  <c r="X119" i="135" s="1"/>
  <c r="Y119" i="135" s="1"/>
  <c r="Z119" i="135" s="1"/>
  <c r="AA119" i="135" s="1"/>
  <c r="AB119" i="135" s="1"/>
  <c r="AC119" i="135" s="1"/>
  <c r="AD119" i="135" s="1"/>
  <c r="AE119" i="135" s="1"/>
  <c r="AF119" i="135" s="1"/>
  <c r="N118" i="135"/>
  <c r="O118" i="135" s="1"/>
  <c r="P118" i="135" s="1"/>
  <c r="Q118" i="135" s="1"/>
  <c r="R118" i="135" s="1"/>
  <c r="S118" i="135" s="1"/>
  <c r="T118" i="135" s="1"/>
  <c r="U118" i="135" s="1"/>
  <c r="V118" i="135" s="1"/>
  <c r="W118" i="135" s="1"/>
  <c r="X118" i="135" s="1"/>
  <c r="Y118" i="135" s="1"/>
  <c r="Z118" i="135" s="1"/>
  <c r="AA118" i="135" s="1"/>
  <c r="AB118" i="135" s="1"/>
  <c r="AC118" i="135" s="1"/>
  <c r="AD118" i="135" s="1"/>
  <c r="AE118" i="135" s="1"/>
  <c r="AF118" i="135" s="1"/>
  <c r="N117" i="135"/>
  <c r="O117" i="135" s="1"/>
  <c r="P117" i="135" s="1"/>
  <c r="Q117" i="135" s="1"/>
  <c r="R117" i="135" s="1"/>
  <c r="S117" i="135" s="1"/>
  <c r="T117" i="135" s="1"/>
  <c r="U117" i="135" s="1"/>
  <c r="V117" i="135" s="1"/>
  <c r="W117" i="135" s="1"/>
  <c r="X117" i="135" s="1"/>
  <c r="Y117" i="135" s="1"/>
  <c r="Z117" i="135" s="1"/>
  <c r="AA117" i="135" s="1"/>
  <c r="AB117" i="135" s="1"/>
  <c r="AC117" i="135" s="1"/>
  <c r="AD117" i="135" s="1"/>
  <c r="AE117" i="135" s="1"/>
  <c r="AF117" i="135" s="1"/>
  <c r="N116" i="135"/>
  <c r="O116" i="135" s="1"/>
  <c r="P116" i="135" s="1"/>
  <c r="Q116" i="135" s="1"/>
  <c r="R116" i="135" s="1"/>
  <c r="S116" i="135" s="1"/>
  <c r="T116" i="135" s="1"/>
  <c r="U116" i="135" s="1"/>
  <c r="V116" i="135" s="1"/>
  <c r="W116" i="135" s="1"/>
  <c r="X116" i="135" s="1"/>
  <c r="Y116" i="135" s="1"/>
  <c r="Z116" i="135" s="1"/>
  <c r="AA116" i="135" s="1"/>
  <c r="AB116" i="135" s="1"/>
  <c r="AC116" i="135" s="1"/>
  <c r="AD116" i="135" s="1"/>
  <c r="AE116" i="135" s="1"/>
  <c r="AF116" i="135" s="1"/>
  <c r="N115" i="135"/>
  <c r="N111" i="135"/>
  <c r="O111" i="135" s="1"/>
  <c r="P111" i="135" s="1"/>
  <c r="Q111" i="135" s="1"/>
  <c r="R111" i="135" s="1"/>
  <c r="S111" i="135" s="1"/>
  <c r="T111" i="135" s="1"/>
  <c r="U111" i="135" s="1"/>
  <c r="V111" i="135" s="1"/>
  <c r="W111" i="135" s="1"/>
  <c r="X111" i="135" s="1"/>
  <c r="Y111" i="135" s="1"/>
  <c r="Z111" i="135" s="1"/>
  <c r="AA111" i="135" s="1"/>
  <c r="AB111" i="135" s="1"/>
  <c r="AC111" i="135" s="1"/>
  <c r="AD111" i="135" s="1"/>
  <c r="AE111" i="135" s="1"/>
  <c r="AF111" i="135" s="1"/>
  <c r="N109" i="135"/>
  <c r="O109" i="135" s="1"/>
  <c r="P109" i="135" s="1"/>
  <c r="Q109" i="135" s="1"/>
  <c r="R109" i="135" s="1"/>
  <c r="S109" i="135" s="1"/>
  <c r="T109" i="135" s="1"/>
  <c r="U109" i="135" s="1"/>
  <c r="V109" i="135" s="1"/>
  <c r="W109" i="135" s="1"/>
  <c r="X109" i="135" s="1"/>
  <c r="Y109" i="135" s="1"/>
  <c r="Z109" i="135" s="1"/>
  <c r="AA109" i="135" s="1"/>
  <c r="AB109" i="135" s="1"/>
  <c r="AC109" i="135" s="1"/>
  <c r="AD109" i="135" s="1"/>
  <c r="AE109" i="135" s="1"/>
  <c r="AF109" i="135" s="1"/>
  <c r="N108" i="135"/>
  <c r="O108" i="135" s="1"/>
  <c r="P108" i="135" s="1"/>
  <c r="Q108" i="135" s="1"/>
  <c r="R108" i="135" s="1"/>
  <c r="S108" i="135" s="1"/>
  <c r="T108" i="135" s="1"/>
  <c r="U108" i="135" s="1"/>
  <c r="V108" i="135" s="1"/>
  <c r="W108" i="135" s="1"/>
  <c r="X108" i="135" s="1"/>
  <c r="Y108" i="135" s="1"/>
  <c r="Z108" i="135" s="1"/>
  <c r="AA108" i="135" s="1"/>
  <c r="AB108" i="135" s="1"/>
  <c r="AC108" i="135" s="1"/>
  <c r="AD108" i="135" s="1"/>
  <c r="AE108" i="135" s="1"/>
  <c r="AF108" i="135" s="1"/>
  <c r="N107" i="135"/>
  <c r="O107" i="135" s="1"/>
  <c r="P107" i="135" s="1"/>
  <c r="Q107" i="135" s="1"/>
  <c r="R107" i="135" s="1"/>
  <c r="S107" i="135" s="1"/>
  <c r="T107" i="135" s="1"/>
  <c r="U107" i="135" s="1"/>
  <c r="V107" i="135" s="1"/>
  <c r="W107" i="135" s="1"/>
  <c r="X107" i="135" s="1"/>
  <c r="Y107" i="135" s="1"/>
  <c r="Z107" i="135" s="1"/>
  <c r="AA107" i="135" s="1"/>
  <c r="AB107" i="135" s="1"/>
  <c r="AC107" i="135" s="1"/>
  <c r="AD107" i="135" s="1"/>
  <c r="AE107" i="135" s="1"/>
  <c r="AF107" i="135" s="1"/>
  <c r="N106" i="135"/>
  <c r="O106" i="135" s="1"/>
  <c r="P106" i="135" s="1"/>
  <c r="Q106" i="135" s="1"/>
  <c r="R106" i="135" s="1"/>
  <c r="S106" i="135" s="1"/>
  <c r="T106" i="135" s="1"/>
  <c r="U106" i="135" s="1"/>
  <c r="V106" i="135" s="1"/>
  <c r="W106" i="135" s="1"/>
  <c r="X106" i="135" s="1"/>
  <c r="Y106" i="135" s="1"/>
  <c r="Z106" i="135" s="1"/>
  <c r="AA106" i="135" s="1"/>
  <c r="AB106" i="135" s="1"/>
  <c r="AC106" i="135" s="1"/>
  <c r="AD106" i="135" s="1"/>
  <c r="AE106" i="135" s="1"/>
  <c r="AF106" i="135" s="1"/>
  <c r="N105" i="135"/>
  <c r="O105" i="135" s="1"/>
  <c r="P105" i="135" s="1"/>
  <c r="Q105" i="135" s="1"/>
  <c r="R105" i="135" s="1"/>
  <c r="S105" i="135" s="1"/>
  <c r="T105" i="135" s="1"/>
  <c r="U105" i="135" s="1"/>
  <c r="V105" i="135" s="1"/>
  <c r="W105" i="135" s="1"/>
  <c r="X105" i="135" s="1"/>
  <c r="Y105" i="135" s="1"/>
  <c r="Z105" i="135" s="1"/>
  <c r="AA105" i="135" s="1"/>
  <c r="AB105" i="135" s="1"/>
  <c r="AC105" i="135" s="1"/>
  <c r="AD105" i="135" s="1"/>
  <c r="AE105" i="135" s="1"/>
  <c r="AF105" i="135" s="1"/>
  <c r="N104" i="135"/>
  <c r="O104" i="135" s="1"/>
  <c r="P104" i="135" s="1"/>
  <c r="Q104" i="135" s="1"/>
  <c r="R104" i="135" s="1"/>
  <c r="S104" i="135" s="1"/>
  <c r="T104" i="135" s="1"/>
  <c r="U104" i="135" s="1"/>
  <c r="V104" i="135" s="1"/>
  <c r="W104" i="135" s="1"/>
  <c r="X104" i="135" s="1"/>
  <c r="Y104" i="135" s="1"/>
  <c r="Z104" i="135" s="1"/>
  <c r="AA104" i="135" s="1"/>
  <c r="AB104" i="135" s="1"/>
  <c r="AC104" i="135" s="1"/>
  <c r="AD104" i="135" s="1"/>
  <c r="AE104" i="135" s="1"/>
  <c r="AF104" i="135" s="1"/>
  <c r="N103" i="135"/>
  <c r="O103" i="135" s="1"/>
  <c r="P103" i="135" s="1"/>
  <c r="Q103" i="135" s="1"/>
  <c r="R103" i="135" s="1"/>
  <c r="S103" i="135" s="1"/>
  <c r="T103" i="135" s="1"/>
  <c r="U103" i="135" s="1"/>
  <c r="V103" i="135" s="1"/>
  <c r="W103" i="135" s="1"/>
  <c r="X103" i="135" s="1"/>
  <c r="Y103" i="135" s="1"/>
  <c r="Z103" i="135" s="1"/>
  <c r="AA103" i="135" s="1"/>
  <c r="AB103" i="135" s="1"/>
  <c r="AC103" i="135" s="1"/>
  <c r="AD103" i="135" s="1"/>
  <c r="AE103" i="135" s="1"/>
  <c r="AF103" i="135" s="1"/>
  <c r="N101" i="135"/>
  <c r="O101" i="135" s="1"/>
  <c r="P101" i="135" s="1"/>
  <c r="Q101" i="135" s="1"/>
  <c r="R101" i="135" s="1"/>
  <c r="S101" i="135" s="1"/>
  <c r="T101" i="135" s="1"/>
  <c r="U101" i="135" s="1"/>
  <c r="V101" i="135" s="1"/>
  <c r="W101" i="135" s="1"/>
  <c r="X101" i="135" s="1"/>
  <c r="Y101" i="135" s="1"/>
  <c r="Z101" i="135" s="1"/>
  <c r="AA101" i="135" s="1"/>
  <c r="AB101" i="135" s="1"/>
  <c r="AC101" i="135" s="1"/>
  <c r="AD101" i="135" s="1"/>
  <c r="AE101" i="135" s="1"/>
  <c r="AF101" i="135" s="1"/>
  <c r="N100" i="135"/>
  <c r="O100" i="135" s="1"/>
  <c r="P100" i="135" s="1"/>
  <c r="Q100" i="135" s="1"/>
  <c r="R100" i="135" s="1"/>
  <c r="S100" i="135" s="1"/>
  <c r="T100" i="135" s="1"/>
  <c r="U100" i="135" s="1"/>
  <c r="V100" i="135" s="1"/>
  <c r="W100" i="135" s="1"/>
  <c r="X100" i="135" s="1"/>
  <c r="Y100" i="135" s="1"/>
  <c r="Z100" i="135" s="1"/>
  <c r="AA100" i="135" s="1"/>
  <c r="AB100" i="135" s="1"/>
  <c r="AC100" i="135" s="1"/>
  <c r="AD100" i="135" s="1"/>
  <c r="AE100" i="135" s="1"/>
  <c r="AF100" i="135" s="1"/>
  <c r="N96" i="135"/>
  <c r="O96" i="135" s="1"/>
  <c r="P96" i="135" s="1"/>
  <c r="Q96" i="135" s="1"/>
  <c r="R96" i="135" s="1"/>
  <c r="S96" i="135" s="1"/>
  <c r="T96" i="135" s="1"/>
  <c r="U96" i="135" s="1"/>
  <c r="V96" i="135" s="1"/>
  <c r="W96" i="135" s="1"/>
  <c r="X96" i="135" s="1"/>
  <c r="Y96" i="135" s="1"/>
  <c r="Z96" i="135" s="1"/>
  <c r="AA96" i="135" s="1"/>
  <c r="AB96" i="135" s="1"/>
  <c r="AC96" i="135" s="1"/>
  <c r="AD96" i="135" s="1"/>
  <c r="AE96" i="135" s="1"/>
  <c r="AF96" i="135" s="1"/>
  <c r="N95" i="135"/>
  <c r="O95" i="135" s="1"/>
  <c r="P95" i="135" s="1"/>
  <c r="Q95" i="135" s="1"/>
  <c r="R95" i="135" s="1"/>
  <c r="S95" i="135" s="1"/>
  <c r="T95" i="135" s="1"/>
  <c r="U95" i="135" s="1"/>
  <c r="V95" i="135" s="1"/>
  <c r="W95" i="135" s="1"/>
  <c r="X95" i="135" s="1"/>
  <c r="Y95" i="135" s="1"/>
  <c r="Z95" i="135" s="1"/>
  <c r="AA95" i="135" s="1"/>
  <c r="AB95" i="135" s="1"/>
  <c r="AC95" i="135" s="1"/>
  <c r="AD95" i="135" s="1"/>
  <c r="AE95" i="135" s="1"/>
  <c r="AF95" i="135" s="1"/>
  <c r="N94" i="135"/>
  <c r="N91" i="135"/>
  <c r="O91" i="135" s="1"/>
  <c r="P91" i="135" s="1"/>
  <c r="Q91" i="135" s="1"/>
  <c r="R91" i="135" s="1"/>
  <c r="S91" i="135" s="1"/>
  <c r="T91" i="135" s="1"/>
  <c r="U91" i="135" s="1"/>
  <c r="V91" i="135" s="1"/>
  <c r="W91" i="135" s="1"/>
  <c r="X91" i="135" s="1"/>
  <c r="Y91" i="135" s="1"/>
  <c r="Z91" i="135" s="1"/>
  <c r="AA91" i="135" s="1"/>
  <c r="AB91" i="135" s="1"/>
  <c r="AC91" i="135" s="1"/>
  <c r="AD91" i="135" s="1"/>
  <c r="AE91" i="135" s="1"/>
  <c r="AF91" i="135" s="1"/>
  <c r="N90" i="135"/>
  <c r="O90" i="135" s="1"/>
  <c r="P90" i="135" s="1"/>
  <c r="Q90" i="135" s="1"/>
  <c r="R90" i="135" s="1"/>
  <c r="S90" i="135" s="1"/>
  <c r="T90" i="135" s="1"/>
  <c r="U90" i="135" s="1"/>
  <c r="V90" i="135" s="1"/>
  <c r="W90" i="135" s="1"/>
  <c r="X90" i="135" s="1"/>
  <c r="Y90" i="135" s="1"/>
  <c r="Z90" i="135" s="1"/>
  <c r="AA90" i="135" s="1"/>
  <c r="AB90" i="135" s="1"/>
  <c r="AC90" i="135" s="1"/>
  <c r="AD90" i="135" s="1"/>
  <c r="AE90" i="135" s="1"/>
  <c r="AF90" i="135" s="1"/>
  <c r="N88" i="135"/>
  <c r="O88" i="135" s="1"/>
  <c r="P88" i="135" s="1"/>
  <c r="Q88" i="135" s="1"/>
  <c r="R88" i="135" s="1"/>
  <c r="S88" i="135" s="1"/>
  <c r="T88" i="135" s="1"/>
  <c r="U88" i="135" s="1"/>
  <c r="V88" i="135" s="1"/>
  <c r="W88" i="135" s="1"/>
  <c r="X88" i="135" s="1"/>
  <c r="Y88" i="135" s="1"/>
  <c r="Z88" i="135" s="1"/>
  <c r="AA88" i="135" s="1"/>
  <c r="AB88" i="135" s="1"/>
  <c r="AC88" i="135" s="1"/>
  <c r="AD88" i="135" s="1"/>
  <c r="AE88" i="135" s="1"/>
  <c r="AF88" i="135" s="1"/>
  <c r="N87" i="135"/>
  <c r="O87" i="135" s="1"/>
  <c r="P87" i="135" s="1"/>
  <c r="Q87" i="135" s="1"/>
  <c r="R87" i="135" s="1"/>
  <c r="S87" i="135" s="1"/>
  <c r="T87" i="135" s="1"/>
  <c r="U87" i="135" s="1"/>
  <c r="V87" i="135" s="1"/>
  <c r="W87" i="135" s="1"/>
  <c r="X87" i="135" s="1"/>
  <c r="Y87" i="135" s="1"/>
  <c r="Z87" i="135" s="1"/>
  <c r="AA87" i="135" s="1"/>
  <c r="AB87" i="135" s="1"/>
  <c r="AC87" i="135" s="1"/>
  <c r="AD87" i="135" s="1"/>
  <c r="AE87" i="135" s="1"/>
  <c r="AF87" i="135" s="1"/>
  <c r="N86" i="135"/>
  <c r="O86" i="135" s="1"/>
  <c r="P86" i="135" s="1"/>
  <c r="Q86" i="135" s="1"/>
  <c r="R86" i="135" s="1"/>
  <c r="S86" i="135" s="1"/>
  <c r="T86" i="135" s="1"/>
  <c r="U86" i="135" s="1"/>
  <c r="V86" i="135" s="1"/>
  <c r="W86" i="135" s="1"/>
  <c r="X86" i="135" s="1"/>
  <c r="Y86" i="135" s="1"/>
  <c r="Z86" i="135" s="1"/>
  <c r="AA86" i="135" s="1"/>
  <c r="AB86" i="135" s="1"/>
  <c r="AC86" i="135" s="1"/>
  <c r="AD86" i="135" s="1"/>
  <c r="AE86" i="135" s="1"/>
  <c r="AF86" i="135" s="1"/>
  <c r="N85" i="135"/>
  <c r="O85" i="135" s="1"/>
  <c r="P85" i="135" s="1"/>
  <c r="Q85" i="135" s="1"/>
  <c r="R85" i="135" s="1"/>
  <c r="S85" i="135" s="1"/>
  <c r="T85" i="135" s="1"/>
  <c r="U85" i="135" s="1"/>
  <c r="V85" i="135" s="1"/>
  <c r="W85" i="135" s="1"/>
  <c r="X85" i="135" s="1"/>
  <c r="Y85" i="135" s="1"/>
  <c r="Z85" i="135" s="1"/>
  <c r="AA85" i="135" s="1"/>
  <c r="AB85" i="135" s="1"/>
  <c r="AC85" i="135" s="1"/>
  <c r="AD85" i="135" s="1"/>
  <c r="AE85" i="135" s="1"/>
  <c r="AF85" i="135" s="1"/>
  <c r="N84" i="135"/>
  <c r="O84" i="135" s="1"/>
  <c r="P84" i="135" s="1"/>
  <c r="Q84" i="135" s="1"/>
  <c r="R84" i="135" s="1"/>
  <c r="S84" i="135" s="1"/>
  <c r="T84" i="135" s="1"/>
  <c r="U84" i="135" s="1"/>
  <c r="V84" i="135" s="1"/>
  <c r="W84" i="135" s="1"/>
  <c r="X84" i="135" s="1"/>
  <c r="Y84" i="135" s="1"/>
  <c r="Z84" i="135" s="1"/>
  <c r="AA84" i="135" s="1"/>
  <c r="AB84" i="135" s="1"/>
  <c r="AC84" i="135" s="1"/>
  <c r="AD84" i="135" s="1"/>
  <c r="AE84" i="135" s="1"/>
  <c r="AF84" i="135" s="1"/>
  <c r="N83" i="135"/>
  <c r="O83" i="135" s="1"/>
  <c r="P83" i="135" s="1"/>
  <c r="Q83" i="135" s="1"/>
  <c r="R83" i="135" s="1"/>
  <c r="S83" i="135" s="1"/>
  <c r="T83" i="135" s="1"/>
  <c r="U83" i="135" s="1"/>
  <c r="V83" i="135" s="1"/>
  <c r="W83" i="135" s="1"/>
  <c r="X83" i="135" s="1"/>
  <c r="Y83" i="135" s="1"/>
  <c r="Z83" i="135" s="1"/>
  <c r="AA83" i="135" s="1"/>
  <c r="AB83" i="135" s="1"/>
  <c r="AC83" i="135" s="1"/>
  <c r="AD83" i="135" s="1"/>
  <c r="AE83" i="135" s="1"/>
  <c r="AF83" i="135" s="1"/>
  <c r="N82" i="135"/>
  <c r="N79" i="135"/>
  <c r="O79" i="135" s="1"/>
  <c r="P79" i="135" s="1"/>
  <c r="Q79" i="135" s="1"/>
  <c r="R79" i="135" s="1"/>
  <c r="S79" i="135" s="1"/>
  <c r="T79" i="135" s="1"/>
  <c r="U79" i="135" s="1"/>
  <c r="V79" i="135" s="1"/>
  <c r="W79" i="135" s="1"/>
  <c r="X79" i="135" s="1"/>
  <c r="Y79" i="135" s="1"/>
  <c r="Z79" i="135" s="1"/>
  <c r="AA79" i="135" s="1"/>
  <c r="AB79" i="135" s="1"/>
  <c r="AC79" i="135" s="1"/>
  <c r="AD79" i="135" s="1"/>
  <c r="AE79" i="135" s="1"/>
  <c r="AF79" i="135" s="1"/>
  <c r="N68" i="135"/>
  <c r="O68" i="135" s="1"/>
  <c r="P68" i="135" s="1"/>
  <c r="Q68" i="135" s="1"/>
  <c r="R68" i="135" s="1"/>
  <c r="S68" i="135" s="1"/>
  <c r="T68" i="135" s="1"/>
  <c r="U68" i="135" s="1"/>
  <c r="V68" i="135" s="1"/>
  <c r="W68" i="135" s="1"/>
  <c r="X68" i="135" s="1"/>
  <c r="Y68" i="135" s="1"/>
  <c r="Z68" i="135" s="1"/>
  <c r="AA68" i="135" s="1"/>
  <c r="AB68" i="135" s="1"/>
  <c r="AC68" i="135" s="1"/>
  <c r="AD68" i="135" s="1"/>
  <c r="AE68" i="135" s="1"/>
  <c r="AF68" i="135" s="1"/>
  <c r="M66" i="135"/>
  <c r="N66" i="135" s="1"/>
  <c r="O66" i="135" s="1"/>
  <c r="P66" i="135" s="1"/>
  <c r="Q66" i="135" s="1"/>
  <c r="R66" i="135" s="1"/>
  <c r="S66" i="135" s="1"/>
  <c r="T66" i="135" s="1"/>
  <c r="U66" i="135" s="1"/>
  <c r="V66" i="135" s="1"/>
  <c r="W66" i="135" s="1"/>
  <c r="X66" i="135" s="1"/>
  <c r="Y66" i="135" s="1"/>
  <c r="Z66" i="135" s="1"/>
  <c r="AA66" i="135" s="1"/>
  <c r="AB66" i="135" s="1"/>
  <c r="AC66" i="135" s="1"/>
  <c r="AD66" i="135" s="1"/>
  <c r="AE66" i="135" s="1"/>
  <c r="AF66" i="135" s="1"/>
  <c r="N62" i="135"/>
  <c r="N58" i="135"/>
  <c r="N55" i="135"/>
  <c r="O55" i="135" s="1"/>
  <c r="P55" i="135" s="1"/>
  <c r="Q55" i="135" s="1"/>
  <c r="R55" i="135" s="1"/>
  <c r="S55" i="135" s="1"/>
  <c r="T55" i="135" s="1"/>
  <c r="U55" i="135" s="1"/>
  <c r="V55" i="135" s="1"/>
  <c r="W55" i="135" s="1"/>
  <c r="X55" i="135" s="1"/>
  <c r="Y55" i="135" s="1"/>
  <c r="Z55" i="135" s="1"/>
  <c r="AA55" i="135" s="1"/>
  <c r="AB55" i="135" s="1"/>
  <c r="AC55" i="135" s="1"/>
  <c r="AD55" i="135" s="1"/>
  <c r="AE55" i="135" s="1"/>
  <c r="AF55" i="135" s="1"/>
  <c r="N54" i="135"/>
  <c r="O54" i="135" s="1"/>
  <c r="P54" i="135" s="1"/>
  <c r="Q54" i="135" s="1"/>
  <c r="R54" i="135" s="1"/>
  <c r="S54" i="135" s="1"/>
  <c r="T54" i="135" s="1"/>
  <c r="U54" i="135" s="1"/>
  <c r="V54" i="135" s="1"/>
  <c r="W54" i="135" s="1"/>
  <c r="X54" i="135" s="1"/>
  <c r="Y54" i="135" s="1"/>
  <c r="Z54" i="135" s="1"/>
  <c r="AA54" i="135" s="1"/>
  <c r="AB54" i="135" s="1"/>
  <c r="AC54" i="135" s="1"/>
  <c r="AD54" i="135" s="1"/>
  <c r="AE54" i="135" s="1"/>
  <c r="AF54" i="135" s="1"/>
  <c r="N53" i="135"/>
  <c r="O53" i="135" s="1"/>
  <c r="P53" i="135" s="1"/>
  <c r="Q53" i="135" s="1"/>
  <c r="R53" i="135" s="1"/>
  <c r="S53" i="135" s="1"/>
  <c r="T53" i="135" s="1"/>
  <c r="U53" i="135" s="1"/>
  <c r="V53" i="135" s="1"/>
  <c r="W53" i="135" s="1"/>
  <c r="X53" i="135" s="1"/>
  <c r="Y53" i="135" s="1"/>
  <c r="Z53" i="135" s="1"/>
  <c r="AA53" i="135" s="1"/>
  <c r="AB53" i="135" s="1"/>
  <c r="AC53" i="135" s="1"/>
  <c r="AD53" i="135" s="1"/>
  <c r="AE53" i="135" s="1"/>
  <c r="AF53" i="135" s="1"/>
  <c r="N52" i="135"/>
  <c r="O52" i="135" s="1"/>
  <c r="P52" i="135" s="1"/>
  <c r="Q52" i="135" s="1"/>
  <c r="R52" i="135" s="1"/>
  <c r="S52" i="135" s="1"/>
  <c r="T52" i="135" s="1"/>
  <c r="U52" i="135" s="1"/>
  <c r="V52" i="135" s="1"/>
  <c r="W52" i="135" s="1"/>
  <c r="X52" i="135" s="1"/>
  <c r="Y52" i="135" s="1"/>
  <c r="Z52" i="135" s="1"/>
  <c r="AA52" i="135" s="1"/>
  <c r="AB52" i="135" s="1"/>
  <c r="AC52" i="135" s="1"/>
  <c r="AD52" i="135" s="1"/>
  <c r="AE52" i="135" s="1"/>
  <c r="AF52" i="135" s="1"/>
  <c r="N51" i="135"/>
  <c r="O51" i="135" s="1"/>
  <c r="P51" i="135" s="1"/>
  <c r="Q51" i="135" s="1"/>
  <c r="R51" i="135" s="1"/>
  <c r="S51" i="135" s="1"/>
  <c r="T51" i="135" s="1"/>
  <c r="U51" i="135" s="1"/>
  <c r="V51" i="135" s="1"/>
  <c r="W51" i="135" s="1"/>
  <c r="X51" i="135" s="1"/>
  <c r="Y51" i="135" s="1"/>
  <c r="Z51" i="135" s="1"/>
  <c r="AA51" i="135" s="1"/>
  <c r="AB51" i="135" s="1"/>
  <c r="AC51" i="135" s="1"/>
  <c r="AD51" i="135" s="1"/>
  <c r="AE51" i="135" s="1"/>
  <c r="AF51" i="135" s="1"/>
  <c r="N50" i="135"/>
  <c r="O50" i="135" s="1"/>
  <c r="P50" i="135" s="1"/>
  <c r="Q50" i="135" s="1"/>
  <c r="R50" i="135" s="1"/>
  <c r="S50" i="135" s="1"/>
  <c r="T50" i="135" s="1"/>
  <c r="U50" i="135" s="1"/>
  <c r="V50" i="135" s="1"/>
  <c r="W50" i="135" s="1"/>
  <c r="X50" i="135" s="1"/>
  <c r="Y50" i="135" s="1"/>
  <c r="Z50" i="135" s="1"/>
  <c r="AA50" i="135" s="1"/>
  <c r="AB50" i="135" s="1"/>
  <c r="AC50" i="135" s="1"/>
  <c r="AD50" i="135" s="1"/>
  <c r="AE50" i="135" s="1"/>
  <c r="AF50" i="135" s="1"/>
  <c r="N49" i="135"/>
  <c r="O49" i="135" s="1"/>
  <c r="P49" i="135" s="1"/>
  <c r="Q49" i="135" s="1"/>
  <c r="R49" i="135" s="1"/>
  <c r="S49" i="135" s="1"/>
  <c r="T49" i="135" s="1"/>
  <c r="U49" i="135" s="1"/>
  <c r="V49" i="135" s="1"/>
  <c r="W49" i="135" s="1"/>
  <c r="X49" i="135" s="1"/>
  <c r="Y49" i="135" s="1"/>
  <c r="Z49" i="135" s="1"/>
  <c r="AA49" i="135" s="1"/>
  <c r="AB49" i="135" s="1"/>
  <c r="AC49" i="135" s="1"/>
  <c r="AD49" i="135" s="1"/>
  <c r="AE49" i="135" s="1"/>
  <c r="AF49" i="135" s="1"/>
  <c r="N45" i="135"/>
  <c r="O45" i="135" s="1"/>
  <c r="P45" i="135" s="1"/>
  <c r="Q45" i="135" s="1"/>
  <c r="R45" i="135" s="1"/>
  <c r="S45" i="135" s="1"/>
  <c r="T45" i="135" s="1"/>
  <c r="U45" i="135" s="1"/>
  <c r="V45" i="135" s="1"/>
  <c r="W45" i="135" s="1"/>
  <c r="X45" i="135" s="1"/>
  <c r="Y45" i="135" s="1"/>
  <c r="Z45" i="135" s="1"/>
  <c r="AA45" i="135" s="1"/>
  <c r="AB45" i="135" s="1"/>
  <c r="AC45" i="135" s="1"/>
  <c r="AD45" i="135" s="1"/>
  <c r="AE45" i="135" s="1"/>
  <c r="AF45" i="135" s="1"/>
  <c r="N42" i="135"/>
  <c r="G28" i="135"/>
  <c r="N30" i="135"/>
  <c r="N12" i="135"/>
  <c r="N181" i="135"/>
  <c r="O181" i="135" s="1"/>
  <c r="P181" i="135" s="1"/>
  <c r="Q181" i="135" s="1"/>
  <c r="R181" i="135" s="1"/>
  <c r="S181" i="135" s="1"/>
  <c r="T181" i="135" s="1"/>
  <c r="U181" i="135" s="1"/>
  <c r="V181" i="135" s="1"/>
  <c r="W181" i="135" s="1"/>
  <c r="X181" i="135" s="1"/>
  <c r="Y181" i="135" s="1"/>
  <c r="Z181" i="135" s="1"/>
  <c r="AA181" i="135" s="1"/>
  <c r="AB181" i="135" s="1"/>
  <c r="AC181" i="135" s="1"/>
  <c r="AD181" i="135" s="1"/>
  <c r="AE181" i="135" s="1"/>
  <c r="AF181" i="135" s="1"/>
  <c r="K153" i="135"/>
  <c r="L153" i="135" s="1"/>
  <c r="M153" i="135" s="1"/>
  <c r="O151" i="135"/>
  <c r="P151" i="135" s="1"/>
  <c r="Q151" i="135" s="1"/>
  <c r="R151" i="135" s="1"/>
  <c r="S151" i="135" s="1"/>
  <c r="T151" i="135" s="1"/>
  <c r="U151" i="135" s="1"/>
  <c r="V151" i="135" s="1"/>
  <c r="W151" i="135" s="1"/>
  <c r="X151" i="135" s="1"/>
  <c r="Y151" i="135" s="1"/>
  <c r="Z151" i="135" s="1"/>
  <c r="AA151" i="135" s="1"/>
  <c r="AB151" i="135" s="1"/>
  <c r="AC151" i="135" s="1"/>
  <c r="AD151" i="135" s="1"/>
  <c r="AE151" i="135" s="1"/>
  <c r="AF151" i="135" s="1"/>
  <c r="N89" i="135"/>
  <c r="O89" i="135" s="1"/>
  <c r="P89" i="135" s="1"/>
  <c r="Q89" i="135" s="1"/>
  <c r="R89" i="135" s="1"/>
  <c r="S89" i="135" s="1"/>
  <c r="T89" i="135" s="1"/>
  <c r="U89" i="135" s="1"/>
  <c r="V89" i="135" s="1"/>
  <c r="W89" i="135" s="1"/>
  <c r="X89" i="135" s="1"/>
  <c r="Y89" i="135" s="1"/>
  <c r="Z89" i="135" s="1"/>
  <c r="AA89" i="135" s="1"/>
  <c r="AB89" i="135" s="1"/>
  <c r="AC89" i="135" s="1"/>
  <c r="AD89" i="135" s="1"/>
  <c r="AE89" i="135" s="1"/>
  <c r="AF89" i="135" s="1"/>
  <c r="N92" i="135"/>
  <c r="O92" i="135" s="1"/>
  <c r="P92" i="135" s="1"/>
  <c r="Q92" i="135" s="1"/>
  <c r="R92" i="135" s="1"/>
  <c r="S92" i="135" s="1"/>
  <c r="T92" i="135" s="1"/>
  <c r="U92" i="135" s="1"/>
  <c r="V92" i="135" s="1"/>
  <c r="W92" i="135" s="1"/>
  <c r="X92" i="135" s="1"/>
  <c r="Y92" i="135" s="1"/>
  <c r="Z92" i="135" s="1"/>
  <c r="AA92" i="135" s="1"/>
  <c r="AB92" i="135" s="1"/>
  <c r="AC92" i="135" s="1"/>
  <c r="AD92" i="135" s="1"/>
  <c r="AE92" i="135" s="1"/>
  <c r="AF92" i="135" s="1"/>
  <c r="N93" i="135"/>
  <c r="O93" i="135" s="1"/>
  <c r="P93" i="135" s="1"/>
  <c r="Q93" i="135" s="1"/>
  <c r="R93" i="135" s="1"/>
  <c r="S93" i="135" s="1"/>
  <c r="T93" i="135" s="1"/>
  <c r="U93" i="135" s="1"/>
  <c r="V93" i="135" s="1"/>
  <c r="W93" i="135" s="1"/>
  <c r="X93" i="135" s="1"/>
  <c r="Y93" i="135" s="1"/>
  <c r="Z93" i="135" s="1"/>
  <c r="AA93" i="135" s="1"/>
  <c r="AB93" i="135" s="1"/>
  <c r="AC93" i="135" s="1"/>
  <c r="AD93" i="135" s="1"/>
  <c r="AE93" i="135" s="1"/>
  <c r="AF93" i="135" s="1"/>
  <c r="N97" i="135"/>
  <c r="O97" i="135" s="1"/>
  <c r="P97" i="135" s="1"/>
  <c r="Q97" i="135" s="1"/>
  <c r="R97" i="135" s="1"/>
  <c r="S97" i="135" s="1"/>
  <c r="T97" i="135" s="1"/>
  <c r="U97" i="135" s="1"/>
  <c r="V97" i="135" s="1"/>
  <c r="W97" i="135" s="1"/>
  <c r="X97" i="135" s="1"/>
  <c r="Y97" i="135" s="1"/>
  <c r="Z97" i="135" s="1"/>
  <c r="AA97" i="135" s="1"/>
  <c r="AB97" i="135" s="1"/>
  <c r="AC97" i="135" s="1"/>
  <c r="AD97" i="135" s="1"/>
  <c r="AE97" i="135" s="1"/>
  <c r="AF97" i="135" s="1"/>
  <c r="N98" i="135"/>
  <c r="O98" i="135" s="1"/>
  <c r="P98" i="135" s="1"/>
  <c r="Q98" i="135" s="1"/>
  <c r="R98" i="135" s="1"/>
  <c r="S98" i="135" s="1"/>
  <c r="T98" i="135" s="1"/>
  <c r="U98" i="135" s="1"/>
  <c r="V98" i="135" s="1"/>
  <c r="W98" i="135" s="1"/>
  <c r="X98" i="135" s="1"/>
  <c r="Y98" i="135" s="1"/>
  <c r="Z98" i="135" s="1"/>
  <c r="AA98" i="135" s="1"/>
  <c r="AB98" i="135" s="1"/>
  <c r="AC98" i="135" s="1"/>
  <c r="AD98" i="135" s="1"/>
  <c r="AE98" i="135" s="1"/>
  <c r="AF98" i="135" s="1"/>
  <c r="N99" i="135"/>
  <c r="O99" i="135" s="1"/>
  <c r="P99" i="135" s="1"/>
  <c r="Q99" i="135" s="1"/>
  <c r="R99" i="135" s="1"/>
  <c r="S99" i="135" s="1"/>
  <c r="T99" i="135" s="1"/>
  <c r="U99" i="135" s="1"/>
  <c r="V99" i="135" s="1"/>
  <c r="W99" i="135" s="1"/>
  <c r="X99" i="135" s="1"/>
  <c r="Y99" i="135" s="1"/>
  <c r="Z99" i="135" s="1"/>
  <c r="AA99" i="135" s="1"/>
  <c r="AB99" i="135" s="1"/>
  <c r="AC99" i="135" s="1"/>
  <c r="AD99" i="135" s="1"/>
  <c r="AE99" i="135" s="1"/>
  <c r="AF99" i="135" s="1"/>
  <c r="N102" i="135"/>
  <c r="O102" i="135" s="1"/>
  <c r="P102" i="135" s="1"/>
  <c r="Q102" i="135" s="1"/>
  <c r="R102" i="135" s="1"/>
  <c r="S102" i="135" s="1"/>
  <c r="T102" i="135" s="1"/>
  <c r="U102" i="135" s="1"/>
  <c r="V102" i="135" s="1"/>
  <c r="W102" i="135" s="1"/>
  <c r="X102" i="135" s="1"/>
  <c r="Y102" i="135" s="1"/>
  <c r="Z102" i="135" s="1"/>
  <c r="AA102" i="135" s="1"/>
  <c r="AB102" i="135" s="1"/>
  <c r="AC102" i="135" s="1"/>
  <c r="AD102" i="135" s="1"/>
  <c r="AE102" i="135" s="1"/>
  <c r="AF102" i="135" s="1"/>
  <c r="N110" i="135"/>
  <c r="O110" i="135" s="1"/>
  <c r="P110" i="135" s="1"/>
  <c r="Q110" i="135" s="1"/>
  <c r="R110" i="135" s="1"/>
  <c r="S110" i="135" s="1"/>
  <c r="T110" i="135" s="1"/>
  <c r="U110" i="135" s="1"/>
  <c r="V110" i="135" s="1"/>
  <c r="W110" i="135" s="1"/>
  <c r="X110" i="135" s="1"/>
  <c r="Y110" i="135" s="1"/>
  <c r="Z110" i="135" s="1"/>
  <c r="AA110" i="135" s="1"/>
  <c r="AB110" i="135" s="1"/>
  <c r="AC110" i="135" s="1"/>
  <c r="AD110" i="135" s="1"/>
  <c r="AE110" i="135" s="1"/>
  <c r="AF110" i="135" s="1"/>
  <c r="N112" i="135"/>
  <c r="O112" i="135" s="1"/>
  <c r="P112" i="135" s="1"/>
  <c r="Q112" i="135" s="1"/>
  <c r="R112" i="135" s="1"/>
  <c r="S112" i="135" s="1"/>
  <c r="T112" i="135" s="1"/>
  <c r="U112" i="135" s="1"/>
  <c r="V112" i="135" s="1"/>
  <c r="W112" i="135" s="1"/>
  <c r="X112" i="135" s="1"/>
  <c r="Y112" i="135" s="1"/>
  <c r="Z112" i="135" s="1"/>
  <c r="AA112" i="135" s="1"/>
  <c r="AB112" i="135" s="1"/>
  <c r="AC112" i="135" s="1"/>
  <c r="AD112" i="135" s="1"/>
  <c r="AE112" i="135" s="1"/>
  <c r="AF112" i="135" s="1"/>
  <c r="N113" i="135"/>
  <c r="O113" i="135" s="1"/>
  <c r="P113" i="135" s="1"/>
  <c r="Q113" i="135" s="1"/>
  <c r="R113" i="135" s="1"/>
  <c r="S113" i="135" s="1"/>
  <c r="T113" i="135" s="1"/>
  <c r="U113" i="135" s="1"/>
  <c r="V113" i="135" s="1"/>
  <c r="W113" i="135" s="1"/>
  <c r="X113" i="135" s="1"/>
  <c r="Y113" i="135" s="1"/>
  <c r="Z113" i="135" s="1"/>
  <c r="AA113" i="135" s="1"/>
  <c r="AB113" i="135" s="1"/>
  <c r="AC113" i="135" s="1"/>
  <c r="AD113" i="135" s="1"/>
  <c r="AE113" i="135" s="1"/>
  <c r="AF113" i="135" s="1"/>
  <c r="N114" i="135"/>
  <c r="O114" i="135" s="1"/>
  <c r="P114" i="135" s="1"/>
  <c r="Q114" i="135" s="1"/>
  <c r="R114" i="135" s="1"/>
  <c r="S114" i="135" s="1"/>
  <c r="T114" i="135" s="1"/>
  <c r="U114" i="135" s="1"/>
  <c r="V114" i="135" s="1"/>
  <c r="W114" i="135" s="1"/>
  <c r="X114" i="135" s="1"/>
  <c r="Y114" i="135" s="1"/>
  <c r="Z114" i="135" s="1"/>
  <c r="AA114" i="135" s="1"/>
  <c r="AB114" i="135" s="1"/>
  <c r="AC114" i="135" s="1"/>
  <c r="AD114" i="135" s="1"/>
  <c r="AE114" i="135" s="1"/>
  <c r="AF114" i="135" s="1"/>
  <c r="N134" i="135"/>
  <c r="O134" i="135" s="1"/>
  <c r="P134" i="135" s="1"/>
  <c r="Q134" i="135" s="1"/>
  <c r="R134" i="135" s="1"/>
  <c r="S134" i="135" s="1"/>
  <c r="T134" i="135" s="1"/>
  <c r="U134" i="135" s="1"/>
  <c r="V134" i="135" s="1"/>
  <c r="W134" i="135" s="1"/>
  <c r="X134" i="135" s="1"/>
  <c r="Y134" i="135" s="1"/>
  <c r="Z134" i="135" s="1"/>
  <c r="AA134" i="135" s="1"/>
  <c r="AB134" i="135" s="1"/>
  <c r="AC134" i="135" s="1"/>
  <c r="AD134" i="135" s="1"/>
  <c r="AE134" i="135" s="1"/>
  <c r="AF134" i="135" s="1"/>
  <c r="N135" i="135"/>
  <c r="O135" i="135" s="1"/>
  <c r="P135" i="135" s="1"/>
  <c r="Q135" i="135" s="1"/>
  <c r="R135" i="135" s="1"/>
  <c r="S135" i="135" s="1"/>
  <c r="T135" i="135" s="1"/>
  <c r="U135" i="135" s="1"/>
  <c r="V135" i="135" s="1"/>
  <c r="W135" i="135" s="1"/>
  <c r="X135" i="135" s="1"/>
  <c r="Y135" i="135" s="1"/>
  <c r="Z135" i="135" s="1"/>
  <c r="AA135" i="135" s="1"/>
  <c r="AB135" i="135" s="1"/>
  <c r="AC135" i="135" s="1"/>
  <c r="AD135" i="135" s="1"/>
  <c r="AE135" i="135" s="1"/>
  <c r="AF135" i="135" s="1"/>
  <c r="N137" i="135"/>
  <c r="O137" i="135" s="1"/>
  <c r="P137" i="135" s="1"/>
  <c r="Q137" i="135" s="1"/>
  <c r="R137" i="135" s="1"/>
  <c r="S137" i="135" s="1"/>
  <c r="T137" i="135" s="1"/>
  <c r="U137" i="135" s="1"/>
  <c r="V137" i="135" s="1"/>
  <c r="W137" i="135" s="1"/>
  <c r="X137" i="135" s="1"/>
  <c r="Y137" i="135" s="1"/>
  <c r="Z137" i="135" s="1"/>
  <c r="AA137" i="135" s="1"/>
  <c r="AB137" i="135" s="1"/>
  <c r="AC137" i="135" s="1"/>
  <c r="AD137" i="135" s="1"/>
  <c r="AE137" i="135" s="1"/>
  <c r="AF137" i="135" s="1"/>
  <c r="N140" i="135"/>
  <c r="O140" i="135" s="1"/>
  <c r="P140" i="135" s="1"/>
  <c r="Q140" i="135" s="1"/>
  <c r="R140" i="135" s="1"/>
  <c r="S140" i="135" s="1"/>
  <c r="T140" i="135" s="1"/>
  <c r="U140" i="135" s="1"/>
  <c r="V140" i="135" s="1"/>
  <c r="W140" i="135" s="1"/>
  <c r="X140" i="135" s="1"/>
  <c r="Y140" i="135" s="1"/>
  <c r="Z140" i="135" s="1"/>
  <c r="AA140" i="135" s="1"/>
  <c r="AB140" i="135" s="1"/>
  <c r="AC140" i="135" s="1"/>
  <c r="AD140" i="135" s="1"/>
  <c r="AE140" i="135" s="1"/>
  <c r="AF140" i="135" s="1"/>
  <c r="N141" i="135"/>
  <c r="O141" i="135" s="1"/>
  <c r="P141" i="135" s="1"/>
  <c r="Q141" i="135" s="1"/>
  <c r="R141" i="135" s="1"/>
  <c r="S141" i="135" s="1"/>
  <c r="T141" i="135" s="1"/>
  <c r="U141" i="135" s="1"/>
  <c r="V141" i="135" s="1"/>
  <c r="W141" i="135" s="1"/>
  <c r="X141" i="135" s="1"/>
  <c r="Y141" i="135" s="1"/>
  <c r="Z141" i="135" s="1"/>
  <c r="AA141" i="135" s="1"/>
  <c r="AB141" i="135" s="1"/>
  <c r="AC141" i="135" s="1"/>
  <c r="AD141" i="135" s="1"/>
  <c r="AE141" i="135" s="1"/>
  <c r="AF141" i="135" s="1"/>
  <c r="N142" i="135"/>
  <c r="O142" i="135" s="1"/>
  <c r="P142" i="135" s="1"/>
  <c r="Q142" i="135" s="1"/>
  <c r="R142" i="135" s="1"/>
  <c r="S142" i="135" s="1"/>
  <c r="T142" i="135" s="1"/>
  <c r="U142" i="135" s="1"/>
  <c r="V142" i="135" s="1"/>
  <c r="W142" i="135" s="1"/>
  <c r="X142" i="135" s="1"/>
  <c r="Y142" i="135" s="1"/>
  <c r="Z142" i="135" s="1"/>
  <c r="AA142" i="135" s="1"/>
  <c r="AB142" i="135" s="1"/>
  <c r="AC142" i="135" s="1"/>
  <c r="AD142" i="135" s="1"/>
  <c r="AE142" i="135" s="1"/>
  <c r="AF142" i="135" s="1"/>
  <c r="N143" i="135"/>
  <c r="O143" i="135" s="1"/>
  <c r="P143" i="135" s="1"/>
  <c r="Q143" i="135" s="1"/>
  <c r="R143" i="135" s="1"/>
  <c r="S143" i="135" s="1"/>
  <c r="T143" i="135" s="1"/>
  <c r="U143" i="135" s="1"/>
  <c r="V143" i="135" s="1"/>
  <c r="W143" i="135" s="1"/>
  <c r="X143" i="135" s="1"/>
  <c r="Y143" i="135" s="1"/>
  <c r="Z143" i="135" s="1"/>
  <c r="AA143" i="135" s="1"/>
  <c r="AB143" i="135" s="1"/>
  <c r="AC143" i="135" s="1"/>
  <c r="AD143" i="135" s="1"/>
  <c r="AE143" i="135" s="1"/>
  <c r="AF143" i="135" s="1"/>
  <c r="N144" i="135"/>
  <c r="O144" i="135" s="1"/>
  <c r="P144" i="135" s="1"/>
  <c r="Q144" i="135" s="1"/>
  <c r="R144" i="135" s="1"/>
  <c r="S144" i="135" s="1"/>
  <c r="T144" i="135" s="1"/>
  <c r="U144" i="135" s="1"/>
  <c r="V144" i="135" s="1"/>
  <c r="W144" i="135" s="1"/>
  <c r="X144" i="135" s="1"/>
  <c r="Y144" i="135" s="1"/>
  <c r="Z144" i="135" s="1"/>
  <c r="AA144" i="135" s="1"/>
  <c r="AB144" i="135" s="1"/>
  <c r="AC144" i="135" s="1"/>
  <c r="AD144" i="135" s="1"/>
  <c r="AE144" i="135" s="1"/>
  <c r="AF144" i="135" s="1"/>
  <c r="N145" i="135"/>
  <c r="O145" i="135" s="1"/>
  <c r="P145" i="135" s="1"/>
  <c r="Q145" i="135" s="1"/>
  <c r="R145" i="135" s="1"/>
  <c r="S145" i="135" s="1"/>
  <c r="T145" i="135" s="1"/>
  <c r="U145" i="135" s="1"/>
  <c r="V145" i="135" s="1"/>
  <c r="W145" i="135" s="1"/>
  <c r="X145" i="135" s="1"/>
  <c r="Y145" i="135" s="1"/>
  <c r="Z145" i="135" s="1"/>
  <c r="AA145" i="135" s="1"/>
  <c r="AB145" i="135" s="1"/>
  <c r="AC145" i="135" s="1"/>
  <c r="AD145" i="135" s="1"/>
  <c r="AE145" i="135" s="1"/>
  <c r="AF145" i="135" s="1"/>
  <c r="K80" i="135"/>
  <c r="L80" i="135" s="1"/>
  <c r="M80" i="135" s="1"/>
  <c r="N80" i="135" s="1"/>
  <c r="O80" i="135" s="1"/>
  <c r="P80" i="135" s="1"/>
  <c r="Q80" i="135" s="1"/>
  <c r="R80" i="135" s="1"/>
  <c r="S80" i="135" s="1"/>
  <c r="T80" i="135" s="1"/>
  <c r="U80" i="135" s="1"/>
  <c r="V80" i="135" s="1"/>
  <c r="W80" i="135" s="1"/>
  <c r="X80" i="135" s="1"/>
  <c r="Y80" i="135" s="1"/>
  <c r="Z80" i="135" s="1"/>
  <c r="AA80" i="135" s="1"/>
  <c r="AB80" i="135" s="1"/>
  <c r="AC80" i="135" s="1"/>
  <c r="AD80" i="135" s="1"/>
  <c r="AE80" i="135" s="1"/>
  <c r="AF80" i="135" s="1"/>
  <c r="N75" i="135"/>
  <c r="O75" i="135" s="1"/>
  <c r="P75" i="135" s="1"/>
  <c r="Q75" i="135" s="1"/>
  <c r="R75" i="135" s="1"/>
  <c r="S75" i="135" s="1"/>
  <c r="T75" i="135" s="1"/>
  <c r="U75" i="135" s="1"/>
  <c r="V75" i="135" s="1"/>
  <c r="W75" i="135" s="1"/>
  <c r="X75" i="135" s="1"/>
  <c r="Y75" i="135" s="1"/>
  <c r="Z75" i="135" s="1"/>
  <c r="AA75" i="135" s="1"/>
  <c r="AB75" i="135" s="1"/>
  <c r="AC75" i="135" s="1"/>
  <c r="AD75" i="135" s="1"/>
  <c r="AE75" i="135" s="1"/>
  <c r="AF75" i="135" s="1"/>
  <c r="N74" i="135"/>
  <c r="O74" i="135" s="1"/>
  <c r="P74" i="135" s="1"/>
  <c r="Q74" i="135" s="1"/>
  <c r="R74" i="135" s="1"/>
  <c r="S74" i="135" s="1"/>
  <c r="T74" i="135" s="1"/>
  <c r="U74" i="135" s="1"/>
  <c r="V74" i="135" s="1"/>
  <c r="W74" i="135" s="1"/>
  <c r="X74" i="135" s="1"/>
  <c r="Y74" i="135" s="1"/>
  <c r="Z74" i="135" s="1"/>
  <c r="AA74" i="135" s="1"/>
  <c r="AB74" i="135" s="1"/>
  <c r="AC74" i="135" s="1"/>
  <c r="AD74" i="135" s="1"/>
  <c r="AE74" i="135" s="1"/>
  <c r="AF74" i="135" s="1"/>
  <c r="N73" i="135"/>
  <c r="O73" i="135" s="1"/>
  <c r="P73" i="135" s="1"/>
  <c r="Q73" i="135" s="1"/>
  <c r="R73" i="135" s="1"/>
  <c r="S73" i="135" s="1"/>
  <c r="T73" i="135" s="1"/>
  <c r="U73" i="135" s="1"/>
  <c r="V73" i="135" s="1"/>
  <c r="W73" i="135" s="1"/>
  <c r="X73" i="135" s="1"/>
  <c r="Y73" i="135" s="1"/>
  <c r="Z73" i="135" s="1"/>
  <c r="AA73" i="135" s="1"/>
  <c r="AB73" i="135" s="1"/>
  <c r="AC73" i="135" s="1"/>
  <c r="AD73" i="135" s="1"/>
  <c r="AE73" i="135" s="1"/>
  <c r="AF73" i="135" s="1"/>
  <c r="N72" i="135"/>
  <c r="O72" i="135"/>
  <c r="P72" i="135"/>
  <c r="Q72" i="135" s="1"/>
  <c r="R72" i="135" s="1"/>
  <c r="S72" i="135" s="1"/>
  <c r="T72" i="135" s="1"/>
  <c r="U72" i="135" s="1"/>
  <c r="V72" i="135" s="1"/>
  <c r="W72" i="135" s="1"/>
  <c r="X72" i="135" s="1"/>
  <c r="Y72" i="135" s="1"/>
  <c r="Z72" i="135" s="1"/>
  <c r="AA72" i="135" s="1"/>
  <c r="AB72" i="135" s="1"/>
  <c r="AC72" i="135" s="1"/>
  <c r="AD72" i="135" s="1"/>
  <c r="AE72" i="135" s="1"/>
  <c r="AF72" i="135" s="1"/>
  <c r="N71" i="135"/>
  <c r="O71" i="135" s="1"/>
  <c r="P71" i="135" s="1"/>
  <c r="Q71" i="135" s="1"/>
  <c r="R71" i="135" s="1"/>
  <c r="S71" i="135" s="1"/>
  <c r="T71" i="135" s="1"/>
  <c r="U71" i="135" s="1"/>
  <c r="V71" i="135" s="1"/>
  <c r="W71" i="135" s="1"/>
  <c r="X71" i="135" s="1"/>
  <c r="Y71" i="135" s="1"/>
  <c r="Z71" i="135" s="1"/>
  <c r="AA71" i="135" s="1"/>
  <c r="AB71" i="135" s="1"/>
  <c r="AC71" i="135" s="1"/>
  <c r="AD71" i="135" s="1"/>
  <c r="AE71" i="135" s="1"/>
  <c r="AF71" i="135" s="1"/>
  <c r="N70" i="135"/>
  <c r="O70" i="135" s="1"/>
  <c r="P70" i="135" s="1"/>
  <c r="Q70" i="135" s="1"/>
  <c r="R70" i="135" s="1"/>
  <c r="S70" i="135" s="1"/>
  <c r="T70" i="135" s="1"/>
  <c r="U70" i="135" s="1"/>
  <c r="V70" i="135" s="1"/>
  <c r="W70" i="135" s="1"/>
  <c r="X70" i="135" s="1"/>
  <c r="Y70" i="135" s="1"/>
  <c r="Z70" i="135" s="1"/>
  <c r="AA70" i="135" s="1"/>
  <c r="AB70" i="135" s="1"/>
  <c r="AC70" i="135" s="1"/>
  <c r="AD70" i="135" s="1"/>
  <c r="AE70" i="135" s="1"/>
  <c r="AF70" i="135" s="1"/>
  <c r="N69" i="135"/>
  <c r="O69" i="135" s="1"/>
  <c r="P69" i="135" s="1"/>
  <c r="Q69" i="135" s="1"/>
  <c r="R69" i="135" s="1"/>
  <c r="S69" i="135" s="1"/>
  <c r="T69" i="135" s="1"/>
  <c r="U69" i="135" s="1"/>
  <c r="V69" i="135" s="1"/>
  <c r="W69" i="135" s="1"/>
  <c r="X69" i="135" s="1"/>
  <c r="Y69" i="135" s="1"/>
  <c r="Z69" i="135" s="1"/>
  <c r="AA69" i="135" s="1"/>
  <c r="AB69" i="135" s="1"/>
  <c r="AC69" i="135" s="1"/>
  <c r="AD69" i="135" s="1"/>
  <c r="AE69" i="135" s="1"/>
  <c r="AF69" i="135" s="1"/>
  <c r="N64" i="135"/>
  <c r="O64" i="135" s="1"/>
  <c r="P64" i="135" s="1"/>
  <c r="Q64" i="135" s="1"/>
  <c r="R64" i="135" s="1"/>
  <c r="S64" i="135" s="1"/>
  <c r="T64" i="135" s="1"/>
  <c r="U64" i="135" s="1"/>
  <c r="V64" i="135" s="1"/>
  <c r="W64" i="135" s="1"/>
  <c r="X64" i="135" s="1"/>
  <c r="Y64" i="135" s="1"/>
  <c r="Z64" i="135" s="1"/>
  <c r="AA64" i="135" s="1"/>
  <c r="AB64" i="135" s="1"/>
  <c r="AC64" i="135" s="1"/>
  <c r="AD64" i="135" s="1"/>
  <c r="AE64" i="135" s="1"/>
  <c r="AF64" i="135" s="1"/>
  <c r="N63" i="135"/>
  <c r="O63" i="135" s="1"/>
  <c r="P63" i="135" s="1"/>
  <c r="Q63" i="135" s="1"/>
  <c r="R63" i="135" s="1"/>
  <c r="S63" i="135" s="1"/>
  <c r="T63" i="135" s="1"/>
  <c r="U63" i="135" s="1"/>
  <c r="V63" i="135" s="1"/>
  <c r="W63" i="135" s="1"/>
  <c r="X63" i="135" s="1"/>
  <c r="Y63" i="135" s="1"/>
  <c r="Z63" i="135" s="1"/>
  <c r="AA63" i="135" s="1"/>
  <c r="AB63" i="135" s="1"/>
  <c r="AC63" i="135" s="1"/>
  <c r="AD63" i="135" s="1"/>
  <c r="AE63" i="135" s="1"/>
  <c r="AF63" i="135" s="1"/>
  <c r="N61" i="135"/>
  <c r="O61" i="135" s="1"/>
  <c r="P61" i="135" s="1"/>
  <c r="Q61" i="135" s="1"/>
  <c r="R61" i="135" s="1"/>
  <c r="S61" i="135" s="1"/>
  <c r="T61" i="135" s="1"/>
  <c r="U61" i="135" s="1"/>
  <c r="V61" i="135" s="1"/>
  <c r="W61" i="135" s="1"/>
  <c r="X61" i="135" s="1"/>
  <c r="Y61" i="135" s="1"/>
  <c r="Z61" i="135" s="1"/>
  <c r="AA61" i="135" s="1"/>
  <c r="AB61" i="135" s="1"/>
  <c r="AC61" i="135" s="1"/>
  <c r="AD61" i="135" s="1"/>
  <c r="AE61" i="135" s="1"/>
  <c r="AF61" i="135" s="1"/>
  <c r="N57" i="135"/>
  <c r="O57" i="135"/>
  <c r="P57" i="135" s="1"/>
  <c r="Q57" i="135" s="1"/>
  <c r="R57" i="135" s="1"/>
  <c r="S57" i="135" s="1"/>
  <c r="T57" i="135" s="1"/>
  <c r="U57" i="135" s="1"/>
  <c r="V57" i="135" s="1"/>
  <c r="W57" i="135" s="1"/>
  <c r="X57" i="135" s="1"/>
  <c r="Y57" i="135" s="1"/>
  <c r="Z57" i="135" s="1"/>
  <c r="AA57" i="135" s="1"/>
  <c r="AB57" i="135" s="1"/>
  <c r="AC57" i="135" s="1"/>
  <c r="AD57" i="135" s="1"/>
  <c r="AE57" i="135" s="1"/>
  <c r="AF57" i="135" s="1"/>
  <c r="N56" i="135"/>
  <c r="O56" i="135" s="1"/>
  <c r="P56" i="135" s="1"/>
  <c r="Q56" i="135" s="1"/>
  <c r="R56" i="135" s="1"/>
  <c r="S56" i="135" s="1"/>
  <c r="T56" i="135" s="1"/>
  <c r="U56" i="135" s="1"/>
  <c r="V56" i="135" s="1"/>
  <c r="W56" i="135" s="1"/>
  <c r="X56" i="135" s="1"/>
  <c r="Y56" i="135" s="1"/>
  <c r="Z56" i="135" s="1"/>
  <c r="AA56" i="135" s="1"/>
  <c r="AB56" i="135" s="1"/>
  <c r="AC56" i="135" s="1"/>
  <c r="AD56" i="135" s="1"/>
  <c r="AE56" i="135" s="1"/>
  <c r="AF56" i="135" s="1"/>
  <c r="N47" i="135"/>
  <c r="O47" i="135" s="1"/>
  <c r="P47" i="135" s="1"/>
  <c r="Q47" i="135" s="1"/>
  <c r="R47" i="135" s="1"/>
  <c r="S47" i="135" s="1"/>
  <c r="T47" i="135" s="1"/>
  <c r="U47" i="135" s="1"/>
  <c r="V47" i="135" s="1"/>
  <c r="W47" i="135" s="1"/>
  <c r="X47" i="135" s="1"/>
  <c r="Y47" i="135" s="1"/>
  <c r="Z47" i="135" s="1"/>
  <c r="AA47" i="135" s="1"/>
  <c r="AB47" i="135" s="1"/>
  <c r="AC47" i="135" s="1"/>
  <c r="AD47" i="135" s="1"/>
  <c r="AE47" i="135" s="1"/>
  <c r="AF47" i="135" s="1"/>
  <c r="N46" i="135"/>
  <c r="O46" i="135" s="1"/>
  <c r="P46" i="135" s="1"/>
  <c r="Q46" i="135" s="1"/>
  <c r="R46" i="135" s="1"/>
  <c r="S46" i="135" s="1"/>
  <c r="T46" i="135" s="1"/>
  <c r="U46" i="135" s="1"/>
  <c r="V46" i="135" s="1"/>
  <c r="W46" i="135" s="1"/>
  <c r="X46" i="135" s="1"/>
  <c r="Y46" i="135" s="1"/>
  <c r="Z46" i="135" s="1"/>
  <c r="AA46" i="135" s="1"/>
  <c r="AB46" i="135" s="1"/>
  <c r="AC46" i="135" s="1"/>
  <c r="AD46" i="135" s="1"/>
  <c r="AE46" i="135" s="1"/>
  <c r="AF46" i="135" s="1"/>
  <c r="H81" i="133"/>
  <c r="I81" i="133"/>
  <c r="J81" i="133"/>
  <c r="L81" i="133"/>
  <c r="M81" i="133"/>
  <c r="N81" i="133"/>
  <c r="O81" i="133"/>
  <c r="P81" i="133"/>
  <c r="Q81" i="133"/>
  <c r="R81" i="133"/>
  <c r="S81" i="133"/>
  <c r="T81" i="133"/>
  <c r="U81" i="133"/>
  <c r="V81" i="133"/>
  <c r="W81" i="133"/>
  <c r="X81" i="133"/>
  <c r="Y81" i="133"/>
  <c r="Z81" i="133"/>
  <c r="AA81" i="133"/>
  <c r="AB81" i="133"/>
  <c r="AC81" i="133"/>
  <c r="G81" i="133"/>
  <c r="N182" i="135"/>
  <c r="O182" i="135" s="1"/>
  <c r="P182" i="135" s="1"/>
  <c r="Q182" i="135" s="1"/>
  <c r="R182" i="135" s="1"/>
  <c r="S182" i="135" s="1"/>
  <c r="T182" i="135" s="1"/>
  <c r="U182" i="135" s="1"/>
  <c r="V182" i="135" s="1"/>
  <c r="W182" i="135" s="1"/>
  <c r="X182" i="135" s="1"/>
  <c r="Y182" i="135" s="1"/>
  <c r="Z182" i="135" s="1"/>
  <c r="AA182" i="135" s="1"/>
  <c r="AB182" i="135" s="1"/>
  <c r="AC182" i="135" s="1"/>
  <c r="AD182" i="135" s="1"/>
  <c r="AE182" i="135" s="1"/>
  <c r="AF182" i="135" s="1"/>
  <c r="L44" i="135"/>
  <c r="K38" i="135"/>
  <c r="L38" i="135" s="1"/>
  <c r="M38" i="135" s="1"/>
  <c r="N38" i="135" s="1"/>
  <c r="O38" i="135" s="1"/>
  <c r="P38" i="135" s="1"/>
  <c r="Q38" i="135" s="1"/>
  <c r="R38" i="135" s="1"/>
  <c r="S38" i="135" s="1"/>
  <c r="T38" i="135" s="1"/>
  <c r="U38" i="135" s="1"/>
  <c r="V38" i="135" s="1"/>
  <c r="W38" i="135" s="1"/>
  <c r="X38" i="135" s="1"/>
  <c r="Y38" i="135" s="1"/>
  <c r="Z38" i="135" s="1"/>
  <c r="AA38" i="135" s="1"/>
  <c r="AB38" i="135" s="1"/>
  <c r="AC38" i="135" s="1"/>
  <c r="AD38" i="135" s="1"/>
  <c r="AE38" i="135" s="1"/>
  <c r="AF38" i="135" s="1"/>
  <c r="M37" i="135"/>
  <c r="N37" i="135" s="1"/>
  <c r="O37" i="135" s="1"/>
  <c r="P37" i="135" s="1"/>
  <c r="Q37" i="135" s="1"/>
  <c r="R37" i="135" s="1"/>
  <c r="S37" i="135" s="1"/>
  <c r="T37" i="135" s="1"/>
  <c r="U37" i="135" s="1"/>
  <c r="V37" i="135" s="1"/>
  <c r="W37" i="135" s="1"/>
  <c r="X37" i="135" s="1"/>
  <c r="Y37" i="135" s="1"/>
  <c r="Z37" i="135" s="1"/>
  <c r="AA37" i="135" s="1"/>
  <c r="AB37" i="135" s="1"/>
  <c r="AC37" i="135" s="1"/>
  <c r="AD37" i="135" s="1"/>
  <c r="AE37" i="135" s="1"/>
  <c r="AF37" i="135" s="1"/>
  <c r="M36" i="135"/>
  <c r="N36" i="135" s="1"/>
  <c r="O36" i="135" s="1"/>
  <c r="P36" i="135" s="1"/>
  <c r="Q36" i="135" s="1"/>
  <c r="R36" i="135" s="1"/>
  <c r="S36" i="135" s="1"/>
  <c r="T36" i="135" s="1"/>
  <c r="U36" i="135" s="1"/>
  <c r="V36" i="135" s="1"/>
  <c r="W36" i="135" s="1"/>
  <c r="X36" i="135" s="1"/>
  <c r="Y36" i="135" s="1"/>
  <c r="Z36" i="135" s="1"/>
  <c r="AA36" i="135" s="1"/>
  <c r="AB36" i="135" s="1"/>
  <c r="AC36" i="135" s="1"/>
  <c r="AD36" i="135" s="1"/>
  <c r="AE36" i="135" s="1"/>
  <c r="AF36" i="135" s="1"/>
  <c r="N34" i="135"/>
  <c r="O34" i="135" s="1"/>
  <c r="P34" i="135" s="1"/>
  <c r="Q34" i="135" s="1"/>
  <c r="R34" i="135" s="1"/>
  <c r="S34" i="135" s="1"/>
  <c r="T34" i="135" s="1"/>
  <c r="U34" i="135" s="1"/>
  <c r="V34" i="135" s="1"/>
  <c r="W34" i="135" s="1"/>
  <c r="X34" i="135" s="1"/>
  <c r="Y34" i="135" s="1"/>
  <c r="Z34" i="135" s="1"/>
  <c r="AA34" i="135" s="1"/>
  <c r="AB34" i="135" s="1"/>
  <c r="AC34" i="135" s="1"/>
  <c r="AD34" i="135" s="1"/>
  <c r="AE34" i="135" s="1"/>
  <c r="AF34" i="135" s="1"/>
  <c r="M33" i="135"/>
  <c r="N33" i="135" s="1"/>
  <c r="O33" i="135" s="1"/>
  <c r="P33" i="135" s="1"/>
  <c r="Q33" i="135" s="1"/>
  <c r="R33" i="135" s="1"/>
  <c r="S33" i="135" s="1"/>
  <c r="T33" i="135" s="1"/>
  <c r="U33" i="135" s="1"/>
  <c r="V33" i="135" s="1"/>
  <c r="W33" i="135" s="1"/>
  <c r="X33" i="135" s="1"/>
  <c r="Y33" i="135" s="1"/>
  <c r="Z33" i="135" s="1"/>
  <c r="AA33" i="135" s="1"/>
  <c r="AB33" i="135" s="1"/>
  <c r="AC33" i="135" s="1"/>
  <c r="AD33" i="135" s="1"/>
  <c r="AE33" i="135" s="1"/>
  <c r="AF33" i="135" s="1"/>
  <c r="J34" i="135"/>
  <c r="K34" i="135" s="1"/>
  <c r="L34" i="135" s="1"/>
  <c r="M34" i="135" s="1"/>
  <c r="J27" i="135"/>
  <c r="K27" i="135" s="1"/>
  <c r="L27" i="135" s="1"/>
  <c r="M27" i="135" s="1"/>
  <c r="N27" i="135" s="1"/>
  <c r="O27" i="135" s="1"/>
  <c r="P27" i="135" s="1"/>
  <c r="Q27" i="135" s="1"/>
  <c r="R27" i="135" s="1"/>
  <c r="S27" i="135" s="1"/>
  <c r="T27" i="135" s="1"/>
  <c r="U27" i="135" s="1"/>
  <c r="V27" i="135" s="1"/>
  <c r="W27" i="135" s="1"/>
  <c r="X27" i="135" s="1"/>
  <c r="Y27" i="135" s="1"/>
  <c r="Z27" i="135" s="1"/>
  <c r="AA27" i="135" s="1"/>
  <c r="AB27" i="135" s="1"/>
  <c r="AC27" i="135" s="1"/>
  <c r="AD27" i="135" s="1"/>
  <c r="AE27" i="135" s="1"/>
  <c r="AF27" i="135" s="1"/>
  <c r="J26" i="135"/>
  <c r="K26" i="135" s="1"/>
  <c r="L26" i="135" s="1"/>
  <c r="M26" i="135" s="1"/>
  <c r="N26" i="135" s="1"/>
  <c r="O26" i="135" s="1"/>
  <c r="P26" i="135" s="1"/>
  <c r="Q26" i="135" s="1"/>
  <c r="R26" i="135" s="1"/>
  <c r="S26" i="135" s="1"/>
  <c r="T26" i="135" s="1"/>
  <c r="U26" i="135" s="1"/>
  <c r="V26" i="135" s="1"/>
  <c r="W26" i="135" s="1"/>
  <c r="X26" i="135" s="1"/>
  <c r="Y26" i="135" s="1"/>
  <c r="Z26" i="135" s="1"/>
  <c r="AA26" i="135" s="1"/>
  <c r="AB26" i="135" s="1"/>
  <c r="AC26" i="135" s="1"/>
  <c r="AD26" i="135" s="1"/>
  <c r="AE26" i="135" s="1"/>
  <c r="AF26" i="135" s="1"/>
  <c r="J24" i="135"/>
  <c r="K24" i="135" s="1"/>
  <c r="L24" i="135" s="1"/>
  <c r="M24" i="135" s="1"/>
  <c r="N24" i="135" s="1"/>
  <c r="O24" i="135" s="1"/>
  <c r="P24" i="135" s="1"/>
  <c r="Q24" i="135" s="1"/>
  <c r="R24" i="135" s="1"/>
  <c r="S24" i="135" s="1"/>
  <c r="T24" i="135" s="1"/>
  <c r="U24" i="135" s="1"/>
  <c r="V24" i="135" s="1"/>
  <c r="W24" i="135" s="1"/>
  <c r="X24" i="135" s="1"/>
  <c r="Y24" i="135" s="1"/>
  <c r="Z24" i="135" s="1"/>
  <c r="AA24" i="135" s="1"/>
  <c r="AB24" i="135" s="1"/>
  <c r="AC24" i="135" s="1"/>
  <c r="AD24" i="135" s="1"/>
  <c r="AE24" i="135" s="1"/>
  <c r="AF24" i="135" s="1"/>
  <c r="L21" i="135"/>
  <c r="M21" i="135" s="1"/>
  <c r="N21" i="135" s="1"/>
  <c r="O21" i="135" s="1"/>
  <c r="P21" i="135" s="1"/>
  <c r="Q21" i="135" s="1"/>
  <c r="R21" i="135" s="1"/>
  <c r="S21" i="135" s="1"/>
  <c r="T21" i="135" s="1"/>
  <c r="U21" i="135" s="1"/>
  <c r="V21" i="135" s="1"/>
  <c r="W21" i="135" s="1"/>
  <c r="X21" i="135" s="1"/>
  <c r="Y21" i="135" s="1"/>
  <c r="Z21" i="135" s="1"/>
  <c r="AA21" i="135" s="1"/>
  <c r="AB21" i="135" s="1"/>
  <c r="AC21" i="135" s="1"/>
  <c r="AD21" i="135" s="1"/>
  <c r="AE21" i="135" s="1"/>
  <c r="AF21" i="135" s="1"/>
  <c r="L19" i="135"/>
  <c r="M19" i="135" s="1"/>
  <c r="N19" i="135" s="1"/>
  <c r="O19" i="135" s="1"/>
  <c r="P19" i="135" s="1"/>
  <c r="Q19" i="135" s="1"/>
  <c r="R19" i="135" s="1"/>
  <c r="S19" i="135" s="1"/>
  <c r="T19" i="135" s="1"/>
  <c r="U19" i="135" s="1"/>
  <c r="V19" i="135" s="1"/>
  <c r="W19" i="135" s="1"/>
  <c r="X19" i="135" s="1"/>
  <c r="Y19" i="135" s="1"/>
  <c r="Z19" i="135" s="1"/>
  <c r="AA19" i="135" s="1"/>
  <c r="AB19" i="135" s="1"/>
  <c r="AC19" i="135" s="1"/>
  <c r="AD19" i="135" s="1"/>
  <c r="AE19" i="135" s="1"/>
  <c r="AF19" i="135" s="1"/>
  <c r="L17" i="135"/>
  <c r="M17" i="135" s="1"/>
  <c r="N17" i="135" s="1"/>
  <c r="O17" i="135" s="1"/>
  <c r="P17" i="135" s="1"/>
  <c r="Q17" i="135" s="1"/>
  <c r="R17" i="135" s="1"/>
  <c r="S17" i="135" s="1"/>
  <c r="T17" i="135" s="1"/>
  <c r="U17" i="135" s="1"/>
  <c r="V17" i="135" s="1"/>
  <c r="W17" i="135" s="1"/>
  <c r="X17" i="135" s="1"/>
  <c r="Y17" i="135" s="1"/>
  <c r="Z17" i="135" s="1"/>
  <c r="AA17" i="135" s="1"/>
  <c r="AB17" i="135" s="1"/>
  <c r="AC17" i="135" s="1"/>
  <c r="AD17" i="135" s="1"/>
  <c r="AE17" i="135" s="1"/>
  <c r="AF17" i="135" s="1"/>
  <c r="L16" i="135"/>
  <c r="M16" i="135" s="1"/>
  <c r="N16" i="135" s="1"/>
  <c r="O16" i="135" s="1"/>
  <c r="P16" i="135" s="1"/>
  <c r="Q16" i="135" s="1"/>
  <c r="R16" i="135" s="1"/>
  <c r="S16" i="135" s="1"/>
  <c r="T16" i="135" s="1"/>
  <c r="U16" i="135" s="1"/>
  <c r="V16" i="135" s="1"/>
  <c r="W16" i="135" s="1"/>
  <c r="X16" i="135" s="1"/>
  <c r="Y16" i="135" s="1"/>
  <c r="Z16" i="135" s="1"/>
  <c r="AA16" i="135" s="1"/>
  <c r="AB16" i="135" s="1"/>
  <c r="AC16" i="135" s="1"/>
  <c r="AD16" i="135" s="1"/>
  <c r="AE16" i="135" s="1"/>
  <c r="AF16" i="135" s="1"/>
  <c r="P20" i="166" l="1"/>
  <c r="O295" i="166"/>
  <c r="P23" i="166"/>
  <c r="O297" i="166"/>
  <c r="P136" i="166"/>
  <c r="O289" i="166"/>
  <c r="P22" i="166"/>
  <c r="O296" i="166"/>
  <c r="P57" i="166"/>
  <c r="O299" i="166"/>
  <c r="P115" i="166"/>
  <c r="O288" i="166"/>
  <c r="P41" i="166"/>
  <c r="O286" i="166"/>
  <c r="N284" i="166"/>
  <c r="P147" i="166"/>
  <c r="O290" i="166"/>
  <c r="P24" i="166"/>
  <c r="O298" i="166"/>
  <c r="P79" i="166"/>
  <c r="O291" i="166"/>
  <c r="P152" i="166"/>
  <c r="O285" i="166"/>
  <c r="P94" i="166"/>
  <c r="O292" i="166"/>
  <c r="P30" i="166"/>
  <c r="O294" i="166"/>
  <c r="P28" i="166"/>
  <c r="O293" i="166"/>
  <c r="O147" i="135"/>
  <c r="N290" i="135"/>
  <c r="O62" i="135"/>
  <c r="N296" i="135"/>
  <c r="O138" i="135"/>
  <c r="N289" i="135"/>
  <c r="O115" i="135"/>
  <c r="N288" i="135"/>
  <c r="O94" i="135"/>
  <c r="N292" i="135"/>
  <c r="O164" i="135"/>
  <c r="M44" i="135"/>
  <c r="O58" i="135"/>
  <c r="O82" i="135"/>
  <c r="N291" i="135"/>
  <c r="O30" i="135"/>
  <c r="N294" i="135"/>
  <c r="O174" i="135"/>
  <c r="N295" i="135"/>
  <c r="E33" i="136"/>
  <c r="G33" i="136"/>
  <c r="T27" i="173"/>
  <c r="T73" i="173" s="1"/>
  <c r="T151" i="173" s="1"/>
  <c r="F33" i="136"/>
  <c r="N28" i="135"/>
  <c r="K49" i="135"/>
  <c r="L49" i="135" s="1"/>
  <c r="O42" i="135"/>
  <c r="P42" i="135" s="1"/>
  <c r="Q42" i="135" s="1"/>
  <c r="R42" i="135" s="1"/>
  <c r="S42" i="135" s="1"/>
  <c r="T42" i="135" s="1"/>
  <c r="U42" i="135" s="1"/>
  <c r="V42" i="135" s="1"/>
  <c r="W42" i="135" s="1"/>
  <c r="X42" i="135" s="1"/>
  <c r="Y42" i="135" s="1"/>
  <c r="Z42" i="135" s="1"/>
  <c r="AA42" i="135" s="1"/>
  <c r="AB42" i="135" s="1"/>
  <c r="AC42" i="135" s="1"/>
  <c r="AD42" i="135" s="1"/>
  <c r="AE42" i="135" s="1"/>
  <c r="AF42" i="135" s="1"/>
  <c r="Q57" i="166" l="1"/>
  <c r="P299" i="166"/>
  <c r="Q28" i="166"/>
  <c r="P293" i="166"/>
  <c r="Q41" i="166"/>
  <c r="P286" i="166"/>
  <c r="Q94" i="166"/>
  <c r="P292" i="166"/>
  <c r="Q30" i="166"/>
  <c r="P294" i="166"/>
  <c r="Q152" i="166"/>
  <c r="P285" i="166"/>
  <c r="Q23" i="166"/>
  <c r="P297" i="166"/>
  <c r="Q24" i="166"/>
  <c r="P298" i="166"/>
  <c r="Q115" i="166"/>
  <c r="P288" i="166"/>
  <c r="Q22" i="166"/>
  <c r="P296" i="166"/>
  <c r="Q136" i="166"/>
  <c r="P289" i="166"/>
  <c r="Q79" i="166"/>
  <c r="P291" i="166"/>
  <c r="M49" i="135"/>
  <c r="L286" i="135"/>
  <c r="Q147" i="166"/>
  <c r="P290" i="166"/>
  <c r="Q20" i="166"/>
  <c r="P295" i="166"/>
  <c r="P30" i="135"/>
  <c r="O294" i="135"/>
  <c r="P82" i="135"/>
  <c r="O291" i="135"/>
  <c r="N44" i="135"/>
  <c r="P58" i="135"/>
  <c r="P174" i="135"/>
  <c r="O295" i="135"/>
  <c r="P62" i="135"/>
  <c r="O296" i="135"/>
  <c r="P94" i="135"/>
  <c r="O292" i="135"/>
  <c r="P138" i="135"/>
  <c r="O289" i="135"/>
  <c r="P164" i="135"/>
  <c r="P115" i="135"/>
  <c r="O288" i="135"/>
  <c r="O28" i="135"/>
  <c r="N293" i="135"/>
  <c r="P147" i="135"/>
  <c r="O290" i="135"/>
  <c r="Q33" i="136"/>
  <c r="O11" i="166"/>
  <c r="R57" i="166" l="1"/>
  <c r="Q299" i="166"/>
  <c r="O284" i="166"/>
  <c r="R79" i="166"/>
  <c r="Q291" i="166"/>
  <c r="R41" i="166"/>
  <c r="Q286" i="166"/>
  <c r="R136" i="166"/>
  <c r="Q289" i="166"/>
  <c r="R28" i="166"/>
  <c r="Q293" i="166"/>
  <c r="R115" i="166"/>
  <c r="Q288" i="166"/>
  <c r="R24" i="166"/>
  <c r="Q298" i="166"/>
  <c r="R94" i="166"/>
  <c r="Q292" i="166"/>
  <c r="R22" i="166"/>
  <c r="Q296" i="166"/>
  <c r="R147" i="166"/>
  <c r="Q290" i="166"/>
  <c r="R23" i="166"/>
  <c r="Q297" i="166"/>
  <c r="R152" i="166"/>
  <c r="Q285" i="166"/>
  <c r="R30" i="166"/>
  <c r="Q294" i="166"/>
  <c r="R20" i="166"/>
  <c r="Q295" i="166"/>
  <c r="P28" i="135"/>
  <c r="O293" i="135"/>
  <c r="Q115" i="135"/>
  <c r="P288" i="135"/>
  <c r="Q138" i="135"/>
  <c r="P289" i="135"/>
  <c r="Q94" i="135"/>
  <c r="P292" i="135"/>
  <c r="Q174" i="135"/>
  <c r="P295" i="135"/>
  <c r="O44" i="135"/>
  <c r="Q82" i="135"/>
  <c r="P291" i="135"/>
  <c r="Q164" i="135"/>
  <c r="Q62" i="135"/>
  <c r="P296" i="135"/>
  <c r="Q147" i="135"/>
  <c r="P290" i="135"/>
  <c r="Q58" i="135"/>
  <c r="Q30" i="135"/>
  <c r="P294" i="135"/>
  <c r="P11" i="166"/>
  <c r="P284" i="166" s="1"/>
  <c r="S94" i="166" l="1"/>
  <c r="R292" i="166"/>
  <c r="S30" i="166"/>
  <c r="R294" i="166"/>
  <c r="S41" i="166"/>
  <c r="R286" i="166"/>
  <c r="S79" i="166"/>
  <c r="R291" i="166"/>
  <c r="S22" i="166"/>
  <c r="R296" i="166"/>
  <c r="S24" i="166"/>
  <c r="R298" i="166"/>
  <c r="S115" i="166"/>
  <c r="R288" i="166"/>
  <c r="S152" i="166"/>
  <c r="R285" i="166"/>
  <c r="S147" i="166"/>
  <c r="R290" i="166"/>
  <c r="S136" i="166"/>
  <c r="R289" i="166"/>
  <c r="S23" i="166"/>
  <c r="R297" i="166"/>
  <c r="S57" i="166"/>
  <c r="R299" i="166"/>
  <c r="S20" i="166"/>
  <c r="R295" i="166"/>
  <c r="S28" i="166"/>
  <c r="R293" i="166"/>
  <c r="R58" i="135"/>
  <c r="R147" i="135"/>
  <c r="Q290" i="135"/>
  <c r="R164" i="135"/>
  <c r="R82" i="135"/>
  <c r="Q291" i="135"/>
  <c r="R94" i="135"/>
  <c r="Q292" i="135"/>
  <c r="R138" i="135"/>
  <c r="Q289" i="135"/>
  <c r="P44" i="135"/>
  <c r="R115" i="135"/>
  <c r="Q288" i="135"/>
  <c r="R62" i="135"/>
  <c r="Q296" i="135"/>
  <c r="R174" i="135"/>
  <c r="Q295" i="135"/>
  <c r="R30" i="135"/>
  <c r="Q294" i="135"/>
  <c r="Q28" i="135"/>
  <c r="P293" i="135"/>
  <c r="Q11" i="166"/>
  <c r="T57" i="166" l="1"/>
  <c r="S299" i="166"/>
  <c r="T41" i="166"/>
  <c r="S286" i="166"/>
  <c r="T22" i="166"/>
  <c r="S296" i="166"/>
  <c r="T30" i="166"/>
  <c r="S294" i="166"/>
  <c r="T152" i="166"/>
  <c r="S285" i="166"/>
  <c r="T147" i="166"/>
  <c r="S290" i="166"/>
  <c r="Q284" i="166"/>
  <c r="T20" i="166"/>
  <c r="S295" i="166"/>
  <c r="T79" i="166"/>
  <c r="S291" i="166"/>
  <c r="T23" i="166"/>
  <c r="S297" i="166"/>
  <c r="T115" i="166"/>
  <c r="S288" i="166"/>
  <c r="T28" i="166"/>
  <c r="S293" i="166"/>
  <c r="T24" i="166"/>
  <c r="S298" i="166"/>
  <c r="T136" i="166"/>
  <c r="S289" i="166"/>
  <c r="T94" i="166"/>
  <c r="S292" i="166"/>
  <c r="Q44" i="135"/>
  <c r="S138" i="135"/>
  <c r="R289" i="135"/>
  <c r="H289" i="135" s="1"/>
  <c r="S82" i="135"/>
  <c r="R291" i="135"/>
  <c r="H291" i="135" s="1"/>
  <c r="S164" i="135"/>
  <c r="S30" i="135"/>
  <c r="R294" i="135"/>
  <c r="H294" i="135" s="1"/>
  <c r="S174" i="135"/>
  <c r="R295" i="135"/>
  <c r="H295" i="135" s="1"/>
  <c r="S62" i="135"/>
  <c r="R296" i="135"/>
  <c r="H296" i="135" s="1"/>
  <c r="S115" i="135"/>
  <c r="R288" i="135"/>
  <c r="H288" i="135" s="1"/>
  <c r="S94" i="135"/>
  <c r="R292" i="135"/>
  <c r="H292" i="135" s="1"/>
  <c r="S147" i="135"/>
  <c r="R290" i="135"/>
  <c r="H290" i="135" s="1"/>
  <c r="R28" i="135"/>
  <c r="Q293" i="135"/>
  <c r="S58" i="135"/>
  <c r="R11" i="166"/>
  <c r="R284" i="166" s="1"/>
  <c r="U20" i="166" l="1"/>
  <c r="T295" i="166"/>
  <c r="U136" i="166"/>
  <c r="T289" i="166"/>
  <c r="U30" i="166"/>
  <c r="T294" i="166"/>
  <c r="U94" i="166"/>
  <c r="T292" i="166"/>
  <c r="U24" i="166"/>
  <c r="T298" i="166"/>
  <c r="U41" i="166"/>
  <c r="T286" i="166"/>
  <c r="U57" i="166"/>
  <c r="T299" i="166"/>
  <c r="U152" i="166"/>
  <c r="T285" i="166"/>
  <c r="U23" i="166"/>
  <c r="T297" i="166"/>
  <c r="U22" i="166"/>
  <c r="T296" i="166"/>
  <c r="U147" i="166"/>
  <c r="T290" i="166"/>
  <c r="U28" i="166"/>
  <c r="T293" i="166"/>
  <c r="U115" i="166"/>
  <c r="T288" i="166"/>
  <c r="U79" i="166"/>
  <c r="T291" i="166"/>
  <c r="T147" i="135"/>
  <c r="S290" i="135"/>
  <c r="T94" i="135"/>
  <c r="S292" i="135"/>
  <c r="S28" i="135"/>
  <c r="R293" i="135"/>
  <c r="H293" i="135" s="1"/>
  <c r="T115" i="135"/>
  <c r="S288" i="135"/>
  <c r="T62" i="135"/>
  <c r="S296" i="135"/>
  <c r="T174" i="135"/>
  <c r="S295" i="135"/>
  <c r="T30" i="135"/>
  <c r="S294" i="135"/>
  <c r="T164" i="135"/>
  <c r="T82" i="135"/>
  <c r="S291" i="135"/>
  <c r="T138" i="135"/>
  <c r="S289" i="135"/>
  <c r="T58" i="135"/>
  <c r="R44" i="135"/>
  <c r="S11" i="166"/>
  <c r="D320" i="135"/>
  <c r="D316" i="135"/>
  <c r="D307" i="135"/>
  <c r="E307" i="135"/>
  <c r="E319" i="135"/>
  <c r="M14" i="135"/>
  <c r="N14" i="135" s="1"/>
  <c r="O14" i="135" s="1"/>
  <c r="P14" i="135" s="1"/>
  <c r="Q14" i="135" s="1"/>
  <c r="R14" i="135" s="1"/>
  <c r="S14" i="135" s="1"/>
  <c r="T14" i="135" s="1"/>
  <c r="U14" i="135" s="1"/>
  <c r="V14" i="135" s="1"/>
  <c r="W14" i="135" s="1"/>
  <c r="X14" i="135" s="1"/>
  <c r="Y14" i="135" s="1"/>
  <c r="Z14" i="135" s="1"/>
  <c r="AA14" i="135" s="1"/>
  <c r="AB14" i="135" s="1"/>
  <c r="AC14" i="135" s="1"/>
  <c r="AD14" i="135" s="1"/>
  <c r="AE14" i="135" s="1"/>
  <c r="AF14" i="135" s="1"/>
  <c r="O12" i="135"/>
  <c r="P12" i="135" s="1"/>
  <c r="Q12" i="135" s="1"/>
  <c r="R12" i="135" s="1"/>
  <c r="S12" i="135" s="1"/>
  <c r="T12" i="135" s="1"/>
  <c r="U12" i="135" s="1"/>
  <c r="V12" i="135" s="1"/>
  <c r="W12" i="135" s="1"/>
  <c r="X12" i="135" s="1"/>
  <c r="Y12" i="135" s="1"/>
  <c r="Z12" i="135" s="1"/>
  <c r="AA12" i="135" s="1"/>
  <c r="AB12" i="135" s="1"/>
  <c r="AC12" i="135" s="1"/>
  <c r="AD12" i="135" s="1"/>
  <c r="AE12" i="135" s="1"/>
  <c r="AF12" i="135" s="1"/>
  <c r="AL20" i="136"/>
  <c r="AN20" i="136"/>
  <c r="O20" i="136"/>
  <c r="J41" i="135"/>
  <c r="J136" i="135"/>
  <c r="J67" i="135"/>
  <c r="K67" i="135" s="1"/>
  <c r="L67" i="135" s="1"/>
  <c r="M67" i="135" s="1"/>
  <c r="N67" i="135" s="1"/>
  <c r="O67" i="135" s="1"/>
  <c r="P67" i="135" s="1"/>
  <c r="Q67" i="135" s="1"/>
  <c r="R67" i="135" s="1"/>
  <c r="S67" i="135" s="1"/>
  <c r="T67" i="135" s="1"/>
  <c r="U67" i="135" s="1"/>
  <c r="V67" i="135" s="1"/>
  <c r="W67" i="135" s="1"/>
  <c r="X67" i="135" s="1"/>
  <c r="Y67" i="135" s="1"/>
  <c r="Z67" i="135" s="1"/>
  <c r="AA67" i="135" s="1"/>
  <c r="AB67" i="135" s="1"/>
  <c r="AC67" i="135" s="1"/>
  <c r="AD67" i="135" s="1"/>
  <c r="AE67" i="135" s="1"/>
  <c r="AF67" i="135" s="1"/>
  <c r="J65" i="135"/>
  <c r="J48" i="135"/>
  <c r="K48" i="135" s="1"/>
  <c r="J40" i="135"/>
  <c r="K40" i="135" s="1"/>
  <c r="L40" i="135" s="1"/>
  <c r="M40" i="135" s="1"/>
  <c r="N40" i="135" s="1"/>
  <c r="O40" i="135" s="1"/>
  <c r="P40" i="135" s="1"/>
  <c r="Q40" i="135" s="1"/>
  <c r="R40" i="135" s="1"/>
  <c r="S40" i="135" s="1"/>
  <c r="T40" i="135" s="1"/>
  <c r="U40" i="135" s="1"/>
  <c r="V40" i="135" s="1"/>
  <c r="W40" i="135" s="1"/>
  <c r="X40" i="135" s="1"/>
  <c r="Y40" i="135" s="1"/>
  <c r="Z40" i="135" s="1"/>
  <c r="AA40" i="135" s="1"/>
  <c r="AB40" i="135" s="1"/>
  <c r="AC40" i="135" s="1"/>
  <c r="AD40" i="135" s="1"/>
  <c r="AE40" i="135" s="1"/>
  <c r="AF40" i="135" s="1"/>
  <c r="J35" i="135"/>
  <c r="K35" i="135" s="1"/>
  <c r="L35" i="135" s="1"/>
  <c r="M35" i="135" s="1"/>
  <c r="J22" i="135"/>
  <c r="K22" i="135" s="1"/>
  <c r="L22" i="135" s="1"/>
  <c r="M22" i="135" s="1"/>
  <c r="N22" i="135" s="1"/>
  <c r="O22" i="135" s="1"/>
  <c r="P22" i="135" s="1"/>
  <c r="Q22" i="135" s="1"/>
  <c r="R22" i="135" s="1"/>
  <c r="S22" i="135" s="1"/>
  <c r="T22" i="135" s="1"/>
  <c r="U22" i="135" s="1"/>
  <c r="V22" i="135" s="1"/>
  <c r="W22" i="135" s="1"/>
  <c r="X22" i="135" s="1"/>
  <c r="Y22" i="135" s="1"/>
  <c r="Z22" i="135" s="1"/>
  <c r="AA22" i="135" s="1"/>
  <c r="AB22" i="135" s="1"/>
  <c r="AC22" i="135" s="1"/>
  <c r="AD22" i="135" s="1"/>
  <c r="AE22" i="135" s="1"/>
  <c r="AF22" i="135" s="1"/>
  <c r="J18" i="135"/>
  <c r="K18" i="135" s="1"/>
  <c r="L18" i="135" s="1"/>
  <c r="M18" i="135" s="1"/>
  <c r="N18" i="135" s="1"/>
  <c r="O18" i="135" s="1"/>
  <c r="P18" i="135" s="1"/>
  <c r="Q18" i="135" s="1"/>
  <c r="R18" i="135" s="1"/>
  <c r="S18" i="135" s="1"/>
  <c r="T18" i="135" s="1"/>
  <c r="U18" i="135" s="1"/>
  <c r="V18" i="135" s="1"/>
  <c r="W18" i="135" s="1"/>
  <c r="X18" i="135" s="1"/>
  <c r="Y18" i="135" s="1"/>
  <c r="Z18" i="135" s="1"/>
  <c r="AA18" i="135" s="1"/>
  <c r="AB18" i="135" s="1"/>
  <c r="AC18" i="135" s="1"/>
  <c r="AD18" i="135" s="1"/>
  <c r="AE18" i="135" s="1"/>
  <c r="AF18" i="135" s="1"/>
  <c r="J15" i="135"/>
  <c r="K15" i="135" s="1"/>
  <c r="L15" i="135" s="1"/>
  <c r="M15" i="135" s="1"/>
  <c r="N15" i="135" s="1"/>
  <c r="O15" i="135" s="1"/>
  <c r="P15" i="135" s="1"/>
  <c r="Q15" i="135" s="1"/>
  <c r="R15" i="135" s="1"/>
  <c r="J31" i="135"/>
  <c r="K31" i="135" s="1"/>
  <c r="J25" i="135"/>
  <c r="K25" i="135" s="1"/>
  <c r="L25" i="135" s="1"/>
  <c r="M25" i="135" s="1"/>
  <c r="N25" i="135" s="1"/>
  <c r="O25" i="135" s="1"/>
  <c r="P25" i="135" s="1"/>
  <c r="Q25" i="135" s="1"/>
  <c r="R25" i="135" s="1"/>
  <c r="S25" i="135" s="1"/>
  <c r="T25" i="135" s="1"/>
  <c r="U25" i="135" s="1"/>
  <c r="V25" i="135" s="1"/>
  <c r="W25" i="135" s="1"/>
  <c r="X25" i="135" s="1"/>
  <c r="Y25" i="135" s="1"/>
  <c r="Z25" i="135" s="1"/>
  <c r="AA25" i="135" s="1"/>
  <c r="AB25" i="135" s="1"/>
  <c r="AC25" i="135" s="1"/>
  <c r="AD25" i="135" s="1"/>
  <c r="AE25" i="135" s="1"/>
  <c r="AF25" i="135" s="1"/>
  <c r="J20" i="135"/>
  <c r="K20" i="135" s="1"/>
  <c r="L20" i="135" s="1"/>
  <c r="M20" i="135" s="1"/>
  <c r="N20" i="135" s="1"/>
  <c r="O20" i="135" s="1"/>
  <c r="P20" i="135" s="1"/>
  <c r="Q20" i="135" s="1"/>
  <c r="R20" i="135" s="1"/>
  <c r="S20" i="135" s="1"/>
  <c r="T20" i="135" s="1"/>
  <c r="U20" i="135" s="1"/>
  <c r="V20" i="135" s="1"/>
  <c r="W20" i="135" s="1"/>
  <c r="X20" i="135" s="1"/>
  <c r="Y20" i="135" s="1"/>
  <c r="Z20" i="135" s="1"/>
  <c r="AA20" i="135" s="1"/>
  <c r="AB20" i="135" s="1"/>
  <c r="AC20" i="135" s="1"/>
  <c r="AD20" i="135" s="1"/>
  <c r="AE20" i="135" s="1"/>
  <c r="AF20" i="135" s="1"/>
  <c r="J23" i="135"/>
  <c r="K23" i="135" s="1"/>
  <c r="L23" i="135" s="1"/>
  <c r="M23" i="135" s="1"/>
  <c r="N23" i="135" s="1"/>
  <c r="O23" i="135" s="1"/>
  <c r="P23" i="135" s="1"/>
  <c r="Q23" i="135" s="1"/>
  <c r="R23" i="135" s="1"/>
  <c r="S23" i="135" s="1"/>
  <c r="T23" i="135" s="1"/>
  <c r="U23" i="135" s="1"/>
  <c r="V23" i="135" s="1"/>
  <c r="W23" i="135" s="1"/>
  <c r="X23" i="135" s="1"/>
  <c r="Y23" i="135" s="1"/>
  <c r="Z23" i="135" s="1"/>
  <c r="AA23" i="135" s="1"/>
  <c r="AB23" i="135" s="1"/>
  <c r="AC23" i="135" s="1"/>
  <c r="AD23" i="135" s="1"/>
  <c r="AE23" i="135" s="1"/>
  <c r="AF23" i="135" s="1"/>
  <c r="J11" i="135"/>
  <c r="F21" i="136"/>
  <c r="G21" i="136"/>
  <c r="H21" i="136"/>
  <c r="I21" i="136"/>
  <c r="J21" i="136"/>
  <c r="K21" i="136"/>
  <c r="L21" i="136"/>
  <c r="M21" i="136"/>
  <c r="N21" i="136"/>
  <c r="O21" i="136"/>
  <c r="P21" i="136"/>
  <c r="Q21" i="136"/>
  <c r="R21" i="136"/>
  <c r="S21" i="136"/>
  <c r="T21" i="136"/>
  <c r="U21" i="136"/>
  <c r="V21" i="136"/>
  <c r="W21" i="136"/>
  <c r="X21" i="136"/>
  <c r="Y21" i="136"/>
  <c r="Z21" i="136"/>
  <c r="AA21" i="136"/>
  <c r="AI21" i="136"/>
  <c r="AJ21" i="136"/>
  <c r="AK21" i="136"/>
  <c r="AL21" i="136"/>
  <c r="AM21" i="136"/>
  <c r="AN21" i="136"/>
  <c r="AO21" i="136"/>
  <c r="AP21" i="136"/>
  <c r="AQ21" i="136"/>
  <c r="AR21" i="136"/>
  <c r="E21" i="136"/>
  <c r="F22" i="136"/>
  <c r="G22" i="136"/>
  <c r="H22" i="136"/>
  <c r="I22" i="136"/>
  <c r="J22" i="136"/>
  <c r="K22" i="136"/>
  <c r="L22" i="136"/>
  <c r="M22" i="136"/>
  <c r="N22" i="136"/>
  <c r="O22" i="136"/>
  <c r="P22" i="136"/>
  <c r="Q22" i="136"/>
  <c r="R22" i="136"/>
  <c r="S22" i="136"/>
  <c r="T22" i="136"/>
  <c r="U22" i="136"/>
  <c r="V22" i="136"/>
  <c r="W22" i="136"/>
  <c r="X22" i="136"/>
  <c r="Y22" i="136"/>
  <c r="Z22" i="136"/>
  <c r="AA22" i="136"/>
  <c r="AI22" i="136"/>
  <c r="AJ22" i="136"/>
  <c r="AK22" i="136"/>
  <c r="AL22" i="136"/>
  <c r="AM22" i="136"/>
  <c r="AN22" i="136"/>
  <c r="AO22" i="136"/>
  <c r="AP22" i="136"/>
  <c r="AQ22" i="136"/>
  <c r="AR22" i="136"/>
  <c r="F23" i="136"/>
  <c r="L23" i="136"/>
  <c r="M23" i="136"/>
  <c r="N23" i="136"/>
  <c r="O23" i="136"/>
  <c r="P23" i="136"/>
  <c r="Q23" i="136"/>
  <c r="R23" i="136"/>
  <c r="S23" i="136"/>
  <c r="T23" i="136"/>
  <c r="U23" i="136"/>
  <c r="V23" i="136"/>
  <c r="W23" i="136"/>
  <c r="X23" i="136"/>
  <c r="Y23" i="136"/>
  <c r="Z23" i="136"/>
  <c r="AA23" i="136"/>
  <c r="AI23" i="136"/>
  <c r="AJ23" i="136"/>
  <c r="AK23" i="136"/>
  <c r="AL23" i="136"/>
  <c r="AM23" i="136"/>
  <c r="AN23" i="136"/>
  <c r="AO23" i="136"/>
  <c r="AP23" i="136"/>
  <c r="AQ23" i="136"/>
  <c r="AR23" i="136"/>
  <c r="J25" i="136"/>
  <c r="K25" i="136"/>
  <c r="L25" i="136"/>
  <c r="M25" i="136"/>
  <c r="N25" i="136"/>
  <c r="O25" i="136"/>
  <c r="P25" i="136"/>
  <c r="Q25" i="136"/>
  <c r="R25" i="136"/>
  <c r="S25" i="136"/>
  <c r="T25" i="136"/>
  <c r="U25" i="136"/>
  <c r="V25" i="136"/>
  <c r="W25" i="136"/>
  <c r="X25" i="136"/>
  <c r="Y25" i="136"/>
  <c r="Z25" i="136"/>
  <c r="AA25" i="136"/>
  <c r="AI25" i="136"/>
  <c r="AJ25" i="136"/>
  <c r="AK25" i="136"/>
  <c r="AL25" i="136"/>
  <c r="AM25" i="136"/>
  <c r="AN25" i="136"/>
  <c r="AO25" i="136"/>
  <c r="AP25" i="136"/>
  <c r="AQ25" i="136"/>
  <c r="AR25" i="136"/>
  <c r="E23" i="136"/>
  <c r="E22" i="136"/>
  <c r="F17" i="136"/>
  <c r="G17" i="136"/>
  <c r="H17" i="136"/>
  <c r="I17" i="136"/>
  <c r="J17" i="136"/>
  <c r="K17" i="136"/>
  <c r="L17" i="136"/>
  <c r="M17" i="136"/>
  <c r="N17" i="136"/>
  <c r="O17" i="136"/>
  <c r="P17" i="136"/>
  <c r="Q17" i="136"/>
  <c r="R17" i="136"/>
  <c r="S17" i="136"/>
  <c r="T17" i="136"/>
  <c r="U17" i="136"/>
  <c r="V17" i="136"/>
  <c r="W17" i="136"/>
  <c r="X17" i="136"/>
  <c r="Y17" i="136"/>
  <c r="Z17" i="136"/>
  <c r="AA17" i="136"/>
  <c r="AI17" i="136"/>
  <c r="AJ17" i="136"/>
  <c r="AK17" i="136"/>
  <c r="AL17" i="136"/>
  <c r="AM17" i="136"/>
  <c r="AN17" i="136"/>
  <c r="AO17" i="136"/>
  <c r="AP17" i="136"/>
  <c r="AQ17" i="136"/>
  <c r="AR17" i="136"/>
  <c r="E17" i="136"/>
  <c r="N12" i="136"/>
  <c r="O12" i="136"/>
  <c r="P12" i="136"/>
  <c r="Q12" i="136"/>
  <c r="R12" i="136"/>
  <c r="S12" i="136"/>
  <c r="T12" i="136"/>
  <c r="U12" i="136"/>
  <c r="V12" i="136"/>
  <c r="W12" i="136"/>
  <c r="X12" i="136"/>
  <c r="Y12" i="136"/>
  <c r="Z12" i="136"/>
  <c r="AA12" i="136"/>
  <c r="AI12" i="136"/>
  <c r="AJ12" i="136"/>
  <c r="AK12" i="136"/>
  <c r="AL12" i="136"/>
  <c r="AM12" i="136"/>
  <c r="AN12" i="136"/>
  <c r="AO12" i="136"/>
  <c r="AP12" i="136"/>
  <c r="AQ12" i="136"/>
  <c r="AR12" i="136"/>
  <c r="E12" i="136"/>
  <c r="O11" i="136"/>
  <c r="P11" i="136"/>
  <c r="Q11" i="136"/>
  <c r="R11" i="136"/>
  <c r="S11" i="136"/>
  <c r="T11" i="136"/>
  <c r="U11" i="136"/>
  <c r="V11" i="136"/>
  <c r="W11" i="136"/>
  <c r="X11" i="136"/>
  <c r="Y11" i="136"/>
  <c r="Z11" i="136"/>
  <c r="AA11" i="136"/>
  <c r="AI11" i="136"/>
  <c r="AJ11" i="136"/>
  <c r="AK11" i="136"/>
  <c r="AL11" i="136"/>
  <c r="AM11" i="136"/>
  <c r="AN11" i="136"/>
  <c r="AO11" i="136"/>
  <c r="AP11" i="136"/>
  <c r="AQ11" i="136"/>
  <c r="AR11" i="136"/>
  <c r="C198" i="135"/>
  <c r="L18" i="136"/>
  <c r="M18" i="136"/>
  <c r="N18" i="136"/>
  <c r="O18" i="136"/>
  <c r="Q18" i="136"/>
  <c r="R18" i="136"/>
  <c r="S18" i="136"/>
  <c r="T18" i="136"/>
  <c r="U18" i="136"/>
  <c r="V18" i="136"/>
  <c r="W18" i="136"/>
  <c r="X18" i="136"/>
  <c r="Y18" i="136"/>
  <c r="Z18" i="136"/>
  <c r="AA18" i="136"/>
  <c r="AK18" i="136"/>
  <c r="AL18" i="136"/>
  <c r="AM18" i="136"/>
  <c r="AN18" i="136"/>
  <c r="AO18" i="136"/>
  <c r="AP18" i="136"/>
  <c r="AQ18" i="136"/>
  <c r="AR18" i="136"/>
  <c r="V30" i="166" l="1"/>
  <c r="U294" i="166"/>
  <c r="V28" i="166"/>
  <c r="U293" i="166"/>
  <c r="V115" i="166"/>
  <c r="U288" i="166"/>
  <c r="V136" i="166"/>
  <c r="U289" i="166"/>
  <c r="V79" i="166"/>
  <c r="U291" i="166"/>
  <c r="V24" i="166"/>
  <c r="U298" i="166"/>
  <c r="V94" i="166"/>
  <c r="U292" i="166"/>
  <c r="V22" i="166"/>
  <c r="U296" i="166"/>
  <c r="V57" i="166"/>
  <c r="U299" i="166"/>
  <c r="V41" i="166"/>
  <c r="U286" i="166"/>
  <c r="V147" i="166"/>
  <c r="U290" i="166"/>
  <c r="V23" i="166"/>
  <c r="U297" i="166"/>
  <c r="V20" i="166"/>
  <c r="U295" i="166"/>
  <c r="V152" i="166"/>
  <c r="U285" i="166"/>
  <c r="S284" i="166"/>
  <c r="L31" i="135"/>
  <c r="K284" i="135"/>
  <c r="U62" i="135"/>
  <c r="T296" i="135"/>
  <c r="U82" i="135"/>
  <c r="T291" i="135"/>
  <c r="U58" i="135"/>
  <c r="U138" i="135"/>
  <c r="T289" i="135"/>
  <c r="L48" i="135"/>
  <c r="K286" i="135"/>
  <c r="U30" i="135"/>
  <c r="T294" i="135"/>
  <c r="U115" i="135"/>
  <c r="T288" i="135"/>
  <c r="U174" i="135"/>
  <c r="T295" i="135"/>
  <c r="T28" i="135"/>
  <c r="S293" i="135"/>
  <c r="U164" i="135"/>
  <c r="K65" i="135"/>
  <c r="J297" i="135"/>
  <c r="U94" i="135"/>
  <c r="T292" i="135"/>
  <c r="S44" i="135"/>
  <c r="U147" i="135"/>
  <c r="T290" i="135"/>
  <c r="K136" i="135"/>
  <c r="L136" i="135" s="1"/>
  <c r="M136" i="135" s="1"/>
  <c r="N136" i="135" s="1"/>
  <c r="O136" i="135" s="1"/>
  <c r="P136" i="135" s="1"/>
  <c r="Q136" i="135" s="1"/>
  <c r="R136" i="135" s="1"/>
  <c r="S136" i="135" s="1"/>
  <c r="T136" i="135" s="1"/>
  <c r="U136" i="135" s="1"/>
  <c r="V136" i="135" s="1"/>
  <c r="W136" i="135" s="1"/>
  <c r="X136" i="135" s="1"/>
  <c r="Y136" i="135" s="1"/>
  <c r="Z136" i="135" s="1"/>
  <c r="AA136" i="135" s="1"/>
  <c r="AB136" i="135" s="1"/>
  <c r="AC136" i="135" s="1"/>
  <c r="AD136" i="135" s="1"/>
  <c r="AE136" i="135" s="1"/>
  <c r="AF136" i="135" s="1"/>
  <c r="J289" i="135"/>
  <c r="K11" i="135"/>
  <c r="L11" i="135" s="1"/>
  <c r="K41" i="135"/>
  <c r="L41" i="135" s="1"/>
  <c r="M41" i="135" s="1"/>
  <c r="N41" i="135" s="1"/>
  <c r="O41" i="135" s="1"/>
  <c r="P41" i="135" s="1"/>
  <c r="Q41" i="135" s="1"/>
  <c r="R41" i="135" s="1"/>
  <c r="S41" i="135" s="1"/>
  <c r="T41" i="135" s="1"/>
  <c r="U41" i="135" s="1"/>
  <c r="V41" i="135" s="1"/>
  <c r="W41" i="135" s="1"/>
  <c r="X41" i="135" s="1"/>
  <c r="Y41" i="135" s="1"/>
  <c r="Z41" i="135" s="1"/>
  <c r="AA41" i="135" s="1"/>
  <c r="AB41" i="135" s="1"/>
  <c r="AC41" i="135" s="1"/>
  <c r="AD41" i="135" s="1"/>
  <c r="AE41" i="135" s="1"/>
  <c r="AF41" i="135" s="1"/>
  <c r="J286" i="135"/>
  <c r="E20" i="136"/>
  <c r="T11" i="166"/>
  <c r="T284" i="166" s="1"/>
  <c r="H20" i="136"/>
  <c r="V20" i="136"/>
  <c r="U20" i="136"/>
  <c r="F20" i="136"/>
  <c r="AI20" i="136"/>
  <c r="AM20" i="136"/>
  <c r="D321" i="135"/>
  <c r="E321" i="135"/>
  <c r="N35" i="135"/>
  <c r="O35" i="135" s="1"/>
  <c r="P35" i="135" s="1"/>
  <c r="Q35" i="135" s="1"/>
  <c r="R35" i="135" s="1"/>
  <c r="S35" i="135" s="1"/>
  <c r="T35" i="135" s="1"/>
  <c r="U35" i="135" s="1"/>
  <c r="V35" i="135" s="1"/>
  <c r="W35" i="135" s="1"/>
  <c r="X35" i="135" s="1"/>
  <c r="Y35" i="135" s="1"/>
  <c r="Z35" i="135" s="1"/>
  <c r="AA35" i="135" s="1"/>
  <c r="AB35" i="135" s="1"/>
  <c r="AC35" i="135" s="1"/>
  <c r="AD35" i="135" s="1"/>
  <c r="AE35" i="135" s="1"/>
  <c r="AF35" i="135" s="1"/>
  <c r="M11" i="135"/>
  <c r="R20" i="136"/>
  <c r="P20" i="136"/>
  <c r="G20" i="136"/>
  <c r="W20" i="136"/>
  <c r="S20" i="136"/>
  <c r="Q20" i="136"/>
  <c r="N20" i="136"/>
  <c r="M20" i="136"/>
  <c r="AR20" i="136"/>
  <c r="AQ20" i="136"/>
  <c r="T20" i="136"/>
  <c r="X20" i="136"/>
  <c r="AA20" i="136"/>
  <c r="Z20" i="136"/>
  <c r="Y20" i="136"/>
  <c r="L20" i="136"/>
  <c r="AP20" i="136"/>
  <c r="AO20" i="136"/>
  <c r="AK20" i="136"/>
  <c r="AJ20" i="136"/>
  <c r="N16" i="173" l="1"/>
  <c r="J300" i="135"/>
  <c r="W41" i="166"/>
  <c r="V286" i="166"/>
  <c r="W57" i="166"/>
  <c r="V299" i="166"/>
  <c r="W147" i="166"/>
  <c r="V290" i="166"/>
  <c r="W22" i="166"/>
  <c r="V296" i="166"/>
  <c r="W136" i="166"/>
  <c r="V289" i="166"/>
  <c r="W94" i="166"/>
  <c r="V292" i="166"/>
  <c r="W24" i="166"/>
  <c r="V298" i="166"/>
  <c r="W20" i="166"/>
  <c r="V295" i="166"/>
  <c r="W28" i="166"/>
  <c r="V293" i="166"/>
  <c r="W152" i="166"/>
  <c r="V285" i="166"/>
  <c r="W23" i="166"/>
  <c r="V297" i="166"/>
  <c r="W30" i="166"/>
  <c r="V294" i="166"/>
  <c r="W79" i="166"/>
  <c r="V291" i="166"/>
  <c r="W115" i="166"/>
  <c r="V288" i="166"/>
  <c r="U28" i="135"/>
  <c r="T293" i="135"/>
  <c r="V30" i="135"/>
  <c r="U294" i="135"/>
  <c r="V82" i="135"/>
  <c r="U291" i="135"/>
  <c r="V164" i="135"/>
  <c r="V174" i="135"/>
  <c r="U295" i="135"/>
  <c r="V115" i="135"/>
  <c r="U288" i="135"/>
  <c r="V147" i="135"/>
  <c r="U290" i="135"/>
  <c r="V138" i="135"/>
  <c r="U289" i="135"/>
  <c r="V58" i="135"/>
  <c r="V94" i="135"/>
  <c r="U292" i="135"/>
  <c r="V62" i="135"/>
  <c r="U296" i="135"/>
  <c r="M48" i="135"/>
  <c r="T44" i="135"/>
  <c r="L65" i="135"/>
  <c r="K297" i="135"/>
  <c r="K300" i="135" s="1"/>
  <c r="M31" i="135"/>
  <c r="L284" i="135"/>
  <c r="N60" i="135"/>
  <c r="O60" i="135" s="1"/>
  <c r="P60" i="135" s="1"/>
  <c r="Q60" i="135" s="1"/>
  <c r="R60" i="135" s="1"/>
  <c r="S60" i="135" s="1"/>
  <c r="T60" i="135" s="1"/>
  <c r="U60" i="135" s="1"/>
  <c r="V60" i="135" s="1"/>
  <c r="W60" i="135" s="1"/>
  <c r="X60" i="135" s="1"/>
  <c r="Y60" i="135" s="1"/>
  <c r="Z60" i="135" s="1"/>
  <c r="AA60" i="135" s="1"/>
  <c r="AB60" i="135" s="1"/>
  <c r="AC60" i="135" s="1"/>
  <c r="AD60" i="135" s="1"/>
  <c r="AE60" i="135" s="1"/>
  <c r="AF60" i="135" s="1"/>
  <c r="N59" i="135"/>
  <c r="U11" i="166"/>
  <c r="U284" i="166" s="1"/>
  <c r="N11" i="135"/>
  <c r="K18" i="136" l="1"/>
  <c r="X115" i="166"/>
  <c r="W288" i="166"/>
  <c r="X24" i="166"/>
  <c r="W298" i="166"/>
  <c r="X57" i="166"/>
  <c r="W299" i="166"/>
  <c r="X20" i="166"/>
  <c r="W295" i="166"/>
  <c r="X79" i="166"/>
  <c r="W291" i="166"/>
  <c r="X22" i="166"/>
  <c r="W296" i="166"/>
  <c r="X30" i="166"/>
  <c r="W294" i="166"/>
  <c r="X23" i="166"/>
  <c r="W297" i="166"/>
  <c r="X147" i="166"/>
  <c r="W290" i="166"/>
  <c r="X152" i="166"/>
  <c r="W285" i="166"/>
  <c r="X41" i="166"/>
  <c r="W286" i="166"/>
  <c r="X94" i="166"/>
  <c r="W292" i="166"/>
  <c r="X136" i="166"/>
  <c r="W289" i="166"/>
  <c r="X28" i="166"/>
  <c r="W293" i="166"/>
  <c r="W147" i="135"/>
  <c r="V290" i="135"/>
  <c r="W115" i="135"/>
  <c r="V288" i="135"/>
  <c r="W62" i="135"/>
  <c r="V296" i="135"/>
  <c r="W94" i="135"/>
  <c r="V292" i="135"/>
  <c r="W58" i="135"/>
  <c r="M65" i="135"/>
  <c r="L297" i="135"/>
  <c r="L300" i="135" s="1"/>
  <c r="W138" i="135"/>
  <c r="V289" i="135"/>
  <c r="O59" i="135"/>
  <c r="N299" i="135"/>
  <c r="N31" i="135"/>
  <c r="W164" i="135"/>
  <c r="V28" i="135"/>
  <c r="U293" i="135"/>
  <c r="W174" i="135"/>
  <c r="V295" i="135"/>
  <c r="W82" i="135"/>
  <c r="V291" i="135"/>
  <c r="U44" i="135"/>
  <c r="W30" i="135"/>
  <c r="V294" i="135"/>
  <c r="N48" i="135"/>
  <c r="M286" i="135"/>
  <c r="S16" i="173"/>
  <c r="P18" i="136"/>
  <c r="N73" i="173"/>
  <c r="N151" i="173" s="1"/>
  <c r="V11" i="166"/>
  <c r="V284" i="166" s="1"/>
  <c r="O11" i="135"/>
  <c r="AJ18" i="136"/>
  <c r="AI18" i="136"/>
  <c r="Y30" i="166" l="1"/>
  <c r="X294" i="166"/>
  <c r="Y20" i="166"/>
  <c r="X295" i="166"/>
  <c r="Y23" i="166"/>
  <c r="X297" i="166"/>
  <c r="Y22" i="166"/>
  <c r="X296" i="166"/>
  <c r="Y57" i="166"/>
  <c r="X299" i="166"/>
  <c r="Y94" i="166"/>
  <c r="X292" i="166"/>
  <c r="Y24" i="166"/>
  <c r="X298" i="166"/>
  <c r="Y79" i="166"/>
  <c r="X291" i="166"/>
  <c r="Y136" i="166"/>
  <c r="X289" i="166"/>
  <c r="Y28" i="166"/>
  <c r="X293" i="166"/>
  <c r="Y41" i="166"/>
  <c r="X286" i="166"/>
  <c r="Y115" i="166"/>
  <c r="X288" i="166"/>
  <c r="Y147" i="166"/>
  <c r="X290" i="166"/>
  <c r="Y152" i="166"/>
  <c r="X285" i="166"/>
  <c r="O48" i="135"/>
  <c r="N286" i="135"/>
  <c r="X94" i="135"/>
  <c r="W292" i="135"/>
  <c r="O31" i="135"/>
  <c r="N284" i="135"/>
  <c r="X82" i="135"/>
  <c r="W291" i="135"/>
  <c r="X174" i="135"/>
  <c r="W295" i="135"/>
  <c r="X62" i="135"/>
  <c r="W296" i="135"/>
  <c r="W28" i="135"/>
  <c r="V293" i="135"/>
  <c r="X164" i="135"/>
  <c r="P59" i="135"/>
  <c r="O299" i="135"/>
  <c r="X138" i="135"/>
  <c r="W289" i="135"/>
  <c r="X30" i="135"/>
  <c r="W294" i="135"/>
  <c r="X58" i="135"/>
  <c r="X115" i="135"/>
  <c r="W288" i="135"/>
  <c r="N65" i="135"/>
  <c r="M297" i="135"/>
  <c r="V44" i="135"/>
  <c r="X147" i="135"/>
  <c r="W290" i="135"/>
  <c r="S73" i="173"/>
  <c r="S151" i="173" s="1"/>
  <c r="K16" i="173"/>
  <c r="W11" i="166"/>
  <c r="W284" i="166" s="1"/>
  <c r="P11" i="135"/>
  <c r="K6" i="161"/>
  <c r="K7" i="161" s="1"/>
  <c r="K8" i="161" s="1"/>
  <c r="K7" i="153" s="1"/>
  <c r="L6" i="161"/>
  <c r="L7" i="161" s="1"/>
  <c r="L8" i="161" s="1"/>
  <c r="L7" i="153" s="1"/>
  <c r="M6" i="161"/>
  <c r="M7" i="161" s="1"/>
  <c r="M8" i="161" s="1"/>
  <c r="M7" i="153" s="1"/>
  <c r="O6" i="161"/>
  <c r="O7" i="161" s="1"/>
  <c r="O8" i="161" s="1"/>
  <c r="O7" i="153" s="1"/>
  <c r="Q6" i="161"/>
  <c r="Q7" i="161" s="1"/>
  <c r="Q8" i="161" s="1"/>
  <c r="Q7" i="153" s="1"/>
  <c r="R6" i="161"/>
  <c r="R7" i="161" s="1"/>
  <c r="R8" i="161" s="1"/>
  <c r="R7" i="153" s="1"/>
  <c r="F5" i="161"/>
  <c r="G5" i="161"/>
  <c r="H5" i="161"/>
  <c r="I6" i="161"/>
  <c r="I7" i="161" s="1"/>
  <c r="I8" i="161" s="1"/>
  <c r="I7" i="153" s="1"/>
  <c r="J6" i="161"/>
  <c r="J7" i="161" s="1"/>
  <c r="J8" i="161" s="1"/>
  <c r="J7" i="153" s="1"/>
  <c r="N6" i="161"/>
  <c r="P6" i="161"/>
  <c r="P7" i="161" s="1"/>
  <c r="P8" i="161" s="1"/>
  <c r="P7" i="153" s="1"/>
  <c r="S6" i="161"/>
  <c r="S7" i="161" s="1"/>
  <c r="S8" i="161" s="1"/>
  <c r="S7" i="153" s="1"/>
  <c r="T6" i="161"/>
  <c r="T7" i="161" s="1"/>
  <c r="T8" i="161" s="1"/>
  <c r="T7" i="153" s="1"/>
  <c r="U6" i="161"/>
  <c r="U7" i="161" s="1"/>
  <c r="U8" i="161" s="1"/>
  <c r="U7" i="153" s="1"/>
  <c r="V6" i="161"/>
  <c r="V7" i="161" s="1"/>
  <c r="V8" i="161" s="1"/>
  <c r="V7" i="153" s="1"/>
  <c r="W6" i="161"/>
  <c r="W7" i="161" s="1"/>
  <c r="W8" i="161" s="1"/>
  <c r="W7" i="153" s="1"/>
  <c r="X6" i="161"/>
  <c r="X7" i="161" s="1"/>
  <c r="X8" i="161" s="1"/>
  <c r="X7" i="153" s="1"/>
  <c r="Y6" i="161"/>
  <c r="Y7" i="161" s="1"/>
  <c r="Y8" i="161" s="1"/>
  <c r="Y7" i="153" s="1"/>
  <c r="Z6" i="161"/>
  <c r="Z7" i="161" s="1"/>
  <c r="Z8" i="161" s="1"/>
  <c r="Z7" i="153" s="1"/>
  <c r="AA6" i="161"/>
  <c r="AA7" i="161" s="1"/>
  <c r="AA8" i="161" s="1"/>
  <c r="AA7" i="153" s="1"/>
  <c r="AB6" i="161"/>
  <c r="AB7" i="161" s="1"/>
  <c r="AC6" i="161"/>
  <c r="AC7" i="161" s="1"/>
  <c r="AD6" i="161"/>
  <c r="AD7" i="161" s="1"/>
  <c r="AG6" i="161"/>
  <c r="AG7" i="161" s="1"/>
  <c r="AH6" i="161"/>
  <c r="AH7" i="161" s="1"/>
  <c r="AI5" i="161"/>
  <c r="AJ5" i="161"/>
  <c r="AK5" i="161"/>
  <c r="AL5" i="161"/>
  <c r="AL6" i="161" s="1"/>
  <c r="AL7" i="161" s="1"/>
  <c r="AM5" i="161"/>
  <c r="AN5" i="161"/>
  <c r="AO5" i="161"/>
  <c r="AP5" i="161"/>
  <c r="AQ5" i="161"/>
  <c r="AR5" i="161"/>
  <c r="E5" i="161"/>
  <c r="AK6" i="161" l="1"/>
  <c r="AK7" i="161" s="1"/>
  <c r="AI6" i="161"/>
  <c r="AI7" i="161" s="1"/>
  <c r="AJ6" i="161"/>
  <c r="AJ7" i="161" s="1"/>
  <c r="AO6" i="161"/>
  <c r="AO7" i="161" s="1"/>
  <c r="AM6" i="161"/>
  <c r="AM7" i="161" s="1"/>
  <c r="F6" i="161"/>
  <c r="F7" i="161" s="1"/>
  <c r="F5" i="153"/>
  <c r="AR6" i="161"/>
  <c r="AR7" i="161" s="1"/>
  <c r="AQ6" i="161"/>
  <c r="AQ7" i="161" s="1"/>
  <c r="AN6" i="161"/>
  <c r="AN7" i="161" s="1"/>
  <c r="H6" i="161"/>
  <c r="H7" i="161" s="1"/>
  <c r="H5" i="153"/>
  <c r="E6" i="161"/>
  <c r="E7" i="161" s="1"/>
  <c r="E5" i="153"/>
  <c r="AP6" i="161"/>
  <c r="AP7" i="161" s="1"/>
  <c r="G6" i="161"/>
  <c r="G7" i="161" s="1"/>
  <c r="G5" i="153"/>
  <c r="Z22" i="166"/>
  <c r="Y296" i="166"/>
  <c r="Z152" i="166"/>
  <c r="Y285" i="166"/>
  <c r="Z94" i="166"/>
  <c r="Y292" i="166"/>
  <c r="Z57" i="166"/>
  <c r="Y299" i="166"/>
  <c r="Z115" i="166"/>
  <c r="Y288" i="166"/>
  <c r="Z20" i="166"/>
  <c r="Y295" i="166"/>
  <c r="Z24" i="166"/>
  <c r="Y298" i="166"/>
  <c r="Z28" i="166"/>
  <c r="Y293" i="166"/>
  <c r="Z136" i="166"/>
  <c r="Y289" i="166"/>
  <c r="Z79" i="166"/>
  <c r="Y291" i="166"/>
  <c r="Z23" i="166"/>
  <c r="Y297" i="166"/>
  <c r="Z147" i="166"/>
  <c r="Y290" i="166"/>
  <c r="Z41" i="166"/>
  <c r="Y286" i="166"/>
  <c r="Z30" i="166"/>
  <c r="Y294" i="166"/>
  <c r="M300" i="135"/>
  <c r="Y164" i="135"/>
  <c r="Y147" i="135"/>
  <c r="X290" i="135"/>
  <c r="Y62" i="135"/>
  <c r="X296" i="135"/>
  <c r="W44" i="135"/>
  <c r="Q59" i="135"/>
  <c r="P299" i="135"/>
  <c r="X28" i="135"/>
  <c r="W293" i="135"/>
  <c r="Y82" i="135"/>
  <c r="X291" i="135"/>
  <c r="Y115" i="135"/>
  <c r="X288" i="135"/>
  <c r="Y138" i="135"/>
  <c r="X289" i="135"/>
  <c r="Y58" i="135"/>
  <c r="Y94" i="135"/>
  <c r="X292" i="135"/>
  <c r="Y174" i="135"/>
  <c r="X295" i="135"/>
  <c r="O65" i="135"/>
  <c r="N297" i="135"/>
  <c r="P31" i="135"/>
  <c r="O284" i="135"/>
  <c r="Y30" i="135"/>
  <c r="X294" i="135"/>
  <c r="P48" i="135"/>
  <c r="O286" i="135"/>
  <c r="J16" i="173"/>
  <c r="J73" i="173" s="1"/>
  <c r="J151" i="173" s="1"/>
  <c r="N7" i="161"/>
  <c r="N8" i="161" s="1"/>
  <c r="N7" i="153" s="1"/>
  <c r="L16" i="173"/>
  <c r="M16" i="173"/>
  <c r="I18" i="136"/>
  <c r="J18" i="136"/>
  <c r="I16" i="173"/>
  <c r="I73" i="173" s="1"/>
  <c r="I151" i="173" s="1"/>
  <c r="X11" i="166"/>
  <c r="X284" i="166" s="1"/>
  <c r="Q11" i="135"/>
  <c r="AP3" i="161"/>
  <c r="AQ3" i="161"/>
  <c r="AR3" i="161"/>
  <c r="A17" i="161"/>
  <c r="A18" i="161"/>
  <c r="A19" i="161"/>
  <c r="A20" i="161"/>
  <c r="A21" i="161"/>
  <c r="A22" i="161"/>
  <c r="A23" i="161"/>
  <c r="A24" i="161"/>
  <c r="A25" i="161"/>
  <c r="A26" i="161"/>
  <c r="A27" i="161"/>
  <c r="A28" i="161"/>
  <c r="A29" i="161"/>
  <c r="A30" i="161"/>
  <c r="A31" i="161"/>
  <c r="A32" i="161"/>
  <c r="A16" i="161"/>
  <c r="AA79" i="166" l="1"/>
  <c r="Z291" i="166"/>
  <c r="AA41" i="166"/>
  <c r="Z286" i="166"/>
  <c r="AA152" i="166"/>
  <c r="Z285" i="166"/>
  <c r="AA20" i="166"/>
  <c r="Z295" i="166"/>
  <c r="AA30" i="166"/>
  <c r="Z294" i="166"/>
  <c r="AA136" i="166"/>
  <c r="Z289" i="166"/>
  <c r="AA28" i="166"/>
  <c r="Z293" i="166"/>
  <c r="AA147" i="166"/>
  <c r="Z290" i="166"/>
  <c r="AA22" i="166"/>
  <c r="Z296" i="166"/>
  <c r="AA24" i="166"/>
  <c r="Z298" i="166"/>
  <c r="AA115" i="166"/>
  <c r="Z288" i="166"/>
  <c r="AA57" i="166"/>
  <c r="Z299" i="166"/>
  <c r="AA94" i="166"/>
  <c r="Z292" i="166"/>
  <c r="AA23" i="166"/>
  <c r="Z297" i="166"/>
  <c r="Z58" i="135"/>
  <c r="Z82" i="135"/>
  <c r="Y291" i="135"/>
  <c r="Z30" i="135"/>
  <c r="Y294" i="135"/>
  <c r="Z62" i="135"/>
  <c r="Y296" i="135"/>
  <c r="Y28" i="135"/>
  <c r="X293" i="135"/>
  <c r="Q31" i="135"/>
  <c r="P284" i="135"/>
  <c r="Z138" i="135"/>
  <c r="Y289" i="135"/>
  <c r="Z115" i="135"/>
  <c r="Y288" i="135"/>
  <c r="X44" i="135"/>
  <c r="Z174" i="135"/>
  <c r="Y295" i="135"/>
  <c r="Z147" i="135"/>
  <c r="Y290" i="135"/>
  <c r="Q48" i="135"/>
  <c r="P286" i="135"/>
  <c r="R59" i="135"/>
  <c r="Q299" i="135"/>
  <c r="P65" i="135"/>
  <c r="O297" i="135"/>
  <c r="Z94" i="135"/>
  <c r="Y292" i="135"/>
  <c r="Z164" i="135"/>
  <c r="H16" i="173"/>
  <c r="H73" i="173" s="1"/>
  <c r="H151" i="173" s="1"/>
  <c r="E71" i="137"/>
  <c r="F71" i="137"/>
  <c r="G71" i="137"/>
  <c r="G18" i="136"/>
  <c r="N71" i="137"/>
  <c r="O71" i="137"/>
  <c r="V71" i="137"/>
  <c r="P71" i="137"/>
  <c r="R71" i="137"/>
  <c r="S71" i="137"/>
  <c r="X71" i="137"/>
  <c r="K71" i="137"/>
  <c r="Q71" i="137"/>
  <c r="M71" i="137"/>
  <c r="T71" i="137"/>
  <c r="W71" i="137"/>
  <c r="U71" i="137"/>
  <c r="Y71" i="137"/>
  <c r="Z71" i="137"/>
  <c r="AA71" i="137"/>
  <c r="H71" i="137"/>
  <c r="J71" i="137"/>
  <c r="L71" i="137"/>
  <c r="I71" i="137"/>
  <c r="L73" i="173"/>
  <c r="L151" i="173" s="1"/>
  <c r="M73" i="173"/>
  <c r="M151" i="173" s="1"/>
  <c r="F18" i="136"/>
  <c r="Y11" i="166"/>
  <c r="Y284" i="166" s="1"/>
  <c r="R11" i="135"/>
  <c r="AB22" i="166" l="1"/>
  <c r="AA296" i="166"/>
  <c r="AB136" i="166"/>
  <c r="AA289" i="166"/>
  <c r="AB30" i="166"/>
  <c r="AA294" i="166"/>
  <c r="AB23" i="166"/>
  <c r="AA297" i="166"/>
  <c r="AB152" i="166"/>
  <c r="AA285" i="166"/>
  <c r="AB28" i="166"/>
  <c r="AA293" i="166"/>
  <c r="AB20" i="166"/>
  <c r="AA295" i="166"/>
  <c r="AB41" i="166"/>
  <c r="AA286" i="166"/>
  <c r="AB57" i="166"/>
  <c r="AA299" i="166"/>
  <c r="AB147" i="166"/>
  <c r="AA290" i="166"/>
  <c r="AB79" i="166"/>
  <c r="AA291" i="166"/>
  <c r="AB94" i="166"/>
  <c r="AA292" i="166"/>
  <c r="AB115" i="166"/>
  <c r="AA288" i="166"/>
  <c r="AB24" i="166"/>
  <c r="AA298" i="166"/>
  <c r="AA174" i="135"/>
  <c r="Z295" i="135"/>
  <c r="Y44" i="135"/>
  <c r="AA138" i="135"/>
  <c r="Z289" i="135"/>
  <c r="AA164" i="135"/>
  <c r="AA62" i="135"/>
  <c r="Z296" i="135"/>
  <c r="AA94" i="135"/>
  <c r="Z292" i="135"/>
  <c r="S59" i="135"/>
  <c r="R299" i="135"/>
  <c r="H299" i="135" s="1"/>
  <c r="AA30" i="135"/>
  <c r="Z294" i="135"/>
  <c r="Q65" i="135"/>
  <c r="P297" i="135"/>
  <c r="R48" i="135"/>
  <c r="Q286" i="135"/>
  <c r="AA82" i="135"/>
  <c r="Z291" i="135"/>
  <c r="Z28" i="135"/>
  <c r="Y293" i="135"/>
  <c r="AA115" i="135"/>
  <c r="Z288" i="135"/>
  <c r="R31" i="135"/>
  <c r="Q284" i="135"/>
  <c r="AA147" i="135"/>
  <c r="Z290" i="135"/>
  <c r="AA58" i="135"/>
  <c r="H152" i="173"/>
  <c r="H153" i="173" s="1"/>
  <c r="E18" i="136"/>
  <c r="H18" i="136"/>
  <c r="Z11" i="166"/>
  <c r="Z284" i="166" s="1"/>
  <c r="S11" i="135"/>
  <c r="AC147" i="166" l="1"/>
  <c r="AB290" i="166"/>
  <c r="AC79" i="166"/>
  <c r="AB291" i="166"/>
  <c r="AC20" i="166"/>
  <c r="AB295" i="166"/>
  <c r="AC28" i="166"/>
  <c r="AB293" i="166"/>
  <c r="AC57" i="166"/>
  <c r="AB299" i="166"/>
  <c r="AC152" i="166"/>
  <c r="AB285" i="166"/>
  <c r="AC24" i="166"/>
  <c r="AB298" i="166"/>
  <c r="AC136" i="166"/>
  <c r="AB289" i="166"/>
  <c r="AC23" i="166"/>
  <c r="AB297" i="166"/>
  <c r="AC30" i="166"/>
  <c r="AB294" i="166"/>
  <c r="AC115" i="166"/>
  <c r="AB288" i="166"/>
  <c r="AC94" i="166"/>
  <c r="AB292" i="166"/>
  <c r="AC41" i="166"/>
  <c r="AB286" i="166"/>
  <c r="AC22" i="166"/>
  <c r="AB296" i="166"/>
  <c r="R65" i="135"/>
  <c r="Q297" i="135"/>
  <c r="AB82" i="135"/>
  <c r="AA291" i="135"/>
  <c r="AB30" i="135"/>
  <c r="AA294" i="135"/>
  <c r="T59" i="135"/>
  <c r="S299" i="135"/>
  <c r="AB94" i="135"/>
  <c r="AA292" i="135"/>
  <c r="S31" i="135"/>
  <c r="R284" i="135"/>
  <c r="Z44" i="135"/>
  <c r="AB58" i="135"/>
  <c r="AB62" i="135"/>
  <c r="AA296" i="135"/>
  <c r="AB147" i="135"/>
  <c r="AA290" i="135"/>
  <c r="AA28" i="135"/>
  <c r="Z293" i="135"/>
  <c r="S48" i="135"/>
  <c r="R286" i="135"/>
  <c r="H286" i="135" s="1"/>
  <c r="AB164" i="135"/>
  <c r="AB138" i="135"/>
  <c r="AA289" i="135"/>
  <c r="AB115" i="135"/>
  <c r="AA288" i="135"/>
  <c r="AB174" i="135"/>
  <c r="AA295" i="135"/>
  <c r="H154" i="173"/>
  <c r="I150" i="173" s="1"/>
  <c r="E16" i="173"/>
  <c r="K73" i="173"/>
  <c r="K151" i="173" s="1"/>
  <c r="AA11" i="166"/>
  <c r="AA284" i="166" s="1"/>
  <c r="T11" i="135"/>
  <c r="AD30" i="166" l="1"/>
  <c r="AC294" i="166"/>
  <c r="AD23" i="166"/>
  <c r="AC297" i="166"/>
  <c r="AD79" i="166"/>
  <c r="AC291" i="166"/>
  <c r="AD115" i="166"/>
  <c r="AC288" i="166"/>
  <c r="AD152" i="166"/>
  <c r="AC285" i="166"/>
  <c r="AD20" i="166"/>
  <c r="AC295" i="166"/>
  <c r="AD136" i="166"/>
  <c r="AC289" i="166"/>
  <c r="AD28" i="166"/>
  <c r="AC293" i="166"/>
  <c r="AD22" i="166"/>
  <c r="AC296" i="166"/>
  <c r="AD94" i="166"/>
  <c r="AC292" i="166"/>
  <c r="AD147" i="166"/>
  <c r="AC290" i="166"/>
  <c r="AD24" i="166"/>
  <c r="AC298" i="166"/>
  <c r="AD57" i="166"/>
  <c r="AC299" i="166"/>
  <c r="AD41" i="166"/>
  <c r="AC286" i="166"/>
  <c r="AB28" i="135"/>
  <c r="AA293" i="135"/>
  <c r="AC58" i="135"/>
  <c r="AC147" i="135"/>
  <c r="AB290" i="135"/>
  <c r="AC174" i="135"/>
  <c r="AB295" i="135"/>
  <c r="T31" i="135"/>
  <c r="S284" i="135"/>
  <c r="AC138" i="135"/>
  <c r="AB289" i="135"/>
  <c r="AC82" i="135"/>
  <c r="AB291" i="135"/>
  <c r="AC62" i="135"/>
  <c r="AB296" i="135"/>
  <c r="AA44" i="135"/>
  <c r="AC115" i="135"/>
  <c r="AB288" i="135"/>
  <c r="AC94" i="135"/>
  <c r="AB292" i="135"/>
  <c r="U59" i="135"/>
  <c r="T299" i="135"/>
  <c r="AC164" i="135"/>
  <c r="AC30" i="135"/>
  <c r="AB294" i="135"/>
  <c r="T48" i="135"/>
  <c r="S286" i="135"/>
  <c r="S65" i="135"/>
  <c r="R297" i="135"/>
  <c r="H297" i="135" s="1"/>
  <c r="AB11" i="166"/>
  <c r="AB284" i="166" s="1"/>
  <c r="U11" i="135"/>
  <c r="AE22" i="166" l="1"/>
  <c r="AD296" i="166"/>
  <c r="AE20" i="166"/>
  <c r="AD295" i="166"/>
  <c r="AE79" i="166"/>
  <c r="AD291" i="166"/>
  <c r="AE41" i="166"/>
  <c r="AD286" i="166"/>
  <c r="AE94" i="166"/>
  <c r="AD292" i="166"/>
  <c r="AE136" i="166"/>
  <c r="AD289" i="166"/>
  <c r="AE28" i="166"/>
  <c r="AD293" i="166"/>
  <c r="AE152" i="166"/>
  <c r="AD285" i="166"/>
  <c r="AE30" i="166"/>
  <c r="AD294" i="166"/>
  <c r="AE115" i="166"/>
  <c r="AD288" i="166"/>
  <c r="AE57" i="166"/>
  <c r="AD299" i="166"/>
  <c r="AE23" i="166"/>
  <c r="AD297" i="166"/>
  <c r="AE24" i="166"/>
  <c r="AD298" i="166"/>
  <c r="AE147" i="166"/>
  <c r="AD290" i="166"/>
  <c r="AB44" i="135"/>
  <c r="AD62" i="135"/>
  <c r="AC296" i="135"/>
  <c r="AD115" i="135"/>
  <c r="AC288" i="135"/>
  <c r="U31" i="135"/>
  <c r="T284" i="135"/>
  <c r="AD82" i="135"/>
  <c r="AC291" i="135"/>
  <c r="U48" i="135"/>
  <c r="T286" i="135"/>
  <c r="AD30" i="135"/>
  <c r="AC294" i="135"/>
  <c r="AD138" i="135"/>
  <c r="AC289" i="135"/>
  <c r="T65" i="135"/>
  <c r="S297" i="135"/>
  <c r="AD174" i="135"/>
  <c r="AC295" i="135"/>
  <c r="AD147" i="135"/>
  <c r="AC290" i="135"/>
  <c r="AD164" i="135"/>
  <c r="V59" i="135"/>
  <c r="U299" i="135"/>
  <c r="AD58" i="135"/>
  <c r="AD94" i="135"/>
  <c r="AC292" i="135"/>
  <c r="AC28" i="135"/>
  <c r="AB293" i="135"/>
  <c r="AC11" i="166"/>
  <c r="AC284" i="166" s="1"/>
  <c r="V11" i="135"/>
  <c r="AF30" i="166" l="1"/>
  <c r="AE294" i="166"/>
  <c r="AF136" i="166"/>
  <c r="AE289" i="166"/>
  <c r="AF115" i="166"/>
  <c r="AE288" i="166"/>
  <c r="AF28" i="166"/>
  <c r="AE293" i="166"/>
  <c r="AF94" i="166"/>
  <c r="AE292" i="166"/>
  <c r="AF152" i="166"/>
  <c r="AE285" i="166"/>
  <c r="AF147" i="166"/>
  <c r="AE290" i="166"/>
  <c r="AF24" i="166"/>
  <c r="AE298" i="166"/>
  <c r="AF20" i="166"/>
  <c r="AE295" i="166"/>
  <c r="AF22" i="166"/>
  <c r="AE296" i="166"/>
  <c r="AF41" i="166"/>
  <c r="AE286" i="166"/>
  <c r="AF79" i="166"/>
  <c r="AE291" i="166"/>
  <c r="AF23" i="166"/>
  <c r="AE297" i="166"/>
  <c r="AF57" i="166"/>
  <c r="AE299" i="166"/>
  <c r="AE138" i="135"/>
  <c r="AD289" i="135"/>
  <c r="AD28" i="135"/>
  <c r="AC293" i="135"/>
  <c r="AE30" i="135"/>
  <c r="AD294" i="135"/>
  <c r="V48" i="135"/>
  <c r="U286" i="135"/>
  <c r="AE82" i="135"/>
  <c r="AD291" i="135"/>
  <c r="AE62" i="135"/>
  <c r="AD296" i="135"/>
  <c r="V31" i="135"/>
  <c r="U284" i="135"/>
  <c r="AE174" i="135"/>
  <c r="AD295" i="135"/>
  <c r="U65" i="135"/>
  <c r="T297" i="135"/>
  <c r="AE94" i="135"/>
  <c r="AD292" i="135"/>
  <c r="AE58" i="135"/>
  <c r="W59" i="135"/>
  <c r="V299" i="135"/>
  <c r="AE115" i="135"/>
  <c r="AD288" i="135"/>
  <c r="AE164" i="135"/>
  <c r="AE147" i="135"/>
  <c r="AD290" i="135"/>
  <c r="AC44" i="135"/>
  <c r="AD11" i="166"/>
  <c r="AD284" i="166" s="1"/>
  <c r="W11" i="135"/>
  <c r="R16" i="136"/>
  <c r="S16" i="136"/>
  <c r="T16" i="136"/>
  <c r="U16" i="136"/>
  <c r="V16" i="136"/>
  <c r="W16" i="136"/>
  <c r="X16" i="136"/>
  <c r="Y16" i="136"/>
  <c r="Z16" i="136"/>
  <c r="AA16" i="136"/>
  <c r="AI16" i="136"/>
  <c r="AJ16" i="136"/>
  <c r="AK16" i="136"/>
  <c r="AL16" i="136"/>
  <c r="AM16" i="136"/>
  <c r="AN16" i="136"/>
  <c r="AO16" i="136"/>
  <c r="AP16" i="136"/>
  <c r="AQ16" i="136"/>
  <c r="AR16" i="136"/>
  <c r="K16" i="136"/>
  <c r="L16" i="136"/>
  <c r="M16" i="136"/>
  <c r="N16" i="136"/>
  <c r="O16" i="136"/>
  <c r="P16" i="136"/>
  <c r="Q16" i="136"/>
  <c r="AG22" i="166" l="1"/>
  <c r="AF296" i="166"/>
  <c r="AG41" i="166"/>
  <c r="AF286" i="166"/>
  <c r="AG24" i="166"/>
  <c r="AF298" i="166"/>
  <c r="AG57" i="166"/>
  <c r="AF299" i="166"/>
  <c r="AG23" i="166"/>
  <c r="AF297" i="166"/>
  <c r="AG136" i="166"/>
  <c r="AF289" i="166"/>
  <c r="AG147" i="166"/>
  <c r="AF290" i="166"/>
  <c r="AG115" i="166"/>
  <c r="AF288" i="166"/>
  <c r="AG20" i="166"/>
  <c r="AF295" i="166"/>
  <c r="AG152" i="166"/>
  <c r="AF285" i="166"/>
  <c r="AG94" i="166"/>
  <c r="AF292" i="166"/>
  <c r="AG28" i="166"/>
  <c r="AF293" i="166"/>
  <c r="AG79" i="166"/>
  <c r="AF291" i="166"/>
  <c r="AG30" i="166"/>
  <c r="AF294" i="166"/>
  <c r="AF58" i="135"/>
  <c r="AF94" i="135"/>
  <c r="AE292" i="135"/>
  <c r="V65" i="135"/>
  <c r="U297" i="135"/>
  <c r="AF30" i="135"/>
  <c r="AE294" i="135"/>
  <c r="AF115" i="135"/>
  <c r="AE288" i="135"/>
  <c r="AF174" i="135"/>
  <c r="AE295" i="135"/>
  <c r="W31" i="135"/>
  <c r="V284" i="135"/>
  <c r="AF82" i="135"/>
  <c r="AE291" i="135"/>
  <c r="W48" i="135"/>
  <c r="V286" i="135"/>
  <c r="AE28" i="135"/>
  <c r="AD293" i="135"/>
  <c r="AF147" i="135"/>
  <c r="AE290" i="135"/>
  <c r="AF164" i="135"/>
  <c r="X59" i="135"/>
  <c r="W299" i="135"/>
  <c r="AF62" i="135"/>
  <c r="AE296" i="135"/>
  <c r="AD44" i="135"/>
  <c r="AF138" i="135"/>
  <c r="AE289" i="135"/>
  <c r="AE11" i="166"/>
  <c r="AE284" i="166" s="1"/>
  <c r="X11" i="135"/>
  <c r="AH94" i="166" l="1"/>
  <c r="AG292" i="166"/>
  <c r="AH147" i="166"/>
  <c r="AG290" i="166"/>
  <c r="AH57" i="166"/>
  <c r="AG299" i="166"/>
  <c r="AH20" i="166"/>
  <c r="AG295" i="166"/>
  <c r="AH41" i="166"/>
  <c r="AG286" i="166"/>
  <c r="AH136" i="166"/>
  <c r="AG289" i="166"/>
  <c r="AH23" i="166"/>
  <c r="AG297" i="166"/>
  <c r="AH24" i="166"/>
  <c r="AG298" i="166"/>
  <c r="AH30" i="166"/>
  <c r="AG294" i="166"/>
  <c r="AH152" i="166"/>
  <c r="AG285" i="166"/>
  <c r="AH115" i="166"/>
  <c r="AG288" i="166"/>
  <c r="AH79" i="166"/>
  <c r="AG291" i="166"/>
  <c r="AH28" i="166"/>
  <c r="AG293" i="166"/>
  <c r="AH22" i="166"/>
  <c r="AG296" i="166"/>
  <c r="X31" i="135"/>
  <c r="W284" i="135"/>
  <c r="AF290" i="135"/>
  <c r="AF28" i="135"/>
  <c r="AE293" i="135"/>
  <c r="AF295" i="135"/>
  <c r="AF288" i="135"/>
  <c r="X48" i="135"/>
  <c r="W286" i="135"/>
  <c r="AF291" i="135"/>
  <c r="AF289" i="135"/>
  <c r="AE44" i="135"/>
  <c r="AF296" i="135"/>
  <c r="W65" i="135"/>
  <c r="V297" i="135"/>
  <c r="AF294" i="135"/>
  <c r="Y59" i="135"/>
  <c r="X299" i="135"/>
  <c r="AF292" i="135"/>
  <c r="T26" i="173"/>
  <c r="AF11" i="166"/>
  <c r="AF284" i="166" s="1"/>
  <c r="Y11" i="135"/>
  <c r="AI152" i="166" l="1"/>
  <c r="AH285" i="166"/>
  <c r="AI57" i="166"/>
  <c r="AH299" i="166"/>
  <c r="AI115" i="166"/>
  <c r="AH288" i="166"/>
  <c r="AI41" i="166"/>
  <c r="AH286" i="166"/>
  <c r="AI28" i="166"/>
  <c r="AH293" i="166"/>
  <c r="AI24" i="166"/>
  <c r="AH298" i="166"/>
  <c r="AI147" i="166"/>
  <c r="AH290" i="166"/>
  <c r="AI23" i="166"/>
  <c r="AH297" i="166"/>
  <c r="AI136" i="166"/>
  <c r="AH289" i="166"/>
  <c r="AI79" i="166"/>
  <c r="AH291" i="166"/>
  <c r="AI30" i="166"/>
  <c r="AH294" i="166"/>
  <c r="AI20" i="166"/>
  <c r="AH295" i="166"/>
  <c r="AI22" i="166"/>
  <c r="AH296" i="166"/>
  <c r="AI94" i="166"/>
  <c r="AH292" i="166"/>
  <c r="X65" i="135"/>
  <c r="W297" i="135"/>
  <c r="AF44" i="135"/>
  <c r="Y48" i="135"/>
  <c r="X286" i="135"/>
  <c r="Z59" i="135"/>
  <c r="Y299" i="135"/>
  <c r="AF293" i="135"/>
  <c r="Y31" i="135"/>
  <c r="X284" i="135"/>
  <c r="T61" i="173"/>
  <c r="T139" i="173" s="1"/>
  <c r="Q32" i="136"/>
  <c r="AG11" i="166"/>
  <c r="AG284" i="166" s="1"/>
  <c r="Z11" i="135"/>
  <c r="AJ22" i="166" l="1"/>
  <c r="AI296" i="166"/>
  <c r="AJ136" i="166"/>
  <c r="AI289" i="166"/>
  <c r="AJ24" i="166"/>
  <c r="AI298" i="166"/>
  <c r="AJ115" i="166"/>
  <c r="AI288" i="166"/>
  <c r="AJ57" i="166"/>
  <c r="AI299" i="166"/>
  <c r="AJ147" i="166"/>
  <c r="AI290" i="166"/>
  <c r="AJ79" i="166"/>
  <c r="AI291" i="166"/>
  <c r="AJ23" i="166"/>
  <c r="AI297" i="166"/>
  <c r="AJ41" i="166"/>
  <c r="AI286" i="166"/>
  <c r="AJ94" i="166"/>
  <c r="AI292" i="166"/>
  <c r="AJ152" i="166"/>
  <c r="AI285" i="166"/>
  <c r="AJ28" i="166"/>
  <c r="AI293" i="166"/>
  <c r="AJ20" i="166"/>
  <c r="AI295" i="166"/>
  <c r="AJ30" i="166"/>
  <c r="AI294" i="166"/>
  <c r="Z31" i="135"/>
  <c r="Y284" i="135"/>
  <c r="AA59" i="135"/>
  <c r="Z299" i="135"/>
  <c r="Z48" i="135"/>
  <c r="Y286" i="135"/>
  <c r="Y65" i="135"/>
  <c r="X297" i="135"/>
  <c r="AH11" i="166"/>
  <c r="AH284" i="166" s="1"/>
  <c r="AA11" i="135"/>
  <c r="AK94" i="166" l="1"/>
  <c r="AJ292" i="166"/>
  <c r="AK30" i="166"/>
  <c r="AJ294" i="166"/>
  <c r="AK136" i="166"/>
  <c r="AJ289" i="166"/>
  <c r="AK57" i="166"/>
  <c r="AJ299" i="166"/>
  <c r="AK115" i="166"/>
  <c r="AJ288" i="166"/>
  <c r="AK24" i="166"/>
  <c r="AJ298" i="166"/>
  <c r="AK28" i="166"/>
  <c r="AJ293" i="166"/>
  <c r="AK79" i="166"/>
  <c r="AJ291" i="166"/>
  <c r="AK147" i="166"/>
  <c r="AJ290" i="166"/>
  <c r="AK20" i="166"/>
  <c r="AJ295" i="166"/>
  <c r="AK22" i="166"/>
  <c r="AJ296" i="166"/>
  <c r="AK41" i="166"/>
  <c r="AJ286" i="166"/>
  <c r="AK23" i="166"/>
  <c r="AJ297" i="166"/>
  <c r="AK152" i="166"/>
  <c r="AJ285" i="166"/>
  <c r="Z65" i="135"/>
  <c r="Y297" i="135"/>
  <c r="AA48" i="135"/>
  <c r="Z286" i="135"/>
  <c r="AA31" i="135"/>
  <c r="Z284" i="135"/>
  <c r="AB59" i="135"/>
  <c r="AA299" i="135"/>
  <c r="F16" i="136"/>
  <c r="AI11" i="166"/>
  <c r="AI284" i="166" s="1"/>
  <c r="AB11" i="135"/>
  <c r="AL79" i="166" l="1"/>
  <c r="AK291" i="166"/>
  <c r="AL30" i="166"/>
  <c r="AK294" i="166"/>
  <c r="AL147" i="166"/>
  <c r="AK290" i="166"/>
  <c r="AL152" i="166"/>
  <c r="AK285" i="166"/>
  <c r="AL22" i="166"/>
  <c r="AK296" i="166"/>
  <c r="AL115" i="166"/>
  <c r="AK288" i="166"/>
  <c r="AL41" i="166"/>
  <c r="AK286" i="166"/>
  <c r="AL94" i="166"/>
  <c r="AK292" i="166"/>
  <c r="AL20" i="166"/>
  <c r="AK295" i="166"/>
  <c r="AL28" i="166"/>
  <c r="AK293" i="166"/>
  <c r="AL24" i="166"/>
  <c r="AK298" i="166"/>
  <c r="AL57" i="166"/>
  <c r="AK299" i="166"/>
  <c r="AL136" i="166"/>
  <c r="AK289" i="166"/>
  <c r="AL23" i="166"/>
  <c r="AK297" i="166"/>
  <c r="AC59" i="135"/>
  <c r="AB299" i="135"/>
  <c r="AB48" i="135"/>
  <c r="AA286" i="135"/>
  <c r="AA65" i="135"/>
  <c r="Z297" i="135"/>
  <c r="AB31" i="135"/>
  <c r="AA284" i="135"/>
  <c r="I16" i="136"/>
  <c r="K20" i="136"/>
  <c r="N18" i="176"/>
  <c r="J20" i="136"/>
  <c r="M18" i="176"/>
  <c r="I20" i="136"/>
  <c r="L18" i="176"/>
  <c r="E16" i="136"/>
  <c r="AJ11" i="166"/>
  <c r="AJ284" i="166" s="1"/>
  <c r="AC11" i="135"/>
  <c r="L14" i="173" l="1"/>
  <c r="L61" i="173" s="1"/>
  <c r="L139" i="173" s="1"/>
  <c r="AM24" i="166"/>
  <c r="AM298" i="166" s="1"/>
  <c r="AL298" i="166"/>
  <c r="AM94" i="166"/>
  <c r="AM292" i="166" s="1"/>
  <c r="AL292" i="166"/>
  <c r="AM22" i="166"/>
  <c r="AM296" i="166" s="1"/>
  <c r="AL296" i="166"/>
  <c r="AM41" i="166"/>
  <c r="AM286" i="166" s="1"/>
  <c r="AL286" i="166"/>
  <c r="AM30" i="166"/>
  <c r="AM294" i="166" s="1"/>
  <c r="AL294" i="166"/>
  <c r="AM28" i="166"/>
  <c r="AM293" i="166" s="1"/>
  <c r="AL293" i="166"/>
  <c r="AM115" i="166"/>
  <c r="AM288" i="166" s="1"/>
  <c r="AL288" i="166"/>
  <c r="AM152" i="166"/>
  <c r="AM285" i="166" s="1"/>
  <c r="AL285" i="166"/>
  <c r="AM147" i="166"/>
  <c r="AM290" i="166" s="1"/>
  <c r="AL290" i="166"/>
  <c r="AM20" i="166"/>
  <c r="AM295" i="166" s="1"/>
  <c r="AL295" i="166"/>
  <c r="AM57" i="166"/>
  <c r="AM299" i="166" s="1"/>
  <c r="AL299" i="166"/>
  <c r="AM23" i="166"/>
  <c r="AM297" i="166" s="1"/>
  <c r="AL297" i="166"/>
  <c r="AM136" i="166"/>
  <c r="AM289" i="166" s="1"/>
  <c r="AL289" i="166"/>
  <c r="AM79" i="166"/>
  <c r="AM291" i="166" s="1"/>
  <c r="AL291" i="166"/>
  <c r="AD59" i="135"/>
  <c r="AC299" i="135"/>
  <c r="AB65" i="135"/>
  <c r="AA297" i="135"/>
  <c r="AC31" i="135"/>
  <c r="AB284" i="135"/>
  <c r="AC48" i="135"/>
  <c r="AB286" i="135"/>
  <c r="K14" i="173"/>
  <c r="N85" i="176"/>
  <c r="N163" i="176" s="1"/>
  <c r="L85" i="176"/>
  <c r="L163" i="176" s="1"/>
  <c r="E18" i="176"/>
  <c r="M85" i="176"/>
  <c r="M163" i="176" s="1"/>
  <c r="AK11" i="166"/>
  <c r="AK284" i="166" s="1"/>
  <c r="AD11" i="135"/>
  <c r="E163" i="176" l="1"/>
  <c r="I296" i="166"/>
  <c r="I292" i="166"/>
  <c r="I285" i="166"/>
  <c r="I289" i="166"/>
  <c r="I295" i="166"/>
  <c r="I291" i="166"/>
  <c r="I293" i="166"/>
  <c r="I297" i="166"/>
  <c r="I290" i="166"/>
  <c r="I294" i="166"/>
  <c r="I298" i="166"/>
  <c r="I288" i="166"/>
  <c r="I286" i="166"/>
  <c r="I299" i="166"/>
  <c r="AC65" i="135"/>
  <c r="AB297" i="135"/>
  <c r="AD48" i="135"/>
  <c r="AC286" i="135"/>
  <c r="AE59" i="135"/>
  <c r="AD299" i="135"/>
  <c r="AD31" i="135"/>
  <c r="AC284" i="135"/>
  <c r="E85" i="176"/>
  <c r="H16" i="136"/>
  <c r="G16" i="136"/>
  <c r="AL11" i="166"/>
  <c r="AL284" i="166" s="1"/>
  <c r="AE11" i="135"/>
  <c r="I289" i="135" l="1"/>
  <c r="I291" i="135"/>
  <c r="I295" i="135"/>
  <c r="I294" i="135"/>
  <c r="I290" i="135"/>
  <c r="I296" i="135"/>
  <c r="I288" i="135"/>
  <c r="I292" i="135"/>
  <c r="AE31" i="135"/>
  <c r="AD284" i="135"/>
  <c r="AF59" i="135"/>
  <c r="AE299" i="135"/>
  <c r="AE48" i="135"/>
  <c r="AD286" i="135"/>
  <c r="AD65" i="135"/>
  <c r="AC297" i="135"/>
  <c r="K26" i="173"/>
  <c r="AM11" i="166"/>
  <c r="AM284" i="166" s="1"/>
  <c r="AF11" i="135"/>
  <c r="D17" i="136"/>
  <c r="D18" i="136"/>
  <c r="D20" i="136"/>
  <c r="D21" i="136"/>
  <c r="D22" i="136"/>
  <c r="D27" i="149"/>
  <c r="D28" i="149"/>
  <c r="D29" i="149"/>
  <c r="D30" i="149"/>
  <c r="D34" i="146"/>
  <c r="D35" i="146"/>
  <c r="D36" i="146"/>
  <c r="D37" i="146"/>
  <c r="D34" i="136"/>
  <c r="D35" i="136"/>
  <c r="D36" i="136"/>
  <c r="D37" i="136"/>
  <c r="A32" i="136"/>
  <c r="A31" i="136"/>
  <c r="B36" i="136"/>
  <c r="B37" i="136"/>
  <c r="A32" i="146"/>
  <c r="A31" i="146"/>
  <c r="B36" i="146"/>
  <c r="B37" i="146"/>
  <c r="A26" i="149"/>
  <c r="A27" i="149"/>
  <c r="A28" i="149"/>
  <c r="A29" i="149"/>
  <c r="A30" i="149"/>
  <c r="A31" i="149"/>
  <c r="A25" i="149"/>
  <c r="B28" i="149"/>
  <c r="B35" i="146"/>
  <c r="B30" i="149"/>
  <c r="B29" i="149"/>
  <c r="A12" i="149"/>
  <c r="A13" i="149" s="1"/>
  <c r="A14" i="149" s="1"/>
  <c r="A15" i="149" s="1"/>
  <c r="A16" i="149" s="1"/>
  <c r="A17" i="149" s="1"/>
  <c r="A18" i="149" s="1"/>
  <c r="A19" i="149" s="1"/>
  <c r="D18" i="146"/>
  <c r="D20" i="146"/>
  <c r="M24" i="21" s="1"/>
  <c r="D21" i="146"/>
  <c r="M25" i="21" s="1"/>
  <c r="L95" i="21" s="1"/>
  <c r="D22" i="146"/>
  <c r="M26" i="21" s="1"/>
  <c r="L96" i="21" s="1"/>
  <c r="D12" i="149"/>
  <c r="R26" i="149" s="1"/>
  <c r="U27" i="176" s="1"/>
  <c r="D13" i="149"/>
  <c r="D14" i="149"/>
  <c r="D15" i="149"/>
  <c r="D16" i="149"/>
  <c r="B27" i="149"/>
  <c r="B26" i="149"/>
  <c r="AA6" i="149"/>
  <c r="Z6" i="149"/>
  <c r="Y6" i="149"/>
  <c r="X6" i="149"/>
  <c r="W6" i="149"/>
  <c r="V6" i="149"/>
  <c r="U6" i="149"/>
  <c r="T6" i="149"/>
  <c r="S6" i="149"/>
  <c r="R6" i="149"/>
  <c r="Q6" i="149"/>
  <c r="P6" i="149"/>
  <c r="O6" i="149"/>
  <c r="N6" i="149"/>
  <c r="M6" i="149"/>
  <c r="L6" i="149"/>
  <c r="K6" i="149"/>
  <c r="J6" i="149"/>
  <c r="I6" i="149"/>
  <c r="H6" i="149"/>
  <c r="G6" i="149"/>
  <c r="F6" i="149"/>
  <c r="E6" i="149"/>
  <c r="AA5" i="149"/>
  <c r="Z5" i="149"/>
  <c r="Y5" i="149"/>
  <c r="X5" i="149"/>
  <c r="W5" i="149"/>
  <c r="V5" i="149"/>
  <c r="U5" i="149"/>
  <c r="T5" i="149"/>
  <c r="S5" i="149"/>
  <c r="R5" i="149"/>
  <c r="Q5" i="149"/>
  <c r="P5" i="149"/>
  <c r="O5" i="149"/>
  <c r="N5" i="149"/>
  <c r="M5" i="149"/>
  <c r="L5" i="149"/>
  <c r="K5" i="149"/>
  <c r="J5" i="149"/>
  <c r="I5" i="149"/>
  <c r="H5" i="149"/>
  <c r="G5" i="149"/>
  <c r="F5" i="149"/>
  <c r="E5" i="149"/>
  <c r="B34" i="146"/>
  <c r="B33" i="146"/>
  <c r="B32" i="146"/>
  <c r="AR13" i="136"/>
  <c r="AQ13" i="136"/>
  <c r="AP13" i="136"/>
  <c r="AO13" i="136"/>
  <c r="AN13" i="136"/>
  <c r="AM13" i="136"/>
  <c r="AL13" i="136"/>
  <c r="AK13" i="136"/>
  <c r="AJ13" i="136"/>
  <c r="AI13" i="136"/>
  <c r="AA6" i="146"/>
  <c r="Z6" i="146"/>
  <c r="Y6" i="146"/>
  <c r="X6" i="146"/>
  <c r="W6" i="146"/>
  <c r="V6" i="146"/>
  <c r="U6" i="146"/>
  <c r="T6" i="146"/>
  <c r="S6" i="146"/>
  <c r="R6" i="146"/>
  <c r="Q6" i="146"/>
  <c r="P6" i="146"/>
  <c r="O6" i="146"/>
  <c r="N6" i="146"/>
  <c r="M6" i="146"/>
  <c r="L6" i="146"/>
  <c r="K6" i="146"/>
  <c r="J6" i="146"/>
  <c r="I6" i="146"/>
  <c r="H6" i="146"/>
  <c r="G6" i="146"/>
  <c r="F6" i="146"/>
  <c r="E6" i="146"/>
  <c r="AA5" i="146"/>
  <c r="Z5" i="146"/>
  <c r="Y5" i="146"/>
  <c r="X5" i="146"/>
  <c r="W5" i="146"/>
  <c r="V5" i="146"/>
  <c r="U5" i="146"/>
  <c r="T5" i="146"/>
  <c r="S5" i="146"/>
  <c r="R5" i="146"/>
  <c r="Q5" i="146"/>
  <c r="P5" i="146"/>
  <c r="O5" i="146"/>
  <c r="N5" i="146"/>
  <c r="M5" i="146"/>
  <c r="L5" i="146"/>
  <c r="K5" i="146"/>
  <c r="J5" i="146"/>
  <c r="I5" i="146"/>
  <c r="H5" i="146"/>
  <c r="G5" i="146"/>
  <c r="F5" i="146"/>
  <c r="E5" i="146"/>
  <c r="D30" i="153"/>
  <c r="D23" i="153"/>
  <c r="D22" i="153"/>
  <c r="D21" i="153"/>
  <c r="D20" i="153"/>
  <c r="D19" i="153"/>
  <c r="D12" i="153"/>
  <c r="AP186" i="142"/>
  <c r="AQ186" i="142"/>
  <c r="AR186" i="142"/>
  <c r="AS186" i="142"/>
  <c r="AT186" i="142"/>
  <c r="AU186" i="142"/>
  <c r="AV186" i="142"/>
  <c r="AW186" i="142"/>
  <c r="AX186" i="142"/>
  <c r="AY186" i="142"/>
  <c r="AZ186" i="142"/>
  <c r="BA186" i="142"/>
  <c r="BB186" i="142"/>
  <c r="BC186" i="142"/>
  <c r="BD186" i="142"/>
  <c r="AP141" i="142"/>
  <c r="AQ141" i="142"/>
  <c r="AR141" i="142"/>
  <c r="AS141" i="142"/>
  <c r="AT141" i="142"/>
  <c r="AU141" i="142"/>
  <c r="AV141" i="142"/>
  <c r="AW141" i="142"/>
  <c r="AX141" i="142"/>
  <c r="AY141" i="142"/>
  <c r="AZ141" i="142"/>
  <c r="BA141" i="142"/>
  <c r="BB141" i="142"/>
  <c r="BC141" i="142"/>
  <c r="BD141" i="142"/>
  <c r="AP96" i="142"/>
  <c r="AQ96" i="142"/>
  <c r="AR96" i="142"/>
  <c r="AS96" i="142"/>
  <c r="AT96" i="142"/>
  <c r="AU96" i="142"/>
  <c r="AV96" i="142"/>
  <c r="AW96" i="142"/>
  <c r="AX96" i="142"/>
  <c r="AY96" i="142"/>
  <c r="AZ96" i="142"/>
  <c r="BA96" i="142"/>
  <c r="BB96" i="142"/>
  <c r="BC96" i="142"/>
  <c r="BD96" i="142"/>
  <c r="AP51" i="142"/>
  <c r="AQ51" i="142"/>
  <c r="AR51" i="142"/>
  <c r="AS51" i="142"/>
  <c r="AT51" i="142"/>
  <c r="AU51" i="142"/>
  <c r="AV51" i="142"/>
  <c r="AW51" i="142"/>
  <c r="AX51" i="142"/>
  <c r="AY51" i="142"/>
  <c r="AZ51" i="142"/>
  <c r="BA51" i="142"/>
  <c r="BB51" i="142"/>
  <c r="BC51" i="142"/>
  <c r="BD51" i="142"/>
  <c r="AR370" i="133"/>
  <c r="AS370" i="133"/>
  <c r="AT370" i="133"/>
  <c r="AU370" i="133"/>
  <c r="AV370" i="133"/>
  <c r="AW370" i="133"/>
  <c r="AX370" i="133"/>
  <c r="AY370" i="133"/>
  <c r="AZ370" i="133"/>
  <c r="BA370" i="133"/>
  <c r="BB370" i="133"/>
  <c r="BC370" i="133"/>
  <c r="BD370" i="133"/>
  <c r="BE370" i="133"/>
  <c r="BF370" i="133"/>
  <c r="AR323" i="133"/>
  <c r="AS323" i="133"/>
  <c r="AT323" i="133"/>
  <c r="AU323" i="133"/>
  <c r="AV323" i="133"/>
  <c r="AW323" i="133"/>
  <c r="AX323" i="133"/>
  <c r="AY323" i="133"/>
  <c r="AZ323" i="133"/>
  <c r="BA323" i="133"/>
  <c r="BB323" i="133"/>
  <c r="BC323" i="133"/>
  <c r="BD323" i="133"/>
  <c r="BE323" i="133"/>
  <c r="BF323" i="133"/>
  <c r="AR276" i="133"/>
  <c r="AS276" i="133"/>
  <c r="AT276" i="133"/>
  <c r="AU276" i="133"/>
  <c r="AV276" i="133"/>
  <c r="AW276" i="133"/>
  <c r="AX276" i="133"/>
  <c r="AY276" i="133"/>
  <c r="AZ276" i="133"/>
  <c r="BA276" i="133"/>
  <c r="BB276" i="133"/>
  <c r="BC276" i="133"/>
  <c r="BD276" i="133"/>
  <c r="BE276" i="133"/>
  <c r="BF276" i="133"/>
  <c r="AR229" i="133"/>
  <c r="AS229" i="133"/>
  <c r="AT229" i="133"/>
  <c r="AU229" i="133"/>
  <c r="AV229" i="133"/>
  <c r="AW229" i="133"/>
  <c r="AX229" i="133"/>
  <c r="AY229" i="133"/>
  <c r="AZ229" i="133"/>
  <c r="BA229" i="133"/>
  <c r="BB229" i="133"/>
  <c r="BC229" i="133"/>
  <c r="BD229" i="133"/>
  <c r="BE229" i="133"/>
  <c r="BF229" i="133"/>
  <c r="AR182" i="133"/>
  <c r="AS182" i="133"/>
  <c r="AT182" i="133"/>
  <c r="AU182" i="133"/>
  <c r="AV182" i="133"/>
  <c r="AW182" i="133"/>
  <c r="AX182" i="133"/>
  <c r="AY182" i="133"/>
  <c r="AZ182" i="133"/>
  <c r="BA182" i="133"/>
  <c r="BB182" i="133"/>
  <c r="BC182" i="133"/>
  <c r="BD182" i="133"/>
  <c r="BE182" i="133"/>
  <c r="BF182" i="133"/>
  <c r="C9" i="133"/>
  <c r="C6" i="133"/>
  <c r="C5" i="133"/>
  <c r="B22" i="152"/>
  <c r="B21" i="152"/>
  <c r="B20" i="152"/>
  <c r="F4" i="153"/>
  <c r="F9" i="153" s="1"/>
  <c r="G4" i="153"/>
  <c r="G9" i="153" s="1"/>
  <c r="H4" i="153"/>
  <c r="H8" i="153" s="1"/>
  <c r="I4" i="153"/>
  <c r="J4" i="153"/>
  <c r="K4" i="153"/>
  <c r="K8" i="153" s="1"/>
  <c r="L4" i="153"/>
  <c r="L8" i="153" s="1"/>
  <c r="M4" i="153"/>
  <c r="M8" i="153" s="1"/>
  <c r="N4" i="153"/>
  <c r="N8" i="153" s="1"/>
  <c r="O4" i="153"/>
  <c r="O8" i="153" s="1"/>
  <c r="P4" i="153"/>
  <c r="P8" i="153" s="1"/>
  <c r="Q4" i="153"/>
  <c r="Q8" i="153" s="1"/>
  <c r="R4" i="153"/>
  <c r="R8" i="153" s="1"/>
  <c r="S4" i="153"/>
  <c r="S8" i="153" s="1"/>
  <c r="T4" i="153"/>
  <c r="T8" i="153" s="1"/>
  <c r="U4" i="153"/>
  <c r="U9" i="153" s="1"/>
  <c r="V4" i="153"/>
  <c r="V9" i="153" s="1"/>
  <c r="W4" i="153"/>
  <c r="W9" i="153" s="1"/>
  <c r="X4" i="153"/>
  <c r="X9" i="153" s="1"/>
  <c r="Y4" i="153"/>
  <c r="Y8" i="153" s="1"/>
  <c r="Z4" i="153"/>
  <c r="Z8" i="153" s="1"/>
  <c r="AA4" i="153"/>
  <c r="AA8" i="153" s="1"/>
  <c r="E4" i="153"/>
  <c r="I8" i="153" l="1"/>
  <c r="I9" i="153"/>
  <c r="E23" i="153"/>
  <c r="F23" i="153" s="1"/>
  <c r="G23" i="153" s="1"/>
  <c r="H23" i="153" s="1"/>
  <c r="I23" i="153" s="1"/>
  <c r="J23" i="153" s="1"/>
  <c r="K23" i="153" s="1"/>
  <c r="L23" i="153" s="1"/>
  <c r="M23" i="153" s="1"/>
  <c r="N23" i="153" s="1"/>
  <c r="O23" i="153" s="1"/>
  <c r="P23" i="153" s="1"/>
  <c r="Q23" i="153" s="1"/>
  <c r="R23" i="153" s="1"/>
  <c r="S23" i="153" s="1"/>
  <c r="T23" i="153" s="1"/>
  <c r="U23" i="153" s="1"/>
  <c r="V23" i="153" s="1"/>
  <c r="W23" i="153" s="1"/>
  <c r="X23" i="153" s="1"/>
  <c r="Y23" i="153" s="1"/>
  <c r="Z23" i="153" s="1"/>
  <c r="AA23" i="153" s="1"/>
  <c r="E8" i="153"/>
  <c r="E9" i="153"/>
  <c r="E12" i="153"/>
  <c r="E17" i="153" s="1"/>
  <c r="E18" i="153" s="1"/>
  <c r="E19" i="153" s="1"/>
  <c r="F20" i="153"/>
  <c r="G20" i="153"/>
  <c r="X20" i="153"/>
  <c r="Z20" i="153"/>
  <c r="E20" i="153"/>
  <c r="E21" i="153" s="1"/>
  <c r="H20" i="153"/>
  <c r="I20" i="153"/>
  <c r="J20" i="153"/>
  <c r="K20" i="153"/>
  <c r="L20" i="153"/>
  <c r="M20" i="153"/>
  <c r="N20" i="153"/>
  <c r="O20" i="153"/>
  <c r="P20" i="153"/>
  <c r="Q20" i="153"/>
  <c r="R20" i="153"/>
  <c r="S20" i="153"/>
  <c r="T20" i="153"/>
  <c r="U20" i="153"/>
  <c r="V20" i="153"/>
  <c r="W20" i="153"/>
  <c r="Y20" i="153"/>
  <c r="AA20" i="153"/>
  <c r="AA12" i="153"/>
  <c r="G12" i="153"/>
  <c r="K12" i="153"/>
  <c r="U12" i="153"/>
  <c r="F12" i="153"/>
  <c r="F17" i="153" s="1"/>
  <c r="F18" i="153" s="1"/>
  <c r="L12" i="153"/>
  <c r="P12" i="153"/>
  <c r="T12" i="153"/>
  <c r="H12" i="153"/>
  <c r="N12" i="153"/>
  <c r="Q12" i="153"/>
  <c r="V12" i="153"/>
  <c r="I12" i="153"/>
  <c r="M12" i="153"/>
  <c r="R12" i="153"/>
  <c r="J12" i="153"/>
  <c r="O12" i="153"/>
  <c r="S12" i="153"/>
  <c r="W12" i="153"/>
  <c r="X12" i="153"/>
  <c r="Y12" i="153"/>
  <c r="Z12" i="153"/>
  <c r="R33" i="146"/>
  <c r="D33" i="146" s="1"/>
  <c r="M22" i="21"/>
  <c r="E27" i="176"/>
  <c r="U73" i="176"/>
  <c r="D26" i="149"/>
  <c r="E78" i="145"/>
  <c r="E22" i="153"/>
  <c r="C29" i="176"/>
  <c r="C29" i="173"/>
  <c r="C30" i="176"/>
  <c r="C30" i="173"/>
  <c r="D16" i="146"/>
  <c r="M20" i="21" s="1"/>
  <c r="C27" i="176"/>
  <c r="C27" i="173"/>
  <c r="C26" i="176"/>
  <c r="C26" i="173"/>
  <c r="D73" i="183"/>
  <c r="D70" i="183"/>
  <c r="D69" i="183"/>
  <c r="D68" i="183"/>
  <c r="D72" i="183"/>
  <c r="D71" i="183"/>
  <c r="I76" i="137"/>
  <c r="L76" i="137"/>
  <c r="J9" i="153"/>
  <c r="J76" i="137"/>
  <c r="C31" i="176"/>
  <c r="C31" i="173"/>
  <c r="C28" i="176"/>
  <c r="C28" i="173"/>
  <c r="J16" i="136"/>
  <c r="M14" i="173"/>
  <c r="E14" i="173" s="1"/>
  <c r="I284" i="166"/>
  <c r="I293" i="135"/>
  <c r="AF48" i="135"/>
  <c r="AE286" i="135"/>
  <c r="AF299" i="135"/>
  <c r="AE65" i="135"/>
  <c r="AD297" i="135"/>
  <c r="AF31" i="135"/>
  <c r="AE284" i="135"/>
  <c r="K61" i="173"/>
  <c r="K139" i="173" s="1"/>
  <c r="H32" i="136"/>
  <c r="F76" i="137"/>
  <c r="N11" i="136"/>
  <c r="Q43" i="173"/>
  <c r="Q121" i="173" s="1"/>
  <c r="L11" i="136"/>
  <c r="O43" i="173"/>
  <c r="O121" i="173" s="1"/>
  <c r="M11" i="136"/>
  <c r="P43" i="173"/>
  <c r="P121" i="173" s="1"/>
  <c r="AR31" i="136"/>
  <c r="AP31" i="136"/>
  <c r="AQ31" i="136"/>
  <c r="X76" i="137"/>
  <c r="U76" i="137"/>
  <c r="AA76" i="137"/>
  <c r="Z76" i="137"/>
  <c r="Y76" i="137"/>
  <c r="W76" i="137"/>
  <c r="V76" i="137"/>
  <c r="R76" i="137"/>
  <c r="Q76" i="137"/>
  <c r="P76" i="137"/>
  <c r="O76" i="137"/>
  <c r="AQ15" i="136"/>
  <c r="AP15" i="136"/>
  <c r="AR15" i="136"/>
  <c r="T76" i="137"/>
  <c r="S76" i="137"/>
  <c r="K76" i="137"/>
  <c r="N76" i="137"/>
  <c r="E76" i="137"/>
  <c r="H76" i="137"/>
  <c r="M76" i="137"/>
  <c r="G76" i="137"/>
  <c r="N7" i="146"/>
  <c r="O7" i="146"/>
  <c r="P7" i="146"/>
  <c r="J7" i="146"/>
  <c r="K7" i="146"/>
  <c r="L7" i="146"/>
  <c r="M7" i="146"/>
  <c r="Q7" i="146"/>
  <c r="R7" i="146"/>
  <c r="W7" i="146"/>
  <c r="X7" i="146"/>
  <c r="H7" i="146"/>
  <c r="I7" i="146"/>
  <c r="E7" i="146"/>
  <c r="D5" i="146"/>
  <c r="G7" i="146"/>
  <c r="T7" i="146"/>
  <c r="Y7" i="146"/>
  <c r="V7" i="146"/>
  <c r="Z7" i="146"/>
  <c r="F7" i="146"/>
  <c r="U7" i="146"/>
  <c r="AA7" i="146"/>
  <c r="M7" i="149"/>
  <c r="O7" i="149"/>
  <c r="P7" i="149"/>
  <c r="N7" i="149"/>
  <c r="AA7" i="149"/>
  <c r="F7" i="149"/>
  <c r="G7" i="149"/>
  <c r="H7" i="149"/>
  <c r="I7" i="149"/>
  <c r="J7" i="149"/>
  <c r="K7" i="149"/>
  <c r="L7" i="149"/>
  <c r="V7" i="149"/>
  <c r="W7" i="149"/>
  <c r="X7" i="149"/>
  <c r="Y7" i="149"/>
  <c r="Z7" i="149"/>
  <c r="D6" i="149"/>
  <c r="Q7" i="149"/>
  <c r="D5" i="149"/>
  <c r="R7" i="149"/>
  <c r="S7" i="149"/>
  <c r="T7" i="149"/>
  <c r="U7" i="149"/>
  <c r="E7" i="149"/>
  <c r="D6" i="146"/>
  <c r="S7" i="146"/>
  <c r="AA24" i="153"/>
  <c r="AA81" i="145" s="1"/>
  <c r="AA88" i="137" s="1"/>
  <c r="Y24" i="153"/>
  <c r="Y81" i="145" s="1"/>
  <c r="Y88" i="137" s="1"/>
  <c r="X24" i="153"/>
  <c r="X81" i="145" s="1"/>
  <c r="X88" i="137" s="1"/>
  <c r="W24" i="153"/>
  <c r="W81" i="145" s="1"/>
  <c r="W88" i="137" s="1"/>
  <c r="R24" i="153"/>
  <c r="R81" i="145" s="1"/>
  <c r="R88" i="137" s="1"/>
  <c r="Q24" i="153"/>
  <c r="Q81" i="145" s="1"/>
  <c r="Q88" i="137" s="1"/>
  <c r="P24" i="153"/>
  <c r="P81" i="145" s="1"/>
  <c r="P88" i="137" s="1"/>
  <c r="Z24" i="153"/>
  <c r="Z81" i="145" s="1"/>
  <c r="Z88" i="137" s="1"/>
  <c r="O24" i="153"/>
  <c r="O81" i="145" s="1"/>
  <c r="O88" i="137" s="1"/>
  <c r="M24" i="153"/>
  <c r="M81" i="145" s="1"/>
  <c r="M88" i="137" s="1"/>
  <c r="L24" i="153"/>
  <c r="L81" i="145" s="1"/>
  <c r="L88" i="137" s="1"/>
  <c r="K24" i="153"/>
  <c r="K81" i="145" s="1"/>
  <c r="K88" i="137" s="1"/>
  <c r="J24" i="153"/>
  <c r="V24" i="153"/>
  <c r="V81" i="145" s="1"/>
  <c r="V88" i="137" s="1"/>
  <c r="U24" i="153"/>
  <c r="U81" i="145" s="1"/>
  <c r="U88" i="137" s="1"/>
  <c r="T24" i="153"/>
  <c r="T81" i="145" s="1"/>
  <c r="T88" i="137" s="1"/>
  <c r="S24" i="153"/>
  <c r="S81" i="145" s="1"/>
  <c r="S88" i="137" s="1"/>
  <c r="N24" i="153"/>
  <c r="N81" i="145" s="1"/>
  <c r="N88" i="137" s="1"/>
  <c r="G81" i="145"/>
  <c r="H81" i="145"/>
  <c r="H88" i="137" s="1"/>
  <c r="I81" i="145"/>
  <c r="I88" i="137" s="1"/>
  <c r="N9" i="153"/>
  <c r="L9" i="153"/>
  <c r="J8" i="153"/>
  <c r="T9" i="153"/>
  <c r="P9" i="153"/>
  <c r="O9" i="153"/>
  <c r="K9" i="153"/>
  <c r="H9" i="153"/>
  <c r="AA9" i="153"/>
  <c r="Z9" i="153"/>
  <c r="Y9" i="153"/>
  <c r="M9" i="153"/>
  <c r="S9" i="153"/>
  <c r="R9" i="153"/>
  <c r="Q9" i="153"/>
  <c r="X8" i="153"/>
  <c r="W8" i="153"/>
  <c r="V8" i="153"/>
  <c r="U8" i="153"/>
  <c r="G8" i="153"/>
  <c r="G78" i="145" s="1"/>
  <c r="F8" i="153"/>
  <c r="L82" i="21" l="1"/>
  <c r="I78" i="145"/>
  <c r="R33" i="136"/>
  <c r="D33" i="136" s="1"/>
  <c r="U27" i="173"/>
  <c r="U73" i="173" s="1"/>
  <c r="U151" i="176"/>
  <c r="E151" i="176" s="1"/>
  <c r="E73" i="176"/>
  <c r="X32" i="146"/>
  <c r="P32" i="146"/>
  <c r="P78" i="145"/>
  <c r="T78" i="145"/>
  <c r="J78" i="145"/>
  <c r="O78" i="145"/>
  <c r="R78" i="145"/>
  <c r="S78" i="145"/>
  <c r="Q78" i="145"/>
  <c r="F78" i="145"/>
  <c r="M21" i="153"/>
  <c r="M79" i="145" s="1"/>
  <c r="L78" i="145"/>
  <c r="X78" i="145"/>
  <c r="Y78" i="145"/>
  <c r="H78" i="145"/>
  <c r="Z78" i="145"/>
  <c r="N78" i="145"/>
  <c r="U78" i="145"/>
  <c r="V78" i="145"/>
  <c r="W78" i="145"/>
  <c r="K78" i="145"/>
  <c r="I10" i="178"/>
  <c r="I12" i="178" s="1"/>
  <c r="H6" i="180" s="1"/>
  <c r="D16" i="136"/>
  <c r="D67" i="183" s="1"/>
  <c r="L10" i="178"/>
  <c r="L12" i="178" s="1"/>
  <c r="K6" i="180" s="1"/>
  <c r="K10" i="178"/>
  <c r="K12" i="178" s="1"/>
  <c r="J6" i="180" s="1"/>
  <c r="J7" i="180" s="1"/>
  <c r="M61" i="173"/>
  <c r="AF284" i="135"/>
  <c r="AF286" i="135"/>
  <c r="AF65" i="135"/>
  <c r="AE297" i="135"/>
  <c r="N10" i="178"/>
  <c r="N12" i="178" s="1"/>
  <c r="M6" i="180" s="1"/>
  <c r="R10" i="178"/>
  <c r="R12" i="178" s="1"/>
  <c r="Q6" i="180" s="1"/>
  <c r="AB10" i="178"/>
  <c r="AB12" i="178" s="1"/>
  <c r="AA6" i="180" s="1"/>
  <c r="AA7" i="180" s="1"/>
  <c r="M10" i="178"/>
  <c r="M12" i="178" s="1"/>
  <c r="L6" i="180" s="1"/>
  <c r="U10" i="178"/>
  <c r="U12" i="178" s="1"/>
  <c r="T6" i="180" s="1"/>
  <c r="T7" i="180" s="1"/>
  <c r="P10" i="178"/>
  <c r="P12" i="178" s="1"/>
  <c r="O6" i="180" s="1"/>
  <c r="AC10" i="178"/>
  <c r="AC12" i="178" s="1"/>
  <c r="AB6" i="180" s="1"/>
  <c r="AB7" i="180" s="1"/>
  <c r="O10" i="178"/>
  <c r="O12" i="178" s="1"/>
  <c r="N6" i="180" s="1"/>
  <c r="T10" i="178"/>
  <c r="T12" i="178" s="1"/>
  <c r="S6" i="180" s="1"/>
  <c r="S7" i="180" s="1"/>
  <c r="AA10" i="178"/>
  <c r="AA12" i="178" s="1"/>
  <c r="Z6" i="180" s="1"/>
  <c r="Z7" i="180" s="1"/>
  <c r="Z10" i="178"/>
  <c r="Z12" i="178" s="1"/>
  <c r="Y6" i="180" s="1"/>
  <c r="W10" i="178"/>
  <c r="W12" i="178" s="1"/>
  <c r="V6" i="180" s="1"/>
  <c r="S10" i="178"/>
  <c r="S12" i="178" s="1"/>
  <c r="R6" i="180" s="1"/>
  <c r="H10" i="178"/>
  <c r="H12" i="178" s="1"/>
  <c r="G6" i="180" s="1"/>
  <c r="X10" i="178"/>
  <c r="X12" i="178" s="1"/>
  <c r="W6" i="180" s="1"/>
  <c r="Q10" i="178"/>
  <c r="G10" i="178"/>
  <c r="J10" i="178"/>
  <c r="J12" i="178" s="1"/>
  <c r="I6" i="180" s="1"/>
  <c r="Y10" i="178"/>
  <c r="Y12" i="178" s="1"/>
  <c r="X6" i="180" s="1"/>
  <c r="V10" i="178"/>
  <c r="V12" i="178" s="1"/>
  <c r="U6" i="180" s="1"/>
  <c r="J81" i="145"/>
  <c r="J88" i="137" s="1"/>
  <c r="AR38" i="136"/>
  <c r="AQ38" i="136"/>
  <c r="AP38" i="136"/>
  <c r="G88" i="137"/>
  <c r="D7" i="146"/>
  <c r="D7" i="149"/>
  <c r="E80" i="145"/>
  <c r="E79" i="145"/>
  <c r="E27" i="173" l="1"/>
  <c r="P21" i="153"/>
  <c r="P79" i="145" s="1"/>
  <c r="T22" i="153"/>
  <c r="T80" i="145" s="1"/>
  <c r="R22" i="153"/>
  <c r="R80" i="145" s="1"/>
  <c r="P22" i="153"/>
  <c r="P80" i="145" s="1"/>
  <c r="O21" i="153"/>
  <c r="S22" i="153"/>
  <c r="S80" i="145" s="1"/>
  <c r="O22" i="153"/>
  <c r="O80" i="145" s="1"/>
  <c r="S26" i="173"/>
  <c r="P32" i="136"/>
  <c r="D32" i="146"/>
  <c r="AA26" i="173"/>
  <c r="AA61" i="173" s="1"/>
  <c r="AA139" i="173" s="1"/>
  <c r="X32" i="136"/>
  <c r="U151" i="173"/>
  <c r="E151" i="173" s="1"/>
  <c r="E73" i="173"/>
  <c r="L21" i="153"/>
  <c r="L79" i="145" s="1"/>
  <c r="T21" i="153"/>
  <c r="T79" i="145" s="1"/>
  <c r="Q21" i="153"/>
  <c r="Q79" i="145" s="1"/>
  <c r="AA21" i="153"/>
  <c r="AA79" i="145" s="1"/>
  <c r="AA78" i="145"/>
  <c r="M22" i="153"/>
  <c r="M80" i="145" s="1"/>
  <c r="M78" i="145"/>
  <c r="Y22" i="153"/>
  <c r="Y80" i="145" s="1"/>
  <c r="Z21" i="153"/>
  <c r="Z79" i="145" s="1"/>
  <c r="Q22" i="153"/>
  <c r="Q80" i="145" s="1"/>
  <c r="K21" i="153"/>
  <c r="K79" i="145" s="1"/>
  <c r="N22" i="153"/>
  <c r="N80" i="145" s="1"/>
  <c r="S21" i="153"/>
  <c r="S79" i="145" s="1"/>
  <c r="R21" i="153"/>
  <c r="R79" i="145" s="1"/>
  <c r="N21" i="153"/>
  <c r="N79" i="145" s="1"/>
  <c r="L22" i="153"/>
  <c r="L80" i="145" s="1"/>
  <c r="K22" i="153"/>
  <c r="K80" i="145" s="1"/>
  <c r="H22" i="153"/>
  <c r="H80" i="145" s="1"/>
  <c r="AA22" i="153"/>
  <c r="AA80" i="145" s="1"/>
  <c r="Y21" i="153"/>
  <c r="Y79" i="145" s="1"/>
  <c r="Z22" i="153"/>
  <c r="Z80" i="145" s="1"/>
  <c r="H21" i="153"/>
  <c r="H79" i="145" s="1"/>
  <c r="J25" i="180"/>
  <c r="M139" i="173"/>
  <c r="AF297" i="135"/>
  <c r="D81" i="145"/>
  <c r="G12" i="178"/>
  <c r="AA25" i="180"/>
  <c r="S25" i="180"/>
  <c r="AB25" i="180"/>
  <c r="T25" i="180"/>
  <c r="Z25" i="180"/>
  <c r="X7" i="180"/>
  <c r="X25" i="180"/>
  <c r="G7" i="180"/>
  <c r="G25" i="180"/>
  <c r="W7" i="180"/>
  <c r="W25" i="180"/>
  <c r="V25" i="180"/>
  <c r="V7" i="180"/>
  <c r="Y7" i="180"/>
  <c r="Y25" i="180"/>
  <c r="U7" i="180"/>
  <c r="U25" i="180"/>
  <c r="I25" i="180"/>
  <c r="I7" i="180"/>
  <c r="I22" i="153"/>
  <c r="I80" i="145" s="1"/>
  <c r="I21" i="153"/>
  <c r="H25" i="180"/>
  <c r="H7" i="180"/>
  <c r="K7" i="180"/>
  <c r="K25" i="180"/>
  <c r="O7" i="180"/>
  <c r="O25" i="180"/>
  <c r="R7" i="180"/>
  <c r="R25" i="180"/>
  <c r="Q7" i="180"/>
  <c r="Q25" i="180"/>
  <c r="J21" i="153"/>
  <c r="J79" i="145" s="1"/>
  <c r="N7" i="180"/>
  <c r="N25" i="180"/>
  <c r="L7" i="180"/>
  <c r="L25" i="180"/>
  <c r="E10" i="178"/>
  <c r="Q12" i="178"/>
  <c r="P6" i="180" s="1"/>
  <c r="J22" i="153"/>
  <c r="J80" i="145" s="1"/>
  <c r="M7" i="180"/>
  <c r="M25" i="180"/>
  <c r="D88" i="137"/>
  <c r="E30" i="153"/>
  <c r="E82" i="145" s="1"/>
  <c r="V21" i="153"/>
  <c r="V79" i="145" s="1"/>
  <c r="V22" i="153"/>
  <c r="V80" i="145" s="1"/>
  <c r="F22" i="153"/>
  <c r="F80" i="145" s="1"/>
  <c r="F21" i="153"/>
  <c r="F79" i="145" s="1"/>
  <c r="W21" i="153"/>
  <c r="W79" i="145" s="1"/>
  <c r="W22" i="153"/>
  <c r="W80" i="145" s="1"/>
  <c r="U21" i="153"/>
  <c r="U79" i="145" s="1"/>
  <c r="U22" i="153"/>
  <c r="U80" i="145" s="1"/>
  <c r="G22" i="153"/>
  <c r="G80" i="145" s="1"/>
  <c r="G21" i="153"/>
  <c r="X21" i="153"/>
  <c r="X79" i="145" s="1"/>
  <c r="X22" i="153"/>
  <c r="X80" i="145" s="1"/>
  <c r="F6" i="180" l="1"/>
  <c r="O30" i="153"/>
  <c r="O82" i="145" s="1"/>
  <c r="O89" i="137" s="1"/>
  <c r="O79" i="145"/>
  <c r="T30" i="153"/>
  <c r="T82" i="145" s="1"/>
  <c r="T89" i="137" s="1"/>
  <c r="P30" i="153"/>
  <c r="P82" i="145" s="1"/>
  <c r="P89" i="137" s="1"/>
  <c r="M30" i="153"/>
  <c r="M82" i="145" s="1"/>
  <c r="M89" i="137" s="1"/>
  <c r="D32" i="136"/>
  <c r="S61" i="173"/>
  <c r="E26" i="173"/>
  <c r="Q30" i="153"/>
  <c r="Q82" i="145" s="1"/>
  <c r="Q89" i="137" s="1"/>
  <c r="R30" i="153"/>
  <c r="R82" i="145" s="1"/>
  <c r="R89" i="137" s="1"/>
  <c r="K30" i="153"/>
  <c r="K82" i="145" s="1"/>
  <c r="K89" i="137" s="1"/>
  <c r="N30" i="153"/>
  <c r="N82" i="145" s="1"/>
  <c r="N89" i="137" s="1"/>
  <c r="S30" i="153"/>
  <c r="S82" i="145" s="1"/>
  <c r="S89" i="137" s="1"/>
  <c r="AA30" i="153"/>
  <c r="AA82" i="145" s="1"/>
  <c r="AA89" i="137" s="1"/>
  <c r="H30" i="153"/>
  <c r="H82" i="145" s="1"/>
  <c r="H89" i="137" s="1"/>
  <c r="L30" i="153"/>
  <c r="L82" i="145" s="1"/>
  <c r="L89" i="137" s="1"/>
  <c r="Z30" i="153"/>
  <c r="Z82" i="145" s="1"/>
  <c r="Z89" i="137" s="1"/>
  <c r="Y30" i="153"/>
  <c r="Y82" i="145" s="1"/>
  <c r="Y89" i="137" s="1"/>
  <c r="F7" i="180"/>
  <c r="F25" i="180"/>
  <c r="I30" i="153"/>
  <c r="I82" i="145" s="1"/>
  <c r="I89" i="137" s="1"/>
  <c r="E89" i="137"/>
  <c r="J30" i="153"/>
  <c r="J82" i="145" s="1"/>
  <c r="J89" i="137" s="1"/>
  <c r="P7" i="180"/>
  <c r="P25" i="180"/>
  <c r="E6" i="180"/>
  <c r="E12" i="178"/>
  <c r="G30" i="153"/>
  <c r="G82" i="145" s="1"/>
  <c r="G89" i="137" s="1"/>
  <c r="G79" i="145"/>
  <c r="G86" i="137" s="1"/>
  <c r="I79" i="145"/>
  <c r="I86" i="137" s="1"/>
  <c r="U30" i="153"/>
  <c r="U82" i="145" s="1"/>
  <c r="W30" i="153"/>
  <c r="W82" i="145" s="1"/>
  <c r="W89" i="137" s="1"/>
  <c r="X30" i="153"/>
  <c r="X82" i="145" s="1"/>
  <c r="X89" i="137" s="1"/>
  <c r="V30" i="153"/>
  <c r="V82" i="145" s="1"/>
  <c r="V89" i="137" s="1"/>
  <c r="F30" i="153"/>
  <c r="F82" i="145" s="1"/>
  <c r="F89" i="137" s="1"/>
  <c r="G91" i="145"/>
  <c r="H91" i="145"/>
  <c r="I91" i="145"/>
  <c r="J91" i="145"/>
  <c r="K91" i="145"/>
  <c r="L91" i="145"/>
  <c r="M91" i="145"/>
  <c r="N91" i="145"/>
  <c r="O91" i="145"/>
  <c r="P91" i="145"/>
  <c r="Q91" i="145"/>
  <c r="R91" i="145"/>
  <c r="S91" i="145"/>
  <c r="T91" i="145"/>
  <c r="U91" i="145"/>
  <c r="V91" i="145"/>
  <c r="W91" i="145"/>
  <c r="X91" i="145"/>
  <c r="Y91" i="145"/>
  <c r="Z91" i="145"/>
  <c r="AA91" i="145"/>
  <c r="E91" i="145"/>
  <c r="D88" i="145"/>
  <c r="D89" i="145"/>
  <c r="E11" i="152"/>
  <c r="F11" i="152"/>
  <c r="D11" i="152"/>
  <c r="C11" i="152"/>
  <c r="C7" i="152"/>
  <c r="C6" i="152"/>
  <c r="F95" i="137"/>
  <c r="G95" i="137"/>
  <c r="H95" i="137"/>
  <c r="I95" i="137"/>
  <c r="J95" i="137"/>
  <c r="K95" i="137"/>
  <c r="L95" i="137"/>
  <c r="M95" i="137"/>
  <c r="N95" i="137"/>
  <c r="O95" i="137"/>
  <c r="P95" i="137"/>
  <c r="Q95" i="137"/>
  <c r="R95" i="137"/>
  <c r="S95" i="137"/>
  <c r="T95" i="137"/>
  <c r="U95" i="137"/>
  <c r="V95" i="137"/>
  <c r="W95" i="137"/>
  <c r="X95" i="137"/>
  <c r="Y95" i="137"/>
  <c r="Z95" i="137"/>
  <c r="AA95" i="137"/>
  <c r="F96" i="137"/>
  <c r="G96" i="137"/>
  <c r="H96" i="137"/>
  <c r="I96" i="137"/>
  <c r="J96" i="137"/>
  <c r="K96" i="137"/>
  <c r="L96" i="137"/>
  <c r="M96" i="137"/>
  <c r="N96" i="137"/>
  <c r="O96" i="137"/>
  <c r="P96" i="137"/>
  <c r="Q96" i="137"/>
  <c r="R96" i="137"/>
  <c r="S96" i="137"/>
  <c r="T96" i="137"/>
  <c r="U96" i="137"/>
  <c r="V96" i="137"/>
  <c r="W96" i="137"/>
  <c r="X96" i="137"/>
  <c r="Y96" i="137"/>
  <c r="Z96" i="137"/>
  <c r="AA96" i="137"/>
  <c r="F97" i="137"/>
  <c r="G97" i="137"/>
  <c r="H97" i="137"/>
  <c r="I97" i="137"/>
  <c r="J97" i="137"/>
  <c r="K97" i="137"/>
  <c r="L97" i="137"/>
  <c r="M97" i="137"/>
  <c r="N97" i="137"/>
  <c r="O97" i="137"/>
  <c r="P97" i="137"/>
  <c r="Q97" i="137"/>
  <c r="R97" i="137"/>
  <c r="S97" i="137"/>
  <c r="T97" i="137"/>
  <c r="U97" i="137"/>
  <c r="V97" i="137"/>
  <c r="W97" i="137"/>
  <c r="X97" i="137"/>
  <c r="Y97" i="137"/>
  <c r="Z97" i="137"/>
  <c r="AA97" i="137"/>
  <c r="E96" i="137"/>
  <c r="E97" i="137"/>
  <c r="E95" i="137"/>
  <c r="F85" i="137"/>
  <c r="G85" i="137"/>
  <c r="H85" i="137"/>
  <c r="I85" i="137"/>
  <c r="J85" i="137"/>
  <c r="K85" i="137"/>
  <c r="L85" i="137"/>
  <c r="M85" i="137"/>
  <c r="N85" i="137"/>
  <c r="O85" i="137"/>
  <c r="P85" i="137"/>
  <c r="Q85" i="137"/>
  <c r="R85" i="137"/>
  <c r="S85" i="137"/>
  <c r="T85" i="137"/>
  <c r="U85" i="137"/>
  <c r="V85" i="137"/>
  <c r="W85" i="137"/>
  <c r="X85" i="137"/>
  <c r="Y85" i="137"/>
  <c r="Z85" i="137"/>
  <c r="AA85" i="137"/>
  <c r="F86" i="137"/>
  <c r="H86" i="137"/>
  <c r="J86" i="137"/>
  <c r="K86" i="137"/>
  <c r="L86" i="137"/>
  <c r="M86" i="137"/>
  <c r="N86" i="137"/>
  <c r="O86" i="137"/>
  <c r="P86" i="137"/>
  <c r="Q86" i="137"/>
  <c r="R86" i="137"/>
  <c r="S86" i="137"/>
  <c r="T86" i="137"/>
  <c r="U86" i="137"/>
  <c r="V86" i="137"/>
  <c r="W86" i="137"/>
  <c r="X86" i="137"/>
  <c r="Y86" i="137"/>
  <c r="Z86" i="137"/>
  <c r="AA86" i="137"/>
  <c r="F87" i="137"/>
  <c r="G87" i="137"/>
  <c r="H87" i="137"/>
  <c r="I87" i="137"/>
  <c r="J87" i="137"/>
  <c r="K87" i="137"/>
  <c r="L87" i="137"/>
  <c r="M87" i="137"/>
  <c r="N87" i="137"/>
  <c r="O87" i="137"/>
  <c r="P87" i="137"/>
  <c r="Q87" i="137"/>
  <c r="R87" i="137"/>
  <c r="S87" i="137"/>
  <c r="T87" i="137"/>
  <c r="U87" i="137"/>
  <c r="V87" i="137"/>
  <c r="W87" i="137"/>
  <c r="X87" i="137"/>
  <c r="Y87" i="137"/>
  <c r="Z87" i="137"/>
  <c r="AA87" i="137"/>
  <c r="F91" i="137"/>
  <c r="G91" i="137"/>
  <c r="H91" i="137"/>
  <c r="J91" i="137"/>
  <c r="K91" i="137"/>
  <c r="L91" i="137"/>
  <c r="M91" i="137"/>
  <c r="N91" i="137"/>
  <c r="O91" i="137"/>
  <c r="P91" i="137"/>
  <c r="Q91" i="137"/>
  <c r="R91" i="137"/>
  <c r="S91" i="137"/>
  <c r="T91" i="137"/>
  <c r="U91" i="137"/>
  <c r="V91" i="137"/>
  <c r="W91" i="137"/>
  <c r="X91" i="137"/>
  <c r="Y91" i="137"/>
  <c r="Z91" i="137"/>
  <c r="AA91" i="137"/>
  <c r="E85" i="137"/>
  <c r="E86" i="137"/>
  <c r="E87" i="137"/>
  <c r="E91" i="137"/>
  <c r="B31" i="145"/>
  <c r="C45" i="183" s="1"/>
  <c r="E4" i="152"/>
  <c r="F4" i="152"/>
  <c r="D4" i="152"/>
  <c r="B21" i="137"/>
  <c r="C12" i="183" s="1"/>
  <c r="B35" i="137"/>
  <c r="B52" i="137"/>
  <c r="B48" i="137"/>
  <c r="B49" i="137"/>
  <c r="B50" i="137"/>
  <c r="B51" i="137"/>
  <c r="B13" i="137"/>
  <c r="B15" i="137"/>
  <c r="C7" i="183" s="1"/>
  <c r="B16" i="137"/>
  <c r="B17" i="137"/>
  <c r="C8" i="183" s="1"/>
  <c r="B18" i="137"/>
  <c r="C9" i="183" s="1"/>
  <c r="B24" i="137"/>
  <c r="C15" i="183" s="1"/>
  <c r="B19" i="137"/>
  <c r="Q7" i="21" s="1"/>
  <c r="K131" i="21" s="1"/>
  <c r="B20" i="137"/>
  <c r="B23" i="137"/>
  <c r="C14" i="183" s="1"/>
  <c r="C16" i="183"/>
  <c r="B26" i="137"/>
  <c r="C17" i="183" s="1"/>
  <c r="B29" i="137"/>
  <c r="C19" i="183" s="1"/>
  <c r="B32" i="137"/>
  <c r="C22" i="183" s="1"/>
  <c r="B33" i="137"/>
  <c r="C23" i="183" s="1"/>
  <c r="B34" i="137"/>
  <c r="B36" i="137"/>
  <c r="B37" i="137"/>
  <c r="Q23" i="21" s="1"/>
  <c r="B38" i="137"/>
  <c r="Q24" i="21" s="1"/>
  <c r="B39" i="137"/>
  <c r="Q25" i="21" s="1"/>
  <c r="B40" i="137"/>
  <c r="Q26" i="21" s="1"/>
  <c r="B41" i="137"/>
  <c r="Q27" i="21" s="1"/>
  <c r="B44" i="137"/>
  <c r="Q30" i="21" s="1"/>
  <c r="B45" i="137"/>
  <c r="Q31" i="21" s="1"/>
  <c r="B46" i="137"/>
  <c r="B25" i="145"/>
  <c r="C39" i="183" s="1"/>
  <c r="B19" i="145"/>
  <c r="C33" i="183" s="1"/>
  <c r="B21" i="145"/>
  <c r="B22" i="145"/>
  <c r="B18" i="145"/>
  <c r="C32" i="183" s="1"/>
  <c r="D64" i="145"/>
  <c r="D65" i="145"/>
  <c r="C11" i="183" l="1"/>
  <c r="Q8" i="21"/>
  <c r="K132" i="21" s="1"/>
  <c r="C5" i="183"/>
  <c r="Q4" i="21"/>
  <c r="S139" i="173"/>
  <c r="E139" i="173" s="1"/>
  <c r="E61" i="173"/>
  <c r="C36" i="183"/>
  <c r="C35" i="183"/>
  <c r="C10" i="183"/>
  <c r="E25" i="180"/>
  <c r="E7" i="180"/>
  <c r="F12" i="178"/>
  <c r="D91" i="137"/>
  <c r="D82" i="145"/>
  <c r="E98" i="137"/>
  <c r="U89" i="137"/>
  <c r="D91" i="145"/>
  <c r="S98" i="137"/>
  <c r="K98" i="137"/>
  <c r="J98" i="137"/>
  <c r="I98" i="137"/>
  <c r="G98" i="137"/>
  <c r="F98" i="137"/>
  <c r="T98" i="137"/>
  <c r="P98" i="137"/>
  <c r="O98" i="137"/>
  <c r="L98" i="137"/>
  <c r="U98" i="137"/>
  <c r="AA98" i="137"/>
  <c r="Q98" i="137"/>
  <c r="D95" i="137"/>
  <c r="Z98" i="137"/>
  <c r="H98" i="137"/>
  <c r="X98" i="137"/>
  <c r="V98" i="137"/>
  <c r="Y98" i="137"/>
  <c r="W98" i="137"/>
  <c r="N98" i="137"/>
  <c r="M98" i="137"/>
  <c r="R98" i="137"/>
  <c r="D96" i="137"/>
  <c r="D89" i="137" l="1"/>
  <c r="I299" i="135" l="1"/>
  <c r="D60" i="145"/>
  <c r="D61" i="145"/>
  <c r="D69" i="145"/>
  <c r="D72" i="145"/>
  <c r="D75" i="145"/>
  <c r="D78" i="145"/>
  <c r="D79" i="145"/>
  <c r="D80" i="145"/>
  <c r="B13" i="145"/>
  <c r="C27" i="183" s="1"/>
  <c r="B14" i="145"/>
  <c r="C28" i="183" s="1"/>
  <c r="B15" i="145"/>
  <c r="C29" i="183" s="1"/>
  <c r="B16" i="145"/>
  <c r="C30" i="183" s="1"/>
  <c r="B20" i="145"/>
  <c r="C34" i="183" s="1"/>
  <c r="B17" i="145"/>
  <c r="B26" i="145"/>
  <c r="C40" i="183" s="1"/>
  <c r="B28" i="145"/>
  <c r="C42" i="183" s="1"/>
  <c r="B29" i="145"/>
  <c r="B30" i="145"/>
  <c r="B32" i="145"/>
  <c r="B33" i="145"/>
  <c r="B34" i="145"/>
  <c r="B35" i="145"/>
  <c r="B36" i="145"/>
  <c r="B37" i="145"/>
  <c r="B40" i="145"/>
  <c r="B41" i="145"/>
  <c r="B42" i="145"/>
  <c r="B44" i="145"/>
  <c r="B45" i="145"/>
  <c r="B46" i="145"/>
  <c r="B47" i="145"/>
  <c r="B48" i="145"/>
  <c r="B12" i="145"/>
  <c r="E6" i="144"/>
  <c r="AA6" i="145"/>
  <c r="Z6" i="145"/>
  <c r="Y6" i="145"/>
  <c r="X6" i="145"/>
  <c r="W6" i="145"/>
  <c r="V6" i="145"/>
  <c r="U6" i="145"/>
  <c r="T6" i="145"/>
  <c r="S6" i="145"/>
  <c r="R6" i="145"/>
  <c r="Q6" i="145"/>
  <c r="P6" i="145"/>
  <c r="O6" i="145"/>
  <c r="N6" i="145"/>
  <c r="M6" i="145"/>
  <c r="L6" i="145"/>
  <c r="K6" i="145"/>
  <c r="J6" i="145"/>
  <c r="I6" i="145"/>
  <c r="H6" i="145"/>
  <c r="G6" i="145"/>
  <c r="F6" i="145"/>
  <c r="E6" i="145"/>
  <c r="C44" i="183" l="1"/>
  <c r="C31" i="183"/>
  <c r="C43" i="183"/>
  <c r="I286" i="135"/>
  <c r="D71" i="137"/>
  <c r="D72" i="137"/>
  <c r="D76" i="137"/>
  <c r="D79" i="137"/>
  <c r="D82" i="137"/>
  <c r="D85" i="137"/>
  <c r="D86" i="137"/>
  <c r="D87" i="137"/>
  <c r="I297" i="135" l="1"/>
  <c r="G413" i="133"/>
  <c r="H413" i="133"/>
  <c r="F25" i="149" s="1"/>
  <c r="I413" i="133"/>
  <c r="J413" i="133"/>
  <c r="G366" i="133"/>
  <c r="E11" i="149" s="1"/>
  <c r="E18" i="149" s="1"/>
  <c r="H366" i="133"/>
  <c r="F11" i="149" s="1"/>
  <c r="F18" i="149" s="1"/>
  <c r="I366" i="133"/>
  <c r="G11" i="149" s="1"/>
  <c r="G18" i="149" s="1"/>
  <c r="J366" i="133"/>
  <c r="H11" i="149" s="1"/>
  <c r="H18" i="149" s="1"/>
  <c r="B190" i="142"/>
  <c r="S1" i="131"/>
  <c r="T1" i="131" s="1"/>
  <c r="U1" i="131" s="1"/>
  <c r="B138" i="142"/>
  <c r="B183" i="142" s="1"/>
  <c r="B93" i="142"/>
  <c r="N9" i="173"/>
  <c r="J40" i="141"/>
  <c r="I11" i="146" s="1"/>
  <c r="F31" i="149" l="1"/>
  <c r="I25" i="176"/>
  <c r="K13" i="176"/>
  <c r="I13" i="176"/>
  <c r="I22" i="176"/>
  <c r="J25" i="173"/>
  <c r="G25" i="149"/>
  <c r="G31" i="136" s="1"/>
  <c r="J13" i="176"/>
  <c r="H13" i="176"/>
  <c r="H22" i="176"/>
  <c r="K25" i="173"/>
  <c r="H25" i="149"/>
  <c r="H25" i="173"/>
  <c r="E25" i="149"/>
  <c r="L9" i="173"/>
  <c r="L43" i="173" s="1"/>
  <c r="L121" i="173" s="1"/>
  <c r="M9" i="173"/>
  <c r="M43" i="173" s="1"/>
  <c r="M121" i="173" s="1"/>
  <c r="I25" i="173"/>
  <c r="F38" i="146"/>
  <c r="I11" i="136"/>
  <c r="J11" i="136"/>
  <c r="K11" i="136"/>
  <c r="N43" i="173"/>
  <c r="N121" i="173" s="1"/>
  <c r="F15" i="136"/>
  <c r="G15" i="136"/>
  <c r="H15" i="136"/>
  <c r="E15" i="136"/>
  <c r="F31" i="136"/>
  <c r="H38" i="146"/>
  <c r="K32" i="173" s="1"/>
  <c r="G38" i="146"/>
  <c r="J32" i="173" s="1"/>
  <c r="H32" i="173"/>
  <c r="V1" i="131"/>
  <c r="E31" i="136" l="1"/>
  <c r="H25" i="176"/>
  <c r="H55" i="176" s="1"/>
  <c r="H133" i="176" s="1"/>
  <c r="H31" i="149"/>
  <c r="H38" i="136" s="1"/>
  <c r="K25" i="176"/>
  <c r="K55" i="176" s="1"/>
  <c r="K133" i="176" s="1"/>
  <c r="G31" i="149"/>
  <c r="G38" i="136" s="1"/>
  <c r="J25" i="176"/>
  <c r="J55" i="176" s="1"/>
  <c r="J133" i="176" s="1"/>
  <c r="F32" i="149"/>
  <c r="I32" i="176"/>
  <c r="I33" i="176" s="1"/>
  <c r="H7" i="167" s="1"/>
  <c r="J33" i="173"/>
  <c r="I55" i="176"/>
  <c r="I133" i="176" s="1"/>
  <c r="E31" i="149"/>
  <c r="H33" i="173"/>
  <c r="H31" i="136"/>
  <c r="K33" i="173"/>
  <c r="F39" i="146"/>
  <c r="I32" i="173"/>
  <c r="I33" i="173" s="1"/>
  <c r="K55" i="173"/>
  <c r="K133" i="173" s="1"/>
  <c r="H55" i="173"/>
  <c r="H133" i="173" s="1"/>
  <c r="J55" i="173"/>
  <c r="J133" i="173" s="1"/>
  <c r="I55" i="173"/>
  <c r="I133" i="173" s="1"/>
  <c r="H39" i="146"/>
  <c r="F38" i="136"/>
  <c r="E39" i="146"/>
  <c r="G39" i="146"/>
  <c r="F225" i="133"/>
  <c r="I109" i="176" l="1"/>
  <c r="I187" i="176" s="1"/>
  <c r="G32" i="149"/>
  <c r="J32" i="176"/>
  <c r="E38" i="136"/>
  <c r="H32" i="176"/>
  <c r="H33" i="176" s="1"/>
  <c r="H32" i="149"/>
  <c r="K32" i="176"/>
  <c r="E32" i="149"/>
  <c r="H134" i="176"/>
  <c r="H134" i="173"/>
  <c r="I11" i="130"/>
  <c r="Q271" i="133"/>
  <c r="P271" i="133"/>
  <c r="X130" i="183"/>
  <c r="W130" i="183"/>
  <c r="V130" i="183"/>
  <c r="U130" i="183"/>
  <c r="T130" i="183"/>
  <c r="S130" i="183"/>
  <c r="R130" i="183"/>
  <c r="Q130" i="183"/>
  <c r="P130" i="183"/>
  <c r="O130" i="183"/>
  <c r="N130" i="183"/>
  <c r="M130" i="183"/>
  <c r="L130" i="183"/>
  <c r="K130" i="183"/>
  <c r="J130" i="183"/>
  <c r="I130" i="183"/>
  <c r="H130" i="183"/>
  <c r="G130" i="183"/>
  <c r="F130" i="183"/>
  <c r="E130" i="183"/>
  <c r="D130" i="183"/>
  <c r="J266" i="133"/>
  <c r="X132" i="183"/>
  <c r="W132" i="183"/>
  <c r="V132" i="183"/>
  <c r="U132" i="183"/>
  <c r="T132" i="183"/>
  <c r="S132" i="183"/>
  <c r="R132" i="183"/>
  <c r="Q132" i="183"/>
  <c r="P132" i="183"/>
  <c r="O132" i="183"/>
  <c r="N132" i="183"/>
  <c r="M132" i="183"/>
  <c r="L132" i="183"/>
  <c r="K132" i="183"/>
  <c r="J132" i="183"/>
  <c r="I132" i="183"/>
  <c r="H132" i="183"/>
  <c r="G132" i="183"/>
  <c r="F132" i="183"/>
  <c r="E132" i="183"/>
  <c r="D132" i="183"/>
  <c r="I264" i="133"/>
  <c r="X131" i="183"/>
  <c r="W131" i="183"/>
  <c r="V131" i="183"/>
  <c r="U131" i="183"/>
  <c r="T131" i="183"/>
  <c r="S131" i="183"/>
  <c r="R131" i="183"/>
  <c r="Q131" i="183"/>
  <c r="P131" i="183"/>
  <c r="O131" i="183"/>
  <c r="N131" i="183"/>
  <c r="M131" i="183"/>
  <c r="L131" i="183"/>
  <c r="K131" i="183"/>
  <c r="J131" i="183"/>
  <c r="I131" i="183"/>
  <c r="H131" i="183"/>
  <c r="G131" i="183"/>
  <c r="F131" i="183"/>
  <c r="E131" i="183"/>
  <c r="D131" i="183"/>
  <c r="X129" i="183"/>
  <c r="W129" i="183"/>
  <c r="V129" i="183"/>
  <c r="U129" i="183"/>
  <c r="T129" i="183"/>
  <c r="S129" i="183"/>
  <c r="R129" i="183"/>
  <c r="Q129" i="183"/>
  <c r="P129" i="183"/>
  <c r="O129" i="183"/>
  <c r="N129" i="183"/>
  <c r="M129" i="183"/>
  <c r="L129" i="183"/>
  <c r="K129" i="183"/>
  <c r="J129" i="183"/>
  <c r="I129" i="183"/>
  <c r="H129" i="183"/>
  <c r="G129" i="183"/>
  <c r="F129" i="183"/>
  <c r="E129" i="183"/>
  <c r="D129" i="183"/>
  <c r="X128" i="183"/>
  <c r="W128" i="183"/>
  <c r="V128" i="183"/>
  <c r="U128" i="183"/>
  <c r="T128" i="183"/>
  <c r="S128" i="183"/>
  <c r="Q128" i="183"/>
  <c r="P128" i="183"/>
  <c r="O128" i="183"/>
  <c r="N128" i="183"/>
  <c r="M128" i="183"/>
  <c r="L128" i="183"/>
  <c r="K128" i="183"/>
  <c r="J128" i="183"/>
  <c r="I128" i="183"/>
  <c r="H128" i="183"/>
  <c r="G128" i="183"/>
  <c r="F128" i="183"/>
  <c r="E128" i="183"/>
  <c r="D128" i="183"/>
  <c r="X127" i="183"/>
  <c r="W127" i="183"/>
  <c r="V127" i="183"/>
  <c r="U127" i="183"/>
  <c r="T127" i="183"/>
  <c r="S127" i="183"/>
  <c r="R127" i="183"/>
  <c r="Q127" i="183"/>
  <c r="P127" i="183"/>
  <c r="O127" i="183"/>
  <c r="N127" i="183"/>
  <c r="M127" i="183"/>
  <c r="L127" i="183"/>
  <c r="K127" i="183"/>
  <c r="J127" i="183"/>
  <c r="I127" i="183"/>
  <c r="H127" i="183"/>
  <c r="G127" i="183"/>
  <c r="F127" i="183"/>
  <c r="E127" i="183"/>
  <c r="D127" i="183"/>
  <c r="X126" i="183"/>
  <c r="W126" i="183"/>
  <c r="V126" i="183"/>
  <c r="U126" i="183"/>
  <c r="T126" i="183"/>
  <c r="S126" i="183"/>
  <c r="R126" i="183"/>
  <c r="Q126" i="183"/>
  <c r="P126" i="183"/>
  <c r="O126" i="183"/>
  <c r="N126" i="183"/>
  <c r="M126" i="183"/>
  <c r="L126" i="183"/>
  <c r="K126" i="183"/>
  <c r="J126" i="183"/>
  <c r="I126" i="183"/>
  <c r="H126" i="183"/>
  <c r="G126" i="183"/>
  <c r="F126" i="183"/>
  <c r="E126" i="183"/>
  <c r="D126" i="183"/>
  <c r="J254" i="133"/>
  <c r="B178" i="133"/>
  <c r="B225" i="133" s="1"/>
  <c r="C178" i="133"/>
  <c r="C225" i="133" s="1"/>
  <c r="B141" i="133"/>
  <c r="B188" i="133" s="1"/>
  <c r="B235" i="133" s="1"/>
  <c r="B282" i="133" s="1"/>
  <c r="H78" i="134"/>
  <c r="H55" i="133"/>
  <c r="I55" i="133"/>
  <c r="J55" i="133"/>
  <c r="G55" i="133"/>
  <c r="E44" i="133"/>
  <c r="H66" i="133"/>
  <c r="I66" i="133"/>
  <c r="J66" i="133"/>
  <c r="K66" i="133"/>
  <c r="L66" i="133"/>
  <c r="M66" i="133"/>
  <c r="N66" i="133"/>
  <c r="O66" i="133"/>
  <c r="P66" i="133"/>
  <c r="Q66" i="133"/>
  <c r="R66" i="133"/>
  <c r="S66" i="133"/>
  <c r="T66" i="133"/>
  <c r="U66" i="133"/>
  <c r="V66" i="133"/>
  <c r="W66" i="133"/>
  <c r="X66" i="133"/>
  <c r="Y66" i="133"/>
  <c r="Z66" i="133"/>
  <c r="AA66" i="133"/>
  <c r="AB66" i="133"/>
  <c r="AC66" i="133"/>
  <c r="G66" i="133"/>
  <c r="D9" i="130"/>
  <c r="D13" i="130"/>
  <c r="E108" i="134"/>
  <c r="F108" i="134"/>
  <c r="G108" i="134"/>
  <c r="H108" i="134"/>
  <c r="I108" i="134"/>
  <c r="J108" i="134"/>
  <c r="K108" i="134"/>
  <c r="L108" i="134"/>
  <c r="M108" i="134"/>
  <c r="N108" i="134"/>
  <c r="O108" i="134"/>
  <c r="P108" i="134"/>
  <c r="Q108" i="134"/>
  <c r="R108" i="134"/>
  <c r="S108" i="134"/>
  <c r="T108" i="134"/>
  <c r="U108" i="134"/>
  <c r="V108" i="134"/>
  <c r="W108" i="134"/>
  <c r="X108" i="134"/>
  <c r="Y108" i="134"/>
  <c r="Z108" i="134"/>
  <c r="AA108" i="134"/>
  <c r="AB108" i="134"/>
  <c r="AC108" i="134"/>
  <c r="AD108" i="134"/>
  <c r="AE108" i="134"/>
  <c r="AF108" i="134"/>
  <c r="AG108" i="134"/>
  <c r="AH108" i="134"/>
  <c r="AI108" i="134"/>
  <c r="AJ108" i="134"/>
  <c r="AK108" i="134"/>
  <c r="AL108" i="134"/>
  <c r="AM108" i="134"/>
  <c r="D108" i="134"/>
  <c r="E102" i="134"/>
  <c r="F102" i="134"/>
  <c r="G102" i="134"/>
  <c r="H102" i="134"/>
  <c r="I102" i="134"/>
  <c r="J102" i="134"/>
  <c r="K102" i="134"/>
  <c r="L102" i="134"/>
  <c r="M102" i="134"/>
  <c r="N102" i="134"/>
  <c r="O102" i="134"/>
  <c r="P102" i="134"/>
  <c r="Q102" i="134"/>
  <c r="R102" i="134"/>
  <c r="S102" i="134"/>
  <c r="T102" i="134"/>
  <c r="U102" i="134"/>
  <c r="V102" i="134"/>
  <c r="W102" i="134"/>
  <c r="X102" i="134"/>
  <c r="Y102" i="134"/>
  <c r="Z102" i="134"/>
  <c r="AA102" i="134"/>
  <c r="AB102" i="134"/>
  <c r="AC102" i="134"/>
  <c r="AD102" i="134"/>
  <c r="AE102" i="134"/>
  <c r="AF102" i="134"/>
  <c r="AG102" i="134"/>
  <c r="AH102" i="134"/>
  <c r="AI102" i="134"/>
  <c r="AJ102" i="134"/>
  <c r="AK102" i="134"/>
  <c r="AL102" i="134"/>
  <c r="AM102" i="134"/>
  <c r="D102" i="134"/>
  <c r="E96" i="134"/>
  <c r="F96" i="134"/>
  <c r="G96" i="134"/>
  <c r="H96" i="134"/>
  <c r="H97" i="134" s="1"/>
  <c r="I96" i="134"/>
  <c r="J96" i="134"/>
  <c r="K96" i="134"/>
  <c r="L96" i="134"/>
  <c r="M96" i="134"/>
  <c r="N96" i="134"/>
  <c r="O96" i="134"/>
  <c r="P96" i="134"/>
  <c r="Q96" i="134"/>
  <c r="R96" i="134"/>
  <c r="S96" i="134"/>
  <c r="T96" i="134"/>
  <c r="U96" i="134"/>
  <c r="V96" i="134"/>
  <c r="W96" i="134"/>
  <c r="X96" i="134"/>
  <c r="Y96" i="134"/>
  <c r="Z96" i="134"/>
  <c r="AA96" i="134"/>
  <c r="AB96" i="134"/>
  <c r="AC96" i="134"/>
  <c r="AD96" i="134"/>
  <c r="AE96" i="134"/>
  <c r="AF96" i="134"/>
  <c r="AG96" i="134"/>
  <c r="AH96" i="134"/>
  <c r="AI96" i="134"/>
  <c r="AJ96" i="134"/>
  <c r="AK96" i="134"/>
  <c r="AL96" i="134"/>
  <c r="AM96" i="134"/>
  <c r="D96" i="134"/>
  <c r="I90" i="134"/>
  <c r="J90" i="134"/>
  <c r="K90" i="134"/>
  <c r="L90" i="134"/>
  <c r="M90" i="134"/>
  <c r="N90" i="134"/>
  <c r="O90" i="134"/>
  <c r="P90" i="134"/>
  <c r="Q90" i="134"/>
  <c r="R90" i="134"/>
  <c r="S90" i="134"/>
  <c r="T90" i="134"/>
  <c r="U90" i="134"/>
  <c r="V90" i="134"/>
  <c r="W90" i="134"/>
  <c r="X90" i="134"/>
  <c r="Y90" i="134"/>
  <c r="Z90" i="134"/>
  <c r="AA90" i="134"/>
  <c r="AB90" i="134"/>
  <c r="AC90" i="134"/>
  <c r="AD90" i="134"/>
  <c r="AE90" i="134"/>
  <c r="AF90" i="134"/>
  <c r="AG90" i="134"/>
  <c r="AH90" i="134"/>
  <c r="AI90" i="134"/>
  <c r="AJ90" i="134"/>
  <c r="AK90" i="134"/>
  <c r="AL90" i="134"/>
  <c r="AM90" i="134"/>
  <c r="E90" i="134"/>
  <c r="F90" i="134"/>
  <c r="G90" i="134"/>
  <c r="H90" i="134"/>
  <c r="H91" i="134" s="1"/>
  <c r="D90" i="134"/>
  <c r="E78" i="134"/>
  <c r="E84" i="134" s="1"/>
  <c r="F78" i="134"/>
  <c r="F84" i="134" s="1"/>
  <c r="G78" i="134"/>
  <c r="G84" i="134" s="1"/>
  <c r="I78" i="134"/>
  <c r="J78" i="134"/>
  <c r="J84" i="134" s="1"/>
  <c r="K78" i="134"/>
  <c r="K84" i="134" s="1"/>
  <c r="L78" i="134"/>
  <c r="L84" i="134" s="1"/>
  <c r="M78" i="134"/>
  <c r="M84" i="134" s="1"/>
  <c r="N78" i="134"/>
  <c r="N84" i="134" s="1"/>
  <c r="O78" i="134"/>
  <c r="O84" i="134" s="1"/>
  <c r="P78" i="134"/>
  <c r="P84" i="134" s="1"/>
  <c r="Q78" i="134"/>
  <c r="Q84" i="134" s="1"/>
  <c r="R78" i="134"/>
  <c r="R84" i="134" s="1"/>
  <c r="S78" i="134"/>
  <c r="S84" i="134" s="1"/>
  <c r="T78" i="134"/>
  <c r="T84" i="134" s="1"/>
  <c r="U78" i="134"/>
  <c r="U84" i="134" s="1"/>
  <c r="V78" i="134"/>
  <c r="V84" i="134" s="1"/>
  <c r="W78" i="134"/>
  <c r="W84" i="134" s="1"/>
  <c r="X78" i="134"/>
  <c r="X84" i="134" s="1"/>
  <c r="Y78" i="134"/>
  <c r="Y84" i="134" s="1"/>
  <c r="Z78" i="134"/>
  <c r="AA78" i="134"/>
  <c r="AA84" i="134" s="1"/>
  <c r="AB78" i="134"/>
  <c r="AB84" i="134" s="1"/>
  <c r="AC78" i="134"/>
  <c r="AC84" i="134" s="1"/>
  <c r="AD78" i="134"/>
  <c r="AD84" i="134" s="1"/>
  <c r="AE78" i="134"/>
  <c r="AE84" i="134" s="1"/>
  <c r="AF78" i="134"/>
  <c r="AF84" i="134" s="1"/>
  <c r="AG78" i="134"/>
  <c r="AG84" i="134" s="1"/>
  <c r="AH78" i="134"/>
  <c r="AI78" i="134"/>
  <c r="AJ78" i="134"/>
  <c r="AK78" i="134"/>
  <c r="AL78" i="134"/>
  <c r="AM78" i="134"/>
  <c r="D78" i="134"/>
  <c r="D84" i="134" s="1"/>
  <c r="E72" i="134"/>
  <c r="F72" i="134"/>
  <c r="G72" i="134"/>
  <c r="H72" i="134"/>
  <c r="I72" i="134"/>
  <c r="J72" i="134"/>
  <c r="K72" i="134"/>
  <c r="L72" i="134"/>
  <c r="M72" i="134"/>
  <c r="N72" i="134"/>
  <c r="O72" i="134"/>
  <c r="P72" i="134"/>
  <c r="Q72" i="134"/>
  <c r="R72" i="134"/>
  <c r="S72" i="134"/>
  <c r="T72" i="134"/>
  <c r="U72" i="134"/>
  <c r="V72" i="134"/>
  <c r="W72" i="134"/>
  <c r="X72" i="134"/>
  <c r="Y72" i="134"/>
  <c r="Z72" i="134"/>
  <c r="AA72" i="134"/>
  <c r="AB72" i="134"/>
  <c r="AC72" i="134"/>
  <c r="AD72" i="134"/>
  <c r="AE72" i="134"/>
  <c r="AF72" i="134"/>
  <c r="AG72" i="134"/>
  <c r="AH72" i="134"/>
  <c r="AI72" i="134"/>
  <c r="AJ72" i="134"/>
  <c r="AK72" i="134"/>
  <c r="AL72" i="134"/>
  <c r="AM72" i="134"/>
  <c r="D72" i="134"/>
  <c r="D66" i="134"/>
  <c r="E66" i="134"/>
  <c r="F66" i="134"/>
  <c r="G66" i="134"/>
  <c r="I66" i="134"/>
  <c r="I67" i="134" s="1"/>
  <c r="J66" i="134"/>
  <c r="K66" i="134"/>
  <c r="L66" i="134"/>
  <c r="M66" i="134"/>
  <c r="N66" i="134"/>
  <c r="O66" i="134"/>
  <c r="P66" i="134"/>
  <c r="Q66" i="134"/>
  <c r="R66" i="134"/>
  <c r="S66" i="134"/>
  <c r="T66" i="134"/>
  <c r="U66" i="134"/>
  <c r="V66" i="134"/>
  <c r="W66" i="134"/>
  <c r="X66" i="134"/>
  <c r="Y66" i="134"/>
  <c r="Z66" i="134"/>
  <c r="AA66" i="134"/>
  <c r="AB66" i="134"/>
  <c r="AC66" i="134"/>
  <c r="AD66" i="134"/>
  <c r="AE66" i="134"/>
  <c r="AF66" i="134"/>
  <c r="AH66" i="134"/>
  <c r="AI66" i="134"/>
  <c r="AJ66" i="134"/>
  <c r="AK66" i="134"/>
  <c r="AL66" i="134"/>
  <c r="AM66" i="134"/>
  <c r="F60" i="134"/>
  <c r="G60" i="134"/>
  <c r="H60" i="134"/>
  <c r="I60" i="134"/>
  <c r="E60" i="134"/>
  <c r="F59" i="134"/>
  <c r="G59" i="134"/>
  <c r="H59" i="134"/>
  <c r="I59" i="134"/>
  <c r="E59" i="134"/>
  <c r="F58" i="134"/>
  <c r="G58" i="134"/>
  <c r="H58" i="134"/>
  <c r="I58" i="134"/>
  <c r="E58" i="134"/>
  <c r="F57" i="134"/>
  <c r="G57" i="134"/>
  <c r="H57" i="134"/>
  <c r="I57" i="134"/>
  <c r="E57" i="134"/>
  <c r="K6" i="133" l="1"/>
  <c r="K7" i="133" s="1"/>
  <c r="K33" i="176"/>
  <c r="J7" i="167" s="1"/>
  <c r="H109" i="176"/>
  <c r="G7" i="167"/>
  <c r="J33" i="176"/>
  <c r="I7" i="167" s="1"/>
  <c r="H135" i="176"/>
  <c r="H136" i="176"/>
  <c r="I132" i="176" s="1"/>
  <c r="B329" i="133"/>
  <c r="C195" i="183"/>
  <c r="C210" i="183"/>
  <c r="Z257" i="133"/>
  <c r="R128" i="183"/>
  <c r="H136" i="173"/>
  <c r="I132" i="173" s="1"/>
  <c r="K71" i="133"/>
  <c r="H135" i="173"/>
  <c r="Q177" i="133"/>
  <c r="I170" i="133"/>
  <c r="Z163" i="133"/>
  <c r="J160" i="133"/>
  <c r="B376" i="133"/>
  <c r="A11" i="142"/>
  <c r="A57" i="142" s="1"/>
  <c r="A102" i="142" s="1"/>
  <c r="A147" i="142" s="1"/>
  <c r="O154" i="133"/>
  <c r="O248" i="133"/>
  <c r="O172" i="133"/>
  <c r="O266" i="133"/>
  <c r="V158" i="133"/>
  <c r="V252" i="133"/>
  <c r="AB176" i="133"/>
  <c r="AB270" i="133"/>
  <c r="H161" i="133"/>
  <c r="H255" i="133"/>
  <c r="L173" i="133"/>
  <c r="L267" i="133"/>
  <c r="S159" i="133"/>
  <c r="S253" i="133"/>
  <c r="W171" i="133"/>
  <c r="W265" i="133"/>
  <c r="H155" i="133"/>
  <c r="H249" i="133"/>
  <c r="V159" i="133"/>
  <c r="V253" i="133"/>
  <c r="Z171" i="133"/>
  <c r="Z265" i="133"/>
  <c r="K155" i="133"/>
  <c r="K249" i="133"/>
  <c r="G175" i="133"/>
  <c r="G269" i="133"/>
  <c r="AA151" i="133"/>
  <c r="AA245" i="133"/>
  <c r="K168" i="133"/>
  <c r="K262" i="133"/>
  <c r="O161" i="133"/>
  <c r="O255" i="133"/>
  <c r="AA153" i="133"/>
  <c r="AA247" i="133"/>
  <c r="M168" i="133"/>
  <c r="M262" i="133"/>
  <c r="AA152" i="133"/>
  <c r="AA246" i="133"/>
  <c r="Y166" i="133"/>
  <c r="Y260" i="133"/>
  <c r="X153" i="133"/>
  <c r="X247" i="133"/>
  <c r="L156" i="133"/>
  <c r="L250" i="133"/>
  <c r="S161" i="133"/>
  <c r="S255" i="133"/>
  <c r="Z166" i="133"/>
  <c r="Z260" i="133"/>
  <c r="W173" i="133"/>
  <c r="W267" i="133"/>
  <c r="H176" i="133"/>
  <c r="H270" i="133"/>
  <c r="Y152" i="133"/>
  <c r="Y246" i="133"/>
  <c r="W164" i="133"/>
  <c r="W258" i="133"/>
  <c r="Y164" i="133"/>
  <c r="Y258" i="133"/>
  <c r="Z164" i="133"/>
  <c r="Z258" i="133"/>
  <c r="W165" i="133"/>
  <c r="W259" i="133"/>
  <c r="L161" i="133"/>
  <c r="L255" i="133"/>
  <c r="S166" i="133"/>
  <c r="S260" i="133"/>
  <c r="I168" i="133"/>
  <c r="I262" i="133"/>
  <c r="AB151" i="133"/>
  <c r="AB245" i="133"/>
  <c r="Y165" i="133"/>
  <c r="Y259" i="133"/>
  <c r="AC158" i="133"/>
  <c r="AC252" i="133"/>
  <c r="AB171" i="133"/>
  <c r="AB265" i="133"/>
  <c r="T160" i="133"/>
  <c r="T254" i="133"/>
  <c r="I156" i="133"/>
  <c r="I250" i="133"/>
  <c r="U160" i="133"/>
  <c r="U254" i="133"/>
  <c r="AB165" i="133"/>
  <c r="AB259" i="133"/>
  <c r="H169" i="133"/>
  <c r="H263" i="133"/>
  <c r="H163" i="133"/>
  <c r="H257" i="133"/>
  <c r="T167" i="133"/>
  <c r="T261" i="133"/>
  <c r="V151" i="133"/>
  <c r="V245" i="133"/>
  <c r="Z152" i="133"/>
  <c r="Z246" i="133"/>
  <c r="Q155" i="133"/>
  <c r="Q249" i="133"/>
  <c r="G157" i="133"/>
  <c r="G251" i="133"/>
  <c r="AC159" i="133"/>
  <c r="AC253" i="133"/>
  <c r="X160" i="133"/>
  <c r="X254" i="133"/>
  <c r="N162" i="133"/>
  <c r="N256" i="133"/>
  <c r="I163" i="133"/>
  <c r="I257" i="133"/>
  <c r="U167" i="133"/>
  <c r="U261" i="133"/>
  <c r="P168" i="133"/>
  <c r="P262" i="133"/>
  <c r="K169" i="133"/>
  <c r="K263" i="133"/>
  <c r="AB172" i="133"/>
  <c r="AB266" i="133"/>
  <c r="R174" i="133"/>
  <c r="R268" i="133"/>
  <c r="M175" i="133"/>
  <c r="M269" i="133"/>
  <c r="U151" i="133"/>
  <c r="U245" i="133"/>
  <c r="W153" i="133"/>
  <c r="W247" i="133"/>
  <c r="R155" i="133"/>
  <c r="R249" i="133"/>
  <c r="M156" i="133"/>
  <c r="M250" i="133"/>
  <c r="H157" i="133"/>
  <c r="H251" i="133"/>
  <c r="Y160" i="133"/>
  <c r="Y254" i="133"/>
  <c r="T161" i="133"/>
  <c r="T255" i="133"/>
  <c r="O162" i="133"/>
  <c r="O256" i="133"/>
  <c r="J163" i="133"/>
  <c r="J257" i="133"/>
  <c r="AA166" i="133"/>
  <c r="AA260" i="133"/>
  <c r="V167" i="133"/>
  <c r="V261" i="133"/>
  <c r="Q168" i="133"/>
  <c r="Q262" i="133"/>
  <c r="L169" i="133"/>
  <c r="L263" i="133"/>
  <c r="G170" i="133"/>
  <c r="G264" i="133"/>
  <c r="AC172" i="133"/>
  <c r="AC266" i="133"/>
  <c r="X173" i="133"/>
  <c r="X267" i="133"/>
  <c r="S174" i="133"/>
  <c r="S268" i="133"/>
  <c r="N175" i="133"/>
  <c r="N269" i="133"/>
  <c r="I176" i="133"/>
  <c r="I270" i="133"/>
  <c r="T151" i="133"/>
  <c r="T245" i="133"/>
  <c r="X152" i="133"/>
  <c r="X246" i="133"/>
  <c r="V153" i="133"/>
  <c r="V247" i="133"/>
  <c r="S155" i="133"/>
  <c r="S249" i="133"/>
  <c r="N156" i="133"/>
  <c r="N250" i="133"/>
  <c r="I157" i="133"/>
  <c r="I251" i="133"/>
  <c r="Z160" i="133"/>
  <c r="Z254" i="133"/>
  <c r="U161" i="133"/>
  <c r="U255" i="133"/>
  <c r="P162" i="133"/>
  <c r="P256" i="133"/>
  <c r="K163" i="133"/>
  <c r="K257" i="133"/>
  <c r="AB166" i="133"/>
  <c r="AB260" i="133"/>
  <c r="W167" i="133"/>
  <c r="W261" i="133"/>
  <c r="R168" i="133"/>
  <c r="R262" i="133"/>
  <c r="M169" i="133"/>
  <c r="M263" i="133"/>
  <c r="H170" i="133"/>
  <c r="H264" i="133"/>
  <c r="Y173" i="133"/>
  <c r="Y267" i="133"/>
  <c r="T174" i="133"/>
  <c r="T268" i="133"/>
  <c r="O175" i="133"/>
  <c r="O269" i="133"/>
  <c r="J176" i="133"/>
  <c r="J270" i="133"/>
  <c r="K151" i="133"/>
  <c r="K245" i="133"/>
  <c r="S151" i="133"/>
  <c r="S245" i="133"/>
  <c r="W152" i="133"/>
  <c r="W246" i="133"/>
  <c r="U153" i="133"/>
  <c r="U247" i="133"/>
  <c r="T155" i="133"/>
  <c r="T249" i="133"/>
  <c r="O156" i="133"/>
  <c r="O250" i="133"/>
  <c r="J157" i="133"/>
  <c r="J251" i="133"/>
  <c r="AA160" i="133"/>
  <c r="AA254" i="133"/>
  <c r="V161" i="133"/>
  <c r="V255" i="133"/>
  <c r="Q162" i="133"/>
  <c r="Q256" i="133"/>
  <c r="L163" i="133"/>
  <c r="L257" i="133"/>
  <c r="G164" i="133"/>
  <c r="G258" i="133"/>
  <c r="AC166" i="133"/>
  <c r="AC260" i="133"/>
  <c r="X167" i="133"/>
  <c r="X261" i="133"/>
  <c r="S168" i="133"/>
  <c r="S262" i="133"/>
  <c r="N169" i="133"/>
  <c r="N263" i="133"/>
  <c r="Z173" i="133"/>
  <c r="Z267" i="133"/>
  <c r="U174" i="133"/>
  <c r="U268" i="133"/>
  <c r="P175" i="133"/>
  <c r="P269" i="133"/>
  <c r="K176" i="133"/>
  <c r="K270" i="133"/>
  <c r="AC163" i="133"/>
  <c r="AC257" i="133"/>
  <c r="W158" i="133"/>
  <c r="W252" i="133"/>
  <c r="AC176" i="133"/>
  <c r="AC270" i="133"/>
  <c r="I161" i="133"/>
  <c r="I255" i="133"/>
  <c r="M173" i="133"/>
  <c r="M267" i="133"/>
  <c r="Y158" i="133"/>
  <c r="Y252" i="133"/>
  <c r="N173" i="133"/>
  <c r="N267" i="133"/>
  <c r="P160" i="133"/>
  <c r="P254" i="133"/>
  <c r="AC177" i="133"/>
  <c r="AC271" i="133"/>
  <c r="I162" i="133"/>
  <c r="I256" i="133"/>
  <c r="H175" i="133"/>
  <c r="H269" i="133"/>
  <c r="V166" i="133"/>
  <c r="V260" i="133"/>
  <c r="S173" i="133"/>
  <c r="S267" i="133"/>
  <c r="W166" i="133"/>
  <c r="W260" i="133"/>
  <c r="L162" i="133"/>
  <c r="L256" i="133"/>
  <c r="Z172" i="133"/>
  <c r="Z266" i="133"/>
  <c r="V173" i="133"/>
  <c r="V267" i="133"/>
  <c r="Q175" i="133"/>
  <c r="Q269" i="133"/>
  <c r="H177" i="133"/>
  <c r="H271" i="133"/>
  <c r="H151" i="133"/>
  <c r="H245" i="133"/>
  <c r="AA167" i="133"/>
  <c r="AA261" i="133"/>
  <c r="X174" i="133"/>
  <c r="X268" i="133"/>
  <c r="M151" i="133"/>
  <c r="M245" i="133"/>
  <c r="S152" i="133"/>
  <c r="S246" i="133"/>
  <c r="Q153" i="133"/>
  <c r="Q247" i="133"/>
  <c r="X155" i="133"/>
  <c r="X249" i="133"/>
  <c r="S156" i="133"/>
  <c r="S250" i="133"/>
  <c r="N157" i="133"/>
  <c r="N251" i="133"/>
  <c r="I158" i="133"/>
  <c r="I252" i="133"/>
  <c r="Z161" i="133"/>
  <c r="Z255" i="133"/>
  <c r="U162" i="133"/>
  <c r="U256" i="133"/>
  <c r="P163" i="133"/>
  <c r="P257" i="133"/>
  <c r="K164" i="133"/>
  <c r="K258" i="133"/>
  <c r="AB167" i="133"/>
  <c r="AB261" i="133"/>
  <c r="W168" i="133"/>
  <c r="W262" i="133"/>
  <c r="R169" i="133"/>
  <c r="R263" i="133"/>
  <c r="M170" i="133"/>
  <c r="M264" i="133"/>
  <c r="H171" i="133"/>
  <c r="H265" i="133"/>
  <c r="Y174" i="133"/>
  <c r="Y268" i="133"/>
  <c r="T175" i="133"/>
  <c r="T269" i="133"/>
  <c r="O176" i="133"/>
  <c r="O270" i="133"/>
  <c r="J177" i="133"/>
  <c r="J271" i="133"/>
  <c r="U158" i="133"/>
  <c r="U252" i="133"/>
  <c r="Q159" i="133"/>
  <c r="Q253" i="133"/>
  <c r="W177" i="133"/>
  <c r="W271" i="133"/>
  <c r="AA170" i="133"/>
  <c r="AA264" i="133"/>
  <c r="Y177" i="133"/>
  <c r="Y271" i="133"/>
  <c r="J161" i="133"/>
  <c r="J255" i="133"/>
  <c r="G168" i="133"/>
  <c r="G262" i="133"/>
  <c r="U159" i="133"/>
  <c r="U253" i="133"/>
  <c r="J174" i="133"/>
  <c r="J268" i="133"/>
  <c r="AA158" i="133"/>
  <c r="AA252" i="133"/>
  <c r="P173" i="133"/>
  <c r="P267" i="133"/>
  <c r="H154" i="133"/>
  <c r="H248" i="133"/>
  <c r="L174" i="133"/>
  <c r="L268" i="133"/>
  <c r="AC153" i="133"/>
  <c r="AC247" i="133"/>
  <c r="I175" i="133"/>
  <c r="I269" i="133"/>
  <c r="O174" i="133"/>
  <c r="O268" i="133"/>
  <c r="AA159" i="133"/>
  <c r="AA253" i="133"/>
  <c r="U173" i="133"/>
  <c r="U267" i="133"/>
  <c r="K156" i="133"/>
  <c r="K250" i="133"/>
  <c r="J169" i="133"/>
  <c r="J263" i="133"/>
  <c r="P156" i="133"/>
  <c r="P250" i="133"/>
  <c r="Y167" i="133"/>
  <c r="Y261" i="133"/>
  <c r="V174" i="133"/>
  <c r="V268" i="133"/>
  <c r="Q156" i="133"/>
  <c r="Q250" i="133"/>
  <c r="S162" i="133"/>
  <c r="S256" i="133"/>
  <c r="K170" i="133"/>
  <c r="K264" i="133"/>
  <c r="Y161" i="133"/>
  <c r="Y255" i="133"/>
  <c r="L170" i="133"/>
  <c r="L264" i="133"/>
  <c r="O151" i="133"/>
  <c r="O245" i="133"/>
  <c r="N152" i="133"/>
  <c r="N246" i="133"/>
  <c r="R152" i="133"/>
  <c r="R246" i="133"/>
  <c r="P153" i="133"/>
  <c r="P247" i="133"/>
  <c r="Y155" i="133"/>
  <c r="Y249" i="133"/>
  <c r="T156" i="133"/>
  <c r="T250" i="133"/>
  <c r="O157" i="133"/>
  <c r="O251" i="133"/>
  <c r="J158" i="133"/>
  <c r="J252" i="133"/>
  <c r="AA161" i="133"/>
  <c r="AA255" i="133"/>
  <c r="V162" i="133"/>
  <c r="V256" i="133"/>
  <c r="Q163" i="133"/>
  <c r="Q257" i="133"/>
  <c r="L164" i="133"/>
  <c r="L258" i="133"/>
  <c r="G165" i="133"/>
  <c r="G259" i="133"/>
  <c r="AC167" i="133"/>
  <c r="AC261" i="133"/>
  <c r="X168" i="133"/>
  <c r="X262" i="133"/>
  <c r="S169" i="133"/>
  <c r="S263" i="133"/>
  <c r="N170" i="133"/>
  <c r="N264" i="133"/>
  <c r="I171" i="133"/>
  <c r="I265" i="133"/>
  <c r="Z174" i="133"/>
  <c r="Z268" i="133"/>
  <c r="U175" i="133"/>
  <c r="U269" i="133"/>
  <c r="P176" i="133"/>
  <c r="P270" i="133"/>
  <c r="K177" i="133"/>
  <c r="K271" i="133"/>
  <c r="K160" i="133"/>
  <c r="K254" i="133"/>
  <c r="J173" i="133"/>
  <c r="J267" i="133"/>
  <c r="X164" i="133"/>
  <c r="X258" i="133"/>
  <c r="Z170" i="133"/>
  <c r="Z264" i="133"/>
  <c r="R159" i="133"/>
  <c r="R253" i="133"/>
  <c r="R172" i="133"/>
  <c r="R266" i="133"/>
  <c r="J154" i="133"/>
  <c r="J248" i="133"/>
  <c r="T172" i="133"/>
  <c r="T266" i="133"/>
  <c r="AC164" i="133"/>
  <c r="AC258" i="133"/>
  <c r="AB177" i="133"/>
  <c r="AB271" i="133"/>
  <c r="X159" i="133"/>
  <c r="X253" i="133"/>
  <c r="X172" i="133"/>
  <c r="X266" i="133"/>
  <c r="V160" i="133"/>
  <c r="V254" i="133"/>
  <c r="P174" i="133"/>
  <c r="P268" i="133"/>
  <c r="P155" i="133"/>
  <c r="P249" i="133"/>
  <c r="AA172" i="133"/>
  <c r="AA266" i="133"/>
  <c r="U155" i="133"/>
  <c r="U249" i="133"/>
  <c r="AA173" i="133"/>
  <c r="AA267" i="133"/>
  <c r="L157" i="133"/>
  <c r="L251" i="133"/>
  <c r="I164" i="133"/>
  <c r="I258" i="133"/>
  <c r="M176" i="133"/>
  <c r="M270" i="133"/>
  <c r="R153" i="133"/>
  <c r="R247" i="133"/>
  <c r="T162" i="133"/>
  <c r="T256" i="133"/>
  <c r="V168" i="133"/>
  <c r="V262" i="133"/>
  <c r="N151" i="133"/>
  <c r="N245" i="133"/>
  <c r="M152" i="133"/>
  <c r="M246" i="133"/>
  <c r="Q152" i="133"/>
  <c r="Q246" i="133"/>
  <c r="O153" i="133"/>
  <c r="O247" i="133"/>
  <c r="AC154" i="133"/>
  <c r="AC248" i="133"/>
  <c r="Z155" i="133"/>
  <c r="Z249" i="133"/>
  <c r="U156" i="133"/>
  <c r="U250" i="133"/>
  <c r="P157" i="133"/>
  <c r="P251" i="133"/>
  <c r="K158" i="133"/>
  <c r="K252" i="133"/>
  <c r="AB161" i="133"/>
  <c r="AB255" i="133"/>
  <c r="W162" i="133"/>
  <c r="W256" i="133"/>
  <c r="R163" i="133"/>
  <c r="R257" i="133"/>
  <c r="M164" i="133"/>
  <c r="M258" i="133"/>
  <c r="H165" i="133"/>
  <c r="H259" i="133"/>
  <c r="Y168" i="133"/>
  <c r="Y262" i="133"/>
  <c r="T169" i="133"/>
  <c r="T263" i="133"/>
  <c r="O170" i="133"/>
  <c r="O264" i="133"/>
  <c r="J171" i="133"/>
  <c r="J265" i="133"/>
  <c r="AA174" i="133"/>
  <c r="AA268" i="133"/>
  <c r="V175" i="133"/>
  <c r="V269" i="133"/>
  <c r="Q176" i="133"/>
  <c r="Q270" i="133"/>
  <c r="L177" i="133"/>
  <c r="L271" i="133"/>
  <c r="Z157" i="133"/>
  <c r="Z251" i="133"/>
  <c r="Y170" i="133"/>
  <c r="Y264" i="133"/>
  <c r="G161" i="133"/>
  <c r="G255" i="133"/>
  <c r="Q154" i="133"/>
  <c r="Q248" i="133"/>
  <c r="H174" i="133"/>
  <c r="H268" i="133"/>
  <c r="S172" i="133"/>
  <c r="S266" i="133"/>
  <c r="Y171" i="133"/>
  <c r="Y265" i="133"/>
  <c r="K174" i="133"/>
  <c r="K268" i="133"/>
  <c r="W159" i="133"/>
  <c r="W253" i="133"/>
  <c r="Q173" i="133"/>
  <c r="Q267" i="133"/>
  <c r="W172" i="133"/>
  <c r="W266" i="133"/>
  <c r="P161" i="133"/>
  <c r="P255" i="133"/>
  <c r="Y172" i="133"/>
  <c r="Y266" i="133"/>
  <c r="X151" i="133"/>
  <c r="X245" i="133"/>
  <c r="Q161" i="133"/>
  <c r="Q255" i="133"/>
  <c r="Q174" i="133"/>
  <c r="Q268" i="133"/>
  <c r="V155" i="133"/>
  <c r="V249" i="133"/>
  <c r="X161" i="133"/>
  <c r="X255" i="133"/>
  <c r="R175" i="133"/>
  <c r="R269" i="133"/>
  <c r="P151" i="133"/>
  <c r="P245" i="133"/>
  <c r="O163" i="133"/>
  <c r="O257" i="133"/>
  <c r="L151" i="133"/>
  <c r="L245" i="133"/>
  <c r="L152" i="133"/>
  <c r="L246" i="133"/>
  <c r="P152" i="133"/>
  <c r="P246" i="133"/>
  <c r="N153" i="133"/>
  <c r="N247" i="133"/>
  <c r="AB154" i="133"/>
  <c r="AB248" i="133"/>
  <c r="AA155" i="133"/>
  <c r="AA249" i="133"/>
  <c r="V156" i="133"/>
  <c r="V250" i="133"/>
  <c r="Q157" i="133"/>
  <c r="Q251" i="133"/>
  <c r="L158" i="133"/>
  <c r="L252" i="133"/>
  <c r="G159" i="133"/>
  <c r="G253" i="133"/>
  <c r="AC161" i="133"/>
  <c r="AC255" i="133"/>
  <c r="X162" i="133"/>
  <c r="X256" i="133"/>
  <c r="S163" i="133"/>
  <c r="S257" i="133"/>
  <c r="N164" i="133"/>
  <c r="N258" i="133"/>
  <c r="I165" i="133"/>
  <c r="I259" i="133"/>
  <c r="Z168" i="133"/>
  <c r="Z262" i="133"/>
  <c r="U169" i="133"/>
  <c r="U263" i="133"/>
  <c r="P170" i="133"/>
  <c r="P264" i="133"/>
  <c r="K171" i="133"/>
  <c r="K265" i="133"/>
  <c r="AB174" i="133"/>
  <c r="AB268" i="133"/>
  <c r="W175" i="133"/>
  <c r="W269" i="133"/>
  <c r="R176" i="133"/>
  <c r="R270" i="133"/>
  <c r="M177" i="133"/>
  <c r="M271" i="133"/>
  <c r="T171" i="133"/>
  <c r="T265" i="133"/>
  <c r="Q172" i="133"/>
  <c r="Q266" i="133"/>
  <c r="X158" i="133"/>
  <c r="X252" i="133"/>
  <c r="T159" i="133"/>
  <c r="T253" i="133"/>
  <c r="AC170" i="133"/>
  <c r="AC264" i="133"/>
  <c r="K161" i="133"/>
  <c r="K255" i="133"/>
  <c r="O173" i="133"/>
  <c r="O267" i="133"/>
  <c r="Q160" i="133"/>
  <c r="Q254" i="133"/>
  <c r="H162" i="133"/>
  <c r="H256" i="133"/>
  <c r="L155" i="133"/>
  <c r="L249" i="133"/>
  <c r="Y159" i="133"/>
  <c r="Y253" i="133"/>
  <c r="AC171" i="133"/>
  <c r="AC265" i="133"/>
  <c r="Z159" i="133"/>
  <c r="Z253" i="133"/>
  <c r="T173" i="133"/>
  <c r="T267" i="133"/>
  <c r="G163" i="133"/>
  <c r="G257" i="133"/>
  <c r="O168" i="133"/>
  <c r="O262" i="133"/>
  <c r="M163" i="133"/>
  <c r="M257" i="133"/>
  <c r="L176" i="133"/>
  <c r="L270" i="133"/>
  <c r="R156" i="133"/>
  <c r="R250" i="133"/>
  <c r="G171" i="133"/>
  <c r="G265" i="133"/>
  <c r="K152" i="133"/>
  <c r="K246" i="133"/>
  <c r="O152" i="133"/>
  <c r="O246" i="133"/>
  <c r="M153" i="133"/>
  <c r="M247" i="133"/>
  <c r="AA154" i="133"/>
  <c r="AA248" i="133"/>
  <c r="AB155" i="133"/>
  <c r="AB249" i="133"/>
  <c r="W156" i="133"/>
  <c r="W250" i="133"/>
  <c r="R157" i="133"/>
  <c r="R251" i="133"/>
  <c r="M158" i="133"/>
  <c r="M252" i="133"/>
  <c r="H159" i="133"/>
  <c r="H253" i="133"/>
  <c r="Y162" i="133"/>
  <c r="Y256" i="133"/>
  <c r="T163" i="133"/>
  <c r="T257" i="133"/>
  <c r="O164" i="133"/>
  <c r="O258" i="133"/>
  <c r="J165" i="133"/>
  <c r="J259" i="133"/>
  <c r="AA168" i="133"/>
  <c r="AA262" i="133"/>
  <c r="V169" i="133"/>
  <c r="V263" i="133"/>
  <c r="Q170" i="133"/>
  <c r="Q264" i="133"/>
  <c r="L171" i="133"/>
  <c r="L265" i="133"/>
  <c r="G172" i="133"/>
  <c r="G266" i="133"/>
  <c r="AC174" i="133"/>
  <c r="AC268" i="133"/>
  <c r="X175" i="133"/>
  <c r="X269" i="133"/>
  <c r="S176" i="133"/>
  <c r="S270" i="133"/>
  <c r="N177" i="133"/>
  <c r="N271" i="133"/>
  <c r="H167" i="133"/>
  <c r="H261" i="133"/>
  <c r="P172" i="133"/>
  <c r="P266" i="133"/>
  <c r="AB157" i="133"/>
  <c r="AB251" i="133"/>
  <c r="V171" i="133"/>
  <c r="V265" i="133"/>
  <c r="O160" i="133"/>
  <c r="O254" i="133"/>
  <c r="X171" i="133"/>
  <c r="X265" i="133"/>
  <c r="I155" i="133"/>
  <c r="I249" i="133"/>
  <c r="J155" i="133"/>
  <c r="J249" i="133"/>
  <c r="M161" i="133"/>
  <c r="M255" i="133"/>
  <c r="N161" i="133"/>
  <c r="N255" i="133"/>
  <c r="M174" i="133"/>
  <c r="M268" i="133"/>
  <c r="Z151" i="133"/>
  <c r="Z245" i="133"/>
  <c r="N174" i="133"/>
  <c r="N268" i="133"/>
  <c r="N155" i="133"/>
  <c r="N249" i="133"/>
  <c r="R167" i="133"/>
  <c r="R261" i="133"/>
  <c r="J175" i="133"/>
  <c r="J269" i="133"/>
  <c r="K175" i="133"/>
  <c r="K269" i="133"/>
  <c r="AB159" i="133"/>
  <c r="AB253" i="133"/>
  <c r="O169" i="133"/>
  <c r="O263" i="133"/>
  <c r="I151" i="133"/>
  <c r="I245" i="133"/>
  <c r="G158" i="133"/>
  <c r="G252" i="133"/>
  <c r="N163" i="133"/>
  <c r="N257" i="133"/>
  <c r="U168" i="133"/>
  <c r="U262" i="133"/>
  <c r="W174" i="133"/>
  <c r="W268" i="133"/>
  <c r="W155" i="133"/>
  <c r="W249" i="133"/>
  <c r="X156" i="133"/>
  <c r="X250" i="133"/>
  <c r="S157" i="133"/>
  <c r="S251" i="133"/>
  <c r="N158" i="133"/>
  <c r="N252" i="133"/>
  <c r="I159" i="133"/>
  <c r="I253" i="133"/>
  <c r="Z162" i="133"/>
  <c r="Z256" i="133"/>
  <c r="U163" i="133"/>
  <c r="U257" i="133"/>
  <c r="P164" i="133"/>
  <c r="P258" i="133"/>
  <c r="K165" i="133"/>
  <c r="K259" i="133"/>
  <c r="AB168" i="133"/>
  <c r="AB262" i="133"/>
  <c r="W169" i="133"/>
  <c r="W263" i="133"/>
  <c r="R170" i="133"/>
  <c r="R264" i="133"/>
  <c r="M171" i="133"/>
  <c r="M265" i="133"/>
  <c r="H172" i="133"/>
  <c r="H266" i="133"/>
  <c r="Y175" i="133"/>
  <c r="Y269" i="133"/>
  <c r="T176" i="133"/>
  <c r="T270" i="133"/>
  <c r="O177" i="133"/>
  <c r="O271" i="133"/>
  <c r="V177" i="133"/>
  <c r="V271" i="133"/>
  <c r="AA157" i="133"/>
  <c r="AA251" i="133"/>
  <c r="N166" i="133"/>
  <c r="N260" i="133"/>
  <c r="M160" i="133"/>
  <c r="M254" i="133"/>
  <c r="G174" i="133"/>
  <c r="G268" i="133"/>
  <c r="L154" i="133"/>
  <c r="L248" i="133"/>
  <c r="K154" i="133"/>
  <c r="K248" i="133"/>
  <c r="Z158" i="133"/>
  <c r="Z252" i="133"/>
  <c r="G162" i="133"/>
  <c r="G256" i="133"/>
  <c r="V172" i="133"/>
  <c r="V266" i="133"/>
  <c r="R173" i="133"/>
  <c r="R267" i="133"/>
  <c r="Q167" i="133"/>
  <c r="Q261" i="133"/>
  <c r="K162" i="133"/>
  <c r="K256" i="133"/>
  <c r="R161" i="133"/>
  <c r="R255" i="133"/>
  <c r="AB160" i="133"/>
  <c r="AB254" i="133"/>
  <c r="Z167" i="133"/>
  <c r="Z261" i="133"/>
  <c r="H158" i="133"/>
  <c r="H252" i="133"/>
  <c r="J164" i="133"/>
  <c r="J258" i="133"/>
  <c r="Q169" i="133"/>
  <c r="Q263" i="133"/>
  <c r="AC173" i="133"/>
  <c r="AC267" i="133"/>
  <c r="Y154" i="133"/>
  <c r="Y248" i="133"/>
  <c r="Y156" i="133"/>
  <c r="Y250" i="133"/>
  <c r="AA162" i="133"/>
  <c r="AA256" i="133"/>
  <c r="V163" i="133"/>
  <c r="V257" i="133"/>
  <c r="Q164" i="133"/>
  <c r="Q258" i="133"/>
  <c r="L165" i="133"/>
  <c r="L259" i="133"/>
  <c r="G166" i="133"/>
  <c r="G260" i="133"/>
  <c r="AC168" i="133"/>
  <c r="AC262" i="133"/>
  <c r="X169" i="133"/>
  <c r="X263" i="133"/>
  <c r="S170" i="133"/>
  <c r="S264" i="133"/>
  <c r="N171" i="133"/>
  <c r="N265" i="133"/>
  <c r="I172" i="133"/>
  <c r="I266" i="133"/>
  <c r="Z175" i="133"/>
  <c r="Z269" i="133"/>
  <c r="U176" i="133"/>
  <c r="U270" i="133"/>
  <c r="L160" i="133"/>
  <c r="L254" i="133"/>
  <c r="S165" i="133"/>
  <c r="S259" i="133"/>
  <c r="J167" i="133"/>
  <c r="J261" i="133"/>
  <c r="U165" i="133"/>
  <c r="U259" i="133"/>
  <c r="L167" i="133"/>
  <c r="L261" i="133"/>
  <c r="H168" i="133"/>
  <c r="H262" i="133"/>
  <c r="AC151" i="133"/>
  <c r="AC245" i="133"/>
  <c r="N167" i="133"/>
  <c r="N261" i="133"/>
  <c r="O167" i="133"/>
  <c r="O261" i="133"/>
  <c r="J168" i="133"/>
  <c r="J262" i="133"/>
  <c r="P167" i="133"/>
  <c r="P261" i="133"/>
  <c r="G169" i="133"/>
  <c r="G263" i="133"/>
  <c r="O155" i="133"/>
  <c r="O249" i="133"/>
  <c r="N168" i="133"/>
  <c r="N262" i="133"/>
  <c r="R151" i="133"/>
  <c r="R245" i="133"/>
  <c r="K157" i="133"/>
  <c r="K251" i="133"/>
  <c r="R162" i="133"/>
  <c r="R256" i="133"/>
  <c r="T168" i="133"/>
  <c r="T262" i="133"/>
  <c r="J170" i="133"/>
  <c r="J264" i="133"/>
  <c r="U152" i="133"/>
  <c r="U246" i="133"/>
  <c r="N176" i="133"/>
  <c r="N270" i="133"/>
  <c r="X154" i="133"/>
  <c r="X248" i="133"/>
  <c r="U157" i="133"/>
  <c r="U251" i="133"/>
  <c r="K159" i="133"/>
  <c r="K253" i="133"/>
  <c r="AB162" i="133"/>
  <c r="AB256" i="133"/>
  <c r="W163" i="133"/>
  <c r="W257" i="133"/>
  <c r="R164" i="133"/>
  <c r="R258" i="133"/>
  <c r="M165" i="133"/>
  <c r="M259" i="133"/>
  <c r="H166" i="133"/>
  <c r="H260" i="133"/>
  <c r="Y169" i="133"/>
  <c r="Y263" i="133"/>
  <c r="T170" i="133"/>
  <c r="T264" i="133"/>
  <c r="O171" i="133"/>
  <c r="O265" i="133"/>
  <c r="AA175" i="133"/>
  <c r="AA269" i="133"/>
  <c r="V176" i="133"/>
  <c r="V270" i="133"/>
  <c r="S154" i="133"/>
  <c r="S248" i="133"/>
  <c r="R165" i="133"/>
  <c r="R259" i="133"/>
  <c r="R154" i="133"/>
  <c r="R248" i="133"/>
  <c r="K173" i="133"/>
  <c r="K267" i="133"/>
  <c r="O166" i="133"/>
  <c r="O260" i="133"/>
  <c r="X177" i="133"/>
  <c r="X271" i="133"/>
  <c r="N160" i="133"/>
  <c r="N254" i="133"/>
  <c r="P166" i="133"/>
  <c r="P260" i="133"/>
  <c r="Q166" i="133"/>
  <c r="Q260" i="133"/>
  <c r="AB164" i="133"/>
  <c r="AB258" i="133"/>
  <c r="AB158" i="133"/>
  <c r="AB252" i="133"/>
  <c r="T166" i="133"/>
  <c r="T260" i="133"/>
  <c r="AA171" i="133"/>
  <c r="AA265" i="133"/>
  <c r="U166" i="133"/>
  <c r="U260" i="133"/>
  <c r="H156" i="133"/>
  <c r="H250" i="133"/>
  <c r="AA165" i="133"/>
  <c r="AA259" i="133"/>
  <c r="I169" i="133"/>
  <c r="I263" i="133"/>
  <c r="Y153" i="133"/>
  <c r="Y247" i="133"/>
  <c r="T153" i="133"/>
  <c r="T247" i="133"/>
  <c r="H164" i="133"/>
  <c r="H258" i="133"/>
  <c r="S153" i="133"/>
  <c r="S247" i="133"/>
  <c r="T152" i="133"/>
  <c r="T246" i="133"/>
  <c r="Z154" i="133"/>
  <c r="Z248" i="133"/>
  <c r="T157" i="133"/>
  <c r="T251" i="133"/>
  <c r="H152" i="133"/>
  <c r="H246" i="133"/>
  <c r="I153" i="133"/>
  <c r="I247" i="133"/>
  <c r="Q158" i="133"/>
  <c r="Q252" i="133"/>
  <c r="X163" i="133"/>
  <c r="X257" i="133"/>
  <c r="S164" i="133"/>
  <c r="S258" i="133"/>
  <c r="U170" i="133"/>
  <c r="U264" i="133"/>
  <c r="P171" i="133"/>
  <c r="P265" i="133"/>
  <c r="K172" i="133"/>
  <c r="K266" i="133"/>
  <c r="AB175" i="133"/>
  <c r="AB269" i="133"/>
  <c r="W176" i="133"/>
  <c r="W270" i="133"/>
  <c r="R177" i="133"/>
  <c r="R271" i="133"/>
  <c r="P159" i="133"/>
  <c r="P253" i="133"/>
  <c r="M166" i="133"/>
  <c r="M260" i="133"/>
  <c r="I167" i="133"/>
  <c r="I261" i="133"/>
  <c r="M154" i="133"/>
  <c r="M248" i="133"/>
  <c r="I174" i="133"/>
  <c r="I268" i="133"/>
  <c r="R166" i="133"/>
  <c r="R260" i="133"/>
  <c r="AA177" i="133"/>
  <c r="AA271" i="133"/>
  <c r="I154" i="133"/>
  <c r="I248" i="133"/>
  <c r="X165" i="133"/>
  <c r="X259" i="133"/>
  <c r="R160" i="133"/>
  <c r="R254" i="133"/>
  <c r="Z165" i="133"/>
  <c r="Z259" i="133"/>
  <c r="J162" i="133"/>
  <c r="J256" i="133"/>
  <c r="Y151" i="133"/>
  <c r="Y245" i="133"/>
  <c r="AB152" i="133"/>
  <c r="AB246" i="133"/>
  <c r="AC165" i="133"/>
  <c r="AC259" i="133"/>
  <c r="W160" i="133"/>
  <c r="W254" i="133"/>
  <c r="G176" i="133"/>
  <c r="G270" i="133"/>
  <c r="V152" i="133"/>
  <c r="V246" i="133"/>
  <c r="W161" i="133"/>
  <c r="W255" i="133"/>
  <c r="AC160" i="133"/>
  <c r="AC254" i="133"/>
  <c r="AB173" i="133"/>
  <c r="AB267" i="133"/>
  <c r="M157" i="133"/>
  <c r="M251" i="133"/>
  <c r="I177" i="133"/>
  <c r="I271" i="133"/>
  <c r="L153" i="133"/>
  <c r="L247" i="133"/>
  <c r="J153" i="133"/>
  <c r="J247" i="133"/>
  <c r="N165" i="133"/>
  <c r="N259" i="133"/>
  <c r="V165" i="133"/>
  <c r="V259" i="133"/>
  <c r="AB153" i="133"/>
  <c r="AB247" i="133"/>
  <c r="L168" i="133"/>
  <c r="L262" i="133"/>
  <c r="AC152" i="133"/>
  <c r="AC246" i="133"/>
  <c r="J156" i="133"/>
  <c r="J250" i="133"/>
  <c r="X166" i="133"/>
  <c r="X260" i="133"/>
  <c r="W151" i="133"/>
  <c r="W245" i="133"/>
  <c r="L175" i="133"/>
  <c r="L269" i="133"/>
  <c r="J151" i="133"/>
  <c r="J245" i="133"/>
  <c r="Q151" i="133"/>
  <c r="Q245" i="133"/>
  <c r="S175" i="133"/>
  <c r="S269" i="133"/>
  <c r="J152" i="133"/>
  <c r="J246" i="133"/>
  <c r="I152" i="133"/>
  <c r="I246" i="133"/>
  <c r="J159" i="133"/>
  <c r="J253" i="133"/>
  <c r="Z156" i="133"/>
  <c r="Z250" i="133"/>
  <c r="W154" i="133"/>
  <c r="W248" i="133"/>
  <c r="V157" i="133"/>
  <c r="V251" i="133"/>
  <c r="G160" i="133"/>
  <c r="G254" i="133"/>
  <c r="AC162" i="133"/>
  <c r="AC256" i="133"/>
  <c r="P177" i="133"/>
  <c r="H153" i="133"/>
  <c r="H247" i="133"/>
  <c r="V154" i="133"/>
  <c r="V248" i="133"/>
  <c r="AB156" i="133"/>
  <c r="AB250" i="133"/>
  <c r="W157" i="133"/>
  <c r="W251" i="133"/>
  <c r="R158" i="133"/>
  <c r="R252" i="133"/>
  <c r="M159" i="133"/>
  <c r="M253" i="133"/>
  <c r="H160" i="133"/>
  <c r="H254" i="133"/>
  <c r="Y163" i="133"/>
  <c r="Y257" i="133"/>
  <c r="T164" i="133"/>
  <c r="T258" i="133"/>
  <c r="O165" i="133"/>
  <c r="O259" i="133"/>
  <c r="J166" i="133"/>
  <c r="J260" i="133"/>
  <c r="AA169" i="133"/>
  <c r="AA263" i="133"/>
  <c r="V170" i="133"/>
  <c r="V264" i="133"/>
  <c r="Q171" i="133"/>
  <c r="Q265" i="133"/>
  <c r="L172" i="133"/>
  <c r="L266" i="133"/>
  <c r="G173" i="133"/>
  <c r="G267" i="133"/>
  <c r="AC175" i="133"/>
  <c r="AC269" i="133"/>
  <c r="X176" i="133"/>
  <c r="X270" i="133"/>
  <c r="S177" i="133"/>
  <c r="S271" i="133"/>
  <c r="U154" i="133"/>
  <c r="U248" i="133"/>
  <c r="AC156" i="133"/>
  <c r="AC250" i="133"/>
  <c r="X157" i="133"/>
  <c r="X251" i="133"/>
  <c r="S158" i="133"/>
  <c r="S252" i="133"/>
  <c r="N159" i="133"/>
  <c r="N253" i="133"/>
  <c r="I160" i="133"/>
  <c r="I254" i="133"/>
  <c r="U164" i="133"/>
  <c r="U258" i="133"/>
  <c r="P165" i="133"/>
  <c r="P259" i="133"/>
  <c r="K166" i="133"/>
  <c r="K260" i="133"/>
  <c r="AB169" i="133"/>
  <c r="AB263" i="133"/>
  <c r="W170" i="133"/>
  <c r="W264" i="133"/>
  <c r="R171" i="133"/>
  <c r="R265" i="133"/>
  <c r="M172" i="133"/>
  <c r="M266" i="133"/>
  <c r="H173" i="133"/>
  <c r="H267" i="133"/>
  <c r="Y176" i="133"/>
  <c r="Y270" i="133"/>
  <c r="T177" i="133"/>
  <c r="T271" i="133"/>
  <c r="AB163" i="133"/>
  <c r="AB257" i="133"/>
  <c r="AA176" i="133"/>
  <c r="AA270" i="133"/>
  <c r="N154" i="133"/>
  <c r="N248" i="133"/>
  <c r="U171" i="133"/>
  <c r="U265" i="133"/>
  <c r="T165" i="133"/>
  <c r="T259" i="133"/>
  <c r="AC157" i="133"/>
  <c r="AC251" i="133"/>
  <c r="K167" i="133"/>
  <c r="K261" i="133"/>
  <c r="AB170" i="133"/>
  <c r="AB264" i="133"/>
  <c r="AA164" i="133"/>
  <c r="AA258" i="133"/>
  <c r="Z177" i="133"/>
  <c r="Z271" i="133"/>
  <c r="M167" i="133"/>
  <c r="M261" i="133"/>
  <c r="U172" i="133"/>
  <c r="U266" i="133"/>
  <c r="S160" i="133"/>
  <c r="S254" i="133"/>
  <c r="M155" i="133"/>
  <c r="M249" i="133"/>
  <c r="Z153" i="133"/>
  <c r="Z247" i="133"/>
  <c r="S167" i="133"/>
  <c r="S261" i="133"/>
  <c r="M162" i="133"/>
  <c r="M256" i="133"/>
  <c r="G177" i="133"/>
  <c r="G271" i="133"/>
  <c r="P169" i="133"/>
  <c r="P263" i="133"/>
  <c r="AC155" i="133"/>
  <c r="AC249" i="133"/>
  <c r="K153" i="133"/>
  <c r="K247" i="133"/>
  <c r="O158" i="133"/>
  <c r="O252" i="133"/>
  <c r="P158" i="133"/>
  <c r="P252" i="133"/>
  <c r="AA156" i="133"/>
  <c r="AA250" i="133"/>
  <c r="L159" i="133"/>
  <c r="L253" i="133"/>
  <c r="I166" i="133"/>
  <c r="I260" i="133"/>
  <c r="Z169" i="133"/>
  <c r="Z263" i="133"/>
  <c r="J172" i="133"/>
  <c r="P154" i="133"/>
  <c r="P248" i="133"/>
  <c r="T154" i="133"/>
  <c r="T248" i="133"/>
  <c r="Y157" i="133"/>
  <c r="Y251" i="133"/>
  <c r="T158" i="133"/>
  <c r="T252" i="133"/>
  <c r="O159" i="133"/>
  <c r="O253" i="133"/>
  <c r="AA163" i="133"/>
  <c r="AA257" i="133"/>
  <c r="V164" i="133"/>
  <c r="V258" i="133"/>
  <c r="Q165" i="133"/>
  <c r="Q259" i="133"/>
  <c r="L166" i="133"/>
  <c r="L260" i="133"/>
  <c r="G167" i="133"/>
  <c r="G261" i="133"/>
  <c r="AC169" i="133"/>
  <c r="AC263" i="133"/>
  <c r="X170" i="133"/>
  <c r="X264" i="133"/>
  <c r="S171" i="133"/>
  <c r="S265" i="133"/>
  <c r="N172" i="133"/>
  <c r="N266" i="133"/>
  <c r="I173" i="133"/>
  <c r="I267" i="133"/>
  <c r="Z176" i="133"/>
  <c r="Z270" i="133"/>
  <c r="U177" i="133"/>
  <c r="U271" i="133"/>
  <c r="G155" i="133"/>
  <c r="G249" i="133"/>
  <c r="G156" i="133"/>
  <c r="G250" i="133"/>
  <c r="G151" i="133"/>
  <c r="G245" i="133"/>
  <c r="G152" i="133"/>
  <c r="G246" i="133"/>
  <c r="G154" i="133"/>
  <c r="G248" i="133"/>
  <c r="G153" i="133"/>
  <c r="G247" i="133"/>
  <c r="I84" i="134"/>
  <c r="H84" i="134"/>
  <c r="AM84" i="134"/>
  <c r="AL84" i="134"/>
  <c r="AI84" i="134"/>
  <c r="AJ84" i="134"/>
  <c r="AH84" i="134"/>
  <c r="AK84" i="134"/>
  <c r="Z84" i="134"/>
  <c r="E66" i="133"/>
  <c r="E25" i="133"/>
  <c r="E39" i="133"/>
  <c r="F54" i="134"/>
  <c r="G54" i="134"/>
  <c r="H54" i="134"/>
  <c r="I54" i="134"/>
  <c r="E54" i="134"/>
  <c r="F45" i="134"/>
  <c r="G45" i="134"/>
  <c r="H45" i="134"/>
  <c r="F44" i="134"/>
  <c r="G44" i="134"/>
  <c r="E44" i="134"/>
  <c r="F41" i="134"/>
  <c r="G41" i="134"/>
  <c r="H41" i="134"/>
  <c r="I41" i="134"/>
  <c r="E41" i="134"/>
  <c r="F248" i="133" l="1"/>
  <c r="F153" i="133"/>
  <c r="F261" i="133"/>
  <c r="F247" i="133"/>
  <c r="F167" i="133"/>
  <c r="F175" i="133"/>
  <c r="F157" i="133"/>
  <c r="F151" i="133"/>
  <c r="F264" i="133"/>
  <c r="F250" i="133"/>
  <c r="F254" i="133"/>
  <c r="F263" i="133"/>
  <c r="F170" i="133"/>
  <c r="F246" i="133"/>
  <c r="F152" i="133"/>
  <c r="F251" i="133"/>
  <c r="F245" i="133"/>
  <c r="F156" i="133"/>
  <c r="F160" i="133"/>
  <c r="F169" i="133"/>
  <c r="F256" i="133"/>
  <c r="F257" i="133"/>
  <c r="F249" i="133"/>
  <c r="F162" i="133"/>
  <c r="F163" i="133"/>
  <c r="F258" i="133"/>
  <c r="F155" i="133"/>
  <c r="F266" i="133"/>
  <c r="F259" i="133"/>
  <c r="F164" i="133"/>
  <c r="F166" i="133"/>
  <c r="F159" i="133"/>
  <c r="F172" i="133"/>
  <c r="F252" i="133"/>
  <c r="F270" i="133"/>
  <c r="F268" i="133"/>
  <c r="F265" i="133"/>
  <c r="F262" i="133"/>
  <c r="F154" i="133"/>
  <c r="F269" i="133"/>
  <c r="F271" i="133"/>
  <c r="F174" i="133"/>
  <c r="F171" i="133"/>
  <c r="F168" i="133"/>
  <c r="F165" i="133"/>
  <c r="F177" i="133"/>
  <c r="F267" i="133"/>
  <c r="F260" i="133"/>
  <c r="F173" i="133"/>
  <c r="F255" i="133"/>
  <c r="F158" i="133"/>
  <c r="F253" i="133"/>
  <c r="F176" i="133"/>
  <c r="F161" i="133"/>
  <c r="X225" i="166"/>
  <c r="AI210" i="166"/>
  <c r="G221" i="133"/>
  <c r="Q204" i="166"/>
  <c r="AE206" i="166"/>
  <c r="AI216" i="166"/>
  <c r="W222" i="166"/>
  <c r="AC217" i="166"/>
  <c r="T210" i="166"/>
  <c r="X205" i="166"/>
  <c r="AI209" i="166"/>
  <c r="N213" i="166"/>
  <c r="AA219" i="166"/>
  <c r="AJ219" i="166"/>
  <c r="N200" i="166"/>
  <c r="AG201" i="166"/>
  <c r="AE224" i="166"/>
  <c r="T213" i="166"/>
  <c r="R209" i="166"/>
  <c r="T223" i="166"/>
  <c r="W207" i="166"/>
  <c r="O205" i="166"/>
  <c r="X201" i="166"/>
  <c r="Y212" i="166"/>
  <c r="P220" i="166"/>
  <c r="AG225" i="166"/>
  <c r="AD222" i="166"/>
  <c r="S225" i="166"/>
  <c r="AF202" i="166"/>
  <c r="AG218" i="166"/>
  <c r="P200" i="166"/>
  <c r="Z219" i="166"/>
  <c r="AA202" i="166"/>
  <c r="P214" i="166"/>
  <c r="U219" i="166"/>
  <c r="X218" i="166"/>
  <c r="AD210" i="166"/>
  <c r="V220" i="166"/>
  <c r="AF206" i="166"/>
  <c r="Y215" i="166"/>
  <c r="AK214" i="166"/>
  <c r="AJ214" i="166"/>
  <c r="AB215" i="166"/>
  <c r="O202" i="166"/>
  <c r="Q216" i="166"/>
  <c r="AE203" i="166"/>
  <c r="W214" i="166"/>
  <c r="AB213" i="166"/>
  <c r="AD214" i="166"/>
  <c r="AE209" i="166"/>
  <c r="T212" i="166"/>
  <c r="N216" i="166"/>
  <c r="U220" i="166"/>
  <c r="AF205" i="166"/>
  <c r="AI217" i="166"/>
  <c r="AA216" i="166"/>
  <c r="X202" i="166"/>
  <c r="Z216" i="166"/>
  <c r="AD215" i="166"/>
  <c r="X200" i="166"/>
  <c r="AF208" i="166"/>
  <c r="AL224" i="166"/>
  <c r="AD205" i="166"/>
  <c r="AB200" i="166"/>
  <c r="AI212" i="166"/>
  <c r="N222" i="166"/>
  <c r="AL212" i="166"/>
  <c r="V206" i="166"/>
  <c r="AE204" i="166"/>
  <c r="Y205" i="166"/>
  <c r="N207" i="166"/>
  <c r="AI203" i="166"/>
  <c r="Q221" i="166"/>
  <c r="AB206" i="166"/>
  <c r="AH212" i="166"/>
  <c r="AK204" i="166"/>
  <c r="V222" i="166"/>
  <c r="AF215" i="166"/>
  <c r="AE215" i="166"/>
  <c r="AI214" i="166"/>
  <c r="W209" i="166"/>
  <c r="AG204" i="166"/>
  <c r="X215" i="166"/>
  <c r="AM204" i="166"/>
  <c r="AA205" i="166"/>
  <c r="AD204" i="166"/>
  <c r="AG215" i="166"/>
  <c r="X224" i="166"/>
  <c r="O223" i="166"/>
  <c r="Y208" i="166"/>
  <c r="X203" i="166"/>
  <c r="S226" i="166"/>
  <c r="AH202" i="166"/>
  <c r="AM201" i="166"/>
  <c r="W217" i="166"/>
  <c r="Z218" i="166"/>
  <c r="T221" i="166"/>
  <c r="AC223" i="166"/>
  <c r="AM226" i="166"/>
  <c r="T204" i="166"/>
  <c r="AC212" i="166"/>
  <c r="AM216" i="166"/>
  <c r="O208" i="166"/>
  <c r="AJ221" i="166"/>
  <c r="Q214" i="166"/>
  <c r="AE201" i="166"/>
  <c r="W206" i="166"/>
  <c r="R215" i="166"/>
  <c r="R216" i="166"/>
  <c r="O209" i="166"/>
  <c r="N203" i="166"/>
  <c r="Q207" i="166"/>
  <c r="AI207" i="166"/>
  <c r="T219" i="166"/>
  <c r="Z205" i="166"/>
  <c r="W208" i="166"/>
  <c r="N220" i="166"/>
  <c r="T206" i="166"/>
  <c r="O206" i="166"/>
  <c r="AE226" i="166"/>
  <c r="N226" i="166"/>
  <c r="AB210" i="166"/>
  <c r="T208" i="166"/>
  <c r="AJ215" i="166"/>
  <c r="V201" i="166"/>
  <c r="Z215" i="166"/>
  <c r="N204" i="166"/>
  <c r="AH207" i="166"/>
  <c r="AF225" i="166"/>
  <c r="Y202" i="166"/>
  <c r="T200" i="166"/>
  <c r="AJ223" i="166"/>
  <c r="AK200" i="166"/>
  <c r="Y218" i="166"/>
  <c r="AJ226" i="166"/>
  <c r="S219" i="166"/>
  <c r="V221" i="166"/>
  <c r="AF213" i="166"/>
  <c r="Y211" i="166"/>
  <c r="AC220" i="166"/>
  <c r="AM225" i="166"/>
  <c r="Z207" i="166"/>
  <c r="Z201" i="166"/>
  <c r="AA201" i="166"/>
  <c r="AL226" i="166"/>
  <c r="AC213" i="166"/>
  <c r="AK212" i="166"/>
  <c r="AJ202" i="166"/>
  <c r="AC203" i="166"/>
  <c r="U203" i="166"/>
  <c r="AD211" i="166"/>
  <c r="U210" i="166"/>
  <c r="O203" i="166"/>
  <c r="U216" i="166"/>
  <c r="Y220" i="166"/>
  <c r="AD217" i="166"/>
  <c r="AD203" i="166"/>
  <c r="AA207" i="166"/>
  <c r="AH220" i="166"/>
  <c r="AL205" i="166"/>
  <c r="S206" i="166"/>
  <c r="W221" i="166"/>
  <c r="N219" i="166"/>
  <c r="X207" i="166"/>
  <c r="AA223" i="166"/>
  <c r="AG205" i="166"/>
  <c r="P204" i="166"/>
  <c r="AE218" i="166"/>
  <c r="AH218" i="166"/>
  <c r="AE220" i="166"/>
  <c r="S207" i="166"/>
  <c r="AJ208" i="166"/>
  <c r="N221" i="166"/>
  <c r="AD220" i="166"/>
  <c r="U213" i="166"/>
  <c r="P202" i="166"/>
  <c r="R219" i="166"/>
  <c r="X204" i="166"/>
  <c r="V211" i="166"/>
  <c r="AD216" i="166"/>
  <c r="AL218" i="166"/>
  <c r="AL204" i="166"/>
  <c r="AJ217" i="166"/>
  <c r="AF212" i="166"/>
  <c r="P224" i="166"/>
  <c r="AH213" i="166"/>
  <c r="S220" i="166"/>
  <c r="W201" i="166"/>
  <c r="W215" i="166"/>
  <c r="U214" i="166"/>
  <c r="U211" i="166"/>
  <c r="AF200" i="166"/>
  <c r="AC224" i="166"/>
  <c r="P209" i="166"/>
  <c r="AI215" i="166"/>
  <c r="S221" i="166"/>
  <c r="R201" i="166"/>
  <c r="AC208" i="166"/>
  <c r="AH216" i="166"/>
  <c r="Q202" i="166"/>
  <c r="AA200" i="166"/>
  <c r="W218" i="166"/>
  <c r="AC204" i="166"/>
  <c r="AD221" i="166"/>
  <c r="AH222" i="166"/>
  <c r="T205" i="166"/>
  <c r="S222" i="166"/>
  <c r="S212" i="166"/>
  <c r="AG209" i="166"/>
  <c r="AF218" i="166"/>
  <c r="W203" i="166"/>
  <c r="AM212" i="166"/>
  <c r="AJ200" i="166"/>
  <c r="R214" i="166"/>
  <c r="G211" i="133"/>
  <c r="U223" i="166"/>
  <c r="AF207" i="166"/>
  <c r="AD201" i="166"/>
  <c r="AM220" i="166"/>
  <c r="R207" i="166"/>
  <c r="AF211" i="166"/>
  <c r="O224" i="166"/>
  <c r="AK218" i="166"/>
  <c r="P206" i="166"/>
  <c r="AG226" i="166"/>
  <c r="AL211" i="166"/>
  <c r="X219" i="166"/>
  <c r="AE207" i="166"/>
  <c r="V203" i="166"/>
  <c r="AE211" i="166"/>
  <c r="N206" i="166"/>
  <c r="AH223" i="166"/>
  <c r="AG220" i="166"/>
  <c r="AM217" i="166"/>
  <c r="AJ216" i="166"/>
  <c r="Z204" i="166"/>
  <c r="AI213" i="166"/>
  <c r="AK211" i="166"/>
  <c r="N201" i="166"/>
  <c r="AF220" i="166"/>
  <c r="AM215" i="166"/>
  <c r="S201" i="166"/>
  <c r="AB221" i="166"/>
  <c r="AI218" i="166"/>
  <c r="AB217" i="166"/>
  <c r="AF203" i="166"/>
  <c r="S204" i="166"/>
  <c r="AG206" i="166"/>
  <c r="AM221" i="166"/>
  <c r="Y223" i="166"/>
  <c r="AD207" i="166"/>
  <c r="R225" i="166"/>
  <c r="X211" i="166"/>
  <c r="AH225" i="166"/>
  <c r="T226" i="166"/>
  <c r="AK217" i="166"/>
  <c r="S203" i="166"/>
  <c r="V209" i="166"/>
  <c r="X220" i="166"/>
  <c r="W213" i="166"/>
  <c r="O212" i="166"/>
  <c r="N212" i="166"/>
  <c r="R211" i="166"/>
  <c r="AE221" i="166"/>
  <c r="AC201" i="166"/>
  <c r="AB214" i="166"/>
  <c r="AI205" i="166"/>
  <c r="N202" i="166"/>
  <c r="G207" i="133"/>
  <c r="Z200" i="166"/>
  <c r="Y214" i="166"/>
  <c r="AE222" i="166"/>
  <c r="AC214" i="166"/>
  <c r="AH217" i="166"/>
  <c r="V202" i="166"/>
  <c r="Y225" i="166"/>
  <c r="AJ210" i="166"/>
  <c r="U200" i="166"/>
  <c r="AM222" i="166"/>
  <c r="AB205" i="166"/>
  <c r="N211" i="166"/>
  <c r="Q215" i="166"/>
  <c r="Z223" i="166"/>
  <c r="AC200" i="166"/>
  <c r="AB208" i="166"/>
  <c r="O201" i="166"/>
  <c r="S210" i="166"/>
  <c r="T203" i="166"/>
  <c r="AG216" i="166"/>
  <c r="R202" i="166"/>
  <c r="S223" i="166"/>
  <c r="U221" i="166"/>
  <c r="AB216" i="166"/>
  <c r="W224" i="166"/>
  <c r="AC210" i="166"/>
  <c r="AG213" i="166"/>
  <c r="Q203" i="166"/>
  <c r="N215" i="166"/>
  <c r="V226" i="166"/>
  <c r="AB212" i="166"/>
  <c r="AF226" i="166"/>
  <c r="T211" i="166"/>
  <c r="S211" i="166"/>
  <c r="Q224" i="166"/>
  <c r="W210" i="166"/>
  <c r="AJ220" i="166"/>
  <c r="Y200" i="166"/>
  <c r="AE200" i="166"/>
  <c r="AI224" i="166"/>
  <c r="AK213" i="166"/>
  <c r="AF204" i="166"/>
  <c r="Y206" i="166"/>
  <c r="AM219" i="166"/>
  <c r="AF209" i="166"/>
  <c r="P203" i="166"/>
  <c r="AD224" i="166"/>
  <c r="AK226" i="166"/>
  <c r="AI202" i="166"/>
  <c r="AB203" i="166"/>
  <c r="T216" i="166"/>
  <c r="AD206" i="166"/>
  <c r="X217" i="166"/>
  <c r="P223" i="166"/>
  <c r="AL200" i="166"/>
  <c r="R213" i="166"/>
  <c r="G218" i="133"/>
  <c r="W220" i="166"/>
  <c r="O200" i="166"/>
  <c r="AJ224" i="166"/>
  <c r="AL215" i="166"/>
  <c r="T201" i="166"/>
  <c r="Y209" i="166"/>
  <c r="AM211" i="166"/>
  <c r="R206" i="166"/>
  <c r="S205" i="166"/>
  <c r="X208" i="166"/>
  <c r="AB223" i="166"/>
  <c r="AH209" i="166"/>
  <c r="AM214" i="166"/>
  <c r="Z220" i="166"/>
  <c r="G214" i="133"/>
  <c r="AI201" i="166"/>
  <c r="AD225" i="166"/>
  <c r="S214" i="166"/>
  <c r="AA225" i="166"/>
  <c r="AG211" i="166"/>
  <c r="AG202" i="166"/>
  <c r="Y210" i="166"/>
  <c r="R224" i="166"/>
  <c r="X210" i="166"/>
  <c r="V223" i="166"/>
  <c r="AB209" i="166"/>
  <c r="Z213" i="166"/>
  <c r="G198" i="133"/>
  <c r="S218" i="166"/>
  <c r="Z203" i="166"/>
  <c r="AA215" i="166"/>
  <c r="AI221" i="166"/>
  <c r="AK225" i="166"/>
  <c r="V213" i="166"/>
  <c r="AE213" i="166"/>
  <c r="AI223" i="166"/>
  <c r="Q217" i="166"/>
  <c r="O216" i="166"/>
  <c r="U222" i="166"/>
  <c r="Y226" i="166"/>
  <c r="N214" i="166"/>
  <c r="Q212" i="166"/>
  <c r="Q210" i="166"/>
  <c r="Q226" i="166"/>
  <c r="W212" i="166"/>
  <c r="O204" i="166"/>
  <c r="AH205" i="166"/>
  <c r="Q213" i="166"/>
  <c r="AG207" i="166"/>
  <c r="G208" i="133"/>
  <c r="P201" i="166"/>
  <c r="AL219" i="166"/>
  <c r="AK224" i="166"/>
  <c r="Q219" i="166"/>
  <c r="W205" i="166"/>
  <c r="G215" i="133"/>
  <c r="AG222" i="166"/>
  <c r="AM208" i="166"/>
  <c r="T224" i="166"/>
  <c r="P217" i="166"/>
  <c r="V208" i="166"/>
  <c r="O215" i="166"/>
  <c r="AM200" i="166"/>
  <c r="X221" i="166"/>
  <c r="AE212" i="166"/>
  <c r="X213" i="166"/>
  <c r="AF224" i="166"/>
  <c r="AL210" i="166"/>
  <c r="AM218" i="166"/>
  <c r="N225" i="166"/>
  <c r="AD209" i="166"/>
  <c r="W223" i="166"/>
  <c r="AC209" i="166"/>
  <c r="AA222" i="166"/>
  <c r="AG208" i="166"/>
  <c r="N218" i="166"/>
  <c r="W216" i="166"/>
  <c r="V215" i="166"/>
  <c r="AB201" i="166"/>
  <c r="G224" i="133"/>
  <c r="AK202" i="166"/>
  <c r="Z210" i="166"/>
  <c r="U209" i="166"/>
  <c r="AA212" i="166"/>
  <c r="W202" i="166"/>
  <c r="AM205" i="166"/>
  <c r="N208" i="166"/>
  <c r="R204" i="166"/>
  <c r="AJ218" i="166"/>
  <c r="Q220" i="166"/>
  <c r="AF222" i="166"/>
  <c r="Y221" i="166"/>
  <c r="AJ211" i="166"/>
  <c r="S213" i="166"/>
  <c r="G205" i="133"/>
  <c r="AI219" i="166"/>
  <c r="V225" i="166"/>
  <c r="AB211" i="166"/>
  <c r="U205" i="166"/>
  <c r="P226" i="166"/>
  <c r="V212" i="166"/>
  <c r="R212" i="166"/>
  <c r="Z221" i="166"/>
  <c r="AB219" i="166"/>
  <c r="Q200" i="166"/>
  <c r="U208" i="166"/>
  <c r="V218" i="166"/>
  <c r="AB204" i="166"/>
  <c r="N205" i="166"/>
  <c r="AL221" i="166"/>
  <c r="AL214" i="166"/>
  <c r="O222" i="166"/>
  <c r="Q223" i="166"/>
  <c r="AH206" i="166"/>
  <c r="T214" i="166"/>
  <c r="AH211" i="166"/>
  <c r="AL207" i="166"/>
  <c r="AJ204" i="166"/>
  <c r="AF201" i="166"/>
  <c r="Y201" i="166"/>
  <c r="X214" i="166"/>
  <c r="AJ206" i="166"/>
  <c r="AG210" i="166"/>
  <c r="U225" i="166"/>
  <c r="AK206" i="166"/>
  <c r="AK221" i="166"/>
  <c r="AA217" i="166"/>
  <c r="AL201" i="166"/>
  <c r="Y213" i="166"/>
  <c r="AB225" i="166"/>
  <c r="X223" i="166"/>
  <c r="AG221" i="166"/>
  <c r="AK220" i="166"/>
  <c r="X216" i="166"/>
  <c r="AJ201" i="166"/>
  <c r="AG212" i="166"/>
  <c r="P215" i="166"/>
  <c r="AB202" i="166"/>
  <c r="R220" i="166"/>
  <c r="AK205" i="166"/>
  <c r="W225" i="166"/>
  <c r="R218" i="166"/>
  <c r="AF223" i="166"/>
  <c r="AL209" i="166"/>
  <c r="AJ225" i="166"/>
  <c r="U224" i="166"/>
  <c r="T222" i="166"/>
  <c r="O226" i="166"/>
  <c r="Y217" i="166"/>
  <c r="AA213" i="166"/>
  <c r="AD208" i="166"/>
  <c r="AB226" i="166"/>
  <c r="Q206" i="166"/>
  <c r="X226" i="166"/>
  <c r="P208" i="166"/>
  <c r="Z214" i="166"/>
  <c r="AI204" i="166"/>
  <c r="S215" i="166"/>
  <c r="AA203" i="166"/>
  <c r="AL206" i="166"/>
  <c r="AF217" i="166"/>
  <c r="G209" i="133"/>
  <c r="AH210" i="166"/>
  <c r="AE223" i="166"/>
  <c r="AH215" i="166"/>
  <c r="Z211" i="166"/>
  <c r="AK215" i="166"/>
  <c r="R223" i="166"/>
  <c r="P219" i="166"/>
  <c r="AC225" i="166"/>
  <c r="AI211" i="166"/>
  <c r="AL223" i="166"/>
  <c r="U207" i="166"/>
  <c r="Q222" i="166"/>
  <c r="AH221" i="166"/>
  <c r="G217" i="133"/>
  <c r="P205" i="166"/>
  <c r="AM213" i="166"/>
  <c r="AJ207" i="166"/>
  <c r="AC215" i="166"/>
  <c r="AC218" i="166"/>
  <c r="AL225" i="166"/>
  <c r="AI226" i="166"/>
  <c r="Q209" i="166"/>
  <c r="AL202" i="166"/>
  <c r="AK216" i="166"/>
  <c r="AM209" i="166"/>
  <c r="AG219" i="166"/>
  <c r="H206" i="133"/>
  <c r="D97" i="183" s="1"/>
  <c r="O225" i="166"/>
  <c r="AA210" i="166"/>
  <c r="AE210" i="166"/>
  <c r="U202" i="166"/>
  <c r="AM206" i="166"/>
  <c r="AA204" i="166"/>
  <c r="V216" i="166"/>
  <c r="Q208" i="166"/>
  <c r="Z206" i="166"/>
  <c r="R205" i="166"/>
  <c r="Q205" i="166"/>
  <c r="O218" i="166"/>
  <c r="U204" i="166"/>
  <c r="AM224" i="166"/>
  <c r="V224" i="166"/>
  <c r="U215" i="166"/>
  <c r="U226" i="166"/>
  <c r="AJ213" i="166"/>
  <c r="AG217" i="166"/>
  <c r="Q225" i="166"/>
  <c r="AK208" i="166"/>
  <c r="AL222" i="166"/>
  <c r="AE208" i="166"/>
  <c r="G219" i="133"/>
  <c r="AD223" i="166"/>
  <c r="N209" i="166"/>
  <c r="Z217" i="166"/>
  <c r="AH203" i="166"/>
  <c r="R203" i="166"/>
  <c r="AM223" i="166"/>
  <c r="AC202" i="166"/>
  <c r="AD213" i="166"/>
  <c r="V207" i="166"/>
  <c r="Y219" i="166"/>
  <c r="AE205" i="166"/>
  <c r="P222" i="166"/>
  <c r="Q218" i="166"/>
  <c r="W204" i="166"/>
  <c r="P218" i="166"/>
  <c r="V204" i="166"/>
  <c r="T217" i="166"/>
  <c r="Q211" i="166"/>
  <c r="AE214" i="166"/>
  <c r="V210" i="166"/>
  <c r="AE217" i="166"/>
  <c r="AK223" i="166"/>
  <c r="S224" i="166"/>
  <c r="S217" i="166"/>
  <c r="AC205" i="166"/>
  <c r="AH219" i="166"/>
  <c r="X206" i="166"/>
  <c r="V219" i="166"/>
  <c r="R226" i="166"/>
  <c r="P210" i="166"/>
  <c r="AA211" i="166"/>
  <c r="AC206" i="166"/>
  <c r="AA221" i="166"/>
  <c r="AG203" i="166"/>
  <c r="AD202" i="166"/>
  <c r="AI225" i="166"/>
  <c r="AA214" i="166"/>
  <c r="G216" i="133"/>
  <c r="AC211" i="166"/>
  <c r="Z224" i="166"/>
  <c r="S202" i="166"/>
  <c r="AH226" i="166"/>
  <c r="AG224" i="166"/>
  <c r="S209" i="166"/>
  <c r="P211" i="166"/>
  <c r="Z209" i="166"/>
  <c r="W219" i="166"/>
  <c r="W211" i="166"/>
  <c r="R210" i="166"/>
  <c r="O221" i="166"/>
  <c r="S216" i="166"/>
  <c r="AG223" i="166"/>
  <c r="AJ222" i="166"/>
  <c r="N223" i="166"/>
  <c r="AA208" i="166"/>
  <c r="AD219" i="166"/>
  <c r="N217" i="166"/>
  <c r="AF214" i="166"/>
  <c r="AI200" i="166"/>
  <c r="G213" i="133"/>
  <c r="P212" i="166"/>
  <c r="R200" i="166"/>
  <c r="AD200" i="166"/>
  <c r="AK210" i="166"/>
  <c r="AL208" i="166"/>
  <c r="AK201" i="166"/>
  <c r="Z225" i="166"/>
  <c r="AK219" i="166"/>
  <c r="AA226" i="166"/>
  <c r="AL216" i="166"/>
  <c r="V214" i="166"/>
  <c r="O214" i="166"/>
  <c r="N224" i="166"/>
  <c r="AA220" i="166"/>
  <c r="O220" i="166"/>
  <c r="U206" i="166"/>
  <c r="R217" i="166"/>
  <c r="AF219" i="166"/>
  <c r="O207" i="166"/>
  <c r="AB220" i="166"/>
  <c r="AI222" i="166"/>
  <c r="O213" i="166"/>
  <c r="O219" i="166"/>
  <c r="Z226" i="166"/>
  <c r="AE216" i="166"/>
  <c r="T202" i="166"/>
  <c r="AJ212" i="166"/>
  <c r="Z212" i="166"/>
  <c r="W226" i="166"/>
  <c r="AI206" i="166"/>
  <c r="AI208" i="166"/>
  <c r="AB222" i="166"/>
  <c r="AH208" i="166"/>
  <c r="AF221" i="166"/>
  <c r="AG214" i="166"/>
  <c r="O210" i="166"/>
  <c r="AL217" i="166"/>
  <c r="T215" i="166"/>
  <c r="T218" i="166"/>
  <c r="X212" i="166"/>
  <c r="AA224" i="166"/>
  <c r="S200" i="166"/>
  <c r="P213" i="166"/>
  <c r="AC219" i="166"/>
  <c r="X222" i="166"/>
  <c r="AK203" i="166"/>
  <c r="AM210" i="166"/>
  <c r="AM207" i="166"/>
  <c r="AL213" i="166"/>
  <c r="Z222" i="166"/>
  <c r="O217" i="166"/>
  <c r="G223" i="133"/>
  <c r="T207" i="166"/>
  <c r="AH204" i="166"/>
  <c r="AA218" i="166"/>
  <c r="AF210" i="166"/>
  <c r="U212" i="166"/>
  <c r="AF216" i="166"/>
  <c r="Y222" i="166"/>
  <c r="AE225" i="166"/>
  <c r="AD212" i="166"/>
  <c r="P216" i="166"/>
  <c r="G220" i="133"/>
  <c r="AC222" i="166"/>
  <c r="AL220" i="166"/>
  <c r="AH214" i="166"/>
  <c r="AE202" i="166"/>
  <c r="S208" i="166"/>
  <c r="AB224" i="166"/>
  <c r="AK222" i="166"/>
  <c r="AJ203" i="166"/>
  <c r="T209" i="166"/>
  <c r="AK209" i="166"/>
  <c r="Z208" i="166"/>
  <c r="T225" i="166"/>
  <c r="AM202" i="166"/>
  <c r="U201" i="166"/>
  <c r="V205" i="166"/>
  <c r="Y207" i="166"/>
  <c r="AD226" i="166"/>
  <c r="AB218" i="166"/>
  <c r="AC216" i="166"/>
  <c r="AI220" i="166"/>
  <c r="R222" i="166"/>
  <c r="Y224" i="166"/>
  <c r="Q201" i="166"/>
  <c r="U218" i="166"/>
  <c r="AC221" i="166"/>
  <c r="R221" i="166"/>
  <c r="AH224" i="166"/>
  <c r="AC226" i="166"/>
  <c r="T220" i="166"/>
  <c r="AB207" i="166"/>
  <c r="AH201" i="166"/>
  <c r="AC207" i="166"/>
  <c r="P207" i="166"/>
  <c r="N210" i="166"/>
  <c r="G206" i="133"/>
  <c r="Y204" i="166"/>
  <c r="AJ209" i="166"/>
  <c r="P225" i="166"/>
  <c r="G212" i="133"/>
  <c r="AJ205" i="166"/>
  <c r="O211" i="166"/>
  <c r="R208" i="166"/>
  <c r="AE219" i="166"/>
  <c r="P221" i="166"/>
  <c r="AA206" i="166"/>
  <c r="AD218" i="166"/>
  <c r="Y203" i="166"/>
  <c r="V217" i="166"/>
  <c r="AL203" i="166"/>
  <c r="U217" i="166"/>
  <c r="AM203" i="166"/>
  <c r="Y216" i="166"/>
  <c r="Z202" i="166"/>
  <c r="AA209" i="166"/>
  <c r="X209" i="166"/>
  <c r="AH200" i="166"/>
  <c r="AK207" i="166"/>
  <c r="H187" i="176"/>
  <c r="H198" i="133"/>
  <c r="AG200" i="166"/>
  <c r="S198" i="133"/>
  <c r="V200" i="166"/>
  <c r="T198" i="133"/>
  <c r="W200" i="166"/>
  <c r="J198" i="133"/>
  <c r="K198" i="133"/>
  <c r="I198" i="133"/>
  <c r="P198" i="133"/>
  <c r="O198" i="133"/>
  <c r="AA198" i="133"/>
  <c r="U198" i="133"/>
  <c r="Q198" i="133"/>
  <c r="Y198" i="133"/>
  <c r="M198" i="133"/>
  <c r="V198" i="133"/>
  <c r="AB198" i="133"/>
  <c r="I212" i="133"/>
  <c r="L198" i="133"/>
  <c r="AC198" i="133"/>
  <c r="X198" i="133"/>
  <c r="R198" i="133"/>
  <c r="Z198" i="133"/>
  <c r="W198" i="133"/>
  <c r="N198" i="133"/>
  <c r="H215" i="133"/>
  <c r="I224" i="133"/>
  <c r="H205" i="133"/>
  <c r="H217" i="133"/>
  <c r="H218" i="133"/>
  <c r="P224" i="133"/>
  <c r="J209" i="133"/>
  <c r="H212" i="133"/>
  <c r="J212" i="133"/>
  <c r="I223" i="133"/>
  <c r="L216" i="133"/>
  <c r="V211" i="133"/>
  <c r="AA210" i="133"/>
  <c r="U216" i="133"/>
  <c r="P204" i="133"/>
  <c r="T219" i="133"/>
  <c r="AB222" i="133"/>
  <c r="X221" i="133"/>
  <c r="K212" i="133"/>
  <c r="J223" i="133"/>
  <c r="O223" i="133"/>
  <c r="H211" i="133"/>
  <c r="J216" i="133"/>
  <c r="I218" i="133"/>
  <c r="K216" i="133"/>
  <c r="J224" i="133"/>
  <c r="I209" i="133"/>
  <c r="Q212" i="133"/>
  <c r="I217" i="133"/>
  <c r="H209" i="133"/>
  <c r="D98" i="183" s="1"/>
  <c r="I205" i="133"/>
  <c r="H208" i="133"/>
  <c r="E98" i="183" s="1"/>
  <c r="N212" i="133"/>
  <c r="J221" i="133"/>
  <c r="O214" i="133"/>
  <c r="O207" i="133"/>
  <c r="Q204" i="133"/>
  <c r="L204" i="133"/>
  <c r="K224" i="133"/>
  <c r="W213" i="133"/>
  <c r="K214" i="133"/>
  <c r="X213" i="133"/>
  <c r="J222" i="133"/>
  <c r="V216" i="133"/>
  <c r="P217" i="133"/>
  <c r="S219" i="133"/>
  <c r="K205" i="133"/>
  <c r="R223" i="133"/>
  <c r="O213" i="133"/>
  <c r="O219" i="133"/>
  <c r="Q221" i="133"/>
  <c r="AB224" i="133"/>
  <c r="Q210" i="133"/>
  <c r="U220" i="133"/>
  <c r="AA213" i="133"/>
  <c r="N219" i="133"/>
  <c r="W205" i="133"/>
  <c r="AB213" i="133"/>
  <c r="X217" i="133"/>
  <c r="K209" i="133"/>
  <c r="H224" i="133"/>
  <c r="H223" i="133"/>
  <c r="AC204" i="133"/>
  <c r="J205" i="133"/>
  <c r="I215" i="133"/>
  <c r="Y213" i="133"/>
  <c r="I216" i="133"/>
  <c r="H216" i="133"/>
  <c r="K223" i="133"/>
  <c r="AA204" i="133"/>
  <c r="L223" i="133"/>
  <c r="K207" i="133"/>
  <c r="V213" i="133"/>
  <c r="M220" i="133"/>
  <c r="N216" i="133"/>
  <c r="Q215" i="133"/>
  <c r="N209" i="133"/>
  <c r="AB212" i="133"/>
  <c r="S208" i="133"/>
  <c r="S218" i="133"/>
  <c r="Z215" i="133"/>
  <c r="T212" i="133"/>
  <c r="K222" i="133"/>
  <c r="X218" i="133"/>
  <c r="L218" i="133"/>
  <c r="R204" i="133"/>
  <c r="AC217" i="133"/>
  <c r="L205" i="133"/>
  <c r="Y218" i="133"/>
  <c r="P211" i="133"/>
  <c r="L217" i="133"/>
  <c r="W224" i="133"/>
  <c r="AB214" i="133"/>
  <c r="H221" i="133"/>
  <c r="I207" i="133"/>
  <c r="W223" i="133"/>
  <c r="R199" i="133"/>
  <c r="X224" i="133"/>
  <c r="M219" i="133"/>
  <c r="X204" i="133"/>
  <c r="AB208" i="133"/>
  <c r="V214" i="133"/>
  <c r="X207" i="133"/>
  <c r="U207" i="133"/>
  <c r="M216" i="133"/>
  <c r="R216" i="133"/>
  <c r="O216" i="133"/>
  <c r="Q216" i="133"/>
  <c r="S216" i="133"/>
  <c r="O212" i="133"/>
  <c r="H222" i="133"/>
  <c r="J210" i="133"/>
  <c r="X206" i="133"/>
  <c r="AA206" i="133"/>
  <c r="S206" i="133"/>
  <c r="AB206" i="133"/>
  <c r="M206" i="133"/>
  <c r="P206" i="133"/>
  <c r="J206" i="133"/>
  <c r="AA212" i="133"/>
  <c r="L207" i="133"/>
  <c r="V207" i="133"/>
  <c r="P218" i="133"/>
  <c r="R218" i="133"/>
  <c r="S204" i="133"/>
  <c r="M212" i="133"/>
  <c r="R217" i="133"/>
  <c r="K217" i="133"/>
  <c r="O217" i="133"/>
  <c r="T213" i="133"/>
  <c r="R212" i="133"/>
  <c r="Z222" i="133"/>
  <c r="AB215" i="133"/>
  <c r="N221" i="133"/>
  <c r="P219" i="133"/>
  <c r="Z206" i="133"/>
  <c r="T216" i="133"/>
  <c r="P220" i="133"/>
  <c r="Y224" i="133"/>
  <c r="P210" i="133"/>
  <c r="R206" i="133"/>
  <c r="AC222" i="133"/>
  <c r="S202" i="133"/>
  <c r="L202" i="133"/>
  <c r="Q224" i="133"/>
  <c r="R222" i="133"/>
  <c r="O205" i="133"/>
  <c r="M204" i="133"/>
  <c r="AB209" i="133"/>
  <c r="K204" i="133"/>
  <c r="V215" i="133"/>
  <c r="AC218" i="133"/>
  <c r="Y215" i="133"/>
  <c r="V221" i="133"/>
  <c r="U209" i="133"/>
  <c r="W206" i="133"/>
  <c r="V205" i="133"/>
  <c r="V223" i="133"/>
  <c r="S207" i="133"/>
  <c r="U218" i="133"/>
  <c r="T211" i="133"/>
  <c r="X209" i="133"/>
  <c r="L210" i="133"/>
  <c r="Z223" i="133"/>
  <c r="O209" i="133"/>
  <c r="AA222" i="133"/>
  <c r="Z210" i="133"/>
  <c r="T217" i="133"/>
  <c r="I221" i="133"/>
  <c r="AB220" i="133"/>
  <c r="Z212" i="133"/>
  <c r="N213" i="133"/>
  <c r="W221" i="133"/>
  <c r="P208" i="133"/>
  <c r="R219" i="133"/>
  <c r="Y214" i="133"/>
  <c r="Z208" i="133"/>
  <c r="N220" i="133"/>
  <c r="K213" i="133"/>
  <c r="Y210" i="133"/>
  <c r="Z216" i="133"/>
  <c r="P221" i="133"/>
  <c r="N224" i="133"/>
  <c r="W215" i="133"/>
  <c r="J215" i="133"/>
  <c r="M215" i="133"/>
  <c r="Q206" i="133"/>
  <c r="S221" i="133"/>
  <c r="I220" i="133"/>
  <c r="V220" i="133"/>
  <c r="X220" i="133"/>
  <c r="AC206" i="133"/>
  <c r="J200" i="133"/>
  <c r="Q213" i="133"/>
  <c r="I213" i="133"/>
  <c r="R213" i="133"/>
  <c r="S213" i="133"/>
  <c r="H213" i="133"/>
  <c r="Z213" i="133"/>
  <c r="M213" i="133"/>
  <c r="AA220" i="133"/>
  <c r="Z218" i="133"/>
  <c r="Y211" i="133"/>
  <c r="Z211" i="133"/>
  <c r="Z207" i="133"/>
  <c r="G204" i="133"/>
  <c r="I204" i="133"/>
  <c r="Z204" i="133"/>
  <c r="N204" i="133"/>
  <c r="W204" i="133"/>
  <c r="H204" i="133"/>
  <c r="U204" i="133"/>
  <c r="V204" i="133"/>
  <c r="P205" i="133"/>
  <c r="K218" i="133"/>
  <c r="K219" i="133"/>
  <c r="M222" i="133"/>
  <c r="V224" i="133"/>
  <c r="U217" i="133"/>
  <c r="O222" i="133"/>
  <c r="R221" i="133"/>
  <c r="AA223" i="133"/>
  <c r="S211" i="133"/>
  <c r="W220" i="133"/>
  <c r="U215" i="133"/>
  <c r="Y209" i="133"/>
  <c r="W209" i="133"/>
  <c r="U211" i="133"/>
  <c r="Z214" i="133"/>
  <c r="V212" i="133"/>
  <c r="J219" i="133"/>
  <c r="O210" i="133"/>
  <c r="AC224" i="133"/>
  <c r="L215" i="133"/>
  <c r="U223" i="133"/>
  <c r="S224" i="133"/>
  <c r="L211" i="133"/>
  <c r="G222" i="133"/>
  <c r="S222" i="133"/>
  <c r="I222" i="133"/>
  <c r="Y222" i="133"/>
  <c r="Q222" i="133"/>
  <c r="N208" i="133"/>
  <c r="L208" i="133"/>
  <c r="I208" i="133"/>
  <c r="V208" i="133"/>
  <c r="W208" i="133"/>
  <c r="T208" i="133"/>
  <c r="J208" i="133"/>
  <c r="AC208" i="133"/>
  <c r="X208" i="133"/>
  <c r="T204" i="133"/>
  <c r="AB207" i="133"/>
  <c r="Y221" i="133"/>
  <c r="AC219" i="133"/>
  <c r="Z219" i="133"/>
  <c r="U213" i="133"/>
  <c r="AA209" i="133"/>
  <c r="X205" i="133"/>
  <c r="U205" i="133"/>
  <c r="T215" i="133"/>
  <c r="X223" i="133"/>
  <c r="O221" i="133"/>
  <c r="Y216" i="133"/>
  <c r="L214" i="133"/>
  <c r="AC207" i="133"/>
  <c r="O211" i="133"/>
  <c r="O204" i="133"/>
  <c r="U206" i="133"/>
  <c r="T220" i="133"/>
  <c r="W210" i="133"/>
  <c r="M211" i="133"/>
  <c r="P212" i="133"/>
  <c r="U208" i="133"/>
  <c r="Y219" i="133"/>
  <c r="R210" i="133"/>
  <c r="P216" i="133"/>
  <c r="Q220" i="133"/>
  <c r="Q214" i="133"/>
  <c r="O224" i="133"/>
  <c r="U210" i="133"/>
  <c r="X219" i="133"/>
  <c r="M205" i="133"/>
  <c r="M210" i="133"/>
  <c r="W214" i="133"/>
  <c r="X214" i="133"/>
  <c r="Q217" i="133"/>
  <c r="Z205" i="133"/>
  <c r="Q205" i="133"/>
  <c r="AC205" i="133"/>
  <c r="N214" i="133"/>
  <c r="Y205" i="133"/>
  <c r="O206" i="133"/>
  <c r="AA216" i="133"/>
  <c r="N222" i="133"/>
  <c r="Q211" i="133"/>
  <c r="Y208" i="133"/>
  <c r="T205" i="133"/>
  <c r="K220" i="133"/>
  <c r="M218" i="133"/>
  <c r="V209" i="133"/>
  <c r="S220" i="133"/>
  <c r="N206" i="133"/>
  <c r="R214" i="133"/>
  <c r="AA208" i="133"/>
  <c r="AA218" i="133"/>
  <c r="AB204" i="133"/>
  <c r="Z221" i="133"/>
  <c r="J213" i="133"/>
  <c r="AB205" i="133"/>
  <c r="R209" i="133"/>
  <c r="Y220" i="133"/>
  <c r="V222" i="133"/>
  <c r="Y206" i="133"/>
  <c r="AC216" i="133"/>
  <c r="O220" i="133"/>
  <c r="R205" i="133"/>
  <c r="J204" i="133"/>
  <c r="AC212" i="133"/>
  <c r="L212" i="133"/>
  <c r="W212" i="133"/>
  <c r="S215" i="133"/>
  <c r="T222" i="133"/>
  <c r="S214" i="133"/>
  <c r="T214" i="133"/>
  <c r="M214" i="133"/>
  <c r="AC223" i="133"/>
  <c r="Q223" i="133"/>
  <c r="AB223" i="133"/>
  <c r="P223" i="133"/>
  <c r="Y204" i="133"/>
  <c r="T207" i="133"/>
  <c r="V218" i="133"/>
  <c r="V206" i="133"/>
  <c r="Q219" i="133"/>
  <c r="K211" i="133"/>
  <c r="M207" i="133"/>
  <c r="X212" i="133"/>
  <c r="O208" i="133"/>
  <c r="X216" i="133"/>
  <c r="M221" i="133"/>
  <c r="P222" i="133"/>
  <c r="AC220" i="133"/>
  <c r="AA205" i="133"/>
  <c r="S212" i="133"/>
  <c r="I211" i="133"/>
  <c r="N211" i="133"/>
  <c r="AB211" i="133"/>
  <c r="AB217" i="133"/>
  <c r="L206" i="133"/>
  <c r="N205" i="133"/>
  <c r="T206" i="133"/>
  <c r="W217" i="133"/>
  <c r="AC213" i="133"/>
  <c r="R208" i="133"/>
  <c r="AA215" i="133"/>
  <c r="U222" i="133"/>
  <c r="S205" i="133"/>
  <c r="AB218" i="133"/>
  <c r="AA214" i="133"/>
  <c r="AC210" i="133"/>
  <c r="Y212" i="133"/>
  <c r="K206" i="133"/>
  <c r="M208" i="133"/>
  <c r="I206" i="133"/>
  <c r="P213" i="133"/>
  <c r="L222" i="133"/>
  <c r="U221" i="133"/>
  <c r="R211" i="133"/>
  <c r="O215" i="133"/>
  <c r="R215" i="133"/>
  <c r="AA219" i="133"/>
  <c r="H219" i="133"/>
  <c r="W219" i="133"/>
  <c r="V219" i="133"/>
  <c r="AB219" i="133"/>
  <c r="U219" i="133"/>
  <c r="I219" i="133"/>
  <c r="L219" i="133"/>
  <c r="X222" i="133"/>
  <c r="V210" i="133"/>
  <c r="AC211" i="133"/>
  <c r="AB221" i="133"/>
  <c r="N217" i="133"/>
  <c r="M217" i="133"/>
  <c r="AA217" i="133"/>
  <c r="V217" i="133"/>
  <c r="Y217" i="133"/>
  <c r="J217" i="133"/>
  <c r="S217" i="133"/>
  <c r="Z217" i="133"/>
  <c r="G210" i="133"/>
  <c r="T210" i="133"/>
  <c r="X210" i="133"/>
  <c r="K210" i="133"/>
  <c r="I210" i="133"/>
  <c r="H210" i="133"/>
  <c r="AB210" i="133"/>
  <c r="S210" i="133"/>
  <c r="N210" i="133"/>
  <c r="N218" i="133"/>
  <c r="Q218" i="133"/>
  <c r="T218" i="133"/>
  <c r="W218" i="133"/>
  <c r="J218" i="133"/>
  <c r="L221" i="133"/>
  <c r="AB216" i="133"/>
  <c r="W216" i="133"/>
  <c r="Q208" i="133"/>
  <c r="S209" i="133"/>
  <c r="J211" i="133"/>
  <c r="K215" i="133"/>
  <c r="L213" i="133"/>
  <c r="W222" i="133"/>
  <c r="AA221" i="133"/>
  <c r="U214" i="133"/>
  <c r="L209" i="133"/>
  <c r="K221" i="133"/>
  <c r="P207" i="133"/>
  <c r="H214" i="133"/>
  <c r="T224" i="133"/>
  <c r="O218" i="133"/>
  <c r="W207" i="133"/>
  <c r="AA207" i="133"/>
  <c r="Z224" i="133"/>
  <c r="J207" i="133"/>
  <c r="M209" i="133"/>
  <c r="Y223" i="133"/>
  <c r="R224" i="133"/>
  <c r="X215" i="133"/>
  <c r="H220" i="133"/>
  <c r="P209" i="133"/>
  <c r="L224" i="133"/>
  <c r="AC214" i="133"/>
  <c r="AA211" i="133"/>
  <c r="X203" i="133"/>
  <c r="AC209" i="133"/>
  <c r="W211" i="133"/>
  <c r="N215" i="133"/>
  <c r="T209" i="133"/>
  <c r="K200" i="133"/>
  <c r="L220" i="133"/>
  <c r="Z220" i="133"/>
  <c r="T223" i="133"/>
  <c r="P215" i="133"/>
  <c r="X211" i="133"/>
  <c r="U212" i="133"/>
  <c r="Q209" i="133"/>
  <c r="M223" i="133"/>
  <c r="AC215" i="133"/>
  <c r="AB201" i="133"/>
  <c r="Q207" i="133"/>
  <c r="R220" i="133"/>
  <c r="I214" i="133"/>
  <c r="S223" i="133"/>
  <c r="AC221" i="133"/>
  <c r="N207" i="133"/>
  <c r="AA224" i="133"/>
  <c r="J220" i="133"/>
  <c r="Y207" i="133"/>
  <c r="U224" i="133"/>
  <c r="P214" i="133"/>
  <c r="T221" i="133"/>
  <c r="Z209" i="133"/>
  <c r="H207" i="133"/>
  <c r="R207" i="133"/>
  <c r="J214" i="133"/>
  <c r="N223" i="133"/>
  <c r="M224" i="133"/>
  <c r="K208" i="133"/>
  <c r="AC203" i="133"/>
  <c r="M203" i="133"/>
  <c r="U200" i="133"/>
  <c r="T203" i="133"/>
  <c r="H203" i="133"/>
  <c r="L203" i="133"/>
  <c r="Q203" i="133"/>
  <c r="N203" i="133"/>
  <c r="K203" i="133"/>
  <c r="J203" i="133"/>
  <c r="V200" i="133"/>
  <c r="Y200" i="133"/>
  <c r="U202" i="133"/>
  <c r="O203" i="133"/>
  <c r="W203" i="133"/>
  <c r="Z203" i="133"/>
  <c r="V203" i="133"/>
  <c r="K202" i="133"/>
  <c r="AA203" i="133"/>
  <c r="G202" i="133"/>
  <c r="J202" i="133"/>
  <c r="H202" i="133"/>
  <c r="D96" i="183" s="1"/>
  <c r="F96" i="183" s="1"/>
  <c r="X202" i="133"/>
  <c r="N202" i="133"/>
  <c r="I202" i="133"/>
  <c r="Q202" i="133"/>
  <c r="M202" i="133"/>
  <c r="Z202" i="133"/>
  <c r="P202" i="133"/>
  <c r="AC202" i="133"/>
  <c r="V202" i="133"/>
  <c r="T201" i="133"/>
  <c r="T202" i="133"/>
  <c r="Q201" i="133"/>
  <c r="V201" i="133"/>
  <c r="G201" i="133"/>
  <c r="L201" i="133"/>
  <c r="M201" i="133"/>
  <c r="I201" i="133"/>
  <c r="P201" i="133"/>
  <c r="S201" i="133"/>
  <c r="O201" i="133"/>
  <c r="U201" i="133"/>
  <c r="H201" i="133"/>
  <c r="N201" i="133"/>
  <c r="Y202" i="133"/>
  <c r="R202" i="133"/>
  <c r="AB202" i="133"/>
  <c r="AC200" i="133"/>
  <c r="AA202" i="133"/>
  <c r="W202" i="133"/>
  <c r="K201" i="133"/>
  <c r="G200" i="133"/>
  <c r="T200" i="133"/>
  <c r="R200" i="133"/>
  <c r="Q200" i="133"/>
  <c r="AB200" i="133"/>
  <c r="O202" i="133"/>
  <c r="L200" i="133"/>
  <c r="G199" i="133"/>
  <c r="AC199" i="133"/>
  <c r="G203" i="133"/>
  <c r="S203" i="133"/>
  <c r="P203" i="133"/>
  <c r="Y203" i="133"/>
  <c r="I203" i="133"/>
  <c r="AB203" i="133"/>
  <c r="R203" i="133"/>
  <c r="U203" i="133"/>
  <c r="Z199" i="133"/>
  <c r="W200" i="133"/>
  <c r="S199" i="133"/>
  <c r="N199" i="133"/>
  <c r="AA199" i="133"/>
  <c r="S200" i="133"/>
  <c r="X199" i="133"/>
  <c r="Y199" i="133"/>
  <c r="H200" i="133"/>
  <c r="P199" i="133"/>
  <c r="Y201" i="133"/>
  <c r="AC201" i="133"/>
  <c r="O199" i="133"/>
  <c r="K199" i="133"/>
  <c r="H199" i="133"/>
  <c r="I199" i="133"/>
  <c r="X200" i="133"/>
  <c r="N200" i="133"/>
  <c r="J201" i="133"/>
  <c r="X201" i="133"/>
  <c r="Z200" i="133"/>
  <c r="J199" i="133"/>
  <c r="R201" i="133"/>
  <c r="U199" i="133"/>
  <c r="V199" i="133"/>
  <c r="T199" i="133"/>
  <c r="W199" i="133"/>
  <c r="L199" i="133"/>
  <c r="AA201" i="133"/>
  <c r="I200" i="133"/>
  <c r="M200" i="133"/>
  <c r="AB199" i="133"/>
  <c r="O200" i="133"/>
  <c r="Q199" i="133"/>
  <c r="AA200" i="133"/>
  <c r="W201" i="133"/>
  <c r="M199" i="133"/>
  <c r="Z201" i="133"/>
  <c r="P200" i="133"/>
  <c r="C136" i="133"/>
  <c r="C138" i="133"/>
  <c r="F198" i="133" l="1"/>
  <c r="E97" i="183"/>
  <c r="F97" i="183" s="1"/>
  <c r="F216" i="133"/>
  <c r="F204" i="133"/>
  <c r="F215" i="133"/>
  <c r="F210" i="133"/>
  <c r="F212" i="133"/>
  <c r="F207" i="133"/>
  <c r="F200" i="133"/>
  <c r="F223" i="133"/>
  <c r="F219" i="133"/>
  <c r="F209" i="133"/>
  <c r="F208" i="133"/>
  <c r="F211" i="133"/>
  <c r="F206" i="133"/>
  <c r="F218" i="133"/>
  <c r="F203" i="133"/>
  <c r="F201" i="133"/>
  <c r="F205" i="133"/>
  <c r="F214" i="133"/>
  <c r="F224" i="133"/>
  <c r="F199" i="133"/>
  <c r="F202" i="133"/>
  <c r="F220" i="133"/>
  <c r="F213" i="133"/>
  <c r="F217" i="133"/>
  <c r="F222" i="133"/>
  <c r="F221" i="133"/>
  <c r="H188" i="176"/>
  <c r="H189" i="176" s="1"/>
  <c r="F98" i="183"/>
  <c r="E95" i="183"/>
  <c r="F95" i="183" s="1"/>
  <c r="C183" i="133"/>
  <c r="C230" i="133" s="1"/>
  <c r="C277" i="133" s="1"/>
  <c r="C185" i="166"/>
  <c r="C185" i="135"/>
  <c r="C185" i="133"/>
  <c r="C232" i="133" s="1"/>
  <c r="C279" i="133" s="1"/>
  <c r="C326" i="133" s="1"/>
  <c r="B8" i="142" s="1"/>
  <c r="B54" i="142" s="1"/>
  <c r="B99" i="142" s="1"/>
  <c r="B144" i="142" s="1"/>
  <c r="B189" i="142" s="1"/>
  <c r="C187" i="166"/>
  <c r="C187" i="135"/>
  <c r="C324" i="133"/>
  <c r="B6" i="142" s="1"/>
  <c r="B52" i="142" s="1"/>
  <c r="B97" i="142" s="1"/>
  <c r="B142" i="142" s="1"/>
  <c r="B187" i="142" s="1"/>
  <c r="H190" i="176" l="1"/>
  <c r="I186" i="176" s="1"/>
  <c r="C373" i="133"/>
  <c r="C371" i="133"/>
  <c r="F6" i="137"/>
  <c r="G6" i="137"/>
  <c r="H6" i="137"/>
  <c r="I6" i="137"/>
  <c r="J6" i="137"/>
  <c r="K6" i="137"/>
  <c r="L6" i="137"/>
  <c r="M6" i="137"/>
  <c r="N6" i="137"/>
  <c r="O6" i="137"/>
  <c r="P6" i="137"/>
  <c r="Q6" i="137"/>
  <c r="R6" i="137"/>
  <c r="S6" i="137"/>
  <c r="T6" i="137"/>
  <c r="U6" i="137"/>
  <c r="V6" i="137"/>
  <c r="W6" i="137"/>
  <c r="X6" i="137"/>
  <c r="Y6" i="137"/>
  <c r="Z6" i="137"/>
  <c r="AA6" i="137"/>
  <c r="E6" i="137"/>
  <c r="D97" i="137"/>
  <c r="D98" i="137" s="1"/>
  <c r="F39" i="136"/>
  <c r="G39" i="136"/>
  <c r="H39" i="136"/>
  <c r="AP39" i="136"/>
  <c r="AQ39" i="136"/>
  <c r="AR39" i="136"/>
  <c r="E39" i="136"/>
  <c r="F6" i="136"/>
  <c r="G6" i="136"/>
  <c r="H6" i="136"/>
  <c r="I6" i="136"/>
  <c r="J6" i="136"/>
  <c r="K6" i="136"/>
  <c r="L6" i="136"/>
  <c r="M6" i="136"/>
  <c r="N6" i="136"/>
  <c r="O6" i="136"/>
  <c r="P6" i="136"/>
  <c r="Q6" i="136"/>
  <c r="R6" i="136"/>
  <c r="S6" i="136"/>
  <c r="T6" i="136"/>
  <c r="U6" i="136"/>
  <c r="V6" i="136"/>
  <c r="W6" i="136"/>
  <c r="X6" i="136"/>
  <c r="Y6" i="136"/>
  <c r="Z6" i="136"/>
  <c r="AA6" i="136"/>
  <c r="AI6" i="136"/>
  <c r="AJ6" i="136"/>
  <c r="AK6" i="136"/>
  <c r="AL6" i="136"/>
  <c r="AM6" i="136"/>
  <c r="AN6" i="136"/>
  <c r="AO6" i="136"/>
  <c r="AP6" i="136"/>
  <c r="AQ6" i="136"/>
  <c r="AR6" i="136"/>
  <c r="E6" i="136"/>
  <c r="F5" i="136"/>
  <c r="G5" i="136"/>
  <c r="H5" i="136"/>
  <c r="I5" i="136"/>
  <c r="J5" i="136"/>
  <c r="K5" i="136"/>
  <c r="L5" i="136"/>
  <c r="M5" i="136"/>
  <c r="N5" i="136"/>
  <c r="O5" i="136"/>
  <c r="P5" i="136"/>
  <c r="Q5" i="136"/>
  <c r="R5" i="136"/>
  <c r="S5" i="136"/>
  <c r="T5" i="136"/>
  <c r="U5" i="136"/>
  <c r="V5" i="136"/>
  <c r="W5" i="136"/>
  <c r="X5" i="136"/>
  <c r="Y5" i="136"/>
  <c r="Z5" i="136"/>
  <c r="AA5" i="136"/>
  <c r="AI5" i="136"/>
  <c r="AJ5" i="136"/>
  <c r="AK5" i="136"/>
  <c r="AL5" i="136"/>
  <c r="AM5" i="136"/>
  <c r="AN5" i="136"/>
  <c r="AO5" i="136"/>
  <c r="AP5" i="136"/>
  <c r="AQ5" i="136"/>
  <c r="AR5" i="136"/>
  <c r="E5" i="136"/>
  <c r="AQ4" i="136"/>
  <c r="AR4" i="136"/>
  <c r="AP4" i="136"/>
  <c r="B35" i="136"/>
  <c r="B34" i="136"/>
  <c r="B33" i="136"/>
  <c r="B32" i="136"/>
  <c r="R5" i="137" l="1"/>
  <c r="R30" i="137" s="1"/>
  <c r="R5" i="145"/>
  <c r="X7" i="145"/>
  <c r="K5" i="137"/>
  <c r="K30" i="137" s="1"/>
  <c r="K5" i="145"/>
  <c r="J5" i="137"/>
  <c r="J30" i="137" s="1"/>
  <c r="J5" i="145"/>
  <c r="F5" i="137"/>
  <c r="F30" i="137" s="1"/>
  <c r="F5" i="145"/>
  <c r="E7" i="137"/>
  <c r="E7" i="145"/>
  <c r="K7" i="137"/>
  <c r="K7" i="145"/>
  <c r="H7" i="145"/>
  <c r="W7" i="145"/>
  <c r="AQ10" i="136"/>
  <c r="AQ30" i="136" s="1"/>
  <c r="N5" i="137"/>
  <c r="N30" i="137" s="1"/>
  <c r="N5" i="145"/>
  <c r="V7" i="145"/>
  <c r="M5" i="137"/>
  <c r="M30" i="137" s="1"/>
  <c r="M5" i="145"/>
  <c r="S7" i="145"/>
  <c r="I5" i="137"/>
  <c r="I5" i="145"/>
  <c r="P7" i="137"/>
  <c r="P7" i="145"/>
  <c r="O7" i="137"/>
  <c r="O7" i="145"/>
  <c r="L7" i="137"/>
  <c r="L7" i="145"/>
  <c r="I7" i="145"/>
  <c r="V5" i="137"/>
  <c r="V30" i="137" s="1"/>
  <c r="V5" i="145"/>
  <c r="O5" i="137"/>
  <c r="O30" i="137" s="1"/>
  <c r="O5" i="145"/>
  <c r="U7" i="145"/>
  <c r="L5" i="137"/>
  <c r="L30" i="137" s="1"/>
  <c r="L5" i="145"/>
  <c r="Q7" i="137"/>
  <c r="Q7" i="145"/>
  <c r="H5" i="137"/>
  <c r="H30" i="137" s="1"/>
  <c r="H5" i="145"/>
  <c r="N7" i="137"/>
  <c r="N7" i="145"/>
  <c r="M7" i="137"/>
  <c r="M7" i="145"/>
  <c r="G7" i="145"/>
  <c r="AA5" i="137"/>
  <c r="AA30" i="137" s="1"/>
  <c r="AA5" i="145"/>
  <c r="Z5" i="137"/>
  <c r="Z30" i="137" s="1"/>
  <c r="Z5" i="145"/>
  <c r="Y5" i="145"/>
  <c r="X5" i="137"/>
  <c r="X30" i="137" s="1"/>
  <c r="X5" i="145"/>
  <c r="W5" i="137"/>
  <c r="W30" i="137" s="1"/>
  <c r="W5" i="145"/>
  <c r="U5" i="137"/>
  <c r="U30" i="137" s="1"/>
  <c r="U5" i="145"/>
  <c r="T5" i="137"/>
  <c r="T30" i="137" s="1"/>
  <c r="T5" i="145"/>
  <c r="Z7" i="137"/>
  <c r="Z7" i="145"/>
  <c r="Q5" i="137"/>
  <c r="Q30" i="137" s="1"/>
  <c r="Q5" i="145"/>
  <c r="Y7" i="137"/>
  <c r="Y7" i="145"/>
  <c r="P5" i="137"/>
  <c r="P30" i="137" s="1"/>
  <c r="P5" i="145"/>
  <c r="E5" i="137"/>
  <c r="E30" i="137" s="1"/>
  <c r="E5" i="145"/>
  <c r="E17" i="145" s="1"/>
  <c r="T7" i="145"/>
  <c r="R7" i="145"/>
  <c r="G5" i="137"/>
  <c r="G30" i="137" s="1"/>
  <c r="G5" i="145"/>
  <c r="J7" i="137"/>
  <c r="J7" i="145"/>
  <c r="F7" i="145"/>
  <c r="S5" i="137"/>
  <c r="S30" i="137" s="1"/>
  <c r="S5" i="145"/>
  <c r="AA7" i="137"/>
  <c r="AA7" i="145"/>
  <c r="R7" i="136"/>
  <c r="T7" i="136"/>
  <c r="AR7" i="136"/>
  <c r="S7" i="136"/>
  <c r="X7" i="136"/>
  <c r="W7" i="136"/>
  <c r="V7" i="136"/>
  <c r="U7" i="136"/>
  <c r="V7" i="137"/>
  <c r="U7" i="137"/>
  <c r="T7" i="137"/>
  <c r="S7" i="137"/>
  <c r="R7" i="137"/>
  <c r="AP7" i="136"/>
  <c r="I7" i="136"/>
  <c r="X7" i="137"/>
  <c r="H7" i="136"/>
  <c r="H7" i="137"/>
  <c r="Q7" i="136"/>
  <c r="P7" i="136"/>
  <c r="O7" i="136"/>
  <c r="N7" i="136"/>
  <c r="M7" i="136"/>
  <c r="K7" i="136"/>
  <c r="W7" i="137"/>
  <c r="AN7" i="136"/>
  <c r="G7" i="136"/>
  <c r="F7" i="136"/>
  <c r="E7" i="136"/>
  <c r="AQ7" i="136"/>
  <c r="L7" i="136"/>
  <c r="Y7" i="136"/>
  <c r="I7" i="137"/>
  <c r="G7" i="137"/>
  <c r="D5" i="136"/>
  <c r="AK7" i="136"/>
  <c r="AJ7" i="136"/>
  <c r="AR10" i="136"/>
  <c r="AR30" i="136" s="1"/>
  <c r="AI7" i="136"/>
  <c r="AP10" i="136"/>
  <c r="AP30" i="136" s="1"/>
  <c r="J7" i="136"/>
  <c r="AO7" i="136"/>
  <c r="AL7" i="136"/>
  <c r="AM7" i="136"/>
  <c r="F7" i="137"/>
  <c r="AA7" i="136"/>
  <c r="Z7" i="136"/>
  <c r="Y5" i="137"/>
  <c r="Y30" i="137" s="1"/>
  <c r="D6" i="136"/>
  <c r="I30" i="137" l="1"/>
  <c r="I13" i="137"/>
  <c r="E22" i="145"/>
  <c r="H45" i="137"/>
  <c r="F45" i="137"/>
  <c r="G45" i="137"/>
  <c r="O45" i="137"/>
  <c r="N45" i="137"/>
  <c r="L45" i="137"/>
  <c r="Q8" i="145"/>
  <c r="M45" i="137"/>
  <c r="K45" i="137"/>
  <c r="J45" i="137"/>
  <c r="E25" i="137"/>
  <c r="E45" i="137"/>
  <c r="E69" i="183"/>
  <c r="E71" i="183"/>
  <c r="E70" i="183"/>
  <c r="E68" i="183"/>
  <c r="E73" i="183"/>
  <c r="E72" i="183"/>
  <c r="E67" i="183"/>
  <c r="I45" i="137"/>
  <c r="I25" i="137"/>
  <c r="J41" i="145"/>
  <c r="E71" i="145"/>
  <c r="E78" i="137" s="1"/>
  <c r="E41" i="145"/>
  <c r="H47" i="145"/>
  <c r="N8" i="145"/>
  <c r="I27" i="137"/>
  <c r="AA27" i="137"/>
  <c r="E27" i="137"/>
  <c r="E29" i="137"/>
  <c r="R27" i="137"/>
  <c r="P8" i="137"/>
  <c r="J27" i="137"/>
  <c r="K27" i="137"/>
  <c r="H27" i="137"/>
  <c r="S27" i="137"/>
  <c r="G27" i="137"/>
  <c r="M27" i="137"/>
  <c r="W27" i="137"/>
  <c r="Q27" i="137"/>
  <c r="X27" i="137"/>
  <c r="L27" i="137"/>
  <c r="N27" i="137"/>
  <c r="O27" i="137"/>
  <c r="U27" i="137"/>
  <c r="F27" i="137"/>
  <c r="P27" i="137"/>
  <c r="Z27" i="137"/>
  <c r="V27" i="137"/>
  <c r="P8" i="144"/>
  <c r="Y27" i="137"/>
  <c r="T27" i="137"/>
  <c r="M8" i="145"/>
  <c r="P8" i="145"/>
  <c r="M8" i="137"/>
  <c r="Q8" i="144"/>
  <c r="R8" i="144"/>
  <c r="M8" i="144"/>
  <c r="Z8" i="144"/>
  <c r="G71" i="145"/>
  <c r="G78" i="137" s="1"/>
  <c r="G23" i="145"/>
  <c r="T71" i="145"/>
  <c r="T23" i="145"/>
  <c r="J8" i="144"/>
  <c r="M71" i="145"/>
  <c r="M23" i="145"/>
  <c r="AA8" i="144"/>
  <c r="I71" i="145"/>
  <c r="I23" i="145"/>
  <c r="U71" i="145"/>
  <c r="U23" i="145"/>
  <c r="S71" i="145"/>
  <c r="S23" i="145"/>
  <c r="W71" i="145"/>
  <c r="W23" i="145"/>
  <c r="O71" i="145"/>
  <c r="O23" i="145"/>
  <c r="V71" i="145"/>
  <c r="V23" i="145"/>
  <c r="J71" i="145"/>
  <c r="J23" i="145"/>
  <c r="O8" i="144"/>
  <c r="Z71" i="145"/>
  <c r="Z23" i="145"/>
  <c r="AA71" i="145"/>
  <c r="AA23" i="145"/>
  <c r="R71" i="145"/>
  <c r="R23" i="145"/>
  <c r="F71" i="145"/>
  <c r="F23" i="145"/>
  <c r="E23" i="145"/>
  <c r="P71" i="145"/>
  <c r="P23" i="145"/>
  <c r="G8" i="144"/>
  <c r="Y71" i="145"/>
  <c r="Y23" i="145"/>
  <c r="Q71" i="145"/>
  <c r="Q23" i="145"/>
  <c r="X71" i="145"/>
  <c r="X23" i="145"/>
  <c r="L71" i="145"/>
  <c r="L23" i="145"/>
  <c r="N71" i="145"/>
  <c r="N23" i="145"/>
  <c r="H71" i="145"/>
  <c r="H23" i="145"/>
  <c r="K71" i="145"/>
  <c r="K23" i="145"/>
  <c r="L42" i="137"/>
  <c r="L43" i="137"/>
  <c r="G42" i="137"/>
  <c r="G43" i="137"/>
  <c r="N8" i="137"/>
  <c r="Q42" i="137"/>
  <c r="Q43" i="137"/>
  <c r="F42" i="137"/>
  <c r="F43" i="137"/>
  <c r="J42" i="137"/>
  <c r="J43" i="137"/>
  <c r="H29" i="137"/>
  <c r="H42" i="137"/>
  <c r="H43" i="137"/>
  <c r="P42" i="137"/>
  <c r="P43" i="137"/>
  <c r="S42" i="137"/>
  <c r="S43" i="137"/>
  <c r="W42" i="137"/>
  <c r="W43" i="137"/>
  <c r="O42" i="137"/>
  <c r="O43" i="137"/>
  <c r="V42" i="137"/>
  <c r="V43" i="137"/>
  <c r="Y42" i="137"/>
  <c r="Y43" i="137"/>
  <c r="E42" i="137"/>
  <c r="E43" i="137"/>
  <c r="N42" i="137"/>
  <c r="N43" i="137"/>
  <c r="Z42" i="137"/>
  <c r="Z43" i="137"/>
  <c r="T42" i="137"/>
  <c r="T43" i="137"/>
  <c r="AA42" i="137"/>
  <c r="AA43" i="137"/>
  <c r="U42" i="137"/>
  <c r="U43" i="137"/>
  <c r="K42" i="137"/>
  <c r="K43" i="137"/>
  <c r="M42" i="137"/>
  <c r="M43" i="137"/>
  <c r="X42" i="137"/>
  <c r="X43" i="137"/>
  <c r="I42" i="137"/>
  <c r="I43" i="137"/>
  <c r="R42" i="137"/>
  <c r="R43" i="137"/>
  <c r="G8" i="145"/>
  <c r="T38" i="145"/>
  <c r="T39" i="145"/>
  <c r="F39" i="145"/>
  <c r="F38" i="145"/>
  <c r="J39" i="145"/>
  <c r="J38" i="145"/>
  <c r="I39" i="145"/>
  <c r="I38" i="145"/>
  <c r="U38" i="145"/>
  <c r="U39" i="145"/>
  <c r="O39" i="145"/>
  <c r="O38" i="145"/>
  <c r="R38" i="145"/>
  <c r="R39" i="145"/>
  <c r="W39" i="145"/>
  <c r="W38" i="145"/>
  <c r="N39" i="145"/>
  <c r="N38" i="145"/>
  <c r="Z38" i="145"/>
  <c r="Z39" i="145"/>
  <c r="K39" i="145"/>
  <c r="K38" i="145"/>
  <c r="Y38" i="145"/>
  <c r="Y39" i="145"/>
  <c r="H38" i="145"/>
  <c r="H39" i="145"/>
  <c r="E38" i="145"/>
  <c r="E39" i="145"/>
  <c r="M38" i="145"/>
  <c r="M39" i="145"/>
  <c r="S38" i="145"/>
  <c r="S39" i="145"/>
  <c r="X38" i="145"/>
  <c r="X39" i="145"/>
  <c r="G39" i="145"/>
  <c r="G38" i="145"/>
  <c r="AA39" i="145"/>
  <c r="AA38" i="145"/>
  <c r="P39" i="145"/>
  <c r="P38" i="145"/>
  <c r="L38" i="145"/>
  <c r="L39" i="145"/>
  <c r="V39" i="145"/>
  <c r="V38" i="145"/>
  <c r="Q38" i="145"/>
  <c r="Q39" i="145"/>
  <c r="T8" i="137"/>
  <c r="J8" i="137"/>
  <c r="Z8" i="137"/>
  <c r="Z8" i="145"/>
  <c r="J8" i="145"/>
  <c r="R8" i="145"/>
  <c r="W19" i="137"/>
  <c r="R8" i="137"/>
  <c r="H8" i="137"/>
  <c r="Q8" i="137"/>
  <c r="N19" i="137"/>
  <c r="Z19" i="137"/>
  <c r="W8" i="145"/>
  <c r="E8" i="137"/>
  <c r="W8" i="144"/>
  <c r="N8" i="144"/>
  <c r="L8" i="137"/>
  <c r="Y8" i="145"/>
  <c r="K8" i="144"/>
  <c r="X8" i="145"/>
  <c r="K8" i="137"/>
  <c r="AA8" i="137"/>
  <c r="K8" i="145"/>
  <c r="X8" i="144"/>
  <c r="O8" i="137"/>
  <c r="O8" i="145"/>
  <c r="AA8" i="145"/>
  <c r="E48" i="145"/>
  <c r="E36" i="145"/>
  <c r="E29" i="145"/>
  <c r="E18" i="145"/>
  <c r="E37" i="145"/>
  <c r="E35" i="145"/>
  <c r="E21" i="145"/>
  <c r="E45" i="145"/>
  <c r="E25" i="145"/>
  <c r="E26" i="145"/>
  <c r="E47" i="145"/>
  <c r="E46" i="145"/>
  <c r="D5" i="145"/>
  <c r="D5" i="144"/>
  <c r="Y51" i="137"/>
  <c r="Y40" i="137"/>
  <c r="Y41" i="137"/>
  <c r="Y33" i="137"/>
  <c r="Y26" i="137"/>
  <c r="Y39" i="137"/>
  <c r="Y49" i="137"/>
  <c r="Y52" i="137"/>
  <c r="Y45" i="137"/>
  <c r="Y25" i="137"/>
  <c r="Y50" i="137"/>
  <c r="S26" i="145"/>
  <c r="S17" i="145"/>
  <c r="S19" i="137" s="1"/>
  <c r="S48" i="145"/>
  <c r="S45" i="145"/>
  <c r="S29" i="145"/>
  <c r="S46" i="145"/>
  <c r="S47" i="145"/>
  <c r="S41" i="145"/>
  <c r="S22" i="145"/>
  <c r="S37" i="145"/>
  <c r="S35" i="145"/>
  <c r="S36" i="145"/>
  <c r="S21" i="145"/>
  <c r="S18" i="145"/>
  <c r="S20" i="137" s="1"/>
  <c r="P33" i="137"/>
  <c r="P50" i="137"/>
  <c r="P49" i="137"/>
  <c r="P26" i="137"/>
  <c r="P45" i="137"/>
  <c r="P41" i="137"/>
  <c r="P39" i="137"/>
  <c r="P51" i="137"/>
  <c r="P52" i="137"/>
  <c r="P40" i="137"/>
  <c r="P25" i="137"/>
  <c r="H39" i="137"/>
  <c r="H49" i="137"/>
  <c r="H26" i="137"/>
  <c r="H33" i="137"/>
  <c r="H40" i="137"/>
  <c r="H50" i="137"/>
  <c r="H51" i="137"/>
  <c r="H41" i="137"/>
  <c r="H25" i="137"/>
  <c r="H52" i="137"/>
  <c r="I37" i="145"/>
  <c r="I45" i="145"/>
  <c r="I35" i="145"/>
  <c r="I29" i="145"/>
  <c r="I22" i="145"/>
  <c r="I26" i="145"/>
  <c r="I36" i="145"/>
  <c r="I47" i="145"/>
  <c r="I41" i="145"/>
  <c r="I17" i="145"/>
  <c r="I48" i="145"/>
  <c r="I21" i="145"/>
  <c r="I46" i="145"/>
  <c r="I18" i="145"/>
  <c r="I20" i="137" s="1"/>
  <c r="H8" i="144"/>
  <c r="J29" i="145"/>
  <c r="J37" i="145"/>
  <c r="J35" i="145"/>
  <c r="J21" i="145"/>
  <c r="J18" i="145"/>
  <c r="J20" i="137" s="1"/>
  <c r="J26" i="145"/>
  <c r="J36" i="145"/>
  <c r="J47" i="145"/>
  <c r="J45" i="145"/>
  <c r="J22" i="145"/>
  <c r="J17" i="145"/>
  <c r="J19" i="137" s="1"/>
  <c r="J48" i="145"/>
  <c r="J46" i="145"/>
  <c r="X8" i="137"/>
  <c r="W37" i="145"/>
  <c r="W22" i="145"/>
  <c r="W46" i="145"/>
  <c r="W47" i="145"/>
  <c r="W45" i="145"/>
  <c r="W48" i="145"/>
  <c r="W18" i="145"/>
  <c r="W20" i="137" s="1"/>
  <c r="W29" i="145"/>
  <c r="W26" i="145"/>
  <c r="W41" i="145"/>
  <c r="W36" i="145"/>
  <c r="W17" i="145"/>
  <c r="W21" i="145"/>
  <c r="W35" i="145"/>
  <c r="I50" i="137"/>
  <c r="I49" i="137"/>
  <c r="I26" i="137"/>
  <c r="I33" i="137"/>
  <c r="I40" i="137"/>
  <c r="I39" i="137"/>
  <c r="I51" i="137"/>
  <c r="I52" i="137"/>
  <c r="I41" i="137"/>
  <c r="H8" i="145"/>
  <c r="J49" i="137"/>
  <c r="J26" i="137"/>
  <c r="J41" i="137"/>
  <c r="J33" i="137"/>
  <c r="J40" i="137"/>
  <c r="J51" i="137"/>
  <c r="J39" i="137"/>
  <c r="J50" i="137"/>
  <c r="J25" i="137"/>
  <c r="J52" i="137"/>
  <c r="F8" i="137"/>
  <c r="Y8" i="144"/>
  <c r="S8" i="145"/>
  <c r="Q19" i="137"/>
  <c r="G36" i="145"/>
  <c r="G21" i="145"/>
  <c r="G45" i="145"/>
  <c r="G37" i="145"/>
  <c r="G25" i="145"/>
  <c r="G29" i="145"/>
  <c r="G48" i="145"/>
  <c r="G17" i="145"/>
  <c r="G19" i="137" s="1"/>
  <c r="G41" i="145"/>
  <c r="G47" i="145"/>
  <c r="G35" i="145"/>
  <c r="G26" i="145"/>
  <c r="G22" i="145"/>
  <c r="G46" i="145"/>
  <c r="G18" i="145"/>
  <c r="G20" i="137" s="1"/>
  <c r="W45" i="137"/>
  <c r="W40" i="137"/>
  <c r="W49" i="137"/>
  <c r="W26" i="137"/>
  <c r="W39" i="137"/>
  <c r="W52" i="137"/>
  <c r="W51" i="137"/>
  <c r="W33" i="137"/>
  <c r="W50" i="137"/>
  <c r="W41" i="137"/>
  <c r="W25" i="137"/>
  <c r="S8" i="144"/>
  <c r="K48" i="145"/>
  <c r="K18" i="145"/>
  <c r="K20" i="137" s="1"/>
  <c r="K29" i="145"/>
  <c r="K41" i="145"/>
  <c r="K26" i="145"/>
  <c r="K46" i="145"/>
  <c r="K37" i="145"/>
  <c r="K22" i="145"/>
  <c r="K36" i="145"/>
  <c r="K47" i="145"/>
  <c r="K45" i="145"/>
  <c r="K35" i="145"/>
  <c r="K17" i="145"/>
  <c r="K19" i="137" s="1"/>
  <c r="K21" i="145"/>
  <c r="G49" i="137"/>
  <c r="G26" i="137"/>
  <c r="G39" i="137"/>
  <c r="G25" i="137"/>
  <c r="G40" i="137"/>
  <c r="G33" i="137"/>
  <c r="G50" i="137"/>
  <c r="G41" i="137"/>
  <c r="G29" i="137"/>
  <c r="G51" i="137"/>
  <c r="G52" i="137"/>
  <c r="Q48" i="145"/>
  <c r="Q36" i="145"/>
  <c r="Q26" i="145"/>
  <c r="Q17" i="145"/>
  <c r="Q47" i="145"/>
  <c r="Q21" i="145"/>
  <c r="Q41" i="145"/>
  <c r="Q45" i="145"/>
  <c r="Q22" i="145"/>
  <c r="Q37" i="145"/>
  <c r="Q35" i="145"/>
  <c r="Q18" i="145"/>
  <c r="Q20" i="137" s="1"/>
  <c r="Q29" i="145"/>
  <c r="Q46" i="145"/>
  <c r="X47" i="145"/>
  <c r="X37" i="145"/>
  <c r="X21" i="145"/>
  <c r="X22" i="145"/>
  <c r="X35" i="145"/>
  <c r="X45" i="145"/>
  <c r="X41" i="145"/>
  <c r="X48" i="145"/>
  <c r="X18" i="145"/>
  <c r="X20" i="137" s="1"/>
  <c r="X29" i="145"/>
  <c r="X26" i="145"/>
  <c r="X36" i="145"/>
  <c r="X17" i="145"/>
  <c r="X19" i="137" s="1"/>
  <c r="X46" i="145"/>
  <c r="K49" i="137"/>
  <c r="K26" i="137"/>
  <c r="K41" i="137"/>
  <c r="K33" i="137"/>
  <c r="K40" i="137"/>
  <c r="K51" i="137"/>
  <c r="K39" i="137"/>
  <c r="K52" i="137"/>
  <c r="K50" i="137"/>
  <c r="K25" i="137"/>
  <c r="M35" i="145"/>
  <c r="M41" i="145"/>
  <c r="M47" i="145"/>
  <c r="M22" i="145"/>
  <c r="M36" i="145"/>
  <c r="M46" i="145"/>
  <c r="M18" i="145"/>
  <c r="M20" i="137" s="1"/>
  <c r="M26" i="145"/>
  <c r="M21" i="145"/>
  <c r="M37" i="145"/>
  <c r="M45" i="145"/>
  <c r="M48" i="145"/>
  <c r="M17" i="145"/>
  <c r="M19" i="137" s="1"/>
  <c r="M29" i="145"/>
  <c r="O33" i="137"/>
  <c r="O50" i="137"/>
  <c r="O49" i="137"/>
  <c r="O26" i="137"/>
  <c r="O41" i="137"/>
  <c r="O40" i="137"/>
  <c r="O39" i="137"/>
  <c r="O52" i="137"/>
  <c r="O51" i="137"/>
  <c r="O25" i="137"/>
  <c r="U46" i="145"/>
  <c r="U47" i="145"/>
  <c r="U22" i="145"/>
  <c r="U36" i="145"/>
  <c r="U37" i="145"/>
  <c r="U45" i="145"/>
  <c r="U29" i="145"/>
  <c r="U41" i="145"/>
  <c r="U35" i="145"/>
  <c r="U26" i="145"/>
  <c r="U48" i="145"/>
  <c r="U17" i="145"/>
  <c r="U19" i="137" s="1"/>
  <c r="U18" i="145"/>
  <c r="U20" i="137" s="1"/>
  <c r="U21" i="145"/>
  <c r="H21" i="145"/>
  <c r="H18" i="145"/>
  <c r="H20" i="137" s="1"/>
  <c r="H36" i="145"/>
  <c r="H29" i="145"/>
  <c r="H22" i="145"/>
  <c r="H37" i="145"/>
  <c r="H45" i="145"/>
  <c r="H48" i="145"/>
  <c r="H17" i="145"/>
  <c r="H19" i="137" s="1"/>
  <c r="H41" i="145"/>
  <c r="H35" i="145"/>
  <c r="H26" i="145"/>
  <c r="H46" i="145"/>
  <c r="H25" i="145"/>
  <c r="V8" i="145"/>
  <c r="V8" i="144"/>
  <c r="U8" i="144"/>
  <c r="D7" i="144"/>
  <c r="AA41" i="137"/>
  <c r="AA33" i="137"/>
  <c r="AA40" i="137"/>
  <c r="AA51" i="137"/>
  <c r="AA26" i="137"/>
  <c r="AA39" i="137"/>
  <c r="AA49" i="137"/>
  <c r="AA25" i="137"/>
  <c r="AA45" i="137"/>
  <c r="AA50" i="137"/>
  <c r="AA52" i="137"/>
  <c r="F25" i="145"/>
  <c r="F21" i="145"/>
  <c r="F37" i="145"/>
  <c r="F45" i="145"/>
  <c r="F48" i="145"/>
  <c r="F17" i="145"/>
  <c r="F19" i="137" s="1"/>
  <c r="F36" i="145"/>
  <c r="F47" i="145"/>
  <c r="F22" i="145"/>
  <c r="F35" i="145"/>
  <c r="F26" i="145"/>
  <c r="F29" i="145"/>
  <c r="F41" i="145"/>
  <c r="F46" i="145"/>
  <c r="F18" i="145"/>
  <c r="F20" i="137" s="1"/>
  <c r="F49" i="137"/>
  <c r="F26" i="137"/>
  <c r="F39" i="137"/>
  <c r="F50" i="137"/>
  <c r="F33" i="137"/>
  <c r="F41" i="137"/>
  <c r="F40" i="137"/>
  <c r="F51" i="137"/>
  <c r="F29" i="137"/>
  <c r="F25" i="137"/>
  <c r="F52" i="137"/>
  <c r="E26" i="137"/>
  <c r="E39" i="137"/>
  <c r="E33" i="137"/>
  <c r="E50" i="137"/>
  <c r="E41" i="137"/>
  <c r="E40" i="137"/>
  <c r="E51" i="137"/>
  <c r="E49" i="137"/>
  <c r="E52" i="137"/>
  <c r="X40" i="137"/>
  <c r="X49" i="137"/>
  <c r="X26" i="137"/>
  <c r="X51" i="137"/>
  <c r="X39" i="137"/>
  <c r="X45" i="137"/>
  <c r="X41" i="137"/>
  <c r="X50" i="137"/>
  <c r="X52" i="137"/>
  <c r="X25" i="137"/>
  <c r="X33" i="137"/>
  <c r="S8" i="137"/>
  <c r="M33" i="137"/>
  <c r="M49" i="137"/>
  <c r="M50" i="137"/>
  <c r="M51" i="137"/>
  <c r="M26" i="137"/>
  <c r="M40" i="137"/>
  <c r="M39" i="137"/>
  <c r="M41" i="137"/>
  <c r="M25" i="137"/>
  <c r="M52" i="137"/>
  <c r="Y35" i="145"/>
  <c r="Y41" i="145"/>
  <c r="Y47" i="145"/>
  <c r="Y46" i="145"/>
  <c r="Y21" i="145"/>
  <c r="Y17" i="145"/>
  <c r="Y19" i="137" s="1"/>
  <c r="Y26" i="145"/>
  <c r="Y22" i="145"/>
  <c r="Y37" i="145"/>
  <c r="Y48" i="145"/>
  <c r="Y45" i="145"/>
  <c r="Y18" i="145"/>
  <c r="Y20" i="137" s="1"/>
  <c r="Y29" i="145"/>
  <c r="Y36" i="145"/>
  <c r="I8" i="144"/>
  <c r="L8" i="145"/>
  <c r="L50" i="137"/>
  <c r="L49" i="137"/>
  <c r="L41" i="137"/>
  <c r="L26" i="137"/>
  <c r="L33" i="137"/>
  <c r="L40" i="137"/>
  <c r="L51" i="137"/>
  <c r="L39" i="137"/>
  <c r="L52" i="137"/>
  <c r="L25" i="137"/>
  <c r="N33" i="137"/>
  <c r="N49" i="137"/>
  <c r="N50" i="137"/>
  <c r="N51" i="137"/>
  <c r="N26" i="137"/>
  <c r="N39" i="137"/>
  <c r="N40" i="137"/>
  <c r="N25" i="137"/>
  <c r="N52" i="137"/>
  <c r="N41" i="137"/>
  <c r="F8" i="144"/>
  <c r="T21" i="145"/>
  <c r="T17" i="145"/>
  <c r="T19" i="137" s="1"/>
  <c r="T48" i="145"/>
  <c r="T45" i="145"/>
  <c r="T37" i="145"/>
  <c r="T22" i="145"/>
  <c r="T47" i="145"/>
  <c r="T26" i="145"/>
  <c r="T29" i="145"/>
  <c r="T41" i="145"/>
  <c r="T35" i="145"/>
  <c r="T36" i="145"/>
  <c r="T18" i="145"/>
  <c r="T20" i="137" s="1"/>
  <c r="T46" i="145"/>
  <c r="Z35" i="145"/>
  <c r="Z47" i="145"/>
  <c r="Z46" i="145"/>
  <c r="Z21" i="145"/>
  <c r="Z48" i="145"/>
  <c r="Z18" i="145"/>
  <c r="Z20" i="137" s="1"/>
  <c r="Z41" i="145"/>
  <c r="Z45" i="145"/>
  <c r="Z26" i="145"/>
  <c r="Z29" i="145"/>
  <c r="Z37" i="145"/>
  <c r="Z22" i="145"/>
  <c r="Z36" i="145"/>
  <c r="Z17" i="145"/>
  <c r="U8" i="145"/>
  <c r="R48" i="145"/>
  <c r="R36" i="145"/>
  <c r="R17" i="145"/>
  <c r="R19" i="137" s="1"/>
  <c r="R26" i="145"/>
  <c r="R29" i="145"/>
  <c r="R46" i="145"/>
  <c r="R45" i="145"/>
  <c r="R47" i="145"/>
  <c r="R22" i="145"/>
  <c r="R37" i="145"/>
  <c r="R41" i="145"/>
  <c r="R35" i="145"/>
  <c r="R21" i="145"/>
  <c r="R18" i="145"/>
  <c r="R20" i="137" s="1"/>
  <c r="G8" i="137"/>
  <c r="I19" i="137"/>
  <c r="Z40" i="137"/>
  <c r="Z41" i="137"/>
  <c r="Z51" i="137"/>
  <c r="Z33" i="137"/>
  <c r="Z39" i="137"/>
  <c r="Z26" i="137"/>
  <c r="Z49" i="137"/>
  <c r="Z52" i="137"/>
  <c r="Z25" i="137"/>
  <c r="Z45" i="137"/>
  <c r="Z50" i="137"/>
  <c r="I8" i="137"/>
  <c r="O19" i="137"/>
  <c r="T8" i="144"/>
  <c r="T45" i="137"/>
  <c r="T50" i="137"/>
  <c r="T41" i="137"/>
  <c r="T49" i="137"/>
  <c r="T26" i="137"/>
  <c r="T39" i="137"/>
  <c r="T40" i="137"/>
  <c r="T51" i="137"/>
  <c r="T25" i="137"/>
  <c r="T52" i="137"/>
  <c r="T33" i="137"/>
  <c r="AA22" i="145"/>
  <c r="AA26" i="145"/>
  <c r="AA18" i="145"/>
  <c r="AA20" i="137" s="1"/>
  <c r="AA21" i="145"/>
  <c r="AA41" i="145"/>
  <c r="AA35" i="145"/>
  <c r="AA47" i="145"/>
  <c r="AA48" i="145"/>
  <c r="AA45" i="145"/>
  <c r="AA29" i="145"/>
  <c r="AA37" i="145"/>
  <c r="AA36" i="145"/>
  <c r="AA17" i="145"/>
  <c r="AA19" i="137" s="1"/>
  <c r="AA46" i="145"/>
  <c r="O41" i="145"/>
  <c r="O26" i="145"/>
  <c r="O48" i="145"/>
  <c r="O35" i="145"/>
  <c r="O45" i="145"/>
  <c r="O46" i="145"/>
  <c r="O18" i="145"/>
  <c r="O20" i="137" s="1"/>
  <c r="O36" i="145"/>
  <c r="O21" i="145"/>
  <c r="O47" i="145"/>
  <c r="O22" i="145"/>
  <c r="O37" i="145"/>
  <c r="O17" i="145"/>
  <c r="O29" i="145"/>
  <c r="V18" i="145"/>
  <c r="V20" i="137" s="1"/>
  <c r="V47" i="145"/>
  <c r="V22" i="145"/>
  <c r="V46" i="145"/>
  <c r="V36" i="145"/>
  <c r="V45" i="145"/>
  <c r="V37" i="145"/>
  <c r="V26" i="145"/>
  <c r="V29" i="145"/>
  <c r="V35" i="145"/>
  <c r="V41" i="145"/>
  <c r="V48" i="145"/>
  <c r="V17" i="145"/>
  <c r="V19" i="137" s="1"/>
  <c r="V21" i="145"/>
  <c r="V40" i="137"/>
  <c r="V33" i="137"/>
  <c r="V45" i="137"/>
  <c r="V41" i="137"/>
  <c r="V49" i="137"/>
  <c r="V39" i="137"/>
  <c r="V26" i="137"/>
  <c r="V52" i="137"/>
  <c r="V50" i="137"/>
  <c r="V51" i="137"/>
  <c r="V25" i="137"/>
  <c r="U49" i="137"/>
  <c r="U45" i="137"/>
  <c r="U41" i="137"/>
  <c r="U33" i="137"/>
  <c r="U39" i="137"/>
  <c r="U50" i="137"/>
  <c r="U26" i="137"/>
  <c r="U52" i="137"/>
  <c r="U51" i="137"/>
  <c r="U40" i="137"/>
  <c r="U25" i="137"/>
  <c r="P17" i="145"/>
  <c r="P19" i="137" s="1"/>
  <c r="P48" i="145"/>
  <c r="P29" i="145"/>
  <c r="P26" i="145"/>
  <c r="P21" i="145"/>
  <c r="P46" i="145"/>
  <c r="P18" i="145"/>
  <c r="P20" i="137" s="1"/>
  <c r="P36" i="145"/>
  <c r="P41" i="145"/>
  <c r="P47" i="145"/>
  <c r="P45" i="145"/>
  <c r="P22" i="145"/>
  <c r="P37" i="145"/>
  <c r="P35" i="145"/>
  <c r="S41" i="137"/>
  <c r="S50" i="137"/>
  <c r="S26" i="137"/>
  <c r="S45" i="137"/>
  <c r="S40" i="137"/>
  <c r="S39" i="137"/>
  <c r="S51" i="137"/>
  <c r="S25" i="137"/>
  <c r="S49" i="137"/>
  <c r="S33" i="137"/>
  <c r="S52" i="137"/>
  <c r="Q49" i="137"/>
  <c r="Q33" i="137"/>
  <c r="Q50" i="137"/>
  <c r="Q26" i="137"/>
  <c r="Q41" i="137"/>
  <c r="Q45" i="137"/>
  <c r="Q40" i="137"/>
  <c r="Q51" i="137"/>
  <c r="Q25" i="137"/>
  <c r="Q52" i="137"/>
  <c r="Q39" i="137"/>
  <c r="U8" i="137"/>
  <c r="L48" i="145"/>
  <c r="L18" i="145"/>
  <c r="L20" i="137" s="1"/>
  <c r="L41" i="145"/>
  <c r="L26" i="145"/>
  <c r="L46" i="145"/>
  <c r="L22" i="145"/>
  <c r="L29" i="145"/>
  <c r="L36" i="145"/>
  <c r="L21" i="145"/>
  <c r="L47" i="145"/>
  <c r="L37" i="145"/>
  <c r="L45" i="145"/>
  <c r="L35" i="145"/>
  <c r="L17" i="145"/>
  <c r="L19" i="137" s="1"/>
  <c r="I8" i="145"/>
  <c r="N41" i="145"/>
  <c r="N22" i="145"/>
  <c r="N35" i="145"/>
  <c r="N45" i="145"/>
  <c r="N46" i="145"/>
  <c r="N18" i="145"/>
  <c r="N20" i="137" s="1"/>
  <c r="N26" i="145"/>
  <c r="N36" i="145"/>
  <c r="N21" i="145"/>
  <c r="N47" i="145"/>
  <c r="N37" i="145"/>
  <c r="N48" i="145"/>
  <c r="N17" i="145"/>
  <c r="N29" i="145"/>
  <c r="V8" i="137"/>
  <c r="F8" i="145"/>
  <c r="L8" i="144"/>
  <c r="D7" i="136"/>
  <c r="T8" i="145"/>
  <c r="W8" i="137"/>
  <c r="E8" i="145"/>
  <c r="D7" i="145"/>
  <c r="R50" i="137"/>
  <c r="R26" i="137"/>
  <c r="R41" i="137"/>
  <c r="R45" i="137"/>
  <c r="R40" i="137"/>
  <c r="R39" i="137"/>
  <c r="R33" i="137"/>
  <c r="R25" i="137"/>
  <c r="R49" i="137"/>
  <c r="R51" i="137"/>
  <c r="R52" i="137"/>
  <c r="Y8" i="137"/>
  <c r="D5" i="137"/>
  <c r="D30" i="137" s="1"/>
  <c r="S16" i="21" s="1"/>
  <c r="L137" i="21" s="1"/>
  <c r="D7" i="137"/>
  <c r="W78" i="137" l="1"/>
  <c r="W32" i="137" s="1"/>
  <c r="F78" i="137"/>
  <c r="F32" i="137" s="1"/>
  <c r="H78" i="137"/>
  <c r="H32" i="137" s="1"/>
  <c r="S78" i="137"/>
  <c r="S32" i="137" s="1"/>
  <c r="Q78" i="137"/>
  <c r="Q32" i="137" s="1"/>
  <c r="M78" i="137"/>
  <c r="M32" i="137" s="1"/>
  <c r="Y78" i="137"/>
  <c r="Y32" i="137" s="1"/>
  <c r="D65" i="137"/>
  <c r="P78" i="137"/>
  <c r="P32" i="137" s="1"/>
  <c r="AA78" i="137"/>
  <c r="AA32" i="137" s="1"/>
  <c r="I78" i="137"/>
  <c r="I32" i="137" s="1"/>
  <c r="U78" i="137"/>
  <c r="U32" i="137" s="1"/>
  <c r="L78" i="137"/>
  <c r="L32" i="137" s="1"/>
  <c r="R78" i="137"/>
  <c r="R32" i="137" s="1"/>
  <c r="Z78" i="137"/>
  <c r="Z32" i="137" s="1"/>
  <c r="T78" i="137"/>
  <c r="T32" i="137" s="1"/>
  <c r="E19" i="137"/>
  <c r="D19" i="137" s="1"/>
  <c r="J78" i="137"/>
  <c r="J32" i="137" s="1"/>
  <c r="X78" i="137"/>
  <c r="X32" i="137" s="1"/>
  <c r="V78" i="137"/>
  <c r="V32" i="137" s="1"/>
  <c r="O78" i="137"/>
  <c r="O32" i="137" s="1"/>
  <c r="N78" i="137"/>
  <c r="N32" i="137" s="1"/>
  <c r="K78" i="137"/>
  <c r="K32" i="137" s="1"/>
  <c r="D66" i="137"/>
  <c r="E20" i="137"/>
  <c r="D20" i="137" s="1"/>
  <c r="M13" i="136"/>
  <c r="N11" i="173"/>
  <c r="M11" i="173"/>
  <c r="U11" i="173"/>
  <c r="Z11" i="173"/>
  <c r="L11" i="173"/>
  <c r="V13" i="136"/>
  <c r="U13" i="136"/>
  <c r="T13" i="136"/>
  <c r="S13" i="136"/>
  <c r="T11" i="173"/>
  <c r="S11" i="173"/>
  <c r="AA13" i="136"/>
  <c r="R11" i="173"/>
  <c r="Z13" i="136"/>
  <c r="Q11" i="173"/>
  <c r="Y13" i="136"/>
  <c r="O11" i="173"/>
  <c r="X13" i="136"/>
  <c r="K11" i="173"/>
  <c r="J11" i="173"/>
  <c r="G13" i="136"/>
  <c r="I11" i="173"/>
  <c r="F13" i="136"/>
  <c r="K13" i="136"/>
  <c r="G32" i="137"/>
  <c r="G28" i="145"/>
  <c r="D25" i="137"/>
  <c r="U28" i="145"/>
  <c r="E28" i="145"/>
  <c r="Z28" i="145"/>
  <c r="Q28" i="145"/>
  <c r="AA28" i="145"/>
  <c r="H28" i="145"/>
  <c r="N28" i="145"/>
  <c r="X28" i="145"/>
  <c r="L28" i="145"/>
  <c r="P28" i="145"/>
  <c r="T28" i="145"/>
  <c r="W28" i="145"/>
  <c r="R28" i="145"/>
  <c r="S28" i="145"/>
  <c r="D27" i="137"/>
  <c r="S13" i="21" s="1"/>
  <c r="L135" i="21" s="1"/>
  <c r="D23" i="145"/>
  <c r="E32" i="137"/>
  <c r="J28" i="145"/>
  <c r="D71" i="145"/>
  <c r="O28" i="145"/>
  <c r="V28" i="145"/>
  <c r="F28" i="145"/>
  <c r="K28" i="145"/>
  <c r="M28" i="145"/>
  <c r="I28" i="145"/>
  <c r="Y28" i="145"/>
  <c r="D43" i="137"/>
  <c r="S29" i="21" s="1"/>
  <c r="L126" i="21" s="1"/>
  <c r="D42" i="137"/>
  <c r="S28" i="21" s="1"/>
  <c r="D39" i="145"/>
  <c r="D38" i="145"/>
  <c r="D37" i="145"/>
  <c r="D35" i="145"/>
  <c r="D47" i="145"/>
  <c r="D8" i="144"/>
  <c r="D17" i="145"/>
  <c r="D21" i="145"/>
  <c r="D22" i="145"/>
  <c r="D45" i="145"/>
  <c r="D8" i="145"/>
  <c r="D18" i="145"/>
  <c r="D46" i="145"/>
  <c r="D29" i="145"/>
  <c r="D48" i="145"/>
  <c r="D26" i="145"/>
  <c r="D36" i="145"/>
  <c r="D39" i="137"/>
  <c r="S25" i="21" s="1"/>
  <c r="L124" i="21" s="1"/>
  <c r="D51" i="137"/>
  <c r="D41" i="145"/>
  <c r="D26" i="137"/>
  <c r="D52" i="137"/>
  <c r="D45" i="137"/>
  <c r="S31" i="21" s="1"/>
  <c r="D41" i="137"/>
  <c r="S27" i="21" s="1"/>
  <c r="D40" i="137"/>
  <c r="S26" i="21" s="1"/>
  <c r="D33" i="137"/>
  <c r="D50" i="137"/>
  <c r="D49" i="137"/>
  <c r="D8" i="137"/>
  <c r="F17" i="134"/>
  <c r="F8" i="152" s="1"/>
  <c r="E17" i="134"/>
  <c r="D17" i="134"/>
  <c r="D8" i="152" s="1"/>
  <c r="B95" i="134"/>
  <c r="B71" i="134"/>
  <c r="G51" i="134"/>
  <c r="B65" i="134" s="1"/>
  <c r="F51" i="134"/>
  <c r="A83" i="134" s="1"/>
  <c r="B83" i="134" s="1"/>
  <c r="E51" i="134"/>
  <c r="A89" i="134" s="1"/>
  <c r="B89" i="134" s="1"/>
  <c r="D51" i="134"/>
  <c r="A77" i="134" s="1"/>
  <c r="B77" i="134" s="1"/>
  <c r="I51" i="134"/>
  <c r="A107" i="134" s="1"/>
  <c r="B107" i="134" s="1"/>
  <c r="H51" i="134"/>
  <c r="A101" i="134" s="1"/>
  <c r="B101" i="134" s="1"/>
  <c r="K6" i="135"/>
  <c r="L6" i="135"/>
  <c r="M6" i="135"/>
  <c r="N6" i="135"/>
  <c r="O6" i="135"/>
  <c r="P6" i="135"/>
  <c r="Q6" i="135"/>
  <c r="R6" i="135"/>
  <c r="S6" i="135"/>
  <c r="T6" i="135"/>
  <c r="U6" i="135"/>
  <c r="V6" i="135"/>
  <c r="W6" i="135"/>
  <c r="X6" i="135"/>
  <c r="Y6" i="135"/>
  <c r="Z6" i="135"/>
  <c r="AA6" i="135"/>
  <c r="AB6" i="135"/>
  <c r="AC6" i="135"/>
  <c r="AD6" i="135"/>
  <c r="AE6" i="135"/>
  <c r="AF6" i="135"/>
  <c r="J6" i="135"/>
  <c r="K5" i="135"/>
  <c r="L5" i="135"/>
  <c r="M5" i="135"/>
  <c r="N5" i="135"/>
  <c r="O5" i="135"/>
  <c r="P5" i="135"/>
  <c r="Q5" i="135"/>
  <c r="R5" i="135"/>
  <c r="S5" i="135"/>
  <c r="T5" i="135"/>
  <c r="U5" i="135"/>
  <c r="V5" i="135"/>
  <c r="W5" i="135"/>
  <c r="X5" i="135"/>
  <c r="Y5" i="135"/>
  <c r="Z5" i="135"/>
  <c r="AA5" i="135"/>
  <c r="AB5" i="135"/>
  <c r="AC5" i="135"/>
  <c r="AD5" i="135"/>
  <c r="AE5" i="135"/>
  <c r="AF5" i="135"/>
  <c r="J5" i="135"/>
  <c r="K4" i="135"/>
  <c r="L4" i="135"/>
  <c r="M4" i="135"/>
  <c r="N4" i="135"/>
  <c r="O4" i="135"/>
  <c r="P4" i="135"/>
  <c r="Q4" i="135"/>
  <c r="R4" i="135"/>
  <c r="S4" i="135"/>
  <c r="T4" i="135"/>
  <c r="U4" i="135"/>
  <c r="V4" i="135"/>
  <c r="W4" i="135"/>
  <c r="X4" i="135"/>
  <c r="Y4" i="135"/>
  <c r="Z4" i="135"/>
  <c r="AA4" i="135"/>
  <c r="AB4" i="135"/>
  <c r="AC4" i="135"/>
  <c r="AD4" i="135"/>
  <c r="AE4" i="135"/>
  <c r="AF4" i="135"/>
  <c r="J4" i="135"/>
  <c r="L125" i="21" l="1"/>
  <c r="F6" i="135"/>
  <c r="F5" i="135"/>
  <c r="F4" i="135"/>
  <c r="D20" i="183"/>
  <c r="D16" i="183"/>
  <c r="S11" i="21"/>
  <c r="L133" i="21" s="1"/>
  <c r="D23" i="183"/>
  <c r="G23" i="183" s="1"/>
  <c r="F6" i="183" s="1"/>
  <c r="F18" i="183" s="1"/>
  <c r="S19" i="21"/>
  <c r="L139" i="21" s="1"/>
  <c r="D56" i="183"/>
  <c r="D17" i="183"/>
  <c r="S12" i="21"/>
  <c r="L134" i="21" s="1"/>
  <c r="D11" i="183"/>
  <c r="S8" i="21"/>
  <c r="L132" i="21" s="1"/>
  <c r="D10" i="183"/>
  <c r="S7" i="21"/>
  <c r="L131" i="21" s="1"/>
  <c r="P11" i="173"/>
  <c r="J13" i="136"/>
  <c r="E8" i="152"/>
  <c r="E7" i="152"/>
  <c r="E10" i="152" s="1"/>
  <c r="T7" i="135"/>
  <c r="T162" i="135" s="1" a="1"/>
  <c r="T162" i="135" s="1"/>
  <c r="S7" i="135"/>
  <c r="S161" i="135" s="1" a="1"/>
  <c r="S161" i="135" s="1"/>
  <c r="D32" i="137"/>
  <c r="D78" i="137"/>
  <c r="R13" i="136"/>
  <c r="I13" i="136"/>
  <c r="X11" i="173"/>
  <c r="Y11" i="173"/>
  <c r="W13" i="136"/>
  <c r="W11" i="173"/>
  <c r="AC11" i="173"/>
  <c r="AD11" i="173"/>
  <c r="P13" i="136"/>
  <c r="Q13" i="136"/>
  <c r="V11" i="173"/>
  <c r="N13" i="136"/>
  <c r="O13" i="136"/>
  <c r="V7" i="135"/>
  <c r="V158" i="135" s="1" a="1"/>
  <c r="V158" i="135" s="1"/>
  <c r="U7" i="135"/>
  <c r="U159" i="135" s="1" a="1"/>
  <c r="U159" i="135" s="1"/>
  <c r="H13" i="136"/>
  <c r="AB11" i="173"/>
  <c r="AA11" i="173"/>
  <c r="L13" i="136"/>
  <c r="E13" i="136"/>
  <c r="H11" i="173"/>
  <c r="G20" i="183"/>
  <c r="F7" i="152"/>
  <c r="F10" i="152" s="1"/>
  <c r="D7" i="152"/>
  <c r="D10" i="152" s="1"/>
  <c r="AB7" i="135"/>
  <c r="AB160" i="135" s="1" a="1"/>
  <c r="AB160" i="135" s="1"/>
  <c r="Z7" i="135"/>
  <c r="Z163" i="135" s="1" a="1"/>
  <c r="Z163" i="135" s="1"/>
  <c r="AA7" i="135"/>
  <c r="AA152" i="135" s="1" a="1"/>
  <c r="AA152" i="135" s="1"/>
  <c r="Y7" i="135"/>
  <c r="Y154" i="135" s="1" a="1"/>
  <c r="Y154" i="135" s="1"/>
  <c r="X7" i="135"/>
  <c r="X155" i="135" s="1" a="1"/>
  <c r="X155" i="135" s="1"/>
  <c r="W7" i="135"/>
  <c r="W161" i="135" s="1" a="1"/>
  <c r="W161" i="135" s="1"/>
  <c r="D28" i="145"/>
  <c r="R7" i="135"/>
  <c r="R159" i="135" s="1" a="1"/>
  <c r="R159" i="135" s="1"/>
  <c r="Q7" i="135"/>
  <c r="Q160" i="135" s="1" a="1"/>
  <c r="Q160" i="135" s="1"/>
  <c r="P7" i="135"/>
  <c r="K7" i="135"/>
  <c r="AF7" i="135"/>
  <c r="AE7" i="135"/>
  <c r="M7" i="135"/>
  <c r="J7" i="135"/>
  <c r="AD7" i="135"/>
  <c r="O7" i="135"/>
  <c r="O155" i="135" s="1" a="1"/>
  <c r="O155" i="135" s="1"/>
  <c r="N7" i="135"/>
  <c r="L7" i="135"/>
  <c r="AC7" i="135"/>
  <c r="Q109" i="134"/>
  <c r="Q79" i="134"/>
  <c r="Q91" i="134"/>
  <c r="Q103" i="134"/>
  <c r="Q97" i="134"/>
  <c r="Q98" i="134" s="1"/>
  <c r="Q85" i="134"/>
  <c r="Q73" i="134"/>
  <c r="Q67" i="134"/>
  <c r="X97" i="134"/>
  <c r="X98" i="134" s="1"/>
  <c r="X79" i="134"/>
  <c r="X73" i="134"/>
  <c r="X74" i="134" s="1"/>
  <c r="X109" i="134"/>
  <c r="X110" i="134" s="1"/>
  <c r="X91" i="134"/>
  <c r="X85" i="134"/>
  <c r="X67" i="134"/>
  <c r="X103" i="134"/>
  <c r="X104" i="134" s="1"/>
  <c r="AB91" i="134"/>
  <c r="AB79" i="134"/>
  <c r="AB67" i="134"/>
  <c r="AB97" i="134"/>
  <c r="AB98" i="134" s="1"/>
  <c r="AB85" i="134"/>
  <c r="AB109" i="134"/>
  <c r="AB110" i="134" s="1"/>
  <c r="AB103" i="134"/>
  <c r="AB104" i="134" s="1"/>
  <c r="AB73" i="134"/>
  <c r="AB74" i="134" s="1"/>
  <c r="AD97" i="134"/>
  <c r="AD98" i="134" s="1"/>
  <c r="AD79" i="134"/>
  <c r="AD91" i="134"/>
  <c r="AD103" i="134"/>
  <c r="AD104" i="134" s="1"/>
  <c r="AD73" i="134"/>
  <c r="AD74" i="134" s="1"/>
  <c r="AD67" i="134"/>
  <c r="AD85" i="134"/>
  <c r="AD109" i="134"/>
  <c r="AD110" i="134" s="1"/>
  <c r="AF97" i="134"/>
  <c r="AF98" i="134" s="1"/>
  <c r="AF91" i="134"/>
  <c r="AF79" i="134"/>
  <c r="AF109" i="134"/>
  <c r="AF110" i="134" s="1"/>
  <c r="AF73" i="134"/>
  <c r="AF74" i="134" s="1"/>
  <c r="AF103" i="134"/>
  <c r="AF104" i="134" s="1"/>
  <c r="AF67" i="134"/>
  <c r="AF85" i="134"/>
  <c r="AH91" i="134"/>
  <c r="AH103" i="134"/>
  <c r="AH104" i="134" s="1"/>
  <c r="AH109" i="134"/>
  <c r="AH110" i="134" s="1"/>
  <c r="AH67" i="134"/>
  <c r="AH73" i="134"/>
  <c r="AH74" i="134" s="1"/>
  <c r="AH97" i="134"/>
  <c r="AH98" i="134" s="1"/>
  <c r="AH79" i="134"/>
  <c r="AH85" i="134"/>
  <c r="AJ97" i="134"/>
  <c r="AJ98" i="134" s="1"/>
  <c r="AJ67" i="134"/>
  <c r="AJ91" i="134"/>
  <c r="AJ73" i="134"/>
  <c r="AJ74" i="134" s="1"/>
  <c r="AJ109" i="134"/>
  <c r="AJ110" i="134" s="1"/>
  <c r="AJ79" i="134"/>
  <c r="AJ103" i="134"/>
  <c r="AJ104" i="134" s="1"/>
  <c r="AJ85" i="134"/>
  <c r="AM97" i="134"/>
  <c r="AM98" i="134" s="1"/>
  <c r="AM109" i="134"/>
  <c r="AM110" i="134" s="1"/>
  <c r="AM91" i="134"/>
  <c r="AM92" i="134" s="1"/>
  <c r="AM67" i="134"/>
  <c r="AM68" i="134" s="1"/>
  <c r="AM103" i="134"/>
  <c r="AM104" i="134" s="1"/>
  <c r="AM79" i="134"/>
  <c r="AM80" i="134" s="1"/>
  <c r="AM73" i="134"/>
  <c r="AM74" i="134" s="1"/>
  <c r="AM85" i="134"/>
  <c r="AM86" i="134" s="1"/>
  <c r="J103" i="134"/>
  <c r="J104" i="134" s="1"/>
  <c r="J85" i="134"/>
  <c r="J91" i="134"/>
  <c r="J79" i="134"/>
  <c r="J73" i="134"/>
  <c r="J109" i="134"/>
  <c r="J110" i="134" s="1"/>
  <c r="J67" i="134"/>
  <c r="J97" i="134"/>
  <c r="P79" i="134"/>
  <c r="P67" i="134"/>
  <c r="P109" i="134"/>
  <c r="P103" i="134"/>
  <c r="P91" i="134"/>
  <c r="P85" i="134"/>
  <c r="P73" i="134"/>
  <c r="P97" i="134"/>
  <c r="P98" i="134" s="1"/>
  <c r="S91" i="134"/>
  <c r="S79" i="134"/>
  <c r="S67" i="134"/>
  <c r="S73" i="134"/>
  <c r="S109" i="134"/>
  <c r="S103" i="134"/>
  <c r="S97" i="134"/>
  <c r="S98" i="134" s="1"/>
  <c r="S85" i="134"/>
  <c r="U79" i="134"/>
  <c r="U97" i="134"/>
  <c r="U98" i="134" s="1"/>
  <c r="U91" i="134"/>
  <c r="U67" i="134"/>
  <c r="U103" i="134"/>
  <c r="U109" i="134"/>
  <c r="U73" i="134"/>
  <c r="U85" i="134"/>
  <c r="V109" i="134"/>
  <c r="V110" i="134" s="1"/>
  <c r="V79" i="134"/>
  <c r="V97" i="134"/>
  <c r="V98" i="134" s="1"/>
  <c r="V91" i="134"/>
  <c r="V67" i="134"/>
  <c r="V103" i="134"/>
  <c r="V104" i="134" s="1"/>
  <c r="V73" i="134"/>
  <c r="V85" i="134"/>
  <c r="W91" i="134"/>
  <c r="W97" i="134"/>
  <c r="W98" i="134" s="1"/>
  <c r="W79" i="134"/>
  <c r="W109" i="134"/>
  <c r="W110" i="134" s="1"/>
  <c r="W103" i="134"/>
  <c r="W104" i="134" s="1"/>
  <c r="W67" i="134"/>
  <c r="W85" i="134"/>
  <c r="W73" i="134"/>
  <c r="W74" i="134" s="1"/>
  <c r="Y73" i="134"/>
  <c r="Y74" i="134" s="1"/>
  <c r="Y91" i="134"/>
  <c r="Y109" i="134"/>
  <c r="Y110" i="134" s="1"/>
  <c r="Y85" i="134"/>
  <c r="Y103" i="134"/>
  <c r="Y104" i="134" s="1"/>
  <c r="Y67" i="134"/>
  <c r="Y97" i="134"/>
  <c r="Y98" i="134" s="1"/>
  <c r="Y79" i="134"/>
  <c r="AI67" i="134"/>
  <c r="AI91" i="134"/>
  <c r="AI103" i="134"/>
  <c r="AI104" i="134" s="1"/>
  <c r="AI73" i="134"/>
  <c r="AI74" i="134" s="1"/>
  <c r="AI109" i="134"/>
  <c r="AI110" i="134" s="1"/>
  <c r="AI97" i="134"/>
  <c r="AI98" i="134" s="1"/>
  <c r="AI79" i="134"/>
  <c r="AI85" i="134"/>
  <c r="AL97" i="134"/>
  <c r="AL98" i="134" s="1"/>
  <c r="AL91" i="134"/>
  <c r="AL79" i="134"/>
  <c r="AL67" i="134"/>
  <c r="AL103" i="134"/>
  <c r="AL104" i="134" s="1"/>
  <c r="AL73" i="134"/>
  <c r="AL74" i="134" s="1"/>
  <c r="AL109" i="134"/>
  <c r="AL110" i="134" s="1"/>
  <c r="AL85" i="134"/>
  <c r="K103" i="134"/>
  <c r="K104" i="134" s="1"/>
  <c r="K91" i="134"/>
  <c r="K79" i="134"/>
  <c r="K85" i="134"/>
  <c r="K97" i="134"/>
  <c r="K67" i="134"/>
  <c r="K73" i="134"/>
  <c r="K109" i="134"/>
  <c r="K110" i="134" s="1"/>
  <c r="R67" i="134"/>
  <c r="R91" i="134"/>
  <c r="R79" i="134"/>
  <c r="R103" i="134"/>
  <c r="R109" i="134"/>
  <c r="R73" i="134"/>
  <c r="R85" i="134"/>
  <c r="R97" i="134"/>
  <c r="R98" i="134" s="1"/>
  <c r="T91" i="134"/>
  <c r="T79" i="134"/>
  <c r="T67" i="134"/>
  <c r="T109" i="134"/>
  <c r="T103" i="134"/>
  <c r="T85" i="134"/>
  <c r="T97" i="134"/>
  <c r="T98" i="134" s="1"/>
  <c r="T73" i="134"/>
  <c r="Z91" i="134"/>
  <c r="Z73" i="134"/>
  <c r="Z74" i="134" s="1"/>
  <c r="Z109" i="134"/>
  <c r="Z110" i="134" s="1"/>
  <c r="Z67" i="134"/>
  <c r="Z103" i="134"/>
  <c r="Z104" i="134" s="1"/>
  <c r="Z79" i="134"/>
  <c r="Z97" i="134"/>
  <c r="Z98" i="134" s="1"/>
  <c r="Z85" i="134"/>
  <c r="F85" i="134"/>
  <c r="F86" i="134" s="1"/>
  <c r="F79" i="134"/>
  <c r="F80" i="134" s="1"/>
  <c r="F67" i="134"/>
  <c r="F68" i="134" s="1"/>
  <c r="F109" i="134"/>
  <c r="F110" i="134" s="1"/>
  <c r="F97" i="134"/>
  <c r="F98" i="134" s="1"/>
  <c r="F73" i="134"/>
  <c r="F74" i="134" s="1"/>
  <c r="F91" i="134"/>
  <c r="F92" i="134" s="1"/>
  <c r="F103" i="134"/>
  <c r="F104" i="134" s="1"/>
  <c r="L79" i="134"/>
  <c r="L91" i="134"/>
  <c r="L85" i="134"/>
  <c r="L73" i="134"/>
  <c r="L103" i="134"/>
  <c r="L104" i="134" s="1"/>
  <c r="L67" i="134"/>
  <c r="L97" i="134"/>
  <c r="L109" i="134"/>
  <c r="L110" i="134" s="1"/>
  <c r="O79" i="134"/>
  <c r="O67" i="134"/>
  <c r="O91" i="134"/>
  <c r="O109" i="134"/>
  <c r="O85" i="134"/>
  <c r="O103" i="134"/>
  <c r="O97" i="134"/>
  <c r="O98" i="134" s="1"/>
  <c r="O73" i="134"/>
  <c r="AA91" i="134"/>
  <c r="AA79" i="134"/>
  <c r="AA103" i="134"/>
  <c r="AA104" i="134" s="1"/>
  <c r="AA97" i="134"/>
  <c r="AA98" i="134" s="1"/>
  <c r="AA67" i="134"/>
  <c r="AA73" i="134"/>
  <c r="AA74" i="134" s="1"/>
  <c r="AA109" i="134"/>
  <c r="AA110" i="134" s="1"/>
  <c r="AA85" i="134"/>
  <c r="AC97" i="134"/>
  <c r="AC98" i="134" s="1"/>
  <c r="AC79" i="134"/>
  <c r="AC91" i="134"/>
  <c r="AC85" i="134"/>
  <c r="AC73" i="134"/>
  <c r="AC74" i="134" s="1"/>
  <c r="AC103" i="134"/>
  <c r="AC104" i="134" s="1"/>
  <c r="AC67" i="134"/>
  <c r="AC109" i="134"/>
  <c r="AC110" i="134" s="1"/>
  <c r="AE97" i="134"/>
  <c r="AE98" i="134" s="1"/>
  <c r="AE79" i="134"/>
  <c r="AE67" i="134"/>
  <c r="AE103" i="134"/>
  <c r="AE104" i="134" s="1"/>
  <c r="AE91" i="134"/>
  <c r="AE73" i="134"/>
  <c r="AE74" i="134" s="1"/>
  <c r="AE109" i="134"/>
  <c r="AE110" i="134" s="1"/>
  <c r="AE85" i="134"/>
  <c r="AG91" i="134"/>
  <c r="AG103" i="134"/>
  <c r="AG104" i="134" s="1"/>
  <c r="AG97" i="134"/>
  <c r="AG98" i="134" s="1"/>
  <c r="AG73" i="134"/>
  <c r="AG74" i="134" s="1"/>
  <c r="AG67" i="134"/>
  <c r="AG109" i="134"/>
  <c r="AG110" i="134" s="1"/>
  <c r="AG79" i="134"/>
  <c r="AG85" i="134"/>
  <c r="E67" i="134"/>
  <c r="E68" i="134" s="1"/>
  <c r="E86" i="134"/>
  <c r="E79" i="134"/>
  <c r="E80" i="134" s="1"/>
  <c r="E97" i="134"/>
  <c r="E98" i="134" s="1"/>
  <c r="E73" i="134"/>
  <c r="E74" i="134" s="1"/>
  <c r="E103" i="134"/>
  <c r="E104" i="134" s="1"/>
  <c r="E91" i="134"/>
  <c r="E92" i="134" s="1"/>
  <c r="E109" i="134"/>
  <c r="E110" i="134" s="1"/>
  <c r="M79" i="134"/>
  <c r="M91" i="134"/>
  <c r="M85" i="134"/>
  <c r="M97" i="134"/>
  <c r="M98" i="134" s="1"/>
  <c r="M67" i="134"/>
  <c r="M73" i="134"/>
  <c r="M109" i="134"/>
  <c r="M110" i="134" s="1"/>
  <c r="M103" i="134"/>
  <c r="M104" i="134" s="1"/>
  <c r="D103" i="134"/>
  <c r="D104" i="134" s="1"/>
  <c r="D67" i="134"/>
  <c r="D68" i="134" s="1"/>
  <c r="D91" i="134"/>
  <c r="D92" i="134" s="1"/>
  <c r="D79" i="134"/>
  <c r="D80" i="134" s="1"/>
  <c r="D86" i="134"/>
  <c r="D109" i="134"/>
  <c r="D110" i="134" s="1"/>
  <c r="D73" i="134"/>
  <c r="D74" i="134" s="1"/>
  <c r="D97" i="134"/>
  <c r="D98" i="134" s="1"/>
  <c r="AK97" i="134"/>
  <c r="AK98" i="134" s="1"/>
  <c r="AK67" i="134"/>
  <c r="AK91" i="134"/>
  <c r="AK109" i="134"/>
  <c r="AK110" i="134" s="1"/>
  <c r="AK73" i="134"/>
  <c r="AK74" i="134" s="1"/>
  <c r="AK79" i="134"/>
  <c r="AK103" i="134"/>
  <c r="AK104" i="134" s="1"/>
  <c r="AK85" i="134"/>
  <c r="G97" i="134"/>
  <c r="G98" i="134" s="1"/>
  <c r="G73" i="134"/>
  <c r="G74" i="134" s="1"/>
  <c r="G85" i="134"/>
  <c r="G86" i="134" s="1"/>
  <c r="G79" i="134"/>
  <c r="G80" i="134" s="1"/>
  <c r="G67" i="134"/>
  <c r="G68" i="134" s="1"/>
  <c r="G109" i="134"/>
  <c r="G110" i="134" s="1"/>
  <c r="G91" i="134"/>
  <c r="G92" i="134" s="1"/>
  <c r="G103" i="134"/>
  <c r="G104" i="134" s="1"/>
  <c r="H109" i="134"/>
  <c r="H110" i="134" s="1"/>
  <c r="H73" i="134"/>
  <c r="H103" i="134"/>
  <c r="H104" i="134" s="1"/>
  <c r="H79" i="134"/>
  <c r="H85" i="134"/>
  <c r="I109" i="134"/>
  <c r="I110" i="134" s="1"/>
  <c r="I103" i="134"/>
  <c r="I104" i="134" s="1"/>
  <c r="I91" i="134"/>
  <c r="I73" i="134"/>
  <c r="I79" i="134"/>
  <c r="I97" i="134"/>
  <c r="I85" i="134"/>
  <c r="N91" i="134"/>
  <c r="N79" i="134"/>
  <c r="N85" i="134"/>
  <c r="N103" i="134"/>
  <c r="N109" i="134"/>
  <c r="N67" i="134"/>
  <c r="N73" i="134"/>
  <c r="N97" i="134"/>
  <c r="N98" i="134" s="1"/>
  <c r="F23" i="134"/>
  <c r="D23" i="134"/>
  <c r="E23" i="134"/>
  <c r="D54" i="183" l="1"/>
  <c r="D13" i="136"/>
  <c r="D22" i="183"/>
  <c r="G22" i="183" s="1"/>
  <c r="S18" i="21"/>
  <c r="L138" i="21" s="1"/>
  <c r="F7" i="135"/>
  <c r="T154" i="135" a="1"/>
  <c r="T154" i="135" s="1"/>
  <c r="S158" i="135" a="1"/>
  <c r="S158" i="135" s="1"/>
  <c r="T161" i="135" a="1"/>
  <c r="T161" i="135" s="1"/>
  <c r="T158" i="135" a="1"/>
  <c r="T158" i="135" s="1"/>
  <c r="S152" i="135" a="1"/>
  <c r="S152" i="135" s="1"/>
  <c r="S162" i="135" a="1"/>
  <c r="S162" i="135" s="1"/>
  <c r="S153" i="135" a="1"/>
  <c r="S153" i="135" s="1"/>
  <c r="S160" i="135" a="1"/>
  <c r="S160" i="135" s="1"/>
  <c r="S155" i="135" a="1"/>
  <c r="S155" i="135" s="1"/>
  <c r="S163" i="135" a="1"/>
  <c r="S163" i="135" s="1"/>
  <c r="S154" i="135" a="1"/>
  <c r="S154" i="135" s="1"/>
  <c r="S156" i="135" a="1"/>
  <c r="S156" i="135" s="1"/>
  <c r="S159" i="135" a="1"/>
  <c r="S159" i="135" s="1"/>
  <c r="T159" i="135" a="1"/>
  <c r="T159" i="135" s="1"/>
  <c r="T153" i="135" a="1"/>
  <c r="T153" i="135" s="1"/>
  <c r="T152" i="135" a="1"/>
  <c r="T152" i="135" s="1"/>
  <c r="T156" i="135" a="1"/>
  <c r="T156" i="135" s="1"/>
  <c r="T163" i="135" a="1"/>
  <c r="T163" i="135" s="1"/>
  <c r="T160" i="135" a="1"/>
  <c r="T160" i="135" s="1"/>
  <c r="T155" i="135" a="1"/>
  <c r="T155" i="135" s="1"/>
  <c r="X163" i="135" a="1"/>
  <c r="X163" i="135" s="1"/>
  <c r="V160" i="135" a="1"/>
  <c r="V160" i="135" s="1"/>
  <c r="V152" i="135" a="1"/>
  <c r="V152" i="135" s="1"/>
  <c r="V156" i="135" a="1"/>
  <c r="V156" i="135" s="1"/>
  <c r="V161" i="135" a="1"/>
  <c r="V161" i="135" s="1"/>
  <c r="V159" i="135" a="1"/>
  <c r="V159" i="135" s="1"/>
  <c r="U158" i="135" a="1"/>
  <c r="U158" i="135" s="1"/>
  <c r="U155" i="135" a="1"/>
  <c r="U155" i="135" s="1"/>
  <c r="U160" i="135" a="1"/>
  <c r="U160" i="135" s="1"/>
  <c r="U162" i="135" a="1"/>
  <c r="U162" i="135" s="1"/>
  <c r="U153" i="135" a="1"/>
  <c r="U153" i="135" s="1"/>
  <c r="U163" i="135" a="1"/>
  <c r="U163" i="135" s="1"/>
  <c r="U154" i="135" a="1"/>
  <c r="U154" i="135" s="1"/>
  <c r="E11" i="173"/>
  <c r="V162" i="135" a="1"/>
  <c r="V162" i="135" s="1"/>
  <c r="V153" i="135" a="1"/>
  <c r="V153" i="135" s="1"/>
  <c r="U161" i="135" a="1"/>
  <c r="U161" i="135" s="1"/>
  <c r="V155" i="135" a="1"/>
  <c r="V155" i="135" s="1"/>
  <c r="U152" i="135" a="1"/>
  <c r="U152" i="135" s="1"/>
  <c r="V154" i="135" a="1"/>
  <c r="V154" i="135" s="1"/>
  <c r="U156" i="135" a="1"/>
  <c r="U156" i="135" s="1"/>
  <c r="V163" i="135" a="1"/>
  <c r="V163" i="135" s="1"/>
  <c r="R156" i="135" a="1"/>
  <c r="R156" i="135" s="1"/>
  <c r="R158" i="135" a="1"/>
  <c r="R158" i="135" s="1"/>
  <c r="X159" i="135" a="1"/>
  <c r="X159" i="135" s="1"/>
  <c r="X154" i="135" a="1"/>
  <c r="X154" i="135" s="1"/>
  <c r="R161" i="135" a="1"/>
  <c r="R161" i="135" s="1"/>
  <c r="X162" i="135" a="1"/>
  <c r="X162" i="135" s="1"/>
  <c r="X153" i="135" a="1"/>
  <c r="X153" i="135" s="1"/>
  <c r="X160" i="135" a="1"/>
  <c r="X160" i="135" s="1"/>
  <c r="Y153" i="135" a="1"/>
  <c r="Y153" i="135" s="1"/>
  <c r="X156" i="135" a="1"/>
  <c r="X156" i="135" s="1"/>
  <c r="X152" i="135" a="1"/>
  <c r="X152" i="135" s="1"/>
  <c r="X158" i="135" a="1"/>
  <c r="X158" i="135" s="1"/>
  <c r="Z159" i="135" a="1"/>
  <c r="Z159" i="135" s="1"/>
  <c r="R162" i="135" a="1"/>
  <c r="R162" i="135" s="1"/>
  <c r="AA159" i="135" a="1"/>
  <c r="AA159" i="135" s="1"/>
  <c r="AB152" i="135" a="1"/>
  <c r="AB152" i="135" s="1"/>
  <c r="Y161" i="135" a="1"/>
  <c r="Y161" i="135" s="1"/>
  <c r="R152" i="135" a="1"/>
  <c r="R152" i="135" s="1"/>
  <c r="AA161" i="135" a="1"/>
  <c r="AA161" i="135" s="1"/>
  <c r="AB154" i="135" a="1"/>
  <c r="AB154" i="135" s="1"/>
  <c r="Y163" i="135" a="1"/>
  <c r="Y163" i="135" s="1"/>
  <c r="R153" i="135" a="1"/>
  <c r="R153" i="135" s="1"/>
  <c r="AA158" i="135" a="1"/>
  <c r="AA158" i="135" s="1"/>
  <c r="AB155" i="135" a="1"/>
  <c r="AB155" i="135" s="1"/>
  <c r="Y156" i="135" a="1"/>
  <c r="Y156" i="135" s="1"/>
  <c r="R163" i="135" a="1"/>
  <c r="R163" i="135" s="1"/>
  <c r="X161" i="135" a="1"/>
  <c r="X161" i="135" s="1"/>
  <c r="AB159" i="135" a="1"/>
  <c r="AB159" i="135" s="1"/>
  <c r="Y162" i="135" a="1"/>
  <c r="Y162" i="135" s="1"/>
  <c r="W156" i="135" a="1"/>
  <c r="W156" i="135" s="1"/>
  <c r="W163" i="135" a="1"/>
  <c r="W163" i="135" s="1"/>
  <c r="Z160" i="135" a="1"/>
  <c r="Z160" i="135" s="1"/>
  <c r="Z161" i="135" a="1"/>
  <c r="Z161" i="135" s="1"/>
  <c r="W155" i="135" a="1"/>
  <c r="W155" i="135" s="1"/>
  <c r="Z154" i="135" a="1"/>
  <c r="Z154" i="135" s="1"/>
  <c r="W158" i="135" a="1"/>
  <c r="W158" i="135" s="1"/>
  <c r="AB162" i="135" a="1"/>
  <c r="AB162" i="135" s="1"/>
  <c r="AA162" i="135" a="1"/>
  <c r="AA162" i="135" s="1"/>
  <c r="W159" i="135" a="1"/>
  <c r="W159" i="135" s="1"/>
  <c r="AB156" i="135" a="1"/>
  <c r="AB156" i="135" s="1"/>
  <c r="Y160" i="135" a="1"/>
  <c r="Y160" i="135" s="1"/>
  <c r="J21" i="152"/>
  <c r="J25" i="152" s="1"/>
  <c r="F21" i="152"/>
  <c r="F25" i="152" s="1"/>
  <c r="Z155" i="135" a="1"/>
  <c r="Z155" i="135" s="1"/>
  <c r="AA163" i="135" a="1"/>
  <c r="AA163" i="135" s="1"/>
  <c r="AA156" i="135" a="1"/>
  <c r="AA156" i="135" s="1"/>
  <c r="W152" i="135" a="1"/>
  <c r="W152" i="135" s="1"/>
  <c r="AB153" i="135" a="1"/>
  <c r="AB153" i="135" s="1"/>
  <c r="Y152" i="135" a="1"/>
  <c r="Y152" i="135" s="1"/>
  <c r="W160" i="135" a="1"/>
  <c r="W160" i="135" s="1"/>
  <c r="W162" i="135" a="1"/>
  <c r="W162" i="135" s="1"/>
  <c r="Z156" i="135" a="1"/>
  <c r="Z156" i="135" s="1"/>
  <c r="R160" i="135" a="1"/>
  <c r="R160" i="135" s="1"/>
  <c r="AA154" i="135" a="1"/>
  <c r="AA154" i="135" s="1"/>
  <c r="W154" i="135" a="1"/>
  <c r="W154" i="135" s="1"/>
  <c r="AB163" i="135" a="1"/>
  <c r="AB163" i="135" s="1"/>
  <c r="Y158" i="135" a="1"/>
  <c r="Y158" i="135" s="1"/>
  <c r="Z162" i="135" a="1"/>
  <c r="Z162" i="135" s="1"/>
  <c r="Z158" i="135" a="1"/>
  <c r="Z158" i="135" s="1"/>
  <c r="W153" i="135" a="1"/>
  <c r="W153" i="135" s="1"/>
  <c r="AB158" i="135" a="1"/>
  <c r="AB158" i="135" s="1"/>
  <c r="R154" i="135" a="1"/>
  <c r="R154" i="135" s="1"/>
  <c r="AA155" i="135" a="1"/>
  <c r="AA155" i="135" s="1"/>
  <c r="AB161" i="135" a="1"/>
  <c r="AB161" i="135" s="1"/>
  <c r="Y155" i="135" a="1"/>
  <c r="Y155" i="135" s="1"/>
  <c r="Z152" i="135" a="1"/>
  <c r="Z152" i="135" s="1"/>
  <c r="AA153" i="135" a="1"/>
  <c r="AA153" i="135" s="1"/>
  <c r="R155" i="135" a="1"/>
  <c r="R155" i="135" s="1"/>
  <c r="AA160" i="135" a="1"/>
  <c r="AA160" i="135" s="1"/>
  <c r="Y159" i="135" a="1"/>
  <c r="Y159" i="135" s="1"/>
  <c r="Z153" i="135" a="1"/>
  <c r="Z153" i="135" s="1"/>
  <c r="Q154" i="135" a="1"/>
  <c r="Q154" i="135" s="1"/>
  <c r="Q156" i="135" a="1"/>
  <c r="Q156" i="135" s="1"/>
  <c r="Q161" i="135" a="1"/>
  <c r="Q161" i="135" s="1"/>
  <c r="Q159" i="135" a="1"/>
  <c r="Q159" i="135" s="1"/>
  <c r="Q155" i="135" a="1"/>
  <c r="Q155" i="135" s="1"/>
  <c r="Q152" i="135" a="1"/>
  <c r="Q152" i="135" s="1"/>
  <c r="Q158" i="135" a="1"/>
  <c r="Q158" i="135" s="1"/>
  <c r="Q162" i="135" a="1"/>
  <c r="Q162" i="135" s="1"/>
  <c r="Q153" i="135" a="1"/>
  <c r="Q153" i="135" s="1"/>
  <c r="Q163" i="135" a="1"/>
  <c r="Q163" i="135" s="1"/>
  <c r="O156" i="135" a="1"/>
  <c r="O156" i="135" s="1"/>
  <c r="O159" i="135" a="1"/>
  <c r="O159" i="135" s="1"/>
  <c r="O162" i="135" a="1"/>
  <c r="O162" i="135" s="1"/>
  <c r="O158" i="135" a="1"/>
  <c r="O158" i="135" s="1"/>
  <c r="O160" i="135" a="1"/>
  <c r="O160" i="135" s="1"/>
  <c r="O154" i="135" a="1"/>
  <c r="O154" i="135" s="1"/>
  <c r="O163" i="135" a="1"/>
  <c r="O163" i="135" s="1"/>
  <c r="O152" i="135" a="1"/>
  <c r="O152" i="135" s="1"/>
  <c r="O153" i="135" a="1"/>
  <c r="O153" i="135" s="1"/>
  <c r="O161" i="135" a="1"/>
  <c r="O161" i="135" s="1"/>
  <c r="AD160" i="135" a="1"/>
  <c r="AD160" i="135" s="1"/>
  <c r="AD152" i="135" a="1"/>
  <c r="AD152" i="135" s="1"/>
  <c r="AD158" i="135" a="1"/>
  <c r="AD158" i="135" s="1"/>
  <c r="AD163" i="135" a="1"/>
  <c r="AD163" i="135" s="1"/>
  <c r="AD156" i="135" a="1"/>
  <c r="AD156" i="135" s="1"/>
  <c r="AD155" i="135" a="1"/>
  <c r="AD155" i="135" s="1"/>
  <c r="AD159" i="135" a="1"/>
  <c r="AD159" i="135" s="1"/>
  <c r="AD154" i="135" a="1"/>
  <c r="AD154" i="135" s="1"/>
  <c r="AD153" i="135" a="1"/>
  <c r="AD153" i="135" s="1"/>
  <c r="AD161" i="135" a="1"/>
  <c r="AD161" i="135" s="1"/>
  <c r="AD162" i="135" a="1"/>
  <c r="AD162" i="135" s="1"/>
  <c r="N162" i="135" a="1"/>
  <c r="N162" i="135" s="1"/>
  <c r="N155" i="135" a="1"/>
  <c r="N155" i="135" s="1"/>
  <c r="N163" i="135" a="1"/>
  <c r="N163" i="135" s="1"/>
  <c r="N154" i="135" a="1"/>
  <c r="N154" i="135" s="1"/>
  <c r="N160" i="135" a="1"/>
  <c r="N160" i="135" s="1"/>
  <c r="N152" i="135" a="1"/>
  <c r="N152" i="135" s="1"/>
  <c r="N153" i="135" a="1"/>
  <c r="N153" i="135" s="1"/>
  <c r="N156" i="135" a="1"/>
  <c r="N156" i="135" s="1"/>
  <c r="N159" i="135" a="1"/>
  <c r="N159" i="135" s="1"/>
  <c r="N158" i="135" a="1"/>
  <c r="N158" i="135" s="1"/>
  <c r="N161" i="135" a="1"/>
  <c r="N161" i="135" s="1"/>
  <c r="AE154" i="135" a="1"/>
  <c r="AE154" i="135" s="1"/>
  <c r="AE163" i="135" a="1"/>
  <c r="AE163" i="135" s="1"/>
  <c r="AE152" i="135" a="1"/>
  <c r="AE152" i="135" s="1"/>
  <c r="AE162" i="135" a="1"/>
  <c r="AE162" i="135" s="1"/>
  <c r="AE160" i="135" a="1"/>
  <c r="AE160" i="135" s="1"/>
  <c r="AE156" i="135" a="1"/>
  <c r="AE156" i="135" s="1"/>
  <c r="AE159" i="135" a="1"/>
  <c r="AE159" i="135" s="1"/>
  <c r="AE155" i="135" a="1"/>
  <c r="AE155" i="135" s="1"/>
  <c r="AE158" i="135" a="1"/>
  <c r="AE158" i="135" s="1"/>
  <c r="AE161" i="135" a="1"/>
  <c r="AE161" i="135" s="1"/>
  <c r="AE153" i="135" a="1"/>
  <c r="AE153" i="135" s="1"/>
  <c r="P160" i="135" a="1"/>
  <c r="P160" i="135" s="1"/>
  <c r="P152" i="135" a="1"/>
  <c r="P152" i="135" s="1"/>
  <c r="P159" i="135" a="1"/>
  <c r="P159" i="135" s="1"/>
  <c r="P155" i="135" a="1"/>
  <c r="P155" i="135" s="1"/>
  <c r="P156" i="135" a="1"/>
  <c r="P156" i="135" s="1"/>
  <c r="P163" i="135" a="1"/>
  <c r="P163" i="135" s="1"/>
  <c r="P154" i="135" a="1"/>
  <c r="P154" i="135" s="1"/>
  <c r="P153" i="135" a="1"/>
  <c r="P153" i="135" s="1"/>
  <c r="P162" i="135" a="1"/>
  <c r="P162" i="135" s="1"/>
  <c r="P161" i="135" a="1"/>
  <c r="P161" i="135" s="1"/>
  <c r="P158" i="135" a="1"/>
  <c r="P158" i="135" s="1"/>
  <c r="AF154" i="135" a="1"/>
  <c r="AF154" i="135" s="1"/>
  <c r="AF162" i="135" a="1"/>
  <c r="AF162" i="135" s="1"/>
  <c r="AF160" i="135" a="1"/>
  <c r="AF160" i="135" s="1"/>
  <c r="AF159" i="135" a="1"/>
  <c r="AF159" i="135" s="1"/>
  <c r="AF156" i="135" a="1"/>
  <c r="AF156" i="135" s="1"/>
  <c r="AF155" i="135" a="1"/>
  <c r="AF155" i="135" s="1"/>
  <c r="AF158" i="135" a="1"/>
  <c r="AF158" i="135" s="1"/>
  <c r="AF163" i="135" a="1"/>
  <c r="AF163" i="135" s="1"/>
  <c r="AF161" i="135" a="1"/>
  <c r="AF161" i="135" s="1"/>
  <c r="AF152" i="135" a="1"/>
  <c r="AF152" i="135" s="1"/>
  <c r="AF153" i="135" a="1"/>
  <c r="AF153" i="135" s="1"/>
  <c r="AC153" i="135" a="1"/>
  <c r="AC153" i="135" s="1"/>
  <c r="AC156" i="135" a="1"/>
  <c r="AC156" i="135" s="1"/>
  <c r="AC161" i="135" a="1"/>
  <c r="AC161" i="135" s="1"/>
  <c r="AC163" i="135" a="1"/>
  <c r="AC163" i="135" s="1"/>
  <c r="AC160" i="135" a="1"/>
  <c r="AC160" i="135" s="1"/>
  <c r="AC155" i="135" a="1"/>
  <c r="AC155" i="135" s="1"/>
  <c r="AC159" i="135" a="1"/>
  <c r="AC159" i="135" s="1"/>
  <c r="AC154" i="135" a="1"/>
  <c r="AC154" i="135" s="1"/>
  <c r="AC158" i="135" a="1"/>
  <c r="AC158" i="135" s="1"/>
  <c r="AC162" i="135" a="1"/>
  <c r="AC162" i="135" s="1"/>
  <c r="AC152" i="135" a="1"/>
  <c r="AC152" i="135" s="1"/>
  <c r="C45" i="131"/>
  <c r="D45" i="131" s="1"/>
  <c r="C46" i="131"/>
  <c r="C47" i="131"/>
  <c r="D47" i="131" s="1"/>
  <c r="C48" i="131"/>
  <c r="G48" i="131" s="1"/>
  <c r="C49" i="131"/>
  <c r="S49" i="131" s="1"/>
  <c r="C50" i="131"/>
  <c r="D50" i="131" s="1"/>
  <c r="C51" i="131"/>
  <c r="K51" i="131" s="1"/>
  <c r="C52" i="131"/>
  <c r="H52" i="131" s="1"/>
  <c r="C42" i="131"/>
  <c r="C43" i="131"/>
  <c r="C44" i="131"/>
  <c r="C32" i="131"/>
  <c r="D32" i="131" s="1"/>
  <c r="C33" i="131"/>
  <c r="H33" i="131" s="1"/>
  <c r="C34" i="131"/>
  <c r="C35" i="131"/>
  <c r="C36" i="131"/>
  <c r="C37" i="131"/>
  <c r="C38" i="131"/>
  <c r="C39" i="131"/>
  <c r="C40" i="131"/>
  <c r="C41" i="131"/>
  <c r="C31" i="131"/>
  <c r="K31" i="131" s="1"/>
  <c r="C30" i="131"/>
  <c r="T30" i="131" s="1"/>
  <c r="C29" i="131"/>
  <c r="G29" i="131" s="1"/>
  <c r="C28" i="131"/>
  <c r="G28" i="131" s="1"/>
  <c r="C27" i="131"/>
  <c r="C26" i="131"/>
  <c r="C25" i="131"/>
  <c r="C24" i="131"/>
  <c r="C23" i="131"/>
  <c r="C22" i="131"/>
  <c r="G22" i="131" s="1"/>
  <c r="C21" i="131"/>
  <c r="C20" i="131"/>
  <c r="C19" i="131"/>
  <c r="C18" i="131"/>
  <c r="C17" i="131"/>
  <c r="C16" i="131"/>
  <c r="C15" i="131"/>
  <c r="C13" i="131"/>
  <c r="AR136" i="133"/>
  <c r="AS136" i="133"/>
  <c r="AT136" i="133"/>
  <c r="AU136" i="133"/>
  <c r="AV136" i="133"/>
  <c r="AW136" i="133"/>
  <c r="AX136" i="133"/>
  <c r="AY136" i="133"/>
  <c r="AZ136" i="133"/>
  <c r="BA136" i="133"/>
  <c r="BB136" i="133"/>
  <c r="BC136" i="133"/>
  <c r="BD136" i="133"/>
  <c r="BE136" i="133"/>
  <c r="BF136" i="133"/>
  <c r="AR137" i="133"/>
  <c r="AS137" i="133"/>
  <c r="AT137" i="133"/>
  <c r="AU137" i="133"/>
  <c r="AV137" i="133"/>
  <c r="AW137" i="133"/>
  <c r="AX137" i="133"/>
  <c r="AY137" i="133"/>
  <c r="AZ137" i="133"/>
  <c r="BA137" i="133"/>
  <c r="BB137" i="133"/>
  <c r="BC137" i="133"/>
  <c r="BD137" i="133"/>
  <c r="BE137" i="133"/>
  <c r="BF137" i="133"/>
  <c r="AR138" i="133"/>
  <c r="AS138" i="133"/>
  <c r="AT138" i="133"/>
  <c r="AU138" i="133"/>
  <c r="AV138" i="133"/>
  <c r="AW138" i="133"/>
  <c r="AX138" i="133"/>
  <c r="AY138" i="133"/>
  <c r="AZ138" i="133"/>
  <c r="BA138" i="133"/>
  <c r="BB138" i="133"/>
  <c r="BC138" i="133"/>
  <c r="BD138" i="133"/>
  <c r="BE138" i="133"/>
  <c r="BF138" i="133"/>
  <c r="B143" i="133"/>
  <c r="B190" i="133" s="1"/>
  <c r="B237" i="133" s="1"/>
  <c r="B284" i="133" s="1"/>
  <c r="B144" i="133"/>
  <c r="B191" i="133" s="1"/>
  <c r="B238" i="133" s="1"/>
  <c r="B285" i="133" s="1"/>
  <c r="B192" i="133"/>
  <c r="B239" i="133" s="1"/>
  <c r="B286" i="133" s="1"/>
  <c r="B333" i="133" s="1"/>
  <c r="B146" i="133"/>
  <c r="B193" i="133" s="1"/>
  <c r="B240" i="133" s="1"/>
  <c r="B287" i="133" s="1"/>
  <c r="B147" i="133"/>
  <c r="B194" i="133" s="1"/>
  <c r="B241" i="133" s="1"/>
  <c r="B288" i="133" s="1"/>
  <c r="B335" i="133" s="1"/>
  <c r="B148" i="133"/>
  <c r="B195" i="133" s="1"/>
  <c r="B149" i="133"/>
  <c r="B196" i="133" s="1"/>
  <c r="B243" i="133" s="1"/>
  <c r="B290" i="133" s="1"/>
  <c r="B150" i="133"/>
  <c r="B197" i="133" s="1"/>
  <c r="B244" i="133" s="1"/>
  <c r="B291" i="133" s="1"/>
  <c r="B338" i="133" s="1"/>
  <c r="B151" i="133"/>
  <c r="B152" i="133"/>
  <c r="B199" i="133" s="1"/>
  <c r="B246" i="133" s="1"/>
  <c r="B293" i="133" s="1"/>
  <c r="B340" i="133" s="1"/>
  <c r="B153" i="133"/>
  <c r="B200" i="133" s="1"/>
  <c r="B247" i="133" s="1"/>
  <c r="B294" i="133" s="1"/>
  <c r="B341" i="133" s="1"/>
  <c r="B154" i="133"/>
  <c r="B201" i="133" s="1"/>
  <c r="B248" i="133" s="1"/>
  <c r="B295" i="133" s="1"/>
  <c r="B342" i="133" s="1"/>
  <c r="B155" i="133"/>
  <c r="B202" i="133" s="1"/>
  <c r="B156" i="133"/>
  <c r="B203" i="133" s="1"/>
  <c r="B157" i="133"/>
  <c r="B204" i="133" s="1"/>
  <c r="B251" i="133" s="1"/>
  <c r="B298" i="133" s="1"/>
  <c r="B345" i="133" s="1"/>
  <c r="B158" i="133"/>
  <c r="B205" i="133" s="1"/>
  <c r="B252" i="133" s="1"/>
  <c r="B299" i="133" s="1"/>
  <c r="B346" i="133" s="1"/>
  <c r="B159" i="133"/>
  <c r="B206" i="133" s="1"/>
  <c r="B253" i="133" s="1"/>
  <c r="B300" i="133" s="1"/>
  <c r="B347" i="133" s="1"/>
  <c r="B160" i="133"/>
  <c r="B207" i="133" s="1"/>
  <c r="B254" i="133" s="1"/>
  <c r="B301" i="133" s="1"/>
  <c r="B348" i="133" s="1"/>
  <c r="B161" i="133"/>
  <c r="B208" i="133" s="1"/>
  <c r="B162" i="133"/>
  <c r="B209" i="133" s="1"/>
  <c r="B256" i="133" s="1"/>
  <c r="B303" i="133" s="1"/>
  <c r="B350" i="133" s="1"/>
  <c r="B163" i="133"/>
  <c r="B210" i="133" s="1"/>
  <c r="B257" i="133" s="1"/>
  <c r="B304" i="133" s="1"/>
  <c r="B351" i="133" s="1"/>
  <c r="B164" i="133"/>
  <c r="B211" i="133" s="1"/>
  <c r="B258" i="133" s="1"/>
  <c r="B305" i="133" s="1"/>
  <c r="B352" i="133" s="1"/>
  <c r="B165" i="133"/>
  <c r="B212" i="133" s="1"/>
  <c r="B259" i="133" s="1"/>
  <c r="B306" i="133" s="1"/>
  <c r="B353" i="133" s="1"/>
  <c r="B166" i="133"/>
  <c r="B213" i="133" s="1"/>
  <c r="B260" i="133" s="1"/>
  <c r="B307" i="133" s="1"/>
  <c r="B354" i="133" s="1"/>
  <c r="B167" i="133"/>
  <c r="B214" i="133" s="1"/>
  <c r="B261" i="133" s="1"/>
  <c r="B308" i="133" s="1"/>
  <c r="B355" i="133" s="1"/>
  <c r="B168" i="133"/>
  <c r="B215" i="133" s="1"/>
  <c r="B262" i="133" s="1"/>
  <c r="B309" i="133" s="1"/>
  <c r="B356" i="133" s="1"/>
  <c r="B169" i="133"/>
  <c r="B216" i="133" s="1"/>
  <c r="B263" i="133" s="1"/>
  <c r="B310" i="133" s="1"/>
  <c r="B357" i="133" s="1"/>
  <c r="B170" i="133"/>
  <c r="B217" i="133" s="1"/>
  <c r="B264" i="133" s="1"/>
  <c r="B311" i="133" s="1"/>
  <c r="B358" i="133" s="1"/>
  <c r="B171" i="133"/>
  <c r="B218" i="133" s="1"/>
  <c r="B265" i="133" s="1"/>
  <c r="B312" i="133" s="1"/>
  <c r="B359" i="133" s="1"/>
  <c r="B172" i="133"/>
  <c r="B219" i="133" s="1"/>
  <c r="B266" i="133" s="1"/>
  <c r="B313" i="133" s="1"/>
  <c r="B360" i="133" s="1"/>
  <c r="B173" i="133"/>
  <c r="B220" i="133" s="1"/>
  <c r="B267" i="133" s="1"/>
  <c r="B314" i="133" s="1"/>
  <c r="B361" i="133" s="1"/>
  <c r="B174" i="133"/>
  <c r="B221" i="133" s="1"/>
  <c r="B268" i="133" s="1"/>
  <c r="B315" i="133" s="1"/>
  <c r="B175" i="133"/>
  <c r="B222" i="133" s="1"/>
  <c r="B269" i="133" s="1"/>
  <c r="B316" i="133" s="1"/>
  <c r="B363" i="133" s="1"/>
  <c r="B176" i="133"/>
  <c r="B223" i="133" s="1"/>
  <c r="B270" i="133" s="1"/>
  <c r="B317" i="133" s="1"/>
  <c r="B364" i="133" s="1"/>
  <c r="B177" i="133"/>
  <c r="B224" i="133" s="1"/>
  <c r="B271" i="133" s="1"/>
  <c r="B318" i="133" s="1"/>
  <c r="B365" i="133" s="1"/>
  <c r="B136" i="133"/>
  <c r="B183" i="133" s="1"/>
  <c r="B230" i="133" s="1"/>
  <c r="B277" i="133" s="1"/>
  <c r="B137" i="133"/>
  <c r="B184" i="133" s="1"/>
  <c r="B231" i="133" s="1"/>
  <c r="B278" i="133" s="1"/>
  <c r="B138" i="133"/>
  <c r="B185" i="133" s="1"/>
  <c r="B232" i="133" s="1"/>
  <c r="B279" i="133" s="1"/>
  <c r="B139" i="133"/>
  <c r="B186" i="133" s="1"/>
  <c r="B233" i="133" s="1"/>
  <c r="B280" i="133" s="1"/>
  <c r="B140" i="133"/>
  <c r="B187" i="133" s="1"/>
  <c r="B234" i="133" s="1"/>
  <c r="B281" i="133" s="1"/>
  <c r="B328" i="133" s="1"/>
  <c r="B142" i="133"/>
  <c r="B189" i="133" s="1"/>
  <c r="B236" i="133" s="1"/>
  <c r="B283" i="133" s="1"/>
  <c r="C169" i="133"/>
  <c r="C170" i="133"/>
  <c r="C171" i="133"/>
  <c r="C172" i="133"/>
  <c r="C173" i="133"/>
  <c r="C174" i="133"/>
  <c r="C175" i="133"/>
  <c r="C176" i="133"/>
  <c r="C177" i="133"/>
  <c r="C168" i="133"/>
  <c r="C167" i="133"/>
  <c r="C166" i="133"/>
  <c r="C165" i="133"/>
  <c r="C164" i="133"/>
  <c r="C163" i="133"/>
  <c r="C162" i="133"/>
  <c r="C161" i="133"/>
  <c r="C160" i="133"/>
  <c r="C159" i="133"/>
  <c r="C158" i="133"/>
  <c r="C157" i="133"/>
  <c r="C156" i="133"/>
  <c r="C155" i="133"/>
  <c r="C154" i="133"/>
  <c r="C153" i="133"/>
  <c r="C152" i="133"/>
  <c r="C151" i="133"/>
  <c r="C198" i="133" s="1"/>
  <c r="C245" i="133" s="1"/>
  <c r="C292" i="133" s="1"/>
  <c r="C150" i="133"/>
  <c r="C196" i="133"/>
  <c r="C243" i="133" s="1"/>
  <c r="C290" i="133" s="1"/>
  <c r="C148" i="133"/>
  <c r="C147" i="133"/>
  <c r="C146" i="133"/>
  <c r="C145" i="133"/>
  <c r="C144" i="133"/>
  <c r="C142" i="133"/>
  <c r="C141" i="133"/>
  <c r="C140" i="133"/>
  <c r="C139" i="133"/>
  <c r="C137" i="133"/>
  <c r="C143" i="133"/>
  <c r="C12" i="131"/>
  <c r="C11" i="131"/>
  <c r="C10" i="131"/>
  <c r="C9" i="131"/>
  <c r="S81" i="132"/>
  <c r="T81" i="132" s="1"/>
  <c r="Q81" i="132"/>
  <c r="S72" i="132"/>
  <c r="R72" i="132"/>
  <c r="Q72" i="132"/>
  <c r="Q71" i="132"/>
  <c r="Q70" i="132"/>
  <c r="C8" i="131"/>
  <c r="C7" i="131"/>
  <c r="C6" i="131"/>
  <c r="C5" i="131"/>
  <c r="F5" i="131" s="1"/>
  <c r="H6" i="133"/>
  <c r="I6" i="133"/>
  <c r="J6" i="133"/>
  <c r="G7" i="133"/>
  <c r="H8" i="133"/>
  <c r="I8" i="133"/>
  <c r="J8" i="133"/>
  <c r="G8" i="133"/>
  <c r="H5" i="133"/>
  <c r="I5" i="133"/>
  <c r="J5" i="133"/>
  <c r="G5" i="133"/>
  <c r="G30" i="133" s="1"/>
  <c r="AR3" i="133"/>
  <c r="AS3" i="133"/>
  <c r="AT3" i="133"/>
  <c r="AU3" i="133"/>
  <c r="AV3" i="133"/>
  <c r="AW3" i="133"/>
  <c r="AX3" i="133"/>
  <c r="AY3" i="133"/>
  <c r="AZ3" i="133"/>
  <c r="BA3" i="133"/>
  <c r="BB3" i="133"/>
  <c r="BC3" i="133"/>
  <c r="BD3" i="133"/>
  <c r="BE3" i="133"/>
  <c r="BF3" i="133"/>
  <c r="T72" i="132" l="1"/>
  <c r="D64" i="183"/>
  <c r="E64" i="183" s="1"/>
  <c r="C197" i="133"/>
  <c r="G34" i="133"/>
  <c r="J30" i="133"/>
  <c r="H30" i="133"/>
  <c r="I30" i="133"/>
  <c r="B250" i="133"/>
  <c r="B297" i="133" s="1"/>
  <c r="B344" i="133" s="1"/>
  <c r="C97" i="183"/>
  <c r="B362" i="133"/>
  <c r="C216" i="183"/>
  <c r="C202" i="183"/>
  <c r="B337" i="133"/>
  <c r="B384" i="133" s="1"/>
  <c r="C200" i="183"/>
  <c r="C214" i="183"/>
  <c r="F52" i="131"/>
  <c r="B326" i="133"/>
  <c r="B373" i="133" s="1"/>
  <c r="C208" i="183"/>
  <c r="B249" i="133"/>
  <c r="B296" i="133" s="1"/>
  <c r="B343" i="133" s="1"/>
  <c r="A25" i="142" s="1"/>
  <c r="A71" i="142" s="1"/>
  <c r="A116" i="142" s="1"/>
  <c r="A161" i="142" s="1"/>
  <c r="C96" i="183"/>
  <c r="B325" i="133"/>
  <c r="B372" i="133" s="1"/>
  <c r="C193" i="183"/>
  <c r="C207" i="183"/>
  <c r="B332" i="133"/>
  <c r="B379" i="133" s="1"/>
  <c r="C212" i="183"/>
  <c r="C196" i="183"/>
  <c r="B242" i="133"/>
  <c r="B289" i="133" s="1"/>
  <c r="B336" i="133" s="1"/>
  <c r="B383" i="133" s="1"/>
  <c r="C94" i="183"/>
  <c r="B334" i="133"/>
  <c r="A16" i="142" s="1"/>
  <c r="A62" i="142" s="1"/>
  <c r="A107" i="142" s="1"/>
  <c r="A152" i="142" s="1"/>
  <c r="C197" i="183"/>
  <c r="C213" i="183"/>
  <c r="B331" i="133"/>
  <c r="C199" i="183"/>
  <c r="B330" i="133"/>
  <c r="C211" i="183"/>
  <c r="C198" i="183"/>
  <c r="B255" i="133"/>
  <c r="B302" i="133" s="1"/>
  <c r="B349" i="133" s="1"/>
  <c r="C98" i="183"/>
  <c r="B327" i="133"/>
  <c r="B374" i="133" s="1"/>
  <c r="C194" i="183"/>
  <c r="C209" i="183"/>
  <c r="B324" i="133"/>
  <c r="B371" i="133" s="1"/>
  <c r="C192" i="183"/>
  <c r="C206" i="183"/>
  <c r="J71" i="133"/>
  <c r="J30" i="152"/>
  <c r="J34" i="152"/>
  <c r="I71" i="133"/>
  <c r="H71" i="133"/>
  <c r="F30" i="152"/>
  <c r="F34" i="152"/>
  <c r="B198" i="133"/>
  <c r="C223" i="133"/>
  <c r="C270" i="133" s="1"/>
  <c r="C317" i="133" s="1"/>
  <c r="C225" i="166"/>
  <c r="C225" i="135"/>
  <c r="C184" i="133"/>
  <c r="C231" i="133" s="1"/>
  <c r="C278" i="133" s="1"/>
  <c r="C186" i="166"/>
  <c r="C186" i="135"/>
  <c r="C219" i="133"/>
  <c r="C266" i="133" s="1"/>
  <c r="C313" i="133" s="1"/>
  <c r="C360" i="133" s="1"/>
  <c r="C407" i="133" s="1"/>
  <c r="C221" i="166"/>
  <c r="C221" i="135"/>
  <c r="C192" i="133"/>
  <c r="C239" i="133" s="1"/>
  <c r="C286" i="133" s="1"/>
  <c r="C333" i="133" s="1"/>
  <c r="C194" i="166"/>
  <c r="C194" i="135"/>
  <c r="G9" i="133"/>
  <c r="C200" i="166"/>
  <c r="C200" i="135"/>
  <c r="C199" i="133"/>
  <c r="C246" i="133" s="1"/>
  <c r="C293" i="133" s="1"/>
  <c r="C340" i="133" s="1"/>
  <c r="B22" i="142" s="1"/>
  <c r="B68" i="142" s="1"/>
  <c r="B113" i="142" s="1"/>
  <c r="B158" i="142" s="1"/>
  <c r="C201" i="166"/>
  <c r="C201" i="135"/>
  <c r="AQ5" i="142"/>
  <c r="AS135" i="133"/>
  <c r="C218" i="133"/>
  <c r="C265" i="133" s="1"/>
  <c r="C312" i="133" s="1"/>
  <c r="C359" i="133" s="1"/>
  <c r="B41" i="142" s="1"/>
  <c r="B87" i="142" s="1"/>
  <c r="B132" i="142" s="1"/>
  <c r="B177" i="142" s="1"/>
  <c r="C220" i="166"/>
  <c r="C220" i="135"/>
  <c r="C194" i="133"/>
  <c r="C241" i="133" s="1"/>
  <c r="C288" i="133" s="1"/>
  <c r="C335" i="133" s="1"/>
  <c r="C382" i="133" s="1"/>
  <c r="C196" i="166"/>
  <c r="C196" i="135"/>
  <c r="C195" i="133"/>
  <c r="C242" i="133" s="1"/>
  <c r="C289" i="133" s="1"/>
  <c r="C336" i="133" s="1"/>
  <c r="C197" i="166"/>
  <c r="C197" i="135"/>
  <c r="C244" i="133"/>
  <c r="C291" i="133" s="1"/>
  <c r="C338" i="133" s="1"/>
  <c r="C199" i="166"/>
  <c r="C199" i="135"/>
  <c r="C200" i="133"/>
  <c r="C247" i="133" s="1"/>
  <c r="C294" i="133" s="1"/>
  <c r="C341" i="133" s="1"/>
  <c r="C202" i="166"/>
  <c r="C202" i="135"/>
  <c r="BF135" i="133"/>
  <c r="BD5" i="142"/>
  <c r="C201" i="133"/>
  <c r="C248" i="133" s="1"/>
  <c r="C295" i="133" s="1"/>
  <c r="C342" i="133" s="1"/>
  <c r="C389" i="133" s="1"/>
  <c r="C203" i="166"/>
  <c r="C203" i="135"/>
  <c r="BE135" i="133"/>
  <c r="BC5" i="142"/>
  <c r="C202" i="133"/>
  <c r="C249" i="133" s="1"/>
  <c r="C296" i="133" s="1"/>
  <c r="C343" i="133" s="1"/>
  <c r="C204" i="166"/>
  <c r="C204" i="135"/>
  <c r="C214" i="133"/>
  <c r="C261" i="133" s="1"/>
  <c r="C308" i="133" s="1"/>
  <c r="C355" i="133" s="1"/>
  <c r="C216" i="166"/>
  <c r="C216" i="135"/>
  <c r="C216" i="133"/>
  <c r="C263" i="133" s="1"/>
  <c r="C310" i="133" s="1"/>
  <c r="C357" i="133" s="1"/>
  <c r="C218" i="166"/>
  <c r="C218" i="135"/>
  <c r="C193" i="133"/>
  <c r="C240" i="133" s="1"/>
  <c r="C287" i="133" s="1"/>
  <c r="C334" i="133" s="1"/>
  <c r="B16" i="142" s="1"/>
  <c r="B62" i="142" s="1"/>
  <c r="B107" i="142" s="1"/>
  <c r="B152" i="142" s="1"/>
  <c r="C195" i="166"/>
  <c r="C195" i="135"/>
  <c r="AV5" i="142"/>
  <c r="AX135" i="133"/>
  <c r="C209" i="133"/>
  <c r="C256" i="133" s="1"/>
  <c r="C303" i="133" s="1"/>
  <c r="C211" i="166"/>
  <c r="C211" i="135"/>
  <c r="G52" i="131"/>
  <c r="AP5" i="142"/>
  <c r="AR135" i="133"/>
  <c r="C224" i="133"/>
  <c r="C271" i="133" s="1"/>
  <c r="C318" i="133" s="1"/>
  <c r="C365" i="133" s="1"/>
  <c r="C412" i="133" s="1"/>
  <c r="C226" i="166"/>
  <c r="C226" i="135"/>
  <c r="C222" i="133"/>
  <c r="C269" i="133" s="1"/>
  <c r="C316" i="133" s="1"/>
  <c r="C363" i="133" s="1"/>
  <c r="C224" i="166"/>
  <c r="C224" i="135"/>
  <c r="C220" i="133"/>
  <c r="C267" i="133" s="1"/>
  <c r="C314" i="133" s="1"/>
  <c r="C361" i="133" s="1"/>
  <c r="B43" i="142" s="1"/>
  <c r="B89" i="142" s="1"/>
  <c r="B134" i="142" s="1"/>
  <c r="B179" i="142" s="1"/>
  <c r="C222" i="166"/>
  <c r="C222" i="135"/>
  <c r="C217" i="133"/>
  <c r="C264" i="133" s="1"/>
  <c r="C311" i="133" s="1"/>
  <c r="C358" i="133" s="1"/>
  <c r="B40" i="142" s="1"/>
  <c r="B86" i="142" s="1"/>
  <c r="B131" i="142" s="1"/>
  <c r="B176" i="142" s="1"/>
  <c r="C219" i="166"/>
  <c r="C219" i="135"/>
  <c r="C190" i="133"/>
  <c r="C237" i="133" s="1"/>
  <c r="C284" i="133" s="1"/>
  <c r="C331" i="133" s="1"/>
  <c r="B13" i="142" s="1"/>
  <c r="B59" i="142" s="1"/>
  <c r="B104" i="142" s="1"/>
  <c r="B149" i="142" s="1"/>
  <c r="C192" i="166"/>
  <c r="C192" i="135"/>
  <c r="C221" i="133"/>
  <c r="C268" i="133" s="1"/>
  <c r="C315" i="133" s="1"/>
  <c r="C362" i="133" s="1"/>
  <c r="C223" i="166"/>
  <c r="C223" i="135"/>
  <c r="C191" i="133"/>
  <c r="C238" i="133" s="1"/>
  <c r="C285" i="133" s="1"/>
  <c r="C332" i="133" s="1"/>
  <c r="C193" i="166"/>
  <c r="C193" i="135"/>
  <c r="AZ135" i="133"/>
  <c r="AX5" i="142"/>
  <c r="AW5" i="142"/>
  <c r="AY135" i="133"/>
  <c r="AU135" i="133"/>
  <c r="AS5" i="142"/>
  <c r="C212" i="133"/>
  <c r="C259" i="133" s="1"/>
  <c r="C306" i="133" s="1"/>
  <c r="C353" i="133" s="1"/>
  <c r="B35" i="142" s="1"/>
  <c r="B81" i="142" s="1"/>
  <c r="B126" i="142" s="1"/>
  <c r="B171" i="142" s="1"/>
  <c r="C214" i="166"/>
  <c r="C214" i="135"/>
  <c r="C215" i="133"/>
  <c r="C262" i="133" s="1"/>
  <c r="C309" i="133" s="1"/>
  <c r="C356" i="133" s="1"/>
  <c r="C403" i="133" s="1"/>
  <c r="C217" i="166"/>
  <c r="C217" i="135"/>
  <c r="C186" i="133"/>
  <c r="C233" i="133" s="1"/>
  <c r="C280" i="133" s="1"/>
  <c r="C327" i="133" s="1"/>
  <c r="C188" i="166"/>
  <c r="C188" i="135"/>
  <c r="BB5" i="142"/>
  <c r="BD135" i="133"/>
  <c r="C203" i="133"/>
  <c r="C250" i="133" s="1"/>
  <c r="C297" i="133" s="1"/>
  <c r="C205" i="166"/>
  <c r="C205" i="135"/>
  <c r="BC135" i="133"/>
  <c r="BA5" i="142"/>
  <c r="C204" i="133"/>
  <c r="C251" i="133" s="1"/>
  <c r="C298" i="133" s="1"/>
  <c r="C345" i="133" s="1"/>
  <c r="C206" i="166"/>
  <c r="C206" i="135"/>
  <c r="AZ5" i="142"/>
  <c r="BB135" i="133"/>
  <c r="C205" i="133"/>
  <c r="C252" i="133" s="1"/>
  <c r="C299" i="133" s="1"/>
  <c r="C346" i="133" s="1"/>
  <c r="B28" i="142" s="1"/>
  <c r="B74" i="142" s="1"/>
  <c r="B119" i="142" s="1"/>
  <c r="B164" i="142" s="1"/>
  <c r="C207" i="166"/>
  <c r="C207" i="135"/>
  <c r="AY5" i="142"/>
  <c r="BA135" i="133"/>
  <c r="C206" i="133"/>
  <c r="C253" i="133" s="1"/>
  <c r="C300" i="133" s="1"/>
  <c r="C347" i="133" s="1"/>
  <c r="C394" i="133" s="1"/>
  <c r="C208" i="166"/>
  <c r="C208" i="135"/>
  <c r="C207" i="133"/>
  <c r="C254" i="133" s="1"/>
  <c r="C301" i="133" s="1"/>
  <c r="C348" i="133" s="1"/>
  <c r="B30" i="142" s="1"/>
  <c r="B76" i="142" s="1"/>
  <c r="B121" i="142" s="1"/>
  <c r="B166" i="142" s="1"/>
  <c r="C209" i="166"/>
  <c r="C209" i="135"/>
  <c r="C208" i="133"/>
  <c r="C255" i="133" s="1"/>
  <c r="C302" i="133" s="1"/>
  <c r="C210" i="166"/>
  <c r="C210" i="135"/>
  <c r="AU5" i="142"/>
  <c r="AW135" i="133"/>
  <c r="C210" i="133"/>
  <c r="C257" i="133" s="1"/>
  <c r="C304" i="133" s="1"/>
  <c r="C351" i="133" s="1"/>
  <c r="C212" i="166"/>
  <c r="C212" i="135"/>
  <c r="AV135" i="133"/>
  <c r="AT5" i="142"/>
  <c r="C211" i="133"/>
  <c r="C258" i="133" s="1"/>
  <c r="C305" i="133" s="1"/>
  <c r="C352" i="133" s="1"/>
  <c r="C399" i="133" s="1"/>
  <c r="C213" i="166"/>
  <c r="C213" i="135"/>
  <c r="J15" i="131"/>
  <c r="E15" i="131"/>
  <c r="AT135" i="133"/>
  <c r="AR5" i="142"/>
  <c r="C213" i="133"/>
  <c r="C260" i="133" s="1"/>
  <c r="C307" i="133" s="1"/>
  <c r="C354" i="133" s="1"/>
  <c r="C215" i="166"/>
  <c r="C215" i="135"/>
  <c r="C189" i="133"/>
  <c r="C236" i="133" s="1"/>
  <c r="C283" i="133" s="1"/>
  <c r="C330" i="133" s="1"/>
  <c r="B12" i="142" s="1"/>
  <c r="B58" i="142" s="1"/>
  <c r="B103" i="142" s="1"/>
  <c r="B148" i="142" s="1"/>
  <c r="C191" i="166"/>
  <c r="C191" i="135"/>
  <c r="C188" i="133"/>
  <c r="C235" i="133" s="1"/>
  <c r="C282" i="133" s="1"/>
  <c r="C329" i="133" s="1"/>
  <c r="C376" i="133" s="1"/>
  <c r="C190" i="166"/>
  <c r="C190" i="135"/>
  <c r="C187" i="133"/>
  <c r="C189" i="166"/>
  <c r="C189" i="135"/>
  <c r="C339" i="133"/>
  <c r="C337" i="133"/>
  <c r="B19" i="142" s="1"/>
  <c r="B65" i="142" s="1"/>
  <c r="B110" i="142" s="1"/>
  <c r="B155" i="142" s="1"/>
  <c r="C349" i="133"/>
  <c r="B31" i="142" s="1"/>
  <c r="B77" i="142" s="1"/>
  <c r="B122" i="142" s="1"/>
  <c r="B167" i="142" s="1"/>
  <c r="C364" i="133"/>
  <c r="B46" i="142" s="1"/>
  <c r="B92" i="142" s="1"/>
  <c r="B137" i="142" s="1"/>
  <c r="B182" i="142" s="1"/>
  <c r="C325" i="133"/>
  <c r="B7" i="142" s="1"/>
  <c r="B53" i="142" s="1"/>
  <c r="B98" i="142" s="1"/>
  <c r="B143" i="142" s="1"/>
  <c r="B188" i="142" s="1"/>
  <c r="C344" i="133"/>
  <c r="B26" i="142" s="1"/>
  <c r="B72" i="142" s="1"/>
  <c r="B117" i="142" s="1"/>
  <c r="B162" i="142" s="1"/>
  <c r="C350" i="133"/>
  <c r="C397" i="133" s="1"/>
  <c r="B20" i="142"/>
  <c r="B66" i="142" s="1"/>
  <c r="B111" i="142" s="1"/>
  <c r="B156" i="142" s="1"/>
  <c r="G21" i="152"/>
  <c r="G25" i="152" s="1"/>
  <c r="A43" i="142"/>
  <c r="A89" i="142" s="1"/>
  <c r="A134" i="142" s="1"/>
  <c r="A179" i="142" s="1"/>
  <c r="B408" i="133"/>
  <c r="B406" i="133"/>
  <c r="A41" i="142"/>
  <c r="A87" i="142" s="1"/>
  <c r="A132" i="142" s="1"/>
  <c r="A177" i="142" s="1"/>
  <c r="B404" i="133"/>
  <c r="A39" i="142"/>
  <c r="A85" i="142" s="1"/>
  <c r="A130" i="142" s="1"/>
  <c r="A175" i="142" s="1"/>
  <c r="AP22" i="152"/>
  <c r="AP26" i="152" s="1"/>
  <c r="B389" i="133"/>
  <c r="A24" i="142"/>
  <c r="A70" i="142" s="1"/>
  <c r="A115" i="142" s="1"/>
  <c r="A160" i="142" s="1"/>
  <c r="B388" i="133"/>
  <c r="A23" i="142"/>
  <c r="A69" i="142" s="1"/>
  <c r="A114" i="142" s="1"/>
  <c r="A159" i="142" s="1"/>
  <c r="B387" i="133"/>
  <c r="A22" i="142"/>
  <c r="A68" i="142" s="1"/>
  <c r="A113" i="142" s="1"/>
  <c r="A158" i="142" s="1"/>
  <c r="B377" i="133"/>
  <c r="A12" i="142"/>
  <c r="A58" i="142" s="1"/>
  <c r="A103" i="142" s="1"/>
  <c r="A148" i="142" s="1"/>
  <c r="B385" i="133"/>
  <c r="A20" i="142"/>
  <c r="A66" i="142" s="1"/>
  <c r="A111" i="142" s="1"/>
  <c r="A156" i="142" s="1"/>
  <c r="A18" i="142"/>
  <c r="A64" i="142" s="1"/>
  <c r="A109" i="142" s="1"/>
  <c r="A154" i="142" s="1"/>
  <c r="A15" i="142"/>
  <c r="A61" i="142" s="1"/>
  <c r="A106" i="142" s="1"/>
  <c r="A151" i="142" s="1"/>
  <c r="B380" i="133"/>
  <c r="B405" i="133"/>
  <c r="A40" i="142"/>
  <c r="A86" i="142" s="1"/>
  <c r="A131" i="142" s="1"/>
  <c r="A176" i="142" s="1"/>
  <c r="A34" i="142"/>
  <c r="A80" i="142" s="1"/>
  <c r="A125" i="142" s="1"/>
  <c r="A170" i="142" s="1"/>
  <c r="B399" i="133"/>
  <c r="A10" i="142"/>
  <c r="A56" i="142" s="1"/>
  <c r="A101" i="142" s="1"/>
  <c r="A146" i="142" s="1"/>
  <c r="B375" i="133"/>
  <c r="A33" i="142"/>
  <c r="A79" i="142" s="1"/>
  <c r="A124" i="142" s="1"/>
  <c r="A169" i="142" s="1"/>
  <c r="B398" i="133"/>
  <c r="H21" i="152"/>
  <c r="H25" i="152" s="1"/>
  <c r="A32" i="142"/>
  <c r="A78" i="142" s="1"/>
  <c r="A123" i="142" s="1"/>
  <c r="A168" i="142" s="1"/>
  <c r="B397" i="133"/>
  <c r="AP21" i="152"/>
  <c r="AP25" i="152" s="1"/>
  <c r="I21" i="152"/>
  <c r="I25" i="152" s="1"/>
  <c r="A42" i="142"/>
  <c r="A88" i="142" s="1"/>
  <c r="A133" i="142" s="1"/>
  <c r="A178" i="142" s="1"/>
  <c r="B407" i="133"/>
  <c r="A37" i="142"/>
  <c r="A83" i="142" s="1"/>
  <c r="A128" i="142" s="1"/>
  <c r="A173" i="142" s="1"/>
  <c r="B402" i="133"/>
  <c r="A35" i="142"/>
  <c r="A81" i="142" s="1"/>
  <c r="A126" i="142" s="1"/>
  <c r="A171" i="142" s="1"/>
  <c r="B400" i="133"/>
  <c r="B392" i="133"/>
  <c r="A27" i="142"/>
  <c r="A73" i="142" s="1"/>
  <c r="A118" i="142" s="1"/>
  <c r="A163" i="142" s="1"/>
  <c r="B382" i="133"/>
  <c r="A17" i="142"/>
  <c r="A63" i="142" s="1"/>
  <c r="A108" i="142" s="1"/>
  <c r="A153" i="142" s="1"/>
  <c r="G22" i="152"/>
  <c r="G26" i="152" s="1"/>
  <c r="AO22" i="152"/>
  <c r="AO26" i="152" s="1"/>
  <c r="B378" i="133"/>
  <c r="A13" i="142"/>
  <c r="A59" i="142" s="1"/>
  <c r="A104" i="142" s="1"/>
  <c r="A149" i="142" s="1"/>
  <c r="B403" i="133"/>
  <c r="A38" i="142"/>
  <c r="A84" i="142" s="1"/>
  <c r="A129" i="142" s="1"/>
  <c r="A174" i="142" s="1"/>
  <c r="A36" i="142"/>
  <c r="A82" i="142" s="1"/>
  <c r="A127" i="142" s="1"/>
  <c r="A172" i="142" s="1"/>
  <c r="B401" i="133"/>
  <c r="B396" i="133"/>
  <c r="A31" i="142"/>
  <c r="A77" i="142" s="1"/>
  <c r="A122" i="142" s="1"/>
  <c r="A167" i="142" s="1"/>
  <c r="F22" i="152"/>
  <c r="F26" i="152" s="1"/>
  <c r="A30" i="142"/>
  <c r="A76" i="142" s="1"/>
  <c r="A121" i="142" s="1"/>
  <c r="A166" i="142" s="1"/>
  <c r="B395" i="133"/>
  <c r="I22" i="152"/>
  <c r="I26" i="152" s="1"/>
  <c r="A29" i="142"/>
  <c r="A75" i="142" s="1"/>
  <c r="A120" i="142" s="1"/>
  <c r="A165" i="142" s="1"/>
  <c r="B394" i="133"/>
  <c r="A26" i="142"/>
  <c r="A72" i="142" s="1"/>
  <c r="A117" i="142" s="1"/>
  <c r="A162" i="142" s="1"/>
  <c r="B391" i="133"/>
  <c r="AO21" i="152"/>
  <c r="AO25" i="152" s="1"/>
  <c r="A47" i="142"/>
  <c r="B412" i="133"/>
  <c r="A46" i="142"/>
  <c r="A92" i="142" s="1"/>
  <c r="A137" i="142" s="1"/>
  <c r="A182" i="142" s="1"/>
  <c r="B411" i="133"/>
  <c r="A45" i="142"/>
  <c r="A91" i="142" s="1"/>
  <c r="A136" i="142" s="1"/>
  <c r="A181" i="142" s="1"/>
  <c r="B410" i="133"/>
  <c r="A44" i="142"/>
  <c r="A90" i="142" s="1"/>
  <c r="A135" i="142" s="1"/>
  <c r="A180" i="142" s="1"/>
  <c r="B409" i="133"/>
  <c r="H22" i="152"/>
  <c r="H26" i="152" s="1"/>
  <c r="B393" i="133"/>
  <c r="A28" i="142"/>
  <c r="A74" i="142" s="1"/>
  <c r="A119" i="142" s="1"/>
  <c r="A164" i="142" s="1"/>
  <c r="I47" i="131"/>
  <c r="G76" i="133"/>
  <c r="E52" i="131"/>
  <c r="O50" i="131"/>
  <c r="F50" i="131"/>
  <c r="E50" i="131"/>
  <c r="J49" i="131"/>
  <c r="E48" i="131"/>
  <c r="H47" i="131"/>
  <c r="G47" i="131"/>
  <c r="N50" i="131"/>
  <c r="H7" i="133"/>
  <c r="H9" i="133" s="1"/>
  <c r="D48" i="131"/>
  <c r="J7" i="133"/>
  <c r="J9" i="133" s="1"/>
  <c r="N47" i="131"/>
  <c r="I7" i="133"/>
  <c r="I9" i="133" s="1"/>
  <c r="Q45" i="131"/>
  <c r="G51" i="131"/>
  <c r="D51" i="131"/>
  <c r="D46" i="131"/>
  <c r="I45" i="131"/>
  <c r="P52" i="131"/>
  <c r="O52" i="131"/>
  <c r="N52" i="131"/>
  <c r="M52" i="131"/>
  <c r="R52" i="131"/>
  <c r="Q52" i="131"/>
  <c r="L52" i="131"/>
  <c r="H45" i="131"/>
  <c r="K52" i="131"/>
  <c r="G45" i="131"/>
  <c r="U52" i="131"/>
  <c r="T52" i="131"/>
  <c r="S52" i="131"/>
  <c r="J52" i="131"/>
  <c r="V46" i="131"/>
  <c r="E46" i="131"/>
  <c r="D52" i="131"/>
  <c r="D9" i="131"/>
  <c r="V50" i="131"/>
  <c r="U50" i="131"/>
  <c r="F51" i="131"/>
  <c r="K47" i="131"/>
  <c r="E51" i="131"/>
  <c r="J47" i="131"/>
  <c r="Q49" i="131"/>
  <c r="P49" i="131"/>
  <c r="K46" i="131"/>
  <c r="O49" i="131"/>
  <c r="J46" i="131"/>
  <c r="N49" i="131"/>
  <c r="I46" i="131"/>
  <c r="T46" i="131"/>
  <c r="M49" i="131"/>
  <c r="H46" i="131"/>
  <c r="L49" i="131"/>
  <c r="G46" i="131"/>
  <c r="U46" i="131"/>
  <c r="K49" i="131"/>
  <c r="F46" i="131"/>
  <c r="V47" i="131"/>
  <c r="U47" i="131"/>
  <c r="T47" i="131"/>
  <c r="G33" i="131"/>
  <c r="F33" i="131"/>
  <c r="E33" i="131"/>
  <c r="Q47" i="131"/>
  <c r="E45" i="131"/>
  <c r="D33" i="131"/>
  <c r="I51" i="131"/>
  <c r="H51" i="131"/>
  <c r="N48" i="131"/>
  <c r="V52" i="131"/>
  <c r="J51" i="131"/>
  <c r="R49" i="131"/>
  <c r="F48" i="131"/>
  <c r="N46" i="131"/>
  <c r="I49" i="131"/>
  <c r="T50" i="131"/>
  <c r="H49" i="131"/>
  <c r="S50" i="131"/>
  <c r="G49" i="131"/>
  <c r="R50" i="131"/>
  <c r="F49" i="131"/>
  <c r="V45" i="131"/>
  <c r="I52" i="131"/>
  <c r="Q50" i="131"/>
  <c r="E49" i="131"/>
  <c r="U45" i="131"/>
  <c r="P50" i="131"/>
  <c r="D49" i="131"/>
  <c r="T45" i="131"/>
  <c r="M50" i="131"/>
  <c r="U48" i="131"/>
  <c r="J50" i="131"/>
  <c r="R48" i="131"/>
  <c r="F47" i="131"/>
  <c r="N45" i="131"/>
  <c r="U51" i="131"/>
  <c r="I50" i="131"/>
  <c r="Q48" i="131"/>
  <c r="E47" i="131"/>
  <c r="L50" i="131"/>
  <c r="T48" i="131"/>
  <c r="S48" i="131"/>
  <c r="V51" i="131"/>
  <c r="T51" i="131"/>
  <c r="H50" i="131"/>
  <c r="P48" i="131"/>
  <c r="V48" i="131"/>
  <c r="K50" i="131"/>
  <c r="S51" i="131"/>
  <c r="G50" i="131"/>
  <c r="O48" i="131"/>
  <c r="K45" i="131"/>
  <c r="J45" i="131"/>
  <c r="Q51" i="131"/>
  <c r="M48" i="131"/>
  <c r="N51" i="131"/>
  <c r="V49" i="131"/>
  <c r="J48" i="131"/>
  <c r="F45" i="131"/>
  <c r="R51" i="131"/>
  <c r="M51" i="131"/>
  <c r="U49" i="131"/>
  <c r="I48" i="131"/>
  <c r="Q46" i="131"/>
  <c r="L51" i="131"/>
  <c r="T49" i="131"/>
  <c r="H48" i="131"/>
  <c r="P51" i="131"/>
  <c r="L48" i="131"/>
  <c r="O51" i="131"/>
  <c r="K48" i="131"/>
  <c r="J30" i="131"/>
  <c r="I30" i="131"/>
  <c r="H30" i="131"/>
  <c r="F29" i="131"/>
  <c r="D29" i="131"/>
  <c r="V28" i="131"/>
  <c r="U28" i="131"/>
  <c r="T28" i="131"/>
  <c r="Q28" i="131"/>
  <c r="P28" i="131"/>
  <c r="N28" i="131"/>
  <c r="J28" i="131"/>
  <c r="J31" i="131"/>
  <c r="G31" i="131"/>
  <c r="E31" i="131"/>
  <c r="Q30" i="131"/>
  <c r="N30" i="131"/>
  <c r="K28" i="131"/>
  <c r="H31" i="131"/>
  <c r="F31" i="131"/>
  <c r="P30" i="131"/>
  <c r="K30" i="131"/>
  <c r="F28" i="131"/>
  <c r="G30" i="131"/>
  <c r="E28" i="131"/>
  <c r="F30" i="131"/>
  <c r="D28" i="131"/>
  <c r="E30" i="131"/>
  <c r="D30" i="131"/>
  <c r="V29" i="131"/>
  <c r="V31" i="131"/>
  <c r="U29" i="131"/>
  <c r="U31" i="131"/>
  <c r="S29" i="131"/>
  <c r="T31" i="131"/>
  <c r="R29" i="131"/>
  <c r="S31" i="131"/>
  <c r="Q29" i="131"/>
  <c r="R31" i="131"/>
  <c r="P29" i="131"/>
  <c r="Q31" i="131"/>
  <c r="N29" i="131"/>
  <c r="P31" i="131"/>
  <c r="N31" i="131"/>
  <c r="K29" i="131"/>
  <c r="I28" i="131"/>
  <c r="E29" i="131"/>
  <c r="V32" i="131"/>
  <c r="T32" i="131"/>
  <c r="H28" i="131"/>
  <c r="T29" i="131"/>
  <c r="U32" i="131"/>
  <c r="P32" i="131"/>
  <c r="N32" i="131"/>
  <c r="I31" i="131"/>
  <c r="Q32" i="131"/>
  <c r="D31" i="131"/>
  <c r="J29" i="131"/>
  <c r="V30" i="131"/>
  <c r="I29" i="131"/>
  <c r="U30" i="131"/>
  <c r="H29" i="131"/>
  <c r="K32" i="131"/>
  <c r="J32" i="131"/>
  <c r="V33" i="131"/>
  <c r="I32" i="131"/>
  <c r="U33" i="131"/>
  <c r="H32" i="131"/>
  <c r="T33" i="131"/>
  <c r="G32" i="131"/>
  <c r="F32" i="131"/>
  <c r="E32" i="131"/>
  <c r="Q33" i="131"/>
  <c r="P33" i="131"/>
  <c r="N33" i="131"/>
  <c r="K33" i="131"/>
  <c r="J33" i="131"/>
  <c r="I33" i="131"/>
  <c r="V12" i="131"/>
  <c r="K12" i="131"/>
  <c r="J12" i="131"/>
  <c r="I12" i="131"/>
  <c r="H12" i="131"/>
  <c r="G12" i="131"/>
  <c r="F12" i="131"/>
  <c r="E12" i="131"/>
  <c r="D12" i="131"/>
  <c r="U12" i="131"/>
  <c r="T12" i="131"/>
  <c r="P12" i="131"/>
  <c r="N12" i="131"/>
  <c r="A9" i="142" l="1"/>
  <c r="A55" i="142" s="1"/>
  <c r="A100" i="142" s="1"/>
  <c r="A145" i="142" s="1"/>
  <c r="A14" i="142"/>
  <c r="A60" i="142" s="1"/>
  <c r="A105" i="142" s="1"/>
  <c r="A150" i="142" s="1"/>
  <c r="A7" i="142"/>
  <c r="A53" i="142" s="1"/>
  <c r="A98" i="142" s="1"/>
  <c r="A143" i="142" s="1"/>
  <c r="A188" i="142" s="1"/>
  <c r="B390" i="133"/>
  <c r="A19" i="142"/>
  <c r="A65" i="142" s="1"/>
  <c r="A110" i="142" s="1"/>
  <c r="A155" i="142" s="1"/>
  <c r="C396" i="133"/>
  <c r="B32" i="142"/>
  <c r="B78" i="142" s="1"/>
  <c r="B123" i="142" s="1"/>
  <c r="B168" i="142" s="1"/>
  <c r="D168" i="142" s="1"/>
  <c r="AF168" i="142" s="1"/>
  <c r="C400" i="133"/>
  <c r="A6" i="142"/>
  <c r="A52" i="142" s="1"/>
  <c r="A97" i="142" s="1"/>
  <c r="A142" i="142" s="1"/>
  <c r="A187" i="142" s="1"/>
  <c r="B245" i="133"/>
  <c r="B292" i="133" s="1"/>
  <c r="B339" i="133" s="1"/>
  <c r="A21" i="142" s="1"/>
  <c r="A67" i="142" s="1"/>
  <c r="A112" i="142" s="1"/>
  <c r="A157" i="142" s="1"/>
  <c r="C95" i="183"/>
  <c r="B381" i="133"/>
  <c r="A8" i="142"/>
  <c r="A54" i="142" s="1"/>
  <c r="A99" i="142" s="1"/>
  <c r="A144" i="142" s="1"/>
  <c r="A189" i="142" s="1"/>
  <c r="C234" i="133"/>
  <c r="C281" i="133" s="1"/>
  <c r="C328" i="133" s="1"/>
  <c r="C410" i="133"/>
  <c r="E410" i="133" s="1"/>
  <c r="B45" i="142"/>
  <c r="B91" i="142" s="1"/>
  <c r="B136" i="142" s="1"/>
  <c r="B181" i="142" s="1"/>
  <c r="B18" i="142"/>
  <c r="B64" i="142" s="1"/>
  <c r="B109" i="142" s="1"/>
  <c r="B154" i="142" s="1"/>
  <c r="C383" i="133"/>
  <c r="B33" i="142"/>
  <c r="B79" i="142" s="1"/>
  <c r="B124" i="142" s="1"/>
  <c r="B169" i="142" s="1"/>
  <c r="D169" i="142" s="1"/>
  <c r="C398" i="133"/>
  <c r="E398" i="133" s="1"/>
  <c r="B386" i="133"/>
  <c r="C372" i="133"/>
  <c r="B39" i="142"/>
  <c r="B85" i="142" s="1"/>
  <c r="B130" i="142" s="1"/>
  <c r="B175" i="142" s="1"/>
  <c r="C404" i="133"/>
  <c r="B36" i="142"/>
  <c r="B82" i="142" s="1"/>
  <c r="B127" i="142" s="1"/>
  <c r="B172" i="142" s="1"/>
  <c r="C401" i="133"/>
  <c r="C402" i="133"/>
  <c r="B37" i="142"/>
  <c r="B83" i="142" s="1"/>
  <c r="B128" i="142" s="1"/>
  <c r="B173" i="142" s="1"/>
  <c r="B25" i="142"/>
  <c r="B71" i="142" s="1"/>
  <c r="B116" i="142" s="1"/>
  <c r="B161" i="142" s="1"/>
  <c r="C390" i="133"/>
  <c r="C392" i="133"/>
  <c r="B27" i="142"/>
  <c r="B73" i="142" s="1"/>
  <c r="B118" i="142" s="1"/>
  <c r="B163" i="142" s="1"/>
  <c r="B44" i="142"/>
  <c r="B90" i="142" s="1"/>
  <c r="B135" i="142" s="1"/>
  <c r="B180" i="142" s="1"/>
  <c r="C409" i="133"/>
  <c r="C374" i="133"/>
  <c r="B9" i="142"/>
  <c r="B55" i="142" s="1"/>
  <c r="B100" i="142" s="1"/>
  <c r="B145" i="142" s="1"/>
  <c r="B14" i="142"/>
  <c r="B60" i="142" s="1"/>
  <c r="B105" i="142" s="1"/>
  <c r="B150" i="142" s="1"/>
  <c r="C379" i="133"/>
  <c r="C380" i="133"/>
  <c r="B15" i="142"/>
  <c r="B61" i="142" s="1"/>
  <c r="B106" i="142" s="1"/>
  <c r="B151" i="142" s="1"/>
  <c r="C388" i="133"/>
  <c r="B23" i="142"/>
  <c r="B69" i="142" s="1"/>
  <c r="B114" i="142" s="1"/>
  <c r="B159" i="142" s="1"/>
  <c r="B29" i="142"/>
  <c r="B75" i="142" s="1"/>
  <c r="B120" i="142" s="1"/>
  <c r="B165" i="142" s="1"/>
  <c r="D165" i="142" s="1"/>
  <c r="AM165" i="142" s="1"/>
  <c r="C406" i="133"/>
  <c r="I30" i="152"/>
  <c r="I34" i="152"/>
  <c r="AP30" i="152"/>
  <c r="AP34" i="152"/>
  <c r="C391" i="133"/>
  <c r="I20" i="152"/>
  <c r="I24" i="152" s="1"/>
  <c r="I37" i="152"/>
  <c r="H20" i="152"/>
  <c r="H24" i="152" s="1"/>
  <c r="H37" i="152"/>
  <c r="AO20" i="152"/>
  <c r="AO24" i="152" s="1"/>
  <c r="G30" i="152"/>
  <c r="G34" i="152"/>
  <c r="F20" i="152"/>
  <c r="F24" i="152" s="1"/>
  <c r="F37" i="152"/>
  <c r="AP20" i="152"/>
  <c r="AP24" i="152" s="1"/>
  <c r="H30" i="152"/>
  <c r="H34" i="152"/>
  <c r="B38" i="142"/>
  <c r="B84" i="142" s="1"/>
  <c r="B129" i="142" s="1"/>
  <c r="B174" i="142" s="1"/>
  <c r="G20" i="152"/>
  <c r="G24" i="152" s="1"/>
  <c r="G37" i="152"/>
  <c r="C387" i="133"/>
  <c r="AO30" i="152"/>
  <c r="AO34" i="152"/>
  <c r="C386" i="133"/>
  <c r="B21" i="142"/>
  <c r="B67" i="142" s="1"/>
  <c r="B112" i="142" s="1"/>
  <c r="B157" i="142" s="1"/>
  <c r="C393" i="133"/>
  <c r="E393" i="133" s="1"/>
  <c r="C408" i="133"/>
  <c r="C381" i="133"/>
  <c r="B24" i="142"/>
  <c r="B70" i="142" s="1"/>
  <c r="B115" i="142" s="1"/>
  <c r="B160" i="142" s="1"/>
  <c r="D164" i="142"/>
  <c r="AC164" i="142" s="1"/>
  <c r="C395" i="133"/>
  <c r="E395" i="133" s="1"/>
  <c r="B42" i="142"/>
  <c r="B88" i="142" s="1"/>
  <c r="B133" i="142" s="1"/>
  <c r="B178" i="142" s="1"/>
  <c r="C405" i="133"/>
  <c r="C411" i="133"/>
  <c r="E411" i="133" s="1"/>
  <c r="B47" i="142"/>
  <c r="C384" i="133"/>
  <c r="B11" i="142"/>
  <c r="B57" i="142" s="1"/>
  <c r="B102" i="142" s="1"/>
  <c r="B147" i="142" s="1"/>
  <c r="C385" i="133"/>
  <c r="C378" i="133"/>
  <c r="B34" i="142"/>
  <c r="B80" i="142" s="1"/>
  <c r="B125" i="142" s="1"/>
  <c r="B170" i="142" s="1"/>
  <c r="B17" i="142"/>
  <c r="B63" i="142" s="1"/>
  <c r="B108" i="142" s="1"/>
  <c r="B153" i="142" s="1"/>
  <c r="C377" i="133"/>
  <c r="D166" i="142"/>
  <c r="R166" i="142" s="1"/>
  <c r="D167" i="142"/>
  <c r="I167" i="142" s="1"/>
  <c r="F31" i="152"/>
  <c r="F35" i="152"/>
  <c r="G31" i="152"/>
  <c r="G35" i="152"/>
  <c r="H31" i="152"/>
  <c r="H35" i="152"/>
  <c r="AP31" i="152"/>
  <c r="AP35" i="152"/>
  <c r="AO31" i="152"/>
  <c r="AO35" i="152"/>
  <c r="I31" i="152"/>
  <c r="I35" i="152"/>
  <c r="J76" i="133"/>
  <c r="I76" i="133"/>
  <c r="H76" i="133"/>
  <c r="D181" i="142"/>
  <c r="AF181" i="142" s="1"/>
  <c r="E346" i="133"/>
  <c r="D119" i="142"/>
  <c r="E351" i="133"/>
  <c r="E364" i="133"/>
  <c r="E397" i="133"/>
  <c r="E350" i="133"/>
  <c r="D123" i="142"/>
  <c r="E394" i="133"/>
  <c r="E347" i="133"/>
  <c r="E348" i="133"/>
  <c r="D121" i="142"/>
  <c r="E363" i="133"/>
  <c r="D182" i="142"/>
  <c r="E412" i="133"/>
  <c r="E365" i="133"/>
  <c r="E396" i="133"/>
  <c r="E349" i="133"/>
  <c r="D122" i="142"/>
  <c r="I34" i="133"/>
  <c r="J34" i="133"/>
  <c r="H34" i="133"/>
  <c r="F10" i="131"/>
  <c r="F17" i="131"/>
  <c r="T6" i="131"/>
  <c r="U6" i="131"/>
  <c r="V6" i="131"/>
  <c r="T7" i="131"/>
  <c r="U7" i="131"/>
  <c r="V7" i="131"/>
  <c r="U8" i="131"/>
  <c r="V8" i="131"/>
  <c r="T9" i="131"/>
  <c r="U9" i="131"/>
  <c r="V9" i="131"/>
  <c r="T10" i="131"/>
  <c r="U10" i="131"/>
  <c r="V10" i="131"/>
  <c r="T11" i="131"/>
  <c r="U11" i="131"/>
  <c r="V11" i="131"/>
  <c r="T13" i="131"/>
  <c r="U13" i="131"/>
  <c r="V13" i="131"/>
  <c r="T14" i="131"/>
  <c r="U14" i="131"/>
  <c r="V14" i="131"/>
  <c r="T15" i="131"/>
  <c r="U15" i="131"/>
  <c r="V15" i="131"/>
  <c r="T16" i="131"/>
  <c r="U16" i="131"/>
  <c r="V16" i="131"/>
  <c r="T17" i="131"/>
  <c r="U17" i="131"/>
  <c r="V17" i="131"/>
  <c r="T18" i="131"/>
  <c r="U18" i="131"/>
  <c r="V18" i="131"/>
  <c r="T19" i="131"/>
  <c r="U19" i="131"/>
  <c r="V19" i="131"/>
  <c r="T20" i="131"/>
  <c r="U20" i="131"/>
  <c r="V20" i="131"/>
  <c r="T21" i="131"/>
  <c r="U21" i="131"/>
  <c r="V21" i="131"/>
  <c r="T22" i="131"/>
  <c r="U22" i="131"/>
  <c r="V22" i="131"/>
  <c r="T23" i="131"/>
  <c r="U23" i="131"/>
  <c r="V23" i="131"/>
  <c r="T24" i="131"/>
  <c r="U24" i="131"/>
  <c r="V24" i="131"/>
  <c r="T25" i="131"/>
  <c r="U25" i="131"/>
  <c r="V25" i="131"/>
  <c r="T26" i="131"/>
  <c r="U26" i="131"/>
  <c r="V26" i="131"/>
  <c r="T27" i="131"/>
  <c r="U27" i="131"/>
  <c r="V27" i="131"/>
  <c r="T34" i="131"/>
  <c r="U34" i="131"/>
  <c r="V34" i="131"/>
  <c r="T35" i="131"/>
  <c r="U35" i="131"/>
  <c r="V35" i="131"/>
  <c r="T36" i="131"/>
  <c r="U36" i="131"/>
  <c r="V36" i="131"/>
  <c r="T37" i="131"/>
  <c r="U37" i="131"/>
  <c r="V37" i="131"/>
  <c r="T38" i="131"/>
  <c r="U38" i="131"/>
  <c r="V38" i="131"/>
  <c r="T39" i="131"/>
  <c r="U39" i="131"/>
  <c r="V39" i="131"/>
  <c r="T40" i="131"/>
  <c r="U40" i="131"/>
  <c r="V40" i="131"/>
  <c r="T41" i="131"/>
  <c r="U41" i="131"/>
  <c r="V41" i="131"/>
  <c r="T42" i="131"/>
  <c r="U42" i="131"/>
  <c r="V42" i="131"/>
  <c r="T43" i="131"/>
  <c r="U43" i="131"/>
  <c r="V43" i="131"/>
  <c r="T44" i="131"/>
  <c r="U44" i="131"/>
  <c r="V44" i="131"/>
  <c r="T53" i="131"/>
  <c r="U53" i="131"/>
  <c r="V53" i="131"/>
  <c r="V5" i="131"/>
  <c r="U5" i="131"/>
  <c r="T5" i="131"/>
  <c r="Q6" i="131"/>
  <c r="Q7" i="131"/>
  <c r="P9" i="131"/>
  <c r="P10" i="131"/>
  <c r="P11" i="131"/>
  <c r="P13" i="131"/>
  <c r="Q13" i="131"/>
  <c r="P14" i="131"/>
  <c r="Q14" i="131"/>
  <c r="R14" i="131"/>
  <c r="S14" i="131"/>
  <c r="P15" i="131"/>
  <c r="P16" i="131"/>
  <c r="Q16" i="131"/>
  <c r="P17" i="131"/>
  <c r="Q17" i="131"/>
  <c r="P18" i="131"/>
  <c r="Q18" i="131"/>
  <c r="P19" i="131"/>
  <c r="Q19" i="131"/>
  <c r="P20" i="131"/>
  <c r="Q20" i="131"/>
  <c r="P21" i="131"/>
  <c r="P22" i="131"/>
  <c r="P23" i="131"/>
  <c r="P24" i="131"/>
  <c r="P25" i="131"/>
  <c r="Q25" i="131"/>
  <c r="R25" i="131"/>
  <c r="S25" i="131"/>
  <c r="P26" i="131"/>
  <c r="Q26" i="131"/>
  <c r="R26" i="131"/>
  <c r="S26" i="131"/>
  <c r="P27" i="131"/>
  <c r="Q27" i="131"/>
  <c r="P34" i="131"/>
  <c r="Q34" i="131"/>
  <c r="P35" i="131"/>
  <c r="Q35" i="131"/>
  <c r="P36" i="131"/>
  <c r="Q36" i="131"/>
  <c r="P37" i="131"/>
  <c r="Q37" i="131"/>
  <c r="P38" i="131"/>
  <c r="Q38" i="131"/>
  <c r="P39" i="131"/>
  <c r="Q39" i="131"/>
  <c r="P40" i="131"/>
  <c r="Q40" i="131"/>
  <c r="P41" i="131"/>
  <c r="Q41" i="131"/>
  <c r="P42" i="131"/>
  <c r="Q42" i="131"/>
  <c r="P43" i="131"/>
  <c r="Q43" i="131"/>
  <c r="Q44" i="131"/>
  <c r="P53" i="131"/>
  <c r="Q53" i="131"/>
  <c r="R53" i="131"/>
  <c r="S53" i="131"/>
  <c r="Q5" i="131"/>
  <c r="O14" i="131"/>
  <c r="O53" i="131"/>
  <c r="N6" i="131"/>
  <c r="N7" i="131"/>
  <c r="N8" i="131"/>
  <c r="N9" i="131"/>
  <c r="N10" i="131"/>
  <c r="N11" i="131"/>
  <c r="N13" i="131"/>
  <c r="N14" i="131"/>
  <c r="N15" i="131"/>
  <c r="N16" i="131"/>
  <c r="N17" i="131"/>
  <c r="N18" i="131"/>
  <c r="N19" i="131"/>
  <c r="N20" i="131"/>
  <c r="N21" i="131"/>
  <c r="N22" i="131"/>
  <c r="N23" i="131"/>
  <c r="N24" i="131"/>
  <c r="N25" i="131"/>
  <c r="N26" i="131"/>
  <c r="N27" i="131"/>
  <c r="N34" i="131"/>
  <c r="N35" i="131"/>
  <c r="N36" i="131"/>
  <c r="N37" i="131"/>
  <c r="N38" i="131"/>
  <c r="N39" i="131"/>
  <c r="N40" i="131"/>
  <c r="N41" i="131"/>
  <c r="N42" i="131"/>
  <c r="N43" i="131"/>
  <c r="N44" i="131"/>
  <c r="N53" i="131"/>
  <c r="N5" i="131"/>
  <c r="M14" i="131"/>
  <c r="M53" i="131"/>
  <c r="L14" i="131"/>
  <c r="L53" i="131"/>
  <c r="K6" i="131"/>
  <c r="K7" i="131"/>
  <c r="K8" i="131"/>
  <c r="K9" i="131"/>
  <c r="K10" i="131"/>
  <c r="K11" i="131"/>
  <c r="K13" i="131"/>
  <c r="K14" i="131"/>
  <c r="K15" i="131"/>
  <c r="K16" i="131"/>
  <c r="K17" i="131"/>
  <c r="K18" i="131"/>
  <c r="K19" i="131"/>
  <c r="K20" i="131"/>
  <c r="K21" i="131"/>
  <c r="K22" i="131"/>
  <c r="K23" i="131"/>
  <c r="K24" i="131"/>
  <c r="K25" i="131"/>
  <c r="K26" i="131"/>
  <c r="K27" i="131"/>
  <c r="K34" i="131"/>
  <c r="K35" i="131"/>
  <c r="K36" i="131"/>
  <c r="K37" i="131"/>
  <c r="K38" i="131"/>
  <c r="K39" i="131"/>
  <c r="K40" i="131"/>
  <c r="K41" i="131"/>
  <c r="K42" i="131"/>
  <c r="K43" i="131"/>
  <c r="K44" i="131"/>
  <c r="K53" i="131"/>
  <c r="K5" i="131"/>
  <c r="J6" i="131"/>
  <c r="J7" i="131"/>
  <c r="J8" i="131"/>
  <c r="J9" i="131"/>
  <c r="J10" i="131"/>
  <c r="J11" i="131"/>
  <c r="J13" i="131"/>
  <c r="J14" i="131"/>
  <c r="J16" i="131"/>
  <c r="J17" i="131"/>
  <c r="J18" i="131"/>
  <c r="J19" i="131"/>
  <c r="J20" i="131"/>
  <c r="J21" i="131"/>
  <c r="J22" i="131"/>
  <c r="J23" i="131"/>
  <c r="J24" i="131"/>
  <c r="J25" i="131"/>
  <c r="J26" i="131"/>
  <c r="J27" i="131"/>
  <c r="J34" i="131"/>
  <c r="J35" i="131"/>
  <c r="J36" i="131"/>
  <c r="J37" i="131"/>
  <c r="J38" i="131"/>
  <c r="J39" i="131"/>
  <c r="J40" i="131"/>
  <c r="J41" i="131"/>
  <c r="J42" i="131"/>
  <c r="J43" i="131"/>
  <c r="J44" i="131"/>
  <c r="J53" i="131"/>
  <c r="J5" i="131"/>
  <c r="I6" i="131"/>
  <c r="I7" i="131"/>
  <c r="I8" i="131"/>
  <c r="I9" i="131"/>
  <c r="I10" i="131"/>
  <c r="I11" i="131"/>
  <c r="I13" i="131"/>
  <c r="I14" i="131"/>
  <c r="I15" i="131"/>
  <c r="I16" i="131"/>
  <c r="I17" i="131"/>
  <c r="I18" i="131"/>
  <c r="I19" i="131"/>
  <c r="I20" i="131"/>
  <c r="I21" i="131"/>
  <c r="I22" i="131"/>
  <c r="I23" i="131"/>
  <c r="I24" i="131"/>
  <c r="I25" i="131"/>
  <c r="I26" i="131"/>
  <c r="I27" i="131"/>
  <c r="I34" i="131"/>
  <c r="I35" i="131"/>
  <c r="I36" i="131"/>
  <c r="I37" i="131"/>
  <c r="I38" i="131"/>
  <c r="I39" i="131"/>
  <c r="I40" i="131"/>
  <c r="I41" i="131"/>
  <c r="I42" i="131"/>
  <c r="I43" i="131"/>
  <c r="I44" i="131"/>
  <c r="I53" i="131"/>
  <c r="I5" i="131"/>
  <c r="H6" i="131"/>
  <c r="F18" i="134" s="1"/>
  <c r="F6" i="152" s="1"/>
  <c r="H7" i="131"/>
  <c r="H8" i="131"/>
  <c r="F40" i="134" s="1"/>
  <c r="F42" i="134" s="1"/>
  <c r="F43" i="134" s="1"/>
  <c r="H9" i="131"/>
  <c r="H10" i="131"/>
  <c r="H11" i="131"/>
  <c r="H13" i="131"/>
  <c r="H14" i="131"/>
  <c r="H15" i="131"/>
  <c r="K40" i="134" s="1"/>
  <c r="H16" i="131"/>
  <c r="L40" i="134" s="1"/>
  <c r="H17" i="131"/>
  <c r="H18" i="131"/>
  <c r="H19" i="131"/>
  <c r="H20" i="131"/>
  <c r="H21" i="131"/>
  <c r="H22" i="131"/>
  <c r="H23" i="131"/>
  <c r="H24" i="131"/>
  <c r="H25" i="131"/>
  <c r="H26" i="131"/>
  <c r="H27" i="131"/>
  <c r="H34" i="131"/>
  <c r="H35" i="131"/>
  <c r="H36" i="131"/>
  <c r="H37" i="131"/>
  <c r="H38" i="131"/>
  <c r="H39" i="131"/>
  <c r="H40" i="131"/>
  <c r="H41" i="131"/>
  <c r="H42" i="131"/>
  <c r="H43" i="131"/>
  <c r="H44" i="131"/>
  <c r="H53" i="131"/>
  <c r="H5" i="131"/>
  <c r="E18" i="134" s="1"/>
  <c r="E6" i="152" s="1"/>
  <c r="G6" i="131"/>
  <c r="G7" i="131"/>
  <c r="G8" i="131"/>
  <c r="G9" i="131"/>
  <c r="G10" i="131"/>
  <c r="G11" i="131"/>
  <c r="G13" i="131"/>
  <c r="G14" i="131"/>
  <c r="G15" i="131"/>
  <c r="G16" i="131"/>
  <c r="G17" i="131"/>
  <c r="G18" i="131"/>
  <c r="G19" i="131"/>
  <c r="G20" i="131"/>
  <c r="G21" i="131"/>
  <c r="G23" i="131"/>
  <c r="G24" i="131"/>
  <c r="G25" i="131"/>
  <c r="G26" i="131"/>
  <c r="G27" i="131"/>
  <c r="G34" i="131"/>
  <c r="G35" i="131"/>
  <c r="G36" i="131"/>
  <c r="G37" i="131"/>
  <c r="G38" i="131"/>
  <c r="G39" i="131"/>
  <c r="G40" i="131"/>
  <c r="G41" i="131"/>
  <c r="G42" i="131"/>
  <c r="G43" i="131"/>
  <c r="G44" i="131"/>
  <c r="G53" i="131"/>
  <c r="G5" i="131"/>
  <c r="F6" i="131"/>
  <c r="F7" i="131"/>
  <c r="F8" i="131"/>
  <c r="F9" i="131"/>
  <c r="F11" i="131"/>
  <c r="F13" i="131"/>
  <c r="F14" i="131"/>
  <c r="F15" i="131"/>
  <c r="F16" i="131"/>
  <c r="F18" i="131"/>
  <c r="F19" i="131"/>
  <c r="F20" i="131"/>
  <c r="F21" i="131"/>
  <c r="E339" i="133" s="1"/>
  <c r="K339" i="133" s="1"/>
  <c r="F22" i="131"/>
  <c r="F23" i="131"/>
  <c r="F24" i="131"/>
  <c r="F25" i="131"/>
  <c r="F26" i="131"/>
  <c r="F27" i="131"/>
  <c r="F34" i="131"/>
  <c r="F35" i="131"/>
  <c r="F36" i="131"/>
  <c r="F37" i="131"/>
  <c r="F38" i="131"/>
  <c r="F39" i="131"/>
  <c r="F40" i="131"/>
  <c r="F41" i="131"/>
  <c r="F42" i="131"/>
  <c r="F43" i="131"/>
  <c r="F44" i="131"/>
  <c r="F53" i="131"/>
  <c r="E6" i="131"/>
  <c r="E7" i="131"/>
  <c r="E8" i="131"/>
  <c r="E9" i="131"/>
  <c r="E10" i="131"/>
  <c r="E11" i="131"/>
  <c r="E13" i="131"/>
  <c r="E14" i="131"/>
  <c r="E16" i="131"/>
  <c r="E17" i="131"/>
  <c r="E18" i="131"/>
  <c r="E19" i="131"/>
  <c r="E20" i="131"/>
  <c r="E21" i="131"/>
  <c r="E22" i="131"/>
  <c r="E23" i="131"/>
  <c r="E24" i="131"/>
  <c r="E25" i="131"/>
  <c r="E26" i="131"/>
  <c r="E27" i="131"/>
  <c r="E34" i="131"/>
  <c r="E35" i="131"/>
  <c r="E36" i="131"/>
  <c r="E37" i="131"/>
  <c r="E38" i="131"/>
  <c r="E39" i="131"/>
  <c r="E40" i="131"/>
  <c r="E41" i="131"/>
  <c r="E42" i="131"/>
  <c r="E43" i="131"/>
  <c r="E44" i="131"/>
  <c r="E53" i="131"/>
  <c r="E5" i="131"/>
  <c r="D5" i="131"/>
  <c r="D6" i="131"/>
  <c r="D7" i="131"/>
  <c r="D8" i="131"/>
  <c r="D10" i="131"/>
  <c r="D11" i="131"/>
  <c r="D13" i="131"/>
  <c r="D14" i="131"/>
  <c r="D15" i="131"/>
  <c r="D16" i="131"/>
  <c r="D17" i="131"/>
  <c r="D18" i="131"/>
  <c r="D19" i="131"/>
  <c r="D20" i="131"/>
  <c r="D21" i="131"/>
  <c r="D22" i="131"/>
  <c r="D23" i="131"/>
  <c r="D24" i="131"/>
  <c r="D25" i="131"/>
  <c r="D26" i="131"/>
  <c r="D27" i="131"/>
  <c r="D34" i="131"/>
  <c r="D35" i="131"/>
  <c r="D36" i="131"/>
  <c r="D37" i="131"/>
  <c r="D38" i="131"/>
  <c r="D39" i="131"/>
  <c r="D40" i="131"/>
  <c r="D41" i="131"/>
  <c r="D42" i="131"/>
  <c r="D43" i="131"/>
  <c r="D44" i="131"/>
  <c r="D53" i="131"/>
  <c r="S92" i="132"/>
  <c r="T92" i="132" s="1"/>
  <c r="Q92" i="132"/>
  <c r="S53" i="132"/>
  <c r="T53" i="132" s="1"/>
  <c r="Q53" i="132"/>
  <c r="S86" i="132"/>
  <c r="T86" i="132" s="1"/>
  <c r="Q86" i="132"/>
  <c r="S51" i="132"/>
  <c r="T51" i="132" s="1"/>
  <c r="Q51" i="132"/>
  <c r="G51" i="132"/>
  <c r="S50" i="132"/>
  <c r="T50" i="132" s="1"/>
  <c r="Q50" i="132"/>
  <c r="S58" i="132"/>
  <c r="T58" i="132" s="1"/>
  <c r="Q58" i="132"/>
  <c r="J58" i="132"/>
  <c r="Q79" i="132"/>
  <c r="G53" i="134" l="1"/>
  <c r="G55" i="134" s="1"/>
  <c r="D18" i="134"/>
  <c r="D6" i="152" s="1"/>
  <c r="D32" i="134"/>
  <c r="B16" i="175"/>
  <c r="D33" i="134"/>
  <c r="B17" i="175"/>
  <c r="A24" i="152"/>
  <c r="A29" i="152" s="1"/>
  <c r="H40" i="134"/>
  <c r="H42" i="134" s="1"/>
  <c r="H43" i="134" s="1"/>
  <c r="D104" i="142"/>
  <c r="I40" i="134"/>
  <c r="I42" i="134" s="1"/>
  <c r="I43" i="134" s="1"/>
  <c r="D149" i="142"/>
  <c r="B10" i="142"/>
  <c r="B56" i="142" s="1"/>
  <c r="B101" i="142" s="1"/>
  <c r="B146" i="142" s="1"/>
  <c r="D146" i="142" s="1"/>
  <c r="C375" i="133"/>
  <c r="E331" i="133"/>
  <c r="E378" i="133"/>
  <c r="E53" i="134"/>
  <c r="E55" i="134" s="1"/>
  <c r="D124" i="142"/>
  <c r="AB124" i="142" s="1"/>
  <c r="E52" i="134"/>
  <c r="E56" i="134" s="1"/>
  <c r="D120" i="142"/>
  <c r="AN120" i="142" s="1"/>
  <c r="AG164" i="142"/>
  <c r="H29" i="152"/>
  <c r="H42" i="152" s="1"/>
  <c r="H33" i="152"/>
  <c r="H43" i="152" s="1"/>
  <c r="F33" i="152"/>
  <c r="F43" i="152" s="1"/>
  <c r="F29" i="152"/>
  <c r="F42" i="152" s="1"/>
  <c r="AF164" i="142"/>
  <c r="I29" i="152"/>
  <c r="I42" i="152" s="1"/>
  <c r="I33" i="152"/>
  <c r="I43" i="152" s="1"/>
  <c r="G29" i="152"/>
  <c r="G42" i="152" s="1"/>
  <c r="G33" i="152"/>
  <c r="G43" i="152" s="1"/>
  <c r="M164" i="142"/>
  <c r="AP29" i="152"/>
  <c r="AP42" i="152" s="1"/>
  <c r="AP33" i="152"/>
  <c r="AP43" i="152" s="1"/>
  <c r="AO164" i="142"/>
  <c r="AO29" i="152"/>
  <c r="AO42" i="152" s="1"/>
  <c r="AO33" i="152"/>
  <c r="AO43" i="152" s="1"/>
  <c r="E40" i="134"/>
  <c r="E42" i="134" s="1"/>
  <c r="AA166" i="142"/>
  <c r="S166" i="142"/>
  <c r="AM166" i="142"/>
  <c r="O166" i="142"/>
  <c r="K164" i="142"/>
  <c r="O164" i="142"/>
  <c r="AE164" i="142"/>
  <c r="M166" i="142"/>
  <c r="AM164" i="142"/>
  <c r="AK164" i="142"/>
  <c r="AH164" i="142"/>
  <c r="F166" i="142"/>
  <c r="AH166" i="142"/>
  <c r="AD164" i="142"/>
  <c r="Y164" i="142"/>
  <c r="Q164" i="142"/>
  <c r="P164" i="142"/>
  <c r="W166" i="142"/>
  <c r="J164" i="142"/>
  <c r="H164" i="142"/>
  <c r="AL164" i="142"/>
  <c r="E166" i="142"/>
  <c r="AO166" i="142"/>
  <c r="AJ166" i="142"/>
  <c r="L164" i="142"/>
  <c r="AK166" i="142"/>
  <c r="AB164" i="142"/>
  <c r="Z164" i="142"/>
  <c r="E164" i="142"/>
  <c r="W164" i="142"/>
  <c r="F164" i="142"/>
  <c r="U164" i="142"/>
  <c r="AN164" i="142"/>
  <c r="AK165" i="142"/>
  <c r="V165" i="142"/>
  <c r="Y165" i="142"/>
  <c r="N164" i="142"/>
  <c r="AA165" i="142"/>
  <c r="Z165" i="142"/>
  <c r="L165" i="142"/>
  <c r="U165" i="142"/>
  <c r="I164" i="142"/>
  <c r="AJ164" i="142"/>
  <c r="X165" i="142"/>
  <c r="N165" i="142"/>
  <c r="AA167" i="142"/>
  <c r="P165" i="142"/>
  <c r="H167" i="142"/>
  <c r="H165" i="142"/>
  <c r="AF167" i="142"/>
  <c r="N167" i="142"/>
  <c r="AC167" i="142"/>
  <c r="K167" i="142"/>
  <c r="AE165" i="142"/>
  <c r="M167" i="142"/>
  <c r="Z167" i="142"/>
  <c r="AD167" i="142"/>
  <c r="T165" i="142"/>
  <c r="G167" i="142"/>
  <c r="AJ167" i="142"/>
  <c r="AH167" i="142"/>
  <c r="G164" i="142"/>
  <c r="AL166" i="142"/>
  <c r="S165" i="142"/>
  <c r="F167" i="142"/>
  <c r="S164" i="142"/>
  <c r="Q166" i="142"/>
  <c r="AG166" i="142"/>
  <c r="AO165" i="142"/>
  <c r="J166" i="142"/>
  <c r="J167" i="142"/>
  <c r="O165" i="142"/>
  <c r="AN165" i="142"/>
  <c r="AC166" i="142"/>
  <c r="AE167" i="142"/>
  <c r="U167" i="142"/>
  <c r="R165" i="142"/>
  <c r="AJ165" i="142"/>
  <c r="AN166" i="142"/>
  <c r="R167" i="142"/>
  <c r="Q167" i="142"/>
  <c r="AM167" i="142"/>
  <c r="W165" i="142"/>
  <c r="M165" i="142"/>
  <c r="G165" i="142"/>
  <c r="Y166" i="142"/>
  <c r="AB167" i="142"/>
  <c r="V166" i="142"/>
  <c r="E167" i="142"/>
  <c r="K165" i="142"/>
  <c r="AH165" i="142"/>
  <c r="P166" i="142"/>
  <c r="AD166" i="142"/>
  <c r="AL167" i="142"/>
  <c r="AG165" i="142"/>
  <c r="E165" i="142"/>
  <c r="N166" i="142"/>
  <c r="V167" i="142"/>
  <c r="AD165" i="142"/>
  <c r="AI165" i="142"/>
  <c r="R164" i="142"/>
  <c r="Z166" i="142"/>
  <c r="J165" i="142"/>
  <c r="X166" i="142"/>
  <c r="L167" i="142"/>
  <c r="AG167" i="142"/>
  <c r="AI164" i="142"/>
  <c r="U166" i="142"/>
  <c r="AB165" i="142"/>
  <c r="S167" i="142"/>
  <c r="Q165" i="142"/>
  <c r="Y167" i="142"/>
  <c r="X164" i="142"/>
  <c r="AE166" i="142"/>
  <c r="P167" i="142"/>
  <c r="L166" i="142"/>
  <c r="AB166" i="142"/>
  <c r="I165" i="142"/>
  <c r="H166" i="142"/>
  <c r="AF166" i="142"/>
  <c r="O167" i="142"/>
  <c r="AL165" i="142"/>
  <c r="W167" i="142"/>
  <c r="AN167" i="142"/>
  <c r="AF165" i="142"/>
  <c r="T164" i="142"/>
  <c r="V164" i="142"/>
  <c r="K166" i="142"/>
  <c r="AI167" i="142"/>
  <c r="AC165" i="142"/>
  <c r="T167" i="142"/>
  <c r="AO167" i="142"/>
  <c r="F165" i="142"/>
  <c r="AK167" i="142"/>
  <c r="AA164" i="142"/>
  <c r="T166" i="142"/>
  <c r="AI166" i="142"/>
  <c r="G166" i="142"/>
  <c r="I166" i="142"/>
  <c r="X167" i="142"/>
  <c r="S168" i="142"/>
  <c r="E12" i="152"/>
  <c r="E14" i="152" s="1"/>
  <c r="A26" i="152"/>
  <c r="A31" i="152" s="1"/>
  <c r="F12" i="152"/>
  <c r="F14" i="152" s="1"/>
  <c r="A25" i="152"/>
  <c r="A30" i="152" s="1"/>
  <c r="D12" i="152"/>
  <c r="D14" i="152" s="1"/>
  <c r="M181" i="142"/>
  <c r="L181" i="142"/>
  <c r="I181" i="142"/>
  <c r="AK181" i="142"/>
  <c r="W181" i="142"/>
  <c r="AH181" i="142"/>
  <c r="AE181" i="142"/>
  <c r="E181" i="142"/>
  <c r="K181" i="142"/>
  <c r="AN181" i="142"/>
  <c r="V181" i="142"/>
  <c r="O181" i="142"/>
  <c r="AD181" i="142"/>
  <c r="P181" i="142"/>
  <c r="S181" i="142"/>
  <c r="AO181" i="142"/>
  <c r="AL181" i="142"/>
  <c r="Q181" i="142"/>
  <c r="AC181" i="142"/>
  <c r="J181" i="142"/>
  <c r="AI181" i="142"/>
  <c r="Z181" i="142"/>
  <c r="U181" i="142"/>
  <c r="AA181" i="142"/>
  <c r="Y181" i="142"/>
  <c r="R181" i="142"/>
  <c r="T181" i="142"/>
  <c r="X181" i="142"/>
  <c r="AG181" i="142"/>
  <c r="H181" i="142"/>
  <c r="AB181" i="142"/>
  <c r="AJ181" i="142"/>
  <c r="F181" i="142"/>
  <c r="G181" i="142"/>
  <c r="N181" i="142"/>
  <c r="AM181" i="142"/>
  <c r="P168" i="142"/>
  <c r="Y168" i="142"/>
  <c r="AI168" i="142"/>
  <c r="D148" i="142"/>
  <c r="AM168" i="142"/>
  <c r="K168" i="142"/>
  <c r="I168" i="142"/>
  <c r="AD168" i="142"/>
  <c r="D178" i="142"/>
  <c r="AM178" i="142" s="1"/>
  <c r="O168" i="142"/>
  <c r="D177" i="142"/>
  <c r="AH177" i="142" s="1"/>
  <c r="V168" i="142"/>
  <c r="AN168" i="142"/>
  <c r="AL168" i="142"/>
  <c r="H168" i="142"/>
  <c r="AH168" i="142"/>
  <c r="AK168" i="142"/>
  <c r="AB168" i="142"/>
  <c r="D162" i="142"/>
  <c r="AC162" i="142" s="1"/>
  <c r="T168" i="142"/>
  <c r="AG168" i="142"/>
  <c r="U168" i="142"/>
  <c r="AA168" i="142"/>
  <c r="J168" i="142"/>
  <c r="Z168" i="142"/>
  <c r="R168" i="142"/>
  <c r="AE168" i="142"/>
  <c r="E168" i="142"/>
  <c r="AJ168" i="142"/>
  <c r="G168" i="142"/>
  <c r="D145" i="142"/>
  <c r="AO168" i="142"/>
  <c r="L168" i="142"/>
  <c r="W168" i="142"/>
  <c r="Q168" i="142"/>
  <c r="D160" i="142"/>
  <c r="X160" i="142" s="1"/>
  <c r="AC168" i="142"/>
  <c r="N168" i="142"/>
  <c r="F168" i="142"/>
  <c r="D171" i="142"/>
  <c r="U171" i="142" s="1"/>
  <c r="M168" i="142"/>
  <c r="X168" i="142"/>
  <c r="R365" i="133"/>
  <c r="S365" i="133"/>
  <c r="T365" i="133"/>
  <c r="K365" i="133"/>
  <c r="AB365" i="133"/>
  <c r="AC365" i="133"/>
  <c r="U365" i="133"/>
  <c r="M365" i="133"/>
  <c r="N365" i="133"/>
  <c r="O365" i="133"/>
  <c r="P365" i="133"/>
  <c r="Q365" i="133"/>
  <c r="V365" i="133"/>
  <c r="X365" i="133"/>
  <c r="Y365" i="133"/>
  <c r="Z365" i="133"/>
  <c r="AA365" i="133"/>
  <c r="L365" i="133"/>
  <c r="W365" i="133"/>
  <c r="D187" i="142"/>
  <c r="E324" i="133"/>
  <c r="E371" i="133"/>
  <c r="D176" i="142"/>
  <c r="D159" i="142"/>
  <c r="E354" i="133"/>
  <c r="E401" i="133"/>
  <c r="D127" i="142"/>
  <c r="R364" i="133"/>
  <c r="K364" i="133"/>
  <c r="T364" i="133"/>
  <c r="S364" i="133"/>
  <c r="Y364" i="133"/>
  <c r="Z364" i="133"/>
  <c r="AA364" i="133"/>
  <c r="AB364" i="133"/>
  <c r="P364" i="133"/>
  <c r="Q364" i="133"/>
  <c r="V364" i="133"/>
  <c r="U364" i="133"/>
  <c r="M364" i="133"/>
  <c r="N364" i="133"/>
  <c r="L364" i="133"/>
  <c r="O364" i="133"/>
  <c r="W364" i="133"/>
  <c r="X364" i="133"/>
  <c r="AC364" i="133"/>
  <c r="D158" i="142"/>
  <c r="D157" i="142"/>
  <c r="E352" i="133"/>
  <c r="E399" i="133"/>
  <c r="D125" i="142"/>
  <c r="D172" i="142"/>
  <c r="AC182" i="142"/>
  <c r="AD182" i="142"/>
  <c r="AG182" i="142"/>
  <c r="W182" i="142"/>
  <c r="AH182" i="142"/>
  <c r="V182" i="142"/>
  <c r="X182" i="142"/>
  <c r="U182" i="142"/>
  <c r="H182" i="142"/>
  <c r="J182" i="142"/>
  <c r="AN182" i="142"/>
  <c r="L182" i="142"/>
  <c r="O182" i="142"/>
  <c r="AJ182" i="142"/>
  <c r="R182" i="142"/>
  <c r="I182" i="142"/>
  <c r="Y182" i="142"/>
  <c r="G182" i="142"/>
  <c r="K182" i="142"/>
  <c r="E182" i="142"/>
  <c r="M182" i="142"/>
  <c r="P182" i="142"/>
  <c r="AL182" i="142"/>
  <c r="AE182" i="142"/>
  <c r="AO182" i="142"/>
  <c r="S182" i="142"/>
  <c r="Z182" i="142"/>
  <c r="AF182" i="142"/>
  <c r="AI182" i="142"/>
  <c r="AK182" i="142"/>
  <c r="AM182" i="142"/>
  <c r="Q182" i="142"/>
  <c r="T182" i="142"/>
  <c r="F182" i="142"/>
  <c r="N182" i="142"/>
  <c r="AA182" i="142"/>
  <c r="AB182" i="142"/>
  <c r="E392" i="133"/>
  <c r="E345" i="133"/>
  <c r="D118" i="142"/>
  <c r="D155" i="142"/>
  <c r="D144" i="142"/>
  <c r="R351" i="133"/>
  <c r="T351" i="133"/>
  <c r="S351" i="133"/>
  <c r="O351" i="133"/>
  <c r="U351" i="133"/>
  <c r="P351" i="133"/>
  <c r="Q351" i="133"/>
  <c r="M351" i="133"/>
  <c r="N351" i="133"/>
  <c r="W351" i="133"/>
  <c r="V351" i="133"/>
  <c r="Y351" i="133"/>
  <c r="K351" i="133"/>
  <c r="Z351" i="133"/>
  <c r="AA351" i="133"/>
  <c r="AB351" i="133"/>
  <c r="AC351" i="133"/>
  <c r="X351" i="133"/>
  <c r="L351" i="133"/>
  <c r="E391" i="133"/>
  <c r="E344" i="133"/>
  <c r="D117" i="142"/>
  <c r="D142" i="142"/>
  <c r="R363" i="133"/>
  <c r="T363" i="133"/>
  <c r="S363" i="133"/>
  <c r="V363" i="133"/>
  <c r="W363" i="133"/>
  <c r="Y363" i="133"/>
  <c r="X363" i="133"/>
  <c r="Z363" i="133"/>
  <c r="AB363" i="133"/>
  <c r="AC363" i="133"/>
  <c r="U363" i="133"/>
  <c r="AA363" i="133"/>
  <c r="L363" i="133"/>
  <c r="N363" i="133"/>
  <c r="M363" i="133"/>
  <c r="O363" i="133"/>
  <c r="P363" i="133"/>
  <c r="Q363" i="133"/>
  <c r="K363" i="133"/>
  <c r="E384" i="133"/>
  <c r="D110" i="142"/>
  <c r="E337" i="133"/>
  <c r="R346" i="133"/>
  <c r="S346" i="133"/>
  <c r="T346" i="133"/>
  <c r="K346" i="133"/>
  <c r="O346" i="133"/>
  <c r="X346" i="133"/>
  <c r="Z346" i="133"/>
  <c r="AA346" i="133"/>
  <c r="AB346" i="133"/>
  <c r="L346" i="133"/>
  <c r="M346" i="133"/>
  <c r="N346" i="133"/>
  <c r="V346" i="133"/>
  <c r="U346" i="133"/>
  <c r="W346" i="133"/>
  <c r="Q346" i="133"/>
  <c r="AC346" i="133"/>
  <c r="P346" i="133"/>
  <c r="Y346" i="133"/>
  <c r="D152" i="142"/>
  <c r="D170" i="142"/>
  <c r="D153" i="142"/>
  <c r="D111" i="142"/>
  <c r="E336" i="133"/>
  <c r="E383" i="133"/>
  <c r="E338" i="133"/>
  <c r="E385" i="133"/>
  <c r="D109" i="142"/>
  <c r="E381" i="133"/>
  <c r="E334" i="133"/>
  <c r="D107" i="142"/>
  <c r="D179" i="142"/>
  <c r="E326" i="133"/>
  <c r="D189" i="142"/>
  <c r="E373" i="133"/>
  <c r="E359" i="133"/>
  <c r="E406" i="133"/>
  <c r="D132" i="142"/>
  <c r="E404" i="133"/>
  <c r="E357" i="133"/>
  <c r="D130" i="142"/>
  <c r="AG123" i="142"/>
  <c r="AH123" i="142"/>
  <c r="Z123" i="142"/>
  <c r="V123" i="142"/>
  <c r="AB123" i="142"/>
  <c r="AN123" i="142"/>
  <c r="AO123" i="142"/>
  <c r="E123" i="142"/>
  <c r="AE123" i="142"/>
  <c r="AA123" i="142"/>
  <c r="AM123" i="142"/>
  <c r="M123" i="142"/>
  <c r="H123" i="142"/>
  <c r="AC123" i="142"/>
  <c r="AJ123" i="142"/>
  <c r="N123" i="142"/>
  <c r="AK123" i="142"/>
  <c r="AL123" i="142"/>
  <c r="I123" i="142"/>
  <c r="J123" i="142"/>
  <c r="K123" i="142"/>
  <c r="L123" i="142"/>
  <c r="AD123" i="142"/>
  <c r="P123" i="142"/>
  <c r="Q123" i="142"/>
  <c r="T123" i="142"/>
  <c r="U123" i="142"/>
  <c r="S123" i="142"/>
  <c r="AI123" i="142"/>
  <c r="X123" i="142"/>
  <c r="AF123" i="142"/>
  <c r="W123" i="142"/>
  <c r="G123" i="142"/>
  <c r="F123" i="142"/>
  <c r="R123" i="142"/>
  <c r="Y123" i="142"/>
  <c r="O123" i="142"/>
  <c r="N169" i="142"/>
  <c r="AI169" i="142"/>
  <c r="AJ169" i="142"/>
  <c r="AM169" i="142"/>
  <c r="E169" i="142"/>
  <c r="AC169" i="142"/>
  <c r="AO169" i="142"/>
  <c r="AG169" i="142"/>
  <c r="J169" i="142"/>
  <c r="P169" i="142"/>
  <c r="L169" i="142"/>
  <c r="Z169" i="142"/>
  <c r="AF169" i="142"/>
  <c r="H169" i="142"/>
  <c r="F169" i="142"/>
  <c r="G169" i="142"/>
  <c r="O169" i="142"/>
  <c r="I169" i="142"/>
  <c r="M169" i="142"/>
  <c r="T169" i="142"/>
  <c r="W169" i="142"/>
  <c r="X169" i="142"/>
  <c r="K169" i="142"/>
  <c r="AN169" i="142"/>
  <c r="R169" i="142"/>
  <c r="AK169" i="142"/>
  <c r="AH169" i="142"/>
  <c r="Q169" i="142"/>
  <c r="U169" i="142"/>
  <c r="AE169" i="142"/>
  <c r="AL169" i="142"/>
  <c r="S169" i="142"/>
  <c r="Y169" i="142"/>
  <c r="V169" i="142"/>
  <c r="AD169" i="142"/>
  <c r="AB169" i="142"/>
  <c r="AA169" i="142"/>
  <c r="E355" i="133"/>
  <c r="E402" i="133"/>
  <c r="D128" i="142"/>
  <c r="E329" i="133"/>
  <c r="E376" i="133"/>
  <c r="D151" i="142"/>
  <c r="D150" i="142"/>
  <c r="E409" i="133"/>
  <c r="E362" i="133"/>
  <c r="E408" i="133"/>
  <c r="E361" i="133"/>
  <c r="D134" i="142"/>
  <c r="D147" i="142"/>
  <c r="E356" i="133"/>
  <c r="E403" i="133"/>
  <c r="D129" i="142"/>
  <c r="D173" i="142"/>
  <c r="AB121" i="142"/>
  <c r="AK121" i="142"/>
  <c r="P121" i="142"/>
  <c r="AF121" i="142"/>
  <c r="K121" i="142"/>
  <c r="L121" i="142"/>
  <c r="V121" i="142"/>
  <c r="S121" i="142"/>
  <c r="U121" i="142"/>
  <c r="AN121" i="142"/>
  <c r="AJ121" i="142"/>
  <c r="AL121" i="142"/>
  <c r="AO121" i="142"/>
  <c r="Y121" i="142"/>
  <c r="Z121" i="142"/>
  <c r="AC121" i="142"/>
  <c r="O121" i="142"/>
  <c r="R121" i="142"/>
  <c r="H121" i="142"/>
  <c r="AE121" i="142"/>
  <c r="F121" i="142"/>
  <c r="G121" i="142"/>
  <c r="W121" i="142"/>
  <c r="X121" i="142"/>
  <c r="AH121" i="142"/>
  <c r="AI121" i="142"/>
  <c r="J121" i="142"/>
  <c r="N121" i="142"/>
  <c r="AM121" i="142"/>
  <c r="AG121" i="142"/>
  <c r="M121" i="142"/>
  <c r="T121" i="142"/>
  <c r="AA121" i="142"/>
  <c r="AD121" i="142"/>
  <c r="I121" i="142"/>
  <c r="E121" i="142"/>
  <c r="Q121" i="142"/>
  <c r="R348" i="133"/>
  <c r="S348" i="133"/>
  <c r="T348" i="133"/>
  <c r="X348" i="133"/>
  <c r="V348" i="133"/>
  <c r="P348" i="133"/>
  <c r="Q348" i="133"/>
  <c r="U348" i="133"/>
  <c r="W348" i="133"/>
  <c r="L348" i="133"/>
  <c r="M348" i="133"/>
  <c r="N348" i="133"/>
  <c r="O348" i="133"/>
  <c r="Y348" i="133"/>
  <c r="Z348" i="133"/>
  <c r="K348" i="133"/>
  <c r="AA348" i="133"/>
  <c r="AB348" i="133"/>
  <c r="AC348" i="133"/>
  <c r="E386" i="133"/>
  <c r="D112" i="142"/>
  <c r="R347" i="133"/>
  <c r="S347" i="133"/>
  <c r="T347" i="133"/>
  <c r="K347" i="133"/>
  <c r="U347" i="133"/>
  <c r="W347" i="133"/>
  <c r="Y347" i="133"/>
  <c r="L347" i="133"/>
  <c r="M347" i="133"/>
  <c r="N347" i="133"/>
  <c r="P347" i="133"/>
  <c r="O347" i="133"/>
  <c r="Z347" i="133"/>
  <c r="Q347" i="133"/>
  <c r="V347" i="133"/>
  <c r="X347" i="133"/>
  <c r="AB347" i="133"/>
  <c r="AC347" i="133"/>
  <c r="AA347" i="133"/>
  <c r="E358" i="133"/>
  <c r="E405" i="133"/>
  <c r="D131" i="142"/>
  <c r="D174" i="142"/>
  <c r="E388" i="133"/>
  <c r="E341" i="133"/>
  <c r="D114" i="142"/>
  <c r="AI119" i="142"/>
  <c r="J119" i="142"/>
  <c r="P119" i="142"/>
  <c r="L119" i="142"/>
  <c r="AL119" i="142"/>
  <c r="R119" i="142"/>
  <c r="Z119" i="142"/>
  <c r="G119" i="142"/>
  <c r="E119" i="142"/>
  <c r="M119" i="142"/>
  <c r="AO119" i="142"/>
  <c r="H119" i="142"/>
  <c r="K119" i="142"/>
  <c r="AM119" i="142"/>
  <c r="S119" i="142"/>
  <c r="N119" i="142"/>
  <c r="AB119" i="142"/>
  <c r="I119" i="142"/>
  <c r="O119" i="142"/>
  <c r="AC119" i="142"/>
  <c r="AN119" i="142"/>
  <c r="U119" i="142"/>
  <c r="T119" i="142"/>
  <c r="AJ119" i="142"/>
  <c r="X119" i="142"/>
  <c r="AK119" i="142"/>
  <c r="Y119" i="142"/>
  <c r="V119" i="142"/>
  <c r="W119" i="142"/>
  <c r="AA119" i="142"/>
  <c r="Q119" i="142"/>
  <c r="AD119" i="142"/>
  <c r="AE119" i="142"/>
  <c r="AF119" i="142"/>
  <c r="AG119" i="142"/>
  <c r="AH119" i="142"/>
  <c r="F119" i="142"/>
  <c r="D163" i="142"/>
  <c r="D106" i="142"/>
  <c r="E333" i="133"/>
  <c r="E380" i="133"/>
  <c r="E330" i="133"/>
  <c r="E377" i="133"/>
  <c r="D161" i="142"/>
  <c r="R350" i="133"/>
  <c r="S350" i="133"/>
  <c r="T350" i="133"/>
  <c r="L350" i="133"/>
  <c r="M350" i="133"/>
  <c r="N350" i="133"/>
  <c r="O350" i="133"/>
  <c r="W350" i="133"/>
  <c r="Y350" i="133"/>
  <c r="Z350" i="133"/>
  <c r="X350" i="133"/>
  <c r="K350" i="133"/>
  <c r="AA350" i="133"/>
  <c r="AB350" i="133"/>
  <c r="V350" i="133"/>
  <c r="AC350" i="133"/>
  <c r="P350" i="133"/>
  <c r="Q350" i="133"/>
  <c r="U350" i="133"/>
  <c r="E343" i="133"/>
  <c r="E390" i="133"/>
  <c r="D116" i="142"/>
  <c r="D143" i="142"/>
  <c r="E382" i="133"/>
  <c r="E335" i="133"/>
  <c r="D108" i="142"/>
  <c r="E379" i="133"/>
  <c r="E332" i="133"/>
  <c r="D105" i="142"/>
  <c r="E375" i="133"/>
  <c r="E328" i="133"/>
  <c r="AJ122" i="142"/>
  <c r="AF122" i="142"/>
  <c r="V122" i="142"/>
  <c r="U122" i="142"/>
  <c r="Z122" i="142"/>
  <c r="S122" i="142"/>
  <c r="O122" i="142"/>
  <c r="AC122" i="142"/>
  <c r="F122" i="142"/>
  <c r="AO122" i="142"/>
  <c r="AA122" i="142"/>
  <c r="L122" i="142"/>
  <c r="AE122" i="142"/>
  <c r="AI122" i="142"/>
  <c r="AD122" i="142"/>
  <c r="T122" i="142"/>
  <c r="G122" i="142"/>
  <c r="Q122" i="142"/>
  <c r="AG122" i="142"/>
  <c r="J122" i="142"/>
  <c r="W122" i="142"/>
  <c r="AB122" i="142"/>
  <c r="AM122" i="142"/>
  <c r="E122" i="142"/>
  <c r="Y122" i="142"/>
  <c r="X122" i="142"/>
  <c r="AH122" i="142"/>
  <c r="P122" i="142"/>
  <c r="I122" i="142"/>
  <c r="M122" i="142"/>
  <c r="R122" i="142"/>
  <c r="AN122" i="142"/>
  <c r="K122" i="142"/>
  <c r="N122" i="142"/>
  <c r="AK122" i="142"/>
  <c r="AL122" i="142"/>
  <c r="H122" i="142"/>
  <c r="E372" i="133"/>
  <c r="E325" i="133"/>
  <c r="D188" i="142"/>
  <c r="D175" i="142"/>
  <c r="E360" i="133"/>
  <c r="E407" i="133"/>
  <c r="D133" i="142"/>
  <c r="E353" i="133"/>
  <c r="E400" i="133"/>
  <c r="D126" i="142"/>
  <c r="E342" i="133"/>
  <c r="E389" i="133"/>
  <c r="D115" i="142"/>
  <c r="D156" i="142"/>
  <c r="D154" i="142"/>
  <c r="E387" i="133"/>
  <c r="E340" i="133"/>
  <c r="D113" i="142"/>
  <c r="D180" i="142"/>
  <c r="E327" i="133"/>
  <c r="E374" i="133"/>
  <c r="R349" i="133"/>
  <c r="S349" i="133"/>
  <c r="T349" i="133"/>
  <c r="L349" i="133"/>
  <c r="AA349" i="133"/>
  <c r="N349" i="133"/>
  <c r="O349" i="133"/>
  <c r="AB349" i="133"/>
  <c r="AC349" i="133"/>
  <c r="Q349" i="133"/>
  <c r="V349" i="133"/>
  <c r="W349" i="133"/>
  <c r="X349" i="133"/>
  <c r="Y349" i="133"/>
  <c r="U349" i="133"/>
  <c r="Z349" i="133"/>
  <c r="P349" i="133"/>
  <c r="M349" i="133"/>
  <c r="K349" i="133"/>
  <c r="H53" i="134"/>
  <c r="H55" i="134" s="1"/>
  <c r="F53" i="134"/>
  <c r="F55" i="134" s="1"/>
  <c r="I53" i="134"/>
  <c r="I55" i="134" s="1"/>
  <c r="G40" i="134"/>
  <c r="G42" i="134" s="1"/>
  <c r="G43" i="134" s="1"/>
  <c r="D40" i="134"/>
  <c r="D42" i="134" s="1"/>
  <c r="H52" i="134"/>
  <c r="H56" i="134" s="1"/>
  <c r="F52" i="134"/>
  <c r="F56" i="134" s="1"/>
  <c r="I52" i="134"/>
  <c r="I56" i="134" s="1"/>
  <c r="D53" i="134"/>
  <c r="D55" i="134" s="1"/>
  <c r="G52" i="134"/>
  <c r="G56" i="134" s="1"/>
  <c r="D52" i="134"/>
  <c r="D56" i="134" s="1"/>
  <c r="F348" i="133" l="1"/>
  <c r="F349" i="133"/>
  <c r="F363" i="133"/>
  <c r="F346" i="133"/>
  <c r="F347" i="133"/>
  <c r="F351" i="133"/>
  <c r="F365" i="133"/>
  <c r="F350" i="133"/>
  <c r="F364" i="133"/>
  <c r="B29" i="152"/>
  <c r="A33" i="152"/>
  <c r="A37" i="152" s="1"/>
  <c r="B37" i="152" s="1"/>
  <c r="D15" i="152"/>
  <c r="AO37" i="152"/>
  <c r="AP37" i="152"/>
  <c r="F15" i="152"/>
  <c r="F38" i="152"/>
  <c r="J38" i="152"/>
  <c r="AP38" i="152"/>
  <c r="AO38" i="152"/>
  <c r="I38" i="152"/>
  <c r="H38" i="152"/>
  <c r="G38" i="152"/>
  <c r="B18" i="175"/>
  <c r="E15" i="152"/>
  <c r="G39" i="152"/>
  <c r="I39" i="152"/>
  <c r="H39" i="152"/>
  <c r="AO39" i="152"/>
  <c r="AP39" i="152"/>
  <c r="F39" i="152"/>
  <c r="P120" i="142"/>
  <c r="AD120" i="142"/>
  <c r="Y124" i="142"/>
  <c r="Q124" i="142"/>
  <c r="AC120" i="142"/>
  <c r="AN124" i="142"/>
  <c r="R124" i="142"/>
  <c r="AJ124" i="142"/>
  <c r="AI124" i="142"/>
  <c r="P124" i="142"/>
  <c r="AK124" i="142"/>
  <c r="N124" i="142"/>
  <c r="U124" i="142"/>
  <c r="Z120" i="142"/>
  <c r="S124" i="142"/>
  <c r="V124" i="142"/>
  <c r="S120" i="142"/>
  <c r="J120" i="142"/>
  <c r="H120" i="142"/>
  <c r="AJ120" i="142"/>
  <c r="M120" i="142"/>
  <c r="F120" i="142"/>
  <c r="L120" i="142"/>
  <c r="AH120" i="142"/>
  <c r="O120" i="142"/>
  <c r="K120" i="142"/>
  <c r="AL120" i="142"/>
  <c r="W120" i="142"/>
  <c r="Y120" i="142"/>
  <c r="N120" i="142"/>
  <c r="T120" i="142"/>
  <c r="AF120" i="142"/>
  <c r="X120" i="142"/>
  <c r="G120" i="142"/>
  <c r="AG120" i="142"/>
  <c r="AE120" i="142"/>
  <c r="E124" i="142"/>
  <c r="J124" i="142"/>
  <c r="U120" i="142"/>
  <c r="AM120" i="142"/>
  <c r="AO120" i="142"/>
  <c r="AK120" i="142"/>
  <c r="AA120" i="142"/>
  <c r="I124" i="142"/>
  <c r="H124" i="142"/>
  <c r="K124" i="142"/>
  <c r="Z124" i="142"/>
  <c r="AH124" i="142"/>
  <c r="AG124" i="142"/>
  <c r="AF124" i="142"/>
  <c r="X124" i="142"/>
  <c r="T124" i="142"/>
  <c r="G124" i="142"/>
  <c r="AD124" i="142"/>
  <c r="F124" i="142"/>
  <c r="M124" i="142"/>
  <c r="AC124" i="142"/>
  <c r="W124" i="142"/>
  <c r="AE124" i="142"/>
  <c r="AO124" i="142"/>
  <c r="L124" i="142"/>
  <c r="V120" i="142"/>
  <c r="AL124" i="142"/>
  <c r="Q120" i="142"/>
  <c r="O124" i="142"/>
  <c r="R120" i="142"/>
  <c r="AB120" i="142"/>
  <c r="AM124" i="142"/>
  <c r="I120" i="142"/>
  <c r="AA124" i="142"/>
  <c r="AI120" i="142"/>
  <c r="E120" i="142"/>
  <c r="K46" i="134"/>
  <c r="K47" i="134" s="1"/>
  <c r="L46" i="134"/>
  <c r="L47" i="134" s="1"/>
  <c r="AM171" i="142"/>
  <c r="B30" i="152"/>
  <c r="A34" i="152"/>
  <c r="B31" i="152"/>
  <c r="A35" i="152"/>
  <c r="B24" i="152"/>
  <c r="B26" i="152"/>
  <c r="B25" i="152"/>
  <c r="Y178" i="142"/>
  <c r="AC178" i="142"/>
  <c r="U178" i="142"/>
  <c r="J178" i="142"/>
  <c r="L162" i="142"/>
  <c r="AD162" i="142"/>
  <c r="K162" i="142"/>
  <c r="Z162" i="142"/>
  <c r="AO162" i="142"/>
  <c r="AF162" i="142"/>
  <c r="AI162" i="142"/>
  <c r="W160" i="142"/>
  <c r="P160" i="142"/>
  <c r="U160" i="142"/>
  <c r="AI160" i="142"/>
  <c r="AA162" i="142"/>
  <c r="Y162" i="142"/>
  <c r="Q162" i="142"/>
  <c r="F160" i="142"/>
  <c r="AB162" i="142"/>
  <c r="G162" i="142"/>
  <c r="AE160" i="142"/>
  <c r="AC160" i="142"/>
  <c r="J162" i="142"/>
  <c r="J160" i="142"/>
  <c r="AJ160" i="142"/>
  <c r="E162" i="142"/>
  <c r="M178" i="142"/>
  <c r="K171" i="142"/>
  <c r="S160" i="142"/>
  <c r="AL171" i="142"/>
  <c r="S177" i="142"/>
  <c r="AF160" i="142"/>
  <c r="V171" i="142"/>
  <c r="AO177" i="142"/>
  <c r="AG160" i="142"/>
  <c r="M171" i="142"/>
  <c r="U177" i="142"/>
  <c r="G160" i="142"/>
  <c r="F171" i="142"/>
  <c r="R178" i="142"/>
  <c r="AE177" i="142"/>
  <c r="AO178" i="142"/>
  <c r="AO171" i="142"/>
  <c r="M160" i="142"/>
  <c r="X177" i="142"/>
  <c r="K160" i="142"/>
  <c r="V160" i="142"/>
  <c r="AJ171" i="142"/>
  <c r="AK160" i="142"/>
  <c r="AH171" i="142"/>
  <c r="AD171" i="142"/>
  <c r="Q160" i="142"/>
  <c r="O171" i="142"/>
  <c r="AL177" i="142"/>
  <c r="AG171" i="142"/>
  <c r="AK177" i="142"/>
  <c r="J177" i="142"/>
  <c r="W178" i="142"/>
  <c r="AB177" i="142"/>
  <c r="I178" i="142"/>
  <c r="L160" i="142"/>
  <c r="K178" i="142"/>
  <c r="Z178" i="142"/>
  <c r="Y171" i="142"/>
  <c r="AF177" i="142"/>
  <c r="AI177" i="142"/>
  <c r="AB171" i="142"/>
  <c r="G177" i="142"/>
  <c r="L177" i="142"/>
  <c r="T178" i="142"/>
  <c r="Y160" i="142"/>
  <c r="AK171" i="142"/>
  <c r="AL160" i="142"/>
  <c r="O160" i="142"/>
  <c r="V178" i="142"/>
  <c r="AB160" i="142"/>
  <c r="AN171" i="142"/>
  <c r="L178" i="142"/>
  <c r="I171" i="142"/>
  <c r="Q177" i="142"/>
  <c r="AE171" i="142"/>
  <c r="H177" i="142"/>
  <c r="AG177" i="142"/>
  <c r="AA160" i="142"/>
  <c r="Q178" i="142"/>
  <c r="R160" i="142"/>
  <c r="V177" i="142"/>
  <c r="H160" i="142"/>
  <c r="AM160" i="142"/>
  <c r="AH160" i="142"/>
  <c r="AF171" i="142"/>
  <c r="AD160" i="142"/>
  <c r="P171" i="142"/>
  <c r="T160" i="142"/>
  <c r="P178" i="142"/>
  <c r="AO160" i="142"/>
  <c r="AM177" i="142"/>
  <c r="K177" i="142"/>
  <c r="AD177" i="142"/>
  <c r="E177" i="142"/>
  <c r="N160" i="142"/>
  <c r="N178" i="142"/>
  <c r="AA178" i="142"/>
  <c r="Z171" i="142"/>
  <c r="G178" i="142"/>
  <c r="W171" i="142"/>
  <c r="AE178" i="142"/>
  <c r="I160" i="142"/>
  <c r="E160" i="142"/>
  <c r="X162" i="142"/>
  <c r="AI171" i="142"/>
  <c r="AD178" i="142"/>
  <c r="F162" i="142"/>
  <c r="S171" i="142"/>
  <c r="F178" i="142"/>
  <c r="Z160" i="142"/>
  <c r="AN160" i="142"/>
  <c r="AM162" i="142"/>
  <c r="G171" i="142"/>
  <c r="S162" i="142"/>
  <c r="AE162" i="142"/>
  <c r="Q171" i="142"/>
  <c r="O162" i="142"/>
  <c r="AB178" i="142"/>
  <c r="AN177" i="142"/>
  <c r="AK178" i="142"/>
  <c r="W162" i="142"/>
  <c r="AA171" i="142"/>
  <c r="M177" i="142"/>
  <c r="O177" i="142"/>
  <c r="I177" i="142"/>
  <c r="AI178" i="142"/>
  <c r="E178" i="142"/>
  <c r="H162" i="142"/>
  <c r="H171" i="142"/>
  <c r="P177" i="142"/>
  <c r="S178" i="142"/>
  <c r="O178" i="142"/>
  <c r="V162" i="142"/>
  <c r="R171" i="142"/>
  <c r="W177" i="142"/>
  <c r="AN178" i="142"/>
  <c r="I162" i="142"/>
  <c r="N171" i="142"/>
  <c r="Y177" i="142"/>
  <c r="AC177" i="142"/>
  <c r="T162" i="142"/>
  <c r="AG178" i="142"/>
  <c r="AN162" i="142"/>
  <c r="R177" i="142"/>
  <c r="AL178" i="142"/>
  <c r="P162" i="142"/>
  <c r="AJ162" i="142"/>
  <c r="AC171" i="142"/>
  <c r="AJ178" i="142"/>
  <c r="N162" i="142"/>
  <c r="L171" i="142"/>
  <c r="AH178" i="142"/>
  <c r="M162" i="142"/>
  <c r="E171" i="142"/>
  <c r="Z177" i="142"/>
  <c r="H178" i="142"/>
  <c r="U162" i="142"/>
  <c r="AL162" i="142"/>
  <c r="X171" i="142"/>
  <c r="N177" i="142"/>
  <c r="X178" i="142"/>
  <c r="AH162" i="142"/>
  <c r="AA177" i="142"/>
  <c r="J171" i="142"/>
  <c r="T177" i="142"/>
  <c r="R162" i="142"/>
  <c r="F177" i="142"/>
  <c r="AF178" i="142"/>
  <c r="AG162" i="142"/>
  <c r="AK162" i="142"/>
  <c r="T171" i="142"/>
  <c r="AJ177" i="142"/>
  <c r="AO109" i="142"/>
  <c r="AN158" i="142"/>
  <c r="K158" i="142"/>
  <c r="T158" i="142"/>
  <c r="F158" i="142"/>
  <c r="AL158" i="142"/>
  <c r="Z158" i="142"/>
  <c r="W158" i="142"/>
  <c r="AM158" i="142"/>
  <c r="X158" i="142"/>
  <c r="E158" i="142"/>
  <c r="S158" i="142"/>
  <c r="G158" i="142"/>
  <c r="P158" i="142"/>
  <c r="R158" i="142"/>
  <c r="AC158" i="142"/>
  <c r="N158" i="142"/>
  <c r="Q158" i="142"/>
  <c r="AE158" i="142"/>
  <c r="I158" i="142"/>
  <c r="AI158" i="142"/>
  <c r="J158" i="142"/>
  <c r="AO158" i="142"/>
  <c r="H158" i="142"/>
  <c r="AG158" i="142"/>
  <c r="AK158" i="142"/>
  <c r="O158" i="142"/>
  <c r="AJ158" i="142"/>
  <c r="AA158" i="142"/>
  <c r="U158" i="142"/>
  <c r="AB158" i="142"/>
  <c r="M158" i="142"/>
  <c r="AD158" i="142"/>
  <c r="L158" i="142"/>
  <c r="AF158" i="142"/>
  <c r="AH158" i="142"/>
  <c r="V158" i="142"/>
  <c r="Y158" i="142"/>
  <c r="V129" i="142"/>
  <c r="J129" i="142"/>
  <c r="X129" i="142"/>
  <c r="O129" i="142"/>
  <c r="AL129" i="142"/>
  <c r="P129" i="142"/>
  <c r="S129" i="142"/>
  <c r="W129" i="142"/>
  <c r="T129" i="142"/>
  <c r="AJ129" i="142"/>
  <c r="E129" i="142"/>
  <c r="AK129" i="142"/>
  <c r="AN129" i="142"/>
  <c r="M129" i="142"/>
  <c r="R129" i="142"/>
  <c r="L129" i="142"/>
  <c r="Y129" i="142"/>
  <c r="AC129" i="142"/>
  <c r="Q129" i="142"/>
  <c r="AG129" i="142"/>
  <c r="AM129" i="142"/>
  <c r="Z129" i="142"/>
  <c r="AH129" i="142"/>
  <c r="AI129" i="142"/>
  <c r="AD129" i="142"/>
  <c r="AO129" i="142"/>
  <c r="H129" i="142"/>
  <c r="I129" i="142"/>
  <c r="U129" i="142"/>
  <c r="N129" i="142"/>
  <c r="F129" i="142"/>
  <c r="G129" i="142"/>
  <c r="K129" i="142"/>
  <c r="AA129" i="142"/>
  <c r="AB129" i="142"/>
  <c r="AE129" i="142"/>
  <c r="AF129" i="142"/>
  <c r="AO173" i="142"/>
  <c r="M173" i="142"/>
  <c r="AC173" i="142"/>
  <c r="AH173" i="142"/>
  <c r="AI173" i="142"/>
  <c r="K173" i="142"/>
  <c r="R173" i="142"/>
  <c r="AE173" i="142"/>
  <c r="J173" i="142"/>
  <c r="X173" i="142"/>
  <c r="AJ173" i="142"/>
  <c r="N173" i="142"/>
  <c r="AA173" i="142"/>
  <c r="AK173" i="142"/>
  <c r="Y173" i="142"/>
  <c r="U173" i="142"/>
  <c r="AM173" i="142"/>
  <c r="G173" i="142"/>
  <c r="P173" i="142"/>
  <c r="AD173" i="142"/>
  <c r="O173" i="142"/>
  <c r="Q173" i="142"/>
  <c r="AF173" i="142"/>
  <c r="AG173" i="142"/>
  <c r="Z173" i="142"/>
  <c r="E173" i="142"/>
  <c r="AL173" i="142"/>
  <c r="AN173" i="142"/>
  <c r="AB173" i="142"/>
  <c r="V173" i="142"/>
  <c r="H173" i="142"/>
  <c r="L173" i="142"/>
  <c r="T173" i="142"/>
  <c r="W173" i="142"/>
  <c r="F173" i="142"/>
  <c r="S173" i="142"/>
  <c r="I173" i="142"/>
  <c r="P163" i="142"/>
  <c r="Q163" i="142"/>
  <c r="R163" i="142"/>
  <c r="V163" i="142"/>
  <c r="F163" i="142"/>
  <c r="X163" i="142"/>
  <c r="J163" i="142"/>
  <c r="AM163" i="142"/>
  <c r="AL163" i="142"/>
  <c r="AB163" i="142"/>
  <c r="H163" i="142"/>
  <c r="AJ163" i="142"/>
  <c r="AO163" i="142"/>
  <c r="E163" i="142"/>
  <c r="G163" i="142"/>
  <c r="K163" i="142"/>
  <c r="AI163" i="142"/>
  <c r="AC163" i="142"/>
  <c r="AF163" i="142"/>
  <c r="AN163" i="142"/>
  <c r="AG163" i="142"/>
  <c r="N163" i="142"/>
  <c r="AD163" i="142"/>
  <c r="O163" i="142"/>
  <c r="Y163" i="142"/>
  <c r="M163" i="142"/>
  <c r="L163" i="142"/>
  <c r="Z163" i="142"/>
  <c r="AK163" i="142"/>
  <c r="I163" i="142"/>
  <c r="AE163" i="142"/>
  <c r="U163" i="142"/>
  <c r="AH163" i="142"/>
  <c r="W163" i="142"/>
  <c r="AA163" i="142"/>
  <c r="S163" i="142"/>
  <c r="T163" i="142"/>
  <c r="R356" i="133"/>
  <c r="T356" i="133"/>
  <c r="S356" i="133"/>
  <c r="M356" i="133"/>
  <c r="O356" i="133"/>
  <c r="U356" i="133"/>
  <c r="AA356" i="133"/>
  <c r="AC356" i="133"/>
  <c r="AB356" i="133"/>
  <c r="P356" i="133"/>
  <c r="Q356" i="133"/>
  <c r="X356" i="133"/>
  <c r="V356" i="133"/>
  <c r="W356" i="133"/>
  <c r="Y356" i="133"/>
  <c r="Z356" i="133"/>
  <c r="L356" i="133"/>
  <c r="N356" i="133"/>
  <c r="K356" i="133"/>
  <c r="AO155" i="142"/>
  <c r="AO111" i="142"/>
  <c r="AO153" i="142"/>
  <c r="R342" i="133"/>
  <c r="S342" i="133"/>
  <c r="T342" i="133"/>
  <c r="W342" i="133"/>
  <c r="X342" i="133"/>
  <c r="Y342" i="133"/>
  <c r="Z342" i="133"/>
  <c r="AB342" i="133"/>
  <c r="K342" i="133"/>
  <c r="L342" i="133"/>
  <c r="P342" i="133"/>
  <c r="U342" i="133"/>
  <c r="Q342" i="133"/>
  <c r="V342" i="133"/>
  <c r="AA342" i="133"/>
  <c r="AC342" i="133"/>
  <c r="N342" i="133"/>
  <c r="M342" i="133"/>
  <c r="O342" i="133"/>
  <c r="J116" i="142"/>
  <c r="T116" i="142"/>
  <c r="AO116" i="142"/>
  <c r="N116" i="142"/>
  <c r="R116" i="142"/>
  <c r="AJ116" i="142"/>
  <c r="AK116" i="142"/>
  <c r="AM116" i="142"/>
  <c r="P116" i="142"/>
  <c r="U116" i="142"/>
  <c r="Y116" i="142"/>
  <c r="Z116" i="142"/>
  <c r="AG116" i="142"/>
  <c r="AB116" i="142"/>
  <c r="M116" i="142"/>
  <c r="AH116" i="142"/>
  <c r="Q116" i="142"/>
  <c r="AC116" i="142"/>
  <c r="AE116" i="142"/>
  <c r="V116" i="142"/>
  <c r="AD116" i="142"/>
  <c r="I116" i="142"/>
  <c r="AN116" i="142"/>
  <c r="AA116" i="142"/>
  <c r="AI116" i="142"/>
  <c r="AL116" i="142"/>
  <c r="O116" i="142"/>
  <c r="S116" i="142"/>
  <c r="F116" i="142"/>
  <c r="L116" i="142"/>
  <c r="AF116" i="142"/>
  <c r="W116" i="142"/>
  <c r="K116" i="142"/>
  <c r="E116" i="142"/>
  <c r="X116" i="142"/>
  <c r="G116" i="142"/>
  <c r="H116" i="142"/>
  <c r="AK126" i="142"/>
  <c r="L126" i="142"/>
  <c r="M126" i="142"/>
  <c r="AA126" i="142"/>
  <c r="AI126" i="142"/>
  <c r="AM126" i="142"/>
  <c r="V126" i="142"/>
  <c r="P126" i="142"/>
  <c r="AN126" i="142"/>
  <c r="O126" i="142"/>
  <c r="R126" i="142"/>
  <c r="AB126" i="142"/>
  <c r="Z126" i="142"/>
  <c r="AH126" i="142"/>
  <c r="K126" i="142"/>
  <c r="E126" i="142"/>
  <c r="Y126" i="142"/>
  <c r="AC126" i="142"/>
  <c r="AG126" i="142"/>
  <c r="I126" i="142"/>
  <c r="U126" i="142"/>
  <c r="T126" i="142"/>
  <c r="W126" i="142"/>
  <c r="AE126" i="142"/>
  <c r="X126" i="142"/>
  <c r="AF126" i="142"/>
  <c r="Q126" i="142"/>
  <c r="G126" i="142"/>
  <c r="AO126" i="142"/>
  <c r="AJ126" i="142"/>
  <c r="S126" i="142"/>
  <c r="AD126" i="142"/>
  <c r="AL126" i="142"/>
  <c r="N126" i="142"/>
  <c r="F126" i="142"/>
  <c r="H126" i="142"/>
  <c r="J126" i="142"/>
  <c r="AG159" i="142"/>
  <c r="AH159" i="142"/>
  <c r="AB159" i="142"/>
  <c r="AD159" i="142"/>
  <c r="AM159" i="142"/>
  <c r="K159" i="142"/>
  <c r="AE159" i="142"/>
  <c r="AL159" i="142"/>
  <c r="T159" i="142"/>
  <c r="Z159" i="142"/>
  <c r="U159" i="142"/>
  <c r="AA159" i="142"/>
  <c r="V159" i="142"/>
  <c r="H159" i="142"/>
  <c r="X159" i="142"/>
  <c r="J159" i="142"/>
  <c r="R159" i="142"/>
  <c r="AC159" i="142"/>
  <c r="AK159" i="142"/>
  <c r="AN159" i="142"/>
  <c r="AO159" i="142"/>
  <c r="I159" i="142"/>
  <c r="Y159" i="142"/>
  <c r="O159" i="142"/>
  <c r="AF159" i="142"/>
  <c r="E159" i="142"/>
  <c r="P159" i="142"/>
  <c r="S159" i="142"/>
  <c r="N159" i="142"/>
  <c r="W159" i="142"/>
  <c r="AI159" i="142"/>
  <c r="AJ159" i="142"/>
  <c r="F159" i="142"/>
  <c r="G159" i="142"/>
  <c r="L159" i="142"/>
  <c r="Q159" i="142"/>
  <c r="M159" i="142"/>
  <c r="R343" i="133"/>
  <c r="S343" i="133"/>
  <c r="T343" i="133"/>
  <c r="Z343" i="133"/>
  <c r="AA343" i="133"/>
  <c r="AB343" i="133"/>
  <c r="AC343" i="133"/>
  <c r="L343" i="133"/>
  <c r="Y343" i="133"/>
  <c r="M343" i="133"/>
  <c r="N343" i="133"/>
  <c r="O343" i="133"/>
  <c r="P343" i="133"/>
  <c r="Q343" i="133"/>
  <c r="W343" i="133"/>
  <c r="X343" i="133"/>
  <c r="K343" i="133"/>
  <c r="V343" i="133"/>
  <c r="U343" i="133"/>
  <c r="T128" i="142"/>
  <c r="AO128" i="142"/>
  <c r="AN128" i="142"/>
  <c r="Q128" i="142"/>
  <c r="V128" i="142"/>
  <c r="W128" i="142"/>
  <c r="Y128" i="142"/>
  <c r="AB128" i="142"/>
  <c r="AE128" i="142"/>
  <c r="AK128" i="142"/>
  <c r="I128" i="142"/>
  <c r="G128" i="142"/>
  <c r="J128" i="142"/>
  <c r="F128" i="142"/>
  <c r="L128" i="142"/>
  <c r="M128" i="142"/>
  <c r="R128" i="142"/>
  <c r="N128" i="142"/>
  <c r="AA128" i="142"/>
  <c r="AD128" i="142"/>
  <c r="AC128" i="142"/>
  <c r="AJ128" i="142"/>
  <c r="AM128" i="142"/>
  <c r="AF128" i="142"/>
  <c r="AI128" i="142"/>
  <c r="K128" i="142"/>
  <c r="AG128" i="142"/>
  <c r="AH128" i="142"/>
  <c r="AL128" i="142"/>
  <c r="E128" i="142"/>
  <c r="X128" i="142"/>
  <c r="U128" i="142"/>
  <c r="O128" i="142"/>
  <c r="S128" i="142"/>
  <c r="P128" i="142"/>
  <c r="Z128" i="142"/>
  <c r="H128" i="142"/>
  <c r="I134" i="142"/>
  <c r="K134" i="142"/>
  <c r="L134" i="142"/>
  <c r="H134" i="142"/>
  <c r="M134" i="142"/>
  <c r="F134" i="142"/>
  <c r="N134" i="142"/>
  <c r="Q134" i="142"/>
  <c r="V134" i="142"/>
  <c r="W134" i="142"/>
  <c r="X134" i="142"/>
  <c r="AM134" i="142"/>
  <c r="Z134" i="142"/>
  <c r="AL134" i="142"/>
  <c r="G134" i="142"/>
  <c r="S134" i="142"/>
  <c r="AF134" i="142"/>
  <c r="AH134" i="142"/>
  <c r="AJ134" i="142"/>
  <c r="AK134" i="142"/>
  <c r="AO134" i="142"/>
  <c r="J134" i="142"/>
  <c r="AI134" i="142"/>
  <c r="P134" i="142"/>
  <c r="O134" i="142"/>
  <c r="AE134" i="142"/>
  <c r="AG134" i="142"/>
  <c r="AB134" i="142"/>
  <c r="AN134" i="142"/>
  <c r="E134" i="142"/>
  <c r="Y134" i="142"/>
  <c r="AC134" i="142"/>
  <c r="AA134" i="142"/>
  <c r="U134" i="142"/>
  <c r="AD134" i="142"/>
  <c r="R134" i="142"/>
  <c r="T134" i="142"/>
  <c r="O127" i="142"/>
  <c r="L127" i="142"/>
  <c r="S127" i="142"/>
  <c r="F127" i="142"/>
  <c r="U127" i="142"/>
  <c r="G127" i="142"/>
  <c r="AN127" i="142"/>
  <c r="X127" i="142"/>
  <c r="Z127" i="142"/>
  <c r="AE127" i="142"/>
  <c r="AG127" i="142"/>
  <c r="T127" i="142"/>
  <c r="R127" i="142"/>
  <c r="AA127" i="142"/>
  <c r="AJ127" i="142"/>
  <c r="AM127" i="142"/>
  <c r="AO127" i="142"/>
  <c r="P127" i="142"/>
  <c r="AD127" i="142"/>
  <c r="E127" i="142"/>
  <c r="AF127" i="142"/>
  <c r="AH127" i="142"/>
  <c r="AK127" i="142"/>
  <c r="AL127" i="142"/>
  <c r="AI127" i="142"/>
  <c r="I127" i="142"/>
  <c r="K127" i="142"/>
  <c r="M127" i="142"/>
  <c r="Y127" i="142"/>
  <c r="V127" i="142"/>
  <c r="N127" i="142"/>
  <c r="W127" i="142"/>
  <c r="J127" i="142"/>
  <c r="Q127" i="142"/>
  <c r="AC127" i="142"/>
  <c r="AB127" i="142"/>
  <c r="H127" i="142"/>
  <c r="AC172" i="142"/>
  <c r="U172" i="142"/>
  <c r="I172" i="142"/>
  <c r="F172" i="142"/>
  <c r="AO172" i="142"/>
  <c r="W172" i="142"/>
  <c r="AD172" i="142"/>
  <c r="E172" i="142"/>
  <c r="Q172" i="142"/>
  <c r="Y172" i="142"/>
  <c r="AA172" i="142"/>
  <c r="AE172" i="142"/>
  <c r="AF172" i="142"/>
  <c r="T172" i="142"/>
  <c r="L172" i="142"/>
  <c r="AB172" i="142"/>
  <c r="AG172" i="142"/>
  <c r="AH172" i="142"/>
  <c r="AI172" i="142"/>
  <c r="AJ172" i="142"/>
  <c r="AK172" i="142"/>
  <c r="P172" i="142"/>
  <c r="AL172" i="142"/>
  <c r="K172" i="142"/>
  <c r="R172" i="142"/>
  <c r="V172" i="142"/>
  <c r="G172" i="142"/>
  <c r="X172" i="142"/>
  <c r="AM172" i="142"/>
  <c r="N172" i="142"/>
  <c r="J172" i="142"/>
  <c r="M172" i="142"/>
  <c r="Z172" i="142"/>
  <c r="S172" i="142"/>
  <c r="AN172" i="142"/>
  <c r="O172" i="142"/>
  <c r="H172" i="142"/>
  <c r="AA180" i="142"/>
  <c r="AD180" i="142"/>
  <c r="AG180" i="142"/>
  <c r="E180" i="142"/>
  <c r="AL180" i="142"/>
  <c r="L180" i="142"/>
  <c r="W180" i="142"/>
  <c r="AJ180" i="142"/>
  <c r="AB180" i="142"/>
  <c r="AE180" i="142"/>
  <c r="AF180" i="142"/>
  <c r="N180" i="142"/>
  <c r="O180" i="142"/>
  <c r="G180" i="142"/>
  <c r="H180" i="142"/>
  <c r="X180" i="142"/>
  <c r="AN180" i="142"/>
  <c r="S180" i="142"/>
  <c r="AM180" i="142"/>
  <c r="Q180" i="142"/>
  <c r="P180" i="142"/>
  <c r="U180" i="142"/>
  <c r="R180" i="142"/>
  <c r="T180" i="142"/>
  <c r="V180" i="142"/>
  <c r="Z180" i="142"/>
  <c r="AI180" i="142"/>
  <c r="AK180" i="142"/>
  <c r="F180" i="142"/>
  <c r="M180" i="142"/>
  <c r="J180" i="142"/>
  <c r="AC180" i="142"/>
  <c r="AO180" i="142"/>
  <c r="K180" i="142"/>
  <c r="AH180" i="142"/>
  <c r="Y180" i="142"/>
  <c r="I180" i="142"/>
  <c r="R340" i="133"/>
  <c r="S340" i="133"/>
  <c r="T340" i="133"/>
  <c r="N340" i="133"/>
  <c r="O340" i="133"/>
  <c r="P340" i="133"/>
  <c r="Q340" i="133"/>
  <c r="AA340" i="133"/>
  <c r="Z340" i="133"/>
  <c r="AB340" i="133"/>
  <c r="AC340" i="133"/>
  <c r="X340" i="133"/>
  <c r="Y340" i="133"/>
  <c r="L340" i="133"/>
  <c r="V340" i="133"/>
  <c r="W340" i="133"/>
  <c r="U340" i="133"/>
  <c r="M340" i="133"/>
  <c r="K340" i="133"/>
  <c r="AO108" i="142"/>
  <c r="Q115" i="142"/>
  <c r="L115" i="142"/>
  <c r="AG115" i="142"/>
  <c r="Z115" i="142"/>
  <c r="R115" i="142"/>
  <c r="V115" i="142"/>
  <c r="K115" i="142"/>
  <c r="AN115" i="142"/>
  <c r="N115" i="142"/>
  <c r="W115" i="142"/>
  <c r="S115" i="142"/>
  <c r="AF115" i="142"/>
  <c r="AB115" i="142"/>
  <c r="Y115" i="142"/>
  <c r="T115" i="142"/>
  <c r="G115" i="142"/>
  <c r="AA115" i="142"/>
  <c r="AJ115" i="142"/>
  <c r="AC115" i="142"/>
  <c r="AE115" i="142"/>
  <c r="AI115" i="142"/>
  <c r="AK115" i="142"/>
  <c r="F115" i="142"/>
  <c r="J115" i="142"/>
  <c r="AO115" i="142"/>
  <c r="U115" i="142"/>
  <c r="AD115" i="142"/>
  <c r="AL115" i="142"/>
  <c r="P115" i="142"/>
  <c r="M115" i="142"/>
  <c r="O115" i="142"/>
  <c r="E115" i="142"/>
  <c r="AH115" i="142"/>
  <c r="AM115" i="142"/>
  <c r="H115" i="142"/>
  <c r="I115" i="142"/>
  <c r="X115" i="142"/>
  <c r="AO110" i="142"/>
  <c r="T112" i="142"/>
  <c r="AB112" i="142"/>
  <c r="AC112" i="142"/>
  <c r="AD112" i="142"/>
  <c r="AF112" i="142"/>
  <c r="AH112" i="142"/>
  <c r="AM112" i="142"/>
  <c r="N112" i="142"/>
  <c r="K112" i="142"/>
  <c r="O112" i="142"/>
  <c r="J112" i="142"/>
  <c r="Q112" i="142"/>
  <c r="S112" i="142"/>
  <c r="AA112" i="142"/>
  <c r="W112" i="142"/>
  <c r="AG112" i="142"/>
  <c r="AK112" i="142"/>
  <c r="AL112" i="142"/>
  <c r="F112" i="142"/>
  <c r="I112" i="142"/>
  <c r="AO112" i="142"/>
  <c r="AI112" i="142"/>
  <c r="AN112" i="142"/>
  <c r="X112" i="142"/>
  <c r="U112" i="142"/>
  <c r="G112" i="142"/>
  <c r="P112" i="142"/>
  <c r="V112" i="142"/>
  <c r="AE112" i="142"/>
  <c r="AJ112" i="142"/>
  <c r="H112" i="142"/>
  <c r="R112" i="142"/>
  <c r="Z112" i="142"/>
  <c r="Y112" i="142"/>
  <c r="M112" i="142"/>
  <c r="E112" i="142"/>
  <c r="L112" i="142"/>
  <c r="R339" i="133"/>
  <c r="S339" i="133"/>
  <c r="T339" i="133"/>
  <c r="N339" i="133"/>
  <c r="L339" i="133"/>
  <c r="M339" i="133"/>
  <c r="AC339" i="133"/>
  <c r="P339" i="133"/>
  <c r="Z339" i="133"/>
  <c r="AA339" i="133"/>
  <c r="AB339" i="133"/>
  <c r="O339" i="133"/>
  <c r="V339" i="133"/>
  <c r="W339" i="133"/>
  <c r="Q339" i="133"/>
  <c r="U339" i="133"/>
  <c r="X339" i="133"/>
  <c r="Y339" i="133"/>
  <c r="M118" i="142"/>
  <c r="AF118" i="142"/>
  <c r="N118" i="142"/>
  <c r="T118" i="142"/>
  <c r="AK118" i="142"/>
  <c r="O118" i="142"/>
  <c r="Q118" i="142"/>
  <c r="S118" i="142"/>
  <c r="AI118" i="142"/>
  <c r="Y118" i="142"/>
  <c r="AD118" i="142"/>
  <c r="AB118" i="142"/>
  <c r="K118" i="142"/>
  <c r="AO118" i="142"/>
  <c r="P118" i="142"/>
  <c r="AN118" i="142"/>
  <c r="F118" i="142"/>
  <c r="V118" i="142"/>
  <c r="Z118" i="142"/>
  <c r="AM118" i="142"/>
  <c r="L118" i="142"/>
  <c r="H118" i="142"/>
  <c r="AJ118" i="142"/>
  <c r="AL118" i="142"/>
  <c r="R118" i="142"/>
  <c r="U118" i="142"/>
  <c r="AH118" i="142"/>
  <c r="AA118" i="142"/>
  <c r="G118" i="142"/>
  <c r="X118" i="142"/>
  <c r="J118" i="142"/>
  <c r="I118" i="142"/>
  <c r="AC118" i="142"/>
  <c r="AE118" i="142"/>
  <c r="AG118" i="142"/>
  <c r="E118" i="142"/>
  <c r="W118" i="142"/>
  <c r="AO154" i="142"/>
  <c r="R353" i="133"/>
  <c r="T353" i="133"/>
  <c r="S353" i="133"/>
  <c r="X353" i="133"/>
  <c r="AA353" i="133"/>
  <c r="Y353" i="133"/>
  <c r="Z353" i="133"/>
  <c r="V353" i="133"/>
  <c r="N353" i="133"/>
  <c r="P353" i="133"/>
  <c r="O353" i="133"/>
  <c r="Q353" i="133"/>
  <c r="K353" i="133"/>
  <c r="U353" i="133"/>
  <c r="W353" i="133"/>
  <c r="M353" i="133"/>
  <c r="AB353" i="133"/>
  <c r="L353" i="133"/>
  <c r="AC353" i="133"/>
  <c r="AO156" i="142"/>
  <c r="L125" i="142"/>
  <c r="X125" i="142"/>
  <c r="O125" i="142"/>
  <c r="N125" i="142"/>
  <c r="M125" i="142"/>
  <c r="Q125" i="142"/>
  <c r="AJ125" i="142"/>
  <c r="J125" i="142"/>
  <c r="Y125" i="142"/>
  <c r="AA125" i="142"/>
  <c r="AF125" i="142"/>
  <c r="AM125" i="142"/>
  <c r="T125" i="142"/>
  <c r="AB125" i="142"/>
  <c r="AE125" i="142"/>
  <c r="S125" i="142"/>
  <c r="G125" i="142"/>
  <c r="AG125" i="142"/>
  <c r="R125" i="142"/>
  <c r="U125" i="142"/>
  <c r="V125" i="142"/>
  <c r="W125" i="142"/>
  <c r="Z125" i="142"/>
  <c r="AC125" i="142"/>
  <c r="AD125" i="142"/>
  <c r="AO125" i="142"/>
  <c r="P125" i="142"/>
  <c r="AL125" i="142"/>
  <c r="H125" i="142"/>
  <c r="E125" i="142"/>
  <c r="I125" i="142"/>
  <c r="AH125" i="142"/>
  <c r="F125" i="142"/>
  <c r="AN125" i="142"/>
  <c r="AI125" i="142"/>
  <c r="K125" i="142"/>
  <c r="AK125" i="142"/>
  <c r="AK176" i="142"/>
  <c r="AL176" i="142"/>
  <c r="N176" i="142"/>
  <c r="AM176" i="142"/>
  <c r="Y176" i="142"/>
  <c r="J176" i="142"/>
  <c r="AO176" i="142"/>
  <c r="L176" i="142"/>
  <c r="E176" i="142"/>
  <c r="AF176" i="142"/>
  <c r="X176" i="142"/>
  <c r="AG176" i="142"/>
  <c r="I176" i="142"/>
  <c r="AN176" i="142"/>
  <c r="AJ176" i="142"/>
  <c r="O176" i="142"/>
  <c r="K176" i="142"/>
  <c r="AI176" i="142"/>
  <c r="V176" i="142"/>
  <c r="AB176" i="142"/>
  <c r="T176" i="142"/>
  <c r="AH176" i="142"/>
  <c r="AD176" i="142"/>
  <c r="AE176" i="142"/>
  <c r="Q176" i="142"/>
  <c r="R176" i="142"/>
  <c r="P176" i="142"/>
  <c r="F176" i="142"/>
  <c r="M176" i="142"/>
  <c r="AA176" i="142"/>
  <c r="S176" i="142"/>
  <c r="Z176" i="142"/>
  <c r="U176" i="142"/>
  <c r="W176" i="142"/>
  <c r="G176" i="142"/>
  <c r="H176" i="142"/>
  <c r="AC176" i="142"/>
  <c r="M132" i="142"/>
  <c r="L132" i="142"/>
  <c r="W132" i="142"/>
  <c r="N132" i="142"/>
  <c r="AG132" i="142"/>
  <c r="Q132" i="142"/>
  <c r="AN132" i="142"/>
  <c r="AH132" i="142"/>
  <c r="AI132" i="142"/>
  <c r="AK132" i="142"/>
  <c r="AJ132" i="142"/>
  <c r="AA132" i="142"/>
  <c r="AB132" i="142"/>
  <c r="AC132" i="142"/>
  <c r="H132" i="142"/>
  <c r="AO132" i="142"/>
  <c r="O132" i="142"/>
  <c r="E132" i="142"/>
  <c r="AL132" i="142"/>
  <c r="AD132" i="142"/>
  <c r="Y132" i="142"/>
  <c r="Z132" i="142"/>
  <c r="AF132" i="142"/>
  <c r="V132" i="142"/>
  <c r="X132" i="142"/>
  <c r="F132" i="142"/>
  <c r="U132" i="142"/>
  <c r="S132" i="142"/>
  <c r="P132" i="142"/>
  <c r="AM132" i="142"/>
  <c r="AE132" i="142"/>
  <c r="G132" i="142"/>
  <c r="I132" i="142"/>
  <c r="J132" i="142"/>
  <c r="T132" i="142"/>
  <c r="R132" i="142"/>
  <c r="K132" i="142"/>
  <c r="P175" i="142"/>
  <c r="Q175" i="142"/>
  <c r="AO175" i="142"/>
  <c r="R175" i="142"/>
  <c r="AA175" i="142"/>
  <c r="S175" i="142"/>
  <c r="V175" i="142"/>
  <c r="Y175" i="142"/>
  <c r="AG175" i="142"/>
  <c r="AH175" i="142"/>
  <c r="AJ175" i="142"/>
  <c r="AK175" i="142"/>
  <c r="F175" i="142"/>
  <c r="N175" i="142"/>
  <c r="T175" i="142"/>
  <c r="H175" i="142"/>
  <c r="AN175" i="142"/>
  <c r="AF175" i="142"/>
  <c r="U175" i="142"/>
  <c r="X175" i="142"/>
  <c r="AB175" i="142"/>
  <c r="G175" i="142"/>
  <c r="K175" i="142"/>
  <c r="AD175" i="142"/>
  <c r="O175" i="142"/>
  <c r="AC175" i="142"/>
  <c r="I175" i="142"/>
  <c r="AI175" i="142"/>
  <c r="AE175" i="142"/>
  <c r="W175" i="142"/>
  <c r="M175" i="142"/>
  <c r="E175" i="142"/>
  <c r="Z175" i="142"/>
  <c r="AL175" i="142"/>
  <c r="AM175" i="142"/>
  <c r="L175" i="142"/>
  <c r="J175" i="142"/>
  <c r="AK113" i="142"/>
  <c r="P113" i="142"/>
  <c r="AF113" i="142"/>
  <c r="L113" i="142"/>
  <c r="I113" i="142"/>
  <c r="J113" i="142"/>
  <c r="K113" i="142"/>
  <c r="M113" i="142"/>
  <c r="AM113" i="142"/>
  <c r="AO113" i="142"/>
  <c r="S113" i="142"/>
  <c r="AI113" i="142"/>
  <c r="O113" i="142"/>
  <c r="AA113" i="142"/>
  <c r="AJ113" i="142"/>
  <c r="AE113" i="142"/>
  <c r="AD113" i="142"/>
  <c r="AC113" i="142"/>
  <c r="Q113" i="142"/>
  <c r="AB113" i="142"/>
  <c r="AL113" i="142"/>
  <c r="E113" i="142"/>
  <c r="F113" i="142"/>
  <c r="T113" i="142"/>
  <c r="Y113" i="142"/>
  <c r="X113" i="142"/>
  <c r="H113" i="142"/>
  <c r="AG113" i="142"/>
  <c r="V113" i="142"/>
  <c r="W113" i="142"/>
  <c r="AH113" i="142"/>
  <c r="Z113" i="142"/>
  <c r="R113" i="142"/>
  <c r="G113" i="142"/>
  <c r="AN113" i="142"/>
  <c r="U113" i="142"/>
  <c r="N113" i="142"/>
  <c r="AH114" i="142"/>
  <c r="AF114" i="142"/>
  <c r="Q114" i="142"/>
  <c r="S114" i="142"/>
  <c r="M114" i="142"/>
  <c r="AI114" i="142"/>
  <c r="R114" i="142"/>
  <c r="AN114" i="142"/>
  <c r="AO114" i="142"/>
  <c r="AD114" i="142"/>
  <c r="AG114" i="142"/>
  <c r="H114" i="142"/>
  <c r="T114" i="142"/>
  <c r="Y114" i="142"/>
  <c r="AL114" i="142"/>
  <c r="AM114" i="142"/>
  <c r="X114" i="142"/>
  <c r="N114" i="142"/>
  <c r="G114" i="142"/>
  <c r="I114" i="142"/>
  <c r="E114" i="142"/>
  <c r="K114" i="142"/>
  <c r="J114" i="142"/>
  <c r="U114" i="142"/>
  <c r="W114" i="142"/>
  <c r="L114" i="142"/>
  <c r="O114" i="142"/>
  <c r="Z114" i="142"/>
  <c r="AC114" i="142"/>
  <c r="AA114" i="142"/>
  <c r="AB114" i="142"/>
  <c r="AK114" i="142"/>
  <c r="P114" i="142"/>
  <c r="V114" i="142"/>
  <c r="F114" i="142"/>
  <c r="AJ114" i="142"/>
  <c r="AE114" i="142"/>
  <c r="I130" i="142"/>
  <c r="AO130" i="142"/>
  <c r="P130" i="142"/>
  <c r="G130" i="142"/>
  <c r="M130" i="142"/>
  <c r="L130" i="142"/>
  <c r="O130" i="142"/>
  <c r="J130" i="142"/>
  <c r="AI130" i="142"/>
  <c r="AJ130" i="142"/>
  <c r="AM130" i="142"/>
  <c r="AA130" i="142"/>
  <c r="AD130" i="142"/>
  <c r="AG130" i="142"/>
  <c r="AN130" i="142"/>
  <c r="N130" i="142"/>
  <c r="S130" i="142"/>
  <c r="X130" i="142"/>
  <c r="Y130" i="142"/>
  <c r="AH130" i="142"/>
  <c r="F130" i="142"/>
  <c r="AK130" i="142"/>
  <c r="E130" i="142"/>
  <c r="AE130" i="142"/>
  <c r="H130" i="142"/>
  <c r="R130" i="142"/>
  <c r="T130" i="142"/>
  <c r="AB130" i="142"/>
  <c r="AF130" i="142"/>
  <c r="Z130" i="142"/>
  <c r="AC130" i="142"/>
  <c r="AL130" i="142"/>
  <c r="U130" i="142"/>
  <c r="V130" i="142"/>
  <c r="W130" i="142"/>
  <c r="K130" i="142"/>
  <c r="Q130" i="142"/>
  <c r="L133" i="142"/>
  <c r="H133" i="142"/>
  <c r="U133" i="142"/>
  <c r="M133" i="142"/>
  <c r="AN133" i="142"/>
  <c r="AG133" i="142"/>
  <c r="O133" i="142"/>
  <c r="AH133" i="142"/>
  <c r="AL133" i="142"/>
  <c r="AJ133" i="142"/>
  <c r="AK133" i="142"/>
  <c r="AA133" i="142"/>
  <c r="AB133" i="142"/>
  <c r="AC133" i="142"/>
  <c r="AF133" i="142"/>
  <c r="AM133" i="142"/>
  <c r="AE133" i="142"/>
  <c r="K133" i="142"/>
  <c r="F133" i="142"/>
  <c r="AI133" i="142"/>
  <c r="T133" i="142"/>
  <c r="AD133" i="142"/>
  <c r="AO133" i="142"/>
  <c r="W133" i="142"/>
  <c r="E133" i="142"/>
  <c r="P133" i="142"/>
  <c r="Y133" i="142"/>
  <c r="Z133" i="142"/>
  <c r="N133" i="142"/>
  <c r="V133" i="142"/>
  <c r="Q133" i="142"/>
  <c r="R133" i="142"/>
  <c r="G133" i="142"/>
  <c r="S133" i="142"/>
  <c r="I133" i="142"/>
  <c r="J133" i="142"/>
  <c r="X133" i="142"/>
  <c r="AE174" i="142"/>
  <c r="AH174" i="142"/>
  <c r="AO174" i="142"/>
  <c r="O174" i="142"/>
  <c r="F174" i="142"/>
  <c r="L174" i="142"/>
  <c r="J174" i="142"/>
  <c r="Y174" i="142"/>
  <c r="V174" i="142"/>
  <c r="E174" i="142"/>
  <c r="T174" i="142"/>
  <c r="AB174" i="142"/>
  <c r="AN174" i="142"/>
  <c r="X174" i="142"/>
  <c r="AL174" i="142"/>
  <c r="H174" i="142"/>
  <c r="I174" i="142"/>
  <c r="K174" i="142"/>
  <c r="M174" i="142"/>
  <c r="AD174" i="142"/>
  <c r="N174" i="142"/>
  <c r="P174" i="142"/>
  <c r="Q174" i="142"/>
  <c r="S174" i="142"/>
  <c r="U174" i="142"/>
  <c r="AA174" i="142"/>
  <c r="R174" i="142"/>
  <c r="AC174" i="142"/>
  <c r="G174" i="142"/>
  <c r="AM174" i="142"/>
  <c r="Z174" i="142"/>
  <c r="AK174" i="142"/>
  <c r="AF174" i="142"/>
  <c r="AI174" i="142"/>
  <c r="W174" i="142"/>
  <c r="AG174" i="142"/>
  <c r="AJ174" i="142"/>
  <c r="R357" i="133"/>
  <c r="T357" i="133"/>
  <c r="S357" i="133"/>
  <c r="P357" i="133"/>
  <c r="Z357" i="133"/>
  <c r="L357" i="133"/>
  <c r="M357" i="133"/>
  <c r="O357" i="133"/>
  <c r="N357" i="133"/>
  <c r="X357" i="133"/>
  <c r="Y357" i="133"/>
  <c r="W357" i="133"/>
  <c r="AA357" i="133"/>
  <c r="AB357" i="133"/>
  <c r="AC357" i="133"/>
  <c r="U357" i="133"/>
  <c r="Q357" i="133"/>
  <c r="V357" i="133"/>
  <c r="K357" i="133"/>
  <c r="AA179" i="142"/>
  <c r="AC179" i="142"/>
  <c r="V179" i="142"/>
  <c r="F179" i="142"/>
  <c r="AJ179" i="142"/>
  <c r="AO179" i="142"/>
  <c r="Q179" i="142"/>
  <c r="H179" i="142"/>
  <c r="AK179" i="142"/>
  <c r="S179" i="142"/>
  <c r="W179" i="142"/>
  <c r="AF179" i="142"/>
  <c r="AH179" i="142"/>
  <c r="AM179" i="142"/>
  <c r="AL179" i="142"/>
  <c r="I179" i="142"/>
  <c r="U179" i="142"/>
  <c r="J179" i="142"/>
  <c r="R179" i="142"/>
  <c r="L179" i="142"/>
  <c r="P179" i="142"/>
  <c r="Z179" i="142"/>
  <c r="M179" i="142"/>
  <c r="O179" i="142"/>
  <c r="G179" i="142"/>
  <c r="N179" i="142"/>
  <c r="AB179" i="142"/>
  <c r="Y179" i="142"/>
  <c r="X179" i="142"/>
  <c r="AD179" i="142"/>
  <c r="AE179" i="142"/>
  <c r="E179" i="142"/>
  <c r="T179" i="142"/>
  <c r="AG179" i="142"/>
  <c r="AN179" i="142"/>
  <c r="K179" i="142"/>
  <c r="AI179" i="142"/>
  <c r="R355" i="133"/>
  <c r="T355" i="133"/>
  <c r="S355" i="133"/>
  <c r="AA355" i="133"/>
  <c r="AC355" i="133"/>
  <c r="AB355" i="133"/>
  <c r="M355" i="133"/>
  <c r="K355" i="133"/>
  <c r="L355" i="133"/>
  <c r="Z355" i="133"/>
  <c r="N355" i="133"/>
  <c r="O355" i="133"/>
  <c r="P355" i="133"/>
  <c r="Q355" i="133"/>
  <c r="Y355" i="133"/>
  <c r="W355" i="133"/>
  <c r="X355" i="133"/>
  <c r="V355" i="133"/>
  <c r="U355" i="133"/>
  <c r="R354" i="133"/>
  <c r="T354" i="133"/>
  <c r="S354" i="133"/>
  <c r="AA354" i="133"/>
  <c r="AB354" i="133"/>
  <c r="AC354" i="133"/>
  <c r="P354" i="133"/>
  <c r="U354" i="133"/>
  <c r="M354" i="133"/>
  <c r="N354" i="133"/>
  <c r="Q354" i="133"/>
  <c r="O354" i="133"/>
  <c r="K354" i="133"/>
  <c r="L354" i="133"/>
  <c r="V354" i="133"/>
  <c r="W354" i="133"/>
  <c r="X354" i="133"/>
  <c r="Y354" i="133"/>
  <c r="Z354" i="133"/>
  <c r="R341" i="133"/>
  <c r="S341" i="133"/>
  <c r="T341" i="133"/>
  <c r="Q341" i="133"/>
  <c r="W341" i="133"/>
  <c r="U341" i="133"/>
  <c r="V341" i="133"/>
  <c r="M341" i="133"/>
  <c r="O341" i="133"/>
  <c r="P341" i="133"/>
  <c r="X341" i="133"/>
  <c r="Y341" i="133"/>
  <c r="Z341" i="133"/>
  <c r="AC341" i="133"/>
  <c r="K341" i="133"/>
  <c r="L341" i="133"/>
  <c r="N341" i="133"/>
  <c r="AA341" i="133"/>
  <c r="AB341" i="133"/>
  <c r="R352" i="133"/>
  <c r="T352" i="133"/>
  <c r="S352" i="133"/>
  <c r="U352" i="133"/>
  <c r="V352" i="133"/>
  <c r="W352" i="133"/>
  <c r="X352" i="133"/>
  <c r="O352" i="133"/>
  <c r="K352" i="133"/>
  <c r="M352" i="133"/>
  <c r="N352" i="133"/>
  <c r="P352" i="133"/>
  <c r="Q352" i="133"/>
  <c r="L352" i="133"/>
  <c r="Y352" i="133"/>
  <c r="AB352" i="133"/>
  <c r="Z352" i="133"/>
  <c r="AC352" i="133"/>
  <c r="AA352" i="133"/>
  <c r="R359" i="133"/>
  <c r="T359" i="133"/>
  <c r="S359" i="133"/>
  <c r="Y359" i="133"/>
  <c r="K359" i="133"/>
  <c r="AA359" i="133"/>
  <c r="AC359" i="133"/>
  <c r="O359" i="133"/>
  <c r="M359" i="133"/>
  <c r="N359" i="133"/>
  <c r="P359" i="133"/>
  <c r="U359" i="133"/>
  <c r="L359" i="133"/>
  <c r="Q359" i="133"/>
  <c r="AB359" i="133"/>
  <c r="X359" i="133"/>
  <c r="Z359" i="133"/>
  <c r="V359" i="133"/>
  <c r="W359" i="133"/>
  <c r="AH161" i="142"/>
  <c r="AK161" i="142"/>
  <c r="AA161" i="142"/>
  <c r="AC161" i="142"/>
  <c r="AL161" i="142"/>
  <c r="Y161" i="142"/>
  <c r="G161" i="142"/>
  <c r="I161" i="142"/>
  <c r="O161" i="142"/>
  <c r="M161" i="142"/>
  <c r="F161" i="142"/>
  <c r="Q161" i="142"/>
  <c r="H161" i="142"/>
  <c r="L161" i="142"/>
  <c r="Z161" i="142"/>
  <c r="AO161" i="142"/>
  <c r="X161" i="142"/>
  <c r="AM161" i="142"/>
  <c r="J161" i="142"/>
  <c r="AF161" i="142"/>
  <c r="AG161" i="142"/>
  <c r="R161" i="142"/>
  <c r="W161" i="142"/>
  <c r="AD161" i="142"/>
  <c r="AN161" i="142"/>
  <c r="AE161" i="142"/>
  <c r="AI161" i="142"/>
  <c r="E161" i="142"/>
  <c r="AJ161" i="142"/>
  <c r="S161" i="142"/>
  <c r="AB161" i="142"/>
  <c r="K161" i="142"/>
  <c r="V161" i="142"/>
  <c r="U161" i="142"/>
  <c r="N161" i="142"/>
  <c r="P161" i="142"/>
  <c r="T161" i="142"/>
  <c r="AE117" i="142"/>
  <c r="G117" i="142"/>
  <c r="AN117" i="142"/>
  <c r="V117" i="142"/>
  <c r="H117" i="142"/>
  <c r="AL117" i="142"/>
  <c r="Q117" i="142"/>
  <c r="T117" i="142"/>
  <c r="U117" i="142"/>
  <c r="X117" i="142"/>
  <c r="AK117" i="142"/>
  <c r="N117" i="142"/>
  <c r="O117" i="142"/>
  <c r="S117" i="142"/>
  <c r="AB117" i="142"/>
  <c r="R117" i="142"/>
  <c r="AO117" i="142"/>
  <c r="AA117" i="142"/>
  <c r="Z117" i="142"/>
  <c r="F117" i="142"/>
  <c r="J117" i="142"/>
  <c r="K117" i="142"/>
  <c r="W117" i="142"/>
  <c r="AD117" i="142"/>
  <c r="AF117" i="142"/>
  <c r="AM117" i="142"/>
  <c r="L117" i="142"/>
  <c r="E117" i="142"/>
  <c r="M117" i="142"/>
  <c r="AG117" i="142"/>
  <c r="AJ117" i="142"/>
  <c r="Y117" i="142"/>
  <c r="P117" i="142"/>
  <c r="AC117" i="142"/>
  <c r="I117" i="142"/>
  <c r="AH117" i="142"/>
  <c r="AI117" i="142"/>
  <c r="R345" i="133"/>
  <c r="S345" i="133"/>
  <c r="T345" i="133"/>
  <c r="K345" i="133"/>
  <c r="L345" i="133"/>
  <c r="M345" i="133"/>
  <c r="O345" i="133"/>
  <c r="P345" i="133"/>
  <c r="Q345" i="133"/>
  <c r="U345" i="133"/>
  <c r="N345" i="133"/>
  <c r="V345" i="133"/>
  <c r="AA345" i="133"/>
  <c r="AB345" i="133"/>
  <c r="AC345" i="133"/>
  <c r="Z345" i="133"/>
  <c r="Y345" i="133"/>
  <c r="W345" i="133"/>
  <c r="X345" i="133"/>
  <c r="R361" i="133"/>
  <c r="T361" i="133"/>
  <c r="S361" i="133"/>
  <c r="M361" i="133"/>
  <c r="N361" i="133"/>
  <c r="O361" i="133"/>
  <c r="P361" i="133"/>
  <c r="Y361" i="133"/>
  <c r="X361" i="133"/>
  <c r="Z361" i="133"/>
  <c r="AB361" i="133"/>
  <c r="AA361" i="133"/>
  <c r="K361" i="133"/>
  <c r="U361" i="133"/>
  <c r="V361" i="133"/>
  <c r="L361" i="133"/>
  <c r="Q361" i="133"/>
  <c r="W361" i="133"/>
  <c r="AC361" i="133"/>
  <c r="R170" i="142"/>
  <c r="AF170" i="142"/>
  <c r="F170" i="142"/>
  <c r="AD170" i="142"/>
  <c r="M170" i="142"/>
  <c r="AB170" i="142"/>
  <c r="N170" i="142"/>
  <c r="Z170" i="142"/>
  <c r="U170" i="142"/>
  <c r="AE170" i="142"/>
  <c r="J170" i="142"/>
  <c r="G170" i="142"/>
  <c r="L170" i="142"/>
  <c r="H170" i="142"/>
  <c r="Q170" i="142"/>
  <c r="AN170" i="142"/>
  <c r="T170" i="142"/>
  <c r="AA170" i="142"/>
  <c r="O170" i="142"/>
  <c r="K170" i="142"/>
  <c r="AJ170" i="142"/>
  <c r="AI170" i="142"/>
  <c r="E170" i="142"/>
  <c r="AC170" i="142"/>
  <c r="AK170" i="142"/>
  <c r="AL170" i="142"/>
  <c r="AM170" i="142"/>
  <c r="AG170" i="142"/>
  <c r="AH170" i="142"/>
  <c r="P170" i="142"/>
  <c r="S170" i="142"/>
  <c r="W170" i="142"/>
  <c r="Y170" i="142"/>
  <c r="V170" i="142"/>
  <c r="AO170" i="142"/>
  <c r="X170" i="142"/>
  <c r="I170" i="142"/>
  <c r="R362" i="133"/>
  <c r="S362" i="133"/>
  <c r="T362" i="133"/>
  <c r="P362" i="133"/>
  <c r="V362" i="133"/>
  <c r="Q362" i="133"/>
  <c r="U362" i="133"/>
  <c r="M362" i="133"/>
  <c r="K362" i="133"/>
  <c r="AA362" i="133"/>
  <c r="AB362" i="133"/>
  <c r="L362" i="133"/>
  <c r="W362" i="133"/>
  <c r="Y362" i="133"/>
  <c r="N362" i="133"/>
  <c r="O362" i="133"/>
  <c r="X362" i="133"/>
  <c r="Z362" i="133"/>
  <c r="AC362" i="133"/>
  <c r="M131" i="142"/>
  <c r="AB131" i="142"/>
  <c r="P131" i="142"/>
  <c r="AC131" i="142"/>
  <c r="R131" i="142"/>
  <c r="F131" i="142"/>
  <c r="I131" i="142"/>
  <c r="G131" i="142"/>
  <c r="H131" i="142"/>
  <c r="U131" i="142"/>
  <c r="AO131" i="142"/>
  <c r="V131" i="142"/>
  <c r="AG131" i="142"/>
  <c r="N131" i="142"/>
  <c r="T131" i="142"/>
  <c r="AD131" i="142"/>
  <c r="L131" i="142"/>
  <c r="AE131" i="142"/>
  <c r="J131" i="142"/>
  <c r="AF131" i="142"/>
  <c r="AL131" i="142"/>
  <c r="X131" i="142"/>
  <c r="AA131" i="142"/>
  <c r="K131" i="142"/>
  <c r="Z131" i="142"/>
  <c r="AM131" i="142"/>
  <c r="Y131" i="142"/>
  <c r="AN131" i="142"/>
  <c r="Q131" i="142"/>
  <c r="S131" i="142"/>
  <c r="AJ131" i="142"/>
  <c r="W131" i="142"/>
  <c r="AK131" i="142"/>
  <c r="E131" i="142"/>
  <c r="O131" i="142"/>
  <c r="AH131" i="142"/>
  <c r="AI131" i="142"/>
  <c r="R360" i="133"/>
  <c r="T360" i="133"/>
  <c r="S360" i="133"/>
  <c r="M360" i="133"/>
  <c r="L360" i="133"/>
  <c r="AB360" i="133"/>
  <c r="N360" i="133"/>
  <c r="K360" i="133"/>
  <c r="P360" i="133"/>
  <c r="O360" i="133"/>
  <c r="Q360" i="133"/>
  <c r="U360" i="133"/>
  <c r="V360" i="133"/>
  <c r="X360" i="133"/>
  <c r="Y360" i="133"/>
  <c r="AA360" i="133"/>
  <c r="AC360" i="133"/>
  <c r="W360" i="133"/>
  <c r="Z360" i="133"/>
  <c r="R358" i="133"/>
  <c r="S358" i="133"/>
  <c r="T358" i="133"/>
  <c r="V358" i="133"/>
  <c r="O358" i="133"/>
  <c r="Q358" i="133"/>
  <c r="AA358" i="133"/>
  <c r="K358" i="133"/>
  <c r="AB358" i="133"/>
  <c r="AC358" i="133"/>
  <c r="P358" i="133"/>
  <c r="U358" i="133"/>
  <c r="W358" i="133"/>
  <c r="X358" i="133"/>
  <c r="Y358" i="133"/>
  <c r="Z358" i="133"/>
  <c r="M358" i="133"/>
  <c r="L358" i="133"/>
  <c r="N358" i="133"/>
  <c r="R344" i="133"/>
  <c r="S344" i="133"/>
  <c r="T344" i="133"/>
  <c r="AC344" i="133"/>
  <c r="K344" i="133"/>
  <c r="W344" i="133"/>
  <c r="Q344" i="133"/>
  <c r="N344" i="133"/>
  <c r="O344" i="133"/>
  <c r="P344" i="133"/>
  <c r="U344" i="133"/>
  <c r="X344" i="133"/>
  <c r="V344" i="133"/>
  <c r="Z344" i="133"/>
  <c r="AA344" i="133"/>
  <c r="AB344" i="133"/>
  <c r="L344" i="133"/>
  <c r="M344" i="133"/>
  <c r="Y344" i="133"/>
  <c r="I157" i="142"/>
  <c r="V157" i="142"/>
  <c r="J157" i="142"/>
  <c r="AL157" i="142"/>
  <c r="U157" i="142"/>
  <c r="K157" i="142"/>
  <c r="X157" i="142"/>
  <c r="AG157" i="142"/>
  <c r="L157" i="142"/>
  <c r="AB157" i="142"/>
  <c r="W157" i="142"/>
  <c r="M157" i="142"/>
  <c r="Z157" i="142"/>
  <c r="N157" i="142"/>
  <c r="AO157" i="142"/>
  <c r="P157" i="142"/>
  <c r="Y157" i="142"/>
  <c r="AF157" i="142"/>
  <c r="AD157" i="142"/>
  <c r="AC157" i="142"/>
  <c r="AK157" i="142"/>
  <c r="AE157" i="142"/>
  <c r="H157" i="142"/>
  <c r="AM157" i="142"/>
  <c r="AJ157" i="142"/>
  <c r="F157" i="142"/>
  <c r="AH157" i="142"/>
  <c r="E157" i="142"/>
  <c r="G157" i="142"/>
  <c r="S157" i="142"/>
  <c r="AI157" i="142"/>
  <c r="O157" i="142"/>
  <c r="AA157" i="142"/>
  <c r="AN157" i="142"/>
  <c r="R157" i="142"/>
  <c r="Q157" i="142"/>
  <c r="T157" i="142"/>
  <c r="D46" i="134"/>
  <c r="D47" i="134" s="1"/>
  <c r="H80" i="134" s="1"/>
  <c r="H46" i="134"/>
  <c r="H47" i="134" s="1"/>
  <c r="F46" i="134"/>
  <c r="F47" i="134" s="1"/>
  <c r="H86" i="134" s="1"/>
  <c r="E46" i="134"/>
  <c r="E47" i="134" s="1"/>
  <c r="L98" i="134" s="1"/>
  <c r="E43" i="134"/>
  <c r="D43" i="134"/>
  <c r="G46" i="134"/>
  <c r="G47" i="134" s="1"/>
  <c r="I46" i="134"/>
  <c r="I47" i="134" s="1"/>
  <c r="Q74" i="132"/>
  <c r="S74" i="132"/>
  <c r="T74" i="132" s="1"/>
  <c r="Q68" i="132"/>
  <c r="R68" i="132"/>
  <c r="Q23" i="131" s="1"/>
  <c r="S68" i="132"/>
  <c r="R23" i="131" s="1"/>
  <c r="Q69" i="132"/>
  <c r="R69" i="132"/>
  <c r="S69" i="132"/>
  <c r="G63" i="132"/>
  <c r="G56" i="132"/>
  <c r="Q24" i="132"/>
  <c r="R24" i="132"/>
  <c r="S24" i="132"/>
  <c r="G24" i="132"/>
  <c r="Q93" i="132"/>
  <c r="Q91" i="132"/>
  <c r="Q90" i="132"/>
  <c r="Q89" i="132"/>
  <c r="Q88" i="132"/>
  <c r="Q87" i="132"/>
  <c r="Q85" i="132"/>
  <c r="Q84" i="132"/>
  <c r="Q83" i="132"/>
  <c r="Q82" i="132"/>
  <c r="Q80" i="132"/>
  <c r="Q78" i="132"/>
  <c r="Q77" i="132"/>
  <c r="Q76" i="132"/>
  <c r="Q75" i="132"/>
  <c r="Q73" i="132"/>
  <c r="Q67" i="132"/>
  <c r="Q66" i="132"/>
  <c r="Q65" i="132"/>
  <c r="Q64" i="132"/>
  <c r="Q63" i="132"/>
  <c r="Q62" i="132"/>
  <c r="Q61" i="132"/>
  <c r="Q60" i="132"/>
  <c r="Q59" i="132"/>
  <c r="Q57" i="132"/>
  <c r="Q56" i="132"/>
  <c r="Q55" i="132"/>
  <c r="Q54" i="132"/>
  <c r="Q52" i="132"/>
  <c r="Q49" i="132"/>
  <c r="Q48" i="132"/>
  <c r="Q47" i="132"/>
  <c r="Q46" i="132"/>
  <c r="Q45" i="132"/>
  <c r="Q34" i="132"/>
  <c r="Q33" i="132"/>
  <c r="Q32" i="132"/>
  <c r="Q31" i="132"/>
  <c r="Q30" i="132"/>
  <c r="Q29" i="132"/>
  <c r="Q28" i="132"/>
  <c r="Q27" i="132"/>
  <c r="Q26" i="132"/>
  <c r="Q25" i="132"/>
  <c r="Q23" i="132"/>
  <c r="Q22" i="132"/>
  <c r="Q21" i="132"/>
  <c r="Q20" i="132"/>
  <c r="Q19" i="132"/>
  <c r="Q18" i="132"/>
  <c r="Q17" i="132"/>
  <c r="Q16" i="132"/>
  <c r="Q15" i="132"/>
  <c r="P8" i="131" s="1"/>
  <c r="Q14" i="132"/>
  <c r="Q13" i="132"/>
  <c r="Q12" i="132"/>
  <c r="Q11" i="132"/>
  <c r="Q10" i="132"/>
  <c r="Q9" i="132"/>
  <c r="Q8" i="132"/>
  <c r="Q7" i="132"/>
  <c r="P5" i="131" s="1"/>
  <c r="D97" i="142" s="1"/>
  <c r="Q6" i="132"/>
  <c r="P6" i="131" s="1"/>
  <c r="D98" i="142" s="1"/>
  <c r="Q5" i="132"/>
  <c r="P7" i="131" s="1"/>
  <c r="S100" i="132"/>
  <c r="R100" i="132"/>
  <c r="S99" i="132"/>
  <c r="S98" i="132"/>
  <c r="S97" i="132"/>
  <c r="S96" i="132"/>
  <c r="S95" i="132"/>
  <c r="S94" i="132"/>
  <c r="S93" i="132"/>
  <c r="S91" i="132"/>
  <c r="S90" i="132"/>
  <c r="S89" i="132"/>
  <c r="S88" i="132"/>
  <c r="S87" i="132"/>
  <c r="S85" i="132"/>
  <c r="S84" i="132"/>
  <c r="S83" i="132"/>
  <c r="S82" i="132"/>
  <c r="S80" i="132"/>
  <c r="S78" i="132"/>
  <c r="T78" i="132" s="1"/>
  <c r="S77" i="132"/>
  <c r="T77" i="132" s="1"/>
  <c r="S76" i="132"/>
  <c r="T76" i="132" s="1"/>
  <c r="S75" i="132"/>
  <c r="S73" i="132"/>
  <c r="S67" i="132"/>
  <c r="R22" i="131" s="1"/>
  <c r="R67" i="132"/>
  <c r="Q22" i="131" s="1"/>
  <c r="S66" i="132"/>
  <c r="R66" i="132"/>
  <c r="S65" i="132"/>
  <c r="R24" i="131" s="1"/>
  <c r="R65" i="132"/>
  <c r="Q24" i="131" s="1"/>
  <c r="S64" i="132"/>
  <c r="R64" i="132"/>
  <c r="S63" i="132"/>
  <c r="R63" i="132"/>
  <c r="S62" i="132"/>
  <c r="R21" i="131" s="1"/>
  <c r="R62" i="132"/>
  <c r="Q21" i="131" s="1"/>
  <c r="S61" i="132"/>
  <c r="R61" i="132"/>
  <c r="S60" i="132"/>
  <c r="R60" i="132"/>
  <c r="S59" i="132"/>
  <c r="R59" i="132"/>
  <c r="S57" i="132"/>
  <c r="G57" i="132"/>
  <c r="S56" i="132"/>
  <c r="S55" i="132"/>
  <c r="T55" i="132" s="1"/>
  <c r="S54" i="132"/>
  <c r="T54" i="132" s="1"/>
  <c r="S52" i="132"/>
  <c r="T52" i="132" s="1"/>
  <c r="S49" i="132"/>
  <c r="T49" i="132" s="1"/>
  <c r="H48" i="132"/>
  <c r="S48" i="132" s="1"/>
  <c r="T48" i="132" s="1"/>
  <c r="G48" i="132"/>
  <c r="H47" i="132"/>
  <c r="S47" i="132" s="1"/>
  <c r="T47" i="132" s="1"/>
  <c r="S46" i="132"/>
  <c r="T46" i="132" s="1"/>
  <c r="H45" i="132"/>
  <c r="P37" i="132"/>
  <c r="P36" i="132"/>
  <c r="P35" i="132"/>
  <c r="S34" i="132"/>
  <c r="S33" i="132"/>
  <c r="R33" i="132"/>
  <c r="S32" i="132"/>
  <c r="R15" i="131" s="1"/>
  <c r="R32" i="132"/>
  <c r="Q15" i="131" s="1"/>
  <c r="S31" i="132"/>
  <c r="R31" i="132"/>
  <c r="S30" i="132"/>
  <c r="R30" i="132"/>
  <c r="S29" i="132"/>
  <c r="R29" i="132"/>
  <c r="S28" i="132"/>
  <c r="T28" i="132" s="1"/>
  <c r="G28" i="132"/>
  <c r="S27" i="132"/>
  <c r="G27" i="132"/>
  <c r="S26" i="132"/>
  <c r="R26" i="132"/>
  <c r="Q8" i="131" s="1"/>
  <c r="S25" i="132"/>
  <c r="R25" i="132"/>
  <c r="S23" i="132"/>
  <c r="R23" i="132"/>
  <c r="H22" i="132"/>
  <c r="H21" i="132"/>
  <c r="S20" i="132"/>
  <c r="R20" i="132"/>
  <c r="H19" i="132"/>
  <c r="S14" i="132"/>
  <c r="R14" i="132"/>
  <c r="S18" i="132"/>
  <c r="R18" i="132"/>
  <c r="S17" i="132"/>
  <c r="T17" i="132" s="1"/>
  <c r="S16" i="132"/>
  <c r="T16" i="132" s="1"/>
  <c r="U15" i="132"/>
  <c r="T8" i="131" s="1"/>
  <c r="S15" i="132"/>
  <c r="U13" i="132"/>
  <c r="H13" i="132"/>
  <c r="S13" i="132" s="1"/>
  <c r="T13" i="132" s="1"/>
  <c r="U12" i="132"/>
  <c r="H12" i="132"/>
  <c r="U11" i="132"/>
  <c r="H11" i="132"/>
  <c r="S11" i="132" s="1"/>
  <c r="U10" i="132"/>
  <c r="H10" i="132"/>
  <c r="U9" i="132"/>
  <c r="H9" i="132"/>
  <c r="S9" i="132" s="1"/>
  <c r="T9" i="132" s="1"/>
  <c r="H8" i="132"/>
  <c r="S7" i="132"/>
  <c r="S6" i="132"/>
  <c r="S5" i="132"/>
  <c r="D1" i="131"/>
  <c r="E1" i="131" s="1"/>
  <c r="F1" i="131" s="1"/>
  <c r="G1" i="131" s="1"/>
  <c r="H1" i="131" s="1"/>
  <c r="I1" i="131" s="1"/>
  <c r="T33" i="132" l="1"/>
  <c r="N110" i="134"/>
  <c r="Q110" i="134"/>
  <c r="U110" i="134"/>
  <c r="O110" i="134"/>
  <c r="T110" i="134"/>
  <c r="S110" i="134"/>
  <c r="P110" i="134"/>
  <c r="R110" i="134"/>
  <c r="H68" i="134"/>
  <c r="T74" i="134"/>
  <c r="H74" i="134"/>
  <c r="N74" i="134"/>
  <c r="V74" i="134"/>
  <c r="Q74" i="134"/>
  <c r="U74" i="134"/>
  <c r="M74" i="134"/>
  <c r="S74" i="134"/>
  <c r="J74" i="134"/>
  <c r="L74" i="134"/>
  <c r="K74" i="134"/>
  <c r="O74" i="134"/>
  <c r="R74" i="134"/>
  <c r="I74" i="134"/>
  <c r="P74" i="134"/>
  <c r="H92" i="134"/>
  <c r="H98" i="134"/>
  <c r="J98" i="134"/>
  <c r="K98" i="134"/>
  <c r="I98" i="134"/>
  <c r="Q104" i="134"/>
  <c r="S104" i="134"/>
  <c r="P104" i="134"/>
  <c r="U104" i="134"/>
  <c r="N104" i="134"/>
  <c r="O104" i="134"/>
  <c r="T104" i="134"/>
  <c r="R104" i="134"/>
  <c r="F341" i="133"/>
  <c r="F340" i="133"/>
  <c r="F356" i="133"/>
  <c r="F355" i="133"/>
  <c r="F344" i="133"/>
  <c r="F353" i="133"/>
  <c r="F342" i="133"/>
  <c r="F345" i="133"/>
  <c r="F359" i="133"/>
  <c r="F343" i="133"/>
  <c r="F360" i="133"/>
  <c r="F361" i="133"/>
  <c r="F362" i="133"/>
  <c r="F354" i="133"/>
  <c r="F352" i="133"/>
  <c r="F358" i="133"/>
  <c r="F357" i="133"/>
  <c r="F339" i="133"/>
  <c r="R10" i="131"/>
  <c r="T73" i="132"/>
  <c r="S27" i="131" s="1"/>
  <c r="R27" i="131"/>
  <c r="T56" i="132"/>
  <c r="R18" i="131"/>
  <c r="R19" i="131"/>
  <c r="R20" i="131"/>
  <c r="T75" i="132"/>
  <c r="S28" i="131" s="1"/>
  <c r="R28" i="131"/>
  <c r="T90" i="132"/>
  <c r="S39" i="131" s="1"/>
  <c r="R39" i="131"/>
  <c r="T96" i="132"/>
  <c r="S44" i="131" s="1"/>
  <c r="R44" i="131"/>
  <c r="T97" i="132"/>
  <c r="S45" i="131" s="1"/>
  <c r="R45" i="131"/>
  <c r="T95" i="132"/>
  <c r="S43" i="131" s="1"/>
  <c r="R43" i="131"/>
  <c r="T57" i="132"/>
  <c r="S17" i="131" s="1"/>
  <c r="R17" i="131"/>
  <c r="Q10" i="131"/>
  <c r="T99" i="132"/>
  <c r="S47" i="131" s="1"/>
  <c r="R47" i="131"/>
  <c r="T83" i="132"/>
  <c r="S33" i="131" s="1"/>
  <c r="R33" i="131"/>
  <c r="R12" i="131"/>
  <c r="R11" i="131"/>
  <c r="T94" i="132"/>
  <c r="S42" i="131" s="1"/>
  <c r="R42" i="131"/>
  <c r="T84" i="132"/>
  <c r="S34" i="131" s="1"/>
  <c r="R34" i="131"/>
  <c r="T27" i="132"/>
  <c r="S13" i="131" s="1"/>
  <c r="R13" i="131"/>
  <c r="T98" i="132"/>
  <c r="S46" i="131" s="1"/>
  <c r="R46" i="131"/>
  <c r="T82" i="132"/>
  <c r="S32" i="131" s="1"/>
  <c r="R32" i="131"/>
  <c r="T85" i="132"/>
  <c r="S35" i="131" s="1"/>
  <c r="R35" i="131"/>
  <c r="T91" i="132"/>
  <c r="S40" i="131" s="1"/>
  <c r="R40" i="131"/>
  <c r="T80" i="132"/>
  <c r="S30" i="131" s="1"/>
  <c r="R30" i="131"/>
  <c r="T93" i="132"/>
  <c r="S41" i="131" s="1"/>
  <c r="R41" i="131"/>
  <c r="T34" i="132"/>
  <c r="S16" i="131" s="1"/>
  <c r="R16" i="131"/>
  <c r="T87" i="132"/>
  <c r="S36" i="131" s="1"/>
  <c r="R36" i="131"/>
  <c r="T88" i="132"/>
  <c r="S37" i="131" s="1"/>
  <c r="R37" i="131"/>
  <c r="T23" i="132"/>
  <c r="Q12" i="131"/>
  <c r="Q11" i="131"/>
  <c r="T63" i="132"/>
  <c r="T89" i="132"/>
  <c r="S38" i="131" s="1"/>
  <c r="R38" i="131"/>
  <c r="B33" i="152"/>
  <c r="AO44" i="152"/>
  <c r="AO45" i="152" s="1"/>
  <c r="H44" i="152"/>
  <c r="I44" i="152"/>
  <c r="G44" i="152"/>
  <c r="B37" i="175"/>
  <c r="B38" i="175"/>
  <c r="F44" i="152"/>
  <c r="F45" i="152" s="1"/>
  <c r="E63" i="145" s="1"/>
  <c r="AP44" i="152"/>
  <c r="AP45" i="152" s="1"/>
  <c r="D99" i="142"/>
  <c r="D100" i="142"/>
  <c r="D101" i="142"/>
  <c r="D102" i="142"/>
  <c r="D103" i="142"/>
  <c r="B35" i="152"/>
  <c r="A39" i="152"/>
  <c r="B39" i="152" s="1"/>
  <c r="B34" i="152"/>
  <c r="A38" i="152"/>
  <c r="B38" i="152" s="1"/>
  <c r="AJ86" i="134"/>
  <c r="W86" i="134"/>
  <c r="K86" i="134"/>
  <c r="AK86" i="134"/>
  <c r="AH86" i="134"/>
  <c r="AI86" i="134"/>
  <c r="O86" i="134"/>
  <c r="X86" i="134"/>
  <c r="J86" i="134"/>
  <c r="AD86" i="134"/>
  <c r="AA86" i="134"/>
  <c r="R86" i="134"/>
  <c r="L86" i="134"/>
  <c r="T86" i="134"/>
  <c r="AL86" i="134"/>
  <c r="AG86" i="134"/>
  <c r="I86" i="134"/>
  <c r="V86" i="134"/>
  <c r="Q86" i="134"/>
  <c r="M86" i="134"/>
  <c r="AC86" i="134"/>
  <c r="U86" i="134"/>
  <c r="AF86" i="134"/>
  <c r="AB86" i="134"/>
  <c r="AE86" i="134"/>
  <c r="Y86" i="134"/>
  <c r="P86" i="134"/>
  <c r="S86" i="134"/>
  <c r="N86" i="134"/>
  <c r="Z86" i="134"/>
  <c r="T68" i="134"/>
  <c r="AE68" i="134"/>
  <c r="I68" i="134"/>
  <c r="AL68" i="134"/>
  <c r="AG68" i="134"/>
  <c r="W68" i="134"/>
  <c r="P68" i="134"/>
  <c r="AB68" i="134"/>
  <c r="L68" i="134"/>
  <c r="Y68" i="134"/>
  <c r="Q68" i="134"/>
  <c r="AH68" i="134"/>
  <c r="AF68" i="134"/>
  <c r="AA68" i="134"/>
  <c r="O68" i="134"/>
  <c r="AC68" i="134"/>
  <c r="Z68" i="134"/>
  <c r="K68" i="134"/>
  <c r="AK68" i="134"/>
  <c r="V68" i="134"/>
  <c r="S68" i="134"/>
  <c r="M68" i="134"/>
  <c r="AD68" i="134"/>
  <c r="X68" i="134"/>
  <c r="U68" i="134"/>
  <c r="N68" i="134"/>
  <c r="AI68" i="134"/>
  <c r="R68" i="134"/>
  <c r="AJ68" i="134"/>
  <c r="J68" i="134"/>
  <c r="AB92" i="134"/>
  <c r="R92" i="134"/>
  <c r="W92" i="134"/>
  <c r="Q92" i="134"/>
  <c r="U92" i="134"/>
  <c r="K92" i="134"/>
  <c r="L92" i="134"/>
  <c r="Z92" i="134"/>
  <c r="AH92" i="134"/>
  <c r="AG92" i="134"/>
  <c r="AC92" i="134"/>
  <c r="AA92" i="134"/>
  <c r="AJ92" i="134"/>
  <c r="Y92" i="134"/>
  <c r="AK92" i="134"/>
  <c r="AF92" i="134"/>
  <c r="O92" i="134"/>
  <c r="P92" i="134"/>
  <c r="AI92" i="134"/>
  <c r="S92" i="134"/>
  <c r="AD92" i="134"/>
  <c r="I92" i="134"/>
  <c r="AL92" i="134"/>
  <c r="J92" i="134"/>
  <c r="T92" i="134"/>
  <c r="V92" i="134"/>
  <c r="M92" i="134"/>
  <c r="AE92" i="134"/>
  <c r="X92" i="134"/>
  <c r="N92" i="134"/>
  <c r="AL80" i="134"/>
  <c r="AD80" i="134"/>
  <c r="I80" i="134"/>
  <c r="AJ80" i="134"/>
  <c r="AK80" i="134"/>
  <c r="O80" i="134"/>
  <c r="W80" i="134"/>
  <c r="Z80" i="134"/>
  <c r="U80" i="134"/>
  <c r="AC80" i="134"/>
  <c r="K80" i="134"/>
  <c r="AB80" i="134"/>
  <c r="AI80" i="134"/>
  <c r="S80" i="134"/>
  <c r="M80" i="134"/>
  <c r="R80" i="134"/>
  <c r="AH80" i="134"/>
  <c r="V80" i="134"/>
  <c r="Q80" i="134"/>
  <c r="AA80" i="134"/>
  <c r="AE80" i="134"/>
  <c r="AG80" i="134"/>
  <c r="J80" i="134"/>
  <c r="T80" i="134"/>
  <c r="P80" i="134"/>
  <c r="AF80" i="134"/>
  <c r="L80" i="134"/>
  <c r="N80" i="134"/>
  <c r="X80" i="134"/>
  <c r="Y80" i="134"/>
  <c r="T65" i="132"/>
  <c r="S24" i="131" s="1"/>
  <c r="T5" i="132"/>
  <c r="R7" i="131"/>
  <c r="T7" i="132"/>
  <c r="S5" i="131" s="1"/>
  <c r="R5" i="131"/>
  <c r="T6" i="132"/>
  <c r="S6" i="131" s="1"/>
  <c r="R6" i="131"/>
  <c r="T15" i="132"/>
  <c r="R8" i="131"/>
  <c r="T20" i="132"/>
  <c r="T61" i="132"/>
  <c r="T68" i="132"/>
  <c r="S23" i="131" s="1"/>
  <c r="T31" i="132"/>
  <c r="T62" i="132"/>
  <c r="S21" i="131" s="1"/>
  <c r="T24" i="132"/>
  <c r="T67" i="132"/>
  <c r="S22" i="131" s="1"/>
  <c r="T69" i="132"/>
  <c r="T30" i="132"/>
  <c r="T60" i="132"/>
  <c r="T66" i="132"/>
  <c r="T25" i="132"/>
  <c r="T26" i="132"/>
  <c r="T29" i="132"/>
  <c r="T100" i="132"/>
  <c r="T18" i="132"/>
  <c r="T59" i="132"/>
  <c r="T64" i="132"/>
  <c r="T32" i="132"/>
  <c r="S15" i="131" s="1"/>
  <c r="T14" i="132"/>
  <c r="R19" i="132"/>
  <c r="S12" i="132"/>
  <c r="T12" i="132" s="1"/>
  <c r="S45" i="132"/>
  <c r="T45" i="132" s="1"/>
  <c r="S19" i="132"/>
  <c r="R22" i="132"/>
  <c r="Q9" i="131" s="1"/>
  <c r="S22" i="132"/>
  <c r="R9" i="131" s="1"/>
  <c r="P44" i="132"/>
  <c r="S8" i="132"/>
  <c r="T8" i="132" s="1"/>
  <c r="S10" i="132"/>
  <c r="T10" i="132" s="1"/>
  <c r="S21" i="132"/>
  <c r="R21" i="132"/>
  <c r="J1" i="131"/>
  <c r="K1" i="131" s="1"/>
  <c r="L1" i="131" s="1"/>
  <c r="M1" i="131" s="1"/>
  <c r="N1" i="131" s="1"/>
  <c r="O1" i="131" s="1"/>
  <c r="P1" i="131" s="1"/>
  <c r="Q1" i="131" s="1"/>
  <c r="R1" i="131" s="1"/>
  <c r="S8" i="131" l="1"/>
  <c r="S12" i="131"/>
  <c r="S11" i="131"/>
  <c r="S18" i="131"/>
  <c r="S20" i="131"/>
  <c r="S19" i="131"/>
  <c r="S10" i="131"/>
  <c r="AO47" i="152"/>
  <c r="S7" i="131"/>
  <c r="F47" i="152"/>
  <c r="AP47" i="152"/>
  <c r="T21" i="132"/>
  <c r="T19" i="132"/>
  <c r="T22" i="132"/>
  <c r="S9" i="131" s="1"/>
  <c r="E70" i="137" l="1"/>
  <c r="E24" i="137" s="1"/>
  <c r="E20" i="145"/>
  <c r="AO38" i="136"/>
  <c r="AN38" i="136"/>
  <c r="AN31" i="136"/>
  <c r="AO31" i="136"/>
  <c r="D9" i="21"/>
  <c r="K20" i="130"/>
  <c r="L20" i="130"/>
  <c r="M20" i="130"/>
  <c r="N20" i="130"/>
  <c r="O20" i="130"/>
  <c r="P20" i="130"/>
  <c r="Q20" i="130"/>
  <c r="R20" i="130"/>
  <c r="S20" i="130"/>
  <c r="T20" i="130"/>
  <c r="U20" i="130"/>
  <c r="V20" i="130"/>
  <c r="W20" i="130"/>
  <c r="X20" i="130"/>
  <c r="Y20" i="130"/>
  <c r="Z20" i="130"/>
  <c r="AA20" i="130"/>
  <c r="J20" i="130"/>
  <c r="I20" i="130"/>
  <c r="J19" i="130"/>
  <c r="K19" i="130"/>
  <c r="L19" i="130"/>
  <c r="M19" i="130"/>
  <c r="N19" i="130"/>
  <c r="O19" i="130"/>
  <c r="P19" i="130"/>
  <c r="Q19" i="130"/>
  <c r="R19" i="130"/>
  <c r="S19" i="130"/>
  <c r="T19" i="130"/>
  <c r="U19" i="130"/>
  <c r="V19" i="130"/>
  <c r="W19" i="130"/>
  <c r="X19" i="130"/>
  <c r="Y19" i="130"/>
  <c r="Z19" i="130"/>
  <c r="AA19" i="130"/>
  <c r="I19" i="130"/>
  <c r="J11" i="130"/>
  <c r="K11" i="130"/>
  <c r="L11" i="130"/>
  <c r="M11" i="130"/>
  <c r="N11" i="130"/>
  <c r="O11" i="130"/>
  <c r="P11" i="130"/>
  <c r="Q11" i="130"/>
  <c r="R11" i="130"/>
  <c r="S11" i="130"/>
  <c r="U11" i="130"/>
  <c r="V11" i="130"/>
  <c r="W11" i="130"/>
  <c r="X11" i="130"/>
  <c r="Y11" i="130"/>
  <c r="Z11" i="130"/>
  <c r="AA11" i="130"/>
  <c r="D11" i="130" l="1"/>
  <c r="AG38" i="152"/>
  <c r="D8" i="21"/>
  <c r="O79" i="141" s="1"/>
  <c r="O85" i="141" s="1"/>
  <c r="O86" i="141" s="1"/>
  <c r="AN39" i="136"/>
  <c r="AO39" i="136"/>
  <c r="AG21" i="152"/>
  <c r="AG25" i="152" s="1"/>
  <c r="AA10" i="130"/>
  <c r="AC8" i="133" s="1"/>
  <c r="AC6" i="133"/>
  <c r="N10" i="130"/>
  <c r="P8" i="133" s="1"/>
  <c r="P6" i="133"/>
  <c r="L10" i="130"/>
  <c r="N8" i="133" s="1"/>
  <c r="N6" i="133"/>
  <c r="K10" i="130"/>
  <c r="M8" i="133" s="1"/>
  <c r="M6" i="133"/>
  <c r="R10" i="130"/>
  <c r="T8" i="133" s="1"/>
  <c r="T6" i="133"/>
  <c r="Q10" i="130"/>
  <c r="S8" i="133" s="1"/>
  <c r="S6" i="133"/>
  <c r="Z10" i="130"/>
  <c r="AB8" i="133" s="1"/>
  <c r="AB6" i="133"/>
  <c r="O10" i="130"/>
  <c r="Q8" i="133" s="1"/>
  <c r="Q6" i="133"/>
  <c r="Y10" i="130"/>
  <c r="AA8" i="133" s="1"/>
  <c r="AA6" i="133"/>
  <c r="W10" i="130"/>
  <c r="Y8" i="133" s="1"/>
  <c r="Y6" i="133"/>
  <c r="V10" i="130"/>
  <c r="X8" i="133" s="1"/>
  <c r="X6" i="133"/>
  <c r="U10" i="130"/>
  <c r="W8" i="133" s="1"/>
  <c r="W6" i="133"/>
  <c r="T10" i="130"/>
  <c r="V8" i="133" s="1"/>
  <c r="V6" i="133"/>
  <c r="S10" i="130"/>
  <c r="U8" i="133" s="1"/>
  <c r="U6" i="133"/>
  <c r="P10" i="130"/>
  <c r="R8" i="133" s="1"/>
  <c r="R6" i="133"/>
  <c r="I10" i="130"/>
  <c r="X10" i="130"/>
  <c r="Z8" i="133" s="1"/>
  <c r="Z6" i="133"/>
  <c r="M10" i="130"/>
  <c r="O8" i="133" s="1"/>
  <c r="O6" i="133"/>
  <c r="J10" i="130"/>
  <c r="L8" i="133" s="1"/>
  <c r="L6" i="133"/>
  <c r="D20" i="130"/>
  <c r="O87" i="141" l="1"/>
  <c r="O88" i="141" s="1"/>
  <c r="K8" i="133"/>
  <c r="K9" i="133" s="1"/>
  <c r="D10" i="130"/>
  <c r="AE38" i="152"/>
  <c r="V38" i="152"/>
  <c r="W71" i="133"/>
  <c r="S38" i="152"/>
  <c r="T71" i="133"/>
  <c r="AL38" i="152"/>
  <c r="Y38" i="152"/>
  <c r="Z71" i="133"/>
  <c r="Q38" i="152"/>
  <c r="R71" i="133"/>
  <c r="T38" i="152"/>
  <c r="U71" i="133"/>
  <c r="O38" i="152"/>
  <c r="P71" i="133"/>
  <c r="AB38" i="152"/>
  <c r="AC71" i="133"/>
  <c r="AH38" i="152"/>
  <c r="AM38" i="152"/>
  <c r="AF38" i="152"/>
  <c r="L38" i="152"/>
  <c r="M71" i="133"/>
  <c r="M38" i="152"/>
  <c r="N71" i="133"/>
  <c r="X38" i="152"/>
  <c r="Y71" i="133"/>
  <c r="AC38" i="152"/>
  <c r="P38" i="152"/>
  <c r="Q71" i="133"/>
  <c r="AA38" i="152"/>
  <c r="AB71" i="133"/>
  <c r="AI38" i="152"/>
  <c r="K38" i="152"/>
  <c r="L71" i="133"/>
  <c r="R38" i="152"/>
  <c r="S71" i="133"/>
  <c r="AD38" i="152"/>
  <c r="U38" i="152"/>
  <c r="V71" i="133"/>
  <c r="W38" i="152"/>
  <c r="X71" i="133"/>
  <c r="Z38" i="152"/>
  <c r="AA71" i="133"/>
  <c r="AJ38" i="152"/>
  <c r="AK38" i="152"/>
  <c r="AN38" i="152"/>
  <c r="N38" i="152"/>
  <c r="O71" i="133"/>
  <c r="D6" i="137"/>
  <c r="D6" i="145"/>
  <c r="D6" i="144"/>
  <c r="J37" i="152"/>
  <c r="J20" i="152"/>
  <c r="J24" i="152" s="1"/>
  <c r="J29" i="152" s="1"/>
  <c r="AG30" i="152"/>
  <c r="AG34" i="152"/>
  <c r="AN21" i="152"/>
  <c r="AN25" i="152" s="1"/>
  <c r="AK21" i="152"/>
  <c r="AK25" i="152" s="1"/>
  <c r="K21" i="152"/>
  <c r="K25" i="152" s="1"/>
  <c r="L21" i="152"/>
  <c r="L25" i="152" s="1"/>
  <c r="S21" i="152"/>
  <c r="S25" i="152" s="1"/>
  <c r="AL21" i="152"/>
  <c r="AL25" i="152" s="1"/>
  <c r="AI21" i="152"/>
  <c r="AI25" i="152" s="1"/>
  <c r="N21" i="152"/>
  <c r="N25" i="152" s="1"/>
  <c r="AE21" i="152"/>
  <c r="AE25" i="152" s="1"/>
  <c r="M21" i="152"/>
  <c r="M25" i="152" s="1"/>
  <c r="AA21" i="152"/>
  <c r="AA25" i="152" s="1"/>
  <c r="AM21" i="152"/>
  <c r="AM25" i="152" s="1"/>
  <c r="Y21" i="152"/>
  <c r="Y25" i="152" s="1"/>
  <c r="Q21" i="152"/>
  <c r="Q25" i="152" s="1"/>
  <c r="T21" i="152"/>
  <c r="T25" i="152" s="1"/>
  <c r="O21" i="152"/>
  <c r="O25" i="152" s="1"/>
  <c r="AC21" i="152"/>
  <c r="AC25" i="152" s="1"/>
  <c r="R21" i="152"/>
  <c r="R25" i="152" s="1"/>
  <c r="AD21" i="152"/>
  <c r="AD25" i="152" s="1"/>
  <c r="AF21" i="152"/>
  <c r="AF25" i="152" s="1"/>
  <c r="U21" i="152"/>
  <c r="U25" i="152" s="1"/>
  <c r="V21" i="152"/>
  <c r="V25" i="152" s="1"/>
  <c r="W21" i="152"/>
  <c r="W25" i="152" s="1"/>
  <c r="AB21" i="152"/>
  <c r="AB25" i="152" s="1"/>
  <c r="X21" i="152"/>
  <c r="X25" i="152" s="1"/>
  <c r="Z21" i="152"/>
  <c r="Z25" i="152" s="1"/>
  <c r="AH21" i="152"/>
  <c r="AH25" i="152" s="1"/>
  <c r="AJ21" i="152"/>
  <c r="AJ25" i="152" s="1"/>
  <c r="P21" i="152"/>
  <c r="P25" i="152" s="1"/>
  <c r="K34" i="133"/>
  <c r="K76" i="133"/>
  <c r="N7" i="133"/>
  <c r="N9" i="133" s="1"/>
  <c r="X7" i="133"/>
  <c r="X9" i="133" s="1"/>
  <c r="Z7" i="133"/>
  <c r="Z9" i="133" s="1"/>
  <c r="R7" i="133"/>
  <c r="R9" i="133" s="1"/>
  <c r="U7" i="133"/>
  <c r="U9" i="133" s="1"/>
  <c r="V7" i="133"/>
  <c r="P7" i="133"/>
  <c r="P9" i="133" s="1"/>
  <c r="Y7" i="133"/>
  <c r="Y9" i="133" s="1"/>
  <c r="AA7" i="133"/>
  <c r="AA9" i="133" s="1"/>
  <c r="T7" i="133"/>
  <c r="T9" i="133" s="1"/>
  <c r="M7" i="133"/>
  <c r="M9" i="133" s="1"/>
  <c r="W7" i="133"/>
  <c r="W9" i="133" s="1"/>
  <c r="AC7" i="133"/>
  <c r="AC9" i="133" s="1"/>
  <c r="Q7" i="133"/>
  <c r="Q9" i="133" s="1"/>
  <c r="AB7" i="133"/>
  <c r="AB9" i="133" s="1"/>
  <c r="L7" i="133"/>
  <c r="L9" i="133" s="1"/>
  <c r="E6" i="133"/>
  <c r="E8" i="133"/>
  <c r="O7" i="133"/>
  <c r="O9" i="133" s="1"/>
  <c r="S7" i="133"/>
  <c r="S9" i="133" s="1"/>
  <c r="D129" i="21"/>
  <c r="H44" i="166"/>
  <c r="H43" i="166"/>
  <c r="O89" i="141" l="1"/>
  <c r="O90" i="141" s="1"/>
  <c r="D164" i="21" s="1"/>
  <c r="F26" i="141" s="1"/>
  <c r="V9" i="133"/>
  <c r="V34" i="133"/>
  <c r="E71" i="133"/>
  <c r="AJ30" i="152"/>
  <c r="AJ34" i="152"/>
  <c r="AA37" i="152"/>
  <c r="AA20" i="152"/>
  <c r="AA24" i="152" s="1"/>
  <c r="X30" i="152"/>
  <c r="X34" i="152"/>
  <c r="P30" i="152"/>
  <c r="P34" i="152"/>
  <c r="P37" i="152"/>
  <c r="P20" i="152"/>
  <c r="P24" i="152" s="1"/>
  <c r="M30" i="152"/>
  <c r="M34" i="152"/>
  <c r="N30" i="152"/>
  <c r="N34" i="152"/>
  <c r="AL30" i="152"/>
  <c r="AL34" i="152"/>
  <c r="K30" i="152"/>
  <c r="K34" i="152"/>
  <c r="Y30" i="152"/>
  <c r="Y34" i="152"/>
  <c r="AE30" i="152"/>
  <c r="AE34" i="152"/>
  <c r="AE37" i="152"/>
  <c r="AE20" i="152"/>
  <c r="AE24" i="152" s="1"/>
  <c r="AI37" i="152"/>
  <c r="AI20" i="152"/>
  <c r="AI24" i="152" s="1"/>
  <c r="O37" i="152"/>
  <c r="O20" i="152"/>
  <c r="O24" i="152" s="1"/>
  <c r="AN37" i="152"/>
  <c r="AN20" i="152"/>
  <c r="AN24" i="152" s="1"/>
  <c r="AH30" i="152"/>
  <c r="AH34" i="152"/>
  <c r="AJ37" i="152"/>
  <c r="AJ20" i="152"/>
  <c r="AJ24" i="152" s="1"/>
  <c r="AB37" i="152"/>
  <c r="AB20" i="152"/>
  <c r="AB24" i="152" s="1"/>
  <c r="AI30" i="152"/>
  <c r="AI34" i="152"/>
  <c r="AF30" i="152"/>
  <c r="AF34" i="152"/>
  <c r="Y37" i="152"/>
  <c r="Y20" i="152"/>
  <c r="Y24" i="152" s="1"/>
  <c r="K37" i="152"/>
  <c r="K20" i="152"/>
  <c r="K24" i="152" s="1"/>
  <c r="AA30" i="152"/>
  <c r="AA34" i="152"/>
  <c r="AH37" i="152"/>
  <c r="AH20" i="152"/>
  <c r="AH24" i="152" s="1"/>
  <c r="L37" i="152"/>
  <c r="L20" i="152"/>
  <c r="L24" i="152" s="1"/>
  <c r="AF37" i="152"/>
  <c r="AF20" i="152"/>
  <c r="AF24" i="152" s="1"/>
  <c r="S37" i="152"/>
  <c r="S20" i="152"/>
  <c r="S24" i="152" s="1"/>
  <c r="Z37" i="152"/>
  <c r="Z20" i="152"/>
  <c r="Z24" i="152" s="1"/>
  <c r="U30" i="152"/>
  <c r="U34" i="152"/>
  <c r="AM37" i="152"/>
  <c r="AM20" i="152"/>
  <c r="AM24" i="152" s="1"/>
  <c r="AD30" i="152"/>
  <c r="AD34" i="152"/>
  <c r="R30" i="152"/>
  <c r="R34" i="152"/>
  <c r="AC37" i="152"/>
  <c r="AC20" i="152"/>
  <c r="AC24" i="152" s="1"/>
  <c r="O30" i="152"/>
  <c r="O34" i="152"/>
  <c r="T30" i="152"/>
  <c r="T34" i="152"/>
  <c r="AG37" i="152"/>
  <c r="AG20" i="152"/>
  <c r="AG24" i="152" s="1"/>
  <c r="S30" i="152"/>
  <c r="S34" i="152"/>
  <c r="U37" i="152"/>
  <c r="U20" i="152"/>
  <c r="U24" i="152" s="1"/>
  <c r="AD37" i="152"/>
  <c r="AD20" i="152"/>
  <c r="AD24" i="152" s="1"/>
  <c r="T37" i="152"/>
  <c r="T20" i="152"/>
  <c r="T24" i="152" s="1"/>
  <c r="AK30" i="152"/>
  <c r="AK34" i="152"/>
  <c r="AC30" i="152"/>
  <c r="AC34" i="152"/>
  <c r="W37" i="152"/>
  <c r="W20" i="152"/>
  <c r="W24" i="152" s="1"/>
  <c r="M37" i="152"/>
  <c r="M20" i="152"/>
  <c r="M24" i="152" s="1"/>
  <c r="AL37" i="152"/>
  <c r="AL20" i="152"/>
  <c r="AL24" i="152" s="1"/>
  <c r="J33" i="152"/>
  <c r="AM30" i="152"/>
  <c r="AM34" i="152"/>
  <c r="Z30" i="152"/>
  <c r="Z34" i="152"/>
  <c r="V37" i="152"/>
  <c r="V20" i="152"/>
  <c r="V24" i="152" s="1"/>
  <c r="AB30" i="152"/>
  <c r="AB34" i="152"/>
  <c r="W30" i="152"/>
  <c r="W34" i="152"/>
  <c r="V30" i="152"/>
  <c r="V34" i="152"/>
  <c r="X37" i="152"/>
  <c r="X20" i="152"/>
  <c r="X24" i="152" s="1"/>
  <c r="L30" i="152"/>
  <c r="L34" i="152"/>
  <c r="AK37" i="152"/>
  <c r="AK20" i="152"/>
  <c r="AK24" i="152" s="1"/>
  <c r="Q37" i="152"/>
  <c r="Q20" i="152"/>
  <c r="Q24" i="152" s="1"/>
  <c r="AN30" i="152"/>
  <c r="AN34" i="152"/>
  <c r="R37" i="152"/>
  <c r="R20" i="152"/>
  <c r="R24" i="152" s="1"/>
  <c r="N37" i="152"/>
  <c r="N20" i="152"/>
  <c r="N24" i="152" s="1"/>
  <c r="Q30" i="152"/>
  <c r="Q34" i="152"/>
  <c r="G1" i="167"/>
  <c r="G1" i="154"/>
  <c r="H46" i="166"/>
  <c r="H45" i="166"/>
  <c r="H181" i="166"/>
  <c r="H145" i="166"/>
  <c r="H275" i="166"/>
  <c r="H110" i="166"/>
  <c r="H68" i="166"/>
  <c r="H248" i="166"/>
  <c r="H182" i="166"/>
  <c r="H130" i="166"/>
  <c r="H60" i="166"/>
  <c r="H279" i="166"/>
  <c r="H252" i="166"/>
  <c r="H180" i="166"/>
  <c r="H274" i="166"/>
  <c r="H96" i="166"/>
  <c r="H179" i="166"/>
  <c r="H95" i="166"/>
  <c r="H87" i="166"/>
  <c r="H50" i="166"/>
  <c r="H49" i="166"/>
  <c r="H247" i="166"/>
  <c r="H277" i="166"/>
  <c r="H62" i="166"/>
  <c r="H47" i="166"/>
  <c r="H140" i="166"/>
  <c r="H94" i="166"/>
  <c r="H142" i="166"/>
  <c r="H51" i="166"/>
  <c r="H146" i="166"/>
  <c r="H55" i="166"/>
  <c r="H53" i="166"/>
  <c r="H148" i="166"/>
  <c r="H56" i="166"/>
  <c r="H91" i="166"/>
  <c r="H64" i="166"/>
  <c r="H133" i="166"/>
  <c r="H132" i="166"/>
  <c r="H250" i="166"/>
  <c r="H54" i="166"/>
  <c r="H90" i="166"/>
  <c r="H52" i="166"/>
  <c r="H63" i="166"/>
  <c r="H276" i="166"/>
  <c r="H222" i="166"/>
  <c r="H144" i="166"/>
  <c r="H111" i="166"/>
  <c r="H143" i="166"/>
  <c r="H108" i="166"/>
  <c r="H141" i="166"/>
  <c r="H107" i="166"/>
  <c r="H226" i="166"/>
  <c r="H147" i="166"/>
  <c r="H249" i="166"/>
  <c r="H223" i="166"/>
  <c r="H225" i="166"/>
  <c r="H224" i="166"/>
  <c r="H131" i="166"/>
  <c r="H278" i="166"/>
  <c r="H59" i="166"/>
  <c r="H251" i="166"/>
  <c r="J2" i="166"/>
  <c r="E2" i="153"/>
  <c r="J2" i="135"/>
  <c r="E2" i="161"/>
  <c r="E3" i="146"/>
  <c r="E3" i="149"/>
  <c r="E9" i="149" s="1"/>
  <c r="E23" i="149" s="1"/>
  <c r="AB76" i="133"/>
  <c r="S76" i="133"/>
  <c r="O76" i="133"/>
  <c r="T76" i="133"/>
  <c r="V76" i="133"/>
  <c r="U76" i="133"/>
  <c r="Q76" i="133"/>
  <c r="Y76" i="133"/>
  <c r="L76" i="133"/>
  <c r="AC76" i="133"/>
  <c r="W76" i="133"/>
  <c r="M76" i="133"/>
  <c r="AA76" i="133"/>
  <c r="P76" i="133"/>
  <c r="R76" i="133"/>
  <c r="X76" i="133"/>
  <c r="Z76" i="133"/>
  <c r="N76" i="133"/>
  <c r="E3" i="136"/>
  <c r="E9" i="136" s="1"/>
  <c r="E29" i="136" s="1"/>
  <c r="D4" i="140"/>
  <c r="S34" i="133"/>
  <c r="P34" i="133"/>
  <c r="U34" i="133"/>
  <c r="L34" i="133"/>
  <c r="E7" i="133"/>
  <c r="E9" i="133" s="1"/>
  <c r="Q34" i="133"/>
  <c r="Z34" i="133"/>
  <c r="O34" i="133"/>
  <c r="Y34" i="133"/>
  <c r="AC34" i="133"/>
  <c r="M34" i="133"/>
  <c r="N34" i="133"/>
  <c r="W34" i="133"/>
  <c r="T34" i="133"/>
  <c r="AA34" i="133"/>
  <c r="AB34" i="133"/>
  <c r="R34" i="133"/>
  <c r="X34" i="133"/>
  <c r="D27" i="21"/>
  <c r="D22" i="21"/>
  <c r="D23" i="21" s="1"/>
  <c r="E26" i="141" l="1"/>
  <c r="D165" i="21"/>
  <c r="D28" i="21"/>
  <c r="E9" i="146"/>
  <c r="E29" i="146" s="1"/>
  <c r="E30" i="152"/>
  <c r="N29" i="152"/>
  <c r="N33" i="152"/>
  <c r="W29" i="152"/>
  <c r="W33" i="152"/>
  <c r="S29" i="152"/>
  <c r="S33" i="152"/>
  <c r="AM29" i="152"/>
  <c r="AM33" i="152"/>
  <c r="Z29" i="152"/>
  <c r="Z33" i="152"/>
  <c r="R29" i="152"/>
  <c r="R33" i="152"/>
  <c r="L29" i="152"/>
  <c r="L33" i="152"/>
  <c r="T29" i="152"/>
  <c r="T33" i="152"/>
  <c r="AK29" i="152"/>
  <c r="AK33" i="152"/>
  <c r="AD29" i="152"/>
  <c r="AD33" i="152"/>
  <c r="AE29" i="152"/>
  <c r="AE33" i="152"/>
  <c r="Q29" i="152"/>
  <c r="Q33" i="152"/>
  <c r="AH29" i="152"/>
  <c r="AH33" i="152"/>
  <c r="E76" i="133"/>
  <c r="AL29" i="152"/>
  <c r="AL33" i="152"/>
  <c r="M29" i="152"/>
  <c r="M33" i="152"/>
  <c r="Y29" i="152"/>
  <c r="Y33" i="152"/>
  <c r="AG29" i="152"/>
  <c r="AG33" i="152"/>
  <c r="AI29" i="152"/>
  <c r="AI33" i="152"/>
  <c r="U29" i="152"/>
  <c r="U33" i="152"/>
  <c r="X29" i="152"/>
  <c r="X33" i="152"/>
  <c r="AF29" i="152"/>
  <c r="AF33" i="152"/>
  <c r="K33" i="152"/>
  <c r="K29" i="152"/>
  <c r="P33" i="152"/>
  <c r="P29" i="152"/>
  <c r="AB29" i="152"/>
  <c r="AB33" i="152"/>
  <c r="V29" i="152"/>
  <c r="V33" i="152"/>
  <c r="AC29" i="152"/>
  <c r="AC33" i="152"/>
  <c r="AJ29" i="152"/>
  <c r="AJ33" i="152"/>
  <c r="AN29" i="152"/>
  <c r="AN33" i="152"/>
  <c r="O29" i="152"/>
  <c r="O33" i="152"/>
  <c r="AA29" i="152"/>
  <c r="AA33" i="152"/>
  <c r="E3" i="137"/>
  <c r="E10" i="137" s="1"/>
  <c r="E56" i="137" s="1"/>
  <c r="E3" i="145"/>
  <c r="E10" i="145" s="1"/>
  <c r="E53" i="145" s="1"/>
  <c r="E3" i="144"/>
  <c r="E34" i="133"/>
  <c r="E11" i="144" l="1"/>
  <c r="E15" i="144"/>
  <c r="D29" i="21"/>
  <c r="B19" i="175"/>
  <c r="B39" i="175" s="1"/>
  <c r="E29" i="152"/>
  <c r="I3" i="130"/>
  <c r="B41" i="175" l="1"/>
  <c r="B40" i="175"/>
  <c r="B42" i="175" s="1"/>
  <c r="M22" i="132"/>
  <c r="N22" i="132" s="1"/>
  <c r="M56" i="132"/>
  <c r="N56" i="132" s="1"/>
  <c r="K2" i="130" l="1"/>
  <c r="L2" i="130" s="1"/>
  <c r="M2" i="130" l="1"/>
  <c r="N2" i="130" s="1"/>
  <c r="O2" i="130" s="1"/>
  <c r="P2" i="130" s="1"/>
  <c r="Q2" i="130" s="1"/>
  <c r="R2" i="130" s="1"/>
  <c r="S2" i="130" s="1"/>
  <c r="T2" i="130" s="1"/>
  <c r="D157" i="21"/>
  <c r="U2" i="130" l="1"/>
  <c r="J14" i="146" l="1"/>
  <c r="R206" i="135"/>
  <c r="Z212" i="135"/>
  <c r="S206" i="135"/>
  <c r="AA212" i="135"/>
  <c r="T206" i="135"/>
  <c r="AB212" i="135"/>
  <c r="U206" i="135"/>
  <c r="AC212" i="135"/>
  <c r="AD212" i="135"/>
  <c r="T207" i="135"/>
  <c r="AE212" i="135"/>
  <c r="V207" i="135"/>
  <c r="AF212" i="135"/>
  <c r="W207" i="135"/>
  <c r="X207" i="135"/>
  <c r="AD207" i="135"/>
  <c r="U214" i="135"/>
  <c r="AE207" i="135"/>
  <c r="Y214" i="135"/>
  <c r="AE214" i="135"/>
  <c r="X217" i="135"/>
  <c r="AC205" i="135"/>
  <c r="AD217" i="135"/>
  <c r="Z217" i="135"/>
  <c r="V205" i="135"/>
  <c r="AB217" i="135"/>
  <c r="AD205" i="135"/>
  <c r="AE217" i="135"/>
  <c r="AE205" i="135"/>
  <c r="T218" i="135"/>
  <c r="U218" i="135"/>
  <c r="O206" i="135"/>
  <c r="Q206" i="135"/>
  <c r="P200" i="135"/>
  <c r="R212" i="135"/>
  <c r="AA205" i="135"/>
  <c r="AB205" i="135"/>
  <c r="AF205" i="135"/>
  <c r="R210" i="135"/>
  <c r="Q212" i="135"/>
  <c r="Q205" i="135"/>
  <c r="U205" i="135"/>
  <c r="AA217" i="135"/>
  <c r="AC217" i="135"/>
  <c r="AD216" i="135"/>
  <c r="AC218" i="135"/>
  <c r="Z224" i="135"/>
  <c r="P218" i="135"/>
  <c r="T225" i="135"/>
  <c r="U221" i="135"/>
  <c r="AF204" i="135"/>
  <c r="U213" i="135"/>
  <c r="W208" i="135"/>
  <c r="X214" i="135"/>
  <c r="U200" i="135"/>
  <c r="S225" i="135"/>
  <c r="AE216" i="135"/>
  <c r="T217" i="135"/>
  <c r="R215" i="135"/>
  <c r="AD221" i="135"/>
  <c r="AB224" i="135"/>
  <c r="U225" i="135"/>
  <c r="V221" i="135"/>
  <c r="P213" i="135"/>
  <c r="N211" i="135"/>
  <c r="S226" i="135"/>
  <c r="Q210" i="135"/>
  <c r="Y208" i="135"/>
  <c r="Z202" i="135"/>
  <c r="AB218" i="135"/>
  <c r="N217" i="135"/>
  <c r="W225" i="135"/>
  <c r="U216" i="135"/>
  <c r="X206" i="135"/>
  <c r="W221" i="135"/>
  <c r="AD204" i="135"/>
  <c r="AC213" i="135"/>
  <c r="T211" i="135"/>
  <c r="V209" i="135"/>
  <c r="Z206" i="135"/>
  <c r="P215" i="135"/>
  <c r="Z213" i="135"/>
  <c r="AB209" i="135"/>
  <c r="T216" i="135"/>
  <c r="O216" i="135"/>
  <c r="X213" i="135"/>
  <c r="Q214" i="135"/>
  <c r="Y203" i="135"/>
  <c r="R222" i="135"/>
  <c r="AD213" i="135"/>
  <c r="V211" i="135"/>
  <c r="R200" i="135"/>
  <c r="AD209" i="135"/>
  <c r="U209" i="135"/>
  <c r="S219" i="135"/>
  <c r="V216" i="135"/>
  <c r="AB202" i="135"/>
  <c r="W209" i="135"/>
  <c r="T205" i="135"/>
  <c r="O218" i="135"/>
  <c r="X203" i="135"/>
  <c r="N222" i="135"/>
  <c r="X221" i="135"/>
  <c r="U203" i="135"/>
  <c r="U211" i="135"/>
  <c r="N210" i="135"/>
  <c r="W222" i="135"/>
  <c r="AE215" i="135"/>
  <c r="T222" i="135"/>
  <c r="AA221" i="135"/>
  <c r="AF201" i="135"/>
  <c r="W203" i="135"/>
  <c r="AF216" i="135"/>
  <c r="P221" i="135"/>
  <c r="Q224" i="135"/>
  <c r="X216" i="135"/>
  <c r="V222" i="135"/>
  <c r="P219" i="135"/>
  <c r="U220" i="135"/>
  <c r="U226" i="135"/>
  <c r="Q211" i="135"/>
  <c r="T200" i="135"/>
  <c r="AC224" i="135"/>
  <c r="S218" i="135"/>
  <c r="R221" i="135"/>
  <c r="O224" i="135"/>
  <c r="N219" i="135"/>
  <c r="O221" i="135"/>
  <c r="Z205" i="135"/>
  <c r="X218" i="135"/>
  <c r="AF224" i="135"/>
  <c r="AD219" i="135"/>
  <c r="AE208" i="135"/>
  <c r="V224" i="135"/>
  <c r="R204" i="135"/>
  <c r="U222" i="135"/>
  <c r="P202" i="135"/>
  <c r="AB200" i="135"/>
  <c r="P211" i="135"/>
  <c r="S200" i="135"/>
  <c r="X209" i="135"/>
  <c r="O223" i="135"/>
  <c r="S202" i="135"/>
  <c r="AC208" i="135"/>
  <c r="U212" i="135"/>
  <c r="AD206" i="135"/>
  <c r="Q215" i="135"/>
  <c r="T203" i="135"/>
  <c r="AD220" i="135"/>
  <c r="AB213" i="135"/>
  <c r="N223" i="135"/>
  <c r="P217" i="135"/>
  <c r="Y215" i="135"/>
  <c r="S209" i="135"/>
  <c r="AA224" i="135"/>
  <c r="Y213" i="135"/>
  <c r="O215" i="135"/>
  <c r="AC203" i="135"/>
  <c r="O226" i="135"/>
  <c r="AE225" i="135"/>
  <c r="AF220" i="135"/>
  <c r="AE213" i="135"/>
  <c r="AD200" i="135"/>
  <c r="T226" i="135"/>
  <c r="N208" i="135"/>
  <c r="Y217" i="135"/>
  <c r="T214" i="135"/>
  <c r="O208" i="135"/>
  <c r="P222" i="135"/>
  <c r="Z210" i="135"/>
  <c r="W213" i="135"/>
  <c r="AE203" i="135"/>
  <c r="Q226" i="135"/>
  <c r="AF225" i="135"/>
  <c r="AA223" i="135"/>
  <c r="O210" i="135"/>
  <c r="Z220" i="135"/>
  <c r="U207" i="135"/>
  <c r="AE218" i="135"/>
  <c r="V218" i="135"/>
  <c r="Z219" i="135"/>
  <c r="U219" i="135"/>
  <c r="N201" i="135"/>
  <c r="AF223" i="135"/>
  <c r="AA222" i="135"/>
  <c r="T221" i="135"/>
  <c r="W202" i="135"/>
  <c r="AC220" i="135"/>
  <c r="X211" i="135"/>
  <c r="AC202" i="135"/>
  <c r="AC215" i="135"/>
  <c r="AC214" i="135"/>
  <c r="W211" i="135"/>
  <c r="P209" i="135"/>
  <c r="AA210" i="135"/>
  <c r="AF222" i="135"/>
  <c r="N220" i="135"/>
  <c r="Q207" i="135"/>
  <c r="Y205" i="135"/>
  <c r="AD214" i="135"/>
  <c r="Y210" i="135"/>
  <c r="AB222" i="135"/>
  <c r="Z221" i="135"/>
  <c r="U202" i="135"/>
  <c r="W220" i="135"/>
  <c r="P212" i="135"/>
  <c r="Y211" i="135"/>
  <c r="Q200" i="135"/>
  <c r="S204" i="135"/>
  <c r="Y212" i="135"/>
  <c r="AE211" i="135"/>
  <c r="AF210" i="135"/>
  <c r="P223" i="135"/>
  <c r="O214" i="135"/>
  <c r="O201" i="135"/>
  <c r="X225" i="135"/>
  <c r="Y216" i="135"/>
  <c r="S210" i="135"/>
  <c r="Z218" i="135"/>
  <c r="W219" i="135"/>
  <c r="Q208" i="135"/>
  <c r="V213" i="135"/>
  <c r="N200" i="135"/>
  <c r="AB220" i="135"/>
  <c r="AC222" i="135"/>
  <c r="Y221" i="135"/>
  <c r="AE202" i="135"/>
  <c r="X220" i="135"/>
  <c r="V212" i="135"/>
  <c r="Z211" i="135"/>
  <c r="P210" i="135"/>
  <c r="S207" i="135"/>
  <c r="U210" i="135"/>
  <c r="AA206" i="135"/>
  <c r="W210" i="135"/>
  <c r="AE222" i="135"/>
  <c r="AF202" i="135"/>
  <c r="Y220" i="135"/>
  <c r="W212" i="135"/>
  <c r="O207" i="135"/>
  <c r="R205" i="135"/>
  <c r="Q204" i="135"/>
  <c r="X212" i="135"/>
  <c r="AE210" i="135"/>
  <c r="V206" i="135"/>
  <c r="Q223" i="135"/>
  <c r="Z208" i="135"/>
  <c r="R214" i="135"/>
  <c r="AD222" i="135"/>
  <c r="AD202" i="135"/>
  <c r="AF211" i="135"/>
  <c r="P207" i="135"/>
  <c r="S216" i="135"/>
  <c r="AC206" i="135"/>
  <c r="P214" i="135"/>
  <c r="U223" i="135"/>
  <c r="AA215" i="135"/>
  <c r="S205" i="135"/>
  <c r="Y202" i="135"/>
  <c r="Z223" i="135"/>
  <c r="T220" i="135"/>
  <c r="AF203" i="135"/>
  <c r="X205" i="135"/>
  <c r="O217" i="135"/>
  <c r="O203" i="135"/>
  <c r="N226" i="135"/>
  <c r="P203" i="135"/>
  <c r="R202" i="135"/>
  <c r="Y201" i="135"/>
  <c r="S217" i="135"/>
  <c r="N218" i="135"/>
  <c r="S215" i="135"/>
  <c r="Q203" i="135"/>
  <c r="AA202" i="135"/>
  <c r="N202" i="135"/>
  <c r="AE209" i="135"/>
  <c r="O204" i="135"/>
  <c r="R216" i="135"/>
  <c r="X224" i="135"/>
  <c r="P225" i="135"/>
  <c r="AF209" i="135"/>
  <c r="AB221" i="135"/>
  <c r="Q225" i="135"/>
  <c r="T202" i="135"/>
  <c r="Q201" i="135"/>
  <c r="O213" i="135"/>
  <c r="P205" i="135"/>
  <c r="W214" i="135"/>
  <c r="W217" i="135"/>
  <c r="AF219" i="135"/>
  <c r="O225" i="135"/>
  <c r="T213" i="135"/>
  <c r="O209" i="135"/>
  <c r="O219" i="135"/>
  <c r="N213" i="135"/>
  <c r="X210" i="135"/>
  <c r="N203" i="135"/>
  <c r="Z225" i="135"/>
  <c r="Z201" i="135"/>
  <c r="R213" i="135"/>
  <c r="Y209" i="135"/>
  <c r="AF207" i="135"/>
  <c r="V214" i="135"/>
  <c r="AB208" i="135"/>
  <c r="X223" i="135"/>
  <c r="R220" i="135"/>
  <c r="X226" i="135"/>
  <c r="Q222" i="135"/>
  <c r="Q202" i="135"/>
  <c r="P201" i="135"/>
  <c r="Y206" i="135"/>
  <c r="P216" i="135"/>
  <c r="N205" i="135"/>
  <c r="Q216" i="135"/>
  <c r="V225" i="135"/>
  <c r="AE201" i="135"/>
  <c r="AA211" i="135"/>
  <c r="O211" i="135"/>
  <c r="R203" i="135"/>
  <c r="X202" i="135"/>
  <c r="R201" i="135"/>
  <c r="Q213" i="135"/>
  <c r="R211" i="135"/>
  <c r="O205" i="135"/>
  <c r="AB215" i="135"/>
  <c r="O202" i="135"/>
  <c r="AB214" i="135"/>
  <c r="R219" i="135"/>
  <c r="N204" i="135"/>
  <c r="V202" i="135"/>
  <c r="X201" i="135"/>
  <c r="AF221" i="135"/>
  <c r="T209" i="135"/>
  <c r="AD218" i="135"/>
  <c r="T219" i="135"/>
  <c r="AF218" i="135"/>
  <c r="AD225" i="135"/>
  <c r="R209" i="135"/>
  <c r="N209" i="135"/>
  <c r="P204" i="135"/>
  <c r="U204" i="135"/>
  <c r="AC201" i="135"/>
  <c r="N225" i="135"/>
  <c r="S224" i="135"/>
  <c r="AB219" i="135"/>
  <c r="V204" i="135"/>
  <c r="AD201" i="135"/>
  <c r="V226" i="135"/>
  <c r="AE221" i="135"/>
  <c r="R224" i="135"/>
  <c r="R223" i="135"/>
  <c r="X222" i="135"/>
  <c r="P226" i="135"/>
  <c r="N221" i="135"/>
  <c r="AE204" i="135"/>
  <c r="AD208" i="135"/>
  <c r="T224" i="135"/>
  <c r="S223" i="135"/>
  <c r="Z214" i="135"/>
  <c r="AE224" i="135"/>
  <c r="W224" i="135"/>
  <c r="R226" i="135"/>
  <c r="Z200" i="135"/>
  <c r="T201" i="135"/>
  <c r="AC211" i="135"/>
  <c r="P224" i="135"/>
  <c r="U224" i="135"/>
  <c r="T223" i="135"/>
  <c r="S212" i="135"/>
  <c r="AA219" i="135"/>
  <c r="S221" i="135"/>
  <c r="Y226" i="135"/>
  <c r="W201" i="135"/>
  <c r="S208" i="135"/>
  <c r="Y219" i="135"/>
  <c r="U215" i="135"/>
  <c r="N224" i="135"/>
  <c r="AC223" i="135"/>
  <c r="Q209" i="135"/>
  <c r="AC210" i="135"/>
  <c r="Q219" i="135"/>
  <c r="Z226" i="135"/>
  <c r="V200" i="135"/>
  <c r="T208" i="135"/>
  <c r="Z215" i="135"/>
  <c r="AD223" i="135"/>
  <c r="AB210" i="135"/>
  <c r="AA226" i="135"/>
  <c r="N212" i="135"/>
  <c r="U208" i="135"/>
  <c r="Q221" i="135"/>
  <c r="AE223" i="135"/>
  <c r="N214" i="135"/>
  <c r="AA208" i="135"/>
  <c r="AC225" i="135"/>
  <c r="V201" i="135"/>
  <c r="AB201" i="135"/>
  <c r="AC209" i="135"/>
  <c r="AD215" i="135"/>
  <c r="R225" i="135"/>
  <c r="Y225" i="135"/>
  <c r="AB207" i="135"/>
  <c r="AF208" i="135"/>
  <c r="V215" i="135"/>
  <c r="AA200" i="135"/>
  <c r="V217" i="135"/>
  <c r="AD203" i="135"/>
  <c r="V223" i="135"/>
  <c r="AE200" i="135"/>
  <c r="Y223" i="135"/>
  <c r="W205" i="135"/>
  <c r="AC204" i="135"/>
  <c r="AD211" i="135"/>
  <c r="O200" i="135"/>
  <c r="O212" i="135"/>
  <c r="AD226" i="135"/>
  <c r="W204" i="135"/>
  <c r="X219" i="135"/>
  <c r="Z204" i="135"/>
  <c r="Y224" i="135"/>
  <c r="S222" i="135"/>
  <c r="R217" i="135"/>
  <c r="AA216" i="135"/>
  <c r="AD224" i="135"/>
  <c r="AA214" i="135"/>
  <c r="V210" i="135"/>
  <c r="X208" i="135"/>
  <c r="W206" i="135"/>
  <c r="W226" i="135"/>
  <c r="AA207" i="135"/>
  <c r="R207" i="135"/>
  <c r="S203" i="135"/>
  <c r="AA220" i="135"/>
  <c r="Y207" i="135"/>
  <c r="Q217" i="135"/>
  <c r="AF206" i="135"/>
  <c r="N207" i="135"/>
  <c r="AA203" i="135"/>
  <c r="W223" i="135"/>
  <c r="T215" i="135"/>
  <c r="AE206" i="135"/>
  <c r="S213" i="135"/>
  <c r="P206" i="135"/>
  <c r="AF213" i="135"/>
  <c r="Y222" i="135"/>
  <c r="Z222" i="135"/>
  <c r="AE226" i="135"/>
  <c r="X204" i="135"/>
  <c r="Y200" i="135"/>
  <c r="AC221" i="135"/>
  <c r="AB211" i="135"/>
  <c r="W218" i="135"/>
  <c r="N215" i="135"/>
  <c r="T212" i="135"/>
  <c r="V208" i="135"/>
  <c r="S214" i="135"/>
  <c r="O222" i="135"/>
  <c r="V203" i="135"/>
  <c r="AD210" i="135"/>
  <c r="Z203" i="135"/>
  <c r="AB223" i="135"/>
  <c r="Z207" i="135"/>
  <c r="AF200" i="135"/>
  <c r="AC207" i="135"/>
  <c r="Z216" i="135"/>
  <c r="N206" i="135"/>
  <c r="AB203" i="135"/>
  <c r="U201" i="135"/>
  <c r="AB226" i="135"/>
  <c r="S211" i="135"/>
  <c r="AF217" i="135"/>
  <c r="AE219" i="135"/>
  <c r="AA213" i="135"/>
  <c r="X215" i="135"/>
  <c r="X200" i="135"/>
  <c r="AC226" i="135"/>
  <c r="T204" i="135"/>
  <c r="V219" i="135"/>
  <c r="R208" i="135"/>
  <c r="W200" i="135"/>
  <c r="AB206" i="135"/>
  <c r="AF226" i="135"/>
  <c r="AC200" i="135"/>
  <c r="Y218" i="135"/>
  <c r="W216" i="135"/>
  <c r="AA204" i="135"/>
  <c r="AF214" i="135"/>
  <c r="U217" i="135"/>
  <c r="AB204" i="135"/>
  <c r="Y204" i="135"/>
  <c r="W215" i="135"/>
  <c r="S201" i="135"/>
  <c r="P208" i="135"/>
  <c r="O220" i="135"/>
  <c r="P220" i="135"/>
  <c r="S220" i="135"/>
  <c r="AA201" i="135"/>
  <c r="T210" i="135"/>
  <c r="AA225" i="135"/>
  <c r="Z209" i="135"/>
  <c r="AB225" i="135"/>
  <c r="AA209" i="135"/>
  <c r="Q218" i="135"/>
  <c r="N216" i="135"/>
  <c r="R218" i="135"/>
  <c r="AA218" i="135"/>
  <c r="AB216" i="135"/>
  <c r="AC219" i="135"/>
  <c r="V220" i="135"/>
  <c r="AC216" i="135"/>
  <c r="AE220" i="135"/>
  <c r="AF215" i="135"/>
  <c r="Q220" i="135"/>
  <c r="AJ14" i="136"/>
  <c r="AK14" i="136"/>
  <c r="AL14" i="136"/>
  <c r="AM14" i="136"/>
  <c r="F14" i="146"/>
  <c r="I12" i="173" s="1"/>
  <c r="I49" i="173" s="1"/>
  <c r="I127" i="173" s="1"/>
  <c r="G14" i="146"/>
  <c r="J12" i="173" s="1"/>
  <c r="J49" i="173" s="1"/>
  <c r="J127" i="173" s="1"/>
  <c r="H14" i="146"/>
  <c r="K12" i="173" s="1"/>
  <c r="K49" i="173" s="1"/>
  <c r="K127" i="173" s="1"/>
  <c r="AN14" i="136"/>
  <c r="AO14" i="136"/>
  <c r="AI14" i="136"/>
  <c r="E14" i="146"/>
  <c r="H12" i="173" s="1"/>
  <c r="V2" i="130"/>
  <c r="T14" i="146" l="1"/>
  <c r="T14" i="136" s="1"/>
  <c r="S14" i="146"/>
  <c r="I14" i="146"/>
  <c r="W14" i="146"/>
  <c r="W14" i="136" s="1"/>
  <c r="N14" i="146"/>
  <c r="P14" i="146"/>
  <c r="L14" i="146"/>
  <c r="K14" i="146"/>
  <c r="N12" i="173" s="1"/>
  <c r="N49" i="173" s="1"/>
  <c r="N127" i="173" s="1"/>
  <c r="O14" i="146"/>
  <c r="O14" i="136" s="1"/>
  <c r="X14" i="146"/>
  <c r="V14" i="146"/>
  <c r="H49" i="173"/>
  <c r="U14" i="146"/>
  <c r="Z14" i="146"/>
  <c r="R14" i="146"/>
  <c r="M14" i="146"/>
  <c r="Q14" i="146"/>
  <c r="Q14" i="136" s="1"/>
  <c r="M12" i="173"/>
  <c r="M49" i="173" s="1"/>
  <c r="M127" i="173" s="1"/>
  <c r="AA14" i="146"/>
  <c r="AA14" i="136" s="1"/>
  <c r="Y14" i="146"/>
  <c r="J14" i="136"/>
  <c r="AR24" i="136"/>
  <c r="E14" i="136"/>
  <c r="AQ24" i="136"/>
  <c r="AP24" i="136"/>
  <c r="E2" i="140"/>
  <c r="W2" i="130"/>
  <c r="X2" i="130" s="1"/>
  <c r="Y2" i="130" s="1"/>
  <c r="X12" i="173" l="1"/>
  <c r="X49" i="173" s="1"/>
  <c r="X127" i="173" s="1"/>
  <c r="U14" i="136"/>
  <c r="Y12" i="173"/>
  <c r="Y49" i="173" s="1"/>
  <c r="Y127" i="173" s="1"/>
  <c r="AC12" i="173"/>
  <c r="AC49" i="173" s="1"/>
  <c r="AC127" i="173" s="1"/>
  <c r="H127" i="173"/>
  <c r="V14" i="136"/>
  <c r="O12" i="173"/>
  <c r="O49" i="173" s="1"/>
  <c r="O127" i="173" s="1"/>
  <c r="S12" i="173"/>
  <c r="S49" i="173" s="1"/>
  <c r="S127" i="173" s="1"/>
  <c r="Q12" i="173"/>
  <c r="Q49" i="173" s="1"/>
  <c r="Q127" i="173" s="1"/>
  <c r="AB12" i="173"/>
  <c r="AB49" i="173" s="1"/>
  <c r="AB127" i="173" s="1"/>
  <c r="AD12" i="173"/>
  <c r="AD49" i="173" s="1"/>
  <c r="AD127" i="173" s="1"/>
  <c r="V12" i="173"/>
  <c r="V49" i="173" s="1"/>
  <c r="V127" i="173" s="1"/>
  <c r="Z14" i="136"/>
  <c r="Z12" i="173"/>
  <c r="Z49" i="173" s="1"/>
  <c r="Z127" i="173" s="1"/>
  <c r="L12" i="173"/>
  <c r="R12" i="173"/>
  <c r="R49" i="173" s="1"/>
  <c r="R127" i="173" s="1"/>
  <c r="K14" i="136"/>
  <c r="W12" i="173"/>
  <c r="W49" i="173" s="1"/>
  <c r="W127" i="173" s="1"/>
  <c r="AA12" i="173"/>
  <c r="AA49" i="173" s="1"/>
  <c r="AA127" i="173" s="1"/>
  <c r="X14" i="136"/>
  <c r="L14" i="136"/>
  <c r="P14" i="136"/>
  <c r="N14" i="136"/>
  <c r="Y14" i="136"/>
  <c r="I14" i="136"/>
  <c r="T12" i="173"/>
  <c r="T49" i="173" s="1"/>
  <c r="T127" i="173" s="1"/>
  <c r="S14" i="136"/>
  <c r="P12" i="173"/>
  <c r="P49" i="173" s="1"/>
  <c r="P127" i="173" s="1"/>
  <c r="M14" i="136"/>
  <c r="U12" i="173"/>
  <c r="U49" i="173" s="1"/>
  <c r="U127" i="173" s="1"/>
  <c r="R14" i="136"/>
  <c r="D14" i="146"/>
  <c r="M18" i="21" s="1"/>
  <c r="L80" i="21" s="1"/>
  <c r="H14" i="136"/>
  <c r="AR14" i="136"/>
  <c r="AR26" i="136" s="1"/>
  <c r="AR41" i="136" s="1"/>
  <c r="G14" i="136"/>
  <c r="AP14" i="136"/>
  <c r="AP26" i="136" s="1"/>
  <c r="AP41" i="136" s="1"/>
  <c r="F14" i="136"/>
  <c r="AQ14" i="136"/>
  <c r="AQ26" i="136" s="1"/>
  <c r="AQ41" i="136" s="1"/>
  <c r="Z2" i="130"/>
  <c r="AA2" i="130" s="1"/>
  <c r="H128" i="173" l="1"/>
  <c r="H129" i="173" s="1"/>
  <c r="L49" i="173"/>
  <c r="E12" i="173"/>
  <c r="G2" i="167"/>
  <c r="G2" i="154"/>
  <c r="AQ49" i="152"/>
  <c r="AO49" i="152"/>
  <c r="AP49" i="152"/>
  <c r="J3" i="166"/>
  <c r="J9" i="166"/>
  <c r="D14" i="136"/>
  <c r="E3" i="161"/>
  <c r="E4" i="146"/>
  <c r="E4" i="149"/>
  <c r="E10" i="149" s="1"/>
  <c r="E24" i="149" s="1"/>
  <c r="F4" i="141"/>
  <c r="E3" i="153"/>
  <c r="E35" i="153" s="1"/>
  <c r="E83" i="145" s="1"/>
  <c r="F18" i="152"/>
  <c r="N37" i="132"/>
  <c r="N44" i="132"/>
  <c r="N41" i="132"/>
  <c r="N40" i="132"/>
  <c r="N43" i="132"/>
  <c r="N42" i="132"/>
  <c r="N39" i="132"/>
  <c r="N38" i="132"/>
  <c r="N36" i="132"/>
  <c r="N35" i="132"/>
  <c r="D5" i="140"/>
  <c r="E4" i="136"/>
  <c r="J9" i="135"/>
  <c r="E4" i="130"/>
  <c r="J3" i="135"/>
  <c r="G3" i="133"/>
  <c r="D65" i="183" l="1"/>
  <c r="E65" i="183" s="1"/>
  <c r="H130" i="173"/>
  <c r="I126" i="173" s="1"/>
  <c r="L127" i="173"/>
  <c r="E127" i="173" s="1"/>
  <c r="E49" i="173"/>
  <c r="H6" i="178"/>
  <c r="I3" i="176"/>
  <c r="I40" i="176" s="1"/>
  <c r="I118" i="176" s="1"/>
  <c r="I196" i="176" s="1"/>
  <c r="I231" i="176" s="1"/>
  <c r="I266" i="176" s="1"/>
  <c r="I301" i="176" s="1"/>
  <c r="I336" i="176" s="1"/>
  <c r="I371" i="176" s="1"/>
  <c r="I406" i="176" s="1"/>
  <c r="I441" i="176" s="1"/>
  <c r="I476" i="176" s="1"/>
  <c r="I511" i="176" s="1"/>
  <c r="I546" i="176" s="1"/>
  <c r="I581" i="176" s="1"/>
  <c r="E10" i="146"/>
  <c r="E30" i="146" s="1"/>
  <c r="I3" i="173"/>
  <c r="I40" i="173" s="1"/>
  <c r="H2" i="167"/>
  <c r="H2" i="154"/>
  <c r="E90" i="137"/>
  <c r="E40" i="145"/>
  <c r="K3" i="166"/>
  <c r="K9" i="166"/>
  <c r="F3" i="161"/>
  <c r="F4" i="149"/>
  <c r="F10" i="149" s="1"/>
  <c r="F24" i="149" s="1"/>
  <c r="F4" i="146"/>
  <c r="E5" i="142"/>
  <c r="E51" i="142" s="1"/>
  <c r="E96" i="142" s="1"/>
  <c r="E141" i="142" s="1"/>
  <c r="E186" i="142" s="1"/>
  <c r="G135" i="133"/>
  <c r="G4" i="141"/>
  <c r="G18" i="152"/>
  <c r="F3" i="153"/>
  <c r="F35" i="153" s="1"/>
  <c r="F83" i="145" s="1"/>
  <c r="E4" i="144"/>
  <c r="E18" i="144" s="1"/>
  <c r="E4" i="145"/>
  <c r="E11" i="145" s="1"/>
  <c r="E54" i="145" s="1"/>
  <c r="D31" i="134"/>
  <c r="D34" i="134" s="1"/>
  <c r="D35" i="134" s="1"/>
  <c r="M81" i="132"/>
  <c r="M72" i="132"/>
  <c r="M71" i="132"/>
  <c r="M70" i="132"/>
  <c r="M92" i="132"/>
  <c r="M86" i="132"/>
  <c r="M50" i="132"/>
  <c r="M53" i="132"/>
  <c r="M51" i="132"/>
  <c r="M58" i="132"/>
  <c r="M79" i="132"/>
  <c r="M24" i="132"/>
  <c r="M80" i="132"/>
  <c r="M27" i="132"/>
  <c r="M16" i="132"/>
  <c r="M15" i="132"/>
  <c r="M68" i="132"/>
  <c r="M91" i="132"/>
  <c r="M90" i="132"/>
  <c r="M89" i="132"/>
  <c r="M69" i="132"/>
  <c r="M32" i="132"/>
  <c r="M28" i="132"/>
  <c r="M78" i="132"/>
  <c r="M26" i="132"/>
  <c r="M77" i="132"/>
  <c r="M25" i="132"/>
  <c r="M67" i="132"/>
  <c r="M65" i="132"/>
  <c r="M14" i="132"/>
  <c r="M18" i="132"/>
  <c r="M61" i="132"/>
  <c r="M93" i="132"/>
  <c r="M34" i="132"/>
  <c r="M30" i="132"/>
  <c r="M76" i="132"/>
  <c r="M23" i="132"/>
  <c r="M75" i="132"/>
  <c r="M73" i="132"/>
  <c r="M21" i="132"/>
  <c r="N21" i="132" s="1"/>
  <c r="M20" i="132"/>
  <c r="M66" i="132"/>
  <c r="M19" i="132"/>
  <c r="M64" i="132"/>
  <c r="M63" i="132"/>
  <c r="M17" i="132"/>
  <c r="M62" i="132"/>
  <c r="M88" i="132"/>
  <c r="M85" i="132"/>
  <c r="M83" i="132"/>
  <c r="M60" i="132"/>
  <c r="M13" i="132"/>
  <c r="M59" i="132"/>
  <c r="M12" i="132"/>
  <c r="M100" i="132"/>
  <c r="M57" i="132"/>
  <c r="M11" i="132"/>
  <c r="M99" i="132"/>
  <c r="M10" i="132"/>
  <c r="M74" i="132"/>
  <c r="M52" i="132"/>
  <c r="M49" i="132"/>
  <c r="M94" i="132"/>
  <c r="M5" i="132"/>
  <c r="M46" i="132"/>
  <c r="M45" i="132"/>
  <c r="M82" i="132"/>
  <c r="M98" i="132"/>
  <c r="M55" i="132"/>
  <c r="M9" i="132"/>
  <c r="M97" i="132"/>
  <c r="M54" i="132"/>
  <c r="M8" i="132"/>
  <c r="M96" i="132"/>
  <c r="M7" i="132"/>
  <c r="M95" i="132"/>
  <c r="M6" i="132"/>
  <c r="M48" i="132"/>
  <c r="M47" i="132"/>
  <c r="M33" i="132"/>
  <c r="M87" i="132"/>
  <c r="M31" i="132"/>
  <c r="M84" i="132"/>
  <c r="M29" i="132"/>
  <c r="E5" i="140"/>
  <c r="G10" i="133"/>
  <c r="F4" i="136"/>
  <c r="K9" i="135"/>
  <c r="E4" i="137"/>
  <c r="E10" i="136"/>
  <c r="E30" i="136" s="1"/>
  <c r="F4" i="130"/>
  <c r="K3" i="135"/>
  <c r="H3" i="133"/>
  <c r="E67" i="145" l="1"/>
  <c r="E24" i="145" s="1"/>
  <c r="E74" i="137"/>
  <c r="E19" i="144"/>
  <c r="E17" i="144"/>
  <c r="E12" i="144"/>
  <c r="E16" i="144"/>
  <c r="G182" i="133"/>
  <c r="G229" i="133" s="1"/>
  <c r="G276" i="133" s="1"/>
  <c r="G323" i="133" s="1"/>
  <c r="G370" i="133" s="1"/>
  <c r="I118" i="173"/>
  <c r="I196" i="173" s="1"/>
  <c r="I224" i="173" s="1"/>
  <c r="I252" i="173" s="1"/>
  <c r="I280" i="173" s="1"/>
  <c r="I308" i="173" s="1"/>
  <c r="I336" i="173" s="1"/>
  <c r="I364" i="173" s="1"/>
  <c r="I392" i="173" s="1"/>
  <c r="I420" i="173" s="1"/>
  <c r="I448" i="173" s="1"/>
  <c r="I476" i="173" s="1"/>
  <c r="I504" i="173" s="1"/>
  <c r="N2" i="132"/>
  <c r="N17" i="132"/>
  <c r="I6" i="178"/>
  <c r="J3" i="176"/>
  <c r="J40" i="176" s="1"/>
  <c r="J118" i="176" s="1"/>
  <c r="J196" i="176" s="1"/>
  <c r="J231" i="176" s="1"/>
  <c r="J266" i="176" s="1"/>
  <c r="J301" i="176" s="1"/>
  <c r="J336" i="176" s="1"/>
  <c r="J371" i="176" s="1"/>
  <c r="J406" i="176" s="1"/>
  <c r="J441" i="176" s="1"/>
  <c r="J476" i="176" s="1"/>
  <c r="J511" i="176" s="1"/>
  <c r="J546" i="176" s="1"/>
  <c r="J581" i="176" s="1"/>
  <c r="AG3" i="176"/>
  <c r="AG40" i="176" s="1"/>
  <c r="AG118" i="176" s="1"/>
  <c r="AG196" i="176" s="1"/>
  <c r="AG231" i="176" s="1"/>
  <c r="AG266" i="176" s="1"/>
  <c r="AG301" i="176" s="1"/>
  <c r="AG336" i="176" s="1"/>
  <c r="AG371" i="176" s="1"/>
  <c r="AG406" i="176" s="1"/>
  <c r="AG441" i="176" s="1"/>
  <c r="AG476" i="176" s="1"/>
  <c r="AG511" i="176" s="1"/>
  <c r="AG546" i="176" s="1"/>
  <c r="AG581" i="176" s="1"/>
  <c r="F10" i="146"/>
  <c r="F30" i="146" s="1"/>
  <c r="G3" i="180"/>
  <c r="G5" i="179"/>
  <c r="N18" i="132"/>
  <c r="P18" i="132"/>
  <c r="J3" i="173"/>
  <c r="J40" i="173" s="1"/>
  <c r="J118" i="173" s="1"/>
  <c r="J196" i="173" s="1"/>
  <c r="J224" i="173" s="1"/>
  <c r="J252" i="173" s="1"/>
  <c r="J280" i="173" s="1"/>
  <c r="J308" i="173" s="1"/>
  <c r="J336" i="173" s="1"/>
  <c r="J364" i="173" s="1"/>
  <c r="J392" i="173" s="1"/>
  <c r="J420" i="173" s="1"/>
  <c r="J448" i="173" s="1"/>
  <c r="J476" i="173" s="1"/>
  <c r="J504" i="173" s="1"/>
  <c r="I2" i="167"/>
  <c r="I2" i="154"/>
  <c r="AF2" i="167"/>
  <c r="F90" i="137"/>
  <c r="F44" i="137" s="1"/>
  <c r="F40" i="145"/>
  <c r="E44" i="137"/>
  <c r="L3" i="166"/>
  <c r="L9" i="166"/>
  <c r="AI3" i="166"/>
  <c r="AI9" i="166"/>
  <c r="G3" i="161"/>
  <c r="G4" i="149"/>
  <c r="G10" i="149" s="1"/>
  <c r="G24" i="149" s="1"/>
  <c r="G4" i="146"/>
  <c r="AD3" i="161"/>
  <c r="E11" i="137"/>
  <c r="E57" i="137" s="1"/>
  <c r="H135" i="133"/>
  <c r="F5" i="142"/>
  <c r="F51" i="142" s="1"/>
  <c r="F96" i="142" s="1"/>
  <c r="F141" i="142" s="1"/>
  <c r="F186" i="142" s="1"/>
  <c r="H4" i="141"/>
  <c r="G3" i="153"/>
  <c r="H18" i="152"/>
  <c r="AE18" i="152"/>
  <c r="F4" i="144"/>
  <c r="F18" i="144" s="1"/>
  <c r="F4" i="145"/>
  <c r="F11" i="145" s="1"/>
  <c r="F54" i="145" s="1"/>
  <c r="L19" i="131"/>
  <c r="N52" i="132"/>
  <c r="P52" i="132"/>
  <c r="P74" i="132"/>
  <c r="N74" i="132"/>
  <c r="P77" i="132"/>
  <c r="N77" i="132"/>
  <c r="L17" i="131"/>
  <c r="D17" i="142" s="1"/>
  <c r="N57" i="132"/>
  <c r="M17" i="131" s="1"/>
  <c r="P57" i="132"/>
  <c r="O17" i="131" s="1"/>
  <c r="F288" i="133" s="1"/>
  <c r="N78" i="132"/>
  <c r="P78" i="132"/>
  <c r="L13" i="131"/>
  <c r="D14" i="142" s="1"/>
  <c r="N28" i="132"/>
  <c r="P28" i="132"/>
  <c r="N29" i="132"/>
  <c r="P29" i="132"/>
  <c r="N59" i="132"/>
  <c r="P59" i="132"/>
  <c r="L34" i="131"/>
  <c r="D34" i="142" s="1"/>
  <c r="N84" i="132"/>
  <c r="M34" i="131" s="1"/>
  <c r="P84" i="132"/>
  <c r="O34" i="131" s="1"/>
  <c r="F305" i="133" s="1"/>
  <c r="N69" i="132"/>
  <c r="P69" i="132"/>
  <c r="N60" i="132"/>
  <c r="P60" i="132"/>
  <c r="L36" i="131"/>
  <c r="D36" i="142" s="1"/>
  <c r="P87" i="132"/>
  <c r="O36" i="131" s="1"/>
  <c r="F307" i="133" s="1"/>
  <c r="N87" i="132"/>
  <c r="M36" i="131" s="1"/>
  <c r="L39" i="131"/>
  <c r="D39" i="142" s="1"/>
  <c r="P90" i="132"/>
  <c r="O39" i="131" s="1"/>
  <c r="F310" i="133" s="1"/>
  <c r="N90" i="132"/>
  <c r="M39" i="131" s="1"/>
  <c r="N33" i="132"/>
  <c r="P33" i="132"/>
  <c r="L35" i="131"/>
  <c r="D35" i="142" s="1"/>
  <c r="N85" i="132"/>
  <c r="M35" i="131" s="1"/>
  <c r="P85" i="132"/>
  <c r="O35" i="131" s="1"/>
  <c r="F306" i="133" s="1"/>
  <c r="P68" i="132"/>
  <c r="O23" i="131" s="1"/>
  <c r="F294" i="133" s="1"/>
  <c r="N68" i="132"/>
  <c r="M23" i="131" s="1"/>
  <c r="L23" i="131"/>
  <c r="D23" i="142" s="1"/>
  <c r="N62" i="132"/>
  <c r="M21" i="131" s="1"/>
  <c r="L21" i="131"/>
  <c r="D21" i="142" s="1"/>
  <c r="P62" i="132"/>
  <c r="O21" i="131" s="1"/>
  <c r="F292" i="133" s="1"/>
  <c r="P6" i="132"/>
  <c r="O6" i="131" s="1"/>
  <c r="F278" i="133" s="1"/>
  <c r="N6" i="132"/>
  <c r="M6" i="131" s="1"/>
  <c r="L6" i="131"/>
  <c r="D7" i="142" s="1"/>
  <c r="P17" i="132"/>
  <c r="L10" i="131"/>
  <c r="P27" i="132"/>
  <c r="N27" i="132"/>
  <c r="M13" i="131" s="1"/>
  <c r="N19" i="132"/>
  <c r="P19" i="132"/>
  <c r="N97" i="132"/>
  <c r="M45" i="131" s="1"/>
  <c r="L45" i="131"/>
  <c r="D45" i="142" s="1"/>
  <c r="P97" i="132"/>
  <c r="L9" i="131"/>
  <c r="P21" i="132"/>
  <c r="P51" i="132"/>
  <c r="N51" i="132"/>
  <c r="P9" i="132"/>
  <c r="N9" i="132"/>
  <c r="P53" i="132"/>
  <c r="N53" i="132"/>
  <c r="L11" i="131"/>
  <c r="P22" i="132"/>
  <c r="L46" i="131"/>
  <c r="D46" i="142" s="1"/>
  <c r="P98" i="132"/>
  <c r="N98" i="132"/>
  <c r="M46" i="131" s="1"/>
  <c r="N86" i="132"/>
  <c r="P86" i="132"/>
  <c r="P23" i="132"/>
  <c r="O12" i="131" s="1"/>
  <c r="L12" i="131"/>
  <c r="N23" i="132"/>
  <c r="M12" i="131" s="1"/>
  <c r="P46" i="132"/>
  <c r="N46" i="132"/>
  <c r="N30" i="132"/>
  <c r="P30" i="132"/>
  <c r="P71" i="132"/>
  <c r="N71" i="132"/>
  <c r="P14" i="132"/>
  <c r="N14" i="132"/>
  <c r="N10" i="132"/>
  <c r="P10" i="132"/>
  <c r="P65" i="132"/>
  <c r="O24" i="131" s="1"/>
  <c r="F295" i="133" s="1"/>
  <c r="N65" i="132"/>
  <c r="M24" i="131" s="1"/>
  <c r="L24" i="131"/>
  <c r="D24" i="142" s="1"/>
  <c r="P56" i="132"/>
  <c r="L18" i="131"/>
  <c r="L20" i="131"/>
  <c r="N67" i="132"/>
  <c r="M22" i="131" s="1"/>
  <c r="L22" i="131"/>
  <c r="D22" i="142" s="1"/>
  <c r="P67" i="132"/>
  <c r="O22" i="131" s="1"/>
  <c r="F293" i="133" s="1"/>
  <c r="L47" i="131"/>
  <c r="D47" i="142" s="1"/>
  <c r="N99" i="132"/>
  <c r="M47" i="131" s="1"/>
  <c r="P99" i="132"/>
  <c r="P25" i="132"/>
  <c r="L8" i="131"/>
  <c r="D9" i="142" s="1"/>
  <c r="N25" i="132"/>
  <c r="N11" i="132"/>
  <c r="P11" i="132"/>
  <c r="N26" i="132"/>
  <c r="P26" i="132"/>
  <c r="N100" i="132"/>
  <c r="P100" i="132"/>
  <c r="P12" i="132"/>
  <c r="N12" i="132"/>
  <c r="L15" i="131"/>
  <c r="D15" i="142" s="1"/>
  <c r="P32" i="132"/>
  <c r="O15" i="131" s="1"/>
  <c r="F286" i="133" s="1"/>
  <c r="N32" i="132"/>
  <c r="M15" i="131" s="1"/>
  <c r="K48" i="134" s="1"/>
  <c r="K49" i="134" s="1"/>
  <c r="K51" i="134" s="1"/>
  <c r="P13" i="132"/>
  <c r="N13" i="132"/>
  <c r="P31" i="132"/>
  <c r="N31" i="132"/>
  <c r="P89" i="132"/>
  <c r="O38" i="131" s="1"/>
  <c r="F309" i="133" s="1"/>
  <c r="N89" i="132"/>
  <c r="M38" i="131" s="1"/>
  <c r="L38" i="131"/>
  <c r="D38" i="142" s="1"/>
  <c r="L33" i="131"/>
  <c r="D33" i="142" s="1"/>
  <c r="P83" i="132"/>
  <c r="O33" i="131" s="1"/>
  <c r="F304" i="133" s="1"/>
  <c r="N83" i="132"/>
  <c r="M33" i="131" s="1"/>
  <c r="N91" i="132"/>
  <c r="M40" i="131" s="1"/>
  <c r="L40" i="131"/>
  <c r="D40" i="142" s="1"/>
  <c r="P91" i="132"/>
  <c r="O40" i="131" s="1"/>
  <c r="F311" i="133" s="1"/>
  <c r="N47" i="132"/>
  <c r="P47" i="132"/>
  <c r="L37" i="131"/>
  <c r="D37" i="142" s="1"/>
  <c r="P88" i="132"/>
  <c r="O37" i="131" s="1"/>
  <c r="F308" i="133" s="1"/>
  <c r="N88" i="132"/>
  <c r="M37" i="131" s="1"/>
  <c r="P48" i="132"/>
  <c r="N48" i="132"/>
  <c r="N15" i="132"/>
  <c r="P15" i="132"/>
  <c r="N16" i="132"/>
  <c r="P16" i="132"/>
  <c r="P95" i="132"/>
  <c r="O43" i="131" s="1"/>
  <c r="F314" i="133" s="1"/>
  <c r="N95" i="132"/>
  <c r="M43" i="131" s="1"/>
  <c r="L43" i="131"/>
  <c r="D43" i="142" s="1"/>
  <c r="P63" i="132"/>
  <c r="N63" i="132"/>
  <c r="L5" i="131"/>
  <c r="D6" i="142" s="1"/>
  <c r="N7" i="132"/>
  <c r="M5" i="131" s="1"/>
  <c r="E24" i="134" s="1"/>
  <c r="P7" i="132"/>
  <c r="O5" i="131" s="1"/>
  <c r="F277" i="133" s="1"/>
  <c r="P64" i="132"/>
  <c r="N64" i="132"/>
  <c r="P80" i="132"/>
  <c r="O30" i="131" s="1"/>
  <c r="F301" i="133" s="1"/>
  <c r="N80" i="132"/>
  <c r="M30" i="131" s="1"/>
  <c r="L30" i="131"/>
  <c r="D30" i="142" s="1"/>
  <c r="L44" i="131"/>
  <c r="D44" i="142" s="1"/>
  <c r="P96" i="132"/>
  <c r="N96" i="132"/>
  <c r="M44" i="131" s="1"/>
  <c r="N24" i="132"/>
  <c r="P24" i="132"/>
  <c r="P8" i="132"/>
  <c r="N8" i="132"/>
  <c r="N66" i="132"/>
  <c r="P66" i="132"/>
  <c r="N79" i="132"/>
  <c r="M29" i="131" s="1"/>
  <c r="L29" i="131"/>
  <c r="D29" i="142" s="1"/>
  <c r="P79" i="132"/>
  <c r="O29" i="131" s="1"/>
  <c r="F300" i="133" s="1"/>
  <c r="N54" i="132"/>
  <c r="P54" i="132"/>
  <c r="N20" i="132"/>
  <c r="P20" i="132"/>
  <c r="P58" i="132"/>
  <c r="N58" i="132"/>
  <c r="P73" i="132"/>
  <c r="O27" i="131" s="1"/>
  <c r="F298" i="133" s="1"/>
  <c r="N73" i="132"/>
  <c r="M27" i="131" s="1"/>
  <c r="L27" i="131"/>
  <c r="D27" i="142" s="1"/>
  <c r="N55" i="132"/>
  <c r="P55" i="132"/>
  <c r="P50" i="132"/>
  <c r="N50" i="132"/>
  <c r="P75" i="132"/>
  <c r="O28" i="131" s="1"/>
  <c r="F299" i="133" s="1"/>
  <c r="N75" i="132"/>
  <c r="M28" i="131" s="1"/>
  <c r="L28" i="131"/>
  <c r="D28" i="142" s="1"/>
  <c r="N82" i="132"/>
  <c r="M32" i="131" s="1"/>
  <c r="L32" i="131"/>
  <c r="D32" i="142" s="1"/>
  <c r="P82" i="132"/>
  <c r="O32" i="131" s="1"/>
  <c r="F303" i="133" s="1"/>
  <c r="P92" i="132"/>
  <c r="N92" i="132"/>
  <c r="N45" i="132"/>
  <c r="P45" i="132"/>
  <c r="P76" i="132"/>
  <c r="N76" i="132"/>
  <c r="P70" i="132"/>
  <c r="O25" i="131" s="1"/>
  <c r="F296" i="133" s="1"/>
  <c r="N70" i="132"/>
  <c r="M25" i="131" s="1"/>
  <c r="L25" i="131"/>
  <c r="D25" i="142" s="1"/>
  <c r="L7" i="131"/>
  <c r="P5" i="132"/>
  <c r="N5" i="132"/>
  <c r="N34" i="132"/>
  <c r="M16" i="131" s="1"/>
  <c r="L48" i="134" s="1"/>
  <c r="L49" i="134" s="1"/>
  <c r="P34" i="132"/>
  <c r="O16" i="131" s="1"/>
  <c r="F287" i="133" s="1"/>
  <c r="L16" i="131"/>
  <c r="D16" i="142" s="1"/>
  <c r="P72" i="132"/>
  <c r="O26" i="131" s="1"/>
  <c r="F297" i="133" s="1"/>
  <c r="N72" i="132"/>
  <c r="M26" i="131" s="1"/>
  <c r="L26" i="131"/>
  <c r="D26" i="142" s="1"/>
  <c r="P94" i="132"/>
  <c r="O42" i="131" s="1"/>
  <c r="F313" i="133" s="1"/>
  <c r="N94" i="132"/>
  <c r="M42" i="131" s="1"/>
  <c r="L42" i="131"/>
  <c r="D42" i="142" s="1"/>
  <c r="L41" i="131"/>
  <c r="D41" i="142" s="1"/>
  <c r="P93" i="132"/>
  <c r="O41" i="131" s="1"/>
  <c r="F312" i="133" s="1"/>
  <c r="N93" i="132"/>
  <c r="M41" i="131" s="1"/>
  <c r="P81" i="132"/>
  <c r="O31" i="131" s="1"/>
  <c r="F302" i="133" s="1"/>
  <c r="N81" i="132"/>
  <c r="M31" i="131" s="1"/>
  <c r="L31" i="131"/>
  <c r="D31" i="142" s="1"/>
  <c r="N49" i="132"/>
  <c r="P49" i="132"/>
  <c r="N61" i="132"/>
  <c r="P61" i="132"/>
  <c r="H50" i="133"/>
  <c r="G50" i="133"/>
  <c r="I50" i="133"/>
  <c r="J50" i="133"/>
  <c r="F5" i="140"/>
  <c r="H10" i="133"/>
  <c r="G4" i="136"/>
  <c r="L9" i="135"/>
  <c r="F4" i="137"/>
  <c r="F10" i="136"/>
  <c r="F30" i="136" s="1"/>
  <c r="G4" i="130"/>
  <c r="L3" i="135"/>
  <c r="I3" i="133"/>
  <c r="F67" i="145" l="1"/>
  <c r="F24" i="145" s="1"/>
  <c r="F74" i="137"/>
  <c r="F28" i="137" s="1"/>
  <c r="E28" i="137"/>
  <c r="M19" i="131"/>
  <c r="F19" i="144"/>
  <c r="F17" i="144"/>
  <c r="F12" i="144"/>
  <c r="F16" i="144"/>
  <c r="E20" i="144"/>
  <c r="E23" i="144" s="1"/>
  <c r="H182" i="133"/>
  <c r="H229" i="133" s="1"/>
  <c r="H276" i="133" s="1"/>
  <c r="H323" i="133" s="1"/>
  <c r="H370" i="133" s="1"/>
  <c r="O7" i="131"/>
  <c r="F279" i="133" s="1"/>
  <c r="AE5" i="179"/>
  <c r="G10" i="146"/>
  <c r="G30" i="146" s="1"/>
  <c r="J6" i="178"/>
  <c r="K3" i="176"/>
  <c r="K40" i="176" s="1"/>
  <c r="K118" i="176" s="1"/>
  <c r="K196" i="176" s="1"/>
  <c r="K231" i="176" s="1"/>
  <c r="K266" i="176" s="1"/>
  <c r="K301" i="176" s="1"/>
  <c r="K336" i="176" s="1"/>
  <c r="K371" i="176" s="1"/>
  <c r="K406" i="176" s="1"/>
  <c r="K441" i="176" s="1"/>
  <c r="K476" i="176" s="1"/>
  <c r="K511" i="176" s="1"/>
  <c r="K546" i="176" s="1"/>
  <c r="K581" i="176" s="1"/>
  <c r="AH3" i="176"/>
  <c r="AH40" i="176" s="1"/>
  <c r="AH118" i="176" s="1"/>
  <c r="AH196" i="176" s="1"/>
  <c r="AH231" i="176" s="1"/>
  <c r="AH266" i="176" s="1"/>
  <c r="AH301" i="176" s="1"/>
  <c r="AH336" i="176" s="1"/>
  <c r="AH371" i="176" s="1"/>
  <c r="AH406" i="176" s="1"/>
  <c r="AH441" i="176" s="1"/>
  <c r="AH476" i="176" s="1"/>
  <c r="AH511" i="176" s="1"/>
  <c r="AH546" i="176" s="1"/>
  <c r="AH581" i="176" s="1"/>
  <c r="H3" i="180"/>
  <c r="H5" i="179"/>
  <c r="D8" i="142"/>
  <c r="D54" i="142" s="1"/>
  <c r="M8" i="131"/>
  <c r="F48" i="134" s="1"/>
  <c r="F49" i="134" s="1"/>
  <c r="H26" i="133" s="1"/>
  <c r="O8" i="131"/>
  <c r="F280" i="133" s="1"/>
  <c r="M7" i="131"/>
  <c r="D25" i="134" s="1"/>
  <c r="D26" i="134" s="1"/>
  <c r="D13" i="142"/>
  <c r="D59" i="142" s="1"/>
  <c r="O13" i="131"/>
  <c r="F285" i="133" s="1"/>
  <c r="K3" i="173"/>
  <c r="K40" i="173" s="1"/>
  <c r="K118" i="173" s="1"/>
  <c r="K196" i="173" s="1"/>
  <c r="K224" i="173" s="1"/>
  <c r="K252" i="173" s="1"/>
  <c r="K280" i="173" s="1"/>
  <c r="K308" i="173" s="1"/>
  <c r="K336" i="173" s="1"/>
  <c r="K364" i="173" s="1"/>
  <c r="K392" i="173" s="1"/>
  <c r="K420" i="173" s="1"/>
  <c r="K448" i="173" s="1"/>
  <c r="K476" i="173" s="1"/>
  <c r="K504" i="173" s="1"/>
  <c r="O11" i="131"/>
  <c r="O9" i="131"/>
  <c r="F281" i="133" s="1"/>
  <c r="D10" i="142"/>
  <c r="D56" i="142" s="1"/>
  <c r="M9" i="131"/>
  <c r="D48" i="134" s="1"/>
  <c r="D49" i="134" s="1"/>
  <c r="M11" i="131"/>
  <c r="H48" i="134" s="1"/>
  <c r="H49" i="134" s="1"/>
  <c r="O19" i="131"/>
  <c r="D19" i="142"/>
  <c r="D65" i="142" s="1"/>
  <c r="D12" i="142"/>
  <c r="D58" i="142" s="1"/>
  <c r="J2" i="167"/>
  <c r="J2" i="154"/>
  <c r="AG2" i="167"/>
  <c r="D11" i="142"/>
  <c r="D57" i="142" s="1"/>
  <c r="M10" i="131"/>
  <c r="O10" i="131"/>
  <c r="M3" i="166"/>
  <c r="M9" i="166"/>
  <c r="AJ3" i="166"/>
  <c r="AJ9" i="166"/>
  <c r="H3" i="161"/>
  <c r="H4" i="149"/>
  <c r="H10" i="149" s="1"/>
  <c r="H24" i="149" s="1"/>
  <c r="H4" i="146"/>
  <c r="AE3" i="161"/>
  <c r="F11" i="137"/>
  <c r="F57" i="137" s="1"/>
  <c r="G5" i="142"/>
  <c r="G51" i="142" s="1"/>
  <c r="G96" i="142" s="1"/>
  <c r="G141" i="142" s="1"/>
  <c r="G186" i="142" s="1"/>
  <c r="I135" i="133"/>
  <c r="AD5" i="142"/>
  <c r="AD51" i="142" s="1"/>
  <c r="AD96" i="142" s="1"/>
  <c r="AD141" i="142" s="1"/>
  <c r="AD186" i="142" s="1"/>
  <c r="I4" i="141"/>
  <c r="H3" i="153"/>
  <c r="I18" i="152"/>
  <c r="AF18" i="152"/>
  <c r="I45" i="142"/>
  <c r="AN45" i="142"/>
  <c r="AO45" i="142"/>
  <c r="M45" i="142"/>
  <c r="L45" i="142"/>
  <c r="N45" i="142"/>
  <c r="O45" i="142"/>
  <c r="E45" i="142"/>
  <c r="F45" i="142"/>
  <c r="G45" i="142"/>
  <c r="H45" i="142"/>
  <c r="K45" i="142"/>
  <c r="AB45" i="142"/>
  <c r="AM45" i="142"/>
  <c r="S45" i="142"/>
  <c r="AL45" i="142"/>
  <c r="J45" i="142"/>
  <c r="X45" i="142"/>
  <c r="W45" i="142"/>
  <c r="Y45" i="142"/>
  <c r="Q45" i="142"/>
  <c r="Z45" i="142"/>
  <c r="AA45" i="142"/>
  <c r="T45" i="142"/>
  <c r="D91" i="142"/>
  <c r="V45" i="142"/>
  <c r="U45" i="142"/>
  <c r="AK45" i="142"/>
  <c r="P45" i="142"/>
  <c r="AD45" i="142"/>
  <c r="AC45" i="142"/>
  <c r="AE45" i="142"/>
  <c r="AF45" i="142"/>
  <c r="AG45" i="142"/>
  <c r="AH45" i="142"/>
  <c r="AI45" i="142"/>
  <c r="AJ45" i="142"/>
  <c r="R45" i="142"/>
  <c r="W30" i="142"/>
  <c r="X30" i="142"/>
  <c r="O30" i="142"/>
  <c r="Y30" i="142"/>
  <c r="P30" i="142"/>
  <c r="AI30" i="142"/>
  <c r="AH30" i="142"/>
  <c r="AB30" i="142"/>
  <c r="Q30" i="142"/>
  <c r="Z30" i="142"/>
  <c r="R30" i="142"/>
  <c r="E30" i="142"/>
  <c r="AA30" i="142"/>
  <c r="U30" i="142"/>
  <c r="AN30" i="142"/>
  <c r="AK30" i="142"/>
  <c r="G30" i="142"/>
  <c r="I30" i="142"/>
  <c r="AF30" i="142"/>
  <c r="AJ30" i="142"/>
  <c r="AE30" i="142"/>
  <c r="D76" i="142"/>
  <c r="AC30" i="142"/>
  <c r="H30" i="142"/>
  <c r="V30" i="142"/>
  <c r="AG30" i="142"/>
  <c r="T30" i="142"/>
  <c r="F30" i="142"/>
  <c r="N30" i="142"/>
  <c r="S30" i="142"/>
  <c r="AM30" i="142"/>
  <c r="K30" i="142"/>
  <c r="L30" i="142"/>
  <c r="AL30" i="142"/>
  <c r="J30" i="142"/>
  <c r="M30" i="142"/>
  <c r="AD30" i="142"/>
  <c r="AO30" i="142"/>
  <c r="I43" i="142"/>
  <c r="H43" i="142"/>
  <c r="Y43" i="142"/>
  <c r="S43" i="142"/>
  <c r="AJ43" i="142"/>
  <c r="AC43" i="142"/>
  <c r="AO43" i="142"/>
  <c r="AD43" i="142"/>
  <c r="M43" i="142"/>
  <c r="Q43" i="142"/>
  <c r="AH43" i="142"/>
  <c r="AE43" i="142"/>
  <c r="AL43" i="142"/>
  <c r="F43" i="142"/>
  <c r="AF43" i="142"/>
  <c r="AG43" i="142"/>
  <c r="AA43" i="142"/>
  <c r="L43" i="142"/>
  <c r="AN43" i="142"/>
  <c r="AB43" i="142"/>
  <c r="Z43" i="142"/>
  <c r="G43" i="142"/>
  <c r="P43" i="142"/>
  <c r="AI43" i="142"/>
  <c r="AM43" i="142"/>
  <c r="N43" i="142"/>
  <c r="K43" i="142"/>
  <c r="R43" i="142"/>
  <c r="D89" i="142"/>
  <c r="T43" i="142"/>
  <c r="AK43" i="142"/>
  <c r="O43" i="142"/>
  <c r="E43" i="142"/>
  <c r="U43" i="142"/>
  <c r="V43" i="142"/>
  <c r="W43" i="142"/>
  <c r="X43" i="142"/>
  <c r="J43" i="142"/>
  <c r="D90" i="142"/>
  <c r="AF44" i="142"/>
  <c r="R44" i="142"/>
  <c r="AG44" i="142"/>
  <c r="X44" i="142"/>
  <c r="Q44" i="142"/>
  <c r="V44" i="142"/>
  <c r="AH44" i="142"/>
  <c r="Y44" i="142"/>
  <c r="W44" i="142"/>
  <c r="S44" i="142"/>
  <c r="AI44" i="142"/>
  <c r="E44" i="142"/>
  <c r="N44" i="142"/>
  <c r="AK44" i="142"/>
  <c r="AN44" i="142"/>
  <c r="AO44" i="142"/>
  <c r="G44" i="142"/>
  <c r="O44" i="142"/>
  <c r="AL44" i="142"/>
  <c r="P44" i="142"/>
  <c r="AM44" i="142"/>
  <c r="AJ44" i="142"/>
  <c r="AC44" i="142"/>
  <c r="AD44" i="142"/>
  <c r="AE44" i="142"/>
  <c r="K44" i="142"/>
  <c r="H44" i="142"/>
  <c r="Z44" i="142"/>
  <c r="AA44" i="142"/>
  <c r="M44" i="142"/>
  <c r="J44" i="142"/>
  <c r="L44" i="142"/>
  <c r="AB44" i="142"/>
  <c r="U44" i="142"/>
  <c r="F44" i="142"/>
  <c r="T44" i="142"/>
  <c r="I44" i="142"/>
  <c r="AK38" i="142"/>
  <c r="W38" i="142"/>
  <c r="AG38" i="142"/>
  <c r="X38" i="142"/>
  <c r="AC38" i="142"/>
  <c r="R38" i="142"/>
  <c r="E38" i="142"/>
  <c r="AH38" i="142"/>
  <c r="N38" i="142"/>
  <c r="T38" i="142"/>
  <c r="P38" i="142"/>
  <c r="L38" i="142"/>
  <c r="S38" i="142"/>
  <c r="F38" i="142"/>
  <c r="G38" i="142"/>
  <c r="AJ38" i="142"/>
  <c r="AL38" i="142"/>
  <c r="I38" i="142"/>
  <c r="AN38" i="142"/>
  <c r="H38" i="142"/>
  <c r="Y38" i="142"/>
  <c r="AO38" i="142"/>
  <c r="Z38" i="142"/>
  <c r="D84" i="142"/>
  <c r="V38" i="142"/>
  <c r="AF38" i="142"/>
  <c r="AD38" i="142"/>
  <c r="AE38" i="142"/>
  <c r="U38" i="142"/>
  <c r="J38" i="142"/>
  <c r="K38" i="142"/>
  <c r="M38" i="142"/>
  <c r="AB38" i="142"/>
  <c r="Q38" i="142"/>
  <c r="O38" i="142"/>
  <c r="AM38" i="142"/>
  <c r="AI38" i="142"/>
  <c r="AA38" i="142"/>
  <c r="AL28" i="142"/>
  <c r="AK28" i="142"/>
  <c r="H28" i="142"/>
  <c r="S28" i="142"/>
  <c r="N28" i="142"/>
  <c r="J28" i="142"/>
  <c r="AN28" i="142"/>
  <c r="O28" i="142"/>
  <c r="AJ28" i="142"/>
  <c r="AM28" i="142"/>
  <c r="AO28" i="142"/>
  <c r="Q28" i="142"/>
  <c r="F28" i="142"/>
  <c r="AI28" i="142"/>
  <c r="I28" i="142"/>
  <c r="AE28" i="142"/>
  <c r="T28" i="142"/>
  <c r="G28" i="142"/>
  <c r="AH28" i="142"/>
  <c r="M28" i="142"/>
  <c r="R28" i="142"/>
  <c r="L28" i="142"/>
  <c r="Y28" i="142"/>
  <c r="E28" i="142"/>
  <c r="V28" i="142"/>
  <c r="P28" i="142"/>
  <c r="W28" i="142"/>
  <c r="X28" i="142"/>
  <c r="K28" i="142"/>
  <c r="AF28" i="142"/>
  <c r="AG28" i="142"/>
  <c r="U28" i="142"/>
  <c r="AA28" i="142"/>
  <c r="AC28" i="142"/>
  <c r="D74" i="142"/>
  <c r="Z28" i="142"/>
  <c r="AB28" i="142"/>
  <c r="AD28" i="142"/>
  <c r="D52" i="142"/>
  <c r="G41" i="142"/>
  <c r="K41" i="142"/>
  <c r="AB41" i="142"/>
  <c r="T41" i="142"/>
  <c r="AG41" i="142"/>
  <c r="AM41" i="142"/>
  <c r="AH41" i="142"/>
  <c r="AE41" i="142"/>
  <c r="E41" i="142"/>
  <c r="J41" i="142"/>
  <c r="Q41" i="142"/>
  <c r="Y41" i="142"/>
  <c r="M41" i="142"/>
  <c r="I41" i="142"/>
  <c r="AA41" i="142"/>
  <c r="L41" i="142"/>
  <c r="AC41" i="142"/>
  <c r="V41" i="142"/>
  <c r="U41" i="142"/>
  <c r="P41" i="142"/>
  <c r="O41" i="142"/>
  <c r="H41" i="142"/>
  <c r="AJ41" i="142"/>
  <c r="AF41" i="142"/>
  <c r="N41" i="142"/>
  <c r="X41" i="142"/>
  <c r="AL41" i="142"/>
  <c r="AK41" i="142"/>
  <c r="AD41" i="142"/>
  <c r="D87" i="142"/>
  <c r="AO41" i="142"/>
  <c r="F41" i="142"/>
  <c r="R41" i="142"/>
  <c r="S41" i="142"/>
  <c r="AN41" i="142"/>
  <c r="W41" i="142"/>
  <c r="AI41" i="142"/>
  <c r="Z41" i="142"/>
  <c r="R21" i="142"/>
  <c r="E21" i="142"/>
  <c r="AA21" i="142"/>
  <c r="H21" i="142"/>
  <c r="T21" i="142"/>
  <c r="J21" i="142"/>
  <c r="U21" i="142"/>
  <c r="S21" i="142"/>
  <c r="Y21" i="142"/>
  <c r="W21" i="142"/>
  <c r="X21" i="142"/>
  <c r="N21" i="142"/>
  <c r="O21" i="142"/>
  <c r="P21" i="142"/>
  <c r="AD21" i="142"/>
  <c r="AN21" i="142"/>
  <c r="K21" i="142"/>
  <c r="AJ21" i="142"/>
  <c r="I21" i="142"/>
  <c r="D67" i="142"/>
  <c r="F21" i="142"/>
  <c r="AL21" i="142"/>
  <c r="Z21" i="142"/>
  <c r="AM21" i="142"/>
  <c r="G21" i="142"/>
  <c r="AE21" i="142"/>
  <c r="AI21" i="142"/>
  <c r="V21" i="142"/>
  <c r="Q21" i="142"/>
  <c r="AO21" i="142"/>
  <c r="AH21" i="142"/>
  <c r="L21" i="142"/>
  <c r="AG21" i="142"/>
  <c r="M21" i="142"/>
  <c r="AB21" i="142"/>
  <c r="AC21" i="142"/>
  <c r="AF21" i="142"/>
  <c r="AK21" i="142"/>
  <c r="I23" i="142"/>
  <c r="Z23" i="142"/>
  <c r="J23" i="142"/>
  <c r="H23" i="142"/>
  <c r="Y23" i="142"/>
  <c r="AA23" i="142"/>
  <c r="AC23" i="142"/>
  <c r="AF23" i="142"/>
  <c r="W23" i="142"/>
  <c r="X23" i="142"/>
  <c r="U23" i="142"/>
  <c r="AD23" i="142"/>
  <c r="E23" i="142"/>
  <c r="AE23" i="142"/>
  <c r="AI23" i="142"/>
  <c r="AG23" i="142"/>
  <c r="AH23" i="142"/>
  <c r="K23" i="142"/>
  <c r="L23" i="142"/>
  <c r="AB23" i="142"/>
  <c r="R23" i="142"/>
  <c r="T23" i="142"/>
  <c r="M23" i="142"/>
  <c r="AL23" i="142"/>
  <c r="AO23" i="142"/>
  <c r="Q23" i="142"/>
  <c r="N23" i="142"/>
  <c r="F23" i="142"/>
  <c r="P23" i="142"/>
  <c r="V23" i="142"/>
  <c r="O23" i="142"/>
  <c r="AK23" i="142"/>
  <c r="S23" i="142"/>
  <c r="AJ23" i="142"/>
  <c r="D69" i="142"/>
  <c r="G23" i="142"/>
  <c r="AM23" i="142"/>
  <c r="AN23" i="142"/>
  <c r="AO17" i="142"/>
  <c r="D63" i="142"/>
  <c r="D78" i="142"/>
  <c r="Y32" i="142"/>
  <c r="U32" i="142"/>
  <c r="T32" i="142"/>
  <c r="AE32" i="142"/>
  <c r="Z32" i="142"/>
  <c r="AM32" i="142"/>
  <c r="AB32" i="142"/>
  <c r="AD32" i="142"/>
  <c r="AC32" i="142"/>
  <c r="AF32" i="142"/>
  <c r="M32" i="142"/>
  <c r="AK32" i="142"/>
  <c r="AH32" i="142"/>
  <c r="K32" i="142"/>
  <c r="AI32" i="142"/>
  <c r="V32" i="142"/>
  <c r="Q32" i="142"/>
  <c r="X32" i="142"/>
  <c r="AJ32" i="142"/>
  <c r="AL32" i="142"/>
  <c r="AA32" i="142"/>
  <c r="G32" i="142"/>
  <c r="E32" i="142"/>
  <c r="S32" i="142"/>
  <c r="W32" i="142"/>
  <c r="AN32" i="142"/>
  <c r="AG32" i="142"/>
  <c r="N32" i="142"/>
  <c r="J32" i="142"/>
  <c r="R32" i="142"/>
  <c r="AO32" i="142"/>
  <c r="H32" i="142"/>
  <c r="I32" i="142"/>
  <c r="F32" i="142"/>
  <c r="P32" i="142"/>
  <c r="L32" i="142"/>
  <c r="O32" i="142"/>
  <c r="D53" i="142"/>
  <c r="D60" i="142"/>
  <c r="R22" i="142"/>
  <c r="E22" i="142"/>
  <c r="Q22" i="142"/>
  <c r="U22" i="142"/>
  <c r="F22" i="142"/>
  <c r="AD22" i="142"/>
  <c r="AE22" i="142"/>
  <c r="G22" i="142"/>
  <c r="Z22" i="142"/>
  <c r="AG22" i="142"/>
  <c r="AB22" i="142"/>
  <c r="Y22" i="142"/>
  <c r="AC22" i="142"/>
  <c r="K22" i="142"/>
  <c r="X22" i="142"/>
  <c r="S22" i="142"/>
  <c r="AA22" i="142"/>
  <c r="N22" i="142"/>
  <c r="W22" i="142"/>
  <c r="AK22" i="142"/>
  <c r="D68" i="142"/>
  <c r="T22" i="142"/>
  <c r="I22" i="142"/>
  <c r="M22" i="142"/>
  <c r="H22" i="142"/>
  <c r="AN22" i="142"/>
  <c r="AF22" i="142"/>
  <c r="AI22" i="142"/>
  <c r="AJ22" i="142"/>
  <c r="L22" i="142"/>
  <c r="O22" i="142"/>
  <c r="AL22" i="142"/>
  <c r="AO22" i="142"/>
  <c r="P22" i="142"/>
  <c r="AM22" i="142"/>
  <c r="J22" i="142"/>
  <c r="AH22" i="142"/>
  <c r="V22" i="142"/>
  <c r="AM31" i="142"/>
  <c r="AN31" i="142"/>
  <c r="AO31" i="142"/>
  <c r="AK31" i="142"/>
  <c r="P31" i="142"/>
  <c r="K31" i="142"/>
  <c r="AB31" i="142"/>
  <c r="AL31" i="142"/>
  <c r="AD31" i="142"/>
  <c r="AF31" i="142"/>
  <c r="R31" i="142"/>
  <c r="AH31" i="142"/>
  <c r="S31" i="142"/>
  <c r="E31" i="142"/>
  <c r="T31" i="142"/>
  <c r="AJ31" i="142"/>
  <c r="Z31" i="142"/>
  <c r="F31" i="142"/>
  <c r="I31" i="142"/>
  <c r="G31" i="142"/>
  <c r="H31" i="142"/>
  <c r="U31" i="142"/>
  <c r="M31" i="142"/>
  <c r="D77" i="142"/>
  <c r="V31" i="142"/>
  <c r="Y31" i="142"/>
  <c r="AE31" i="142"/>
  <c r="W31" i="142"/>
  <c r="AG31" i="142"/>
  <c r="AC31" i="142"/>
  <c r="AA31" i="142"/>
  <c r="L31" i="142"/>
  <c r="AI31" i="142"/>
  <c r="J31" i="142"/>
  <c r="N31" i="142"/>
  <c r="Q31" i="142"/>
  <c r="O31" i="142"/>
  <c r="X31" i="142"/>
  <c r="D88" i="142"/>
  <c r="L42" i="142"/>
  <c r="AL42" i="142"/>
  <c r="E42" i="142"/>
  <c r="Q42" i="142"/>
  <c r="AC42" i="142"/>
  <c r="AF42" i="142"/>
  <c r="U42" i="142"/>
  <c r="AD42" i="142"/>
  <c r="AE42" i="142"/>
  <c r="AO42" i="142"/>
  <c r="Y42" i="142"/>
  <c r="AI42" i="142"/>
  <c r="P42" i="142"/>
  <c r="X42" i="142"/>
  <c r="M42" i="142"/>
  <c r="AA42" i="142"/>
  <c r="V42" i="142"/>
  <c r="R42" i="142"/>
  <c r="AN42" i="142"/>
  <c r="N42" i="142"/>
  <c r="AM42" i="142"/>
  <c r="I42" i="142"/>
  <c r="T42" i="142"/>
  <c r="K42" i="142"/>
  <c r="S42" i="142"/>
  <c r="J42" i="142"/>
  <c r="AB42" i="142"/>
  <c r="AH42" i="142"/>
  <c r="AG42" i="142"/>
  <c r="AJ42" i="142"/>
  <c r="AK42" i="142"/>
  <c r="W42" i="142"/>
  <c r="O42" i="142"/>
  <c r="Z42" i="142"/>
  <c r="G42" i="142"/>
  <c r="H42" i="142"/>
  <c r="F42" i="142"/>
  <c r="D62" i="142"/>
  <c r="AB39" i="142"/>
  <c r="AN39" i="142"/>
  <c r="N39" i="142"/>
  <c r="U39" i="142"/>
  <c r="J39" i="142"/>
  <c r="M39" i="142"/>
  <c r="AE39" i="142"/>
  <c r="H39" i="142"/>
  <c r="AF39" i="142"/>
  <c r="G39" i="142"/>
  <c r="AA39" i="142"/>
  <c r="V39" i="142"/>
  <c r="AK39" i="142"/>
  <c r="Q39" i="142"/>
  <c r="Y39" i="142"/>
  <c r="AJ39" i="142"/>
  <c r="AL39" i="142"/>
  <c r="O39" i="142"/>
  <c r="X39" i="142"/>
  <c r="R39" i="142"/>
  <c r="AI39" i="142"/>
  <c r="Z39" i="142"/>
  <c r="S39" i="142"/>
  <c r="K39" i="142"/>
  <c r="P39" i="142"/>
  <c r="AO39" i="142"/>
  <c r="W39" i="142"/>
  <c r="F39" i="142"/>
  <c r="AM39" i="142"/>
  <c r="I39" i="142"/>
  <c r="AG39" i="142"/>
  <c r="AH39" i="142"/>
  <c r="L39" i="142"/>
  <c r="AC39" i="142"/>
  <c r="E39" i="142"/>
  <c r="D85" i="142"/>
  <c r="T39" i="142"/>
  <c r="AD39" i="142"/>
  <c r="D55" i="142"/>
  <c r="AL25" i="142"/>
  <c r="AK25" i="142"/>
  <c r="AJ25" i="142"/>
  <c r="S25" i="142"/>
  <c r="AN25" i="142"/>
  <c r="R25" i="142"/>
  <c r="F25" i="142"/>
  <c r="AO25" i="142"/>
  <c r="AB25" i="142"/>
  <c r="I25" i="142"/>
  <c r="T25" i="142"/>
  <c r="AF25" i="142"/>
  <c r="H25" i="142"/>
  <c r="X25" i="142"/>
  <c r="AG25" i="142"/>
  <c r="U25" i="142"/>
  <c r="AI25" i="142"/>
  <c r="Y25" i="142"/>
  <c r="Z25" i="142"/>
  <c r="V25" i="142"/>
  <c r="D71" i="142"/>
  <c r="W25" i="142"/>
  <c r="L25" i="142"/>
  <c r="J25" i="142"/>
  <c r="AA25" i="142"/>
  <c r="AD25" i="142"/>
  <c r="AE25" i="142"/>
  <c r="Q25" i="142"/>
  <c r="E25" i="142"/>
  <c r="M25" i="142"/>
  <c r="K25" i="142"/>
  <c r="AH25" i="142"/>
  <c r="AC25" i="142"/>
  <c r="P25" i="142"/>
  <c r="AM25" i="142"/>
  <c r="N25" i="142"/>
  <c r="G25" i="142"/>
  <c r="O25" i="142"/>
  <c r="AG40" i="142"/>
  <c r="AB40" i="142"/>
  <c r="AL40" i="142"/>
  <c r="G40" i="142"/>
  <c r="J40" i="142"/>
  <c r="O40" i="142"/>
  <c r="AM40" i="142"/>
  <c r="AN40" i="142"/>
  <c r="AO40" i="142"/>
  <c r="X40" i="142"/>
  <c r="W40" i="142"/>
  <c r="P40" i="142"/>
  <c r="AJ40" i="142"/>
  <c r="AK40" i="142"/>
  <c r="AF40" i="142"/>
  <c r="L40" i="142"/>
  <c r="AE40" i="142"/>
  <c r="M40" i="142"/>
  <c r="AA40" i="142"/>
  <c r="I40" i="142"/>
  <c r="AD40" i="142"/>
  <c r="Y40" i="142"/>
  <c r="N40" i="142"/>
  <c r="E40" i="142"/>
  <c r="AC40" i="142"/>
  <c r="AH40" i="142"/>
  <c r="R40" i="142"/>
  <c r="H40" i="142"/>
  <c r="T40" i="142"/>
  <c r="K40" i="142"/>
  <c r="AI40" i="142"/>
  <c r="V40" i="142"/>
  <c r="S40" i="142"/>
  <c r="F40" i="142"/>
  <c r="Q40" i="142"/>
  <c r="U40" i="142"/>
  <c r="Z40" i="142"/>
  <c r="D86" i="142"/>
  <c r="D92" i="142"/>
  <c r="AL46" i="142"/>
  <c r="F46" i="142"/>
  <c r="AH46" i="142"/>
  <c r="AK46" i="142"/>
  <c r="I46" i="142"/>
  <c r="AG46" i="142"/>
  <c r="AN46" i="142"/>
  <c r="AI46" i="142"/>
  <c r="R46" i="142"/>
  <c r="N46" i="142"/>
  <c r="P46" i="142"/>
  <c r="V46" i="142"/>
  <c r="O46" i="142"/>
  <c r="AE46" i="142"/>
  <c r="Q46" i="142"/>
  <c r="U46" i="142"/>
  <c r="AB46" i="142"/>
  <c r="S46" i="142"/>
  <c r="Z46" i="142"/>
  <c r="AA46" i="142"/>
  <c r="E46" i="142"/>
  <c r="AM46" i="142"/>
  <c r="K46" i="142"/>
  <c r="Y46" i="142"/>
  <c r="M46" i="142"/>
  <c r="AC46" i="142"/>
  <c r="J46" i="142"/>
  <c r="G46" i="142"/>
  <c r="AO46" i="142"/>
  <c r="AF46" i="142"/>
  <c r="L46" i="142"/>
  <c r="AD46" i="142"/>
  <c r="H46" i="142"/>
  <c r="AJ46" i="142"/>
  <c r="W46" i="142"/>
  <c r="T46" i="142"/>
  <c r="X46" i="142"/>
  <c r="S35" i="142"/>
  <c r="Y35" i="142"/>
  <c r="D81" i="142"/>
  <c r="U35" i="142"/>
  <c r="V35" i="142"/>
  <c r="W35" i="142"/>
  <c r="R35" i="142"/>
  <c r="AM35" i="142"/>
  <c r="T35" i="142"/>
  <c r="X35" i="142"/>
  <c r="O35" i="142"/>
  <c r="AK35" i="142"/>
  <c r="AJ35" i="142"/>
  <c r="AA35" i="142"/>
  <c r="AL35" i="142"/>
  <c r="J35" i="142"/>
  <c r="AD35" i="142"/>
  <c r="K35" i="142"/>
  <c r="L35" i="142"/>
  <c r="AI35" i="142"/>
  <c r="M35" i="142"/>
  <c r="Q35" i="142"/>
  <c r="N35" i="142"/>
  <c r="AE35" i="142"/>
  <c r="Z35" i="142"/>
  <c r="AC35" i="142"/>
  <c r="E35" i="142"/>
  <c r="P35" i="142"/>
  <c r="AB35" i="142"/>
  <c r="F35" i="142"/>
  <c r="AN35" i="142"/>
  <c r="AH35" i="142"/>
  <c r="AO35" i="142"/>
  <c r="G35" i="142"/>
  <c r="H35" i="142"/>
  <c r="I35" i="142"/>
  <c r="AF35" i="142"/>
  <c r="AG35" i="142"/>
  <c r="I37" i="142"/>
  <c r="E37" i="142"/>
  <c r="AN37" i="142"/>
  <c r="V37" i="142"/>
  <c r="H37" i="142"/>
  <c r="AE37" i="142"/>
  <c r="AK37" i="142"/>
  <c r="R37" i="142"/>
  <c r="M37" i="142"/>
  <c r="S37" i="142"/>
  <c r="AD37" i="142"/>
  <c r="T37" i="142"/>
  <c r="Z37" i="142"/>
  <c r="Q37" i="142"/>
  <c r="U37" i="142"/>
  <c r="Y37" i="142"/>
  <c r="AJ37" i="142"/>
  <c r="W37" i="142"/>
  <c r="AH37" i="142"/>
  <c r="X37" i="142"/>
  <c r="AI37" i="142"/>
  <c r="AL37" i="142"/>
  <c r="N37" i="142"/>
  <c r="P37" i="142"/>
  <c r="AA37" i="142"/>
  <c r="AM37" i="142"/>
  <c r="AB37" i="142"/>
  <c r="J37" i="142"/>
  <c r="L37" i="142"/>
  <c r="D83" i="142"/>
  <c r="AF37" i="142"/>
  <c r="K37" i="142"/>
  <c r="O37" i="142"/>
  <c r="G37" i="142"/>
  <c r="AO37" i="142"/>
  <c r="F37" i="142"/>
  <c r="AG37" i="142"/>
  <c r="AC37" i="142"/>
  <c r="D80" i="142"/>
  <c r="Z34" i="142"/>
  <c r="T34" i="142"/>
  <c r="AG34" i="142"/>
  <c r="V34" i="142"/>
  <c r="AE34" i="142"/>
  <c r="F34" i="142"/>
  <c r="AM34" i="142"/>
  <c r="E34" i="142"/>
  <c r="AN34" i="142"/>
  <c r="AI34" i="142"/>
  <c r="S34" i="142"/>
  <c r="R34" i="142"/>
  <c r="AO34" i="142"/>
  <c r="P34" i="142"/>
  <c r="M34" i="142"/>
  <c r="AC34" i="142"/>
  <c r="AA34" i="142"/>
  <c r="O34" i="142"/>
  <c r="G34" i="142"/>
  <c r="I34" i="142"/>
  <c r="Y34" i="142"/>
  <c r="AK34" i="142"/>
  <c r="AH34" i="142"/>
  <c r="U34" i="142"/>
  <c r="J34" i="142"/>
  <c r="Q34" i="142"/>
  <c r="H34" i="142"/>
  <c r="AB34" i="142"/>
  <c r="K34" i="142"/>
  <c r="AJ34" i="142"/>
  <c r="X34" i="142"/>
  <c r="AD34" i="142"/>
  <c r="N34" i="142"/>
  <c r="AF34" i="142"/>
  <c r="W34" i="142"/>
  <c r="L34" i="142"/>
  <c r="AL34" i="142"/>
  <c r="D61" i="142"/>
  <c r="G4" i="145"/>
  <c r="G11" i="145" s="1"/>
  <c r="G54" i="145" s="1"/>
  <c r="G4" i="144"/>
  <c r="G18" i="144" s="1"/>
  <c r="M29" i="142"/>
  <c r="O29" i="142"/>
  <c r="AM29" i="142"/>
  <c r="AG29" i="142"/>
  <c r="AB29" i="142"/>
  <c r="AC29" i="142"/>
  <c r="S29" i="142"/>
  <c r="R29" i="142"/>
  <c r="AI29" i="142"/>
  <c r="H29" i="142"/>
  <c r="AL29" i="142"/>
  <c r="AE29" i="142"/>
  <c r="AH29" i="142"/>
  <c r="AD29" i="142"/>
  <c r="T29" i="142"/>
  <c r="Q29" i="142"/>
  <c r="X29" i="142"/>
  <c r="AA29" i="142"/>
  <c r="W29" i="142"/>
  <c r="AJ29" i="142"/>
  <c r="N29" i="142"/>
  <c r="U29" i="142"/>
  <c r="Z29" i="142"/>
  <c r="F29" i="142"/>
  <c r="AK29" i="142"/>
  <c r="AF29" i="142"/>
  <c r="V29" i="142"/>
  <c r="G29" i="142"/>
  <c r="P29" i="142"/>
  <c r="I29" i="142"/>
  <c r="Y29" i="142"/>
  <c r="J29" i="142"/>
  <c r="AO29" i="142"/>
  <c r="AN29" i="142"/>
  <c r="K29" i="142"/>
  <c r="E29" i="142"/>
  <c r="L29" i="142"/>
  <c r="D75" i="142"/>
  <c r="D20" i="142"/>
  <c r="D18" i="142"/>
  <c r="AK36" i="142"/>
  <c r="E36" i="142"/>
  <c r="AO36" i="142"/>
  <c r="AJ36" i="142"/>
  <c r="D82" i="142"/>
  <c r="N36" i="142"/>
  <c r="G36" i="142"/>
  <c r="H36" i="142"/>
  <c r="AG36" i="142"/>
  <c r="K36" i="142"/>
  <c r="AI36" i="142"/>
  <c r="M36" i="142"/>
  <c r="AL36" i="142"/>
  <c r="Z36" i="142"/>
  <c r="AH36" i="142"/>
  <c r="AE36" i="142"/>
  <c r="J36" i="142"/>
  <c r="AB36" i="142"/>
  <c r="AM36" i="142"/>
  <c r="X36" i="142"/>
  <c r="U36" i="142"/>
  <c r="F36" i="142"/>
  <c r="O36" i="142"/>
  <c r="AF36" i="142"/>
  <c r="AD36" i="142"/>
  <c r="P36" i="142"/>
  <c r="AA36" i="142"/>
  <c r="R36" i="142"/>
  <c r="I36" i="142"/>
  <c r="L36" i="142"/>
  <c r="AC36" i="142"/>
  <c r="W36" i="142"/>
  <c r="Q36" i="142"/>
  <c r="S36" i="142"/>
  <c r="V36" i="142"/>
  <c r="Y36" i="142"/>
  <c r="AN36" i="142"/>
  <c r="T36" i="142"/>
  <c r="AF26" i="142"/>
  <c r="D72" i="142"/>
  <c r="AJ26" i="142"/>
  <c r="AK26" i="142"/>
  <c r="R26" i="142"/>
  <c r="AC26" i="142"/>
  <c r="AL26" i="142"/>
  <c r="Z26" i="142"/>
  <c r="Q26" i="142"/>
  <c r="AA26" i="142"/>
  <c r="S26" i="142"/>
  <c r="AI26" i="142"/>
  <c r="N26" i="142"/>
  <c r="AE26" i="142"/>
  <c r="AH26" i="142"/>
  <c r="P26" i="142"/>
  <c r="M26" i="142"/>
  <c r="O26" i="142"/>
  <c r="K26" i="142"/>
  <c r="E26" i="142"/>
  <c r="AG26" i="142"/>
  <c r="AM26" i="142"/>
  <c r="U26" i="142"/>
  <c r="X26" i="142"/>
  <c r="H26" i="142"/>
  <c r="Y26" i="142"/>
  <c r="J26" i="142"/>
  <c r="I26" i="142"/>
  <c r="AD26" i="142"/>
  <c r="V26" i="142"/>
  <c r="AN26" i="142"/>
  <c r="AO26" i="142"/>
  <c r="F26" i="142"/>
  <c r="G26" i="142"/>
  <c r="L26" i="142"/>
  <c r="T26" i="142"/>
  <c r="W26" i="142"/>
  <c r="AB26" i="142"/>
  <c r="L27" i="142"/>
  <c r="AD27" i="142"/>
  <c r="AC27" i="142"/>
  <c r="AE27" i="142"/>
  <c r="AA27" i="142"/>
  <c r="AB27" i="142"/>
  <c r="Y27" i="142"/>
  <c r="S27" i="142"/>
  <c r="Q27" i="142"/>
  <c r="Z27" i="142"/>
  <c r="W27" i="142"/>
  <c r="V27" i="142"/>
  <c r="R27" i="142"/>
  <c r="X27" i="142"/>
  <c r="U27" i="142"/>
  <c r="AN27" i="142"/>
  <c r="AG27" i="142"/>
  <c r="AJ27" i="142"/>
  <c r="F27" i="142"/>
  <c r="AK27" i="142"/>
  <c r="T27" i="142"/>
  <c r="G27" i="142"/>
  <c r="E27" i="142"/>
  <c r="AF27" i="142"/>
  <c r="AH27" i="142"/>
  <c r="AM27" i="142"/>
  <c r="K27" i="142"/>
  <c r="AL27" i="142"/>
  <c r="M27" i="142"/>
  <c r="H27" i="142"/>
  <c r="D73" i="142"/>
  <c r="J27" i="142"/>
  <c r="AI27" i="142"/>
  <c r="I27" i="142"/>
  <c r="O27" i="142"/>
  <c r="P27" i="142"/>
  <c r="AO27" i="142"/>
  <c r="N27" i="142"/>
  <c r="Q47" i="142"/>
  <c r="AO47" i="142"/>
  <c r="O47" i="142"/>
  <c r="H47" i="142"/>
  <c r="N47" i="142"/>
  <c r="J47" i="142"/>
  <c r="V47" i="142"/>
  <c r="P47" i="142"/>
  <c r="K47" i="142"/>
  <c r="U47" i="142"/>
  <c r="T47" i="142"/>
  <c r="L47" i="142"/>
  <c r="M47" i="142"/>
  <c r="AL47" i="142"/>
  <c r="R47" i="142"/>
  <c r="W47" i="142"/>
  <c r="X47" i="142"/>
  <c r="Z47" i="142"/>
  <c r="S47" i="142"/>
  <c r="AD47" i="142"/>
  <c r="AN47" i="142"/>
  <c r="AM47" i="142"/>
  <c r="AH47" i="142"/>
  <c r="AF47" i="142"/>
  <c r="AK47" i="142"/>
  <c r="AE47" i="142"/>
  <c r="Y47" i="142"/>
  <c r="AA47" i="142"/>
  <c r="AB47" i="142"/>
  <c r="E47" i="142"/>
  <c r="AC47" i="142"/>
  <c r="AJ47" i="142"/>
  <c r="AG47" i="142"/>
  <c r="AI47" i="142"/>
  <c r="I47" i="142"/>
  <c r="G47" i="142"/>
  <c r="F47" i="142"/>
  <c r="AB33" i="142"/>
  <c r="J33" i="142"/>
  <c r="O33" i="142"/>
  <c r="AJ33" i="142"/>
  <c r="W33" i="142"/>
  <c r="K33" i="142"/>
  <c r="AF33" i="142"/>
  <c r="Y33" i="142"/>
  <c r="AG33" i="142"/>
  <c r="AE33" i="142"/>
  <c r="U33" i="142"/>
  <c r="P33" i="142"/>
  <c r="AC33" i="142"/>
  <c r="AA33" i="142"/>
  <c r="F33" i="142"/>
  <c r="AO33" i="142"/>
  <c r="E33" i="142"/>
  <c r="AD33" i="142"/>
  <c r="L33" i="142"/>
  <c r="V33" i="142"/>
  <c r="R33" i="142"/>
  <c r="Z33" i="142"/>
  <c r="D79" i="142"/>
  <c r="T33" i="142"/>
  <c r="Q33" i="142"/>
  <c r="AM33" i="142"/>
  <c r="AN33" i="142"/>
  <c r="N33" i="142"/>
  <c r="S33" i="142"/>
  <c r="AI33" i="142"/>
  <c r="M33" i="142"/>
  <c r="X33" i="142"/>
  <c r="AH33" i="142"/>
  <c r="G33" i="142"/>
  <c r="H33" i="142"/>
  <c r="I33" i="142"/>
  <c r="AK33" i="142"/>
  <c r="AL33" i="142"/>
  <c r="Z24" i="142"/>
  <c r="T24" i="142"/>
  <c r="U24" i="142"/>
  <c r="V24" i="142"/>
  <c r="W24" i="142"/>
  <c r="AA24" i="142"/>
  <c r="N24" i="142"/>
  <c r="S24" i="142"/>
  <c r="AB24" i="142"/>
  <c r="M24" i="142"/>
  <c r="AO24" i="142"/>
  <c r="AD24" i="142"/>
  <c r="K24" i="142"/>
  <c r="AF24" i="142"/>
  <c r="AM24" i="142"/>
  <c r="AE24" i="142"/>
  <c r="AN24" i="142"/>
  <c r="O24" i="142"/>
  <c r="AC24" i="142"/>
  <c r="R24" i="142"/>
  <c r="G24" i="142"/>
  <c r="Y24" i="142"/>
  <c r="P24" i="142"/>
  <c r="X24" i="142"/>
  <c r="Q24" i="142"/>
  <c r="F24" i="142"/>
  <c r="AJ24" i="142"/>
  <c r="J24" i="142"/>
  <c r="D70" i="142"/>
  <c r="I24" i="142"/>
  <c r="L24" i="142"/>
  <c r="H24" i="142"/>
  <c r="AI24" i="142"/>
  <c r="AG24" i="142"/>
  <c r="AL24" i="142"/>
  <c r="AK24" i="142"/>
  <c r="E24" i="142"/>
  <c r="AH24" i="142"/>
  <c r="O20" i="131"/>
  <c r="O18" i="131"/>
  <c r="M18" i="131"/>
  <c r="M20" i="131"/>
  <c r="G56" i="133"/>
  <c r="I56" i="133"/>
  <c r="H56" i="133"/>
  <c r="J56" i="133"/>
  <c r="Q99" i="132"/>
  <c r="P47" i="131" s="1"/>
  <c r="O47" i="131"/>
  <c r="F318" i="133" s="1"/>
  <c r="U61" i="133"/>
  <c r="K61" i="133"/>
  <c r="Q61" i="133"/>
  <c r="N61" i="133"/>
  <c r="P61" i="133"/>
  <c r="O61" i="133"/>
  <c r="I61" i="133"/>
  <c r="R61" i="133"/>
  <c r="AC61" i="133"/>
  <c r="V61" i="133"/>
  <c r="S61" i="133"/>
  <c r="G61" i="133"/>
  <c r="G62" i="133" s="1"/>
  <c r="G146" i="133" s="1"/>
  <c r="G193" i="133" s="1"/>
  <c r="W61" i="133"/>
  <c r="AA61" i="133"/>
  <c r="M61" i="133"/>
  <c r="J61" i="133"/>
  <c r="Y61" i="133"/>
  <c r="AB61" i="133"/>
  <c r="L61" i="133"/>
  <c r="T61" i="133"/>
  <c r="H61" i="133"/>
  <c r="Z61" i="133"/>
  <c r="X61" i="133"/>
  <c r="AN14" i="142"/>
  <c r="AO14" i="142"/>
  <c r="Q97" i="132"/>
  <c r="P45" i="131" s="1"/>
  <c r="D136" i="142" s="1"/>
  <c r="O45" i="131"/>
  <c r="F316" i="133" s="1"/>
  <c r="J51" i="133"/>
  <c r="J144" i="133" s="1"/>
  <c r="J238" i="133"/>
  <c r="H14" i="142" s="1"/>
  <c r="Q96" i="132"/>
  <c r="P44" i="131" s="1"/>
  <c r="D135" i="142" s="1"/>
  <c r="O44" i="131"/>
  <c r="F315" i="133" s="1"/>
  <c r="I238" i="133"/>
  <c r="G14" i="142" s="1"/>
  <c r="I51" i="133"/>
  <c r="I144" i="133" s="1"/>
  <c r="G238" i="133"/>
  <c r="E14" i="142" s="1"/>
  <c r="G51" i="133"/>
  <c r="G144" i="133" s="1"/>
  <c r="H51" i="133"/>
  <c r="H144" i="133" s="1"/>
  <c r="H238" i="133"/>
  <c r="F14" i="142" s="1"/>
  <c r="F25" i="134"/>
  <c r="F26" i="134" s="1"/>
  <c r="E25" i="134"/>
  <c r="E26" i="134" s="1"/>
  <c r="F24" i="134"/>
  <c r="AD87" i="134"/>
  <c r="AD88" i="134" s="1"/>
  <c r="Q105" i="134"/>
  <c r="Q106" i="134" s="1"/>
  <c r="I111" i="134"/>
  <c r="I112" i="134" s="1"/>
  <c r="V87" i="134"/>
  <c r="V88" i="134" s="1"/>
  <c r="Y67" i="133" s="1"/>
  <c r="Y68" i="133" s="1"/>
  <c r="V111" i="134"/>
  <c r="V112" i="134" s="1"/>
  <c r="W111" i="134"/>
  <c r="W112" i="134" s="1"/>
  <c r="N87" i="134"/>
  <c r="N88" i="134" s="1"/>
  <c r="Q67" i="133" s="1"/>
  <c r="Q68" i="133" s="1"/>
  <c r="AL87" i="134"/>
  <c r="AL88" i="134" s="1"/>
  <c r="U105" i="134"/>
  <c r="U106" i="134" s="1"/>
  <c r="AJ105" i="134"/>
  <c r="AJ106" i="134" s="1"/>
  <c r="P87" i="134"/>
  <c r="P88" i="134" s="1"/>
  <c r="S67" i="133" s="1"/>
  <c r="S68" i="133" s="1"/>
  <c r="AD105" i="134"/>
  <c r="AD106" i="134" s="1"/>
  <c r="AB111" i="134"/>
  <c r="AB112" i="134" s="1"/>
  <c r="G87" i="134"/>
  <c r="G88" i="134" s="1"/>
  <c r="J67" i="133" s="1"/>
  <c r="J68" i="133" s="1"/>
  <c r="Y111" i="134"/>
  <c r="Y112" i="134" s="1"/>
  <c r="AH105" i="134"/>
  <c r="AH106" i="134" s="1"/>
  <c r="N105" i="134"/>
  <c r="N106" i="134" s="1"/>
  <c r="O105" i="134"/>
  <c r="O106" i="134" s="1"/>
  <c r="X105" i="134"/>
  <c r="X106" i="134" s="1"/>
  <c r="U111" i="134"/>
  <c r="U112" i="134" s="1"/>
  <c r="AD111" i="134"/>
  <c r="AD112" i="134" s="1"/>
  <c r="K87" i="134"/>
  <c r="K88" i="134" s="1"/>
  <c r="N67" i="133" s="1"/>
  <c r="N68" i="133" s="1"/>
  <c r="AF87" i="134"/>
  <c r="AF88" i="134" s="1"/>
  <c r="F87" i="134"/>
  <c r="F88" i="134" s="1"/>
  <c r="I67" i="133" s="1"/>
  <c r="I68" i="133" s="1"/>
  <c r="Q111" i="134"/>
  <c r="Q112" i="134" s="1"/>
  <c r="L105" i="134"/>
  <c r="L106" i="134" s="1"/>
  <c r="AC87" i="134"/>
  <c r="AC88" i="134" s="1"/>
  <c r="AM105" i="134"/>
  <c r="AM106" i="134" s="1"/>
  <c r="O111" i="134"/>
  <c r="O112" i="134" s="1"/>
  <c r="R87" i="134"/>
  <c r="R88" i="134" s="1"/>
  <c r="U67" i="133" s="1"/>
  <c r="U68" i="133" s="1"/>
  <c r="AI87" i="134"/>
  <c r="AI88" i="134" s="1"/>
  <c r="AC111" i="134"/>
  <c r="AC112" i="134" s="1"/>
  <c r="H105" i="134"/>
  <c r="H106" i="134" s="1"/>
  <c r="AB105" i="134"/>
  <c r="AB106" i="134" s="1"/>
  <c r="Y105" i="134"/>
  <c r="Y106" i="134" s="1"/>
  <c r="I105" i="134"/>
  <c r="I106" i="134" s="1"/>
  <c r="H111" i="134"/>
  <c r="H112" i="134" s="1"/>
  <c r="D111" i="134"/>
  <c r="D112" i="134" s="1"/>
  <c r="AL105" i="134"/>
  <c r="AL106" i="134" s="1"/>
  <c r="S111" i="134"/>
  <c r="S112" i="134" s="1"/>
  <c r="Y87" i="134"/>
  <c r="Y88" i="134" s="1"/>
  <c r="AB67" i="133" s="1"/>
  <c r="AB68" i="133" s="1"/>
  <c r="W105" i="134"/>
  <c r="W106" i="134" s="1"/>
  <c r="AG111" i="134"/>
  <c r="AG112" i="134" s="1"/>
  <c r="T105" i="134"/>
  <c r="T106" i="134" s="1"/>
  <c r="E87" i="134"/>
  <c r="E88" i="134" s="1"/>
  <c r="H67" i="133" s="1"/>
  <c r="H68" i="133" s="1"/>
  <c r="AM87" i="134"/>
  <c r="AM88" i="134" s="1"/>
  <c r="D105" i="134"/>
  <c r="D106" i="134" s="1"/>
  <c r="S87" i="134"/>
  <c r="S88" i="134" s="1"/>
  <c r="V67" i="133" s="1"/>
  <c r="V68" i="133" s="1"/>
  <c r="K105" i="134"/>
  <c r="K106" i="134" s="1"/>
  <c r="P111" i="134"/>
  <c r="P112" i="134" s="1"/>
  <c r="E111" i="134"/>
  <c r="E112" i="134" s="1"/>
  <c r="AH87" i="134"/>
  <c r="AH88" i="134" s="1"/>
  <c r="J111" i="134"/>
  <c r="J112" i="134" s="1"/>
  <c r="AK87" i="134"/>
  <c r="AK88" i="134" s="1"/>
  <c r="AA111" i="134"/>
  <c r="AA112" i="134" s="1"/>
  <c r="W87" i="134"/>
  <c r="W88" i="134" s="1"/>
  <c r="Z67" i="133" s="1"/>
  <c r="Z68" i="133" s="1"/>
  <c r="U87" i="134"/>
  <c r="U88" i="134" s="1"/>
  <c r="X67" i="133" s="1"/>
  <c r="X68" i="133" s="1"/>
  <c r="AG87" i="134"/>
  <c r="AG88" i="134" s="1"/>
  <c r="M111" i="134"/>
  <c r="M112" i="134" s="1"/>
  <c r="Q87" i="134"/>
  <c r="Q88" i="134" s="1"/>
  <c r="T67" i="133" s="1"/>
  <c r="T68" i="133" s="1"/>
  <c r="AF111" i="134"/>
  <c r="AF112" i="134" s="1"/>
  <c r="I87" i="134"/>
  <c r="I88" i="134" s="1"/>
  <c r="L67" i="133" s="1"/>
  <c r="L68" i="133" s="1"/>
  <c r="H87" i="134"/>
  <c r="H88" i="134" s="1"/>
  <c r="K67" i="133" s="1"/>
  <c r="K68" i="133" s="1"/>
  <c r="R111" i="134"/>
  <c r="R112" i="134" s="1"/>
  <c r="AK105" i="134"/>
  <c r="AK106" i="134" s="1"/>
  <c r="AM111" i="134"/>
  <c r="AM112" i="134" s="1"/>
  <c r="AE111" i="134"/>
  <c r="AE112" i="134" s="1"/>
  <c r="X111" i="134"/>
  <c r="X112" i="134" s="1"/>
  <c r="AC105" i="134"/>
  <c r="AC106" i="134" s="1"/>
  <c r="Z105" i="134"/>
  <c r="Z106" i="134" s="1"/>
  <c r="F105" i="134"/>
  <c r="F106" i="134" s="1"/>
  <c r="Z87" i="134"/>
  <c r="Z88" i="134" s="1"/>
  <c r="AC67" i="133" s="1"/>
  <c r="AC68" i="133" s="1"/>
  <c r="F111" i="134"/>
  <c r="F112" i="134" s="1"/>
  <c r="AI111" i="134"/>
  <c r="AI112" i="134" s="1"/>
  <c r="AA87" i="134"/>
  <c r="AA88" i="134" s="1"/>
  <c r="AI105" i="134"/>
  <c r="AI106" i="134" s="1"/>
  <c r="J87" i="134"/>
  <c r="J88" i="134" s="1"/>
  <c r="M67" i="133" s="1"/>
  <c r="M68" i="133" s="1"/>
  <c r="D87" i="134"/>
  <c r="Z111" i="134"/>
  <c r="Z112" i="134" s="1"/>
  <c r="P105" i="134"/>
  <c r="P106" i="134" s="1"/>
  <c r="AE87" i="134"/>
  <c r="AE88" i="134" s="1"/>
  <c r="X87" i="134"/>
  <c r="X88" i="134" s="1"/>
  <c r="AA67" i="133" s="1"/>
  <c r="AA68" i="133" s="1"/>
  <c r="AK111" i="134"/>
  <c r="AK112" i="134" s="1"/>
  <c r="T111" i="134"/>
  <c r="T112" i="134" s="1"/>
  <c r="E105" i="134"/>
  <c r="E106" i="134" s="1"/>
  <c r="AB87" i="134"/>
  <c r="AB88" i="134" s="1"/>
  <c r="O87" i="134"/>
  <c r="O88" i="134" s="1"/>
  <c r="R67" i="133" s="1"/>
  <c r="R68" i="133" s="1"/>
  <c r="K111" i="134"/>
  <c r="K112" i="134" s="1"/>
  <c r="N111" i="134"/>
  <c r="N112" i="134" s="1"/>
  <c r="R105" i="134"/>
  <c r="R106" i="134" s="1"/>
  <c r="G105" i="134"/>
  <c r="G106" i="134" s="1"/>
  <c r="AF105" i="134"/>
  <c r="AF106" i="134" s="1"/>
  <c r="AJ111" i="134"/>
  <c r="AJ112" i="134" s="1"/>
  <c r="J105" i="134"/>
  <c r="J106" i="134" s="1"/>
  <c r="AE105" i="134"/>
  <c r="AE106" i="134" s="1"/>
  <c r="L111" i="134"/>
  <c r="L112" i="134" s="1"/>
  <c r="M87" i="134"/>
  <c r="M88" i="134" s="1"/>
  <c r="P67" i="133" s="1"/>
  <c r="P68" i="133" s="1"/>
  <c r="AJ87" i="134"/>
  <c r="AJ88" i="134" s="1"/>
  <c r="S105" i="134"/>
  <c r="S106" i="134" s="1"/>
  <c r="M105" i="134"/>
  <c r="M106" i="134" s="1"/>
  <c r="AA105" i="134"/>
  <c r="AA106" i="134" s="1"/>
  <c r="AG105" i="134"/>
  <c r="AG106" i="134" s="1"/>
  <c r="T87" i="134"/>
  <c r="T88" i="134" s="1"/>
  <c r="W67" i="133" s="1"/>
  <c r="W68" i="133" s="1"/>
  <c r="G111" i="134"/>
  <c r="G112" i="134" s="1"/>
  <c r="L87" i="134"/>
  <c r="L88" i="134" s="1"/>
  <c r="O67" i="133" s="1"/>
  <c r="O68" i="133" s="1"/>
  <c r="V105" i="134"/>
  <c r="V106" i="134" s="1"/>
  <c r="AL111" i="134"/>
  <c r="AL112" i="134" s="1"/>
  <c r="AH111" i="134"/>
  <c r="AH112" i="134" s="1"/>
  <c r="Q98" i="132"/>
  <c r="P46" i="131" s="1"/>
  <c r="D137" i="142" s="1"/>
  <c r="O46" i="131"/>
  <c r="F317" i="133" s="1"/>
  <c r="G5" i="140"/>
  <c r="I10" i="133"/>
  <c r="H4" i="136"/>
  <c r="M9" i="135"/>
  <c r="G4" i="137"/>
  <c r="G10" i="136"/>
  <c r="G30" i="136" s="1"/>
  <c r="H4" i="130"/>
  <c r="M3" i="135"/>
  <c r="J3" i="133"/>
  <c r="G67" i="145" l="1"/>
  <c r="G24" i="145" s="1"/>
  <c r="G74" i="137"/>
  <c r="G17" i="144"/>
  <c r="G19" i="144"/>
  <c r="G12" i="144"/>
  <c r="G16" i="144"/>
  <c r="E24" i="144"/>
  <c r="F20" i="144"/>
  <c r="F23" i="144" s="1"/>
  <c r="D24" i="134"/>
  <c r="CI297" i="133"/>
  <c r="I182" i="133"/>
  <c r="I229" i="133" s="1"/>
  <c r="I276" i="133" s="1"/>
  <c r="S26" i="133"/>
  <c r="S233" i="133" s="1"/>
  <c r="Q26" i="133"/>
  <c r="Q233" i="133" s="1"/>
  <c r="O55" i="142" s="1"/>
  <c r="AE39" i="152"/>
  <c r="AE44" i="152" s="1"/>
  <c r="V26" i="133"/>
  <c r="V233" i="133" s="1"/>
  <c r="N26" i="133"/>
  <c r="N27" i="133" s="1"/>
  <c r="N139" i="133" s="1"/>
  <c r="D99" i="134"/>
  <c r="D100" i="134" s="1"/>
  <c r="D93" i="134"/>
  <c r="D94" i="134" s="1"/>
  <c r="G77" i="133" s="1"/>
  <c r="G78" i="133" s="1"/>
  <c r="D69" i="134"/>
  <c r="D70" i="134" s="1"/>
  <c r="G82" i="133" s="1"/>
  <c r="G83" i="133" s="1"/>
  <c r="H69" i="134"/>
  <c r="H70" i="134" s="1"/>
  <c r="D88" i="134"/>
  <c r="G67" i="133" s="1"/>
  <c r="R26" i="133"/>
  <c r="R233" i="133" s="1"/>
  <c r="P55" i="142" s="1"/>
  <c r="T26" i="133"/>
  <c r="T27" i="133" s="1"/>
  <c r="T139" i="133" s="1"/>
  <c r="K26" i="133"/>
  <c r="K27" i="133" s="1"/>
  <c r="K139" i="133" s="1"/>
  <c r="G26" i="133"/>
  <c r="G27" i="133" s="1"/>
  <c r="AC26" i="133"/>
  <c r="AC27" i="133" s="1"/>
  <c r="AC139" i="133" s="1"/>
  <c r="AL55" i="142"/>
  <c r="AA26" i="133"/>
  <c r="AA233" i="133" s="1"/>
  <c r="Y55" i="142" s="1"/>
  <c r="Z26" i="133"/>
  <c r="Z27" i="133" s="1"/>
  <c r="Z139" i="133" s="1"/>
  <c r="U26" i="133"/>
  <c r="U233" i="133" s="1"/>
  <c r="S55" i="142" s="1"/>
  <c r="X26" i="133"/>
  <c r="X27" i="133" s="1"/>
  <c r="X139" i="133" s="1"/>
  <c r="AG55" i="142"/>
  <c r="J26" i="133"/>
  <c r="J27" i="133" s="1"/>
  <c r="J139" i="133" s="1"/>
  <c r="O26" i="133"/>
  <c r="O27" i="133" s="1"/>
  <c r="O139" i="133" s="1"/>
  <c r="AM55" i="142"/>
  <c r="AN55" i="142"/>
  <c r="Y26" i="133"/>
  <c r="Y233" i="133" s="1"/>
  <c r="M26" i="133"/>
  <c r="M27" i="133" s="1"/>
  <c r="M139" i="133" s="1"/>
  <c r="AB26" i="133"/>
  <c r="AB27" i="133" s="1"/>
  <c r="AB139" i="133" s="1"/>
  <c r="G48" i="134"/>
  <c r="G49" i="134" s="1"/>
  <c r="G31" i="133" s="1"/>
  <c r="P26" i="133"/>
  <c r="P233" i="133" s="1"/>
  <c r="N55" i="142" s="1"/>
  <c r="I26" i="133"/>
  <c r="I27" i="133" s="1"/>
  <c r="I139" i="133" s="1"/>
  <c r="AJ55" i="142"/>
  <c r="W26" i="133"/>
  <c r="W27" i="133" s="1"/>
  <c r="W139" i="133" s="1"/>
  <c r="AO55" i="142"/>
  <c r="L26" i="133"/>
  <c r="L27" i="133" s="1"/>
  <c r="L139" i="133" s="1"/>
  <c r="K6" i="178"/>
  <c r="L3" i="176"/>
  <c r="L40" i="176" s="1"/>
  <c r="L118" i="176" s="1"/>
  <c r="L196" i="176" s="1"/>
  <c r="L231" i="176" s="1"/>
  <c r="L266" i="176" s="1"/>
  <c r="L301" i="176" s="1"/>
  <c r="L336" i="176" s="1"/>
  <c r="L371" i="176" s="1"/>
  <c r="L406" i="176" s="1"/>
  <c r="L441" i="176" s="1"/>
  <c r="L476" i="176" s="1"/>
  <c r="L511" i="176" s="1"/>
  <c r="L546" i="176" s="1"/>
  <c r="L581" i="176" s="1"/>
  <c r="AF5" i="179"/>
  <c r="AI3" i="176"/>
  <c r="AI40" i="176" s="1"/>
  <c r="AI118" i="176" s="1"/>
  <c r="AI196" i="176" s="1"/>
  <c r="AI231" i="176" s="1"/>
  <c r="AI266" i="176" s="1"/>
  <c r="AI301" i="176" s="1"/>
  <c r="AI336" i="176" s="1"/>
  <c r="AI371" i="176" s="1"/>
  <c r="AI406" i="176" s="1"/>
  <c r="AI441" i="176" s="1"/>
  <c r="AI476" i="176" s="1"/>
  <c r="AI511" i="176" s="1"/>
  <c r="AI546" i="176" s="1"/>
  <c r="AI581" i="176" s="1"/>
  <c r="H10" i="146"/>
  <c r="H30" i="146" s="1"/>
  <c r="I3" i="180"/>
  <c r="I5" i="179"/>
  <c r="H93" i="134"/>
  <c r="I48" i="134"/>
  <c r="I49" i="134" s="1"/>
  <c r="V45" i="133" s="1"/>
  <c r="V237" i="133" s="1"/>
  <c r="T59" i="142" s="1"/>
  <c r="F282" i="133"/>
  <c r="E48" i="134"/>
  <c r="E49" i="134" s="1"/>
  <c r="S35" i="133" s="1"/>
  <c r="S36" i="133" s="1"/>
  <c r="S141" i="133" s="1"/>
  <c r="F283" i="133"/>
  <c r="CI283" i="133" s="1"/>
  <c r="F284" i="133"/>
  <c r="CI284" i="133" s="1"/>
  <c r="I6" i="130"/>
  <c r="L3" i="173"/>
  <c r="L40" i="173" s="1"/>
  <c r="L118" i="173" s="1"/>
  <c r="L196" i="173" s="1"/>
  <c r="L224" i="173" s="1"/>
  <c r="L252" i="173" s="1"/>
  <c r="L280" i="173" s="1"/>
  <c r="L308" i="173" s="1"/>
  <c r="L336" i="173" s="1"/>
  <c r="L364" i="173" s="1"/>
  <c r="L392" i="173" s="1"/>
  <c r="L420" i="173" s="1"/>
  <c r="L448" i="173" s="1"/>
  <c r="L476" i="173" s="1"/>
  <c r="L504" i="173" s="1"/>
  <c r="G191" i="133"/>
  <c r="AE58" i="142"/>
  <c r="M40" i="133"/>
  <c r="M41" i="133" s="1"/>
  <c r="M142" i="133" s="1"/>
  <c r="AA40" i="133"/>
  <c r="AA41" i="133" s="1"/>
  <c r="AA142" i="133" s="1"/>
  <c r="P40" i="133"/>
  <c r="P236" i="133" s="1"/>
  <c r="N58" i="142" s="1"/>
  <c r="V40" i="133"/>
  <c r="V41" i="133" s="1"/>
  <c r="V142" i="133" s="1"/>
  <c r="AF58" i="142"/>
  <c r="G40" i="133"/>
  <c r="G41" i="133" s="1"/>
  <c r="Y93" i="134"/>
  <c r="S99" i="134"/>
  <c r="S100" i="134" s="1"/>
  <c r="AF99" i="134"/>
  <c r="AF100" i="134" s="1"/>
  <c r="AI99" i="134"/>
  <c r="AI100" i="134" s="1"/>
  <c r="L99" i="134"/>
  <c r="L100" i="134" s="1"/>
  <c r="X99" i="134"/>
  <c r="X100" i="134" s="1"/>
  <c r="AJ99" i="134"/>
  <c r="AJ100" i="134" s="1"/>
  <c r="F99" i="134"/>
  <c r="F100" i="134" s="1"/>
  <c r="AK99" i="134"/>
  <c r="AK100" i="134" s="1"/>
  <c r="Y99" i="134"/>
  <c r="Y100" i="134" s="1"/>
  <c r="J93" i="134"/>
  <c r="O40" i="133"/>
  <c r="O41" i="133" s="1"/>
  <c r="O142" i="133" s="1"/>
  <c r="O99" i="134"/>
  <c r="O100" i="134" s="1"/>
  <c r="AD58" i="142"/>
  <c r="T93" i="134"/>
  <c r="K40" i="133"/>
  <c r="K41" i="133" s="1"/>
  <c r="K142" i="133" s="1"/>
  <c r="AH99" i="134"/>
  <c r="AH100" i="134" s="1"/>
  <c r="AM99" i="134"/>
  <c r="AM100" i="134" s="1"/>
  <c r="G99" i="134"/>
  <c r="G100" i="134" s="1"/>
  <c r="AB58" i="142"/>
  <c r="Q93" i="134"/>
  <c r="AB93" i="134"/>
  <c r="I40" i="133"/>
  <c r="I41" i="133" s="1"/>
  <c r="I142" i="133" s="1"/>
  <c r="AC99" i="134"/>
  <c r="AC100" i="134" s="1"/>
  <c r="F93" i="134"/>
  <c r="AC93" i="134"/>
  <c r="S93" i="134"/>
  <c r="U93" i="134"/>
  <c r="R93" i="134"/>
  <c r="P99" i="134"/>
  <c r="P100" i="134" s="1"/>
  <c r="M99" i="134"/>
  <c r="M100" i="134" s="1"/>
  <c r="E93" i="134"/>
  <c r="AO58" i="142"/>
  <c r="S40" i="133"/>
  <c r="S41" i="133" s="1"/>
  <c r="S142" i="133" s="1"/>
  <c r="H40" i="133"/>
  <c r="H236" i="133" s="1"/>
  <c r="F58" i="142" s="1"/>
  <c r="AC40" i="133"/>
  <c r="AC236" i="133" s="1"/>
  <c r="AA58" i="142" s="1"/>
  <c r="X40" i="133"/>
  <c r="X41" i="133" s="1"/>
  <c r="X142" i="133" s="1"/>
  <c r="U40" i="133"/>
  <c r="U41" i="133" s="1"/>
  <c r="U142" i="133" s="1"/>
  <c r="Y40" i="133"/>
  <c r="Y41" i="133" s="1"/>
  <c r="Y142" i="133" s="1"/>
  <c r="AE93" i="134"/>
  <c r="N40" i="133"/>
  <c r="N41" i="133" s="1"/>
  <c r="N142" i="133" s="1"/>
  <c r="L40" i="133"/>
  <c r="L41" i="133" s="1"/>
  <c r="L142" i="133" s="1"/>
  <c r="J40" i="133"/>
  <c r="J41" i="133" s="1"/>
  <c r="J142" i="133" s="1"/>
  <c r="R40" i="133"/>
  <c r="R236" i="133" s="1"/>
  <c r="V93" i="134"/>
  <c r="Z40" i="133"/>
  <c r="Z236" i="133" s="1"/>
  <c r="X58" i="142" s="1"/>
  <c r="R99" i="134"/>
  <c r="R100" i="134" s="1"/>
  <c r="W40" i="133"/>
  <c r="W236" i="133" s="1"/>
  <c r="U58" i="142" s="1"/>
  <c r="M93" i="134"/>
  <c r="T40" i="133"/>
  <c r="T236" i="133" s="1"/>
  <c r="R58" i="142" s="1"/>
  <c r="K93" i="134"/>
  <c r="Q40" i="133"/>
  <c r="Q236" i="133" s="1"/>
  <c r="O58" i="142" s="1"/>
  <c r="AO19" i="142"/>
  <c r="AB40" i="133"/>
  <c r="AB41" i="133" s="1"/>
  <c r="AB142" i="133" s="1"/>
  <c r="L93" i="134"/>
  <c r="W99" i="134"/>
  <c r="W100" i="134" s="1"/>
  <c r="AK93" i="134"/>
  <c r="P93" i="134"/>
  <c r="J99" i="134"/>
  <c r="J100" i="134" s="1"/>
  <c r="H99" i="134"/>
  <c r="H100" i="134" s="1"/>
  <c r="X93" i="134"/>
  <c r="AM93" i="134"/>
  <c r="AG99" i="134"/>
  <c r="AG100" i="134" s="1"/>
  <c r="AA99" i="134"/>
  <c r="AA100" i="134" s="1"/>
  <c r="AL93" i="134"/>
  <c r="O93" i="134"/>
  <c r="V99" i="134"/>
  <c r="V100" i="134" s="1"/>
  <c r="AL99" i="134"/>
  <c r="AL100" i="134" s="1"/>
  <c r="AF93" i="134"/>
  <c r="Z93" i="134"/>
  <c r="Q99" i="134"/>
  <c r="Q100" i="134" s="1"/>
  <c r="K99" i="134"/>
  <c r="K100" i="134" s="1"/>
  <c r="Z99" i="134"/>
  <c r="Z100" i="134" s="1"/>
  <c r="AE99" i="134"/>
  <c r="AE100" i="134" s="1"/>
  <c r="AA93" i="134"/>
  <c r="U99" i="134"/>
  <c r="U100" i="134" s="1"/>
  <c r="W93" i="134"/>
  <c r="I99" i="134"/>
  <c r="I100" i="134" s="1"/>
  <c r="F290" i="133"/>
  <c r="CI290" i="133" s="1"/>
  <c r="AB99" i="134"/>
  <c r="AB100" i="134" s="1"/>
  <c r="E99" i="134"/>
  <c r="E100" i="134" s="1"/>
  <c r="K2" i="167"/>
  <c r="K2" i="154"/>
  <c r="AH2" i="167"/>
  <c r="AH93" i="134"/>
  <c r="AD99" i="134"/>
  <c r="AD100" i="134" s="1"/>
  <c r="AJ93" i="134"/>
  <c r="AI93" i="134"/>
  <c r="AG93" i="134"/>
  <c r="I93" i="134"/>
  <c r="N93" i="134"/>
  <c r="G93" i="134"/>
  <c r="N99" i="134"/>
  <c r="N100" i="134" s="1"/>
  <c r="AD93" i="134"/>
  <c r="T99" i="134"/>
  <c r="T100" i="134" s="1"/>
  <c r="N3" i="166"/>
  <c r="N9" i="166"/>
  <c r="AK9" i="166"/>
  <c r="AK3" i="166"/>
  <c r="I3" i="161"/>
  <c r="I4" i="149"/>
  <c r="I10" i="149" s="1"/>
  <c r="I24" i="149" s="1"/>
  <c r="I4" i="146"/>
  <c r="AF3" i="161"/>
  <c r="G11" i="137"/>
  <c r="G57" i="137" s="1"/>
  <c r="AE5" i="142"/>
  <c r="AE51" i="142" s="1"/>
  <c r="AE96" i="142" s="1"/>
  <c r="AE141" i="142" s="1"/>
  <c r="AE186" i="142" s="1"/>
  <c r="CI276" i="133"/>
  <c r="H5" i="142"/>
  <c r="H51" i="142" s="1"/>
  <c r="H96" i="142" s="1"/>
  <c r="H141" i="142" s="1"/>
  <c r="H186" i="142" s="1"/>
  <c r="J135" i="133"/>
  <c r="I3" i="153"/>
  <c r="J18" i="152"/>
  <c r="AG18" i="152"/>
  <c r="W20" i="133"/>
  <c r="X20" i="133"/>
  <c r="Y20" i="133"/>
  <c r="Z20" i="133"/>
  <c r="AA20" i="133"/>
  <c r="Q20" i="133"/>
  <c r="L20" i="133"/>
  <c r="N20" i="133"/>
  <c r="H20" i="133"/>
  <c r="I20" i="133"/>
  <c r="M20" i="133"/>
  <c r="P20" i="133"/>
  <c r="AB20" i="133"/>
  <c r="AC20" i="133"/>
  <c r="G20" i="133"/>
  <c r="J20" i="133"/>
  <c r="K20" i="133"/>
  <c r="S20" i="133"/>
  <c r="T20" i="133"/>
  <c r="U20" i="133"/>
  <c r="V20" i="133"/>
  <c r="O20" i="133"/>
  <c r="R20" i="133"/>
  <c r="AE22" i="152"/>
  <c r="AE26" i="152" s="1"/>
  <c r="H191" i="133"/>
  <c r="V68" i="142"/>
  <c r="M68" i="142"/>
  <c r="T68" i="142"/>
  <c r="AK68" i="142"/>
  <c r="J68" i="142"/>
  <c r="AM68" i="142"/>
  <c r="W68" i="142"/>
  <c r="AG68" i="142"/>
  <c r="Z68" i="142"/>
  <c r="U68" i="142"/>
  <c r="AN68" i="142"/>
  <c r="AC68" i="142"/>
  <c r="AD68" i="142"/>
  <c r="AH68" i="142"/>
  <c r="G68" i="142"/>
  <c r="H68" i="142"/>
  <c r="Y68" i="142"/>
  <c r="N68" i="142"/>
  <c r="AI68" i="142"/>
  <c r="AL68" i="142"/>
  <c r="X68" i="142"/>
  <c r="F68" i="142"/>
  <c r="S68" i="142"/>
  <c r="L68" i="142"/>
  <c r="R68" i="142"/>
  <c r="AA68" i="142"/>
  <c r="AO68" i="142"/>
  <c r="I68" i="142"/>
  <c r="E68" i="142"/>
  <c r="AJ68" i="142"/>
  <c r="K68" i="142"/>
  <c r="AF68" i="142"/>
  <c r="AE68" i="142"/>
  <c r="Q68" i="142"/>
  <c r="AB68" i="142"/>
  <c r="P68" i="142"/>
  <c r="O68" i="142"/>
  <c r="AM135" i="142"/>
  <c r="AO135" i="142"/>
  <c r="X135" i="142"/>
  <c r="F135" i="142"/>
  <c r="W135" i="142"/>
  <c r="P135" i="142"/>
  <c r="U135" i="142"/>
  <c r="AE135" i="142"/>
  <c r="V135" i="142"/>
  <c r="J135" i="142"/>
  <c r="K135" i="142"/>
  <c r="AN135" i="142"/>
  <c r="AJ135" i="142"/>
  <c r="L135" i="142"/>
  <c r="AK135" i="142"/>
  <c r="S135" i="142"/>
  <c r="T135" i="142"/>
  <c r="AL135" i="142"/>
  <c r="Y135" i="142"/>
  <c r="AA135" i="142"/>
  <c r="AD135" i="142"/>
  <c r="G135" i="142"/>
  <c r="Z135" i="142"/>
  <c r="AG135" i="142"/>
  <c r="I135" i="142"/>
  <c r="O135" i="142"/>
  <c r="R135" i="142"/>
  <c r="AB135" i="142"/>
  <c r="AF135" i="142"/>
  <c r="Q135" i="142"/>
  <c r="M135" i="142"/>
  <c r="AI135" i="142"/>
  <c r="H135" i="142"/>
  <c r="AH135" i="142"/>
  <c r="AC135" i="142"/>
  <c r="E135" i="142"/>
  <c r="N135" i="142"/>
  <c r="AI92" i="142"/>
  <c r="AJ92" i="142"/>
  <c r="AG92" i="142"/>
  <c r="AH92" i="142"/>
  <c r="U92" i="142"/>
  <c r="AF92" i="142"/>
  <c r="L92" i="142"/>
  <c r="M92" i="142"/>
  <c r="O92" i="142"/>
  <c r="AE92" i="142"/>
  <c r="AO92" i="142"/>
  <c r="AD92" i="142"/>
  <c r="P92" i="142"/>
  <c r="AL92" i="142"/>
  <c r="F92" i="142"/>
  <c r="H92" i="142"/>
  <c r="I92" i="142"/>
  <c r="Q92" i="142"/>
  <c r="S92" i="142"/>
  <c r="R92" i="142"/>
  <c r="AK92" i="142"/>
  <c r="AM92" i="142"/>
  <c r="K92" i="142"/>
  <c r="Z92" i="142"/>
  <c r="E92" i="142"/>
  <c r="G92" i="142"/>
  <c r="AN92" i="142"/>
  <c r="V92" i="142"/>
  <c r="Y92" i="142"/>
  <c r="W92" i="142"/>
  <c r="J92" i="142"/>
  <c r="AB92" i="142"/>
  <c r="T92" i="142"/>
  <c r="AA92" i="142"/>
  <c r="N92" i="142"/>
  <c r="AC92" i="142"/>
  <c r="X92" i="142"/>
  <c r="V76" i="142"/>
  <c r="AM76" i="142"/>
  <c r="O76" i="142"/>
  <c r="Q76" i="142"/>
  <c r="G76" i="142"/>
  <c r="P76" i="142"/>
  <c r="Y76" i="142"/>
  <c r="AB76" i="142"/>
  <c r="AE76" i="142"/>
  <c r="AF76" i="142"/>
  <c r="AG76" i="142"/>
  <c r="U76" i="142"/>
  <c r="X76" i="142"/>
  <c r="R76" i="142"/>
  <c r="N76" i="142"/>
  <c r="J76" i="142"/>
  <c r="L76" i="142"/>
  <c r="AN76" i="142"/>
  <c r="AD76" i="142"/>
  <c r="Z76" i="142"/>
  <c r="F76" i="142"/>
  <c r="AC76" i="142"/>
  <c r="K76" i="142"/>
  <c r="AL76" i="142"/>
  <c r="T76" i="142"/>
  <c r="E76" i="142"/>
  <c r="AK76" i="142"/>
  <c r="AO76" i="142"/>
  <c r="I76" i="142"/>
  <c r="S76" i="142"/>
  <c r="AJ76" i="142"/>
  <c r="AA76" i="142"/>
  <c r="AH76" i="142"/>
  <c r="AI76" i="142"/>
  <c r="W76" i="142"/>
  <c r="H76" i="142"/>
  <c r="M76" i="142"/>
  <c r="AN105" i="142"/>
  <c r="AN150" i="142"/>
  <c r="AF72" i="142"/>
  <c r="AG72" i="142"/>
  <c r="AN72" i="142"/>
  <c r="AD72" i="142"/>
  <c r="V72" i="142"/>
  <c r="Q72" i="142"/>
  <c r="AM72" i="142"/>
  <c r="AH72" i="142"/>
  <c r="P72" i="142"/>
  <c r="R72" i="142"/>
  <c r="S72" i="142"/>
  <c r="H72" i="142"/>
  <c r="AK72" i="142"/>
  <c r="U72" i="142"/>
  <c r="I72" i="142"/>
  <c r="W72" i="142"/>
  <c r="E72" i="142"/>
  <c r="AI72" i="142"/>
  <c r="AB72" i="142"/>
  <c r="AO72" i="142"/>
  <c r="G72" i="142"/>
  <c r="Y72" i="142"/>
  <c r="AC72" i="142"/>
  <c r="J72" i="142"/>
  <c r="X72" i="142"/>
  <c r="F72" i="142"/>
  <c r="M72" i="142"/>
  <c r="AJ72" i="142"/>
  <c r="Z72" i="142"/>
  <c r="T72" i="142"/>
  <c r="AA72" i="142"/>
  <c r="AL72" i="142"/>
  <c r="O72" i="142"/>
  <c r="AE72" i="142"/>
  <c r="L72" i="142"/>
  <c r="N72" i="142"/>
  <c r="K72" i="142"/>
  <c r="Z88" i="142"/>
  <c r="AO88" i="142"/>
  <c r="I88" i="142"/>
  <c r="V88" i="142"/>
  <c r="K88" i="142"/>
  <c r="AK88" i="142"/>
  <c r="X88" i="142"/>
  <c r="M88" i="142"/>
  <c r="T88" i="142"/>
  <c r="AL88" i="142"/>
  <c r="R88" i="142"/>
  <c r="J88" i="142"/>
  <c r="G88" i="142"/>
  <c r="F88" i="142"/>
  <c r="W88" i="142"/>
  <c r="Q88" i="142"/>
  <c r="P88" i="142"/>
  <c r="AJ88" i="142"/>
  <c r="H88" i="142"/>
  <c r="N88" i="142"/>
  <c r="AC88" i="142"/>
  <c r="Y88" i="142"/>
  <c r="U88" i="142"/>
  <c r="AN88" i="142"/>
  <c r="AB88" i="142"/>
  <c r="AM88" i="142"/>
  <c r="L88" i="142"/>
  <c r="AE88" i="142"/>
  <c r="AD88" i="142"/>
  <c r="AF88" i="142"/>
  <c r="AI88" i="142"/>
  <c r="O88" i="142"/>
  <c r="AH88" i="142"/>
  <c r="E88" i="142"/>
  <c r="S88" i="142"/>
  <c r="AG88" i="142"/>
  <c r="AA88" i="142"/>
  <c r="AO65" i="142"/>
  <c r="Z90" i="142"/>
  <c r="M90" i="142"/>
  <c r="U90" i="142"/>
  <c r="O90" i="142"/>
  <c r="AH90" i="142"/>
  <c r="N90" i="142"/>
  <c r="AC90" i="142"/>
  <c r="AI90" i="142"/>
  <c r="G90" i="142"/>
  <c r="AE90" i="142"/>
  <c r="J90" i="142"/>
  <c r="H90" i="142"/>
  <c r="I90" i="142"/>
  <c r="V90" i="142"/>
  <c r="W90" i="142"/>
  <c r="X90" i="142"/>
  <c r="AB90" i="142"/>
  <c r="Y90" i="142"/>
  <c r="E90" i="142"/>
  <c r="P90" i="142"/>
  <c r="F90" i="142"/>
  <c r="S90" i="142"/>
  <c r="Q90" i="142"/>
  <c r="AG90" i="142"/>
  <c r="AJ90" i="142"/>
  <c r="R90" i="142"/>
  <c r="AK90" i="142"/>
  <c r="T90" i="142"/>
  <c r="AL90" i="142"/>
  <c r="AM90" i="142"/>
  <c r="AN90" i="142"/>
  <c r="AO90" i="142"/>
  <c r="L90" i="142"/>
  <c r="AA90" i="142"/>
  <c r="AF90" i="142"/>
  <c r="K90" i="142"/>
  <c r="AD90" i="142"/>
  <c r="N70" i="142"/>
  <c r="W70" i="142"/>
  <c r="I70" i="142"/>
  <c r="P70" i="142"/>
  <c r="X70" i="142"/>
  <c r="T70" i="142"/>
  <c r="V70" i="142"/>
  <c r="AA70" i="142"/>
  <c r="M70" i="142"/>
  <c r="AJ70" i="142"/>
  <c r="AF70" i="142"/>
  <c r="AH70" i="142"/>
  <c r="AM70" i="142"/>
  <c r="AG70" i="142"/>
  <c r="F70" i="142"/>
  <c r="L70" i="142"/>
  <c r="AN70" i="142"/>
  <c r="AL70" i="142"/>
  <c r="AB70" i="142"/>
  <c r="AI70" i="142"/>
  <c r="Z70" i="142"/>
  <c r="Q70" i="142"/>
  <c r="E70" i="142"/>
  <c r="S70" i="142"/>
  <c r="U70" i="142"/>
  <c r="J70" i="142"/>
  <c r="AD70" i="142"/>
  <c r="AE70" i="142"/>
  <c r="H70" i="142"/>
  <c r="AO70" i="142"/>
  <c r="K70" i="142"/>
  <c r="AK70" i="142"/>
  <c r="G70" i="142"/>
  <c r="AC70" i="142"/>
  <c r="O70" i="142"/>
  <c r="Y70" i="142"/>
  <c r="R70" i="142"/>
  <c r="U82" i="142"/>
  <c r="AG82" i="142"/>
  <c r="AJ82" i="142"/>
  <c r="I82" i="142"/>
  <c r="W82" i="142"/>
  <c r="K82" i="142"/>
  <c r="F82" i="142"/>
  <c r="G82" i="142"/>
  <c r="AM82" i="142"/>
  <c r="N82" i="142"/>
  <c r="E82" i="142"/>
  <c r="AL82" i="142"/>
  <c r="P82" i="142"/>
  <c r="V82" i="142"/>
  <c r="O82" i="142"/>
  <c r="AE82" i="142"/>
  <c r="Y82" i="142"/>
  <c r="Z82" i="142"/>
  <c r="L82" i="142"/>
  <c r="T82" i="142"/>
  <c r="S82" i="142"/>
  <c r="Q82" i="142"/>
  <c r="J82" i="142"/>
  <c r="AA82" i="142"/>
  <c r="AK82" i="142"/>
  <c r="AB82" i="142"/>
  <c r="AF82" i="142"/>
  <c r="AD82" i="142"/>
  <c r="AI82" i="142"/>
  <c r="R82" i="142"/>
  <c r="H82" i="142"/>
  <c r="X82" i="142"/>
  <c r="AN82" i="142"/>
  <c r="AO82" i="142"/>
  <c r="M82" i="142"/>
  <c r="AC82" i="142"/>
  <c r="AH82" i="142"/>
  <c r="AD84" i="142"/>
  <c r="AE84" i="142"/>
  <c r="AG84" i="142"/>
  <c r="J84" i="142"/>
  <c r="F84" i="142"/>
  <c r="M84" i="142"/>
  <c r="P84" i="142"/>
  <c r="G84" i="142"/>
  <c r="E84" i="142"/>
  <c r="I84" i="142"/>
  <c r="AO84" i="142"/>
  <c r="AM84" i="142"/>
  <c r="AJ84" i="142"/>
  <c r="U84" i="142"/>
  <c r="AN84" i="142"/>
  <c r="AA84" i="142"/>
  <c r="AB84" i="142"/>
  <c r="AI84" i="142"/>
  <c r="N84" i="142"/>
  <c r="O84" i="142"/>
  <c r="V84" i="142"/>
  <c r="AK84" i="142"/>
  <c r="W84" i="142"/>
  <c r="AC84" i="142"/>
  <c r="H84" i="142"/>
  <c r="L84" i="142"/>
  <c r="T84" i="142"/>
  <c r="X84" i="142"/>
  <c r="Z84" i="142"/>
  <c r="Q84" i="142"/>
  <c r="K84" i="142"/>
  <c r="AL84" i="142"/>
  <c r="S84" i="142"/>
  <c r="AF84" i="142"/>
  <c r="AH84" i="142"/>
  <c r="R84" i="142"/>
  <c r="Y84" i="142"/>
  <c r="I75" i="142"/>
  <c r="X75" i="142"/>
  <c r="E75" i="142"/>
  <c r="M75" i="142"/>
  <c r="O75" i="142"/>
  <c r="T75" i="142"/>
  <c r="U75" i="142"/>
  <c r="Y75" i="142"/>
  <c r="W75" i="142"/>
  <c r="H75" i="142"/>
  <c r="AK75" i="142"/>
  <c r="Z75" i="142"/>
  <c r="AA75" i="142"/>
  <c r="AH75" i="142"/>
  <c r="AE75" i="142"/>
  <c r="K75" i="142"/>
  <c r="AG75" i="142"/>
  <c r="AB75" i="142"/>
  <c r="N75" i="142"/>
  <c r="S75" i="142"/>
  <c r="G75" i="142"/>
  <c r="AC75" i="142"/>
  <c r="L75" i="142"/>
  <c r="AF75" i="142"/>
  <c r="AJ75" i="142"/>
  <c r="AI75" i="142"/>
  <c r="AL75" i="142"/>
  <c r="R75" i="142"/>
  <c r="F75" i="142"/>
  <c r="AN75" i="142"/>
  <c r="V75" i="142"/>
  <c r="AD75" i="142"/>
  <c r="AO75" i="142"/>
  <c r="P75" i="142"/>
  <c r="AM75" i="142"/>
  <c r="J75" i="142"/>
  <c r="Q75" i="142"/>
  <c r="AI85" i="142"/>
  <c r="AJ85" i="142"/>
  <c r="T85" i="142"/>
  <c r="AM85" i="142"/>
  <c r="W85" i="142"/>
  <c r="AK85" i="142"/>
  <c r="F85" i="142"/>
  <c r="AB85" i="142"/>
  <c r="J85" i="142"/>
  <c r="X85" i="142"/>
  <c r="Q85" i="142"/>
  <c r="Y85" i="142"/>
  <c r="O85" i="142"/>
  <c r="Z85" i="142"/>
  <c r="N85" i="142"/>
  <c r="AN85" i="142"/>
  <c r="AG85" i="142"/>
  <c r="I85" i="142"/>
  <c r="AD85" i="142"/>
  <c r="S85" i="142"/>
  <c r="M85" i="142"/>
  <c r="AC85" i="142"/>
  <c r="L85" i="142"/>
  <c r="AE85" i="142"/>
  <c r="P85" i="142"/>
  <c r="AF85" i="142"/>
  <c r="H85" i="142"/>
  <c r="R85" i="142"/>
  <c r="AA85" i="142"/>
  <c r="U85" i="142"/>
  <c r="V85" i="142"/>
  <c r="G85" i="142"/>
  <c r="AO85" i="142"/>
  <c r="AH85" i="142"/>
  <c r="AL85" i="142"/>
  <c r="E85" i="142"/>
  <c r="K85" i="142"/>
  <c r="R86" i="142"/>
  <c r="AM86" i="142"/>
  <c r="AB86" i="142"/>
  <c r="AI86" i="142"/>
  <c r="W86" i="142"/>
  <c r="U86" i="142"/>
  <c r="T86" i="142"/>
  <c r="E86" i="142"/>
  <c r="AL86" i="142"/>
  <c r="AF86" i="142"/>
  <c r="S86" i="142"/>
  <c r="AE86" i="142"/>
  <c r="F86" i="142"/>
  <c r="G86" i="142"/>
  <c r="AD86" i="142"/>
  <c r="Y86" i="142"/>
  <c r="O86" i="142"/>
  <c r="X86" i="142"/>
  <c r="H86" i="142"/>
  <c r="AJ86" i="142"/>
  <c r="K86" i="142"/>
  <c r="AK86" i="142"/>
  <c r="AC86" i="142"/>
  <c r="L86" i="142"/>
  <c r="Z86" i="142"/>
  <c r="I86" i="142"/>
  <c r="AN86" i="142"/>
  <c r="AO86" i="142"/>
  <c r="AG86" i="142"/>
  <c r="P86" i="142"/>
  <c r="Q86" i="142"/>
  <c r="J86" i="142"/>
  <c r="AA86" i="142"/>
  <c r="AH86" i="142"/>
  <c r="N86" i="142"/>
  <c r="V86" i="142"/>
  <c r="M86" i="142"/>
  <c r="F150" i="142"/>
  <c r="F105" i="142"/>
  <c r="AB80" i="142"/>
  <c r="Q80" i="142"/>
  <c r="AI80" i="142"/>
  <c r="AM80" i="142"/>
  <c r="Z80" i="142"/>
  <c r="G80" i="142"/>
  <c r="AJ80" i="142"/>
  <c r="AO80" i="142"/>
  <c r="I80" i="142"/>
  <c r="K80" i="142"/>
  <c r="AG80" i="142"/>
  <c r="AF80" i="142"/>
  <c r="H80" i="142"/>
  <c r="M80" i="142"/>
  <c r="AL80" i="142"/>
  <c r="W80" i="142"/>
  <c r="F80" i="142"/>
  <c r="AA80" i="142"/>
  <c r="AK80" i="142"/>
  <c r="V80" i="142"/>
  <c r="J80" i="142"/>
  <c r="AH80" i="142"/>
  <c r="AC80" i="142"/>
  <c r="P80" i="142"/>
  <c r="R80" i="142"/>
  <c r="O80" i="142"/>
  <c r="S80" i="142"/>
  <c r="AE80" i="142"/>
  <c r="N80" i="142"/>
  <c r="U80" i="142"/>
  <c r="T80" i="142"/>
  <c r="E80" i="142"/>
  <c r="Y80" i="142"/>
  <c r="L80" i="142"/>
  <c r="AD80" i="142"/>
  <c r="AN80" i="142"/>
  <c r="X80" i="142"/>
  <c r="Y78" i="142"/>
  <c r="O78" i="142"/>
  <c r="S78" i="142"/>
  <c r="AJ78" i="142"/>
  <c r="T78" i="142"/>
  <c r="L78" i="142"/>
  <c r="AH78" i="142"/>
  <c r="Q78" i="142"/>
  <c r="X78" i="142"/>
  <c r="N78" i="142"/>
  <c r="J78" i="142"/>
  <c r="E78" i="142"/>
  <c r="AL78" i="142"/>
  <c r="AM78" i="142"/>
  <c r="AA78" i="142"/>
  <c r="M78" i="142"/>
  <c r="F78" i="142"/>
  <c r="P78" i="142"/>
  <c r="Z78" i="142"/>
  <c r="AB78" i="142"/>
  <c r="AO78" i="142"/>
  <c r="AE78" i="142"/>
  <c r="K78" i="142"/>
  <c r="U78" i="142"/>
  <c r="G78" i="142"/>
  <c r="V78" i="142"/>
  <c r="H78" i="142"/>
  <c r="AD78" i="142"/>
  <c r="W78" i="142"/>
  <c r="R78" i="142"/>
  <c r="AI78" i="142"/>
  <c r="AK78" i="142"/>
  <c r="AC78" i="142"/>
  <c r="AN78" i="142"/>
  <c r="AG78" i="142"/>
  <c r="I78" i="142"/>
  <c r="AF78" i="142"/>
  <c r="AO18" i="142"/>
  <c r="D64" i="142"/>
  <c r="U83" i="142"/>
  <c r="AK83" i="142"/>
  <c r="G83" i="142"/>
  <c r="P83" i="142"/>
  <c r="AF83" i="142"/>
  <c r="S83" i="142"/>
  <c r="M83" i="142"/>
  <c r="L83" i="142"/>
  <c r="E83" i="142"/>
  <c r="AM83" i="142"/>
  <c r="T83" i="142"/>
  <c r="H83" i="142"/>
  <c r="I83" i="142"/>
  <c r="Q83" i="142"/>
  <c r="AE83" i="142"/>
  <c r="AN83" i="142"/>
  <c r="N83" i="142"/>
  <c r="O83" i="142"/>
  <c r="AD83" i="142"/>
  <c r="R83" i="142"/>
  <c r="F83" i="142"/>
  <c r="AA83" i="142"/>
  <c r="W83" i="142"/>
  <c r="Y83" i="142"/>
  <c r="J83" i="142"/>
  <c r="Z83" i="142"/>
  <c r="AL83" i="142"/>
  <c r="AJ83" i="142"/>
  <c r="AC83" i="142"/>
  <c r="X83" i="142"/>
  <c r="AH83" i="142"/>
  <c r="AB83" i="142"/>
  <c r="V83" i="142"/>
  <c r="AG83" i="142"/>
  <c r="K83" i="142"/>
  <c r="AI83" i="142"/>
  <c r="AO83" i="142"/>
  <c r="AD136" i="142"/>
  <c r="AA136" i="142"/>
  <c r="H136" i="142"/>
  <c r="S136" i="142"/>
  <c r="V136" i="142"/>
  <c r="R136" i="142"/>
  <c r="AB136" i="142"/>
  <c r="AC136" i="142"/>
  <c r="AK136" i="142"/>
  <c r="AL136" i="142"/>
  <c r="Q136" i="142"/>
  <c r="AN136" i="142"/>
  <c r="G136" i="142"/>
  <c r="F136" i="142"/>
  <c r="O136" i="142"/>
  <c r="AI136" i="142"/>
  <c r="AM136" i="142"/>
  <c r="AE136" i="142"/>
  <c r="AJ136" i="142"/>
  <c r="Z136" i="142"/>
  <c r="AG136" i="142"/>
  <c r="AH136" i="142"/>
  <c r="AO136" i="142"/>
  <c r="I136" i="142"/>
  <c r="K136" i="142"/>
  <c r="L136" i="142"/>
  <c r="J136" i="142"/>
  <c r="AF136" i="142"/>
  <c r="W136" i="142"/>
  <c r="E136" i="142"/>
  <c r="P136" i="142"/>
  <c r="U136" i="142"/>
  <c r="T136" i="142"/>
  <c r="Y136" i="142"/>
  <c r="N136" i="142"/>
  <c r="M136" i="142"/>
  <c r="X136" i="142"/>
  <c r="AO150" i="142"/>
  <c r="AO105" i="142"/>
  <c r="H79" i="142"/>
  <c r="P79" i="142"/>
  <c r="M79" i="142"/>
  <c r="AK79" i="142"/>
  <c r="AE79" i="142"/>
  <c r="O79" i="142"/>
  <c r="U79" i="142"/>
  <c r="V79" i="142"/>
  <c r="AH79" i="142"/>
  <c r="AA79" i="142"/>
  <c r="J79" i="142"/>
  <c r="Q79" i="142"/>
  <c r="L79" i="142"/>
  <c r="Z79" i="142"/>
  <c r="W79" i="142"/>
  <c r="T79" i="142"/>
  <c r="AG79" i="142"/>
  <c r="AC79" i="142"/>
  <c r="AM79" i="142"/>
  <c r="R79" i="142"/>
  <c r="N79" i="142"/>
  <c r="Y79" i="142"/>
  <c r="AB79" i="142"/>
  <c r="G79" i="142"/>
  <c r="AI79" i="142"/>
  <c r="AJ79" i="142"/>
  <c r="S79" i="142"/>
  <c r="F79" i="142"/>
  <c r="AF79" i="142"/>
  <c r="E79" i="142"/>
  <c r="AO79" i="142"/>
  <c r="AD79" i="142"/>
  <c r="I79" i="142"/>
  <c r="AL79" i="142"/>
  <c r="AN79" i="142"/>
  <c r="K79" i="142"/>
  <c r="X79" i="142"/>
  <c r="E81" i="142"/>
  <c r="L81" i="142"/>
  <c r="P81" i="142"/>
  <c r="AK81" i="142"/>
  <c r="AL81" i="142"/>
  <c r="AJ81" i="142"/>
  <c r="F81" i="142"/>
  <c r="AO81" i="142"/>
  <c r="M81" i="142"/>
  <c r="O81" i="142"/>
  <c r="J81" i="142"/>
  <c r="AE81" i="142"/>
  <c r="G81" i="142"/>
  <c r="I81" i="142"/>
  <c r="S81" i="142"/>
  <c r="AB81" i="142"/>
  <c r="AN81" i="142"/>
  <c r="Y81" i="142"/>
  <c r="Z81" i="142"/>
  <c r="R81" i="142"/>
  <c r="AF81" i="142"/>
  <c r="AG81" i="142"/>
  <c r="AA81" i="142"/>
  <c r="AD81" i="142"/>
  <c r="AM81" i="142"/>
  <c r="V81" i="142"/>
  <c r="AH81" i="142"/>
  <c r="Q81" i="142"/>
  <c r="AI81" i="142"/>
  <c r="N81" i="142"/>
  <c r="AC81" i="142"/>
  <c r="H81" i="142"/>
  <c r="U81" i="142"/>
  <c r="W81" i="142"/>
  <c r="K81" i="142"/>
  <c r="T81" i="142"/>
  <c r="X81" i="142"/>
  <c r="AL71" i="142"/>
  <c r="M71" i="142"/>
  <c r="E71" i="142"/>
  <c r="R71" i="142"/>
  <c r="N71" i="142"/>
  <c r="AB71" i="142"/>
  <c r="U71" i="142"/>
  <c r="Z71" i="142"/>
  <c r="V71" i="142"/>
  <c r="AH71" i="142"/>
  <c r="AD71" i="142"/>
  <c r="AG71" i="142"/>
  <c r="P71" i="142"/>
  <c r="AC71" i="142"/>
  <c r="I71" i="142"/>
  <c r="J71" i="142"/>
  <c r="AO71" i="142"/>
  <c r="K71" i="142"/>
  <c r="F71" i="142"/>
  <c r="AM71" i="142"/>
  <c r="AJ71" i="142"/>
  <c r="AA71" i="142"/>
  <c r="AE71" i="142"/>
  <c r="L71" i="142"/>
  <c r="T71" i="142"/>
  <c r="O71" i="142"/>
  <c r="AF71" i="142"/>
  <c r="S71" i="142"/>
  <c r="AN71" i="142"/>
  <c r="W71" i="142"/>
  <c r="Y71" i="142"/>
  <c r="G71" i="142"/>
  <c r="AI71" i="142"/>
  <c r="AK71" i="142"/>
  <c r="H71" i="142"/>
  <c r="X71" i="142"/>
  <c r="Q71" i="142"/>
  <c r="Z69" i="142"/>
  <c r="AF69" i="142"/>
  <c r="N69" i="142"/>
  <c r="AE69" i="142"/>
  <c r="M69" i="142"/>
  <c r="U69" i="142"/>
  <c r="V69" i="142"/>
  <c r="E69" i="142"/>
  <c r="Q69" i="142"/>
  <c r="AC69" i="142"/>
  <c r="AG69" i="142"/>
  <c r="AD69" i="142"/>
  <c r="S69" i="142"/>
  <c r="I69" i="142"/>
  <c r="Y69" i="142"/>
  <c r="AB69" i="142"/>
  <c r="AO69" i="142"/>
  <c r="J69" i="142"/>
  <c r="K69" i="142"/>
  <c r="F69" i="142"/>
  <c r="X69" i="142"/>
  <c r="AL69" i="142"/>
  <c r="AM69" i="142"/>
  <c r="H69" i="142"/>
  <c r="W69" i="142"/>
  <c r="AN69" i="142"/>
  <c r="G69" i="142"/>
  <c r="T69" i="142"/>
  <c r="AK69" i="142"/>
  <c r="P69" i="142"/>
  <c r="AJ69" i="142"/>
  <c r="AH69" i="142"/>
  <c r="AI69" i="142"/>
  <c r="L69" i="142"/>
  <c r="AA69" i="142"/>
  <c r="O69" i="142"/>
  <c r="R69" i="142"/>
  <c r="E60" i="142"/>
  <c r="G60" i="142"/>
  <c r="AN60" i="142"/>
  <c r="H60" i="142"/>
  <c r="AO60" i="142"/>
  <c r="F60" i="142"/>
  <c r="E150" i="142"/>
  <c r="E105" i="142"/>
  <c r="AN77" i="142"/>
  <c r="AC77" i="142"/>
  <c r="Z77" i="142"/>
  <c r="AK77" i="142"/>
  <c r="I77" i="142"/>
  <c r="AB77" i="142"/>
  <c r="AE77" i="142"/>
  <c r="E77" i="142"/>
  <c r="M77" i="142"/>
  <c r="R77" i="142"/>
  <c r="X77" i="142"/>
  <c r="P77" i="142"/>
  <c r="U77" i="142"/>
  <c r="L77" i="142"/>
  <c r="Q77" i="142"/>
  <c r="T77" i="142"/>
  <c r="AD77" i="142"/>
  <c r="F77" i="142"/>
  <c r="AM77" i="142"/>
  <c r="W77" i="142"/>
  <c r="AG77" i="142"/>
  <c r="AA77" i="142"/>
  <c r="AO77" i="142"/>
  <c r="G77" i="142"/>
  <c r="AJ77" i="142"/>
  <c r="V77" i="142"/>
  <c r="J77" i="142"/>
  <c r="AL77" i="142"/>
  <c r="S77" i="142"/>
  <c r="AF77" i="142"/>
  <c r="N77" i="142"/>
  <c r="Y77" i="142"/>
  <c r="O77" i="142"/>
  <c r="AI77" i="142"/>
  <c r="K77" i="142"/>
  <c r="H77" i="142"/>
  <c r="AH77" i="142"/>
  <c r="H4" i="145"/>
  <c r="H11" i="145" s="1"/>
  <c r="H54" i="145" s="1"/>
  <c r="H4" i="144"/>
  <c r="H18" i="144" s="1"/>
  <c r="J91" i="142"/>
  <c r="O91" i="142"/>
  <c r="AO91" i="142"/>
  <c r="E91" i="142"/>
  <c r="AH91" i="142"/>
  <c r="AE91" i="142"/>
  <c r="S91" i="142"/>
  <c r="K91" i="142"/>
  <c r="AM91" i="142"/>
  <c r="V91" i="142"/>
  <c r="AN91" i="142"/>
  <c r="H91" i="142"/>
  <c r="T91" i="142"/>
  <c r="U91" i="142"/>
  <c r="R91" i="142"/>
  <c r="AB91" i="142"/>
  <c r="AA91" i="142"/>
  <c r="Y91" i="142"/>
  <c r="Z91" i="142"/>
  <c r="AJ91" i="142"/>
  <c r="G91" i="142"/>
  <c r="M91" i="142"/>
  <c r="AG91" i="142"/>
  <c r="AI91" i="142"/>
  <c r="W91" i="142"/>
  <c r="N91" i="142"/>
  <c r="F91" i="142"/>
  <c r="AL91" i="142"/>
  <c r="L91" i="142"/>
  <c r="AD91" i="142"/>
  <c r="AK91" i="142"/>
  <c r="AC91" i="142"/>
  <c r="Q91" i="142"/>
  <c r="X91" i="142"/>
  <c r="I91" i="142"/>
  <c r="P91" i="142"/>
  <c r="AF91" i="142"/>
  <c r="AO20" i="142"/>
  <c r="D66" i="142"/>
  <c r="N67" i="142"/>
  <c r="Y67" i="142"/>
  <c r="AK67" i="142"/>
  <c r="J67" i="142"/>
  <c r="Q67" i="142"/>
  <c r="AA67" i="142"/>
  <c r="E67" i="142"/>
  <c r="X67" i="142"/>
  <c r="AB67" i="142"/>
  <c r="AH67" i="142"/>
  <c r="AO67" i="142"/>
  <c r="I67" i="142"/>
  <c r="O67" i="142"/>
  <c r="AG67" i="142"/>
  <c r="AM67" i="142"/>
  <c r="AJ67" i="142"/>
  <c r="L67" i="142"/>
  <c r="M67" i="142"/>
  <c r="AF67" i="142"/>
  <c r="AE67" i="142"/>
  <c r="AD67" i="142"/>
  <c r="R67" i="142"/>
  <c r="K67" i="142"/>
  <c r="AI67" i="142"/>
  <c r="AC67" i="142"/>
  <c r="P67" i="142"/>
  <c r="U67" i="142"/>
  <c r="V67" i="142"/>
  <c r="W67" i="142"/>
  <c r="AL67" i="142"/>
  <c r="S67" i="142"/>
  <c r="G67" i="142"/>
  <c r="F67" i="142"/>
  <c r="AN67" i="142"/>
  <c r="H67" i="142"/>
  <c r="T67" i="142"/>
  <c r="Z67" i="142"/>
  <c r="G105" i="142"/>
  <c r="G150" i="142"/>
  <c r="AO73" i="142"/>
  <c r="AJ73" i="142"/>
  <c r="G73" i="142"/>
  <c r="V73" i="142"/>
  <c r="U73" i="142"/>
  <c r="I73" i="142"/>
  <c r="L73" i="142"/>
  <c r="W73" i="142"/>
  <c r="K73" i="142"/>
  <c r="Z73" i="142"/>
  <c r="AA73" i="142"/>
  <c r="E73" i="142"/>
  <c r="X73" i="142"/>
  <c r="Y73" i="142"/>
  <c r="P73" i="142"/>
  <c r="AD73" i="142"/>
  <c r="AE73" i="142"/>
  <c r="AF73" i="142"/>
  <c r="AI73" i="142"/>
  <c r="AG73" i="142"/>
  <c r="S73" i="142"/>
  <c r="O73" i="142"/>
  <c r="AL73" i="142"/>
  <c r="F73" i="142"/>
  <c r="H73" i="142"/>
  <c r="AK73" i="142"/>
  <c r="N73" i="142"/>
  <c r="AN73" i="142"/>
  <c r="AC73" i="142"/>
  <c r="AB73" i="142"/>
  <c r="R73" i="142"/>
  <c r="M73" i="142"/>
  <c r="AH73" i="142"/>
  <c r="AM73" i="142"/>
  <c r="Q73" i="142"/>
  <c r="T73" i="142"/>
  <c r="J73" i="142"/>
  <c r="H105" i="142"/>
  <c r="H150" i="142"/>
  <c r="AO63" i="142"/>
  <c r="AD87" i="142"/>
  <c r="U87" i="142"/>
  <c r="AF87" i="142"/>
  <c r="AM87" i="142"/>
  <c r="V87" i="142"/>
  <c r="AG87" i="142"/>
  <c r="T87" i="142"/>
  <c r="H87" i="142"/>
  <c r="L87" i="142"/>
  <c r="N87" i="142"/>
  <c r="R87" i="142"/>
  <c r="AN87" i="142"/>
  <c r="E87" i="142"/>
  <c r="S87" i="142"/>
  <c r="X87" i="142"/>
  <c r="AB87" i="142"/>
  <c r="Q87" i="142"/>
  <c r="W87" i="142"/>
  <c r="K87" i="142"/>
  <c r="AI87" i="142"/>
  <c r="AK87" i="142"/>
  <c r="AJ87" i="142"/>
  <c r="J87" i="142"/>
  <c r="AH87" i="142"/>
  <c r="AO87" i="142"/>
  <c r="F87" i="142"/>
  <c r="AL87" i="142"/>
  <c r="M87" i="142"/>
  <c r="P87" i="142"/>
  <c r="G87" i="142"/>
  <c r="Z87" i="142"/>
  <c r="Y87" i="142"/>
  <c r="AA87" i="142"/>
  <c r="AC87" i="142"/>
  <c r="AE87" i="142"/>
  <c r="O87" i="142"/>
  <c r="I87" i="142"/>
  <c r="M89" i="142"/>
  <c r="W89" i="142"/>
  <c r="L89" i="142"/>
  <c r="Y89" i="142"/>
  <c r="AC89" i="142"/>
  <c r="J89" i="142"/>
  <c r="AG89" i="142"/>
  <c r="AD89" i="142"/>
  <c r="AJ89" i="142"/>
  <c r="AF89" i="142"/>
  <c r="R89" i="142"/>
  <c r="K89" i="142"/>
  <c r="AE89" i="142"/>
  <c r="U89" i="142"/>
  <c r="AO89" i="142"/>
  <c r="AN89" i="142"/>
  <c r="AB89" i="142"/>
  <c r="AA89" i="142"/>
  <c r="Z89" i="142"/>
  <c r="AI89" i="142"/>
  <c r="N89" i="142"/>
  <c r="T89" i="142"/>
  <c r="I89" i="142"/>
  <c r="AK89" i="142"/>
  <c r="H89" i="142"/>
  <c r="AL89" i="142"/>
  <c r="X89" i="142"/>
  <c r="AH89" i="142"/>
  <c r="F89" i="142"/>
  <c r="E89" i="142"/>
  <c r="S89" i="142"/>
  <c r="G89" i="142"/>
  <c r="P89" i="142"/>
  <c r="Q89" i="142"/>
  <c r="AM89" i="142"/>
  <c r="O89" i="142"/>
  <c r="V89" i="142"/>
  <c r="AJ137" i="142"/>
  <c r="AO137" i="142"/>
  <c r="U137" i="142"/>
  <c r="AE137" i="142"/>
  <c r="J137" i="142"/>
  <c r="K137" i="142"/>
  <c r="AL137" i="142"/>
  <c r="AM137" i="142"/>
  <c r="F137" i="142"/>
  <c r="G137" i="142"/>
  <c r="Q137" i="142"/>
  <c r="H137" i="142"/>
  <c r="I137" i="142"/>
  <c r="AG137" i="142"/>
  <c r="N137" i="142"/>
  <c r="S137" i="142"/>
  <c r="T137" i="142"/>
  <c r="AD137" i="142"/>
  <c r="AN137" i="142"/>
  <c r="AF137" i="142"/>
  <c r="L137" i="142"/>
  <c r="O137" i="142"/>
  <c r="AK137" i="142"/>
  <c r="M137" i="142"/>
  <c r="P137" i="142"/>
  <c r="Y137" i="142"/>
  <c r="AB137" i="142"/>
  <c r="AI137" i="142"/>
  <c r="V137" i="142"/>
  <c r="R137" i="142"/>
  <c r="AA137" i="142"/>
  <c r="AC137" i="142"/>
  <c r="Z137" i="142"/>
  <c r="AH137" i="142"/>
  <c r="E137" i="142"/>
  <c r="X137" i="142"/>
  <c r="W137" i="142"/>
  <c r="M74" i="142"/>
  <c r="L74" i="142"/>
  <c r="AJ74" i="142"/>
  <c r="I74" i="142"/>
  <c r="U74" i="142"/>
  <c r="AD74" i="142"/>
  <c r="E74" i="142"/>
  <c r="AA74" i="142"/>
  <c r="Q74" i="142"/>
  <c r="Y74" i="142"/>
  <c r="R74" i="142"/>
  <c r="AB74" i="142"/>
  <c r="K74" i="142"/>
  <c r="O74" i="142"/>
  <c r="H74" i="142"/>
  <c r="AH74" i="142"/>
  <c r="P74" i="142"/>
  <c r="AG74" i="142"/>
  <c r="AE74" i="142"/>
  <c r="N74" i="142"/>
  <c r="J74" i="142"/>
  <c r="AC74" i="142"/>
  <c r="S74" i="142"/>
  <c r="AL74" i="142"/>
  <c r="X74" i="142"/>
  <c r="AF74" i="142"/>
  <c r="W74" i="142"/>
  <c r="V74" i="142"/>
  <c r="AM74" i="142"/>
  <c r="G74" i="142"/>
  <c r="AO74" i="142"/>
  <c r="F74" i="142"/>
  <c r="AN74" i="142"/>
  <c r="T74" i="142"/>
  <c r="Z74" i="142"/>
  <c r="AI74" i="142"/>
  <c r="AK74" i="142"/>
  <c r="O147" i="133"/>
  <c r="O241" i="133"/>
  <c r="M63" i="142" s="1"/>
  <c r="AC147" i="133"/>
  <c r="AC241" i="133"/>
  <c r="Q147" i="133"/>
  <c r="Q241" i="133"/>
  <c r="O63" i="142" s="1"/>
  <c r="AE63" i="142"/>
  <c r="X240" i="133"/>
  <c r="X62" i="133"/>
  <c r="X146" i="133" s="1"/>
  <c r="L147" i="133"/>
  <c r="L241" i="133"/>
  <c r="J63" i="142" s="1"/>
  <c r="U147" i="133"/>
  <c r="U241" i="133"/>
  <c r="S63" i="142" s="1"/>
  <c r="K240" i="133"/>
  <c r="K62" i="133"/>
  <c r="K146" i="133" s="1"/>
  <c r="H27" i="133"/>
  <c r="H139" i="133" s="1"/>
  <c r="H233" i="133"/>
  <c r="AG62" i="142"/>
  <c r="U240" i="133"/>
  <c r="S62" i="142" s="1"/>
  <c r="U62" i="133"/>
  <c r="U146" i="133" s="1"/>
  <c r="O62" i="133"/>
  <c r="O146" i="133" s="1"/>
  <c r="O240" i="133"/>
  <c r="P147" i="133"/>
  <c r="P241" i="133"/>
  <c r="N63" i="142" s="1"/>
  <c r="Z240" i="133"/>
  <c r="X62" i="142" s="1"/>
  <c r="Z62" i="133"/>
  <c r="Z146" i="133" s="1"/>
  <c r="K241" i="133"/>
  <c r="I63" i="142" s="1"/>
  <c r="K147" i="133"/>
  <c r="AO62" i="142"/>
  <c r="T147" i="133"/>
  <c r="T241" i="133"/>
  <c r="J57" i="133"/>
  <c r="J145" i="133" s="1"/>
  <c r="J239" i="133"/>
  <c r="K16" i="133"/>
  <c r="G16" i="133"/>
  <c r="J16" i="133"/>
  <c r="I16" i="133"/>
  <c r="H16" i="133"/>
  <c r="AC16" i="133"/>
  <c r="R16" i="133"/>
  <c r="U16" i="133"/>
  <c r="Q16" i="133"/>
  <c r="O16" i="133"/>
  <c r="N16" i="133"/>
  <c r="X16" i="133"/>
  <c r="W16" i="133"/>
  <c r="P16" i="133"/>
  <c r="S16" i="133"/>
  <c r="M16" i="133"/>
  <c r="AB16" i="133"/>
  <c r="L16" i="133"/>
  <c r="V16" i="133"/>
  <c r="Y16" i="133"/>
  <c r="AA16" i="133"/>
  <c r="T16" i="133"/>
  <c r="Z16" i="133"/>
  <c r="AB62" i="133"/>
  <c r="AB146" i="133" s="1"/>
  <c r="AB240" i="133"/>
  <c r="Z62" i="142" s="1"/>
  <c r="R147" i="133"/>
  <c r="R241" i="133"/>
  <c r="P63" i="142" s="1"/>
  <c r="I57" i="133"/>
  <c r="I145" i="133" s="1"/>
  <c r="I239" i="133"/>
  <c r="G61" i="142" s="1"/>
  <c r="AA62" i="133"/>
  <c r="AA146" i="133" s="1"/>
  <c r="AA240" i="133"/>
  <c r="I191" i="133"/>
  <c r="G240" i="133"/>
  <c r="E62" i="142" s="1"/>
  <c r="E61" i="133"/>
  <c r="AE62" i="142"/>
  <c r="AF63" i="142"/>
  <c r="AF62" i="142"/>
  <c r="I62" i="133"/>
  <c r="I146" i="133" s="1"/>
  <c r="I240" i="133"/>
  <c r="Y147" i="133"/>
  <c r="Y241" i="133"/>
  <c r="W63" i="142" s="1"/>
  <c r="N240" i="133"/>
  <c r="L62" i="142" s="1"/>
  <c r="N62" i="133"/>
  <c r="N146" i="133" s="1"/>
  <c r="AN61" i="142"/>
  <c r="Z147" i="133"/>
  <c r="Z241" i="133"/>
  <c r="X63" i="142" s="1"/>
  <c r="AO61" i="142"/>
  <c r="J62" i="133"/>
  <c r="J146" i="133" s="1"/>
  <c r="J240" i="133"/>
  <c r="H62" i="142" s="1"/>
  <c r="AL63" i="142"/>
  <c r="M240" i="133"/>
  <c r="M62" i="133"/>
  <c r="M146" i="133" s="1"/>
  <c r="S69" i="134"/>
  <c r="S70" i="134" s="1"/>
  <c r="AH81" i="134"/>
  <c r="AH82" i="134" s="1"/>
  <c r="S81" i="134"/>
  <c r="S82" i="134" s="1"/>
  <c r="P75" i="134"/>
  <c r="P76" i="134" s="1"/>
  <c r="M69" i="134"/>
  <c r="M70" i="134" s="1"/>
  <c r="Q81" i="134"/>
  <c r="Q82" i="134" s="1"/>
  <c r="AF75" i="134"/>
  <c r="AF76" i="134" s="1"/>
  <c r="Z81" i="134"/>
  <c r="Z82" i="134" s="1"/>
  <c r="R81" i="134"/>
  <c r="R82" i="134" s="1"/>
  <c r="AD81" i="134"/>
  <c r="AD82" i="134" s="1"/>
  <c r="F81" i="134"/>
  <c r="F82" i="134" s="1"/>
  <c r="I72" i="133" s="1"/>
  <c r="I73" i="133" s="1"/>
  <c r="V81" i="134"/>
  <c r="V82" i="134" s="1"/>
  <c r="AK69" i="134"/>
  <c r="AK70" i="134" s="1"/>
  <c r="M75" i="134"/>
  <c r="M76" i="134" s="1"/>
  <c r="Y81" i="134"/>
  <c r="Y82" i="134" s="1"/>
  <c r="AM69" i="134"/>
  <c r="AM70" i="134" s="1"/>
  <c r="N81" i="134"/>
  <c r="N82" i="134" s="1"/>
  <c r="K104" i="183" s="1"/>
  <c r="Z69" i="134"/>
  <c r="Z70" i="134" s="1"/>
  <c r="W69" i="134"/>
  <c r="W70" i="134" s="1"/>
  <c r="N69" i="134"/>
  <c r="N70" i="134" s="1"/>
  <c r="AE69" i="134"/>
  <c r="AE70" i="134" s="1"/>
  <c r="AA81" i="134"/>
  <c r="AA82" i="134" s="1"/>
  <c r="AC81" i="134"/>
  <c r="AC82" i="134" s="1"/>
  <c r="O75" i="134"/>
  <c r="O76" i="134" s="1"/>
  <c r="K75" i="134"/>
  <c r="K76" i="134" s="1"/>
  <c r="AF69" i="134"/>
  <c r="AF70" i="134" s="1"/>
  <c r="F75" i="134"/>
  <c r="F76" i="134" s="1"/>
  <c r="E81" i="134"/>
  <c r="E82" i="134" s="1"/>
  <c r="H72" i="133" s="1"/>
  <c r="H73" i="133" s="1"/>
  <c r="J75" i="134"/>
  <c r="J76" i="134" s="1"/>
  <c r="AD69" i="134"/>
  <c r="AD70" i="134" s="1"/>
  <c r="AB81" i="134"/>
  <c r="AB82" i="134" s="1"/>
  <c r="Q75" i="134"/>
  <c r="Q76" i="134" s="1"/>
  <c r="G75" i="134"/>
  <c r="G76" i="134" s="1"/>
  <c r="L75" i="134"/>
  <c r="L76" i="134" s="1"/>
  <c r="AJ75" i="134"/>
  <c r="AJ76" i="134" s="1"/>
  <c r="AL75" i="134"/>
  <c r="AL76" i="134" s="1"/>
  <c r="X75" i="134"/>
  <c r="X76" i="134" s="1"/>
  <c r="AB69" i="134"/>
  <c r="AB70" i="134" s="1"/>
  <c r="AI75" i="134"/>
  <c r="AI76" i="134" s="1"/>
  <c r="H81" i="134"/>
  <c r="H82" i="134" s="1"/>
  <c r="F69" i="134"/>
  <c r="F70" i="134" s="1"/>
  <c r="I82" i="133" s="1"/>
  <c r="I83" i="133" s="1"/>
  <c r="X81" i="134"/>
  <c r="X82" i="134" s="1"/>
  <c r="K69" i="134"/>
  <c r="K70" i="134" s="1"/>
  <c r="T81" i="134"/>
  <c r="T82" i="134" s="1"/>
  <c r="AL81" i="134"/>
  <c r="AL82" i="134" s="1"/>
  <c r="AM81" i="134"/>
  <c r="AM82" i="134" s="1"/>
  <c r="N75" i="134"/>
  <c r="N76" i="134" s="1"/>
  <c r="Y75" i="134"/>
  <c r="Y76" i="134" s="1"/>
  <c r="W81" i="134"/>
  <c r="W82" i="134" s="1"/>
  <c r="S75" i="134"/>
  <c r="S76" i="134" s="1"/>
  <c r="Y69" i="134"/>
  <c r="Y70" i="134" s="1"/>
  <c r="AL69" i="134"/>
  <c r="AL70" i="134" s="1"/>
  <c r="AK81" i="134"/>
  <c r="AK82" i="134" s="1"/>
  <c r="AD75" i="134"/>
  <c r="AD76" i="134" s="1"/>
  <c r="AM75" i="134"/>
  <c r="AM76" i="134" s="1"/>
  <c r="O81" i="134"/>
  <c r="O82" i="134" s="1"/>
  <c r="T75" i="134"/>
  <c r="T76" i="134" s="1"/>
  <c r="AG81" i="134"/>
  <c r="AG82" i="134" s="1"/>
  <c r="R69" i="134"/>
  <c r="R70" i="134" s="1"/>
  <c r="J69" i="134"/>
  <c r="J70" i="134" s="1"/>
  <c r="G81" i="134"/>
  <c r="G82" i="134" s="1"/>
  <c r="AG75" i="134"/>
  <c r="AG76" i="134" s="1"/>
  <c r="L69" i="134"/>
  <c r="L70" i="134" s="1"/>
  <c r="AJ81" i="134"/>
  <c r="AJ82" i="134" s="1"/>
  <c r="I75" i="134"/>
  <c r="I76" i="134" s="1"/>
  <c r="AC75" i="134"/>
  <c r="AC76" i="134" s="1"/>
  <c r="P69" i="134"/>
  <c r="P70" i="134" s="1"/>
  <c r="AA69" i="134"/>
  <c r="AA70" i="134" s="1"/>
  <c r="AE81" i="134"/>
  <c r="AE82" i="134" s="1"/>
  <c r="AH69" i="134"/>
  <c r="AH70" i="134" s="1"/>
  <c r="D75" i="134"/>
  <c r="D76" i="134" s="1"/>
  <c r="AE75" i="134"/>
  <c r="AE76" i="134" s="1"/>
  <c r="AA75" i="134"/>
  <c r="AA76" i="134" s="1"/>
  <c r="X69" i="134"/>
  <c r="X70" i="134" s="1"/>
  <c r="P81" i="134"/>
  <c r="P82" i="134" s="1"/>
  <c r="U81" i="134"/>
  <c r="U82" i="134" s="1"/>
  <c r="V75" i="134"/>
  <c r="V76" i="134" s="1"/>
  <c r="O69" i="134"/>
  <c r="O70" i="134" s="1"/>
  <c r="M81" i="134"/>
  <c r="M82" i="134" s="1"/>
  <c r="E75" i="134"/>
  <c r="E76" i="134" s="1"/>
  <c r="Z75" i="134"/>
  <c r="Z76" i="134" s="1"/>
  <c r="I69" i="134"/>
  <c r="I70" i="134" s="1"/>
  <c r="I81" i="134"/>
  <c r="I82" i="134" s="1"/>
  <c r="AC69" i="134"/>
  <c r="AC70" i="134" s="1"/>
  <c r="E69" i="134"/>
  <c r="E70" i="134" s="1"/>
  <c r="H82" i="133" s="1"/>
  <c r="H83" i="133" s="1"/>
  <c r="U69" i="134"/>
  <c r="U70" i="134" s="1"/>
  <c r="AK75" i="134"/>
  <c r="AK76" i="134" s="1"/>
  <c r="AI69" i="134"/>
  <c r="AI70" i="134" s="1"/>
  <c r="AF81" i="134"/>
  <c r="AF82" i="134" s="1"/>
  <c r="Q69" i="134"/>
  <c r="Q70" i="134" s="1"/>
  <c r="AG69" i="134"/>
  <c r="AG70" i="134" s="1"/>
  <c r="D81" i="134"/>
  <c r="D82" i="134" s="1"/>
  <c r="G72" i="133" s="1"/>
  <c r="G73" i="133" s="1"/>
  <c r="AB75" i="134"/>
  <c r="AB76" i="134" s="1"/>
  <c r="U75" i="134"/>
  <c r="U76" i="134" s="1"/>
  <c r="K81" i="134"/>
  <c r="K82" i="134" s="1"/>
  <c r="H75" i="134"/>
  <c r="H76" i="134" s="1"/>
  <c r="L81" i="134"/>
  <c r="L82" i="134" s="1"/>
  <c r="AJ69" i="134"/>
  <c r="AJ70" i="134" s="1"/>
  <c r="T69" i="134"/>
  <c r="T70" i="134" s="1"/>
  <c r="G69" i="134"/>
  <c r="G70" i="134" s="1"/>
  <c r="J82" i="133" s="1"/>
  <c r="J83" i="133" s="1"/>
  <c r="R75" i="134"/>
  <c r="R76" i="134" s="1"/>
  <c r="W75" i="134"/>
  <c r="W76" i="134" s="1"/>
  <c r="AH75" i="134"/>
  <c r="AH76" i="134" s="1"/>
  <c r="AI81" i="134"/>
  <c r="AI82" i="134" s="1"/>
  <c r="J81" i="134"/>
  <c r="J82" i="134" s="1"/>
  <c r="V69" i="134"/>
  <c r="V70" i="134" s="1"/>
  <c r="AA241" i="133"/>
  <c r="Y63" i="142" s="1"/>
  <c r="AA147" i="133"/>
  <c r="F289" i="133"/>
  <c r="F291" i="133"/>
  <c r="V147" i="133"/>
  <c r="V241" i="133"/>
  <c r="T63" i="142" s="1"/>
  <c r="AH62" i="142"/>
  <c r="S240" i="133"/>
  <c r="Q62" i="142" s="1"/>
  <c r="S62" i="133"/>
  <c r="S146" i="133" s="1"/>
  <c r="S241" i="133"/>
  <c r="S147" i="133"/>
  <c r="W147" i="133"/>
  <c r="W241" i="133"/>
  <c r="AC62" i="142"/>
  <c r="AB147" i="133"/>
  <c r="AB241" i="133"/>
  <c r="Z63" i="142" s="1"/>
  <c r="AM63" i="142"/>
  <c r="AD63" i="142"/>
  <c r="T62" i="133"/>
  <c r="T146" i="133" s="1"/>
  <c r="T240" i="133"/>
  <c r="R62" i="142" s="1"/>
  <c r="AH63" i="142"/>
  <c r="L240" i="133"/>
  <c r="J62" i="142" s="1"/>
  <c r="L62" i="133"/>
  <c r="L146" i="133" s="1"/>
  <c r="CI277" i="133"/>
  <c r="CI314" i="133"/>
  <c r="CI316" i="133"/>
  <c r="CI309" i="133"/>
  <c r="CI281" i="133"/>
  <c r="CI296" i="133"/>
  <c r="CI311" i="133"/>
  <c r="CI293" i="133"/>
  <c r="CI279" i="133"/>
  <c r="CI287" i="133"/>
  <c r="CI313" i="133"/>
  <c r="CI308" i="133"/>
  <c r="CI298" i="133"/>
  <c r="CI288" i="133"/>
  <c r="CI286" i="133"/>
  <c r="CI292" i="133"/>
  <c r="CI301" i="133"/>
  <c r="CI300" i="133"/>
  <c r="CI278" i="133"/>
  <c r="CI295" i="133"/>
  <c r="CI280" i="133"/>
  <c r="CI318" i="133"/>
  <c r="CI302" i="133"/>
  <c r="CI310" i="133"/>
  <c r="CI312" i="133"/>
  <c r="CI306" i="133"/>
  <c r="CI299" i="133"/>
  <c r="CI317" i="133"/>
  <c r="CI303" i="133"/>
  <c r="CI305" i="133"/>
  <c r="CI307" i="133"/>
  <c r="CI294" i="133"/>
  <c r="AD62" i="142"/>
  <c r="P62" i="133"/>
  <c r="P146" i="133" s="1"/>
  <c r="P240" i="133"/>
  <c r="N62" i="142" s="1"/>
  <c r="AK63" i="142"/>
  <c r="Q240" i="133"/>
  <c r="O62" i="142" s="1"/>
  <c r="Q62" i="133"/>
  <c r="Q146" i="133" s="1"/>
  <c r="H240" i="133"/>
  <c r="F62" i="142" s="1"/>
  <c r="H62" i="133"/>
  <c r="H146" i="133" s="1"/>
  <c r="AN62" i="142"/>
  <c r="G12" i="133"/>
  <c r="G13" i="133" s="1"/>
  <c r="H12" i="133"/>
  <c r="H13" i="133" s="1"/>
  <c r="J12" i="133"/>
  <c r="J13" i="133" s="1"/>
  <c r="I12" i="133"/>
  <c r="I13" i="133" s="1"/>
  <c r="X147" i="133"/>
  <c r="X241" i="133"/>
  <c r="I147" i="133"/>
  <c r="I241" i="133"/>
  <c r="Y240" i="133"/>
  <c r="W62" i="142" s="1"/>
  <c r="Y62" i="133"/>
  <c r="Y146" i="133" s="1"/>
  <c r="AG63" i="142"/>
  <c r="H57" i="133"/>
  <c r="H145" i="133" s="1"/>
  <c r="H239" i="133"/>
  <c r="F61" i="142" s="1"/>
  <c r="N241" i="133"/>
  <c r="L63" i="142" s="1"/>
  <c r="N147" i="133"/>
  <c r="G239" i="133"/>
  <c r="G57" i="133"/>
  <c r="W62" i="133"/>
  <c r="W146" i="133" s="1"/>
  <c r="W240" i="133"/>
  <c r="U62" i="142" s="1"/>
  <c r="AK58" i="142"/>
  <c r="AN63" i="142"/>
  <c r="J147" i="133"/>
  <c r="J241" i="133"/>
  <c r="H63" i="142" s="1"/>
  <c r="V62" i="133"/>
  <c r="V146" i="133" s="1"/>
  <c r="V240" i="133"/>
  <c r="T62" i="142" s="1"/>
  <c r="M241" i="133"/>
  <c r="K63" i="142" s="1"/>
  <c r="M147" i="133"/>
  <c r="H147" i="133"/>
  <c r="H241" i="133"/>
  <c r="F63" i="142" s="1"/>
  <c r="J191" i="133"/>
  <c r="AC240" i="133"/>
  <c r="AC62" i="133"/>
  <c r="AC146" i="133" s="1"/>
  <c r="R62" i="133"/>
  <c r="R146" i="133" s="1"/>
  <c r="R240" i="133"/>
  <c r="P62" i="142" s="1"/>
  <c r="H5" i="140"/>
  <c r="I4" i="130"/>
  <c r="J10" i="133"/>
  <c r="I4" i="136"/>
  <c r="N9" i="135"/>
  <c r="H4" i="137"/>
  <c r="H10" i="136"/>
  <c r="H30" i="136" s="1"/>
  <c r="N3" i="135"/>
  <c r="K3" i="133"/>
  <c r="J3" i="130"/>
  <c r="K3" i="130"/>
  <c r="H67" i="145" l="1"/>
  <c r="H24" i="145" s="1"/>
  <c r="H74" i="137"/>
  <c r="H28" i="137" s="1"/>
  <c r="G28" i="137"/>
  <c r="F24" i="144"/>
  <c r="H17" i="144"/>
  <c r="H19" i="144"/>
  <c r="H12" i="144"/>
  <c r="H16" i="144"/>
  <c r="G20" i="144"/>
  <c r="G23" i="144" s="1"/>
  <c r="K5" i="133"/>
  <c r="K30" i="133" s="1"/>
  <c r="Q27" i="133"/>
  <c r="Q139" i="133" s="1"/>
  <c r="CI282" i="133"/>
  <c r="CI315" i="133"/>
  <c r="CI285" i="133"/>
  <c r="CI304" i="133"/>
  <c r="CI319" i="133"/>
  <c r="V27" i="133"/>
  <c r="V139" i="133" s="1"/>
  <c r="AC55" i="142"/>
  <c r="AE49" i="152"/>
  <c r="S27" i="133"/>
  <c r="S139" i="133" s="1"/>
  <c r="AH196" i="166"/>
  <c r="Z196" i="166"/>
  <c r="U196" i="166"/>
  <c r="Q196" i="166"/>
  <c r="V196" i="166"/>
  <c r="AC196" i="166"/>
  <c r="O196" i="166"/>
  <c r="N196" i="166"/>
  <c r="AB196" i="166"/>
  <c r="T196" i="166"/>
  <c r="AD196" i="166"/>
  <c r="AK196" i="166"/>
  <c r="AL196" i="166"/>
  <c r="AA196" i="166"/>
  <c r="P196" i="166"/>
  <c r="AI196" i="166"/>
  <c r="AF196" i="166"/>
  <c r="X196" i="166"/>
  <c r="Y196" i="166"/>
  <c r="W196" i="166"/>
  <c r="AM196" i="166"/>
  <c r="AJ196" i="166"/>
  <c r="N233" i="133"/>
  <c r="L55" i="142" s="1"/>
  <c r="AE196" i="166"/>
  <c r="AG196" i="166"/>
  <c r="S196" i="166"/>
  <c r="R196" i="166"/>
  <c r="AH195" i="166"/>
  <c r="P195" i="166"/>
  <c r="Z195" i="166"/>
  <c r="S195" i="166"/>
  <c r="AE195" i="166"/>
  <c r="N195" i="166"/>
  <c r="AI195" i="166"/>
  <c r="AG195" i="166"/>
  <c r="V195" i="166"/>
  <c r="Q195" i="166"/>
  <c r="AL195" i="166"/>
  <c r="AB195" i="166"/>
  <c r="O195" i="166"/>
  <c r="AC195" i="166"/>
  <c r="AJ195" i="166"/>
  <c r="Y195" i="166"/>
  <c r="R195" i="166"/>
  <c r="T195" i="166"/>
  <c r="AD195" i="166"/>
  <c r="X195" i="166"/>
  <c r="AM195" i="166"/>
  <c r="U195" i="166"/>
  <c r="AF195" i="166"/>
  <c r="AK195" i="166"/>
  <c r="W195" i="166"/>
  <c r="J182" i="133"/>
  <c r="J229" i="133" s="1"/>
  <c r="J276" i="133" s="1"/>
  <c r="AA195" i="166"/>
  <c r="CJ312" i="133"/>
  <c r="AF39" i="152"/>
  <c r="AF44" i="152" s="1"/>
  <c r="AD100" i="142"/>
  <c r="R27" i="133"/>
  <c r="R139" i="133" s="1"/>
  <c r="K72" i="133"/>
  <c r="K73" i="133" s="1"/>
  <c r="K148" i="133" s="1"/>
  <c r="E104" i="183"/>
  <c r="AC72" i="133"/>
  <c r="AC73" i="133" s="1"/>
  <c r="AC148" i="133" s="1"/>
  <c r="W104" i="183"/>
  <c r="T72" i="133"/>
  <c r="T73" i="133" s="1"/>
  <c r="T148" i="133" s="1"/>
  <c r="N104" i="183"/>
  <c r="V72" i="133"/>
  <c r="V73" i="133" s="1"/>
  <c r="V148" i="133" s="1"/>
  <c r="P104" i="183"/>
  <c r="N72" i="133"/>
  <c r="N73" i="133" s="1"/>
  <c r="N148" i="133" s="1"/>
  <c r="H104" i="183"/>
  <c r="J72" i="133"/>
  <c r="J73" i="133" s="1"/>
  <c r="J148" i="133" s="1"/>
  <c r="D104" i="183"/>
  <c r="R72" i="133"/>
  <c r="R73" i="133" s="1"/>
  <c r="R148" i="133" s="1"/>
  <c r="L104" i="183"/>
  <c r="Z72" i="133"/>
  <c r="Z73" i="133" s="1"/>
  <c r="Z148" i="133" s="1"/>
  <c r="T104" i="183"/>
  <c r="X72" i="133"/>
  <c r="X73" i="133" s="1"/>
  <c r="X148" i="133" s="1"/>
  <c r="R104" i="183"/>
  <c r="S72" i="133"/>
  <c r="S73" i="133" s="1"/>
  <c r="S148" i="133" s="1"/>
  <c r="M104" i="183"/>
  <c r="W72" i="133"/>
  <c r="W73" i="133" s="1"/>
  <c r="W148" i="133" s="1"/>
  <c r="Q104" i="183"/>
  <c r="Y72" i="133"/>
  <c r="Y73" i="133" s="1"/>
  <c r="Y148" i="133" s="1"/>
  <c r="S104" i="183"/>
  <c r="O72" i="133"/>
  <c r="O73" i="133" s="1"/>
  <c r="O148" i="133" s="1"/>
  <c r="I104" i="183"/>
  <c r="X104" i="183"/>
  <c r="AB72" i="133"/>
  <c r="AB73" i="133" s="1"/>
  <c r="AB148" i="133" s="1"/>
  <c r="V104" i="183"/>
  <c r="P72" i="133"/>
  <c r="P73" i="133" s="1"/>
  <c r="P148" i="133" s="1"/>
  <c r="J104" i="183"/>
  <c r="K233" i="133"/>
  <c r="I55" i="142" s="1"/>
  <c r="M72" i="133"/>
  <c r="M73" i="133" s="1"/>
  <c r="M148" i="133" s="1"/>
  <c r="G104" i="183"/>
  <c r="AA72" i="133"/>
  <c r="AA73" i="133" s="1"/>
  <c r="AA148" i="133" s="1"/>
  <c r="U104" i="183"/>
  <c r="L72" i="133"/>
  <c r="L73" i="133" s="1"/>
  <c r="L148" i="133" s="1"/>
  <c r="F104" i="183"/>
  <c r="U72" i="133"/>
  <c r="U73" i="133" s="1"/>
  <c r="U148" i="133" s="1"/>
  <c r="O104" i="183"/>
  <c r="G68" i="133"/>
  <c r="G147" i="133" s="1"/>
  <c r="G241" i="133"/>
  <c r="E63" i="142" s="1"/>
  <c r="E67" i="133"/>
  <c r="V94" i="134"/>
  <c r="Y77" i="133" s="1"/>
  <c r="Q94" i="134"/>
  <c r="T77" i="133" s="1"/>
  <c r="K94" i="134"/>
  <c r="N77" i="133" s="1"/>
  <c r="W94" i="134"/>
  <c r="Z77" i="133" s="1"/>
  <c r="M94" i="134"/>
  <c r="P77" i="133" s="1"/>
  <c r="J94" i="134"/>
  <c r="M77" i="133" s="1"/>
  <c r="AE94" i="134"/>
  <c r="O94" i="134"/>
  <c r="R77" i="133" s="1"/>
  <c r="AG94" i="134"/>
  <c r="AA94" i="134"/>
  <c r="G94" i="134"/>
  <c r="J77" i="133" s="1"/>
  <c r="N94" i="134"/>
  <c r="Q77" i="133" s="1"/>
  <c r="AI94" i="134"/>
  <c r="AJ94" i="134"/>
  <c r="P94" i="134"/>
  <c r="S77" i="133" s="1"/>
  <c r="S78" i="133" s="1"/>
  <c r="S149" i="133" s="1"/>
  <c r="R94" i="134"/>
  <c r="U77" i="133" s="1"/>
  <c r="AK94" i="134"/>
  <c r="U94" i="134"/>
  <c r="X77" i="133" s="1"/>
  <c r="X78" i="133" s="1"/>
  <c r="X149" i="133" s="1"/>
  <c r="T94" i="134"/>
  <c r="W77" i="133" s="1"/>
  <c r="AD94" i="134"/>
  <c r="Y94" i="134"/>
  <c r="AB77" i="133" s="1"/>
  <c r="AH94" i="134"/>
  <c r="S94" i="134"/>
  <c r="V77" i="133" s="1"/>
  <c r="H94" i="134"/>
  <c r="K77" i="133" s="1"/>
  <c r="AC94" i="134"/>
  <c r="Z94" i="134"/>
  <c r="AC77" i="133" s="1"/>
  <c r="AF94" i="134"/>
  <c r="I94" i="134"/>
  <c r="L77" i="133" s="1"/>
  <c r="L94" i="134"/>
  <c r="O77" i="133" s="1"/>
  <c r="F94" i="134"/>
  <c r="I77" i="133" s="1"/>
  <c r="AM94" i="134"/>
  <c r="E94" i="134"/>
  <c r="H77" i="133" s="1"/>
  <c r="X94" i="134"/>
  <c r="AA77" i="133" s="1"/>
  <c r="AB94" i="134"/>
  <c r="AL94" i="134"/>
  <c r="Z233" i="133"/>
  <c r="X145" i="142" s="1"/>
  <c r="U27" i="133"/>
  <c r="U139" i="133" s="1"/>
  <c r="AC233" i="133"/>
  <c r="AA55" i="142" s="1"/>
  <c r="T233" i="133"/>
  <c r="R55" i="142" s="1"/>
  <c r="X233" i="133"/>
  <c r="V55" i="142" s="1"/>
  <c r="G233" i="133"/>
  <c r="E55" i="142" s="1"/>
  <c r="P27" i="133"/>
  <c r="P139" i="133" s="1"/>
  <c r="I233" i="133"/>
  <c r="G55" i="142" s="1"/>
  <c r="M233" i="133"/>
  <c r="K55" i="142" s="1"/>
  <c r="AI55" i="142"/>
  <c r="O233" i="133"/>
  <c r="M145" i="142" s="1"/>
  <c r="AA27" i="133"/>
  <c r="AA139" i="133" s="1"/>
  <c r="R35" i="133"/>
  <c r="R36" i="133" s="1"/>
  <c r="R141" i="133" s="1"/>
  <c r="Y27" i="133"/>
  <c r="Y139" i="133" s="1"/>
  <c r="J233" i="133"/>
  <c r="H55" i="142" s="1"/>
  <c r="AF55" i="142"/>
  <c r="K45" i="133"/>
  <c r="K46" i="133" s="1"/>
  <c r="K143" i="133" s="1"/>
  <c r="J45" i="133"/>
  <c r="J237" i="133" s="1"/>
  <c r="H59" i="142" s="1"/>
  <c r="M45" i="133"/>
  <c r="M46" i="133" s="1"/>
  <c r="M143" i="133" s="1"/>
  <c r="I45" i="133"/>
  <c r="I46" i="133" s="1"/>
  <c r="I143" i="133" s="1"/>
  <c r="I31" i="133"/>
  <c r="I32" i="133" s="1"/>
  <c r="I140" i="133" s="1"/>
  <c r="H31" i="133"/>
  <c r="H32" i="133" s="1"/>
  <c r="H140" i="133" s="1"/>
  <c r="J31" i="133"/>
  <c r="J32" i="133" s="1"/>
  <c r="J140" i="133" s="1"/>
  <c r="Z45" i="133"/>
  <c r="Z46" i="133" s="1"/>
  <c r="Z143" i="133" s="1"/>
  <c r="AK55" i="142"/>
  <c r="AC45" i="133"/>
  <c r="AC237" i="133" s="1"/>
  <c r="AA59" i="142" s="1"/>
  <c r="AB233" i="133"/>
  <c r="Z55" i="142" s="1"/>
  <c r="S45" i="133"/>
  <c r="S46" i="133" s="1"/>
  <c r="S143" i="133" s="1"/>
  <c r="E26" i="133"/>
  <c r="W233" i="133"/>
  <c r="U55" i="142" s="1"/>
  <c r="L233" i="133"/>
  <c r="J55" i="142" s="1"/>
  <c r="N45" i="133"/>
  <c r="N237" i="133" s="1"/>
  <c r="L104" i="142" s="1"/>
  <c r="AJ59" i="142"/>
  <c r="Q45" i="133"/>
  <c r="Q46" i="133" s="1"/>
  <c r="Q143" i="133" s="1"/>
  <c r="P45" i="133"/>
  <c r="P237" i="133" s="1"/>
  <c r="N59" i="142" s="1"/>
  <c r="X45" i="133"/>
  <c r="X46" i="133" s="1"/>
  <c r="X143" i="133" s="1"/>
  <c r="T45" i="133"/>
  <c r="T46" i="133" s="1"/>
  <c r="T143" i="133" s="1"/>
  <c r="AH55" i="142"/>
  <c r="AA45" i="133"/>
  <c r="AA46" i="133" s="1"/>
  <c r="AA143" i="133" s="1"/>
  <c r="O45" i="133"/>
  <c r="O237" i="133" s="1"/>
  <c r="M149" i="142" s="1"/>
  <c r="I10" i="146"/>
  <c r="I30" i="146" s="1"/>
  <c r="G243" i="133"/>
  <c r="E65" i="142" s="1"/>
  <c r="M6" i="178"/>
  <c r="N3" i="176"/>
  <c r="N40" i="176" s="1"/>
  <c r="N118" i="176" s="1"/>
  <c r="N196" i="176" s="1"/>
  <c r="N231" i="176" s="1"/>
  <c r="N266" i="176" s="1"/>
  <c r="N301" i="176" s="1"/>
  <c r="N336" i="176" s="1"/>
  <c r="N371" i="176" s="1"/>
  <c r="N406" i="176" s="1"/>
  <c r="N441" i="176" s="1"/>
  <c r="N476" i="176" s="1"/>
  <c r="N511" i="176" s="1"/>
  <c r="N546" i="176" s="1"/>
  <c r="N581" i="176" s="1"/>
  <c r="AG5" i="179"/>
  <c r="L6" i="178"/>
  <c r="M3" i="176"/>
  <c r="M40" i="176" s="1"/>
  <c r="M118" i="176" s="1"/>
  <c r="M196" i="176" s="1"/>
  <c r="M231" i="176" s="1"/>
  <c r="M266" i="176" s="1"/>
  <c r="M301" i="176" s="1"/>
  <c r="M336" i="176" s="1"/>
  <c r="M371" i="176" s="1"/>
  <c r="M406" i="176" s="1"/>
  <c r="M441" i="176" s="1"/>
  <c r="M476" i="176" s="1"/>
  <c r="M511" i="176" s="1"/>
  <c r="M546" i="176" s="1"/>
  <c r="M581" i="176" s="1"/>
  <c r="J3" i="180"/>
  <c r="J5" i="179"/>
  <c r="AJ3" i="176"/>
  <c r="AJ40" i="176" s="1"/>
  <c r="AJ118" i="176" s="1"/>
  <c r="AJ196" i="176" s="1"/>
  <c r="AJ231" i="176" s="1"/>
  <c r="AJ266" i="176" s="1"/>
  <c r="AJ301" i="176" s="1"/>
  <c r="AJ336" i="176" s="1"/>
  <c r="AJ371" i="176" s="1"/>
  <c r="AJ406" i="176" s="1"/>
  <c r="AJ441" i="176" s="1"/>
  <c r="AJ476" i="176" s="1"/>
  <c r="AJ511" i="176" s="1"/>
  <c r="AJ546" i="176" s="1"/>
  <c r="AJ581" i="176" s="1"/>
  <c r="AH57" i="142"/>
  <c r="S235" i="133"/>
  <c r="Q57" i="142" s="1"/>
  <c r="T35" i="133"/>
  <c r="T36" i="133" s="1"/>
  <c r="T141" i="133" s="1"/>
  <c r="Z35" i="133"/>
  <c r="Z235" i="133" s="1"/>
  <c r="X57" i="142" s="1"/>
  <c r="H35" i="133"/>
  <c r="H36" i="133" s="1"/>
  <c r="H141" i="133" s="1"/>
  <c r="Y45" i="133"/>
  <c r="Y237" i="133" s="1"/>
  <c r="W59" i="142" s="1"/>
  <c r="U45" i="133"/>
  <c r="U46" i="133" s="1"/>
  <c r="U143" i="133" s="1"/>
  <c r="H45" i="133"/>
  <c r="H46" i="133" s="1"/>
  <c r="H143" i="133" s="1"/>
  <c r="I35" i="133"/>
  <c r="I235" i="133" s="1"/>
  <c r="G57" i="142" s="1"/>
  <c r="R45" i="133"/>
  <c r="AC149" i="142"/>
  <c r="G45" i="133"/>
  <c r="W45" i="133"/>
  <c r="W237" i="133" s="1"/>
  <c r="U59" i="142" s="1"/>
  <c r="L45" i="133"/>
  <c r="L46" i="133" s="1"/>
  <c r="L143" i="133" s="1"/>
  <c r="Q72" i="133"/>
  <c r="Q73" i="133" s="1"/>
  <c r="Q148" i="133" s="1"/>
  <c r="J35" i="133"/>
  <c r="J36" i="133" s="1"/>
  <c r="J141" i="133" s="1"/>
  <c r="AC35" i="133"/>
  <c r="AC235" i="133" s="1"/>
  <c r="AA57" i="142" s="1"/>
  <c r="O35" i="133"/>
  <c r="O235" i="133" s="1"/>
  <c r="M57" i="142" s="1"/>
  <c r="K35" i="133"/>
  <c r="K235" i="133" s="1"/>
  <c r="I102" i="142" s="1"/>
  <c r="AA35" i="133"/>
  <c r="AA235" i="133" s="1"/>
  <c r="Y57" i="142" s="1"/>
  <c r="AB45" i="133"/>
  <c r="AB237" i="133" s="1"/>
  <c r="Z59" i="142" s="1"/>
  <c r="AI59" i="142"/>
  <c r="Y35" i="133"/>
  <c r="Y235" i="133" s="1"/>
  <c r="W57" i="142" s="1"/>
  <c r="N35" i="133"/>
  <c r="N235" i="133" s="1"/>
  <c r="L57" i="142" s="1"/>
  <c r="AC57" i="142"/>
  <c r="Q35" i="133"/>
  <c r="Q36" i="133" s="1"/>
  <c r="Q141" i="133" s="1"/>
  <c r="AB35" i="133"/>
  <c r="AB235" i="133" s="1"/>
  <c r="Z57" i="142" s="1"/>
  <c r="G35" i="133"/>
  <c r="G235" i="133" s="1"/>
  <c r="E57" i="142" s="1"/>
  <c r="U35" i="133"/>
  <c r="U36" i="133" s="1"/>
  <c r="U141" i="133" s="1"/>
  <c r="M35" i="133"/>
  <c r="M235" i="133" s="1"/>
  <c r="K102" i="142" s="1"/>
  <c r="W35" i="133"/>
  <c r="W235" i="133" s="1"/>
  <c r="U57" i="142" s="1"/>
  <c r="L35" i="133"/>
  <c r="L36" i="133" s="1"/>
  <c r="L141" i="133" s="1"/>
  <c r="AI57" i="142"/>
  <c r="P35" i="133"/>
  <c r="P36" i="133" s="1"/>
  <c r="P141" i="133" s="1"/>
  <c r="V35" i="133"/>
  <c r="V235" i="133" s="1"/>
  <c r="AL57" i="142"/>
  <c r="AN57" i="142"/>
  <c r="AB57" i="142"/>
  <c r="X35" i="133"/>
  <c r="X235" i="133" s="1"/>
  <c r="V46" i="133"/>
  <c r="V143" i="133" s="1"/>
  <c r="AL199" i="166"/>
  <c r="AG58" i="142"/>
  <c r="P41" i="133"/>
  <c r="P142" i="133" s="1"/>
  <c r="K236" i="133"/>
  <c r="I103" i="142" s="1"/>
  <c r="M3" i="173"/>
  <c r="M40" i="173" s="1"/>
  <c r="M118" i="173" s="1"/>
  <c r="M196" i="173" s="1"/>
  <c r="M224" i="173" s="1"/>
  <c r="M252" i="173" s="1"/>
  <c r="M280" i="173" s="1"/>
  <c r="M308" i="173" s="1"/>
  <c r="M336" i="173" s="1"/>
  <c r="M364" i="173" s="1"/>
  <c r="M392" i="173" s="1"/>
  <c r="M420" i="173" s="1"/>
  <c r="M448" i="173" s="1"/>
  <c r="M476" i="173" s="1"/>
  <c r="M504" i="173" s="1"/>
  <c r="N3" i="173"/>
  <c r="N40" i="173" s="1"/>
  <c r="N118" i="173" s="1"/>
  <c r="N196" i="173" s="1"/>
  <c r="N224" i="173" s="1"/>
  <c r="N252" i="173" s="1"/>
  <c r="N280" i="173" s="1"/>
  <c r="N308" i="173" s="1"/>
  <c r="N336" i="173" s="1"/>
  <c r="N364" i="173" s="1"/>
  <c r="N392" i="173" s="1"/>
  <c r="N420" i="173" s="1"/>
  <c r="N448" i="173" s="1"/>
  <c r="N476" i="173" s="1"/>
  <c r="N504" i="173" s="1"/>
  <c r="M236" i="133"/>
  <c r="K12" i="142" s="1"/>
  <c r="Q195" i="135"/>
  <c r="Y195" i="135"/>
  <c r="AA195" i="135"/>
  <c r="AB195" i="135"/>
  <c r="Y196" i="135"/>
  <c r="X195" i="135"/>
  <c r="W196" i="135"/>
  <c r="W195" i="135"/>
  <c r="Z196" i="135"/>
  <c r="P195" i="135"/>
  <c r="U196" i="135"/>
  <c r="AD195" i="135"/>
  <c r="AE195" i="135"/>
  <c r="T196" i="135"/>
  <c r="N196" i="135"/>
  <c r="N195" i="135"/>
  <c r="R195" i="135"/>
  <c r="X196" i="135"/>
  <c r="P196" i="135"/>
  <c r="O195" i="135"/>
  <c r="S195" i="135"/>
  <c r="AA196" i="135"/>
  <c r="V196" i="135"/>
  <c r="Z195" i="135"/>
  <c r="AF196" i="135"/>
  <c r="O196" i="135"/>
  <c r="V195" i="135"/>
  <c r="AD196" i="135"/>
  <c r="S196" i="135"/>
  <c r="U195" i="135"/>
  <c r="AF195" i="135"/>
  <c r="AC196" i="135"/>
  <c r="R196" i="135"/>
  <c r="AE196" i="135"/>
  <c r="Q196" i="135"/>
  <c r="T195" i="135"/>
  <c r="AB196" i="135"/>
  <c r="AC195" i="135"/>
  <c r="X236" i="133"/>
  <c r="V58" i="142" s="1"/>
  <c r="I236" i="133"/>
  <c r="G58" i="142" s="1"/>
  <c r="V236" i="133"/>
  <c r="T58" i="142" s="1"/>
  <c r="AN58" i="142"/>
  <c r="AA236" i="133"/>
  <c r="Y58" i="142" s="1"/>
  <c r="AC41" i="133"/>
  <c r="AC142" i="133" s="1"/>
  <c r="Q41" i="133"/>
  <c r="Q142" i="133" s="1"/>
  <c r="T41" i="133"/>
  <c r="T142" i="133" s="1"/>
  <c r="W41" i="133"/>
  <c r="W142" i="133" s="1"/>
  <c r="AL58" i="142"/>
  <c r="AB236" i="133"/>
  <c r="Z58" i="142" s="1"/>
  <c r="G236" i="133"/>
  <c r="E58" i="142" s="1"/>
  <c r="AM58" i="142"/>
  <c r="Z41" i="133"/>
  <c r="Z142" i="133" s="1"/>
  <c r="S236" i="133"/>
  <c r="Q148" i="142" s="1"/>
  <c r="U236" i="133"/>
  <c r="S58" i="142" s="1"/>
  <c r="R41" i="133"/>
  <c r="R142" i="133" s="1"/>
  <c r="O236" i="133"/>
  <c r="M58" i="142" s="1"/>
  <c r="E40" i="133"/>
  <c r="AJ148" i="142"/>
  <c r="J236" i="133"/>
  <c r="H58" i="142" s="1"/>
  <c r="H41" i="133"/>
  <c r="H142" i="133" s="1"/>
  <c r="N236" i="133"/>
  <c r="L58" i="142" s="1"/>
  <c r="L236" i="133"/>
  <c r="J58" i="142" s="1"/>
  <c r="Y236" i="133"/>
  <c r="W58" i="142" s="1"/>
  <c r="L2" i="167"/>
  <c r="L2" i="154"/>
  <c r="AI2" i="167"/>
  <c r="M2" i="167"/>
  <c r="M2" i="154"/>
  <c r="R188" i="135"/>
  <c r="R188" i="166"/>
  <c r="V190" i="135"/>
  <c r="V190" i="166"/>
  <c r="N191" i="135"/>
  <c r="N191" i="166"/>
  <c r="Y188" i="166"/>
  <c r="O191" i="135"/>
  <c r="O191" i="166"/>
  <c r="Z188" i="135"/>
  <c r="Z188" i="166"/>
  <c r="W188" i="135"/>
  <c r="W188" i="166"/>
  <c r="AE191" i="135"/>
  <c r="AE191" i="166"/>
  <c r="R191" i="135"/>
  <c r="R191" i="166"/>
  <c r="AI188" i="166"/>
  <c r="N188" i="135"/>
  <c r="N188" i="166"/>
  <c r="AA191" i="135"/>
  <c r="AA191" i="166"/>
  <c r="AD191" i="135"/>
  <c r="AD191" i="166"/>
  <c r="AM188" i="166"/>
  <c r="P191" i="135"/>
  <c r="P191" i="166"/>
  <c r="X191" i="135"/>
  <c r="X191" i="166"/>
  <c r="AE188" i="135"/>
  <c r="AE188" i="166"/>
  <c r="V191" i="135"/>
  <c r="V191" i="166"/>
  <c r="AH188" i="166"/>
  <c r="T188" i="166"/>
  <c r="AK188" i="166"/>
  <c r="AL191" i="166"/>
  <c r="O188" i="135"/>
  <c r="O188" i="166"/>
  <c r="Y191" i="135"/>
  <c r="Y191" i="166"/>
  <c r="AA188" i="135"/>
  <c r="AA188" i="166"/>
  <c r="Q188" i="135"/>
  <c r="Q188" i="166"/>
  <c r="AF188" i="135"/>
  <c r="AF188" i="166"/>
  <c r="AC188" i="135"/>
  <c r="AC188" i="166"/>
  <c r="AB191" i="135"/>
  <c r="AB191" i="166"/>
  <c r="P188" i="135"/>
  <c r="P188" i="166"/>
  <c r="Q191" i="135"/>
  <c r="Q191" i="166"/>
  <c r="CI289" i="133"/>
  <c r="CI291" i="133"/>
  <c r="I323" i="133"/>
  <c r="I370" i="133" s="1"/>
  <c r="P9" i="166"/>
  <c r="P3" i="166"/>
  <c r="AL3" i="166"/>
  <c r="AL9" i="166"/>
  <c r="O9" i="166"/>
  <c r="O3" i="166"/>
  <c r="G145" i="133"/>
  <c r="K3" i="161"/>
  <c r="K4" i="149"/>
  <c r="K10" i="149" s="1"/>
  <c r="K24" i="149" s="1"/>
  <c r="K4" i="146"/>
  <c r="AG3" i="161"/>
  <c r="J3" i="161"/>
  <c r="J4" i="149"/>
  <c r="J10" i="149" s="1"/>
  <c r="J24" i="149" s="1"/>
  <c r="J4" i="146"/>
  <c r="H11" i="137"/>
  <c r="H57" i="137" s="1"/>
  <c r="AE31" i="152"/>
  <c r="AE42" i="152" s="1"/>
  <c r="AE35" i="152"/>
  <c r="AE43" i="152" s="1"/>
  <c r="I5" i="142"/>
  <c r="I51" i="142" s="1"/>
  <c r="I96" i="142" s="1"/>
  <c r="I141" i="142" s="1"/>
  <c r="I186" i="142" s="1"/>
  <c r="K135" i="133"/>
  <c r="AF5" i="142"/>
  <c r="AF51" i="142" s="1"/>
  <c r="AF96" i="142" s="1"/>
  <c r="AF141" i="142" s="1"/>
  <c r="AF186" i="142" s="1"/>
  <c r="L18" i="152"/>
  <c r="K3" i="153"/>
  <c r="K18" i="152"/>
  <c r="J3" i="153"/>
  <c r="AH18" i="152"/>
  <c r="AF22" i="152"/>
  <c r="AF26" i="152" s="1"/>
  <c r="AC148" i="142"/>
  <c r="AC103" i="142"/>
  <c r="AC12" i="142"/>
  <c r="AL152" i="142"/>
  <c r="AL107" i="142"/>
  <c r="AL16" i="142"/>
  <c r="AB145" i="142"/>
  <c r="AB100" i="142"/>
  <c r="AB9" i="142"/>
  <c r="AO148" i="142"/>
  <c r="AO103" i="142"/>
  <c r="AO12" i="142"/>
  <c r="AF108" i="142"/>
  <c r="AF153" i="142"/>
  <c r="AF17" i="142"/>
  <c r="K107" i="142"/>
  <c r="K152" i="142"/>
  <c r="K16" i="142"/>
  <c r="I4" i="145"/>
  <c r="I11" i="145" s="1"/>
  <c r="I54" i="145" s="1"/>
  <c r="I4" i="144"/>
  <c r="N107" i="142"/>
  <c r="N152" i="142"/>
  <c r="N16" i="142"/>
  <c r="U153" i="142"/>
  <c r="U108" i="142"/>
  <c r="U17" i="142"/>
  <c r="R153" i="142"/>
  <c r="R108" i="142"/>
  <c r="R17" i="142"/>
  <c r="AE108" i="142"/>
  <c r="AE153" i="142"/>
  <c r="AE17" i="142"/>
  <c r="G108" i="142"/>
  <c r="G153" i="142"/>
  <c r="G17" i="142"/>
  <c r="AJ153" i="142"/>
  <c r="AJ108" i="142"/>
  <c r="AJ17" i="142"/>
  <c r="V108" i="142"/>
  <c r="V153" i="142"/>
  <c r="V17" i="142"/>
  <c r="P107" i="142"/>
  <c r="P152" i="142"/>
  <c r="P16" i="142"/>
  <c r="AI108" i="142"/>
  <c r="AI153" i="142"/>
  <c r="AI17" i="142"/>
  <c r="AK153" i="142"/>
  <c r="AK108" i="142"/>
  <c r="AK17" i="142"/>
  <c r="V152" i="142"/>
  <c r="V107" i="142"/>
  <c r="V16" i="142"/>
  <c r="AI63" i="142"/>
  <c r="AJ107" i="142"/>
  <c r="AJ152" i="142"/>
  <c r="AJ16" i="142"/>
  <c r="AH107" i="142"/>
  <c r="AH152" i="142"/>
  <c r="AH16" i="142"/>
  <c r="Y153" i="142"/>
  <c r="Y108" i="142"/>
  <c r="Y17" i="142"/>
  <c r="P148" i="142"/>
  <c r="P103" i="142"/>
  <c r="P12" i="142"/>
  <c r="P153" i="142"/>
  <c r="P108" i="142"/>
  <c r="P17" i="142"/>
  <c r="AI148" i="142"/>
  <c r="AI103" i="142"/>
  <c r="AI12" i="142"/>
  <c r="T152" i="142"/>
  <c r="T107" i="142"/>
  <c r="T16" i="142"/>
  <c r="AB148" i="142"/>
  <c r="AB103" i="142"/>
  <c r="AB12" i="142"/>
  <c r="E151" i="142"/>
  <c r="E106" i="142"/>
  <c r="E15" i="142"/>
  <c r="AL108" i="142"/>
  <c r="AL153" i="142"/>
  <c r="AL17" i="142"/>
  <c r="AL62" i="142"/>
  <c r="F148" i="142"/>
  <c r="F103" i="142"/>
  <c r="F12" i="142"/>
  <c r="AM153" i="142"/>
  <c r="AM108" i="142"/>
  <c r="AM17" i="142"/>
  <c r="AM107" i="142"/>
  <c r="AM152" i="142"/>
  <c r="AM16" i="142"/>
  <c r="I152" i="142"/>
  <c r="I107" i="142"/>
  <c r="I16" i="142"/>
  <c r="AI58" i="142"/>
  <c r="J107" i="142"/>
  <c r="J152" i="142"/>
  <c r="J16" i="142"/>
  <c r="L152" i="142"/>
  <c r="L107" i="142"/>
  <c r="L16" i="142"/>
  <c r="AE107" i="142"/>
  <c r="AE152" i="142"/>
  <c r="AE16" i="142"/>
  <c r="AD152" i="142"/>
  <c r="AD107" i="142"/>
  <c r="AD16" i="142"/>
  <c r="AH153" i="142"/>
  <c r="AH108" i="142"/>
  <c r="AH17" i="142"/>
  <c r="H107" i="142"/>
  <c r="H152" i="142"/>
  <c r="H16" i="142"/>
  <c r="AO107" i="142"/>
  <c r="AO152" i="142"/>
  <c r="AO16" i="142"/>
  <c r="AB107" i="142"/>
  <c r="AB152" i="142"/>
  <c r="AB16" i="142"/>
  <c r="R63" i="142"/>
  <c r="M152" i="142"/>
  <c r="M107" i="142"/>
  <c r="M16" i="142"/>
  <c r="W153" i="142"/>
  <c r="W108" i="142"/>
  <c r="W17" i="142"/>
  <c r="P58" i="142"/>
  <c r="G152" i="142"/>
  <c r="G107" i="142"/>
  <c r="G16" i="142"/>
  <c r="AC145" i="142"/>
  <c r="AC100" i="142"/>
  <c r="AC9" i="142"/>
  <c r="F145" i="142"/>
  <c r="F100" i="142"/>
  <c r="F9" i="142"/>
  <c r="M62" i="142"/>
  <c r="X148" i="142"/>
  <c r="X103" i="142"/>
  <c r="X12" i="142"/>
  <c r="Q153" i="142"/>
  <c r="Q108" i="142"/>
  <c r="Q17" i="142"/>
  <c r="S108" i="142"/>
  <c r="S153" i="142"/>
  <c r="S17" i="142"/>
  <c r="AD108" i="142"/>
  <c r="AD153" i="142"/>
  <c r="AD17" i="142"/>
  <c r="AG108" i="142"/>
  <c r="AG153" i="142"/>
  <c r="AG17" i="142"/>
  <c r="AO106" i="142"/>
  <c r="AO151" i="142"/>
  <c r="AO15" i="142"/>
  <c r="T145" i="142"/>
  <c r="T100" i="142"/>
  <c r="T9" i="142"/>
  <c r="P145" i="142"/>
  <c r="P100" i="142"/>
  <c r="P9" i="142"/>
  <c r="F55" i="142"/>
  <c r="AB62" i="142"/>
  <c r="N148" i="142"/>
  <c r="N103" i="142"/>
  <c r="N12" i="142"/>
  <c r="O152" i="142"/>
  <c r="O107" i="142"/>
  <c r="O16" i="142"/>
  <c r="AI107" i="142"/>
  <c r="AI152" i="142"/>
  <c r="AI16" i="142"/>
  <c r="AO66" i="142"/>
  <c r="M153" i="142"/>
  <c r="M108" i="142"/>
  <c r="M17" i="142"/>
  <c r="AC108" i="142"/>
  <c r="AC153" i="142"/>
  <c r="AC17" i="142"/>
  <c r="AB108" i="142"/>
  <c r="AB153" i="142"/>
  <c r="AB17" i="142"/>
  <c r="Z152" i="142"/>
  <c r="Z107" i="142"/>
  <c r="Z16" i="142"/>
  <c r="Q63" i="142"/>
  <c r="AO145" i="142"/>
  <c r="AO100" i="142"/>
  <c r="AO9" i="142"/>
  <c r="F107" i="142"/>
  <c r="F152" i="142"/>
  <c r="F16" i="142"/>
  <c r="Q152" i="142"/>
  <c r="Q107" i="142"/>
  <c r="Q16" i="142"/>
  <c r="K62" i="142"/>
  <c r="W145" i="142"/>
  <c r="W100" i="142"/>
  <c r="W9" i="142"/>
  <c r="G62" i="142"/>
  <c r="AN145" i="142"/>
  <c r="AN100" i="142"/>
  <c r="AN9" i="142"/>
  <c r="Q145" i="142"/>
  <c r="Q100" i="142"/>
  <c r="Q9" i="142"/>
  <c r="U148" i="142"/>
  <c r="U103" i="142"/>
  <c r="U12" i="142"/>
  <c r="I108" i="142"/>
  <c r="I153" i="142"/>
  <c r="I17" i="142"/>
  <c r="Q55" i="142"/>
  <c r="AN107" i="142"/>
  <c r="AN152" i="142"/>
  <c r="AN16" i="142"/>
  <c r="G63" i="142"/>
  <c r="X107" i="142"/>
  <c r="X152" i="142"/>
  <c r="X16" i="142"/>
  <c r="AC152" i="142"/>
  <c r="AC107" i="142"/>
  <c r="AC16" i="142"/>
  <c r="AO64" i="142"/>
  <c r="AM62" i="142"/>
  <c r="AH148" i="142"/>
  <c r="AH103" i="142"/>
  <c r="AH12" i="142"/>
  <c r="Y145" i="142"/>
  <c r="Y100" i="142"/>
  <c r="Y9" i="142"/>
  <c r="X108" i="142"/>
  <c r="X153" i="142"/>
  <c r="X17" i="142"/>
  <c r="AG145" i="142"/>
  <c r="AG100" i="142"/>
  <c r="AG9" i="142"/>
  <c r="H106" i="142"/>
  <c r="H151" i="142"/>
  <c r="H15" i="142"/>
  <c r="AJ145" i="142"/>
  <c r="AJ100" i="142"/>
  <c r="AJ9" i="142"/>
  <c r="S107" i="142"/>
  <c r="S152" i="142"/>
  <c r="S16" i="142"/>
  <c r="AC63" i="142"/>
  <c r="AB55" i="142"/>
  <c r="V62" i="142"/>
  <c r="AK152" i="142"/>
  <c r="AK107" i="142"/>
  <c r="AK16" i="142"/>
  <c r="AJ63" i="142"/>
  <c r="AD148" i="142"/>
  <c r="AD103" i="142"/>
  <c r="AD12" i="142"/>
  <c r="AM145" i="142"/>
  <c r="AM100" i="142"/>
  <c r="AM9" i="142"/>
  <c r="J108" i="142"/>
  <c r="J153" i="142"/>
  <c r="J17" i="142"/>
  <c r="V63" i="142"/>
  <c r="AK62" i="142"/>
  <c r="H61" i="142"/>
  <c r="Y107" i="142"/>
  <c r="Y152" i="142"/>
  <c r="Y16" i="142"/>
  <c r="W55" i="142"/>
  <c r="U152" i="142"/>
  <c r="U107" i="142"/>
  <c r="U16" i="142"/>
  <c r="S145" i="142"/>
  <c r="S100" i="142"/>
  <c r="S9" i="142"/>
  <c r="G151" i="142"/>
  <c r="G106" i="142"/>
  <c r="G15" i="142"/>
  <c r="AF107" i="142"/>
  <c r="AF152" i="142"/>
  <c r="AF16" i="142"/>
  <c r="Z153" i="142"/>
  <c r="Z108" i="142"/>
  <c r="Z17" i="142"/>
  <c r="AE148" i="142"/>
  <c r="AE103" i="142"/>
  <c r="AE12" i="142"/>
  <c r="AN153" i="142"/>
  <c r="AN108" i="142"/>
  <c r="AN17" i="142"/>
  <c r="AA148" i="142"/>
  <c r="AA103" i="142"/>
  <c r="AA12" i="142"/>
  <c r="L108" i="142"/>
  <c r="L153" i="142"/>
  <c r="L17" i="142"/>
  <c r="T149" i="142"/>
  <c r="T104" i="142"/>
  <c r="T13" i="142"/>
  <c r="T153" i="142"/>
  <c r="T108" i="142"/>
  <c r="T17" i="142"/>
  <c r="F151" i="142"/>
  <c r="F106" i="142"/>
  <c r="F15" i="142"/>
  <c r="N153" i="142"/>
  <c r="N108" i="142"/>
  <c r="N17" i="142"/>
  <c r="AB63" i="142"/>
  <c r="N145" i="142"/>
  <c r="N100" i="142"/>
  <c r="N9" i="142"/>
  <c r="K108" i="142"/>
  <c r="K153" i="142"/>
  <c r="K17" i="142"/>
  <c r="R148" i="142"/>
  <c r="R103" i="142"/>
  <c r="R12" i="142"/>
  <c r="AN106" i="142"/>
  <c r="AN151" i="142"/>
  <c r="AN15" i="142"/>
  <c r="AG107" i="142"/>
  <c r="AG152" i="142"/>
  <c r="AG16" i="142"/>
  <c r="O153" i="142"/>
  <c r="O108" i="142"/>
  <c r="O17" i="142"/>
  <c r="U63" i="142"/>
  <c r="T55" i="142"/>
  <c r="AJ62" i="142"/>
  <c r="E61" i="142"/>
  <c r="AK148" i="142"/>
  <c r="AK103" i="142"/>
  <c r="AK12" i="142"/>
  <c r="Y62" i="142"/>
  <c r="AE145" i="142"/>
  <c r="AE100" i="142"/>
  <c r="AE9" i="142"/>
  <c r="AA108" i="142"/>
  <c r="AA153" i="142"/>
  <c r="AA17" i="142"/>
  <c r="O148" i="142"/>
  <c r="O103" i="142"/>
  <c r="O12" i="142"/>
  <c r="O145" i="142"/>
  <c r="O100" i="142"/>
  <c r="O9" i="142"/>
  <c r="H108" i="142"/>
  <c r="H153" i="142"/>
  <c r="H17" i="142"/>
  <c r="R152" i="142"/>
  <c r="R107" i="142"/>
  <c r="R16" i="142"/>
  <c r="AF148" i="142"/>
  <c r="AF103" i="142"/>
  <c r="AF12" i="142"/>
  <c r="AE55" i="142"/>
  <c r="AA152" i="142"/>
  <c r="AA107" i="142"/>
  <c r="AA16" i="142"/>
  <c r="AL145" i="142"/>
  <c r="AL100" i="142"/>
  <c r="AL9" i="142"/>
  <c r="AI62" i="142"/>
  <c r="E107" i="142"/>
  <c r="E152" i="142"/>
  <c r="E16" i="142"/>
  <c r="AC58" i="142"/>
  <c r="F153" i="142"/>
  <c r="F108" i="142"/>
  <c r="F17" i="142"/>
  <c r="W152" i="142"/>
  <c r="W107" i="142"/>
  <c r="W16" i="142"/>
  <c r="AA63" i="142"/>
  <c r="I62" i="142"/>
  <c r="AA62" i="142"/>
  <c r="AH58" i="142"/>
  <c r="Q21" i="133"/>
  <c r="Q138" i="133" s="1"/>
  <c r="Q232" i="133"/>
  <c r="G142" i="133"/>
  <c r="AB21" i="133"/>
  <c r="AB138" i="133" s="1"/>
  <c r="AB232" i="133"/>
  <c r="W21" i="133"/>
  <c r="W138" i="133" s="1"/>
  <c r="W232" i="133"/>
  <c r="AC17" i="133"/>
  <c r="AC137" i="133" s="1"/>
  <c r="AC231" i="133"/>
  <c r="N21" i="133"/>
  <c r="N138" i="133" s="1"/>
  <c r="N232" i="133"/>
  <c r="G242" i="133"/>
  <c r="E64" i="142" s="1"/>
  <c r="K17" i="133"/>
  <c r="K137" i="133" s="1"/>
  <c r="K231" i="133"/>
  <c r="M231" i="133"/>
  <c r="M17" i="133"/>
  <c r="M137" i="133" s="1"/>
  <c r="H150" i="133"/>
  <c r="H244" i="133"/>
  <c r="F66" i="142" s="1"/>
  <c r="H21" i="133"/>
  <c r="H138" i="133" s="1"/>
  <c r="H232" i="133"/>
  <c r="Z21" i="133"/>
  <c r="Z138" i="133" s="1"/>
  <c r="Z232" i="133"/>
  <c r="G232" i="133"/>
  <c r="G21" i="133"/>
  <c r="E20" i="133"/>
  <c r="P17" i="133"/>
  <c r="P137" i="133" s="1"/>
  <c r="P231" i="133"/>
  <c r="I230" i="133"/>
  <c r="I136" i="133"/>
  <c r="J136" i="133"/>
  <c r="J230" i="133"/>
  <c r="I148" i="133"/>
  <c r="I242" i="133"/>
  <c r="G64" i="142" s="1"/>
  <c r="G150" i="133"/>
  <c r="G244" i="133"/>
  <c r="E66" i="142" s="1"/>
  <c r="AK64" i="142"/>
  <c r="Z17" i="133"/>
  <c r="Z137" i="133" s="1"/>
  <c r="Z231" i="133"/>
  <c r="T17" i="133"/>
  <c r="T137" i="133" s="1"/>
  <c r="T231" i="133"/>
  <c r="X21" i="133"/>
  <c r="X138" i="133" s="1"/>
  <c r="X232" i="133"/>
  <c r="AM64" i="142"/>
  <c r="Q17" i="133"/>
  <c r="Q137" i="133" s="1"/>
  <c r="Q231" i="133"/>
  <c r="I150" i="133"/>
  <c r="I244" i="133"/>
  <c r="G66" i="142" s="1"/>
  <c r="G136" i="133"/>
  <c r="G230" i="133"/>
  <c r="G139" i="133"/>
  <c r="R17" i="133"/>
  <c r="R137" i="133" s="1"/>
  <c r="R231" i="133"/>
  <c r="S21" i="133"/>
  <c r="S138" i="133" s="1"/>
  <c r="S232" i="133"/>
  <c r="I17" i="133"/>
  <c r="I137" i="133" s="1"/>
  <c r="I231" i="133"/>
  <c r="J17" i="133"/>
  <c r="J137" i="133" s="1"/>
  <c r="J231" i="133"/>
  <c r="Y17" i="133"/>
  <c r="Y137" i="133" s="1"/>
  <c r="Y231" i="133"/>
  <c r="V17" i="133"/>
  <c r="V137" i="133" s="1"/>
  <c r="V231" i="133"/>
  <c r="G149" i="133"/>
  <c r="O21" i="133"/>
  <c r="O138" i="133" s="1"/>
  <c r="O232" i="133"/>
  <c r="AB17" i="133"/>
  <c r="AB137" i="133" s="1"/>
  <c r="AB231" i="133"/>
  <c r="S17" i="133"/>
  <c r="S137" i="133" s="1"/>
  <c r="S231" i="133"/>
  <c r="R232" i="133"/>
  <c r="R21" i="133"/>
  <c r="R138" i="133" s="1"/>
  <c r="I21" i="133"/>
  <c r="I138" i="133" s="1"/>
  <c r="I232" i="133"/>
  <c r="W17" i="133"/>
  <c r="W137" i="133" s="1"/>
  <c r="W231" i="133"/>
  <c r="AA21" i="133"/>
  <c r="AA138" i="133" s="1"/>
  <c r="AA232" i="133"/>
  <c r="U231" i="133"/>
  <c r="U17" i="133"/>
  <c r="U137" i="133" s="1"/>
  <c r="J150" i="133"/>
  <c r="J244" i="133"/>
  <c r="H66" i="142" s="1"/>
  <c r="AI64" i="142"/>
  <c r="H231" i="133"/>
  <c r="H17" i="133"/>
  <c r="H137" i="133" s="1"/>
  <c r="F240" i="133"/>
  <c r="M21" i="133"/>
  <c r="M138" i="133" s="1"/>
  <c r="M232" i="133"/>
  <c r="E62" i="133"/>
  <c r="AC21" i="133"/>
  <c r="AC138" i="133" s="1"/>
  <c r="AC232" i="133"/>
  <c r="L232" i="133"/>
  <c r="L21" i="133"/>
  <c r="L138" i="133" s="1"/>
  <c r="H136" i="133"/>
  <c r="H230" i="133"/>
  <c r="AE64" i="142"/>
  <c r="G32" i="133"/>
  <c r="G140" i="133" s="1"/>
  <c r="G234" i="133"/>
  <c r="V21" i="133"/>
  <c r="V138" i="133" s="1"/>
  <c r="V232" i="133"/>
  <c r="AC64" i="142"/>
  <c r="G17" i="133"/>
  <c r="G231" i="133"/>
  <c r="E16" i="133"/>
  <c r="H242" i="133"/>
  <c r="F64" i="142" s="1"/>
  <c r="H148" i="133"/>
  <c r="AA17" i="133"/>
  <c r="AA137" i="133" s="1"/>
  <c r="AA231" i="133"/>
  <c r="Y21" i="133"/>
  <c r="Y138" i="133" s="1"/>
  <c r="Y232" i="133"/>
  <c r="L17" i="133"/>
  <c r="L137" i="133" s="1"/>
  <c r="L231" i="133"/>
  <c r="AD64" i="142"/>
  <c r="K21" i="133"/>
  <c r="K138" i="133" s="1"/>
  <c r="K232" i="133"/>
  <c r="AN66" i="142"/>
  <c r="U21" i="133"/>
  <c r="U138" i="133" s="1"/>
  <c r="U232" i="133"/>
  <c r="J21" i="133"/>
  <c r="J138" i="133" s="1"/>
  <c r="J232" i="133"/>
  <c r="X17" i="133"/>
  <c r="X137" i="133" s="1"/>
  <c r="X231" i="133"/>
  <c r="T21" i="133"/>
  <c r="T138" i="133" s="1"/>
  <c r="T232" i="133"/>
  <c r="N17" i="133"/>
  <c r="N137" i="133" s="1"/>
  <c r="N231" i="133"/>
  <c r="AN64" i="142"/>
  <c r="P232" i="133"/>
  <c r="P21" i="133"/>
  <c r="P138" i="133" s="1"/>
  <c r="O17" i="133"/>
  <c r="O137" i="133" s="1"/>
  <c r="O231" i="133"/>
  <c r="I5" i="140"/>
  <c r="J5" i="140"/>
  <c r="K82" i="133"/>
  <c r="K83" i="133" s="1"/>
  <c r="K10" i="133"/>
  <c r="K4" i="136"/>
  <c r="P9" i="135"/>
  <c r="J4" i="136"/>
  <c r="O9" i="135"/>
  <c r="I4" i="137"/>
  <c r="I10" i="136"/>
  <c r="I30" i="136" s="1"/>
  <c r="P3" i="135"/>
  <c r="M3" i="133"/>
  <c r="K6" i="130"/>
  <c r="O3" i="135"/>
  <c r="L3" i="133"/>
  <c r="J6" i="130"/>
  <c r="I7" i="130"/>
  <c r="J4" i="130"/>
  <c r="K4" i="130"/>
  <c r="L3" i="130"/>
  <c r="J22" i="152" l="1"/>
  <c r="J26" i="152" s="1"/>
  <c r="J39" i="152"/>
  <c r="J49" i="152" s="1"/>
  <c r="N157" i="135" s="1" a="1"/>
  <c r="N157" i="135" s="1"/>
  <c r="N285" i="135" s="1"/>
  <c r="K12" i="133"/>
  <c r="Y188" i="135"/>
  <c r="I17" i="144"/>
  <c r="I18" i="144"/>
  <c r="G24" i="144"/>
  <c r="T188" i="135"/>
  <c r="I19" i="144"/>
  <c r="I12" i="144"/>
  <c r="I16" i="144"/>
  <c r="H20" i="144"/>
  <c r="H23" i="144" s="1"/>
  <c r="V188" i="135"/>
  <c r="U188" i="135"/>
  <c r="V188" i="166"/>
  <c r="CJ302" i="133"/>
  <c r="AC242" i="133"/>
  <c r="AA109" i="142" s="1"/>
  <c r="AD145" i="142"/>
  <c r="L9" i="142"/>
  <c r="CJ305" i="133"/>
  <c r="L100" i="142"/>
  <c r="CJ284" i="133"/>
  <c r="L145" i="142"/>
  <c r="CJ308" i="133"/>
  <c r="CJ313" i="133"/>
  <c r="CJ287" i="133"/>
  <c r="AD55" i="142"/>
  <c r="CJ301" i="133"/>
  <c r="U188" i="166"/>
  <c r="CJ290" i="133"/>
  <c r="CJ306" i="133"/>
  <c r="AD9" i="142"/>
  <c r="CJ286" i="133"/>
  <c r="AF49" i="152"/>
  <c r="AD186" i="166"/>
  <c r="AK187" i="166"/>
  <c r="T190" i="166"/>
  <c r="U190" i="166"/>
  <c r="AM187" i="166"/>
  <c r="R186" i="166"/>
  <c r="AJ187" i="166"/>
  <c r="S187" i="166"/>
  <c r="AM186" i="166"/>
  <c r="W187" i="166"/>
  <c r="AF187" i="166"/>
  <c r="AH186" i="166"/>
  <c r="AI187" i="166"/>
  <c r="AA186" i="166"/>
  <c r="Y187" i="166"/>
  <c r="AE186" i="166"/>
  <c r="AG186" i="166"/>
  <c r="AI186" i="166"/>
  <c r="AH187" i="166"/>
  <c r="P187" i="166"/>
  <c r="AJ190" i="166"/>
  <c r="R187" i="166"/>
  <c r="Q187" i="166"/>
  <c r="X187" i="166"/>
  <c r="U187" i="166"/>
  <c r="Q186" i="166"/>
  <c r="AF186" i="166"/>
  <c r="W186" i="166"/>
  <c r="AC187" i="166"/>
  <c r="AD187" i="166"/>
  <c r="V187" i="166"/>
  <c r="AK186" i="166"/>
  <c r="AJ186" i="166"/>
  <c r="N187" i="166"/>
  <c r="AC186" i="166"/>
  <c r="AG187" i="166"/>
  <c r="U186" i="166"/>
  <c r="T187" i="166"/>
  <c r="O187" i="166"/>
  <c r="N186" i="166"/>
  <c r="V198" i="166"/>
  <c r="V186" i="166"/>
  <c r="AL187" i="166"/>
  <c r="Z187" i="166"/>
  <c r="O186" i="166"/>
  <c r="Z186" i="166"/>
  <c r="P186" i="166"/>
  <c r="Y186" i="166"/>
  <c r="AB186" i="166"/>
  <c r="X186" i="166"/>
  <c r="AL186" i="166"/>
  <c r="X190" i="166"/>
  <c r="T186" i="166"/>
  <c r="AA187" i="166"/>
  <c r="AL190" i="166"/>
  <c r="S186" i="166"/>
  <c r="AE187" i="166"/>
  <c r="AB187" i="166"/>
  <c r="CJ279" i="133"/>
  <c r="CJ293" i="133"/>
  <c r="CJ311" i="133"/>
  <c r="CJ294" i="133"/>
  <c r="CJ277" i="133"/>
  <c r="CJ315" i="133"/>
  <c r="CJ297" i="133"/>
  <c r="CJ307" i="133"/>
  <c r="CJ289" i="133"/>
  <c r="CJ319" i="133"/>
  <c r="CJ309" i="133"/>
  <c r="CJ303" i="133"/>
  <c r="CJ316" i="133"/>
  <c r="CJ276" i="133"/>
  <c r="CJ283" i="133"/>
  <c r="CJ298" i="133"/>
  <c r="CJ285" i="133"/>
  <c r="CJ318" i="133"/>
  <c r="CJ280" i="133"/>
  <c r="CJ278" i="133"/>
  <c r="CJ304" i="133"/>
  <c r="CJ282" i="133"/>
  <c r="K182" i="133"/>
  <c r="K229" i="133" s="1"/>
  <c r="K276" i="133" s="1"/>
  <c r="K323" i="133" s="1"/>
  <c r="K370" i="133" s="1"/>
  <c r="AI193" i="166"/>
  <c r="AI185" i="166"/>
  <c r="CJ291" i="133"/>
  <c r="CJ292" i="133"/>
  <c r="CJ299" i="133"/>
  <c r="CJ317" i="133"/>
  <c r="CK299" i="133"/>
  <c r="CJ310" i="133"/>
  <c r="CJ314" i="133"/>
  <c r="CJ281" i="133"/>
  <c r="CJ296" i="133"/>
  <c r="CJ295" i="133"/>
  <c r="CJ300" i="133"/>
  <c r="CJ288" i="133"/>
  <c r="AA192" i="166"/>
  <c r="AC192" i="166"/>
  <c r="T242" i="133"/>
  <c r="R64" i="142" s="1"/>
  <c r="AG39" i="152"/>
  <c r="AG44" i="152" s="1"/>
  <c r="X192" i="166"/>
  <c r="K31" i="133"/>
  <c r="K32" i="133" s="1"/>
  <c r="K140" i="133" s="1"/>
  <c r="I9" i="142"/>
  <c r="M242" i="133"/>
  <c r="K64" i="142" s="1"/>
  <c r="I100" i="142"/>
  <c r="I145" i="142"/>
  <c r="AB188" i="166"/>
  <c r="AG188" i="166"/>
  <c r="X188" i="166"/>
  <c r="AL188" i="166"/>
  <c r="T192" i="166"/>
  <c r="W192" i="166"/>
  <c r="L242" i="133"/>
  <c r="J109" i="142" s="1"/>
  <c r="S242" i="133"/>
  <c r="Q18" i="142" s="1"/>
  <c r="AA242" i="133"/>
  <c r="Y64" i="142" s="1"/>
  <c r="X242" i="133"/>
  <c r="V154" i="142" s="1"/>
  <c r="V242" i="133"/>
  <c r="T64" i="142" s="1"/>
  <c r="U242" i="133"/>
  <c r="S154" i="142" s="1"/>
  <c r="K242" i="133"/>
  <c r="I64" i="142" s="1"/>
  <c r="Y242" i="133"/>
  <c r="W64" i="142" s="1"/>
  <c r="J242" i="133"/>
  <c r="H64" i="142" s="1"/>
  <c r="J44" i="152"/>
  <c r="AL192" i="166"/>
  <c r="AD188" i="166"/>
  <c r="W242" i="133"/>
  <c r="U154" i="142" s="1"/>
  <c r="Z242" i="133"/>
  <c r="X64" i="142" s="1"/>
  <c r="AB242" i="133"/>
  <c r="Z64" i="142" s="1"/>
  <c r="AM192" i="166"/>
  <c r="AA9" i="142"/>
  <c r="P192" i="166"/>
  <c r="F241" i="133"/>
  <c r="AA100" i="142"/>
  <c r="S188" i="166"/>
  <c r="O242" i="133"/>
  <c r="M109" i="142" s="1"/>
  <c r="AD192" i="166"/>
  <c r="P242" i="133"/>
  <c r="N64" i="142" s="1"/>
  <c r="N192" i="166"/>
  <c r="AJ188" i="166"/>
  <c r="R242" i="133"/>
  <c r="P64" i="142" s="1"/>
  <c r="E17" i="142"/>
  <c r="V192" i="166"/>
  <c r="E153" i="142"/>
  <c r="AJ192" i="166"/>
  <c r="E108" i="142"/>
  <c r="E68" i="133"/>
  <c r="AB64" i="142"/>
  <c r="N242" i="133"/>
  <c r="L64" i="142" s="1"/>
  <c r="AA198" i="166"/>
  <c r="AA198" i="135"/>
  <c r="X55" i="142"/>
  <c r="AC65" i="142"/>
  <c r="AA78" i="133"/>
  <c r="AA149" i="133" s="1"/>
  <c r="AA243" i="133"/>
  <c r="Y65" i="142" s="1"/>
  <c r="S188" i="135"/>
  <c r="V100" i="142"/>
  <c r="X188" i="135"/>
  <c r="X9" i="142"/>
  <c r="X100" i="142"/>
  <c r="X243" i="133"/>
  <c r="V65" i="142" s="1"/>
  <c r="AB78" i="133"/>
  <c r="AB149" i="133" s="1"/>
  <c r="AB243" i="133"/>
  <c r="Z65" i="142" s="1"/>
  <c r="AE65" i="142"/>
  <c r="W78" i="133"/>
  <c r="W149" i="133" s="1"/>
  <c r="W243" i="133"/>
  <c r="U65" i="142" s="1"/>
  <c r="AL65" i="142"/>
  <c r="U78" i="133"/>
  <c r="U149" i="133" s="1"/>
  <c r="X198" i="135" s="1"/>
  <c r="U243" i="133"/>
  <c r="S65" i="142" s="1"/>
  <c r="AM65" i="142"/>
  <c r="R78" i="133"/>
  <c r="R149" i="133" s="1"/>
  <c r="R243" i="133"/>
  <c r="P110" i="142" s="1"/>
  <c r="O78" i="133"/>
  <c r="O149" i="133" s="1"/>
  <c r="O243" i="133"/>
  <c r="M65" i="142" s="1"/>
  <c r="AD65" i="142"/>
  <c r="AF65" i="142"/>
  <c r="I78" i="133"/>
  <c r="I149" i="133" s="1"/>
  <c r="I243" i="133"/>
  <c r="G65" i="142" s="1"/>
  <c r="L78" i="133"/>
  <c r="L149" i="133" s="1"/>
  <c r="L243" i="133"/>
  <c r="J65" i="142" s="1"/>
  <c r="AC78" i="133"/>
  <c r="AC149" i="133" s="1"/>
  <c r="AC243" i="133"/>
  <c r="AA65" i="142" s="1"/>
  <c r="K78" i="133"/>
  <c r="K149" i="133" s="1"/>
  <c r="K243" i="133"/>
  <c r="I65" i="142" s="1"/>
  <c r="AI65" i="142"/>
  <c r="AK65" i="142"/>
  <c r="Q78" i="133"/>
  <c r="Q149" i="133" s="1"/>
  <c r="Q243" i="133"/>
  <c r="O65" i="142" s="1"/>
  <c r="AB65" i="142"/>
  <c r="M78" i="133"/>
  <c r="M149" i="133" s="1"/>
  <c r="M243" i="133"/>
  <c r="K65" i="142" s="1"/>
  <c r="AH65" i="142"/>
  <c r="P78" i="133"/>
  <c r="P149" i="133" s="1"/>
  <c r="P243" i="133"/>
  <c r="N65" i="142" s="1"/>
  <c r="J78" i="133"/>
  <c r="J149" i="133" s="1"/>
  <c r="J243" i="133"/>
  <c r="H65" i="142" s="1"/>
  <c r="Z78" i="133"/>
  <c r="Z149" i="133" s="1"/>
  <c r="Z243" i="133"/>
  <c r="X19" i="142" s="1"/>
  <c r="AG155" i="142"/>
  <c r="V78" i="133"/>
  <c r="V243" i="133"/>
  <c r="T65" i="142" s="1"/>
  <c r="AJ65" i="142"/>
  <c r="H78" i="133"/>
  <c r="E77" i="133"/>
  <c r="H243" i="133"/>
  <c r="F65" i="142" s="1"/>
  <c r="N78" i="133"/>
  <c r="N149" i="133" s="1"/>
  <c r="N243" i="133"/>
  <c r="L65" i="142" s="1"/>
  <c r="T78" i="133"/>
  <c r="T149" i="133" s="1"/>
  <c r="T243" i="133"/>
  <c r="R65" i="142" s="1"/>
  <c r="Y78" i="133"/>
  <c r="Y149" i="133" s="1"/>
  <c r="Y243" i="133"/>
  <c r="W65" i="142" s="1"/>
  <c r="AF145" i="142"/>
  <c r="AN110" i="142"/>
  <c r="H9" i="142"/>
  <c r="S243" i="133"/>
  <c r="Q65" i="142" s="1"/>
  <c r="R145" i="142"/>
  <c r="V198" i="135"/>
  <c r="V9" i="142"/>
  <c r="AA13" i="142"/>
  <c r="R235" i="133"/>
  <c r="P57" i="142" s="1"/>
  <c r="R9" i="142"/>
  <c r="R100" i="142"/>
  <c r="AF100" i="142"/>
  <c r="N192" i="135"/>
  <c r="AD188" i="135"/>
  <c r="AI145" i="142"/>
  <c r="G100" i="142"/>
  <c r="E9" i="142"/>
  <c r="G145" i="142"/>
  <c r="E100" i="142"/>
  <c r="E145" i="142"/>
  <c r="AA145" i="142"/>
  <c r="G9" i="142"/>
  <c r="AB188" i="135"/>
  <c r="K145" i="142"/>
  <c r="V145" i="142"/>
  <c r="K9" i="142"/>
  <c r="K100" i="142"/>
  <c r="H100" i="142"/>
  <c r="J234" i="133"/>
  <c r="H146" i="142" s="1"/>
  <c r="L149" i="142"/>
  <c r="S237" i="133"/>
  <c r="Q59" i="142" s="1"/>
  <c r="AI9" i="142"/>
  <c r="AF9" i="142"/>
  <c r="AI100" i="142"/>
  <c r="M9" i="142"/>
  <c r="M55" i="142"/>
  <c r="U145" i="142"/>
  <c r="M100" i="142"/>
  <c r="H104" i="142"/>
  <c r="H145" i="142"/>
  <c r="N46" i="133"/>
  <c r="N143" i="133" s="1"/>
  <c r="H13" i="142"/>
  <c r="J9" i="142"/>
  <c r="L59" i="142"/>
  <c r="H149" i="142"/>
  <c r="AD101" i="142"/>
  <c r="I237" i="133"/>
  <c r="G59" i="142" s="1"/>
  <c r="J100" i="142"/>
  <c r="J145" i="142"/>
  <c r="U9" i="142"/>
  <c r="L13" i="142"/>
  <c r="AN59" i="142"/>
  <c r="K237" i="133"/>
  <c r="I59" i="142" s="1"/>
  <c r="V192" i="135"/>
  <c r="J46" i="133"/>
  <c r="J143" i="133" s="1"/>
  <c r="U100" i="142"/>
  <c r="AG59" i="142"/>
  <c r="AK100" i="142"/>
  <c r="N104" i="142"/>
  <c r="T192" i="135"/>
  <c r="Q237" i="133"/>
  <c r="O59" i="142" s="1"/>
  <c r="AK145" i="142"/>
  <c r="P192" i="135"/>
  <c r="AK9" i="142"/>
  <c r="H234" i="133"/>
  <c r="F101" i="142" s="1"/>
  <c r="M237" i="133"/>
  <c r="K59" i="142" s="1"/>
  <c r="N13" i="142"/>
  <c r="N149" i="142"/>
  <c r="AJ13" i="142"/>
  <c r="P46" i="133"/>
  <c r="P143" i="133" s="1"/>
  <c r="I234" i="133"/>
  <c r="G101" i="142" s="1"/>
  <c r="AJ104" i="142"/>
  <c r="H235" i="133"/>
  <c r="F57" i="142" s="1"/>
  <c r="AJ149" i="142"/>
  <c r="Z36" i="133"/>
  <c r="Z141" i="133" s="1"/>
  <c r="AC192" i="135"/>
  <c r="Z100" i="142"/>
  <c r="AD192" i="135"/>
  <c r="AE59" i="142"/>
  <c r="T237" i="133"/>
  <c r="R59" i="142" s="1"/>
  <c r="X237" i="133"/>
  <c r="V59" i="142" s="1"/>
  <c r="AH100" i="142"/>
  <c r="Z237" i="133"/>
  <c r="X59" i="142" s="1"/>
  <c r="AA192" i="135"/>
  <c r="AA104" i="142"/>
  <c r="AO59" i="142"/>
  <c r="AA149" i="142"/>
  <c r="AH59" i="142"/>
  <c r="AC46" i="133"/>
  <c r="AC143" i="133" s="1"/>
  <c r="Z145" i="142"/>
  <c r="E27" i="133"/>
  <c r="AN146" i="142"/>
  <c r="Z9" i="142"/>
  <c r="AM57" i="142"/>
  <c r="AH9" i="142"/>
  <c r="O46" i="133"/>
  <c r="O143" i="133" s="1"/>
  <c r="AF57" i="142"/>
  <c r="W192" i="135"/>
  <c r="AK59" i="142"/>
  <c r="AM59" i="142"/>
  <c r="F233" i="133"/>
  <c r="E19" i="142"/>
  <c r="AH145" i="142"/>
  <c r="M13" i="142"/>
  <c r="E110" i="142"/>
  <c r="T235" i="133"/>
  <c r="R57" i="142" s="1"/>
  <c r="Y46" i="133"/>
  <c r="Y143" i="133" s="1"/>
  <c r="E155" i="142"/>
  <c r="Q11" i="142"/>
  <c r="X192" i="135"/>
  <c r="H237" i="133"/>
  <c r="F59" i="142" s="1"/>
  <c r="M59" i="142"/>
  <c r="M104" i="142"/>
  <c r="AA237" i="133"/>
  <c r="Y59" i="142" s="1"/>
  <c r="Q102" i="142"/>
  <c r="AL59" i="142"/>
  <c r="Q147" i="142"/>
  <c r="AH191" i="166"/>
  <c r="U191" i="166"/>
  <c r="T191" i="166"/>
  <c r="AI191" i="166"/>
  <c r="N6" i="178"/>
  <c r="O3" i="176"/>
  <c r="O40" i="176" s="1"/>
  <c r="O118" i="176" s="1"/>
  <c r="O196" i="176" s="1"/>
  <c r="O231" i="176" s="1"/>
  <c r="O266" i="176" s="1"/>
  <c r="O301" i="176" s="1"/>
  <c r="O336" i="176" s="1"/>
  <c r="O371" i="176" s="1"/>
  <c r="O406" i="176" s="1"/>
  <c r="O441" i="176" s="1"/>
  <c r="O476" i="176" s="1"/>
  <c r="O511" i="176" s="1"/>
  <c r="O546" i="176" s="1"/>
  <c r="O581" i="176" s="1"/>
  <c r="AH5" i="179"/>
  <c r="K10" i="146"/>
  <c r="K30" i="146" s="1"/>
  <c r="K3" i="180"/>
  <c r="K5" i="179"/>
  <c r="L3" i="180"/>
  <c r="L5" i="179"/>
  <c r="AK3" i="176"/>
  <c r="AK40" i="176" s="1"/>
  <c r="AK118" i="176" s="1"/>
  <c r="AK196" i="176" s="1"/>
  <c r="AK231" i="176" s="1"/>
  <c r="AK266" i="176" s="1"/>
  <c r="AK301" i="176" s="1"/>
  <c r="AK336" i="176" s="1"/>
  <c r="AK371" i="176" s="1"/>
  <c r="AK406" i="176" s="1"/>
  <c r="AK441" i="176" s="1"/>
  <c r="AK476" i="176" s="1"/>
  <c r="AK511" i="176" s="1"/>
  <c r="AK546" i="176" s="1"/>
  <c r="AK581" i="176" s="1"/>
  <c r="J10" i="146"/>
  <c r="J30" i="146" s="1"/>
  <c r="W13" i="142"/>
  <c r="I36" i="133"/>
  <c r="I141" i="133" s="1"/>
  <c r="W104" i="142"/>
  <c r="W149" i="142"/>
  <c r="AC59" i="142"/>
  <c r="U13" i="142"/>
  <c r="AC13" i="142"/>
  <c r="AG192" i="166"/>
  <c r="U149" i="142"/>
  <c r="U104" i="142"/>
  <c r="U237" i="133"/>
  <c r="S59" i="142" s="1"/>
  <c r="AE57" i="142"/>
  <c r="L237" i="133"/>
  <c r="J59" i="142" s="1"/>
  <c r="K36" i="133"/>
  <c r="K141" i="133" s="1"/>
  <c r="AF13" i="142"/>
  <c r="AB59" i="142"/>
  <c r="AC104" i="142"/>
  <c r="Z13" i="142"/>
  <c r="W46" i="133"/>
  <c r="W143" i="133" s="1"/>
  <c r="AO102" i="142"/>
  <c r="AI192" i="166"/>
  <c r="AI13" i="142"/>
  <c r="R46" i="133"/>
  <c r="R143" i="133" s="1"/>
  <c r="R237" i="133"/>
  <c r="AI149" i="142"/>
  <c r="AK192" i="166"/>
  <c r="G46" i="133"/>
  <c r="G143" i="133" s="1"/>
  <c r="G237" i="133"/>
  <c r="Q242" i="133"/>
  <c r="O64" i="142" s="1"/>
  <c r="AD57" i="142"/>
  <c r="AA36" i="133"/>
  <c r="AA141" i="133" s="1"/>
  <c r="J235" i="133"/>
  <c r="H57" i="142" s="1"/>
  <c r="AC36" i="133"/>
  <c r="AC141" i="133" s="1"/>
  <c r="O36" i="133"/>
  <c r="O141" i="133" s="1"/>
  <c r="Z149" i="142"/>
  <c r="Z102" i="142"/>
  <c r="Z147" i="142"/>
  <c r="AD59" i="142"/>
  <c r="E72" i="133"/>
  <c r="Z104" i="142"/>
  <c r="AB46" i="133"/>
  <c r="AB143" i="133" s="1"/>
  <c r="O192" i="166"/>
  <c r="AI104" i="142"/>
  <c r="Y192" i="166"/>
  <c r="Y36" i="133"/>
  <c r="Y141" i="133" s="1"/>
  <c r="Q235" i="133"/>
  <c r="O57" i="142" s="1"/>
  <c r="E45" i="133"/>
  <c r="AB36" i="133"/>
  <c r="AB141" i="133" s="1"/>
  <c r="AK190" i="166"/>
  <c r="G36" i="133"/>
  <c r="G141" i="133" s="1"/>
  <c r="N36" i="133"/>
  <c r="N141" i="133" s="1"/>
  <c r="Z11" i="142"/>
  <c r="I57" i="142"/>
  <c r="L235" i="133"/>
  <c r="J57" i="142" s="1"/>
  <c r="P235" i="133"/>
  <c r="N57" i="142" s="1"/>
  <c r="W36" i="133"/>
  <c r="W141" i="133" s="1"/>
  <c r="M36" i="133"/>
  <c r="M141" i="133" s="1"/>
  <c r="AN102" i="142"/>
  <c r="L11" i="142"/>
  <c r="AK57" i="142"/>
  <c r="AG11" i="142"/>
  <c r="T57" i="142"/>
  <c r="T11" i="142"/>
  <c r="T102" i="142"/>
  <c r="T147" i="142"/>
  <c r="V147" i="142"/>
  <c r="V57" i="142"/>
  <c r="AJ57" i="142"/>
  <c r="AJ102" i="142"/>
  <c r="AJ147" i="142"/>
  <c r="AJ11" i="142"/>
  <c r="E35" i="133"/>
  <c r="V36" i="133"/>
  <c r="V141" i="133" s="1"/>
  <c r="U235" i="133"/>
  <c r="S57" i="142" s="1"/>
  <c r="X36" i="133"/>
  <c r="X141" i="133" s="1"/>
  <c r="E11" i="142"/>
  <c r="E102" i="142"/>
  <c r="E147" i="142"/>
  <c r="X190" i="135"/>
  <c r="I11" i="142"/>
  <c r="I147" i="142"/>
  <c r="I58" i="142"/>
  <c r="Y11" i="142"/>
  <c r="Y147" i="142"/>
  <c r="Y102" i="142"/>
  <c r="S191" i="135"/>
  <c r="T190" i="135"/>
  <c r="O190" i="135"/>
  <c r="L102" i="142"/>
  <c r="L147" i="142"/>
  <c r="AN11" i="142"/>
  <c r="AN147" i="142"/>
  <c r="AB11" i="142"/>
  <c r="AB102" i="142"/>
  <c r="AB147" i="142"/>
  <c r="V11" i="142"/>
  <c r="V102" i="142"/>
  <c r="S190" i="135"/>
  <c r="O192" i="135"/>
  <c r="Y192" i="135"/>
  <c r="W190" i="135"/>
  <c r="K103" i="142"/>
  <c r="U102" i="142"/>
  <c r="U147" i="142"/>
  <c r="W190" i="166"/>
  <c r="AI190" i="166"/>
  <c r="AK191" i="166"/>
  <c r="O190" i="166"/>
  <c r="U11" i="142"/>
  <c r="AG12" i="142"/>
  <c r="AG103" i="142"/>
  <c r="S191" i="166"/>
  <c r="AG148" i="142"/>
  <c r="AC191" i="166"/>
  <c r="AG191" i="166"/>
  <c r="AF191" i="166"/>
  <c r="W191" i="166"/>
  <c r="Z191" i="166"/>
  <c r="AM191" i="166"/>
  <c r="AJ191" i="166"/>
  <c r="S190" i="166"/>
  <c r="Z191" i="135"/>
  <c r="AJ12" i="142"/>
  <c r="V148" i="142"/>
  <c r="V103" i="142"/>
  <c r="AJ103" i="142"/>
  <c r="AL11" i="142"/>
  <c r="AL147" i="142"/>
  <c r="AL102" i="142"/>
  <c r="I148" i="142"/>
  <c r="I12" i="142"/>
  <c r="K58" i="142"/>
  <c r="K148" i="142"/>
  <c r="O3" i="173"/>
  <c r="O40" i="173" s="1"/>
  <c r="O118" i="173" s="1"/>
  <c r="O196" i="173" s="1"/>
  <c r="O224" i="173" s="1"/>
  <c r="O252" i="173" s="1"/>
  <c r="O280" i="173" s="1"/>
  <c r="O308" i="173" s="1"/>
  <c r="O336" i="173" s="1"/>
  <c r="O364" i="173" s="1"/>
  <c r="O392" i="173" s="1"/>
  <c r="O420" i="173" s="1"/>
  <c r="O448" i="173" s="1"/>
  <c r="O476" i="173" s="1"/>
  <c r="O504" i="173" s="1"/>
  <c r="AC191" i="135"/>
  <c r="G148" i="142"/>
  <c r="G12" i="142"/>
  <c r="G103" i="142"/>
  <c r="U186" i="135"/>
  <c r="S187" i="135"/>
  <c r="U187" i="135"/>
  <c r="AB187" i="135"/>
  <c r="G183" i="133"/>
  <c r="AD186" i="135"/>
  <c r="V186" i="135"/>
  <c r="AF186" i="135"/>
  <c r="Q186" i="135"/>
  <c r="T148" i="142"/>
  <c r="T186" i="135"/>
  <c r="J148" i="142"/>
  <c r="AF191" i="135"/>
  <c r="W186" i="135"/>
  <c r="N187" i="135"/>
  <c r="P187" i="135"/>
  <c r="AC194" i="133"/>
  <c r="AC335" i="133" s="1"/>
  <c r="T191" i="135"/>
  <c r="T103" i="142"/>
  <c r="J103" i="142"/>
  <c r="H192" i="133"/>
  <c r="AC187" i="135"/>
  <c r="W187" i="135"/>
  <c r="X186" i="135"/>
  <c r="Z187" i="135"/>
  <c r="Q187" i="135"/>
  <c r="X187" i="135"/>
  <c r="W191" i="135"/>
  <c r="AF187" i="135"/>
  <c r="Z186" i="133"/>
  <c r="Z327" i="133" s="1"/>
  <c r="O187" i="135"/>
  <c r="Y186" i="135"/>
  <c r="U190" i="135"/>
  <c r="N186" i="135"/>
  <c r="V187" i="135"/>
  <c r="AC186" i="135"/>
  <c r="O186" i="135"/>
  <c r="AA186" i="135"/>
  <c r="AD187" i="135"/>
  <c r="U191" i="135"/>
  <c r="P186" i="135"/>
  <c r="AB186" i="135"/>
  <c r="G197" i="133"/>
  <c r="Z186" i="135"/>
  <c r="G187" i="133"/>
  <c r="AA187" i="135"/>
  <c r="T187" i="135"/>
  <c r="X193" i="133"/>
  <c r="X334" i="133" s="1"/>
  <c r="R186" i="135"/>
  <c r="S186" i="135"/>
  <c r="AE186" i="135"/>
  <c r="R187" i="135"/>
  <c r="Y187" i="135"/>
  <c r="AE187" i="135"/>
  <c r="AN12" i="142"/>
  <c r="AN103" i="142"/>
  <c r="AN148" i="142"/>
  <c r="V12" i="142"/>
  <c r="Y12" i="142"/>
  <c r="Y103" i="142"/>
  <c r="Y148" i="142"/>
  <c r="G147" i="142"/>
  <c r="M12" i="142"/>
  <c r="G102" i="142"/>
  <c r="K57" i="142"/>
  <c r="T12" i="142"/>
  <c r="M103" i="142"/>
  <c r="M148" i="142"/>
  <c r="AJ58" i="142"/>
  <c r="Q58" i="142"/>
  <c r="X147" i="142"/>
  <c r="W103" i="142"/>
  <c r="X11" i="142"/>
  <c r="W12" i="142"/>
  <c r="W148" i="142"/>
  <c r="L12" i="142"/>
  <c r="Z12" i="142"/>
  <c r="L148" i="142"/>
  <c r="E103" i="142"/>
  <c r="Z103" i="142"/>
  <c r="Z148" i="142"/>
  <c r="E12" i="142"/>
  <c r="E148" i="142"/>
  <c r="AM148" i="142"/>
  <c r="AL103" i="142"/>
  <c r="AI11" i="142"/>
  <c r="X102" i="142"/>
  <c r="AM12" i="142"/>
  <c r="AM103" i="142"/>
  <c r="AL12" i="142"/>
  <c r="AL148" i="142"/>
  <c r="AI102" i="142"/>
  <c r="S103" i="142"/>
  <c r="Q12" i="142"/>
  <c r="S148" i="142"/>
  <c r="Q103" i="142"/>
  <c r="AI147" i="142"/>
  <c r="S12" i="142"/>
  <c r="AH11" i="142"/>
  <c r="F236" i="133"/>
  <c r="H12" i="142"/>
  <c r="H148" i="142"/>
  <c r="E41" i="133"/>
  <c r="AB189" i="133"/>
  <c r="AB330" i="133" s="1"/>
  <c r="H103" i="142"/>
  <c r="W11" i="142"/>
  <c r="W147" i="142"/>
  <c r="L103" i="142"/>
  <c r="W102" i="142"/>
  <c r="J12" i="142"/>
  <c r="M11" i="142"/>
  <c r="AC11" i="142"/>
  <c r="M147" i="142"/>
  <c r="AC147" i="142"/>
  <c r="M102" i="142"/>
  <c r="AC102" i="142"/>
  <c r="G11" i="142"/>
  <c r="AJ2" i="167"/>
  <c r="N2" i="167"/>
  <c r="N2" i="154"/>
  <c r="K11" i="142"/>
  <c r="K147" i="142"/>
  <c r="AA102" i="142"/>
  <c r="AH102" i="142"/>
  <c r="AH147" i="142"/>
  <c r="AA147" i="142"/>
  <c r="AA11" i="142"/>
  <c r="AI194" i="166"/>
  <c r="V197" i="135"/>
  <c r="V197" i="166"/>
  <c r="AA197" i="135"/>
  <c r="AA197" i="166"/>
  <c r="AB197" i="135"/>
  <c r="AB197" i="166"/>
  <c r="AJ197" i="166"/>
  <c r="AH197" i="166"/>
  <c r="Z197" i="135"/>
  <c r="Z197" i="166"/>
  <c r="R197" i="135"/>
  <c r="R197" i="166"/>
  <c r="AK197" i="166"/>
  <c r="AE197" i="135"/>
  <c r="AE197" i="166"/>
  <c r="AG197" i="166"/>
  <c r="AL197" i="166"/>
  <c r="AI189" i="166"/>
  <c r="T197" i="135"/>
  <c r="T197" i="166"/>
  <c r="AI197" i="166"/>
  <c r="S197" i="135"/>
  <c r="S197" i="166"/>
  <c r="AM197" i="166"/>
  <c r="X197" i="135"/>
  <c r="X197" i="166"/>
  <c r="U197" i="135"/>
  <c r="U197" i="166"/>
  <c r="AC197" i="135"/>
  <c r="AC197" i="166"/>
  <c r="N197" i="135"/>
  <c r="N197" i="166"/>
  <c r="Y197" i="135"/>
  <c r="Y197" i="166"/>
  <c r="Q197" i="135"/>
  <c r="Q197" i="166"/>
  <c r="AF197" i="135"/>
  <c r="AF197" i="166"/>
  <c r="P197" i="135"/>
  <c r="P197" i="166"/>
  <c r="W197" i="135"/>
  <c r="W197" i="166"/>
  <c r="O197" i="135"/>
  <c r="O197" i="166"/>
  <c r="AD197" i="135"/>
  <c r="AD197" i="166"/>
  <c r="I192" i="133"/>
  <c r="J323" i="133"/>
  <c r="J370" i="133" s="1"/>
  <c r="J192" i="133"/>
  <c r="Q9" i="166"/>
  <c r="Q3" i="166"/>
  <c r="AM3" i="166"/>
  <c r="AM9" i="166"/>
  <c r="G192" i="133"/>
  <c r="L3" i="161"/>
  <c r="L4" i="149"/>
  <c r="L10" i="149" s="1"/>
  <c r="L24" i="149" s="1"/>
  <c r="L4" i="146"/>
  <c r="AH3" i="161"/>
  <c r="I11" i="137"/>
  <c r="I57" i="137" s="1"/>
  <c r="AF31" i="152"/>
  <c r="AF42" i="152" s="1"/>
  <c r="AF35" i="152"/>
  <c r="AF43" i="152" s="1"/>
  <c r="J5" i="142"/>
  <c r="J51" i="142" s="1"/>
  <c r="J96" i="142" s="1"/>
  <c r="J141" i="142" s="1"/>
  <c r="J186" i="142" s="1"/>
  <c r="L135" i="133"/>
  <c r="K5" i="142"/>
  <c r="K51" i="142" s="1"/>
  <c r="K96" i="142" s="1"/>
  <c r="K141" i="142" s="1"/>
  <c r="K186" i="142" s="1"/>
  <c r="M135" i="133"/>
  <c r="AG5" i="142"/>
  <c r="AG51" i="142" s="1"/>
  <c r="AG96" i="142" s="1"/>
  <c r="AG141" i="142" s="1"/>
  <c r="AG186" i="142" s="1"/>
  <c r="AD66" i="142"/>
  <c r="M18" i="152"/>
  <c r="L3" i="153"/>
  <c r="AI18" i="152"/>
  <c r="AG22" i="152"/>
  <c r="AG26" i="152" s="1"/>
  <c r="W189" i="133"/>
  <c r="W330" i="133" s="1"/>
  <c r="Y189" i="133"/>
  <c r="Y330" i="133" s="1"/>
  <c r="Q189" i="133"/>
  <c r="Q330" i="133" s="1"/>
  <c r="S186" i="133"/>
  <c r="S327" i="133" s="1"/>
  <c r="AA188" i="142"/>
  <c r="AA143" i="142"/>
  <c r="AA98" i="142"/>
  <c r="AA7" i="142"/>
  <c r="AA53" i="142"/>
  <c r="AF144" i="142"/>
  <c r="AF189" i="142"/>
  <c r="AF99" i="142"/>
  <c r="AF8" i="142"/>
  <c r="AF54" i="142"/>
  <c r="AH188" i="142"/>
  <c r="AH143" i="142"/>
  <c r="AH98" i="142"/>
  <c r="AH7" i="142"/>
  <c r="AH53" i="142"/>
  <c r="AH109" i="142"/>
  <c r="AH154" i="142"/>
  <c r="AH18" i="142"/>
  <c r="F144" i="142"/>
  <c r="F189" i="142"/>
  <c r="F99" i="142"/>
  <c r="F8" i="142"/>
  <c r="F54" i="142"/>
  <c r="N144" i="142"/>
  <c r="N189" i="142"/>
  <c r="N99" i="142"/>
  <c r="N8" i="142"/>
  <c r="N54" i="142"/>
  <c r="AI143" i="142"/>
  <c r="AI188" i="142"/>
  <c r="AI98" i="142"/>
  <c r="AI7" i="142"/>
  <c r="AI53" i="142"/>
  <c r="AN154" i="142"/>
  <c r="AN109" i="142"/>
  <c r="AN18" i="142"/>
  <c r="Q144" i="142"/>
  <c r="Q189" i="142"/>
  <c r="Q99" i="142"/>
  <c r="Q8" i="142"/>
  <c r="Q54" i="142"/>
  <c r="R143" i="142"/>
  <c r="R188" i="142"/>
  <c r="R98" i="142"/>
  <c r="R7" i="142"/>
  <c r="R53" i="142"/>
  <c r="H142" i="142"/>
  <c r="H187" i="142"/>
  <c r="H97" i="142"/>
  <c r="H6" i="142"/>
  <c r="H52" i="142"/>
  <c r="W144" i="142"/>
  <c r="W189" i="142"/>
  <c r="W99" i="142"/>
  <c r="W8" i="142"/>
  <c r="W54" i="142"/>
  <c r="P143" i="142"/>
  <c r="P188" i="142"/>
  <c r="P98" i="142"/>
  <c r="P7" i="142"/>
  <c r="P53" i="142"/>
  <c r="AO188" i="142"/>
  <c r="AO143" i="142"/>
  <c r="AO98" i="142"/>
  <c r="AO7" i="142"/>
  <c r="AO53" i="142"/>
  <c r="L188" i="142"/>
  <c r="L143" i="142"/>
  <c r="L98" i="142"/>
  <c r="L7" i="142"/>
  <c r="L53" i="142"/>
  <c r="AO144" i="142"/>
  <c r="AO189" i="142"/>
  <c r="AO99" i="142"/>
  <c r="AO8" i="142"/>
  <c r="AO54" i="142"/>
  <c r="AM143" i="142"/>
  <c r="AM188" i="142"/>
  <c r="AM98" i="142"/>
  <c r="AM7" i="142"/>
  <c r="AM53" i="142"/>
  <c r="AE189" i="142"/>
  <c r="AE144" i="142"/>
  <c r="AE99" i="142"/>
  <c r="AE8" i="142"/>
  <c r="AE54" i="142"/>
  <c r="AN187" i="142"/>
  <c r="AN142" i="142"/>
  <c r="AN97" i="142"/>
  <c r="AN6" i="142"/>
  <c r="AN52" i="142"/>
  <c r="Y143" i="142"/>
  <c r="Y188" i="142"/>
  <c r="Y98" i="142"/>
  <c r="Y7" i="142"/>
  <c r="Y53" i="142"/>
  <c r="F143" i="142"/>
  <c r="F188" i="142"/>
  <c r="F98" i="142"/>
  <c r="F7" i="142"/>
  <c r="F53" i="142"/>
  <c r="X188" i="142"/>
  <c r="X143" i="142"/>
  <c r="X98" i="142"/>
  <c r="X7" i="142"/>
  <c r="X53" i="142"/>
  <c r="R189" i="142"/>
  <c r="R144" i="142"/>
  <c r="R99" i="142"/>
  <c r="R8" i="142"/>
  <c r="R54" i="142"/>
  <c r="AI154" i="142"/>
  <c r="AI109" i="142"/>
  <c r="AI18" i="142"/>
  <c r="G142" i="142"/>
  <c r="G187" i="142"/>
  <c r="G97" i="142"/>
  <c r="G6" i="142"/>
  <c r="G52" i="142"/>
  <c r="Z189" i="142"/>
  <c r="Z144" i="142"/>
  <c r="Z99" i="142"/>
  <c r="Z8" i="142"/>
  <c r="Z54" i="142"/>
  <c r="U189" i="142"/>
  <c r="U144" i="142"/>
  <c r="U99" i="142"/>
  <c r="U8" i="142"/>
  <c r="U54" i="142"/>
  <c r="M143" i="142"/>
  <c r="M188" i="142"/>
  <c r="M98" i="142"/>
  <c r="M7" i="142"/>
  <c r="M53" i="142"/>
  <c r="K188" i="142"/>
  <c r="K143" i="142"/>
  <c r="K98" i="142"/>
  <c r="K7" i="142"/>
  <c r="K53" i="142"/>
  <c r="AB144" i="142"/>
  <c r="AB189" i="142"/>
  <c r="AB99" i="142"/>
  <c r="AB8" i="142"/>
  <c r="AB54" i="142"/>
  <c r="W188" i="142"/>
  <c r="W143" i="142"/>
  <c r="W98" i="142"/>
  <c r="W7" i="142"/>
  <c r="W53" i="142"/>
  <c r="AM154" i="142"/>
  <c r="AM109" i="142"/>
  <c r="AM18" i="142"/>
  <c r="G143" i="142"/>
  <c r="G188" i="142"/>
  <c r="G98" i="142"/>
  <c r="G7" i="142"/>
  <c r="G53" i="142"/>
  <c r="AI144" i="142"/>
  <c r="AI189" i="142"/>
  <c r="AI99" i="142"/>
  <c r="AI8" i="142"/>
  <c r="AI54" i="142"/>
  <c r="AG154" i="142"/>
  <c r="AG109" i="142"/>
  <c r="AG18" i="142"/>
  <c r="I188" i="142"/>
  <c r="I143" i="142"/>
  <c r="I98" i="142"/>
  <c r="I7" i="142"/>
  <c r="I53" i="142"/>
  <c r="E187" i="142"/>
  <c r="E142" i="142"/>
  <c r="E97" i="142"/>
  <c r="E6" i="142"/>
  <c r="E52" i="142"/>
  <c r="AL109" i="142"/>
  <c r="AL154" i="142"/>
  <c r="AL18" i="142"/>
  <c r="AN188" i="142"/>
  <c r="AN143" i="142"/>
  <c r="AN98" i="142"/>
  <c r="AN7" i="142"/>
  <c r="AN53" i="142"/>
  <c r="F187" i="142"/>
  <c r="F142" i="142"/>
  <c r="F97" i="142"/>
  <c r="F6" i="142"/>
  <c r="F52" i="142"/>
  <c r="S143" i="142"/>
  <c r="S188" i="142"/>
  <c r="S98" i="142"/>
  <c r="S7" i="142"/>
  <c r="S53" i="142"/>
  <c r="AF154" i="142"/>
  <c r="AF109" i="142"/>
  <c r="AF18" i="142"/>
  <c r="AK143" i="142"/>
  <c r="AK188" i="142"/>
  <c r="AK98" i="142"/>
  <c r="AK7" i="142"/>
  <c r="AK53" i="142"/>
  <c r="G189" i="142"/>
  <c r="G144" i="142"/>
  <c r="G99" i="142"/>
  <c r="G8" i="142"/>
  <c r="G54" i="142"/>
  <c r="AM144" i="142"/>
  <c r="AM189" i="142"/>
  <c r="AM99" i="142"/>
  <c r="AM8" i="142"/>
  <c r="AM54" i="142"/>
  <c r="AK154" i="142"/>
  <c r="AK109" i="142"/>
  <c r="AK18" i="142"/>
  <c r="H156" i="142"/>
  <c r="H111" i="142"/>
  <c r="H20" i="142"/>
  <c r="E154" i="142"/>
  <c r="E109" i="142"/>
  <c r="E18" i="142"/>
  <c r="N143" i="142"/>
  <c r="N188" i="142"/>
  <c r="N98" i="142"/>
  <c r="N7" i="142"/>
  <c r="N53" i="142"/>
  <c r="AN156" i="142"/>
  <c r="AN111" i="142"/>
  <c r="AN20" i="142"/>
  <c r="Y189" i="142"/>
  <c r="Y144" i="142"/>
  <c r="Y99" i="142"/>
  <c r="Y8" i="142"/>
  <c r="Y54" i="142"/>
  <c r="O188" i="142"/>
  <c r="O143" i="142"/>
  <c r="O98" i="142"/>
  <c r="O7" i="142"/>
  <c r="O53" i="142"/>
  <c r="AD189" i="142"/>
  <c r="AD144" i="142"/>
  <c r="AD99" i="142"/>
  <c r="AD8" i="142"/>
  <c r="AD54" i="142"/>
  <c r="AH64" i="142"/>
  <c r="AC188" i="142"/>
  <c r="AC143" i="142"/>
  <c r="AC98" i="142"/>
  <c r="AC7" i="142"/>
  <c r="AC53" i="142"/>
  <c r="J4" i="144"/>
  <c r="J18" i="144" s="1"/>
  <c r="J4" i="145"/>
  <c r="J11" i="145" s="1"/>
  <c r="J54" i="145" s="1"/>
  <c r="H143" i="142"/>
  <c r="H188" i="142"/>
  <c r="H98" i="142"/>
  <c r="H7" i="142"/>
  <c r="H53" i="142"/>
  <c r="F156" i="142"/>
  <c r="F111" i="142"/>
  <c r="F20" i="142"/>
  <c r="K4" i="145"/>
  <c r="K11" i="145" s="1"/>
  <c r="K54" i="145" s="1"/>
  <c r="K4" i="144"/>
  <c r="K18" i="144" s="1"/>
  <c r="V189" i="142"/>
  <c r="V144" i="142"/>
  <c r="V99" i="142"/>
  <c r="V8" i="142"/>
  <c r="V54" i="142"/>
  <c r="AL189" i="142"/>
  <c r="AL144" i="142"/>
  <c r="AL99" i="142"/>
  <c r="AL8" i="142"/>
  <c r="AL54" i="142"/>
  <c r="AF188" i="142"/>
  <c r="AF143" i="142"/>
  <c r="AF98" i="142"/>
  <c r="AF7" i="142"/>
  <c r="AF53" i="142"/>
  <c r="AJ188" i="142"/>
  <c r="AJ143" i="142"/>
  <c r="AJ98" i="142"/>
  <c r="AJ7" i="142"/>
  <c r="AJ53" i="142"/>
  <c r="Z143" i="142"/>
  <c r="Z188" i="142"/>
  <c r="Z98" i="142"/>
  <c r="Z7" i="142"/>
  <c r="Z53" i="142"/>
  <c r="AG64" i="142"/>
  <c r="U188" i="142"/>
  <c r="U143" i="142"/>
  <c r="U98" i="142"/>
  <c r="U7" i="142"/>
  <c r="U53" i="142"/>
  <c r="AH189" i="142"/>
  <c r="AH144" i="142"/>
  <c r="AH99" i="142"/>
  <c r="AH8" i="142"/>
  <c r="AH54" i="142"/>
  <c r="G109" i="142"/>
  <c r="G154" i="142"/>
  <c r="G18" i="142"/>
  <c r="F154" i="142"/>
  <c r="F109" i="142"/>
  <c r="F18" i="142"/>
  <c r="AG144" i="142"/>
  <c r="AG189" i="142"/>
  <c r="AG99" i="142"/>
  <c r="AG8" i="142"/>
  <c r="AG54" i="142"/>
  <c r="AE109" i="142"/>
  <c r="AE154" i="142"/>
  <c r="AE18" i="142"/>
  <c r="AO187" i="142"/>
  <c r="AO142" i="142"/>
  <c r="AO97" i="142"/>
  <c r="AO6" i="142"/>
  <c r="AO52" i="142"/>
  <c r="T189" i="142"/>
  <c r="T144" i="142"/>
  <c r="T99" i="142"/>
  <c r="T8" i="142"/>
  <c r="T54" i="142"/>
  <c r="J144" i="142"/>
  <c r="J189" i="142"/>
  <c r="J99" i="142"/>
  <c r="J8" i="142"/>
  <c r="J54" i="142"/>
  <c r="AJ154" i="142"/>
  <c r="AJ109" i="142"/>
  <c r="AJ18" i="142"/>
  <c r="AG143" i="142"/>
  <c r="AG188" i="142"/>
  <c r="AG98" i="142"/>
  <c r="AG7" i="142"/>
  <c r="AG53" i="142"/>
  <c r="AD143" i="142"/>
  <c r="AD188" i="142"/>
  <c r="AD98" i="142"/>
  <c r="AD7" i="142"/>
  <c r="AD53" i="142"/>
  <c r="AF64" i="142"/>
  <c r="E101" i="142"/>
  <c r="E146" i="142"/>
  <c r="E10" i="142"/>
  <c r="E56" i="142"/>
  <c r="AD142" i="142"/>
  <c r="AD187" i="142"/>
  <c r="AD97" i="142"/>
  <c r="AD6" i="142"/>
  <c r="AD52" i="142"/>
  <c r="AJ189" i="142"/>
  <c r="AJ144" i="142"/>
  <c r="AJ99" i="142"/>
  <c r="AJ8" i="142"/>
  <c r="AJ54" i="142"/>
  <c r="E111" i="142"/>
  <c r="E156" i="142"/>
  <c r="E20" i="142"/>
  <c r="P144" i="142"/>
  <c r="P189" i="142"/>
  <c r="P99" i="142"/>
  <c r="P8" i="142"/>
  <c r="P54" i="142"/>
  <c r="Q143" i="142"/>
  <c r="Q188" i="142"/>
  <c r="Q98" i="142"/>
  <c r="Q7" i="142"/>
  <c r="Q53" i="142"/>
  <c r="O144" i="142"/>
  <c r="O189" i="142"/>
  <c r="O99" i="142"/>
  <c r="O8" i="142"/>
  <c r="O54" i="142"/>
  <c r="H144" i="142"/>
  <c r="H189" i="142"/>
  <c r="H99" i="142"/>
  <c r="H8" i="142"/>
  <c r="H54" i="142"/>
  <c r="G156" i="142"/>
  <c r="G111" i="142"/>
  <c r="G20" i="142"/>
  <c r="M189" i="142"/>
  <c r="M144" i="142"/>
  <c r="M99" i="142"/>
  <c r="M8" i="142"/>
  <c r="M54" i="142"/>
  <c r="E189" i="142"/>
  <c r="E144" i="142"/>
  <c r="E99" i="142"/>
  <c r="E8" i="142"/>
  <c r="E54" i="142"/>
  <c r="AJ64" i="142"/>
  <c r="I144" i="142"/>
  <c r="I189" i="142"/>
  <c r="I99" i="142"/>
  <c r="I8" i="142"/>
  <c r="I54" i="142"/>
  <c r="AA189" i="142"/>
  <c r="AA144" i="142"/>
  <c r="AA99" i="142"/>
  <c r="AA8" i="142"/>
  <c r="AA54" i="142"/>
  <c r="AO146" i="142"/>
  <c r="AO101" i="142"/>
  <c r="AO10" i="142"/>
  <c r="AO56" i="142"/>
  <c r="V188" i="142"/>
  <c r="V143" i="142"/>
  <c r="V98" i="142"/>
  <c r="V7" i="142"/>
  <c r="V53" i="142"/>
  <c r="E143" i="142"/>
  <c r="E188" i="142"/>
  <c r="E98" i="142"/>
  <c r="E7" i="142"/>
  <c r="E53" i="142"/>
  <c r="AN144" i="142"/>
  <c r="AN189" i="142"/>
  <c r="AN99" i="142"/>
  <c r="AN8" i="142"/>
  <c r="AN54" i="142"/>
  <c r="AC109" i="142"/>
  <c r="AC154" i="142"/>
  <c r="AC18" i="142"/>
  <c r="AK189" i="142"/>
  <c r="AK144" i="142"/>
  <c r="AK99" i="142"/>
  <c r="AK8" i="142"/>
  <c r="AK54" i="142"/>
  <c r="X189" i="142"/>
  <c r="X144" i="142"/>
  <c r="X99" i="142"/>
  <c r="X8" i="142"/>
  <c r="X54" i="142"/>
  <c r="L144" i="142"/>
  <c r="L189" i="142"/>
  <c r="L99" i="142"/>
  <c r="L8" i="142"/>
  <c r="L54" i="142"/>
  <c r="T188" i="142"/>
  <c r="T143" i="142"/>
  <c r="T98" i="142"/>
  <c r="T7" i="142"/>
  <c r="T53" i="142"/>
  <c r="AD154" i="142"/>
  <c r="AD109" i="142"/>
  <c r="AD18" i="142"/>
  <c r="AD106" i="142"/>
  <c r="AD151" i="142"/>
  <c r="AD15" i="142"/>
  <c r="AD61" i="142"/>
  <c r="J188" i="142"/>
  <c r="J143" i="142"/>
  <c r="J98" i="142"/>
  <c r="J7" i="142"/>
  <c r="J53" i="142"/>
  <c r="K144" i="142"/>
  <c r="K189" i="142"/>
  <c r="K99" i="142"/>
  <c r="K8" i="142"/>
  <c r="K54" i="142"/>
  <c r="AB143" i="142"/>
  <c r="AB188" i="142"/>
  <c r="AB98" i="142"/>
  <c r="AB7" i="142"/>
  <c r="AB53" i="142"/>
  <c r="AL64" i="142"/>
  <c r="S189" i="142"/>
  <c r="S144" i="142"/>
  <c r="S99" i="142"/>
  <c r="S8" i="142"/>
  <c r="S54" i="142"/>
  <c r="AD150" i="142"/>
  <c r="AD105" i="142"/>
  <c r="AD14" i="142"/>
  <c r="AD60" i="142"/>
  <c r="AE143" i="142"/>
  <c r="AE188" i="142"/>
  <c r="AE98" i="142"/>
  <c r="AE7" i="142"/>
  <c r="AE53" i="142"/>
  <c r="AC189" i="142"/>
  <c r="AC144" i="142"/>
  <c r="AC99" i="142"/>
  <c r="AC8" i="142"/>
  <c r="AC54" i="142"/>
  <c r="AL188" i="142"/>
  <c r="AL143" i="142"/>
  <c r="AL98" i="142"/>
  <c r="AL7" i="142"/>
  <c r="AL53" i="142"/>
  <c r="AC189" i="133"/>
  <c r="AC330" i="133" s="1"/>
  <c r="L189" i="133"/>
  <c r="H187" i="133"/>
  <c r="M186" i="133"/>
  <c r="M327" i="133" s="1"/>
  <c r="W186" i="133"/>
  <c r="W327" i="133" s="1"/>
  <c r="X186" i="133"/>
  <c r="X327" i="133" s="1"/>
  <c r="O186" i="133"/>
  <c r="O327" i="133" s="1"/>
  <c r="I193" i="133"/>
  <c r="H193" i="133"/>
  <c r="U186" i="133"/>
  <c r="U327" i="133" s="1"/>
  <c r="P186" i="133"/>
  <c r="P327" i="133" s="1"/>
  <c r="R189" i="133"/>
  <c r="R330" i="133" s="1"/>
  <c r="AB186" i="133"/>
  <c r="AB327" i="133" s="1"/>
  <c r="T186" i="133"/>
  <c r="T327" i="133" s="1"/>
  <c r="I186" i="133"/>
  <c r="L186" i="133"/>
  <c r="L327" i="133" s="1"/>
  <c r="L193" i="133"/>
  <c r="L334" i="133" s="1"/>
  <c r="K186" i="133"/>
  <c r="K327" i="133" s="1"/>
  <c r="N186" i="133"/>
  <c r="N327" i="133" s="1"/>
  <c r="N193" i="133"/>
  <c r="N334" i="133" s="1"/>
  <c r="J187" i="133"/>
  <c r="J183" i="133"/>
  <c r="Y193" i="133"/>
  <c r="Y334" i="133" s="1"/>
  <c r="I183" i="133"/>
  <c r="O189" i="133"/>
  <c r="T189" i="133"/>
  <c r="T330" i="133" s="1"/>
  <c r="AA186" i="133"/>
  <c r="AA327" i="133" s="1"/>
  <c r="J186" i="133"/>
  <c r="I197" i="133"/>
  <c r="J193" i="133"/>
  <c r="R186" i="133"/>
  <c r="R327" i="133" s="1"/>
  <c r="N194" i="133"/>
  <c r="N335" i="133" s="1"/>
  <c r="H197" i="133"/>
  <c r="X189" i="133"/>
  <c r="X330" i="133" s="1"/>
  <c r="V189" i="133"/>
  <c r="V330" i="133" s="1"/>
  <c r="V186" i="133"/>
  <c r="V327" i="133" s="1"/>
  <c r="S189" i="133"/>
  <c r="S330" i="133" s="1"/>
  <c r="J189" i="133"/>
  <c r="S193" i="133"/>
  <c r="S334" i="133" s="1"/>
  <c r="U193" i="133"/>
  <c r="U334" i="133" s="1"/>
  <c r="Z189" i="133"/>
  <c r="Z330" i="133" s="1"/>
  <c r="Y186" i="133"/>
  <c r="Y327" i="133" s="1"/>
  <c r="H186" i="133"/>
  <c r="U189" i="133"/>
  <c r="U330" i="133" s="1"/>
  <c r="AC186" i="133"/>
  <c r="AC327" i="133" s="1"/>
  <c r="Q186" i="133"/>
  <c r="Q327" i="133" s="1"/>
  <c r="I189" i="133"/>
  <c r="M194" i="133"/>
  <c r="M335" i="133" s="1"/>
  <c r="AA194" i="133"/>
  <c r="AA335" i="133" s="1"/>
  <c r="V194" i="133"/>
  <c r="V335" i="133" s="1"/>
  <c r="H183" i="133"/>
  <c r="P189" i="133"/>
  <c r="AB193" i="133"/>
  <c r="AB334" i="133" s="1"/>
  <c r="F147" i="133"/>
  <c r="G194" i="133"/>
  <c r="Z194" i="133"/>
  <c r="Z335" i="133" s="1"/>
  <c r="X194" i="133"/>
  <c r="X335" i="133" s="1"/>
  <c r="AB194" i="133"/>
  <c r="AB335" i="133" s="1"/>
  <c r="P193" i="133"/>
  <c r="P334" i="133" s="1"/>
  <c r="S194" i="133"/>
  <c r="S335" i="133" s="1"/>
  <c r="Y194" i="133"/>
  <c r="Y335" i="133" s="1"/>
  <c r="R194" i="133"/>
  <c r="R335" i="133" s="1"/>
  <c r="I194" i="133"/>
  <c r="AC193" i="133"/>
  <c r="AC334" i="133" s="1"/>
  <c r="K193" i="133"/>
  <c r="K334" i="133" s="1"/>
  <c r="K194" i="133"/>
  <c r="AA189" i="133"/>
  <c r="AA330" i="133" s="1"/>
  <c r="H194" i="133"/>
  <c r="V193" i="133"/>
  <c r="V334" i="133" s="1"/>
  <c r="Q194" i="133"/>
  <c r="Q335" i="133" s="1"/>
  <c r="M189" i="133"/>
  <c r="G138" i="133"/>
  <c r="E21" i="133"/>
  <c r="L194" i="133"/>
  <c r="J194" i="133"/>
  <c r="U194" i="133"/>
  <c r="U335" i="133" s="1"/>
  <c r="I187" i="133"/>
  <c r="G196" i="133"/>
  <c r="G148" i="133"/>
  <c r="E73" i="133"/>
  <c r="P194" i="133"/>
  <c r="P335" i="133" s="1"/>
  <c r="T194" i="133"/>
  <c r="T335" i="133" s="1"/>
  <c r="J197" i="133"/>
  <c r="F146" i="133"/>
  <c r="F142" i="133"/>
  <c r="G189" i="133"/>
  <c r="W193" i="133"/>
  <c r="W334" i="133" s="1"/>
  <c r="W194" i="133"/>
  <c r="W335" i="133" s="1"/>
  <c r="N189" i="133"/>
  <c r="Q193" i="133"/>
  <c r="Q334" i="133" s="1"/>
  <c r="AA193" i="133"/>
  <c r="AA334" i="133" s="1"/>
  <c r="Z193" i="133"/>
  <c r="Z334" i="133" s="1"/>
  <c r="H189" i="133"/>
  <c r="O193" i="133"/>
  <c r="O334" i="133" s="1"/>
  <c r="O194" i="133"/>
  <c r="O335" i="133" s="1"/>
  <c r="T193" i="133"/>
  <c r="T334" i="133" s="1"/>
  <c r="R193" i="133"/>
  <c r="R334" i="133" s="1"/>
  <c r="F231" i="133"/>
  <c r="M193" i="133"/>
  <c r="M334" i="133" s="1"/>
  <c r="F232" i="133"/>
  <c r="G137" i="133"/>
  <c r="E17" i="133"/>
  <c r="K189" i="133"/>
  <c r="G186" i="133"/>
  <c r="F139" i="133"/>
  <c r="K150" i="133"/>
  <c r="K244" i="133"/>
  <c r="K55" i="133"/>
  <c r="K50" i="133"/>
  <c r="K238" i="133" s="1"/>
  <c r="K5" i="140"/>
  <c r="M10" i="133"/>
  <c r="L10" i="133"/>
  <c r="L4" i="136"/>
  <c r="Q9" i="135"/>
  <c r="J4" i="137"/>
  <c r="J10" i="136"/>
  <c r="J30" i="136" s="1"/>
  <c r="K4" i="137"/>
  <c r="K10" i="136"/>
  <c r="K30" i="136" s="1"/>
  <c r="M5" i="133"/>
  <c r="K7" i="130"/>
  <c r="L5" i="133"/>
  <c r="J7" i="130"/>
  <c r="L50" i="133" s="1"/>
  <c r="Q3" i="135"/>
  <c r="N3" i="133"/>
  <c r="L6" i="130"/>
  <c r="L4" i="130"/>
  <c r="M3" i="130"/>
  <c r="J31" i="152" l="1"/>
  <c r="J42" i="152" s="1"/>
  <c r="J35" i="152"/>
  <c r="J43" i="152" s="1"/>
  <c r="J45" i="152" s="1"/>
  <c r="I63" i="145" s="1"/>
  <c r="I70" i="137" s="1"/>
  <c r="K13" i="133"/>
  <c r="K136" i="133" s="1"/>
  <c r="K230" i="133"/>
  <c r="I52" i="142" s="1"/>
  <c r="K67" i="145"/>
  <c r="K24" i="145" s="1"/>
  <c r="K74" i="137"/>
  <c r="K28" i="137" s="1"/>
  <c r="J67" i="145"/>
  <c r="J24" i="145" s="1"/>
  <c r="J74" i="137"/>
  <c r="J28" i="137" s="1"/>
  <c r="I67" i="145"/>
  <c r="I24" i="145" s="1"/>
  <c r="I74" i="137"/>
  <c r="H24" i="144"/>
  <c r="AA64" i="142"/>
  <c r="K17" i="144"/>
  <c r="K19" i="144"/>
  <c r="J17" i="144"/>
  <c r="J19" i="144"/>
  <c r="K12" i="144"/>
  <c r="K16" i="144"/>
  <c r="J12" i="144"/>
  <c r="J16" i="144"/>
  <c r="I20" i="144"/>
  <c r="I23" i="144" s="1"/>
  <c r="V149" i="133"/>
  <c r="Y18" i="142"/>
  <c r="AA18" i="142"/>
  <c r="AA154" i="142"/>
  <c r="CK276" i="133"/>
  <c r="CK317" i="133"/>
  <c r="CK310" i="133"/>
  <c r="CK311" i="133"/>
  <c r="CK293" i="133"/>
  <c r="CK286" i="133"/>
  <c r="CK315" i="133"/>
  <c r="CK281" i="133"/>
  <c r="CK280" i="133"/>
  <c r="CK295" i="133"/>
  <c r="R154" i="142"/>
  <c r="CK285" i="133"/>
  <c r="CK302" i="133"/>
  <c r="CK282" i="133"/>
  <c r="CK318" i="133"/>
  <c r="CK312" i="133"/>
  <c r="CK314" i="133"/>
  <c r="CK313" i="133"/>
  <c r="CK287" i="133"/>
  <c r="CK306" i="133"/>
  <c r="AG49" i="152"/>
  <c r="CK279" i="133"/>
  <c r="CK309" i="133"/>
  <c r="CK316" i="133"/>
  <c r="K234" i="133"/>
  <c r="I10" i="142" s="1"/>
  <c r="K18" i="142"/>
  <c r="CK305" i="133"/>
  <c r="CK297" i="133"/>
  <c r="CK289" i="133"/>
  <c r="CK292" i="133"/>
  <c r="CK303" i="133"/>
  <c r="CK283" i="133"/>
  <c r="CK319" i="133"/>
  <c r="CK296" i="133"/>
  <c r="CK301" i="133"/>
  <c r="CK298" i="133"/>
  <c r="CK294" i="133"/>
  <c r="CK290" i="133"/>
  <c r="CK307" i="133"/>
  <c r="CK304" i="133"/>
  <c r="CK308" i="133"/>
  <c r="CK300" i="133"/>
  <c r="K109" i="142"/>
  <c r="CK284" i="133"/>
  <c r="CK291" i="133"/>
  <c r="CK288" i="133"/>
  <c r="U192" i="135"/>
  <c r="AF192" i="166"/>
  <c r="R18" i="142"/>
  <c r="AH192" i="166"/>
  <c r="R109" i="142"/>
  <c r="R190" i="166"/>
  <c r="AB190" i="166"/>
  <c r="AF190" i="166"/>
  <c r="AH190" i="166"/>
  <c r="AM190" i="166"/>
  <c r="AE190" i="166"/>
  <c r="AD190" i="166"/>
  <c r="X198" i="166"/>
  <c r="N190" i="166"/>
  <c r="N185" i="166"/>
  <c r="AJ193" i="166"/>
  <c r="CK278" i="133"/>
  <c r="M182" i="133"/>
  <c r="M229" i="133" s="1"/>
  <c r="M276" i="133" s="1"/>
  <c r="M281" i="133" s="1"/>
  <c r="L182" i="133"/>
  <c r="L229" i="133" s="1"/>
  <c r="L276" i="133" s="1"/>
  <c r="BO310" i="133" s="1"/>
  <c r="CL315" i="133"/>
  <c r="CK277" i="133"/>
  <c r="AJ185" i="166"/>
  <c r="K154" i="142"/>
  <c r="J64" i="142"/>
  <c r="H110" i="142"/>
  <c r="U64" i="142"/>
  <c r="Q64" i="142"/>
  <c r="Q109" i="142"/>
  <c r="Q154" i="142"/>
  <c r="V64" i="142"/>
  <c r="J18" i="142"/>
  <c r="S64" i="142"/>
  <c r="J154" i="142"/>
  <c r="Y109" i="142"/>
  <c r="T154" i="142"/>
  <c r="Y154" i="142"/>
  <c r="AH39" i="152"/>
  <c r="AH44" i="152" s="1"/>
  <c r="L39" i="152"/>
  <c r="L44" i="152" s="1"/>
  <c r="M30" i="133"/>
  <c r="M31" i="133" s="1"/>
  <c r="K39" i="152"/>
  <c r="K44" i="152" s="1"/>
  <c r="L30" i="133"/>
  <c r="L31" i="133" s="1"/>
  <c r="I154" i="142"/>
  <c r="W18" i="142"/>
  <c r="S18" i="142"/>
  <c r="S109" i="142"/>
  <c r="H154" i="142"/>
  <c r="W154" i="142"/>
  <c r="W109" i="142"/>
  <c r="S192" i="166"/>
  <c r="V18" i="142"/>
  <c r="V109" i="142"/>
  <c r="T18" i="142"/>
  <c r="H18" i="142"/>
  <c r="T109" i="142"/>
  <c r="H109" i="142"/>
  <c r="S19" i="142"/>
  <c r="P18" i="142"/>
  <c r="P154" i="142"/>
  <c r="I18" i="142"/>
  <c r="X154" i="142"/>
  <c r="Z18" i="142"/>
  <c r="Y155" i="142"/>
  <c r="Y19" i="142"/>
  <c r="I109" i="142"/>
  <c r="Z154" i="142"/>
  <c r="X109" i="142"/>
  <c r="Z109" i="142"/>
  <c r="U18" i="142"/>
  <c r="T155" i="142"/>
  <c r="U109" i="142"/>
  <c r="Y110" i="142"/>
  <c r="AD110" i="142"/>
  <c r="U19" i="142"/>
  <c r="N18" i="142"/>
  <c r="N109" i="142"/>
  <c r="M64" i="142"/>
  <c r="O155" i="142"/>
  <c r="N154" i="142"/>
  <c r="M18" i="142"/>
  <c r="M154" i="142"/>
  <c r="X18" i="142"/>
  <c r="U110" i="142"/>
  <c r="Q19" i="142"/>
  <c r="AD19" i="142"/>
  <c r="AB192" i="166"/>
  <c r="R192" i="166"/>
  <c r="AD155" i="142"/>
  <c r="J155" i="142"/>
  <c r="AC110" i="142"/>
  <c r="AC19" i="142"/>
  <c r="P109" i="142"/>
  <c r="AC155" i="142"/>
  <c r="L18" i="142"/>
  <c r="L154" i="142"/>
  <c r="N110" i="142"/>
  <c r="L109" i="142"/>
  <c r="K110" i="142"/>
  <c r="K155" i="142"/>
  <c r="K19" i="142"/>
  <c r="F155" i="142"/>
  <c r="AC190" i="166"/>
  <c r="AB18" i="142"/>
  <c r="AB109" i="142"/>
  <c r="Q192" i="166"/>
  <c r="AB154" i="142"/>
  <c r="U155" i="142"/>
  <c r="AM19" i="142"/>
  <c r="AK19" i="142"/>
  <c r="S110" i="142"/>
  <c r="AI19" i="142"/>
  <c r="AI110" i="142"/>
  <c r="AL110" i="142"/>
  <c r="AI155" i="142"/>
  <c r="AH155" i="142"/>
  <c r="S155" i="142"/>
  <c r="V155" i="142"/>
  <c r="AH19" i="142"/>
  <c r="V110" i="142"/>
  <c r="AN19" i="142"/>
  <c r="P11" i="142"/>
  <c r="AM110" i="142"/>
  <c r="O19" i="142"/>
  <c r="Q110" i="142"/>
  <c r="AK110" i="142"/>
  <c r="Q155" i="142"/>
  <c r="Z19" i="142"/>
  <c r="P147" i="142"/>
  <c r="AN155" i="142"/>
  <c r="AL155" i="142"/>
  <c r="P102" i="142"/>
  <c r="V19" i="142"/>
  <c r="AK155" i="142"/>
  <c r="H155" i="142"/>
  <c r="AG110" i="142"/>
  <c r="AL19" i="142"/>
  <c r="AE155" i="142"/>
  <c r="AG19" i="142"/>
  <c r="Z155" i="142"/>
  <c r="M110" i="142"/>
  <c r="AB155" i="142"/>
  <c r="AE19" i="142"/>
  <c r="O110" i="142"/>
  <c r="Z110" i="142"/>
  <c r="AB19" i="142"/>
  <c r="M19" i="142"/>
  <c r="AJ155" i="142"/>
  <c r="AH110" i="142"/>
  <c r="AD198" i="166"/>
  <c r="AD198" i="135"/>
  <c r="AG65" i="142"/>
  <c r="AB110" i="142"/>
  <c r="AE110" i="142"/>
  <c r="AJ110" i="142"/>
  <c r="AH198" i="166"/>
  <c r="F19" i="142"/>
  <c r="AM155" i="142"/>
  <c r="X110" i="142"/>
  <c r="R155" i="142"/>
  <c r="M155" i="142"/>
  <c r="T19" i="142"/>
  <c r="G19" i="142"/>
  <c r="X65" i="142"/>
  <c r="X155" i="142"/>
  <c r="R110" i="142"/>
  <c r="I155" i="142"/>
  <c r="I19" i="142"/>
  <c r="J110" i="142"/>
  <c r="W155" i="142"/>
  <c r="AK198" i="166"/>
  <c r="AF155" i="142"/>
  <c r="AI198" i="166"/>
  <c r="G110" i="142"/>
  <c r="R198" i="166"/>
  <c r="R198" i="135"/>
  <c r="L155" i="142"/>
  <c r="P155" i="142"/>
  <c r="AJ19" i="142"/>
  <c r="S198" i="166"/>
  <c r="S198" i="135"/>
  <c r="Q198" i="166"/>
  <c r="Q198" i="135"/>
  <c r="W19" i="142"/>
  <c r="AF110" i="142"/>
  <c r="L19" i="142"/>
  <c r="N19" i="142"/>
  <c r="AM198" i="166"/>
  <c r="AB198" i="166"/>
  <c r="AB198" i="135"/>
  <c r="N198" i="166"/>
  <c r="N198" i="135"/>
  <c r="O198" i="166"/>
  <c r="O198" i="135"/>
  <c r="J19" i="142"/>
  <c r="L110" i="142"/>
  <c r="H149" i="133"/>
  <c r="E78" i="133"/>
  <c r="AC198" i="166"/>
  <c r="AC198" i="135"/>
  <c r="AA155" i="142"/>
  <c r="P198" i="166"/>
  <c r="P198" i="135"/>
  <c r="Z198" i="166"/>
  <c r="Z198" i="135"/>
  <c r="AF198" i="166"/>
  <c r="AF198" i="135"/>
  <c r="F110" i="142"/>
  <c r="AL198" i="166"/>
  <c r="AA19" i="142"/>
  <c r="R19" i="142"/>
  <c r="W110" i="142"/>
  <c r="G155" i="142"/>
  <c r="U198" i="166"/>
  <c r="U198" i="135"/>
  <c r="P19" i="142"/>
  <c r="AF19" i="142"/>
  <c r="AA110" i="142"/>
  <c r="N155" i="142"/>
  <c r="H19" i="142"/>
  <c r="AG198" i="166"/>
  <c r="AJ198" i="166"/>
  <c r="I110" i="142"/>
  <c r="W198" i="166"/>
  <c r="W198" i="135"/>
  <c r="Y198" i="166"/>
  <c r="P65" i="142"/>
  <c r="F243" i="133"/>
  <c r="T110" i="142"/>
  <c r="K132" i="133"/>
  <c r="AN65" i="142"/>
  <c r="T198" i="166"/>
  <c r="T198" i="135"/>
  <c r="AE198" i="166"/>
  <c r="AE198" i="135"/>
  <c r="H10" i="142"/>
  <c r="H101" i="142"/>
  <c r="H56" i="142"/>
  <c r="H93" i="142" s="1"/>
  <c r="AF190" i="135"/>
  <c r="AG104" i="142"/>
  <c r="Q149" i="142"/>
  <c r="Q13" i="142"/>
  <c r="AG13" i="142"/>
  <c r="AO149" i="142"/>
  <c r="AE149" i="142"/>
  <c r="AO104" i="142"/>
  <c r="AO138" i="142" s="1"/>
  <c r="Q104" i="142"/>
  <c r="AF147" i="142"/>
  <c r="Q192" i="135"/>
  <c r="AG149" i="142"/>
  <c r="AO13" i="142"/>
  <c r="G149" i="142"/>
  <c r="G104" i="142"/>
  <c r="G13" i="142"/>
  <c r="O13" i="142"/>
  <c r="AM104" i="142"/>
  <c r="O149" i="142"/>
  <c r="V149" i="142"/>
  <c r="F146" i="142"/>
  <c r="X149" i="142"/>
  <c r="AN149" i="142"/>
  <c r="R104" i="142"/>
  <c r="R192" i="135"/>
  <c r="AE104" i="142"/>
  <c r="R149" i="142"/>
  <c r="AE13" i="142"/>
  <c r="AF102" i="142"/>
  <c r="R13" i="142"/>
  <c r="AF11" i="142"/>
  <c r="V13" i="142"/>
  <c r="O104" i="142"/>
  <c r="F104" i="142"/>
  <c r="AD146" i="142"/>
  <c r="AD10" i="142"/>
  <c r="AD56" i="142"/>
  <c r="AD93" i="142" s="1"/>
  <c r="I149" i="142"/>
  <c r="X104" i="142"/>
  <c r="I13" i="142"/>
  <c r="AM13" i="142"/>
  <c r="K149" i="142"/>
  <c r="AK13" i="142"/>
  <c r="K104" i="142"/>
  <c r="O190" i="133"/>
  <c r="O331" i="133" s="1"/>
  <c r="I104" i="142"/>
  <c r="K13" i="142"/>
  <c r="AN104" i="142"/>
  <c r="AK149" i="142"/>
  <c r="AN13" i="142"/>
  <c r="F147" i="142"/>
  <c r="F102" i="142"/>
  <c r="F56" i="142"/>
  <c r="F93" i="142" s="1"/>
  <c r="F10" i="142"/>
  <c r="AM149" i="142"/>
  <c r="X13" i="142"/>
  <c r="G56" i="142"/>
  <c r="G93" i="142" s="1"/>
  <c r="G10" i="142"/>
  <c r="G146" i="142"/>
  <c r="S192" i="135"/>
  <c r="AK104" i="142"/>
  <c r="AC190" i="135"/>
  <c r="V104" i="142"/>
  <c r="AM102" i="142"/>
  <c r="AM147" i="142"/>
  <c r="F11" i="142"/>
  <c r="AM11" i="142"/>
  <c r="AN56" i="142"/>
  <c r="AH149" i="142"/>
  <c r="Z192" i="135"/>
  <c r="AH13" i="142"/>
  <c r="AN10" i="142"/>
  <c r="AN101" i="142"/>
  <c r="AF192" i="135"/>
  <c r="AH104" i="142"/>
  <c r="AL13" i="142"/>
  <c r="AB192" i="135"/>
  <c r="R102" i="142"/>
  <c r="Y104" i="142"/>
  <c r="F149" i="142"/>
  <c r="R147" i="142"/>
  <c r="AL149" i="142"/>
  <c r="F13" i="142"/>
  <c r="AL104" i="142"/>
  <c r="R11" i="142"/>
  <c r="Y149" i="142"/>
  <c r="Y13" i="142"/>
  <c r="L10" i="146"/>
  <c r="L30" i="146" s="1"/>
  <c r="O6" i="178"/>
  <c r="P3" i="176"/>
  <c r="P40" i="176" s="1"/>
  <c r="P118" i="176" s="1"/>
  <c r="P196" i="176" s="1"/>
  <c r="P231" i="176" s="1"/>
  <c r="P266" i="176" s="1"/>
  <c r="P301" i="176" s="1"/>
  <c r="P336" i="176" s="1"/>
  <c r="P371" i="176" s="1"/>
  <c r="P406" i="176" s="1"/>
  <c r="P441" i="176" s="1"/>
  <c r="P476" i="176" s="1"/>
  <c r="P511" i="176" s="1"/>
  <c r="P546" i="176" s="1"/>
  <c r="P581" i="176" s="1"/>
  <c r="AI5" i="179"/>
  <c r="M3" i="180"/>
  <c r="M5" i="179"/>
  <c r="Q190" i="135"/>
  <c r="AE190" i="135"/>
  <c r="AB190" i="135"/>
  <c r="AE192" i="135"/>
  <c r="R190" i="135"/>
  <c r="N190" i="135"/>
  <c r="AD190" i="135"/>
  <c r="S13" i="142"/>
  <c r="AE102" i="142"/>
  <c r="S149" i="142"/>
  <c r="Z192" i="166"/>
  <c r="AE147" i="142"/>
  <c r="AE11" i="142"/>
  <c r="AB13" i="142"/>
  <c r="AF59" i="142"/>
  <c r="AF149" i="142"/>
  <c r="S104" i="142"/>
  <c r="AE192" i="166"/>
  <c r="AB104" i="142"/>
  <c r="AF104" i="142"/>
  <c r="AO11" i="142"/>
  <c r="J13" i="142"/>
  <c r="J149" i="142"/>
  <c r="H188" i="133"/>
  <c r="J188" i="133"/>
  <c r="AO57" i="142"/>
  <c r="AO93" i="142" s="1"/>
  <c r="J104" i="142"/>
  <c r="O109" i="142"/>
  <c r="AD11" i="142"/>
  <c r="Q190" i="166"/>
  <c r="V190" i="133"/>
  <c r="V331" i="133" s="1"/>
  <c r="X190" i="133"/>
  <c r="X331" i="133" s="1"/>
  <c r="H102" i="142"/>
  <c r="AO147" i="142"/>
  <c r="S190" i="133"/>
  <c r="S331" i="133" s="1"/>
  <c r="AB149" i="142"/>
  <c r="AD102" i="142"/>
  <c r="H11" i="142"/>
  <c r="T190" i="133"/>
  <c r="T331" i="133" s="1"/>
  <c r="N190" i="133"/>
  <c r="N331" i="133" s="1"/>
  <c r="L190" i="133"/>
  <c r="L331" i="133" s="1"/>
  <c r="K188" i="133"/>
  <c r="K329" i="133" s="1"/>
  <c r="AA190" i="133"/>
  <c r="AA331" i="133" s="1"/>
  <c r="Y190" i="133"/>
  <c r="Y331" i="133" s="1"/>
  <c r="M190" i="133"/>
  <c r="M331" i="133" s="1"/>
  <c r="G190" i="133"/>
  <c r="Q190" i="133"/>
  <c r="Q331" i="133" s="1"/>
  <c r="G188" i="133"/>
  <c r="P59" i="142"/>
  <c r="P149" i="142"/>
  <c r="P13" i="142"/>
  <c r="P104" i="142"/>
  <c r="J190" i="133"/>
  <c r="U192" i="166"/>
  <c r="I190" i="133"/>
  <c r="L188" i="133"/>
  <c r="L329" i="133" s="1"/>
  <c r="U190" i="133"/>
  <c r="U331" i="133" s="1"/>
  <c r="K190" i="133"/>
  <c r="K331" i="133" s="1"/>
  <c r="R190" i="133"/>
  <c r="R331" i="133" s="1"/>
  <c r="F242" i="133"/>
  <c r="AD13" i="142"/>
  <c r="I188" i="133"/>
  <c r="H190" i="133"/>
  <c r="W190" i="133"/>
  <c r="W331" i="133" s="1"/>
  <c r="H147" i="142"/>
  <c r="Z190" i="133"/>
  <c r="Z331" i="133" s="1"/>
  <c r="P190" i="133"/>
  <c r="P331" i="133" s="1"/>
  <c r="O18" i="142"/>
  <c r="O154" i="142"/>
  <c r="AD149" i="142"/>
  <c r="AC190" i="133"/>
  <c r="AC331" i="133" s="1"/>
  <c r="AD147" i="142"/>
  <c r="E59" i="142"/>
  <c r="E93" i="142" s="1"/>
  <c r="E149" i="142"/>
  <c r="E183" i="142" s="1"/>
  <c r="E104" i="142"/>
  <c r="E138" i="142" s="1"/>
  <c r="E13" i="142"/>
  <c r="E48" i="142" s="1"/>
  <c r="AB190" i="133"/>
  <c r="AB331" i="133" s="1"/>
  <c r="AD104" i="142"/>
  <c r="F237" i="133"/>
  <c r="F143" i="133"/>
  <c r="E46" i="133"/>
  <c r="O102" i="142"/>
  <c r="O147" i="142"/>
  <c r="AG190" i="166"/>
  <c r="O11" i="142"/>
  <c r="T188" i="133"/>
  <c r="T329" i="133" s="1"/>
  <c r="P190" i="166"/>
  <c r="AA190" i="166"/>
  <c r="Y190" i="166"/>
  <c r="Z190" i="135"/>
  <c r="Z190" i="166"/>
  <c r="AI199" i="166"/>
  <c r="AJ199" i="166"/>
  <c r="U188" i="133"/>
  <c r="U329" i="133" s="1"/>
  <c r="J147" i="142"/>
  <c r="J102" i="142"/>
  <c r="J11" i="142"/>
  <c r="N102" i="142"/>
  <c r="N11" i="142"/>
  <c r="N188" i="133"/>
  <c r="N329" i="133" s="1"/>
  <c r="R188" i="133"/>
  <c r="R329" i="133" s="1"/>
  <c r="M188" i="133"/>
  <c r="M329" i="133" s="1"/>
  <c r="N147" i="142"/>
  <c r="S188" i="133"/>
  <c r="S329" i="133" s="1"/>
  <c r="X188" i="133"/>
  <c r="X329" i="133" s="1"/>
  <c r="Q188" i="133"/>
  <c r="Q329" i="133" s="1"/>
  <c r="AG102" i="142"/>
  <c r="AK147" i="142"/>
  <c r="AK11" i="142"/>
  <c r="P190" i="135"/>
  <c r="O188" i="133"/>
  <c r="O329" i="133" s="1"/>
  <c r="AG147" i="142"/>
  <c r="P188" i="133"/>
  <c r="P329" i="133" s="1"/>
  <c r="Z188" i="133"/>
  <c r="Z329" i="133" s="1"/>
  <c r="AG57" i="142"/>
  <c r="S11" i="142"/>
  <c r="AA188" i="133"/>
  <c r="AA329" i="133" s="1"/>
  <c r="W188" i="133"/>
  <c r="W329" i="133" s="1"/>
  <c r="S147" i="142"/>
  <c r="F141" i="133"/>
  <c r="S102" i="142"/>
  <c r="AA190" i="135"/>
  <c r="F235" i="133"/>
  <c r="V188" i="133"/>
  <c r="V329" i="133" s="1"/>
  <c r="AK102" i="142"/>
  <c r="Y190" i="135"/>
  <c r="E36" i="133"/>
  <c r="AC188" i="133"/>
  <c r="AC329" i="133" s="1"/>
  <c r="Y188" i="133"/>
  <c r="Y329" i="133" s="1"/>
  <c r="AB188" i="133"/>
  <c r="AB329" i="133" s="1"/>
  <c r="N199" i="166"/>
  <c r="P3" i="173"/>
  <c r="P40" i="173" s="1"/>
  <c r="P118" i="173" s="1"/>
  <c r="P196" i="173" s="1"/>
  <c r="P224" i="173" s="1"/>
  <c r="P252" i="173" s="1"/>
  <c r="P280" i="173" s="1"/>
  <c r="P308" i="173" s="1"/>
  <c r="P336" i="173" s="1"/>
  <c r="P364" i="173" s="1"/>
  <c r="P392" i="173" s="1"/>
  <c r="P420" i="173" s="1"/>
  <c r="P448" i="173" s="1"/>
  <c r="P476" i="173" s="1"/>
  <c r="P504" i="173" s="1"/>
  <c r="N185" i="135"/>
  <c r="N195" i="133"/>
  <c r="N336" i="133" s="1"/>
  <c r="M185" i="133"/>
  <c r="M326" i="133" s="1"/>
  <c r="N189" i="166"/>
  <c r="O2" i="167"/>
  <c r="O2" i="154"/>
  <c r="AK2" i="167"/>
  <c r="AL2" i="167"/>
  <c r="AJ194" i="166"/>
  <c r="AJ189" i="166"/>
  <c r="BN277" i="133"/>
  <c r="BN319" i="133"/>
  <c r="L335" i="133"/>
  <c r="K335" i="133"/>
  <c r="BN315" i="133"/>
  <c r="BN297" i="133"/>
  <c r="BN305" i="133"/>
  <c r="BN276" i="133"/>
  <c r="BN310" i="133"/>
  <c r="K302" i="133"/>
  <c r="K313" i="133"/>
  <c r="K281" i="133"/>
  <c r="K312" i="133"/>
  <c r="K293" i="133"/>
  <c r="K318" i="133"/>
  <c r="K316" i="133"/>
  <c r="K299" i="133"/>
  <c r="K304" i="133"/>
  <c r="K314" i="133"/>
  <c r="K301" i="133"/>
  <c r="K282" i="133"/>
  <c r="K317" i="133"/>
  <c r="K294" i="133"/>
  <c r="K290" i="133"/>
  <c r="K286" i="133"/>
  <c r="K278" i="133"/>
  <c r="K307" i="133"/>
  <c r="K305" i="133"/>
  <c r="K298" i="133"/>
  <c r="K295" i="133"/>
  <c r="K280" i="133"/>
  <c r="K291" i="133"/>
  <c r="K303" i="133"/>
  <c r="K297" i="133"/>
  <c r="K287" i="133"/>
  <c r="K311" i="133"/>
  <c r="K283" i="133"/>
  <c r="K289" i="133"/>
  <c r="K306" i="133"/>
  <c r="K288" i="133"/>
  <c r="K310" i="133"/>
  <c r="K300" i="133"/>
  <c r="K277" i="133"/>
  <c r="K285" i="133"/>
  <c r="K308" i="133"/>
  <c r="K292" i="133"/>
  <c r="K279" i="133"/>
  <c r="E208" i="183" s="1"/>
  <c r="K296" i="133"/>
  <c r="K284" i="133"/>
  <c r="E199" i="183" s="1"/>
  <c r="K315" i="133"/>
  <c r="K309" i="133"/>
  <c r="BN300" i="133"/>
  <c r="BN279" i="133"/>
  <c r="BN294" i="133"/>
  <c r="BN287" i="133"/>
  <c r="BN281" i="133"/>
  <c r="BN278" i="133"/>
  <c r="BN283" i="133"/>
  <c r="BN301" i="133"/>
  <c r="BN292" i="133"/>
  <c r="BN317" i="133"/>
  <c r="BN284" i="133"/>
  <c r="BN316" i="133"/>
  <c r="BN288" i="133"/>
  <c r="BN303" i="133"/>
  <c r="BN295" i="133"/>
  <c r="BN313" i="133"/>
  <c r="BN296" i="133"/>
  <c r="BN286" i="133"/>
  <c r="BN304" i="133"/>
  <c r="BN312" i="133"/>
  <c r="BN318" i="133"/>
  <c r="BN311" i="133"/>
  <c r="BN285" i="133"/>
  <c r="BN282" i="133"/>
  <c r="BN302" i="133"/>
  <c r="BN309" i="133"/>
  <c r="BN289" i="133"/>
  <c r="BN291" i="133"/>
  <c r="BN298" i="133"/>
  <c r="BN307" i="133"/>
  <c r="BN280" i="133"/>
  <c r="BN308" i="133"/>
  <c r="BN299" i="133"/>
  <c r="BN306" i="133"/>
  <c r="BN293" i="133"/>
  <c r="BN290" i="133"/>
  <c r="BN314" i="133"/>
  <c r="K183" i="133"/>
  <c r="R9" i="166"/>
  <c r="R3" i="166"/>
  <c r="AN3" i="166"/>
  <c r="AN9" i="166"/>
  <c r="AO3" i="166"/>
  <c r="AO9" i="166"/>
  <c r="K187" i="133"/>
  <c r="N189" i="135"/>
  <c r="K197" i="133"/>
  <c r="K338" i="133" s="1"/>
  <c r="N199" i="135"/>
  <c r="AD20" i="142"/>
  <c r="AD156" i="142"/>
  <c r="AD111" i="142"/>
  <c r="J11" i="137"/>
  <c r="J57" i="137" s="1"/>
  <c r="K11" i="137"/>
  <c r="K57" i="137" s="1"/>
  <c r="AI3" i="161"/>
  <c r="M3" i="161"/>
  <c r="M4" i="146"/>
  <c r="M4" i="149"/>
  <c r="M10" i="149" s="1"/>
  <c r="M24" i="149" s="1"/>
  <c r="AJ3" i="161"/>
  <c r="AG31" i="152"/>
  <c r="AG42" i="152" s="1"/>
  <c r="AG35" i="152"/>
  <c r="AG43" i="152" s="1"/>
  <c r="AF20" i="142"/>
  <c r="E190" i="142"/>
  <c r="L5" i="142"/>
  <c r="L51" i="142" s="1"/>
  <c r="L96" i="142" s="1"/>
  <c r="L141" i="142" s="1"/>
  <c r="L186" i="142" s="1"/>
  <c r="N135" i="133"/>
  <c r="AH5" i="142"/>
  <c r="AH51" i="142" s="1"/>
  <c r="AH96" i="142" s="1"/>
  <c r="AH141" i="142" s="1"/>
  <c r="AH186" i="142" s="1"/>
  <c r="N18" i="152"/>
  <c r="M3" i="153"/>
  <c r="AJ18" i="152"/>
  <c r="AK18" i="152"/>
  <c r="M82" i="133"/>
  <c r="M83" i="133" s="1"/>
  <c r="L22" i="152"/>
  <c r="L26" i="152" s="1"/>
  <c r="L82" i="133"/>
  <c r="K22" i="152"/>
  <c r="K26" i="152" s="1"/>
  <c r="AH22" i="152"/>
  <c r="AH26" i="152" s="1"/>
  <c r="AN190" i="142"/>
  <c r="G190" i="142"/>
  <c r="H190" i="142"/>
  <c r="AE156" i="142"/>
  <c r="AE111" i="142"/>
  <c r="AE20" i="142"/>
  <c r="AE66" i="142"/>
  <c r="AD190" i="142"/>
  <c r="AE101" i="142"/>
  <c r="AE146" i="142"/>
  <c r="AE10" i="142"/>
  <c r="AE56" i="142"/>
  <c r="F190" i="142"/>
  <c r="AE142" i="142"/>
  <c r="AE187" i="142"/>
  <c r="AE190" i="142" s="1"/>
  <c r="AE97" i="142"/>
  <c r="AE6" i="142"/>
  <c r="AE52" i="142"/>
  <c r="AO190" i="142"/>
  <c r="I105" i="142"/>
  <c r="I150" i="142"/>
  <c r="I14" i="142"/>
  <c r="I60" i="142"/>
  <c r="L4" i="145"/>
  <c r="L11" i="145" s="1"/>
  <c r="L54" i="145" s="1"/>
  <c r="L4" i="144"/>
  <c r="L18" i="144" s="1"/>
  <c r="AE106" i="142"/>
  <c r="AE151" i="142"/>
  <c r="AE15" i="142"/>
  <c r="AE61" i="142"/>
  <c r="AE150" i="142"/>
  <c r="AE105" i="142"/>
  <c r="AE14" i="142"/>
  <c r="AE60" i="142"/>
  <c r="I156" i="142"/>
  <c r="I111" i="142"/>
  <c r="I20" i="142"/>
  <c r="I66" i="142"/>
  <c r="M330" i="133"/>
  <c r="P330" i="133"/>
  <c r="N330" i="133"/>
  <c r="L330" i="133"/>
  <c r="O330" i="133"/>
  <c r="K330" i="133"/>
  <c r="AB184" i="133"/>
  <c r="AB325" i="133" s="1"/>
  <c r="L184" i="133"/>
  <c r="L325" i="133" s="1"/>
  <c r="S184" i="133"/>
  <c r="S325" i="133" s="1"/>
  <c r="U184" i="133"/>
  <c r="U325" i="133" s="1"/>
  <c r="Q184" i="133"/>
  <c r="Q325" i="133" s="1"/>
  <c r="W185" i="133"/>
  <c r="W326" i="133" s="1"/>
  <c r="R185" i="133"/>
  <c r="R326" i="133" s="1"/>
  <c r="Z184" i="133"/>
  <c r="Z325" i="133" s="1"/>
  <c r="X184" i="133"/>
  <c r="X325" i="133" s="1"/>
  <c r="I184" i="133"/>
  <c r="M184" i="133"/>
  <c r="M325" i="133" s="1"/>
  <c r="AA184" i="133"/>
  <c r="AA325" i="133" s="1"/>
  <c r="J184" i="133"/>
  <c r="AC184" i="133"/>
  <c r="AC325" i="133" s="1"/>
  <c r="R184" i="133"/>
  <c r="R325" i="133" s="1"/>
  <c r="P184" i="133"/>
  <c r="P325" i="133" s="1"/>
  <c r="F186" i="133"/>
  <c r="W184" i="133"/>
  <c r="W325" i="133" s="1"/>
  <c r="Z195" i="133"/>
  <c r="Z336" i="133" s="1"/>
  <c r="H184" i="133"/>
  <c r="V185" i="133"/>
  <c r="V326" i="133" s="1"/>
  <c r="AB185" i="133"/>
  <c r="AB326" i="133" s="1"/>
  <c r="Q185" i="133"/>
  <c r="Q326" i="133" s="1"/>
  <c r="O184" i="133"/>
  <c r="O325" i="133" s="1"/>
  <c r="G185" i="133"/>
  <c r="F138" i="133"/>
  <c r="K185" i="133"/>
  <c r="K326" i="133" s="1"/>
  <c r="M195" i="133"/>
  <c r="M336" i="133" s="1"/>
  <c r="L185" i="133"/>
  <c r="L326" i="133" s="1"/>
  <c r="G184" i="133"/>
  <c r="F137" i="133"/>
  <c r="L195" i="133"/>
  <c r="L336" i="133" s="1"/>
  <c r="F194" i="133"/>
  <c r="V195" i="133"/>
  <c r="V336" i="133" s="1"/>
  <c r="H185" i="133"/>
  <c r="H195" i="133"/>
  <c r="D94" i="183" s="1"/>
  <c r="N185" i="133"/>
  <c r="N326" i="133" s="1"/>
  <c r="F193" i="133"/>
  <c r="O195" i="133"/>
  <c r="U185" i="133"/>
  <c r="U326" i="133" s="1"/>
  <c r="S185" i="133"/>
  <c r="S326" i="133" s="1"/>
  <c r="T185" i="133"/>
  <c r="T326" i="133" s="1"/>
  <c r="T195" i="133"/>
  <c r="T336" i="133" s="1"/>
  <c r="K195" i="133"/>
  <c r="K336" i="133" s="1"/>
  <c r="W195" i="133"/>
  <c r="W336" i="133" s="1"/>
  <c r="Y184" i="133"/>
  <c r="Y325" i="133" s="1"/>
  <c r="R195" i="133"/>
  <c r="R336" i="133" s="1"/>
  <c r="AC195" i="133"/>
  <c r="AC336" i="133" s="1"/>
  <c r="T184" i="133"/>
  <c r="T325" i="133" s="1"/>
  <c r="X185" i="133"/>
  <c r="X326" i="133" s="1"/>
  <c r="Y185" i="133"/>
  <c r="Y326" i="133" s="1"/>
  <c r="K184" i="133"/>
  <c r="K325" i="133" s="1"/>
  <c r="V184" i="133"/>
  <c r="V325" i="133" s="1"/>
  <c r="O185" i="133"/>
  <c r="O326" i="133" s="1"/>
  <c r="N184" i="133"/>
  <c r="N325" i="133" s="1"/>
  <c r="Z185" i="133"/>
  <c r="Z326" i="133" s="1"/>
  <c r="AA195" i="133"/>
  <c r="AA336" i="133" s="1"/>
  <c r="I195" i="133"/>
  <c r="Y195" i="133"/>
  <c r="Y336" i="133" s="1"/>
  <c r="I185" i="133"/>
  <c r="F189" i="133"/>
  <c r="G195" i="133"/>
  <c r="F148" i="133"/>
  <c r="S195" i="133"/>
  <c r="S336" i="133" s="1"/>
  <c r="Q195" i="133"/>
  <c r="Q336" i="133" s="1"/>
  <c r="AB195" i="133"/>
  <c r="AB336" i="133" s="1"/>
  <c r="J195" i="133"/>
  <c r="AA185" i="133"/>
  <c r="AA326" i="133" s="1"/>
  <c r="P195" i="133"/>
  <c r="U195" i="133"/>
  <c r="U336" i="133" s="1"/>
  <c r="AC185" i="133"/>
  <c r="AC326" i="133" s="1"/>
  <c r="J185" i="133"/>
  <c r="X195" i="133"/>
  <c r="X336" i="133" s="1"/>
  <c r="P185" i="133"/>
  <c r="P326" i="133" s="1"/>
  <c r="L55" i="133"/>
  <c r="L56" i="133" s="1"/>
  <c r="K56" i="133"/>
  <c r="K239" i="133" s="1"/>
  <c r="L5" i="140"/>
  <c r="M6" i="130"/>
  <c r="M7" i="130" s="1"/>
  <c r="M55" i="133"/>
  <c r="M56" i="133" s="1"/>
  <c r="M50" i="133"/>
  <c r="K51" i="133"/>
  <c r="K144" i="133" s="1"/>
  <c r="N10" i="133"/>
  <c r="L12" i="133"/>
  <c r="L13" i="133" s="1"/>
  <c r="M12" i="133"/>
  <c r="M13" i="133" s="1"/>
  <c r="M4" i="136"/>
  <c r="R9" i="135"/>
  <c r="AI4" i="136"/>
  <c r="AJ4" i="136"/>
  <c r="L4" i="137"/>
  <c r="L10" i="136"/>
  <c r="L30" i="136" s="1"/>
  <c r="R3" i="135"/>
  <c r="O3" i="133"/>
  <c r="N5" i="133"/>
  <c r="L7" i="130"/>
  <c r="M4" i="130"/>
  <c r="N3" i="130"/>
  <c r="I187" i="142" l="1"/>
  <c r="I190" i="142" s="1"/>
  <c r="I142" i="142"/>
  <c r="I6" i="142"/>
  <c r="I97" i="142"/>
  <c r="L67" i="145"/>
  <c r="L24" i="145" s="1"/>
  <c r="L74" i="137"/>
  <c r="L28" i="137" s="1"/>
  <c r="I28" i="137"/>
  <c r="L17" i="144"/>
  <c r="L19" i="144"/>
  <c r="L12" i="144"/>
  <c r="L16" i="144"/>
  <c r="K20" i="144"/>
  <c r="K23" i="144" s="1"/>
  <c r="J20" i="144"/>
  <c r="J23" i="144" s="1"/>
  <c r="Y198" i="135"/>
  <c r="I146" i="142"/>
  <c r="I101" i="142"/>
  <c r="I56" i="142"/>
  <c r="BP281" i="133"/>
  <c r="BP318" i="133"/>
  <c r="BP301" i="133"/>
  <c r="BP284" i="133"/>
  <c r="BP289" i="133"/>
  <c r="BP310" i="133"/>
  <c r="BP298" i="133"/>
  <c r="CL283" i="133"/>
  <c r="CL296" i="133"/>
  <c r="CL282" i="133"/>
  <c r="CL293" i="133"/>
  <c r="M284" i="133"/>
  <c r="G199" i="183" s="1"/>
  <c r="M288" i="133"/>
  <c r="M382" i="133" s="1"/>
  <c r="M306" i="133"/>
  <c r="BP313" i="133"/>
  <c r="M294" i="133"/>
  <c r="M388" i="133" s="1"/>
  <c r="M296" i="133"/>
  <c r="M285" i="133"/>
  <c r="G212" i="183" s="1"/>
  <c r="BP280" i="133"/>
  <c r="M317" i="133"/>
  <c r="M411" i="133" s="1"/>
  <c r="BP294" i="133"/>
  <c r="BP299" i="133"/>
  <c r="M313" i="133"/>
  <c r="M298" i="133"/>
  <c r="BP317" i="133"/>
  <c r="M277" i="133"/>
  <c r="M371" i="133" s="1"/>
  <c r="M310" i="133"/>
  <c r="M290" i="133"/>
  <c r="G214" i="183" s="1"/>
  <c r="BP286" i="133"/>
  <c r="M291" i="133"/>
  <c r="BP291" i="133"/>
  <c r="BP283" i="133"/>
  <c r="CL306" i="133"/>
  <c r="CL318" i="133"/>
  <c r="CL280" i="133"/>
  <c r="CL276" i="133"/>
  <c r="CL279" i="133"/>
  <c r="CL294" i="133"/>
  <c r="BP305" i="133"/>
  <c r="M315" i="133"/>
  <c r="M409" i="133" s="1"/>
  <c r="BP302" i="133"/>
  <c r="BP276" i="133"/>
  <c r="M283" i="133"/>
  <c r="M377" i="133" s="1"/>
  <c r="BP293" i="133"/>
  <c r="M323" i="133"/>
  <c r="M370" i="133" s="1"/>
  <c r="M309" i="133"/>
  <c r="BP312" i="133"/>
  <c r="M318" i="133"/>
  <c r="M412" i="133" s="1"/>
  <c r="BP303" i="133"/>
  <c r="M299" i="133"/>
  <c r="BP285" i="133"/>
  <c r="M287" i="133"/>
  <c r="BP308" i="133"/>
  <c r="M305" i="133"/>
  <c r="BP319" i="133"/>
  <c r="M293" i="133"/>
  <c r="BP290" i="133"/>
  <c r="BP277" i="133"/>
  <c r="M314" i="133"/>
  <c r="BP287" i="133"/>
  <c r="BP311" i="133"/>
  <c r="BP307" i="133"/>
  <c r="M279" i="133"/>
  <c r="G208" i="183" s="1"/>
  <c r="M282" i="133"/>
  <c r="M376" i="133" s="1"/>
  <c r="M301" i="133"/>
  <c r="BP288" i="133"/>
  <c r="M295" i="133"/>
  <c r="M389" i="133" s="1"/>
  <c r="M280" i="133"/>
  <c r="G209" i="183" s="1"/>
  <c r="BP295" i="133"/>
  <c r="M300" i="133"/>
  <c r="BP306" i="133"/>
  <c r="BP309" i="133"/>
  <c r="M303" i="133"/>
  <c r="M292" i="133"/>
  <c r="M386" i="133" s="1"/>
  <c r="BP278" i="133"/>
  <c r="M302" i="133"/>
  <c r="BP300" i="133"/>
  <c r="BP292" i="133"/>
  <c r="M297" i="133"/>
  <c r="CL317" i="133"/>
  <c r="CL291" i="133"/>
  <c r="CL278" i="133"/>
  <c r="CL304" i="133"/>
  <c r="BP297" i="133"/>
  <c r="M304" i="133"/>
  <c r="CL277" i="133"/>
  <c r="BP314" i="133"/>
  <c r="M312" i="133"/>
  <c r="CL295" i="133"/>
  <c r="CL288" i="133"/>
  <c r="CL305" i="133"/>
  <c r="BP315" i="133"/>
  <c r="M307" i="133"/>
  <c r="K196" i="133"/>
  <c r="K337" i="133" s="1"/>
  <c r="CL314" i="133"/>
  <c r="L49" i="152"/>
  <c r="P157" i="135" s="1" a="1"/>
  <c r="P157" i="135" s="1"/>
  <c r="P285" i="135" s="1"/>
  <c r="CL284" i="133"/>
  <c r="N193" i="166"/>
  <c r="CL312" i="133"/>
  <c r="CM290" i="133"/>
  <c r="CL302" i="133"/>
  <c r="N182" i="133"/>
  <c r="N229" i="133" s="1"/>
  <c r="N276" i="133" s="1"/>
  <c r="BQ278" i="133" s="1"/>
  <c r="CL299" i="133"/>
  <c r="CL311" i="133"/>
  <c r="CL300" i="133"/>
  <c r="M289" i="133"/>
  <c r="CL308" i="133"/>
  <c r="M316" i="133"/>
  <c r="M410" i="133" s="1"/>
  <c r="CL297" i="133"/>
  <c r="CL289" i="133"/>
  <c r="CL309" i="133"/>
  <c r="M308" i="133"/>
  <c r="CL301" i="133"/>
  <c r="AK193" i="166"/>
  <c r="CL298" i="133"/>
  <c r="CL290" i="133"/>
  <c r="CL313" i="133"/>
  <c r="CL310" i="133"/>
  <c r="BP282" i="133"/>
  <c r="M311" i="133"/>
  <c r="CL287" i="133"/>
  <c r="CL307" i="133"/>
  <c r="CL292" i="133"/>
  <c r="BP279" i="133"/>
  <c r="CL319" i="133"/>
  <c r="CL286" i="133"/>
  <c r="BP316" i="133"/>
  <c r="M278" i="133"/>
  <c r="M372" i="133" s="1"/>
  <c r="CL316" i="133"/>
  <c r="CL281" i="133"/>
  <c r="CL285" i="133"/>
  <c r="BP304" i="133"/>
  <c r="AK185" i="166"/>
  <c r="CL303" i="133"/>
  <c r="BP296" i="133"/>
  <c r="M286" i="133"/>
  <c r="M380" i="133" s="1"/>
  <c r="AI39" i="152"/>
  <c r="AI44" i="152" s="1"/>
  <c r="K49" i="152"/>
  <c r="O157" i="135" s="1" a="1"/>
  <c r="O157" i="135" s="1"/>
  <c r="O285" i="135" s="1"/>
  <c r="AJ287" i="166"/>
  <c r="AJ300" i="166" s="1"/>
  <c r="AH49" i="152"/>
  <c r="M39" i="152"/>
  <c r="M44" i="152" s="1"/>
  <c r="N30" i="133"/>
  <c r="N31" i="133" s="1"/>
  <c r="AI287" i="166"/>
  <c r="AI300" i="166" s="1"/>
  <c r="E63" i="137"/>
  <c r="F62" i="137"/>
  <c r="E62" i="137"/>
  <c r="E61" i="137"/>
  <c r="AN183" i="142"/>
  <c r="H62" i="137"/>
  <c r="E64" i="137"/>
  <c r="G62" i="137"/>
  <c r="J47" i="152"/>
  <c r="E212" i="183"/>
  <c r="E196" i="183"/>
  <c r="E192" i="183"/>
  <c r="E206" i="183"/>
  <c r="E211" i="183"/>
  <c r="E198" i="183"/>
  <c r="E207" i="183"/>
  <c r="E193" i="183"/>
  <c r="E209" i="183"/>
  <c r="E194" i="183"/>
  <c r="E197" i="183"/>
  <c r="E213" i="183"/>
  <c r="E214" i="183"/>
  <c r="E200" i="183"/>
  <c r="E201" i="183"/>
  <c r="E215" i="183"/>
  <c r="E210" i="183"/>
  <c r="H183" i="142"/>
  <c r="W196" i="133"/>
  <c r="W337" i="133" s="1"/>
  <c r="F149" i="133"/>
  <c r="H196" i="133"/>
  <c r="E94" i="183" s="1"/>
  <c r="F94" i="183" s="1"/>
  <c r="V196" i="133"/>
  <c r="V337" i="133" s="1"/>
  <c r="X196" i="133"/>
  <c r="X337" i="133" s="1"/>
  <c r="S196" i="133"/>
  <c r="S337" i="133" s="1"/>
  <c r="O196" i="133"/>
  <c r="O337" i="133" s="1"/>
  <c r="U196" i="133"/>
  <c r="U337" i="133" s="1"/>
  <c r="Q196" i="133"/>
  <c r="Q337" i="133" s="1"/>
  <c r="AA196" i="133"/>
  <c r="AA337" i="133" s="1"/>
  <c r="J196" i="133"/>
  <c r="Z196" i="133"/>
  <c r="Z337" i="133" s="1"/>
  <c r="P196" i="133"/>
  <c r="P337" i="133" s="1"/>
  <c r="N196" i="133"/>
  <c r="N337" i="133" s="1"/>
  <c r="AB196" i="133"/>
  <c r="AB337" i="133" s="1"/>
  <c r="M196" i="133"/>
  <c r="M337" i="133" s="1"/>
  <c r="H48" i="142"/>
  <c r="AN93" i="142"/>
  <c r="T196" i="133"/>
  <c r="T337" i="133" s="1"/>
  <c r="I196" i="133"/>
  <c r="Y196" i="133"/>
  <c r="Y337" i="133" s="1"/>
  <c r="R196" i="133"/>
  <c r="R337" i="133" s="1"/>
  <c r="G138" i="142"/>
  <c r="AC196" i="133"/>
  <c r="AC337" i="133" s="1"/>
  <c r="L196" i="133"/>
  <c r="L337" i="133" s="1"/>
  <c r="H138" i="142"/>
  <c r="G183" i="142"/>
  <c r="AO48" i="142"/>
  <c r="G48" i="142"/>
  <c r="AO183" i="142"/>
  <c r="AN138" i="142"/>
  <c r="AN48" i="142"/>
  <c r="F138" i="142"/>
  <c r="F183" i="142"/>
  <c r="F48" i="142"/>
  <c r="M10" i="146"/>
  <c r="M30" i="146" s="1"/>
  <c r="N3" i="180"/>
  <c r="N5" i="179"/>
  <c r="P6" i="178"/>
  <c r="Q3" i="176"/>
  <c r="Q40" i="176" s="1"/>
  <c r="Q118" i="176" s="1"/>
  <c r="Q196" i="176" s="1"/>
  <c r="Q231" i="176" s="1"/>
  <c r="Q266" i="176" s="1"/>
  <c r="Q301" i="176" s="1"/>
  <c r="Q336" i="176" s="1"/>
  <c r="Q371" i="176" s="1"/>
  <c r="Q406" i="176" s="1"/>
  <c r="Q441" i="176" s="1"/>
  <c r="Q476" i="176" s="1"/>
  <c r="Q511" i="176" s="1"/>
  <c r="Q546" i="176" s="1"/>
  <c r="Q581" i="176" s="1"/>
  <c r="AD183" i="142"/>
  <c r="AD48" i="142"/>
  <c r="AD138" i="142"/>
  <c r="F190" i="133"/>
  <c r="AK199" i="166"/>
  <c r="F188" i="133"/>
  <c r="L230" i="133"/>
  <c r="J187" i="142" s="1"/>
  <c r="J190" i="142" s="1"/>
  <c r="L136" i="133"/>
  <c r="Q3" i="173"/>
  <c r="Q40" i="173" s="1"/>
  <c r="Q118" i="173" s="1"/>
  <c r="Q196" i="173" s="1"/>
  <c r="Q224" i="173" s="1"/>
  <c r="Q252" i="173" s="1"/>
  <c r="Q280" i="173" s="1"/>
  <c r="Q308" i="173" s="1"/>
  <c r="Q336" i="173" s="1"/>
  <c r="Q364" i="173" s="1"/>
  <c r="Q392" i="173" s="1"/>
  <c r="Q420" i="173" s="1"/>
  <c r="Q448" i="173" s="1"/>
  <c r="Q476" i="173" s="1"/>
  <c r="Q504" i="173" s="1"/>
  <c r="N193" i="135"/>
  <c r="P2" i="167"/>
  <c r="P2" i="154"/>
  <c r="AM2" i="167"/>
  <c r="AK194" i="166"/>
  <c r="AK189" i="166"/>
  <c r="K328" i="133"/>
  <c r="O336" i="133"/>
  <c r="P336" i="133"/>
  <c r="BO302" i="133"/>
  <c r="L313" i="133"/>
  <c r="L281" i="133"/>
  <c r="L292" i="133"/>
  <c r="L318" i="133"/>
  <c r="L312" i="133"/>
  <c r="L304" i="133"/>
  <c r="L314" i="133"/>
  <c r="L301" i="133"/>
  <c r="L282" i="133"/>
  <c r="L317" i="133"/>
  <c r="L294" i="133"/>
  <c r="L290" i="133"/>
  <c r="L286" i="133"/>
  <c r="L278" i="133"/>
  <c r="L300" i="133"/>
  <c r="L305" i="133"/>
  <c r="L298" i="133"/>
  <c r="L285" i="133"/>
  <c r="L316" i="133"/>
  <c r="L291" i="133"/>
  <c r="L299" i="133"/>
  <c r="L297" i="133"/>
  <c r="L289" i="133"/>
  <c r="L293" i="133"/>
  <c r="L280" i="133"/>
  <c r="L303" i="133"/>
  <c r="L287" i="133"/>
  <c r="L311" i="133"/>
  <c r="L283" i="133"/>
  <c r="L307" i="133"/>
  <c r="L309" i="133"/>
  <c r="L295" i="133"/>
  <c r="L288" i="133"/>
  <c r="L296" i="133"/>
  <c r="L310" i="133"/>
  <c r="L277" i="133"/>
  <c r="L306" i="133"/>
  <c r="L315" i="133"/>
  <c r="L284" i="133"/>
  <c r="F199" i="183" s="1"/>
  <c r="L308" i="133"/>
  <c r="L279" i="133"/>
  <c r="F208" i="183" s="1"/>
  <c r="L302" i="133"/>
  <c r="BO315" i="133"/>
  <c r="BO281" i="133"/>
  <c r="BO294" i="133"/>
  <c r="BO313" i="133"/>
  <c r="BO276" i="133"/>
  <c r="L323" i="133"/>
  <c r="L370" i="133" s="1"/>
  <c r="BO311" i="133"/>
  <c r="BO309" i="133"/>
  <c r="BO285" i="133"/>
  <c r="BO297" i="133"/>
  <c r="BO317" i="133"/>
  <c r="BO316" i="133"/>
  <c r="BO298" i="133"/>
  <c r="BO287" i="133"/>
  <c r="BO312" i="133"/>
  <c r="BO319" i="133"/>
  <c r="BO303" i="133"/>
  <c r="BO304" i="133"/>
  <c r="BO282" i="133"/>
  <c r="BO278" i="133"/>
  <c r="BO295" i="133"/>
  <c r="BO305" i="133"/>
  <c r="BO307" i="133"/>
  <c r="BO300" i="133"/>
  <c r="BO286" i="133"/>
  <c r="BO314" i="133"/>
  <c r="BO296" i="133"/>
  <c r="BO283" i="133"/>
  <c r="BO306" i="133"/>
  <c r="BO291" i="133"/>
  <c r="BO280" i="133"/>
  <c r="BO284" i="133"/>
  <c r="BO318" i="133"/>
  <c r="BO289" i="133"/>
  <c r="BO293" i="133"/>
  <c r="BO279" i="133"/>
  <c r="BO301" i="133"/>
  <c r="BO299" i="133"/>
  <c r="BO290" i="133"/>
  <c r="BO292" i="133"/>
  <c r="BO288" i="133"/>
  <c r="BO308" i="133"/>
  <c r="BO277" i="133"/>
  <c r="K324" i="133"/>
  <c r="AP3" i="166"/>
  <c r="AP9" i="166"/>
  <c r="S9" i="166"/>
  <c r="S3" i="166"/>
  <c r="L244" i="133"/>
  <c r="J156" i="142" s="1"/>
  <c r="L83" i="133"/>
  <c r="L150" i="133" s="1"/>
  <c r="N3" i="161"/>
  <c r="N6" i="130"/>
  <c r="N7" i="130" s="1"/>
  <c r="P55" i="133" s="1"/>
  <c r="P56" i="133" s="1"/>
  <c r="N4" i="146"/>
  <c r="N4" i="149"/>
  <c r="N10" i="149" s="1"/>
  <c r="N24" i="149" s="1"/>
  <c r="AF156" i="142"/>
  <c r="L11" i="137"/>
  <c r="L57" i="137" s="1"/>
  <c r="AK3" i="161"/>
  <c r="AF111" i="142"/>
  <c r="AF66" i="142"/>
  <c r="AH31" i="152"/>
  <c r="AH42" i="152" s="1"/>
  <c r="AH35" i="152"/>
  <c r="AH43" i="152" s="1"/>
  <c r="K31" i="152"/>
  <c r="K42" i="152" s="1"/>
  <c r="K35" i="152"/>
  <c r="K43" i="152" s="1"/>
  <c r="L31" i="152"/>
  <c r="L42" i="152" s="1"/>
  <c r="L35" i="152"/>
  <c r="L43" i="152" s="1"/>
  <c r="AG111" i="142"/>
  <c r="AI5" i="142"/>
  <c r="AI51" i="142" s="1"/>
  <c r="AI96" i="142" s="1"/>
  <c r="AI141" i="142" s="1"/>
  <c r="AI186" i="142" s="1"/>
  <c r="O135" i="133"/>
  <c r="M5" i="142"/>
  <c r="M51" i="142" s="1"/>
  <c r="M96" i="142" s="1"/>
  <c r="M141" i="142" s="1"/>
  <c r="M186" i="142" s="1"/>
  <c r="AJ5" i="142"/>
  <c r="AJ51" i="142" s="1"/>
  <c r="AJ96" i="142" s="1"/>
  <c r="AJ141" i="142" s="1"/>
  <c r="AJ186" i="142" s="1"/>
  <c r="AL18" i="152"/>
  <c r="O18" i="152"/>
  <c r="N3" i="153"/>
  <c r="AI22" i="152"/>
  <c r="AI26" i="152" s="1"/>
  <c r="N82" i="133"/>
  <c r="M22" i="152"/>
  <c r="M26" i="152" s="1"/>
  <c r="AE93" i="142"/>
  <c r="AE48" i="142"/>
  <c r="AE138" i="142"/>
  <c r="AE183" i="142"/>
  <c r="I151" i="142"/>
  <c r="I106" i="142"/>
  <c r="I15" i="142"/>
  <c r="I61" i="142"/>
  <c r="AF146" i="142"/>
  <c r="AF101" i="142"/>
  <c r="AF10" i="142"/>
  <c r="AF56" i="142"/>
  <c r="AF142" i="142"/>
  <c r="AF187" i="142"/>
  <c r="AF190" i="142" s="1"/>
  <c r="AF97" i="142"/>
  <c r="AF6" i="142"/>
  <c r="AF52" i="142"/>
  <c r="E192" i="142"/>
  <c r="E194" i="142" s="1"/>
  <c r="M375" i="133"/>
  <c r="M4" i="145"/>
  <c r="M11" i="145" s="1"/>
  <c r="M54" i="145" s="1"/>
  <c r="M4" i="144"/>
  <c r="M18" i="144" s="1"/>
  <c r="AF105" i="142"/>
  <c r="AF150" i="142"/>
  <c r="AF14" i="142"/>
  <c r="AF60" i="142"/>
  <c r="AF106" i="142"/>
  <c r="AF151" i="142"/>
  <c r="AF15" i="142"/>
  <c r="AF61" i="142"/>
  <c r="F184" i="133"/>
  <c r="F195" i="133"/>
  <c r="F185" i="133"/>
  <c r="M136" i="133"/>
  <c r="M230" i="133"/>
  <c r="L32" i="133"/>
  <c r="L140" i="133" s="1"/>
  <c r="L234" i="133"/>
  <c r="M32" i="133"/>
  <c r="M140" i="133" s="1"/>
  <c r="M234" i="133"/>
  <c r="M150" i="133"/>
  <c r="M244" i="133"/>
  <c r="M57" i="133"/>
  <c r="M145" i="133" s="1"/>
  <c r="M239" i="133"/>
  <c r="L51" i="133"/>
  <c r="L144" i="133" s="1"/>
  <c r="L238" i="133"/>
  <c r="M51" i="133"/>
  <c r="M144" i="133" s="1"/>
  <c r="M238" i="133"/>
  <c r="L57" i="133"/>
  <c r="L145" i="133" s="1"/>
  <c r="L239" i="133"/>
  <c r="K191" i="133"/>
  <c r="O55" i="133"/>
  <c r="O56" i="133" s="1"/>
  <c r="O50" i="133"/>
  <c r="N55" i="133"/>
  <c r="N50" i="133"/>
  <c r="N238" i="133" s="1"/>
  <c r="K57" i="133"/>
  <c r="K145" i="133" s="1"/>
  <c r="M5" i="140"/>
  <c r="O10" i="133"/>
  <c r="N12" i="133"/>
  <c r="N13" i="133" s="1"/>
  <c r="N4" i="136"/>
  <c r="S9" i="135"/>
  <c r="AK4" i="136"/>
  <c r="AJ10" i="136"/>
  <c r="AJ30" i="136" s="1"/>
  <c r="AI10" i="136"/>
  <c r="AI30" i="136" s="1"/>
  <c r="M4" i="137"/>
  <c r="M10" i="136"/>
  <c r="M30" i="136" s="1"/>
  <c r="S3" i="135"/>
  <c r="P3" i="133"/>
  <c r="O5" i="133"/>
  <c r="N4" i="130"/>
  <c r="O3" i="130"/>
  <c r="I48" i="142" l="1"/>
  <c r="I93" i="142"/>
  <c r="I57" i="145" s="1"/>
  <c r="I62" i="137" s="1"/>
  <c r="M67" i="145"/>
  <c r="M24" i="145" s="1"/>
  <c r="M74" i="137"/>
  <c r="J24" i="144"/>
  <c r="K24" i="144"/>
  <c r="I24" i="144"/>
  <c r="M17" i="144"/>
  <c r="M19" i="144"/>
  <c r="M12" i="144"/>
  <c r="M16" i="144"/>
  <c r="L20" i="144"/>
  <c r="L23" i="144" s="1"/>
  <c r="I138" i="142"/>
  <c r="I58" i="145" s="1"/>
  <c r="I63" i="137" s="1"/>
  <c r="G196" i="183"/>
  <c r="I183" i="142"/>
  <c r="I59" i="145" s="1"/>
  <c r="I64" i="137" s="1"/>
  <c r="G192" i="183"/>
  <c r="G206" i="183"/>
  <c r="G198" i="183"/>
  <c r="G211" i="183"/>
  <c r="G197" i="183"/>
  <c r="CM278" i="133"/>
  <c r="M374" i="133"/>
  <c r="G194" i="183"/>
  <c r="G207" i="183"/>
  <c r="G193" i="183"/>
  <c r="G213" i="183"/>
  <c r="M384" i="133"/>
  <c r="G210" i="183"/>
  <c r="M378" i="133"/>
  <c r="G200" i="183"/>
  <c r="M373" i="133"/>
  <c r="CM307" i="133"/>
  <c r="CM285" i="133"/>
  <c r="CM313" i="133"/>
  <c r="CM319" i="133"/>
  <c r="CM303" i="133"/>
  <c r="CM296" i="133"/>
  <c r="CM309" i="133"/>
  <c r="CM284" i="133"/>
  <c r="CM283" i="133"/>
  <c r="CM301" i="133"/>
  <c r="CM314" i="133"/>
  <c r="CM289" i="133"/>
  <c r="CM310" i="133"/>
  <c r="CM299" i="133"/>
  <c r="CM276" i="133"/>
  <c r="CM287" i="133"/>
  <c r="CM311" i="133"/>
  <c r="CM300" i="133"/>
  <c r="CM282" i="133"/>
  <c r="CM317" i="133"/>
  <c r="CM279" i="133"/>
  <c r="CM297" i="133"/>
  <c r="CM306" i="133"/>
  <c r="CM302" i="133"/>
  <c r="AI49" i="152"/>
  <c r="CM315" i="133"/>
  <c r="CM305" i="133"/>
  <c r="CM292" i="133"/>
  <c r="CM293" i="133"/>
  <c r="CM280" i="133"/>
  <c r="CM295" i="133"/>
  <c r="CM304" i="133"/>
  <c r="CM312" i="133"/>
  <c r="CM288" i="133"/>
  <c r="CM318" i="133"/>
  <c r="CM308" i="133"/>
  <c r="CM291" i="133"/>
  <c r="M49" i="152"/>
  <c r="Q157" i="135" s="1" a="1"/>
  <c r="Q157" i="135" s="1"/>
  <c r="Q285" i="135" s="1"/>
  <c r="G201" i="183"/>
  <c r="G215" i="183"/>
  <c r="AL193" i="166"/>
  <c r="P185" i="166"/>
  <c r="CM286" i="133"/>
  <c r="O182" i="133"/>
  <c r="O229" i="133" s="1"/>
  <c r="O276" i="133" s="1"/>
  <c r="BR281" i="133" s="1"/>
  <c r="AL185" i="166"/>
  <c r="CM277" i="133"/>
  <c r="CM298" i="133"/>
  <c r="P193" i="166"/>
  <c r="CM316" i="133"/>
  <c r="CM281" i="133"/>
  <c r="CM294" i="133"/>
  <c r="AJ39" i="152"/>
  <c r="AJ44" i="152" s="1"/>
  <c r="N39" i="152"/>
  <c r="N49" i="152" s="1"/>
  <c r="R157" i="135" s="1" a="1"/>
  <c r="R157" i="135" s="1"/>
  <c r="R285" i="135" s="1"/>
  <c r="O30" i="133"/>
  <c r="O31" i="133" s="1"/>
  <c r="AK39" i="152"/>
  <c r="AK49" i="152" s="1"/>
  <c r="AK287" i="166"/>
  <c r="AK300" i="166" s="1"/>
  <c r="H63" i="137"/>
  <c r="G61" i="137"/>
  <c r="G63" i="137"/>
  <c r="F64" i="137"/>
  <c r="F63" i="137"/>
  <c r="E16" i="145"/>
  <c r="E18" i="137" s="1"/>
  <c r="H64" i="137"/>
  <c r="G64" i="137"/>
  <c r="I56" i="145"/>
  <c r="I61" i="137" s="1"/>
  <c r="I15" i="137" s="1"/>
  <c r="F192" i="183"/>
  <c r="F206" i="183"/>
  <c r="F213" i="183"/>
  <c r="F197" i="183"/>
  <c r="F201" i="183"/>
  <c r="F215" i="183"/>
  <c r="F212" i="183"/>
  <c r="F196" i="183"/>
  <c r="F207" i="183"/>
  <c r="F193" i="183"/>
  <c r="F214" i="183"/>
  <c r="F200" i="183"/>
  <c r="F210" i="183"/>
  <c r="G195" i="183"/>
  <c r="F195" i="183"/>
  <c r="F198" i="183"/>
  <c r="F211" i="183"/>
  <c r="F209" i="183"/>
  <c r="F194" i="183"/>
  <c r="E216" i="183"/>
  <c r="E217" i="183" s="1"/>
  <c r="K45" i="152"/>
  <c r="J63" i="145" s="1"/>
  <c r="J70" i="137" s="1"/>
  <c r="AO192" i="142"/>
  <c r="AO194" i="142" s="1"/>
  <c r="AN192" i="142"/>
  <c r="AN194" i="142" s="1"/>
  <c r="F196" i="133"/>
  <c r="H192" i="142"/>
  <c r="H194" i="142" s="1"/>
  <c r="G192" i="142"/>
  <c r="G194" i="142" s="1"/>
  <c r="F192" i="142"/>
  <c r="F194" i="142" s="1"/>
  <c r="J52" i="142"/>
  <c r="J97" i="142"/>
  <c r="J6" i="142"/>
  <c r="Q6" i="178"/>
  <c r="R3" i="176"/>
  <c r="R40" i="176" s="1"/>
  <c r="R118" i="176" s="1"/>
  <c r="R196" i="176" s="1"/>
  <c r="R231" i="176" s="1"/>
  <c r="R266" i="176" s="1"/>
  <c r="R301" i="176" s="1"/>
  <c r="R336" i="176" s="1"/>
  <c r="R371" i="176" s="1"/>
  <c r="R406" i="176" s="1"/>
  <c r="R441" i="176" s="1"/>
  <c r="R476" i="176" s="1"/>
  <c r="R511" i="176" s="1"/>
  <c r="R546" i="176" s="1"/>
  <c r="R581" i="176" s="1"/>
  <c r="J142" i="142"/>
  <c r="O3" i="180"/>
  <c r="O5" i="179"/>
  <c r="N10" i="146"/>
  <c r="N30" i="146" s="1"/>
  <c r="AD192" i="142"/>
  <c r="AD194" i="142" s="1"/>
  <c r="O185" i="166"/>
  <c r="P199" i="166"/>
  <c r="M132" i="133"/>
  <c r="O199" i="166"/>
  <c r="L132" i="133"/>
  <c r="R3" i="173"/>
  <c r="R40" i="173" s="1"/>
  <c r="R118" i="173" s="1"/>
  <c r="R196" i="173" s="1"/>
  <c r="R224" i="173" s="1"/>
  <c r="R252" i="173" s="1"/>
  <c r="R280" i="173" s="1"/>
  <c r="R308" i="173" s="1"/>
  <c r="R336" i="173" s="1"/>
  <c r="R364" i="173" s="1"/>
  <c r="R392" i="173" s="1"/>
  <c r="R420" i="173" s="1"/>
  <c r="R448" i="173" s="1"/>
  <c r="R476" i="173" s="1"/>
  <c r="R504" i="173" s="1"/>
  <c r="O193" i="166"/>
  <c r="P193" i="135"/>
  <c r="O199" i="135"/>
  <c r="P199" i="135"/>
  <c r="P185" i="135"/>
  <c r="N323" i="133"/>
  <c r="N370" i="133" s="1"/>
  <c r="BQ300" i="133"/>
  <c r="BQ283" i="133"/>
  <c r="N56" i="133"/>
  <c r="N57" i="133" s="1"/>
  <c r="N145" i="133" s="1"/>
  <c r="Q2" i="167"/>
  <c r="Q2" i="154"/>
  <c r="AN2" i="167"/>
  <c r="O194" i="135"/>
  <c r="O194" i="166"/>
  <c r="AL194" i="166"/>
  <c r="N194" i="135"/>
  <c r="N287" i="135" s="1"/>
  <c r="N194" i="166"/>
  <c r="N287" i="166" s="1"/>
  <c r="P194" i="135"/>
  <c r="P194" i="166"/>
  <c r="P189" i="135"/>
  <c r="P189" i="166"/>
  <c r="O189" i="135"/>
  <c r="O189" i="166"/>
  <c r="AL189" i="166"/>
  <c r="BQ290" i="133"/>
  <c r="BQ297" i="133"/>
  <c r="BQ299" i="133"/>
  <c r="BQ308" i="133"/>
  <c r="BQ286" i="133"/>
  <c r="BQ281" i="133"/>
  <c r="BQ307" i="133"/>
  <c r="BQ314" i="133"/>
  <c r="BQ292" i="133"/>
  <c r="BQ277" i="133"/>
  <c r="BQ319" i="133"/>
  <c r="BQ293" i="133"/>
  <c r="BQ276" i="133"/>
  <c r="K332" i="133"/>
  <c r="BQ311" i="133"/>
  <c r="BQ280" i="133"/>
  <c r="BQ309" i="133"/>
  <c r="BQ279" i="133"/>
  <c r="BQ316" i="133"/>
  <c r="BQ288" i="133"/>
  <c r="N303" i="133"/>
  <c r="N314" i="133"/>
  <c r="N282" i="133"/>
  <c r="N300" i="133"/>
  <c r="N280" i="133"/>
  <c r="N307" i="133"/>
  <c r="N287" i="133"/>
  <c r="N295" i="133"/>
  <c r="N389" i="133" s="1"/>
  <c r="N285" i="133"/>
  <c r="N317" i="133"/>
  <c r="N411" i="133" s="1"/>
  <c r="N294" i="133"/>
  <c r="N388" i="133" s="1"/>
  <c r="N290" i="133"/>
  <c r="N286" i="133"/>
  <c r="N278" i="133"/>
  <c r="N311" i="133"/>
  <c r="N308" i="133"/>
  <c r="N298" i="133"/>
  <c r="N293" i="133"/>
  <c r="N288" i="133"/>
  <c r="N382" i="133" s="1"/>
  <c r="N277" i="133"/>
  <c r="N318" i="133"/>
  <c r="N412" i="133" s="1"/>
  <c r="N289" i="133"/>
  <c r="N316" i="133"/>
  <c r="N410" i="133" s="1"/>
  <c r="N301" i="133"/>
  <c r="N299" i="133"/>
  <c r="N305" i="133"/>
  <c r="N297" i="133"/>
  <c r="N309" i="133"/>
  <c r="N315" i="133"/>
  <c r="N409" i="133" s="1"/>
  <c r="N313" i="133"/>
  <c r="N310" i="133"/>
  <c r="N306" i="133"/>
  <c r="N296" i="133"/>
  <c r="N283" i="133"/>
  <c r="N304" i="133"/>
  <c r="N291" i="133"/>
  <c r="N279" i="133"/>
  <c r="H208" i="183" s="1"/>
  <c r="N312" i="133"/>
  <c r="N281" i="133"/>
  <c r="N292" i="133"/>
  <c r="N386" i="133" s="1"/>
  <c r="N284" i="133"/>
  <c r="H199" i="183" s="1"/>
  <c r="N302" i="133"/>
  <c r="BQ312" i="133"/>
  <c r="BQ304" i="133"/>
  <c r="BQ289" i="133"/>
  <c r="BQ287" i="133"/>
  <c r="BQ313" i="133"/>
  <c r="BQ303" i="133"/>
  <c r="BQ296" i="133"/>
  <c r="BQ295" i="133"/>
  <c r="BQ291" i="133"/>
  <c r="BQ285" i="133"/>
  <c r="BQ301" i="133"/>
  <c r="BQ284" i="133"/>
  <c r="BQ310" i="133"/>
  <c r="BQ305" i="133"/>
  <c r="BQ302" i="133"/>
  <c r="BQ318" i="133"/>
  <c r="BQ294" i="133"/>
  <c r="BQ282" i="133"/>
  <c r="BQ315" i="133"/>
  <c r="BQ317" i="133"/>
  <c r="BQ306" i="133"/>
  <c r="BQ298" i="133"/>
  <c r="J111" i="142"/>
  <c r="J20" i="142"/>
  <c r="J66" i="142"/>
  <c r="L191" i="133"/>
  <c r="L332" i="133" s="1"/>
  <c r="O193" i="135"/>
  <c r="L183" i="133"/>
  <c r="L324" i="133" s="1"/>
  <c r="O185" i="135"/>
  <c r="L197" i="133"/>
  <c r="T3" i="166"/>
  <c r="T9" i="166"/>
  <c r="AQ3" i="166"/>
  <c r="AQ9" i="166"/>
  <c r="N83" i="133"/>
  <c r="N150" i="133" s="1"/>
  <c r="M197" i="133"/>
  <c r="M338" i="133" s="1"/>
  <c r="AG156" i="142"/>
  <c r="AL3" i="161"/>
  <c r="AG20" i="142"/>
  <c r="M11" i="137"/>
  <c r="M57" i="137" s="1"/>
  <c r="AG66" i="142"/>
  <c r="O3" i="161"/>
  <c r="O4" i="146"/>
  <c r="O4" i="149"/>
  <c r="O10" i="149" s="1"/>
  <c r="O24" i="149" s="1"/>
  <c r="AI31" i="152"/>
  <c r="AI42" i="152" s="1"/>
  <c r="AI35" i="152"/>
  <c r="AI43" i="152" s="1"/>
  <c r="AH156" i="142"/>
  <c r="M31" i="152"/>
  <c r="M42" i="152" s="1"/>
  <c r="M35" i="152"/>
  <c r="M43" i="152" s="1"/>
  <c r="I20" i="145"/>
  <c r="E15" i="145"/>
  <c r="H14" i="145"/>
  <c r="H16" i="137" s="1"/>
  <c r="E13" i="145"/>
  <c r="F14" i="145"/>
  <c r="F16" i="137" s="1"/>
  <c r="G14" i="145"/>
  <c r="G16" i="137" s="1"/>
  <c r="E14" i="145"/>
  <c r="E16" i="137" s="1"/>
  <c r="N244" i="133"/>
  <c r="L66" i="142" s="1"/>
  <c r="CO276" i="133"/>
  <c r="AE192" i="142"/>
  <c r="AE194" i="142" s="1"/>
  <c r="CN276" i="133"/>
  <c r="N5" i="142"/>
  <c r="N51" i="142" s="1"/>
  <c r="N96" i="142" s="1"/>
  <c r="N141" i="142" s="1"/>
  <c r="N186" i="142" s="1"/>
  <c r="P135" i="133"/>
  <c r="AK5" i="142"/>
  <c r="AK51" i="142" s="1"/>
  <c r="AK96" i="142" s="1"/>
  <c r="AK141" i="142" s="1"/>
  <c r="AK186" i="142" s="1"/>
  <c r="M191" i="133"/>
  <c r="M332" i="133" s="1"/>
  <c r="P18" i="152"/>
  <c r="O3" i="153"/>
  <c r="AM18" i="152"/>
  <c r="AK22" i="152"/>
  <c r="AK26" i="152" s="1"/>
  <c r="AJ22" i="152"/>
  <c r="AJ26" i="152" s="1"/>
  <c r="O82" i="133"/>
  <c r="N22" i="152"/>
  <c r="N26" i="152" s="1"/>
  <c r="AF183" i="142"/>
  <c r="N4" i="144"/>
  <c r="N18" i="144" s="1"/>
  <c r="N4" i="145"/>
  <c r="N11" i="145" s="1"/>
  <c r="N54" i="145" s="1"/>
  <c r="AF48" i="142"/>
  <c r="J106" i="142"/>
  <c r="J151" i="142"/>
  <c r="J15" i="142"/>
  <c r="J61" i="142"/>
  <c r="AF93" i="142"/>
  <c r="AF138" i="142"/>
  <c r="AG105" i="142"/>
  <c r="AG150" i="142"/>
  <c r="AG14" i="142"/>
  <c r="AG60" i="142"/>
  <c r="K156" i="142"/>
  <c r="K111" i="142"/>
  <c r="K20" i="142"/>
  <c r="K66" i="142"/>
  <c r="K146" i="142"/>
  <c r="K101" i="142"/>
  <c r="K10" i="142"/>
  <c r="K56" i="142"/>
  <c r="L150" i="142"/>
  <c r="L105" i="142"/>
  <c r="L14" i="142"/>
  <c r="L60" i="142"/>
  <c r="AG151" i="142"/>
  <c r="AG106" i="142"/>
  <c r="AG15" i="142"/>
  <c r="AG61" i="142"/>
  <c r="AG187" i="142"/>
  <c r="AG190" i="142" s="1"/>
  <c r="AG142" i="142"/>
  <c r="AG97" i="142"/>
  <c r="AG6" i="142"/>
  <c r="AG52" i="142"/>
  <c r="K187" i="142"/>
  <c r="K190" i="142" s="1"/>
  <c r="K142" i="142"/>
  <c r="K97" i="142"/>
  <c r="K6" i="142"/>
  <c r="K52" i="142"/>
  <c r="J105" i="142"/>
  <c r="J150" i="142"/>
  <c r="J14" i="142"/>
  <c r="J60" i="142"/>
  <c r="K151" i="142"/>
  <c r="K106" i="142"/>
  <c r="K15" i="142"/>
  <c r="K61" i="142"/>
  <c r="J101" i="142"/>
  <c r="J146" i="142"/>
  <c r="J10" i="142"/>
  <c r="J56" i="142"/>
  <c r="AG146" i="142"/>
  <c r="AG101" i="142"/>
  <c r="AG10" i="142"/>
  <c r="AG56" i="142"/>
  <c r="K150" i="142"/>
  <c r="K105" i="142"/>
  <c r="K14" i="142"/>
  <c r="K60" i="142"/>
  <c r="M187" i="133"/>
  <c r="CN292" i="133"/>
  <c r="CN304" i="133"/>
  <c r="CN305" i="133"/>
  <c r="CN306" i="133"/>
  <c r="CN307" i="133"/>
  <c r="CN308" i="133"/>
  <c r="CN309" i="133"/>
  <c r="CN310" i="133"/>
  <c r="CN311" i="133"/>
  <c r="CN312" i="133"/>
  <c r="CN313" i="133"/>
  <c r="CN314" i="133"/>
  <c r="CN315" i="133"/>
  <c r="CN316" i="133"/>
  <c r="CN317" i="133"/>
  <c r="CN318" i="133"/>
  <c r="CN319" i="133"/>
  <c r="CN278" i="133"/>
  <c r="CN287" i="133"/>
  <c r="CN282" i="133"/>
  <c r="CN299" i="133"/>
  <c r="CN290" i="133"/>
  <c r="CN298" i="133"/>
  <c r="CN281" i="133"/>
  <c r="CN296" i="133"/>
  <c r="CN289" i="133"/>
  <c r="CN302" i="133"/>
  <c r="CN279" i="133"/>
  <c r="CN293" i="133"/>
  <c r="CN283" i="133"/>
  <c r="CN285" i="133"/>
  <c r="CN295" i="133"/>
  <c r="CN288" i="133"/>
  <c r="CN284" i="133"/>
  <c r="CN297" i="133"/>
  <c r="CN280" i="133"/>
  <c r="CN300" i="133"/>
  <c r="CN291" i="133"/>
  <c r="CN286" i="133"/>
  <c r="CN294" i="133"/>
  <c r="CN301" i="133"/>
  <c r="CN303" i="133"/>
  <c r="CN277" i="133"/>
  <c r="CO291" i="133"/>
  <c r="CO304" i="133"/>
  <c r="CO305" i="133"/>
  <c r="CO306" i="133"/>
  <c r="CO307" i="133"/>
  <c r="CO308" i="133"/>
  <c r="CO309" i="133"/>
  <c r="CO310" i="133"/>
  <c r="CO311" i="133"/>
  <c r="CO312" i="133"/>
  <c r="CO313" i="133"/>
  <c r="CO314" i="133"/>
  <c r="CO315" i="133"/>
  <c r="CO316" i="133"/>
  <c r="CO317" i="133"/>
  <c r="CO318" i="133"/>
  <c r="CO319" i="133"/>
  <c r="CO288" i="133"/>
  <c r="CO282" i="133"/>
  <c r="CO299" i="133"/>
  <c r="CO290" i="133"/>
  <c r="CO298" i="133"/>
  <c r="CO283" i="133"/>
  <c r="CO296" i="133"/>
  <c r="CO302" i="133"/>
  <c r="CO279" i="133"/>
  <c r="CO293" i="133"/>
  <c r="CO287" i="133"/>
  <c r="CO303" i="133"/>
  <c r="CO277" i="133"/>
  <c r="CO285" i="133"/>
  <c r="CO280" i="133"/>
  <c r="CO286" i="133"/>
  <c r="CO289" i="133"/>
  <c r="CO297" i="133"/>
  <c r="CO300" i="133"/>
  <c r="CO278" i="133"/>
  <c r="CO295" i="133"/>
  <c r="CO284" i="133"/>
  <c r="CO294" i="133"/>
  <c r="CO301" i="133"/>
  <c r="CO292" i="133"/>
  <c r="CO281" i="133"/>
  <c r="L187" i="133"/>
  <c r="N32" i="133"/>
  <c r="N140" i="133" s="1"/>
  <c r="N234" i="133"/>
  <c r="O57" i="133"/>
  <c r="O145" i="133" s="1"/>
  <c r="O239" i="133"/>
  <c r="N136" i="133"/>
  <c r="N230" i="133"/>
  <c r="O51" i="133"/>
  <c r="O144" i="133" s="1"/>
  <c r="O238" i="133"/>
  <c r="L192" i="133"/>
  <c r="L333" i="133" s="1"/>
  <c r="M192" i="133"/>
  <c r="M333" i="133" s="1"/>
  <c r="K192" i="133"/>
  <c r="M183" i="133"/>
  <c r="M324" i="133" s="1"/>
  <c r="N51" i="133"/>
  <c r="N144" i="133" s="1"/>
  <c r="N5" i="140"/>
  <c r="P10" i="133"/>
  <c r="O12" i="133"/>
  <c r="O230" i="133" s="1"/>
  <c r="O4" i="136"/>
  <c r="T9" i="135"/>
  <c r="AL4" i="136"/>
  <c r="AK10" i="136"/>
  <c r="AK30" i="136" s="1"/>
  <c r="N4" i="137"/>
  <c r="N10" i="136"/>
  <c r="N30" i="136" s="1"/>
  <c r="O4" i="130"/>
  <c r="T3" i="135"/>
  <c r="Q3" i="133"/>
  <c r="O6" i="130"/>
  <c r="P5" i="133"/>
  <c r="P3" i="130"/>
  <c r="N67" i="145" l="1"/>
  <c r="N24" i="145" s="1"/>
  <c r="N74" i="137"/>
  <c r="N28" i="137" s="1"/>
  <c r="M28" i="137"/>
  <c r="H13" i="145"/>
  <c r="H61" i="137"/>
  <c r="H15" i="137" s="1"/>
  <c r="F13" i="145"/>
  <c r="F61" i="137"/>
  <c r="F15" i="137" s="1"/>
  <c r="L24" i="144"/>
  <c r="N17" i="144"/>
  <c r="N19" i="144"/>
  <c r="N12" i="144"/>
  <c r="N16" i="144"/>
  <c r="M20" i="144"/>
  <c r="M23" i="144" s="1"/>
  <c r="I192" i="142"/>
  <c r="I194" i="142" s="1"/>
  <c r="G216" i="183"/>
  <c r="G217" i="183" s="1"/>
  <c r="AK44" i="152"/>
  <c r="AJ49" i="152"/>
  <c r="G202" i="183"/>
  <c r="G203" i="183" s="1"/>
  <c r="H285" i="135"/>
  <c r="AM193" i="166"/>
  <c r="R193" i="166"/>
  <c r="N132" i="133"/>
  <c r="P182" i="133"/>
  <c r="P229" i="133" s="1"/>
  <c r="P276" i="133" s="1"/>
  <c r="BS317" i="133" s="1"/>
  <c r="N44" i="152"/>
  <c r="Q193" i="166"/>
  <c r="AM185" i="166"/>
  <c r="G15" i="145"/>
  <c r="G17" i="137" s="1"/>
  <c r="H15" i="145"/>
  <c r="H17" i="137" s="1"/>
  <c r="H16" i="145"/>
  <c r="H18" i="137" s="1"/>
  <c r="F15" i="145"/>
  <c r="F17" i="137" s="1"/>
  <c r="AL39" i="152"/>
  <c r="AL44" i="152" s="1"/>
  <c r="O39" i="152"/>
  <c r="O49" i="152" s="1"/>
  <c r="S157" i="135" s="1" a="1"/>
  <c r="S157" i="135" s="1"/>
  <c r="S285" i="135" s="1"/>
  <c r="P30" i="133"/>
  <c r="P31" i="133" s="1"/>
  <c r="G13" i="145"/>
  <c r="F16" i="145"/>
  <c r="F18" i="137" s="1"/>
  <c r="AL287" i="166"/>
  <c r="AL300" i="166" s="1"/>
  <c r="P287" i="166"/>
  <c r="P300" i="166" s="1"/>
  <c r="O287" i="166"/>
  <c r="O300" i="166" s="1"/>
  <c r="N300" i="166"/>
  <c r="N300" i="135"/>
  <c r="P287" i="135"/>
  <c r="P300" i="135" s="1"/>
  <c r="O287" i="135"/>
  <c r="O300" i="135" s="1"/>
  <c r="G16" i="145"/>
  <c r="G18" i="137" s="1"/>
  <c r="I16" i="145"/>
  <c r="I18" i="137" s="1"/>
  <c r="H201" i="183"/>
  <c r="H215" i="183"/>
  <c r="H192" i="183"/>
  <c r="H206" i="183"/>
  <c r="H213" i="183"/>
  <c r="H197" i="183"/>
  <c r="H193" i="183"/>
  <c r="H207" i="183"/>
  <c r="H209" i="183"/>
  <c r="H194" i="183"/>
  <c r="H210" i="183"/>
  <c r="H195" i="183"/>
  <c r="H211" i="183"/>
  <c r="H198" i="183"/>
  <c r="N384" i="133"/>
  <c r="H214" i="183"/>
  <c r="H200" i="183"/>
  <c r="F216" i="183"/>
  <c r="F217" i="183" s="1"/>
  <c r="H212" i="183"/>
  <c r="H196" i="183"/>
  <c r="F202" i="183"/>
  <c r="F203" i="183" s="1"/>
  <c r="N373" i="133"/>
  <c r="N374" i="133"/>
  <c r="N371" i="133"/>
  <c r="N376" i="133"/>
  <c r="N377" i="133"/>
  <c r="N375" i="133"/>
  <c r="N372" i="133"/>
  <c r="N380" i="133"/>
  <c r="N378" i="133"/>
  <c r="N379" i="133"/>
  <c r="E15" i="137"/>
  <c r="O10" i="146"/>
  <c r="O30" i="146" s="1"/>
  <c r="R6" i="178"/>
  <c r="S3" i="176"/>
  <c r="S40" i="176" s="1"/>
  <c r="S118" i="176" s="1"/>
  <c r="S196" i="176" s="1"/>
  <c r="S231" i="176" s="1"/>
  <c r="S266" i="176" s="1"/>
  <c r="S301" i="176" s="1"/>
  <c r="S336" i="176" s="1"/>
  <c r="S371" i="176" s="1"/>
  <c r="S406" i="176" s="1"/>
  <c r="S441" i="176" s="1"/>
  <c r="S476" i="176" s="1"/>
  <c r="S511" i="176" s="1"/>
  <c r="S546" i="176" s="1"/>
  <c r="S581" i="176" s="1"/>
  <c r="P3" i="180"/>
  <c r="P5" i="179"/>
  <c r="Q185" i="166"/>
  <c r="AM199" i="166"/>
  <c r="Q199" i="166"/>
  <c r="S3" i="173"/>
  <c r="S40" i="173" s="1"/>
  <c r="S118" i="173" s="1"/>
  <c r="S196" i="173" s="1"/>
  <c r="S224" i="173" s="1"/>
  <c r="S252" i="173" s="1"/>
  <c r="S280" i="173" s="1"/>
  <c r="S308" i="173" s="1"/>
  <c r="S336" i="173" s="1"/>
  <c r="S364" i="173" s="1"/>
  <c r="S392" i="173" s="1"/>
  <c r="S420" i="173" s="1"/>
  <c r="S448" i="173" s="1"/>
  <c r="S476" i="173" s="1"/>
  <c r="S504" i="173" s="1"/>
  <c r="Q189" i="166"/>
  <c r="Q193" i="135"/>
  <c r="R193" i="135"/>
  <c r="Q194" i="166"/>
  <c r="N239" i="133"/>
  <c r="L151" i="142" s="1"/>
  <c r="R2" i="167"/>
  <c r="R2" i="154"/>
  <c r="AO2" i="167"/>
  <c r="AM194" i="166"/>
  <c r="R194" i="135"/>
  <c r="R194" i="166"/>
  <c r="AM189" i="166"/>
  <c r="BR277" i="133"/>
  <c r="BR313" i="133"/>
  <c r="BR278" i="133"/>
  <c r="BR306" i="133"/>
  <c r="BR293" i="133"/>
  <c r="BR302" i="133"/>
  <c r="BR291" i="133"/>
  <c r="BR294" i="133"/>
  <c r="BR301" i="133"/>
  <c r="L328" i="133"/>
  <c r="BR284" i="133"/>
  <c r="BR316" i="133"/>
  <c r="BR279" i="133"/>
  <c r="K333" i="133"/>
  <c r="K366" i="133" s="1"/>
  <c r="BR305" i="133"/>
  <c r="BR288" i="133"/>
  <c r="O323" i="133"/>
  <c r="O370" i="133" s="1"/>
  <c r="BR280" i="133"/>
  <c r="BR318" i="133"/>
  <c r="BR276" i="133"/>
  <c r="BR290" i="133"/>
  <c r="BR283" i="133"/>
  <c r="BR289" i="133"/>
  <c r="BR298" i="133"/>
  <c r="BR311" i="133"/>
  <c r="BR296" i="133"/>
  <c r="BR292" i="133"/>
  <c r="BR295" i="133"/>
  <c r="M328" i="133"/>
  <c r="M366" i="133" s="1"/>
  <c r="BR315" i="133"/>
  <c r="BR310" i="133"/>
  <c r="L338" i="133"/>
  <c r="BR317" i="133"/>
  <c r="O314" i="133"/>
  <c r="O282" i="133"/>
  <c r="O376" i="133" s="1"/>
  <c r="O293" i="133"/>
  <c r="O387" i="133" s="1"/>
  <c r="O307" i="133"/>
  <c r="O287" i="133"/>
  <c r="O294" i="133"/>
  <c r="O388" i="133" s="1"/>
  <c r="O313" i="133"/>
  <c r="O295" i="133"/>
  <c r="O389" i="133" s="1"/>
  <c r="O285" i="133"/>
  <c r="O379" i="133" s="1"/>
  <c r="O290" i="133"/>
  <c r="O384" i="133" s="1"/>
  <c r="O280" i="133"/>
  <c r="O374" i="133" s="1"/>
  <c r="O286" i="133"/>
  <c r="O380" i="133" s="1"/>
  <c r="O278" i="133"/>
  <c r="O372" i="133" s="1"/>
  <c r="O311" i="133"/>
  <c r="O308" i="133"/>
  <c r="O305" i="133"/>
  <c r="O298" i="133"/>
  <c r="O277" i="133"/>
  <c r="O371" i="133" s="1"/>
  <c r="O288" i="133"/>
  <c r="O382" i="133" s="1"/>
  <c r="O316" i="133"/>
  <c r="O410" i="133" s="1"/>
  <c r="O301" i="133"/>
  <c r="O299" i="133"/>
  <c r="O309" i="133"/>
  <c r="O303" i="133"/>
  <c r="O297" i="133"/>
  <c r="O318" i="133"/>
  <c r="O412" i="133" s="1"/>
  <c r="O289" i="133"/>
  <c r="O383" i="133" s="1"/>
  <c r="O315" i="133"/>
  <c r="O409" i="133" s="1"/>
  <c r="O296" i="133"/>
  <c r="O390" i="133" s="1"/>
  <c r="O283" i="133"/>
  <c r="O377" i="133" s="1"/>
  <c r="O304" i="133"/>
  <c r="O317" i="133"/>
  <c r="O411" i="133" s="1"/>
  <c r="O291" i="133"/>
  <c r="O385" i="133" s="1"/>
  <c r="O310" i="133"/>
  <c r="O300" i="133"/>
  <c r="O306" i="133"/>
  <c r="O281" i="133"/>
  <c r="O375" i="133" s="1"/>
  <c r="O279" i="133"/>
  <c r="O373" i="133" s="1"/>
  <c r="O292" i="133"/>
  <c r="O386" i="133" s="1"/>
  <c r="O312" i="133"/>
  <c r="O284" i="133"/>
  <c r="O378" i="133" s="1"/>
  <c r="O302" i="133"/>
  <c r="BR312" i="133"/>
  <c r="BR303" i="133"/>
  <c r="BR287" i="133"/>
  <c r="BR285" i="133"/>
  <c r="BR300" i="133"/>
  <c r="BR319" i="133"/>
  <c r="BR297" i="133"/>
  <c r="BR308" i="133"/>
  <c r="BR309" i="133"/>
  <c r="BR286" i="133"/>
  <c r="BR299" i="133"/>
  <c r="BR282" i="133"/>
  <c r="BR314" i="133"/>
  <c r="BR304" i="133"/>
  <c r="BR307" i="133"/>
  <c r="N187" i="133"/>
  <c r="Q189" i="135"/>
  <c r="U3" i="166"/>
  <c r="U9" i="166"/>
  <c r="N192" i="133"/>
  <c r="Q194" i="135"/>
  <c r="AR3" i="166"/>
  <c r="AR9" i="166"/>
  <c r="N197" i="133"/>
  <c r="N338" i="133" s="1"/>
  <c r="Q199" i="135"/>
  <c r="N183" i="133"/>
  <c r="Q185" i="135"/>
  <c r="AJ111" i="142"/>
  <c r="O83" i="133"/>
  <c r="O150" i="133" s="1"/>
  <c r="AH111" i="142"/>
  <c r="AH66" i="142"/>
  <c r="AH20" i="142"/>
  <c r="N11" i="137"/>
  <c r="N57" i="137" s="1"/>
  <c r="P3" i="161"/>
  <c r="P4" i="149"/>
  <c r="P10" i="149" s="1"/>
  <c r="P24" i="149" s="1"/>
  <c r="P4" i="146"/>
  <c r="AM3" i="161"/>
  <c r="AJ31" i="152"/>
  <c r="AJ42" i="152" s="1"/>
  <c r="AJ35" i="152"/>
  <c r="AJ43" i="152" s="1"/>
  <c r="N31" i="152"/>
  <c r="N42" i="152" s="1"/>
  <c r="N35" i="152"/>
  <c r="N43" i="152" s="1"/>
  <c r="L111" i="142"/>
  <c r="L20" i="142"/>
  <c r="AK31" i="152"/>
  <c r="AK42" i="152" s="1"/>
  <c r="AK35" i="152"/>
  <c r="AK43" i="152" s="1"/>
  <c r="L156" i="142"/>
  <c r="O244" i="133"/>
  <c r="M156" i="142" s="1"/>
  <c r="I24" i="137"/>
  <c r="J93" i="142"/>
  <c r="E67" i="137"/>
  <c r="E21" i="137" s="1"/>
  <c r="I13" i="145"/>
  <c r="E17" i="137"/>
  <c r="I15" i="145"/>
  <c r="I17" i="137" s="1"/>
  <c r="I14" i="145"/>
  <c r="I16" i="137" s="1"/>
  <c r="O5" i="142"/>
  <c r="O51" i="142" s="1"/>
  <c r="O96" i="142" s="1"/>
  <c r="O141" i="142" s="1"/>
  <c r="O186" i="142" s="1"/>
  <c r="Q135" i="133"/>
  <c r="AL5" i="142"/>
  <c r="AL51" i="142" s="1"/>
  <c r="AL96" i="142" s="1"/>
  <c r="AL141" i="142" s="1"/>
  <c r="AL186" i="142" s="1"/>
  <c r="CP276" i="133"/>
  <c r="Q18" i="152"/>
  <c r="P3" i="153"/>
  <c r="AN18" i="152"/>
  <c r="P82" i="133"/>
  <c r="O22" i="152"/>
  <c r="O26" i="152" s="1"/>
  <c r="AL22" i="152"/>
  <c r="AL26" i="152" s="1"/>
  <c r="J183" i="142"/>
  <c r="K183" i="142"/>
  <c r="J48" i="142"/>
  <c r="J138" i="142"/>
  <c r="L146" i="142"/>
  <c r="L101" i="142"/>
  <c r="L10" i="142"/>
  <c r="L56" i="142"/>
  <c r="K93" i="142"/>
  <c r="K48" i="142"/>
  <c r="O4" i="144"/>
  <c r="O4" i="145"/>
  <c r="O11" i="145" s="1"/>
  <c r="O54" i="145" s="1"/>
  <c r="AG138" i="142"/>
  <c r="AH105" i="142"/>
  <c r="AH150" i="142"/>
  <c r="AH14" i="142"/>
  <c r="AH60" i="142"/>
  <c r="M150" i="142"/>
  <c r="M105" i="142"/>
  <c r="M14" i="142"/>
  <c r="M60" i="142"/>
  <c r="L142" i="142"/>
  <c r="L187" i="142"/>
  <c r="L190" i="142" s="1"/>
  <c r="L97" i="142"/>
  <c r="L6" i="142"/>
  <c r="L52" i="142"/>
  <c r="M142" i="142"/>
  <c r="M187" i="142"/>
  <c r="M190" i="142" s="1"/>
  <c r="M97" i="142"/>
  <c r="M6" i="142"/>
  <c r="M52" i="142"/>
  <c r="AF192" i="142"/>
  <c r="AF194" i="142" s="1"/>
  <c r="AH106" i="142"/>
  <c r="AH151" i="142"/>
  <c r="AH15" i="142"/>
  <c r="AH61" i="142"/>
  <c r="AH146" i="142"/>
  <c r="AH101" i="142"/>
  <c r="AH10" i="142"/>
  <c r="AH56" i="142"/>
  <c r="AH142" i="142"/>
  <c r="AH187" i="142"/>
  <c r="AH190" i="142" s="1"/>
  <c r="AH97" i="142"/>
  <c r="AH6" i="142"/>
  <c r="AH52" i="142"/>
  <c r="AG183" i="142"/>
  <c r="M106" i="142"/>
  <c r="M151" i="142"/>
  <c r="M15" i="142"/>
  <c r="M61" i="142"/>
  <c r="K138" i="142"/>
  <c r="AG93" i="142"/>
  <c r="AG48" i="142"/>
  <c r="O192" i="133"/>
  <c r="CP290" i="133"/>
  <c r="CP316" i="133"/>
  <c r="CP305" i="133"/>
  <c r="CP288" i="133"/>
  <c r="CP291" i="133"/>
  <c r="CP300" i="133"/>
  <c r="CP317" i="133"/>
  <c r="CP310" i="133"/>
  <c r="CP282" i="133"/>
  <c r="CP299" i="133"/>
  <c r="CP293" i="133"/>
  <c r="CP277" i="133"/>
  <c r="CP314" i="133"/>
  <c r="CP311" i="133"/>
  <c r="CP306" i="133"/>
  <c r="CP302" i="133"/>
  <c r="CP279" i="133"/>
  <c r="CP307" i="133"/>
  <c r="CP309" i="133"/>
  <c r="CP319" i="133"/>
  <c r="CP296" i="133"/>
  <c r="CP283" i="133"/>
  <c r="CP287" i="133"/>
  <c r="CP298" i="133"/>
  <c r="CP303" i="133"/>
  <c r="CP286" i="133"/>
  <c r="CP297" i="133"/>
  <c r="CP285" i="133"/>
  <c r="CP278" i="133"/>
  <c r="CP304" i="133"/>
  <c r="CP295" i="133"/>
  <c r="CP308" i="133"/>
  <c r="CP318" i="133"/>
  <c r="CP280" i="133"/>
  <c r="CP284" i="133"/>
  <c r="CP289" i="133"/>
  <c r="CP312" i="133"/>
  <c r="CP294" i="133"/>
  <c r="CP301" i="133"/>
  <c r="CP313" i="133"/>
  <c r="CP292" i="133"/>
  <c r="CP315" i="133"/>
  <c r="CP281" i="133"/>
  <c r="O191" i="133"/>
  <c r="O332" i="133" s="1"/>
  <c r="O32" i="133"/>
  <c r="O140" i="133" s="1"/>
  <c r="O234" i="133"/>
  <c r="N191" i="133"/>
  <c r="O5" i="140"/>
  <c r="P6" i="130"/>
  <c r="P7" i="130" s="1"/>
  <c r="P50" i="133"/>
  <c r="P238" i="133" s="1"/>
  <c r="Q10" i="133"/>
  <c r="O13" i="133"/>
  <c r="O136" i="133" s="1"/>
  <c r="P12" i="133"/>
  <c r="AM4" i="136"/>
  <c r="AL10" i="136"/>
  <c r="AL30" i="136" s="1"/>
  <c r="P4" i="136"/>
  <c r="U9" i="135"/>
  <c r="O4" i="137"/>
  <c r="O10" i="136"/>
  <c r="O30" i="136" s="1"/>
  <c r="P4" i="130"/>
  <c r="U3" i="135"/>
  <c r="R3" i="133"/>
  <c r="Q5" i="133"/>
  <c r="O7" i="130"/>
  <c r="Q3" i="130"/>
  <c r="O18" i="144" l="1"/>
  <c r="M24" i="144"/>
  <c r="G15" i="137"/>
  <c r="O17" i="144"/>
  <c r="O19" i="144"/>
  <c r="O12" i="144"/>
  <c r="O16" i="144"/>
  <c r="N20" i="144"/>
  <c r="N23" i="144" s="1"/>
  <c r="AL49" i="152"/>
  <c r="O132" i="133"/>
  <c r="R185" i="166"/>
  <c r="Q182" i="133"/>
  <c r="Q229" i="133" s="1"/>
  <c r="Q276" i="133" s="1"/>
  <c r="BT290" i="133" s="1"/>
  <c r="O44" i="152"/>
  <c r="AM39" i="152"/>
  <c r="AM44" i="152" s="1"/>
  <c r="P39" i="152"/>
  <c r="P49" i="152" s="1"/>
  <c r="T157" i="135" s="1" a="1"/>
  <c r="T157" i="135" s="1"/>
  <c r="T285" i="135" s="1"/>
  <c r="Q30" i="133"/>
  <c r="Q31" i="133" s="1"/>
  <c r="AM287" i="166"/>
  <c r="AM300" i="166" s="1"/>
  <c r="Q287" i="166"/>
  <c r="Q287" i="135"/>
  <c r="Q300" i="135" s="1"/>
  <c r="J57" i="145"/>
  <c r="K15" i="146"/>
  <c r="N13" i="173" s="1"/>
  <c r="K11" i="149"/>
  <c r="I15" i="146"/>
  <c r="L13" i="173" s="1"/>
  <c r="I11" i="149"/>
  <c r="J59" i="145"/>
  <c r="J64" i="137" s="1"/>
  <c r="K59" i="145"/>
  <c r="K64" i="137" s="1"/>
  <c r="J58" i="145"/>
  <c r="J63" i="137" s="1"/>
  <c r="J56" i="145"/>
  <c r="J61" i="137" s="1"/>
  <c r="K58" i="145"/>
  <c r="K63" i="137" s="1"/>
  <c r="K56" i="145"/>
  <c r="K57" i="145"/>
  <c r="K62" i="137" s="1"/>
  <c r="H216" i="183"/>
  <c r="H217" i="183" s="1"/>
  <c r="H202" i="183"/>
  <c r="H203" i="183" s="1"/>
  <c r="Q3" i="180"/>
  <c r="Q5" i="179"/>
  <c r="P10" i="146"/>
  <c r="P30" i="146" s="1"/>
  <c r="S6" i="178"/>
  <c r="T3" i="176"/>
  <c r="T40" i="176" s="1"/>
  <c r="T118" i="176" s="1"/>
  <c r="T196" i="176" s="1"/>
  <c r="T231" i="176" s="1"/>
  <c r="T266" i="176" s="1"/>
  <c r="T301" i="176" s="1"/>
  <c r="T336" i="176" s="1"/>
  <c r="T371" i="176" s="1"/>
  <c r="T406" i="176" s="1"/>
  <c r="T441" i="176" s="1"/>
  <c r="T476" i="176" s="1"/>
  <c r="T511" i="176" s="1"/>
  <c r="T546" i="176" s="1"/>
  <c r="T581" i="176" s="1"/>
  <c r="R199" i="166"/>
  <c r="N332" i="133"/>
  <c r="L61" i="142"/>
  <c r="L93" i="142" s="1"/>
  <c r="L15" i="142"/>
  <c r="L48" i="142" s="1"/>
  <c r="L106" i="142"/>
  <c r="L138" i="142" s="1"/>
  <c r="T3" i="173"/>
  <c r="T40" i="173" s="1"/>
  <c r="T118" i="173" s="1"/>
  <c r="T196" i="173" s="1"/>
  <c r="T224" i="173" s="1"/>
  <c r="T252" i="173" s="1"/>
  <c r="T280" i="173" s="1"/>
  <c r="T308" i="173" s="1"/>
  <c r="T336" i="173" s="1"/>
  <c r="T364" i="173" s="1"/>
  <c r="T392" i="173" s="1"/>
  <c r="T420" i="173" s="1"/>
  <c r="T448" i="173" s="1"/>
  <c r="T476" i="173" s="1"/>
  <c r="T504" i="173" s="1"/>
  <c r="R189" i="166"/>
  <c r="R185" i="135"/>
  <c r="AQ2" i="167"/>
  <c r="AP2" i="167"/>
  <c r="S2" i="167"/>
  <c r="S2" i="154"/>
  <c r="BS280" i="133"/>
  <c r="BS301" i="133"/>
  <c r="BS288" i="133"/>
  <c r="BS308" i="133"/>
  <c r="BS314" i="133"/>
  <c r="P323" i="133"/>
  <c r="P370" i="133" s="1"/>
  <c r="BS291" i="133"/>
  <c r="BS279" i="133"/>
  <c r="BS307" i="133"/>
  <c r="BS295" i="133"/>
  <c r="BS293" i="133"/>
  <c r="L366" i="133"/>
  <c r="BS297" i="133"/>
  <c r="BS304" i="133"/>
  <c r="BS292" i="133"/>
  <c r="BS282" i="133"/>
  <c r="BS311" i="133"/>
  <c r="N328" i="133"/>
  <c r="N333" i="133"/>
  <c r="O333" i="133"/>
  <c r="N324" i="133"/>
  <c r="BS299" i="133"/>
  <c r="P293" i="133"/>
  <c r="P387" i="133" s="1"/>
  <c r="P304" i="133"/>
  <c r="P315" i="133"/>
  <c r="P294" i="133"/>
  <c r="P313" i="133"/>
  <c r="P290" i="133"/>
  <c r="P384" i="133" s="1"/>
  <c r="P280" i="133"/>
  <c r="P374" i="133" s="1"/>
  <c r="P309" i="133"/>
  <c r="P300" i="133"/>
  <c r="P314" i="133"/>
  <c r="P311" i="133"/>
  <c r="P308" i="133"/>
  <c r="P305" i="133"/>
  <c r="P298" i="133"/>
  <c r="P316" i="133"/>
  <c r="P285" i="133"/>
  <c r="P379" i="133" s="1"/>
  <c r="P277" i="133"/>
  <c r="P288" i="133"/>
  <c r="P382" i="133" s="1"/>
  <c r="P303" i="133"/>
  <c r="P297" i="133"/>
  <c r="P307" i="133"/>
  <c r="P318" i="133"/>
  <c r="P412" i="133" s="1"/>
  <c r="P289" i="133"/>
  <c r="P383" i="133" s="1"/>
  <c r="P287" i="133"/>
  <c r="P283" i="133"/>
  <c r="P377" i="133" s="1"/>
  <c r="P296" i="133"/>
  <c r="P390" i="133" s="1"/>
  <c r="P295" i="133"/>
  <c r="P389" i="133" s="1"/>
  <c r="P286" i="133"/>
  <c r="P301" i="133"/>
  <c r="P317" i="133"/>
  <c r="P411" i="133" s="1"/>
  <c r="P310" i="133"/>
  <c r="P404" i="133" s="1"/>
  <c r="P291" i="133"/>
  <c r="P385" i="133" s="1"/>
  <c r="P306" i="133"/>
  <c r="P299" i="133"/>
  <c r="P279" i="133"/>
  <c r="P281" i="133"/>
  <c r="P375" i="133" s="1"/>
  <c r="P292" i="133"/>
  <c r="P386" i="133" s="1"/>
  <c r="P312" i="133"/>
  <c r="P284" i="133"/>
  <c r="P378" i="133" s="1"/>
  <c r="P302" i="133"/>
  <c r="P278" i="133"/>
  <c r="P282" i="133"/>
  <c r="P376" i="133" s="1"/>
  <c r="BS284" i="133"/>
  <c r="BS316" i="133"/>
  <c r="BS310" i="133"/>
  <c r="BS303" i="133"/>
  <c r="BS285" i="133"/>
  <c r="BS319" i="133"/>
  <c r="BS306" i="133"/>
  <c r="BS313" i="133"/>
  <c r="BS287" i="133"/>
  <c r="BS286" i="133"/>
  <c r="BS300" i="133"/>
  <c r="BS309" i="133"/>
  <c r="BS294" i="133"/>
  <c r="BS277" i="133"/>
  <c r="BS278" i="133"/>
  <c r="BS302" i="133"/>
  <c r="BS296" i="133"/>
  <c r="BS305" i="133"/>
  <c r="BS298" i="133"/>
  <c r="BS290" i="133"/>
  <c r="BS281" i="133"/>
  <c r="BS318" i="133"/>
  <c r="BS276" i="133"/>
  <c r="BS283" i="133"/>
  <c r="BS312" i="133"/>
  <c r="BS289" i="133"/>
  <c r="BS315" i="133"/>
  <c r="O197" i="133"/>
  <c r="O338" i="133" s="1"/>
  <c r="R199" i="135"/>
  <c r="AJ66" i="142"/>
  <c r="AJ20" i="142"/>
  <c r="AJ156" i="142"/>
  <c r="AI156" i="142"/>
  <c r="AI111" i="142"/>
  <c r="AI66" i="142"/>
  <c r="AI20" i="142"/>
  <c r="V9" i="166"/>
  <c r="V3" i="166"/>
  <c r="O187" i="133"/>
  <c r="O328" i="133" s="1"/>
  <c r="R189" i="135"/>
  <c r="AT3" i="166"/>
  <c r="AT9" i="166"/>
  <c r="AS3" i="166"/>
  <c r="AS9" i="166"/>
  <c r="P83" i="133"/>
  <c r="P150" i="133" s="1"/>
  <c r="M66" i="142"/>
  <c r="M111" i="142"/>
  <c r="AK156" i="142"/>
  <c r="M20" i="142"/>
  <c r="AO3" i="161"/>
  <c r="O11" i="137"/>
  <c r="O57" i="137" s="1"/>
  <c r="Q3" i="161"/>
  <c r="Q4" i="149"/>
  <c r="Q10" i="149" s="1"/>
  <c r="Q24" i="149" s="1"/>
  <c r="Q4" i="146"/>
  <c r="AN3" i="161"/>
  <c r="P244" i="133"/>
  <c r="N111" i="142" s="1"/>
  <c r="AL31" i="152"/>
  <c r="AL42" i="152" s="1"/>
  <c r="AL35" i="152"/>
  <c r="AL43" i="152" s="1"/>
  <c r="O31" i="152"/>
  <c r="O42" i="152" s="1"/>
  <c r="O35" i="152"/>
  <c r="I67" i="137"/>
  <c r="I21" i="137" s="1"/>
  <c r="CQ276" i="133"/>
  <c r="AM5" i="142"/>
  <c r="AM51" i="142" s="1"/>
  <c r="AM96" i="142" s="1"/>
  <c r="AM141" i="142" s="1"/>
  <c r="AM186" i="142" s="1"/>
  <c r="P5" i="142"/>
  <c r="P51" i="142" s="1"/>
  <c r="P96" i="142" s="1"/>
  <c r="P141" i="142" s="1"/>
  <c r="P186" i="142" s="1"/>
  <c r="R135" i="133"/>
  <c r="J192" i="142"/>
  <c r="J194" i="142" s="1"/>
  <c r="Q3" i="153"/>
  <c r="R18" i="152"/>
  <c r="AO18" i="152"/>
  <c r="AP18" i="152"/>
  <c r="Q82" i="133"/>
  <c r="P22" i="152"/>
  <c r="P26" i="152" s="1"/>
  <c r="AM22" i="152"/>
  <c r="AM26" i="152" s="1"/>
  <c r="AI106" i="142"/>
  <c r="AI151" i="142"/>
  <c r="AI15" i="142"/>
  <c r="AI61" i="142"/>
  <c r="AG192" i="142"/>
  <c r="AG194" i="142" s="1"/>
  <c r="AH93" i="142"/>
  <c r="AH48" i="142"/>
  <c r="AH138" i="142"/>
  <c r="P4" i="144"/>
  <c r="P18" i="144" s="1"/>
  <c r="P4" i="145"/>
  <c r="P11" i="145" s="1"/>
  <c r="P54" i="145" s="1"/>
  <c r="AJ150" i="142"/>
  <c r="AJ105" i="142"/>
  <c r="AJ14" i="142"/>
  <c r="AJ60" i="142"/>
  <c r="AI142" i="142"/>
  <c r="AI187" i="142"/>
  <c r="AI190" i="142" s="1"/>
  <c r="AI97" i="142"/>
  <c r="AI6" i="142"/>
  <c r="AI52" i="142"/>
  <c r="AJ146" i="142"/>
  <c r="AJ101" i="142"/>
  <c r="AJ10" i="142"/>
  <c r="AJ56" i="142"/>
  <c r="N150" i="142"/>
  <c r="N105" i="142"/>
  <c r="N14" i="142"/>
  <c r="N60" i="142"/>
  <c r="L183" i="142"/>
  <c r="AJ106" i="142"/>
  <c r="AJ151" i="142"/>
  <c r="AJ15" i="142"/>
  <c r="AJ61" i="142"/>
  <c r="K192" i="142"/>
  <c r="K194" i="142" s="1"/>
  <c r="AI105" i="142"/>
  <c r="AI150" i="142"/>
  <c r="AI14" i="142"/>
  <c r="AI60" i="142"/>
  <c r="AH183" i="142"/>
  <c r="AI146" i="142"/>
  <c r="AI101" i="142"/>
  <c r="AI10" i="142"/>
  <c r="AI56" i="142"/>
  <c r="M146" i="142"/>
  <c r="M183" i="142" s="1"/>
  <c r="M101" i="142"/>
  <c r="M10" i="142"/>
  <c r="M56" i="142"/>
  <c r="AJ142" i="142"/>
  <c r="AJ187" i="142"/>
  <c r="AJ190" i="142" s="1"/>
  <c r="AJ97" i="142"/>
  <c r="AJ6" i="142"/>
  <c r="AJ52" i="142"/>
  <c r="CQ289" i="133"/>
  <c r="CQ316" i="133"/>
  <c r="CQ283" i="133"/>
  <c r="CQ291" i="133"/>
  <c r="CQ300" i="133"/>
  <c r="CQ317" i="133"/>
  <c r="CQ310" i="133"/>
  <c r="CQ282" i="133"/>
  <c r="CQ299" i="133"/>
  <c r="CQ290" i="133"/>
  <c r="CQ301" i="133"/>
  <c r="CQ279" i="133"/>
  <c r="CQ286" i="133"/>
  <c r="CQ293" i="133"/>
  <c r="CQ277" i="133"/>
  <c r="CQ296" i="133"/>
  <c r="CQ311" i="133"/>
  <c r="CQ306" i="133"/>
  <c r="CQ294" i="133"/>
  <c r="CQ278" i="133"/>
  <c r="CQ314" i="133"/>
  <c r="CQ280" i="133"/>
  <c r="CQ307" i="133"/>
  <c r="CQ309" i="133"/>
  <c r="CQ319" i="133"/>
  <c r="CQ295" i="133"/>
  <c r="CQ318" i="133"/>
  <c r="CQ297" i="133"/>
  <c r="CQ305" i="133"/>
  <c r="CQ287" i="133"/>
  <c r="CQ298" i="133"/>
  <c r="CQ303" i="133"/>
  <c r="CQ284" i="133"/>
  <c r="CQ304" i="133"/>
  <c r="CQ285" i="133"/>
  <c r="CQ288" i="133"/>
  <c r="CQ302" i="133"/>
  <c r="CQ308" i="133"/>
  <c r="CQ312" i="133"/>
  <c r="CQ313" i="133"/>
  <c r="CQ292" i="133"/>
  <c r="CQ315" i="133"/>
  <c r="CQ281" i="133"/>
  <c r="P32" i="133"/>
  <c r="P140" i="133" s="1"/>
  <c r="P234" i="133"/>
  <c r="P13" i="133"/>
  <c r="P136" i="133" s="1"/>
  <c r="P230" i="133"/>
  <c r="O183" i="133"/>
  <c r="P5" i="140"/>
  <c r="P51" i="133"/>
  <c r="P144" i="133" s="1"/>
  <c r="Q55" i="133"/>
  <c r="Q56" i="133" s="1"/>
  <c r="Q50" i="133"/>
  <c r="R55" i="133"/>
  <c r="R56" i="133" s="1"/>
  <c r="R50" i="133"/>
  <c r="P239" i="133"/>
  <c r="R10" i="133"/>
  <c r="Q12" i="133"/>
  <c r="AO4" i="136"/>
  <c r="AN4" i="136"/>
  <c r="Q4" i="136"/>
  <c r="V9" i="135"/>
  <c r="P4" i="137"/>
  <c r="P10" i="136"/>
  <c r="P30" i="136" s="1"/>
  <c r="AM10" i="136"/>
  <c r="AM30" i="136" s="1"/>
  <c r="Q4" i="130"/>
  <c r="V3" i="135"/>
  <c r="S3" i="133"/>
  <c r="Q6" i="130"/>
  <c r="R5" i="133"/>
  <c r="R3" i="130"/>
  <c r="L13" i="176" l="1"/>
  <c r="I18" i="149"/>
  <c r="N13" i="176"/>
  <c r="K18" i="149"/>
  <c r="P67" i="145"/>
  <c r="P24" i="145" s="1"/>
  <c r="P74" i="137"/>
  <c r="P28" i="137" s="1"/>
  <c r="O67" i="145"/>
  <c r="O24" i="145" s="1"/>
  <c r="O74" i="137"/>
  <c r="O28" i="137" s="1"/>
  <c r="J14" i="145"/>
  <c r="J62" i="137"/>
  <c r="J16" i="137" s="1"/>
  <c r="K13" i="145"/>
  <c r="K61" i="137"/>
  <c r="K15" i="137" s="1"/>
  <c r="N24" i="144"/>
  <c r="P17" i="144"/>
  <c r="P19" i="144"/>
  <c r="P12" i="144"/>
  <c r="P16" i="144"/>
  <c r="O20" i="144"/>
  <c r="AM49" i="152"/>
  <c r="P44" i="152"/>
  <c r="R182" i="133"/>
  <c r="R229" i="133" s="1"/>
  <c r="R276" i="133" s="1"/>
  <c r="BU294" i="133" s="1"/>
  <c r="P132" i="133"/>
  <c r="S193" i="166"/>
  <c r="Q39" i="152"/>
  <c r="Q49" i="152" s="1"/>
  <c r="U157" i="135" s="1" a="1"/>
  <c r="U157" i="135" s="1"/>
  <c r="U285" i="135" s="1"/>
  <c r="R30" i="133"/>
  <c r="AN39" i="152"/>
  <c r="AN44" i="152" s="1"/>
  <c r="R287" i="166"/>
  <c r="R300" i="166" s="1"/>
  <c r="Q300" i="166"/>
  <c r="R287" i="135"/>
  <c r="R300" i="135" s="1"/>
  <c r="J16" i="145"/>
  <c r="J18" i="137" s="1"/>
  <c r="J15" i="146"/>
  <c r="J11" i="149"/>
  <c r="J18" i="149" s="1"/>
  <c r="M59" i="145"/>
  <c r="M64" i="137" s="1"/>
  <c r="L57" i="145"/>
  <c r="L62" i="137" s="1"/>
  <c r="J13" i="145"/>
  <c r="J15" i="137" s="1"/>
  <c r="L59" i="145"/>
  <c r="L64" i="137" s="1"/>
  <c r="L58" i="145"/>
  <c r="L63" i="137" s="1"/>
  <c r="L56" i="145"/>
  <c r="L61" i="137" s="1"/>
  <c r="T6" i="178"/>
  <c r="U3" i="176"/>
  <c r="U40" i="176" s="1"/>
  <c r="U118" i="176" s="1"/>
  <c r="U196" i="176" s="1"/>
  <c r="U231" i="176" s="1"/>
  <c r="U266" i="176" s="1"/>
  <c r="U301" i="176" s="1"/>
  <c r="U336" i="176" s="1"/>
  <c r="U371" i="176" s="1"/>
  <c r="U406" i="176" s="1"/>
  <c r="U441" i="176" s="1"/>
  <c r="U476" i="176" s="1"/>
  <c r="U511" i="176" s="1"/>
  <c r="U546" i="176" s="1"/>
  <c r="U581" i="176" s="1"/>
  <c r="Q10" i="146"/>
  <c r="Q30" i="146" s="1"/>
  <c r="R3" i="180"/>
  <c r="R5" i="179"/>
  <c r="S185" i="166"/>
  <c r="S199" i="166"/>
  <c r="U3" i="173"/>
  <c r="U40" i="173" s="1"/>
  <c r="U118" i="173" s="1"/>
  <c r="U196" i="173" s="1"/>
  <c r="U224" i="173" s="1"/>
  <c r="U252" i="173" s="1"/>
  <c r="U280" i="173" s="1"/>
  <c r="U308" i="173" s="1"/>
  <c r="U336" i="173" s="1"/>
  <c r="U364" i="173" s="1"/>
  <c r="U392" i="173" s="1"/>
  <c r="U420" i="173" s="1"/>
  <c r="U448" i="173" s="1"/>
  <c r="U476" i="173" s="1"/>
  <c r="U504" i="173" s="1"/>
  <c r="S189" i="166"/>
  <c r="S193" i="135"/>
  <c r="I15" i="136"/>
  <c r="T2" i="167"/>
  <c r="T2" i="154"/>
  <c r="N366" i="133"/>
  <c r="BT300" i="133"/>
  <c r="BT281" i="133"/>
  <c r="BT296" i="133"/>
  <c r="BT287" i="133"/>
  <c r="BT311" i="133"/>
  <c r="O324" i="133"/>
  <c r="O366" i="133" s="1"/>
  <c r="BT283" i="133"/>
  <c r="Q304" i="133"/>
  <c r="Q315" i="133"/>
  <c r="Q283" i="133"/>
  <c r="Q313" i="133"/>
  <c r="Q301" i="133"/>
  <c r="Q309" i="133"/>
  <c r="Q300" i="133"/>
  <c r="Q294" i="133"/>
  <c r="Q290" i="133"/>
  <c r="Q311" i="133"/>
  <c r="Q308" i="133"/>
  <c r="Q305" i="133"/>
  <c r="Q298" i="133"/>
  <c r="Q307" i="133"/>
  <c r="Q288" i="133"/>
  <c r="Q314" i="133"/>
  <c r="Q293" i="133"/>
  <c r="Q387" i="133" s="1"/>
  <c r="Q312" i="133"/>
  <c r="Q296" i="133"/>
  <c r="Q390" i="133" s="1"/>
  <c r="Q291" i="133"/>
  <c r="Q385" i="133" s="1"/>
  <c r="Q318" i="133"/>
  <c r="Q280" i="133"/>
  <c r="Q278" i="133"/>
  <c r="Q289" i="133"/>
  <c r="Q383" i="133" s="1"/>
  <c r="Q287" i="133"/>
  <c r="Q381" i="133" s="1"/>
  <c r="Q317" i="133"/>
  <c r="Q310" i="133"/>
  <c r="Q404" i="133" s="1"/>
  <c r="Q302" i="133"/>
  <c r="Q396" i="133" s="1"/>
  <c r="Q306" i="133"/>
  <c r="Q285" i="133"/>
  <c r="Q379" i="133" s="1"/>
  <c r="Q297" i="133"/>
  <c r="Q277" i="133"/>
  <c r="Q303" i="133"/>
  <c r="Q281" i="133"/>
  <c r="Q316" i="133"/>
  <c r="Q279" i="133"/>
  <c r="Q284" i="133"/>
  <c r="Q295" i="133"/>
  <c r="Q299" i="133"/>
  <c r="Q292" i="133"/>
  <c r="Q286" i="133"/>
  <c r="Q282" i="133"/>
  <c r="BT316" i="133"/>
  <c r="BT303" i="133"/>
  <c r="BT307" i="133"/>
  <c r="BT285" i="133"/>
  <c r="BT313" i="133"/>
  <c r="BT286" i="133"/>
  <c r="BT295" i="133"/>
  <c r="BT291" i="133"/>
  <c r="BT319" i="133"/>
  <c r="BT278" i="133"/>
  <c r="BT292" i="133"/>
  <c r="BT284" i="133"/>
  <c r="BT279" i="133"/>
  <c r="BT289" i="133"/>
  <c r="BT315" i="133"/>
  <c r="BT310" i="133"/>
  <c r="BT293" i="133"/>
  <c r="BT298" i="133"/>
  <c r="BT306" i="133"/>
  <c r="BT302" i="133"/>
  <c r="BT277" i="133"/>
  <c r="BT308" i="133"/>
  <c r="BT280" i="133"/>
  <c r="Q323" i="133"/>
  <c r="Q370" i="133" s="1"/>
  <c r="BT282" i="133"/>
  <c r="BT304" i="133"/>
  <c r="BT318" i="133"/>
  <c r="BT309" i="133"/>
  <c r="BT299" i="133"/>
  <c r="BT294" i="133"/>
  <c r="BT288" i="133"/>
  <c r="CR283" i="133"/>
  <c r="BT297" i="133"/>
  <c r="BT276" i="133"/>
  <c r="BT305" i="133"/>
  <c r="BT301" i="133"/>
  <c r="BT314" i="133"/>
  <c r="BT317" i="133"/>
  <c r="BT312" i="133"/>
  <c r="P183" i="133"/>
  <c r="S185" i="135"/>
  <c r="P187" i="133"/>
  <c r="P328" i="133" s="1"/>
  <c r="S189" i="135"/>
  <c r="P197" i="133"/>
  <c r="P338" i="133" s="1"/>
  <c r="S199" i="135"/>
  <c r="M93" i="142"/>
  <c r="W9" i="166"/>
  <c r="W3" i="166"/>
  <c r="M138" i="142"/>
  <c r="AL111" i="142"/>
  <c r="Q83" i="133"/>
  <c r="Q150" i="133" s="1"/>
  <c r="AK111" i="142"/>
  <c r="AK66" i="142"/>
  <c r="AK20" i="142"/>
  <c r="M48" i="142"/>
  <c r="P11" i="137"/>
  <c r="P57" i="137" s="1"/>
  <c r="N66" i="142"/>
  <c r="R3" i="161"/>
  <c r="R4" i="149"/>
  <c r="R10" i="149" s="1"/>
  <c r="R24" i="149" s="1"/>
  <c r="R4" i="146"/>
  <c r="N20" i="142"/>
  <c r="N156" i="142"/>
  <c r="K15" i="136"/>
  <c r="AM31" i="152"/>
  <c r="AM42" i="152" s="1"/>
  <c r="AM35" i="152"/>
  <c r="AM43" i="152" s="1"/>
  <c r="P31" i="152"/>
  <c r="P42" i="152" s="1"/>
  <c r="P35" i="152"/>
  <c r="P43" i="152" s="1"/>
  <c r="O43" i="152"/>
  <c r="K16" i="145"/>
  <c r="K18" i="137" s="1"/>
  <c r="K15" i="145"/>
  <c r="K17" i="137" s="1"/>
  <c r="K14" i="145"/>
  <c r="J15" i="145"/>
  <c r="AO5" i="142"/>
  <c r="AO51" i="142" s="1"/>
  <c r="AO96" i="142" s="1"/>
  <c r="AO141" i="142" s="1"/>
  <c r="AO186" i="142" s="1"/>
  <c r="Q244" i="133"/>
  <c r="O66" i="142" s="1"/>
  <c r="Q5" i="142"/>
  <c r="Q51" i="142" s="1"/>
  <c r="Q96" i="142" s="1"/>
  <c r="Q141" i="142" s="1"/>
  <c r="Q186" i="142" s="1"/>
  <c r="S135" i="133"/>
  <c r="AN5" i="142"/>
  <c r="AN51" i="142" s="1"/>
  <c r="AN96" i="142" s="1"/>
  <c r="AN141" i="142" s="1"/>
  <c r="AN186" i="142" s="1"/>
  <c r="S18" i="152"/>
  <c r="R3" i="153"/>
  <c r="AN22" i="152"/>
  <c r="AN26" i="152" s="1"/>
  <c r="R82" i="133"/>
  <c r="R83" i="133" s="1"/>
  <c r="Q22" i="152"/>
  <c r="Q26" i="152" s="1"/>
  <c r="AI48" i="142"/>
  <c r="AI93" i="142"/>
  <c r="AI183" i="142"/>
  <c r="AI138" i="142"/>
  <c r="AJ183" i="142"/>
  <c r="N106" i="142"/>
  <c r="N151" i="142"/>
  <c r="N15" i="142"/>
  <c r="N61" i="142"/>
  <c r="L192" i="142"/>
  <c r="L194" i="142" s="1"/>
  <c r="AK101" i="142"/>
  <c r="AK146" i="142"/>
  <c r="AK10" i="142"/>
  <c r="AK56" i="142"/>
  <c r="N142" i="142"/>
  <c r="N187" i="142"/>
  <c r="N190" i="142" s="1"/>
  <c r="N97" i="142"/>
  <c r="N6" i="142"/>
  <c r="N52" i="142"/>
  <c r="N146" i="142"/>
  <c r="N101" i="142"/>
  <c r="N10" i="142"/>
  <c r="N56" i="142"/>
  <c r="AK142" i="142"/>
  <c r="AK187" i="142"/>
  <c r="AK190" i="142" s="1"/>
  <c r="AK97" i="142"/>
  <c r="AK6" i="142"/>
  <c r="AK52" i="142"/>
  <c r="AJ93" i="142"/>
  <c r="AK151" i="142"/>
  <c r="AK106" i="142"/>
  <c r="AK15" i="142"/>
  <c r="AK61" i="142"/>
  <c r="AJ138" i="142"/>
  <c r="AH192" i="142"/>
  <c r="AH194" i="142" s="1"/>
  <c r="Q4" i="145"/>
  <c r="Q11" i="145" s="1"/>
  <c r="Q54" i="145" s="1"/>
  <c r="Q4" i="144"/>
  <c r="Q18" i="144" s="1"/>
  <c r="AK105" i="142"/>
  <c r="AK150" i="142"/>
  <c r="AK14" i="142"/>
  <c r="AK60" i="142"/>
  <c r="AJ48" i="142"/>
  <c r="Q32" i="133"/>
  <c r="Q140" i="133" s="1"/>
  <c r="Q234" i="133"/>
  <c r="Q51" i="133"/>
  <c r="Q144" i="133" s="1"/>
  <c r="Q238" i="133"/>
  <c r="Q13" i="133"/>
  <c r="Q136" i="133" s="1"/>
  <c r="Q230" i="133"/>
  <c r="R51" i="133"/>
  <c r="R144" i="133" s="1"/>
  <c r="R238" i="133"/>
  <c r="R57" i="133"/>
  <c r="R145" i="133" s="1"/>
  <c r="R239" i="133"/>
  <c r="Q57" i="133"/>
  <c r="Q145" i="133" s="1"/>
  <c r="Q239" i="133"/>
  <c r="P191" i="133"/>
  <c r="P57" i="133"/>
  <c r="P145" i="133" s="1"/>
  <c r="Q5" i="140"/>
  <c r="S10" i="133"/>
  <c r="R12" i="133"/>
  <c r="R4" i="136"/>
  <c r="W9" i="135"/>
  <c r="Q4" i="137"/>
  <c r="Q10" i="136"/>
  <c r="Q30" i="136" s="1"/>
  <c r="AN10" i="136"/>
  <c r="AN30" i="136" s="1"/>
  <c r="AO10" i="136"/>
  <c r="AO30" i="136" s="1"/>
  <c r="R4" i="130"/>
  <c r="W3" i="135"/>
  <c r="T3" i="133"/>
  <c r="R6" i="130"/>
  <c r="S5" i="133"/>
  <c r="Q7" i="130"/>
  <c r="S3" i="130"/>
  <c r="Q67" i="145" l="1"/>
  <c r="Q24" i="145" s="1"/>
  <c r="Q74" i="137"/>
  <c r="Q28" i="137" s="1"/>
  <c r="O23" i="144"/>
  <c r="Q17" i="144"/>
  <c r="Q19" i="144"/>
  <c r="Q12" i="144"/>
  <c r="Q16" i="144"/>
  <c r="P20" i="144"/>
  <c r="P23" i="144" s="1"/>
  <c r="M13" i="176"/>
  <c r="AN49" i="152"/>
  <c r="U193" i="166"/>
  <c r="S182" i="133"/>
  <c r="S229" i="133" s="1"/>
  <c r="S276" i="133" s="1"/>
  <c r="BV319" i="133" s="1"/>
  <c r="Q44" i="152"/>
  <c r="Q132" i="133"/>
  <c r="H287" i="135"/>
  <c r="H300" i="135" s="1"/>
  <c r="R39" i="152"/>
  <c r="R44" i="152" s="1"/>
  <c r="S30" i="133"/>
  <c r="S31" i="133" s="1"/>
  <c r="M13" i="173"/>
  <c r="L16" i="145"/>
  <c r="L18" i="137" s="1"/>
  <c r="M15" i="146"/>
  <c r="P13" i="173" s="1"/>
  <c r="M11" i="149"/>
  <c r="M56" i="145"/>
  <c r="L15" i="146"/>
  <c r="L11" i="149"/>
  <c r="L18" i="149" s="1"/>
  <c r="L13" i="145"/>
  <c r="L15" i="137" s="1"/>
  <c r="M58" i="145"/>
  <c r="M63" i="137" s="1"/>
  <c r="M57" i="145"/>
  <c r="L14" i="145"/>
  <c r="L16" i="137" s="1"/>
  <c r="U6" i="178"/>
  <c r="V3" i="176"/>
  <c r="V40" i="176" s="1"/>
  <c r="V118" i="176" s="1"/>
  <c r="V196" i="176" s="1"/>
  <c r="V231" i="176" s="1"/>
  <c r="V266" i="176" s="1"/>
  <c r="V301" i="176" s="1"/>
  <c r="V336" i="176" s="1"/>
  <c r="V371" i="176" s="1"/>
  <c r="V406" i="176" s="1"/>
  <c r="V441" i="176" s="1"/>
  <c r="V476" i="176" s="1"/>
  <c r="V511" i="176" s="1"/>
  <c r="V546" i="176" s="1"/>
  <c r="V581" i="176" s="1"/>
  <c r="R10" i="146"/>
  <c r="R30" i="146" s="1"/>
  <c r="S3" i="180"/>
  <c r="S5" i="179"/>
  <c r="T185" i="166"/>
  <c r="T193" i="166"/>
  <c r="T199" i="166"/>
  <c r="V3" i="173"/>
  <c r="V40" i="173" s="1"/>
  <c r="V118" i="173" s="1"/>
  <c r="V196" i="173" s="1"/>
  <c r="V224" i="173" s="1"/>
  <c r="V252" i="173" s="1"/>
  <c r="V280" i="173" s="1"/>
  <c r="V308" i="173" s="1"/>
  <c r="V336" i="173" s="1"/>
  <c r="V364" i="173" s="1"/>
  <c r="V392" i="173" s="1"/>
  <c r="V420" i="173" s="1"/>
  <c r="V448" i="173" s="1"/>
  <c r="V476" i="173" s="1"/>
  <c r="V504" i="173" s="1"/>
  <c r="J15" i="136"/>
  <c r="T189" i="166"/>
  <c r="U193" i="135"/>
  <c r="U2" i="167"/>
  <c r="U2" i="154"/>
  <c r="U194" i="135"/>
  <c r="U194" i="166"/>
  <c r="T194" i="135"/>
  <c r="T194" i="166"/>
  <c r="S194" i="135"/>
  <c r="S287" i="135" s="1"/>
  <c r="S194" i="166"/>
  <c r="S287" i="166" s="1"/>
  <c r="CR277" i="133"/>
  <c r="P324" i="133"/>
  <c r="CR292" i="133"/>
  <c r="CR301" i="133"/>
  <c r="CR281" i="133"/>
  <c r="CR298" i="133"/>
  <c r="CR287" i="133"/>
  <c r="CR290" i="133"/>
  <c r="CR315" i="133"/>
  <c r="CR284" i="133"/>
  <c r="CR294" i="133"/>
  <c r="CR303" i="133"/>
  <c r="CR311" i="133"/>
  <c r="CR278" i="133"/>
  <c r="CR285" i="133"/>
  <c r="BU313" i="133"/>
  <c r="CR313" i="133"/>
  <c r="CR302" i="133"/>
  <c r="P332" i="133"/>
  <c r="CR305" i="133"/>
  <c r="BU306" i="133"/>
  <c r="R315" i="133"/>
  <c r="R283" i="133"/>
  <c r="R294" i="133"/>
  <c r="R301" i="133"/>
  <c r="R281" i="133"/>
  <c r="R308" i="133"/>
  <c r="R309" i="133"/>
  <c r="R300" i="133"/>
  <c r="R317" i="133"/>
  <c r="R311" i="133"/>
  <c r="R305" i="133"/>
  <c r="R298" i="133"/>
  <c r="R318" i="133"/>
  <c r="R314" i="133"/>
  <c r="R408" i="133" s="1"/>
  <c r="R293" i="133"/>
  <c r="R387" i="133" s="1"/>
  <c r="R312" i="133"/>
  <c r="R296" i="133"/>
  <c r="R390" i="133" s="1"/>
  <c r="R291" i="133"/>
  <c r="R385" i="133" s="1"/>
  <c r="R303" i="133"/>
  <c r="R289" i="133"/>
  <c r="R383" i="133" s="1"/>
  <c r="R278" i="133"/>
  <c r="R307" i="133"/>
  <c r="R285" i="133"/>
  <c r="R287" i="133"/>
  <c r="R381" i="133" s="1"/>
  <c r="R313" i="133"/>
  <c r="R304" i="133"/>
  <c r="R310" i="133"/>
  <c r="R404" i="133" s="1"/>
  <c r="R288" i="133"/>
  <c r="R280" i="133"/>
  <c r="R279" i="133"/>
  <c r="R306" i="133"/>
  <c r="R297" i="133"/>
  <c r="R277" i="133"/>
  <c r="R302" i="133"/>
  <c r="R396" i="133" s="1"/>
  <c r="R295" i="133"/>
  <c r="R292" i="133"/>
  <c r="R286" i="133"/>
  <c r="R284" i="133"/>
  <c r="R290" i="133"/>
  <c r="R316" i="133"/>
  <c r="R299" i="133"/>
  <c r="R282" i="133"/>
  <c r="CR286" i="133"/>
  <c r="CR279" i="133"/>
  <c r="CR304" i="133"/>
  <c r="CR319" i="133"/>
  <c r="CR289" i="133"/>
  <c r="CR306" i="133"/>
  <c r="CR288" i="133"/>
  <c r="CR318" i="133"/>
  <c r="BU277" i="133"/>
  <c r="BU287" i="133"/>
  <c r="BU282" i="133"/>
  <c r="BU280" i="133"/>
  <c r="BU318" i="133"/>
  <c r="R323" i="133"/>
  <c r="R370" i="133" s="1"/>
  <c r="CR296" i="133"/>
  <c r="BU290" i="133"/>
  <c r="BU276" i="133"/>
  <c r="CR316" i="133"/>
  <c r="BU299" i="133"/>
  <c r="CR276" i="133"/>
  <c r="BU297" i="133"/>
  <c r="BU305" i="133"/>
  <c r="BU300" i="133"/>
  <c r="BU293" i="133"/>
  <c r="BU292" i="133"/>
  <c r="CR299" i="133"/>
  <c r="BU302" i="133"/>
  <c r="CR300" i="133"/>
  <c r="BU307" i="133"/>
  <c r="BU284" i="133"/>
  <c r="BU301" i="133"/>
  <c r="CR308" i="133"/>
  <c r="CR282" i="133"/>
  <c r="BU316" i="133"/>
  <c r="CR317" i="133"/>
  <c r="BU298" i="133"/>
  <c r="BU314" i="133"/>
  <c r="BU304" i="133"/>
  <c r="BU311" i="133"/>
  <c r="BU309" i="133"/>
  <c r="BU317" i="133"/>
  <c r="BU312" i="133"/>
  <c r="BU315" i="133"/>
  <c r="CR310" i="133"/>
  <c r="BU288" i="133"/>
  <c r="BU281" i="133"/>
  <c r="CR291" i="133"/>
  <c r="BU319" i="133"/>
  <c r="CR309" i="133"/>
  <c r="BU286" i="133"/>
  <c r="CR307" i="133"/>
  <c r="BU289" i="133"/>
  <c r="BU278" i="133"/>
  <c r="CR297" i="133"/>
  <c r="CR312" i="133"/>
  <c r="BU285" i="133"/>
  <c r="BU295" i="133"/>
  <c r="CR295" i="133"/>
  <c r="BU303" i="133"/>
  <c r="BU310" i="133"/>
  <c r="BU291" i="133"/>
  <c r="CR314" i="133"/>
  <c r="BU283" i="133"/>
  <c r="BU296" i="133"/>
  <c r="CR280" i="133"/>
  <c r="CR293" i="133"/>
  <c r="BU308" i="133"/>
  <c r="BU279" i="133"/>
  <c r="AL66" i="142"/>
  <c r="Q187" i="133"/>
  <c r="Q328" i="133" s="1"/>
  <c r="T189" i="135"/>
  <c r="X9" i="166"/>
  <c r="X3" i="166"/>
  <c r="AL156" i="142"/>
  <c r="AL20" i="142"/>
  <c r="Q197" i="133"/>
  <c r="Q338" i="133" s="1"/>
  <c r="T199" i="135"/>
  <c r="Q183" i="133"/>
  <c r="Q324" i="133" s="1"/>
  <c r="T185" i="135"/>
  <c r="Q191" i="133"/>
  <c r="T193" i="135"/>
  <c r="AM20" i="142"/>
  <c r="M192" i="142"/>
  <c r="M194" i="142" s="1"/>
  <c r="O20" i="142"/>
  <c r="Q11" i="137"/>
  <c r="Q57" i="137" s="1"/>
  <c r="S3" i="161"/>
  <c r="S4" i="149"/>
  <c r="S10" i="149" s="1"/>
  <c r="S24" i="149" s="1"/>
  <c r="S4" i="146"/>
  <c r="Q31" i="152"/>
  <c r="Q42" i="152" s="1"/>
  <c r="Q35" i="152"/>
  <c r="O111" i="142"/>
  <c r="O156" i="142"/>
  <c r="AN31" i="152"/>
  <c r="AN42" i="152" s="1"/>
  <c r="AN35" i="152"/>
  <c r="AN43" i="152" s="1"/>
  <c r="L15" i="145"/>
  <c r="L17" i="137" s="1"/>
  <c r="M16" i="145"/>
  <c r="J17" i="137"/>
  <c r="K16" i="137"/>
  <c r="AI192" i="142"/>
  <c r="AI194" i="142" s="1"/>
  <c r="R5" i="142"/>
  <c r="R51" i="142" s="1"/>
  <c r="R96" i="142" s="1"/>
  <c r="R141" i="142" s="1"/>
  <c r="R186" i="142" s="1"/>
  <c r="T135" i="133"/>
  <c r="CT276" i="133"/>
  <c r="CS276" i="133"/>
  <c r="T18" i="152"/>
  <c r="S3" i="153"/>
  <c r="S82" i="133"/>
  <c r="R22" i="152"/>
  <c r="R26" i="152" s="1"/>
  <c r="Q192" i="133"/>
  <c r="Q333" i="133" s="1"/>
  <c r="AK48" i="142"/>
  <c r="P150" i="142"/>
  <c r="P105" i="142"/>
  <c r="P14" i="142"/>
  <c r="P60" i="142"/>
  <c r="AL151" i="142"/>
  <c r="AL106" i="142"/>
  <c r="AL15" i="142"/>
  <c r="AL61" i="142"/>
  <c r="AK93" i="142"/>
  <c r="AK183" i="142"/>
  <c r="AK138" i="142"/>
  <c r="AL105" i="142"/>
  <c r="AL150" i="142"/>
  <c r="AL14" i="142"/>
  <c r="AL60" i="142"/>
  <c r="N93" i="142"/>
  <c r="P151" i="142"/>
  <c r="P106" i="142"/>
  <c r="P15" i="142"/>
  <c r="P61" i="142"/>
  <c r="R4" i="144"/>
  <c r="R18" i="144" s="1"/>
  <c r="R4" i="145"/>
  <c r="R11" i="145" s="1"/>
  <c r="R54" i="145" s="1"/>
  <c r="N48" i="142"/>
  <c r="O151" i="142"/>
  <c r="O106" i="142"/>
  <c r="O15" i="142"/>
  <c r="O61" i="142"/>
  <c r="AL187" i="142"/>
  <c r="AL190" i="142" s="1"/>
  <c r="AL142" i="142"/>
  <c r="AL97" i="142"/>
  <c r="AL6" i="142"/>
  <c r="AL52" i="142"/>
  <c r="O105" i="142"/>
  <c r="O150" i="142"/>
  <c r="O14" i="142"/>
  <c r="O60" i="142"/>
  <c r="N138" i="142"/>
  <c r="O142" i="142"/>
  <c r="O187" i="142"/>
  <c r="O190" i="142" s="1"/>
  <c r="O97" i="142"/>
  <c r="O6" i="142"/>
  <c r="O52" i="142"/>
  <c r="AJ192" i="142"/>
  <c r="AJ194" i="142" s="1"/>
  <c r="AL146" i="142"/>
  <c r="AL101" i="142"/>
  <c r="AL10" i="142"/>
  <c r="AL56" i="142"/>
  <c r="O101" i="142"/>
  <c r="O146" i="142"/>
  <c r="O10" i="142"/>
  <c r="O56" i="142"/>
  <c r="N183" i="142"/>
  <c r="CS287" i="133"/>
  <c r="CS317" i="133"/>
  <c r="CS306" i="133"/>
  <c r="CS289" i="133"/>
  <c r="CS311" i="133"/>
  <c r="CS301" i="133"/>
  <c r="CS304" i="133"/>
  <c r="CS283" i="133"/>
  <c r="CS291" i="133"/>
  <c r="CS300" i="133"/>
  <c r="CS310" i="133"/>
  <c r="CS297" i="133"/>
  <c r="CS305" i="133"/>
  <c r="CS308" i="133"/>
  <c r="CS318" i="133"/>
  <c r="CS279" i="133"/>
  <c r="CS319" i="133"/>
  <c r="CS285" i="133"/>
  <c r="CS299" i="133"/>
  <c r="CS316" i="133"/>
  <c r="CS296" i="133"/>
  <c r="CS314" i="133"/>
  <c r="CS295" i="133"/>
  <c r="CS286" i="133"/>
  <c r="CS288" i="133"/>
  <c r="CS293" i="133"/>
  <c r="CS278" i="133"/>
  <c r="CS282" i="133"/>
  <c r="CS280" i="133"/>
  <c r="CS277" i="133"/>
  <c r="CS294" i="133"/>
  <c r="CS307" i="133"/>
  <c r="CS309" i="133"/>
  <c r="CS298" i="133"/>
  <c r="CS303" i="133"/>
  <c r="CS302" i="133"/>
  <c r="CS284" i="133"/>
  <c r="CS312" i="133"/>
  <c r="CS281" i="133"/>
  <c r="CS290" i="133"/>
  <c r="CS313" i="133"/>
  <c r="CS292" i="133"/>
  <c r="CS315" i="133"/>
  <c r="CT286" i="133"/>
  <c r="CT303" i="133"/>
  <c r="CT290" i="133"/>
  <c r="CT317" i="133"/>
  <c r="CT318" i="133"/>
  <c r="CT292" i="133"/>
  <c r="CT311" i="133"/>
  <c r="CT301" i="133"/>
  <c r="CT304" i="133"/>
  <c r="CT283" i="133"/>
  <c r="CT291" i="133"/>
  <c r="CT300" i="133"/>
  <c r="CT312" i="133"/>
  <c r="CT305" i="133"/>
  <c r="CT308" i="133"/>
  <c r="CT282" i="133"/>
  <c r="CT319" i="133"/>
  <c r="CT285" i="133"/>
  <c r="CT299" i="133"/>
  <c r="CT316" i="133"/>
  <c r="CT296" i="133"/>
  <c r="CT306" i="133"/>
  <c r="CT313" i="133"/>
  <c r="CT315" i="133"/>
  <c r="CT310" i="133"/>
  <c r="CT314" i="133"/>
  <c r="CT284" i="133"/>
  <c r="CT293" i="133"/>
  <c r="CT302" i="133"/>
  <c r="CT295" i="133"/>
  <c r="CT294" i="133"/>
  <c r="CT278" i="133"/>
  <c r="CT280" i="133"/>
  <c r="CT297" i="133"/>
  <c r="CT307" i="133"/>
  <c r="CT309" i="133"/>
  <c r="CT287" i="133"/>
  <c r="CT289" i="133"/>
  <c r="CT298" i="133"/>
  <c r="CT277" i="133"/>
  <c r="CT281" i="133"/>
  <c r="CT279" i="133"/>
  <c r="CT288" i="133"/>
  <c r="R191" i="133"/>
  <c r="R13" i="133"/>
  <c r="R136" i="133" s="1"/>
  <c r="R230" i="133"/>
  <c r="R150" i="133"/>
  <c r="R244" i="133"/>
  <c r="R192" i="133"/>
  <c r="R333" i="133" s="1"/>
  <c r="P192" i="133"/>
  <c r="R5" i="140"/>
  <c r="S55" i="133"/>
  <c r="S50" i="133"/>
  <c r="S238" i="133" s="1"/>
  <c r="T10" i="133"/>
  <c r="R31" i="133"/>
  <c r="S12" i="133"/>
  <c r="S230" i="133" s="1"/>
  <c r="S4" i="136"/>
  <c r="X9" i="135"/>
  <c r="R10" i="136"/>
  <c r="R30" i="136" s="1"/>
  <c r="R4" i="137"/>
  <c r="S4" i="130"/>
  <c r="X3" i="135"/>
  <c r="U3" i="133"/>
  <c r="S6" i="130"/>
  <c r="T5" i="133"/>
  <c r="R7" i="130"/>
  <c r="T3" i="130"/>
  <c r="P13" i="176" l="1"/>
  <c r="M18" i="149"/>
  <c r="R67" i="145"/>
  <c r="R24" i="145" s="1"/>
  <c r="R74" i="137"/>
  <c r="R28" i="137" s="1"/>
  <c r="M13" i="145"/>
  <c r="M61" i="137"/>
  <c r="M15" i="137" s="1"/>
  <c r="M14" i="145"/>
  <c r="M62" i="137"/>
  <c r="M16" i="137" s="1"/>
  <c r="P24" i="144"/>
  <c r="O24" i="144"/>
  <c r="R17" i="144"/>
  <c r="R19" i="144"/>
  <c r="R12" i="144"/>
  <c r="R16" i="144"/>
  <c r="Q20" i="144"/>
  <c r="Q23" i="144" s="1"/>
  <c r="O13" i="176"/>
  <c r="O13" i="173"/>
  <c r="T182" i="133"/>
  <c r="T229" i="133" s="1"/>
  <c r="T276" i="133" s="1"/>
  <c r="BW289" i="133" s="1"/>
  <c r="R132" i="133"/>
  <c r="R49" i="152"/>
  <c r="V157" i="135" s="1" a="1"/>
  <c r="V157" i="135" s="1"/>
  <c r="V285" i="135" s="1"/>
  <c r="S39" i="152"/>
  <c r="S44" i="152" s="1"/>
  <c r="T30" i="133"/>
  <c r="T31" i="133" s="1"/>
  <c r="M15" i="145"/>
  <c r="M17" i="137" s="1"/>
  <c r="S300" i="166"/>
  <c r="T287" i="166"/>
  <c r="T300" i="166" s="1"/>
  <c r="S300" i="135"/>
  <c r="T287" i="135"/>
  <c r="T300" i="135" s="1"/>
  <c r="M24" i="146"/>
  <c r="P22" i="173" s="1"/>
  <c r="L24" i="146"/>
  <c r="N58" i="145"/>
  <c r="N63" i="137" s="1"/>
  <c r="N59" i="145"/>
  <c r="N64" i="137" s="1"/>
  <c r="N57" i="145"/>
  <c r="N56" i="145"/>
  <c r="N61" i="137" s="1"/>
  <c r="S10" i="146"/>
  <c r="S30" i="146" s="1"/>
  <c r="T3" i="180"/>
  <c r="T5" i="179"/>
  <c r="V6" i="178"/>
  <c r="W3" i="176"/>
  <c r="W40" i="176" s="1"/>
  <c r="W118" i="176" s="1"/>
  <c r="W196" i="176" s="1"/>
  <c r="W231" i="176" s="1"/>
  <c r="W266" i="176" s="1"/>
  <c r="W301" i="176" s="1"/>
  <c r="W336" i="176" s="1"/>
  <c r="W371" i="176" s="1"/>
  <c r="W406" i="176" s="1"/>
  <c r="W441" i="176" s="1"/>
  <c r="W476" i="176" s="1"/>
  <c r="W511" i="176" s="1"/>
  <c r="W546" i="176" s="1"/>
  <c r="W581" i="176" s="1"/>
  <c r="U185" i="166"/>
  <c r="U199" i="166"/>
  <c r="W3" i="173"/>
  <c r="W40" i="173" s="1"/>
  <c r="W118" i="173" s="1"/>
  <c r="W196" i="173" s="1"/>
  <c r="W224" i="173" s="1"/>
  <c r="W252" i="173" s="1"/>
  <c r="W280" i="173" s="1"/>
  <c r="W308" i="173" s="1"/>
  <c r="W336" i="173" s="1"/>
  <c r="W364" i="173" s="1"/>
  <c r="W392" i="173" s="1"/>
  <c r="W420" i="173" s="1"/>
  <c r="W448" i="173" s="1"/>
  <c r="W476" i="173" s="1"/>
  <c r="W504" i="173" s="1"/>
  <c r="L15" i="136"/>
  <c r="V2" i="167"/>
  <c r="V2" i="154"/>
  <c r="Q332" i="133"/>
  <c r="Q366" i="133" s="1"/>
  <c r="R332" i="133"/>
  <c r="BV302" i="133"/>
  <c r="BV283" i="133"/>
  <c r="BV293" i="133"/>
  <c r="P333" i="133"/>
  <c r="P366" i="133" s="1"/>
  <c r="BV284" i="133"/>
  <c r="S294" i="133"/>
  <c r="S305" i="133"/>
  <c r="S316" i="133"/>
  <c r="S301" i="133"/>
  <c r="S281" i="133"/>
  <c r="S308" i="133"/>
  <c r="S288" i="133"/>
  <c r="S317" i="133"/>
  <c r="S298" i="133"/>
  <c r="S302" i="133"/>
  <c r="S396" i="133" s="1"/>
  <c r="S291" i="133"/>
  <c r="S285" i="133"/>
  <c r="S312" i="133"/>
  <c r="S296" i="133"/>
  <c r="S303" i="133"/>
  <c r="S280" i="133"/>
  <c r="S310" i="133"/>
  <c r="S404" i="133" s="1"/>
  <c r="S293" i="133"/>
  <c r="S287" i="133"/>
  <c r="S381" i="133" s="1"/>
  <c r="S307" i="133"/>
  <c r="S309" i="133"/>
  <c r="S278" i="133"/>
  <c r="S283" i="133"/>
  <c r="S315" i="133"/>
  <c r="S313" i="133"/>
  <c r="S311" i="133"/>
  <c r="S318" i="133"/>
  <c r="S289" i="133"/>
  <c r="S304" i="133"/>
  <c r="S314" i="133"/>
  <c r="S408" i="133" s="1"/>
  <c r="S306" i="133"/>
  <c r="S300" i="133"/>
  <c r="S279" i="133"/>
  <c r="S282" i="133"/>
  <c r="S297" i="133"/>
  <c r="S277" i="133"/>
  <c r="S292" i="133"/>
  <c r="S299" i="133"/>
  <c r="S286" i="133"/>
  <c r="S284" i="133"/>
  <c r="S290" i="133"/>
  <c r="S295" i="133"/>
  <c r="M15" i="136"/>
  <c r="BV288" i="133"/>
  <c r="BV280" i="133"/>
  <c r="BV316" i="133"/>
  <c r="BV318" i="133"/>
  <c r="BV309" i="133"/>
  <c r="BV317" i="133"/>
  <c r="BV312" i="133"/>
  <c r="BV297" i="133"/>
  <c r="BV281" i="133"/>
  <c r="BV282" i="133"/>
  <c r="BV285" i="133"/>
  <c r="BV276" i="133"/>
  <c r="BV303" i="133"/>
  <c r="S323" i="133"/>
  <c r="S370" i="133" s="1"/>
  <c r="BV315" i="133"/>
  <c r="BV292" i="133"/>
  <c r="BV305" i="133"/>
  <c r="BV299" i="133"/>
  <c r="BV300" i="133"/>
  <c r="BV291" i="133"/>
  <c r="BV279" i="133"/>
  <c r="BV298" i="133"/>
  <c r="BV286" i="133"/>
  <c r="BV290" i="133"/>
  <c r="BV310" i="133"/>
  <c r="BV306" i="133"/>
  <c r="BV313" i="133"/>
  <c r="BV289" i="133"/>
  <c r="BV308" i="133"/>
  <c r="BV296" i="133"/>
  <c r="BV294" i="133"/>
  <c r="BV307" i="133"/>
  <c r="BV314" i="133"/>
  <c r="BV295" i="133"/>
  <c r="BV287" i="133"/>
  <c r="BV277" i="133"/>
  <c r="BV311" i="133"/>
  <c r="BV301" i="133"/>
  <c r="BV304" i="133"/>
  <c r="BV278" i="133"/>
  <c r="R197" i="133"/>
  <c r="R338" i="133" s="1"/>
  <c r="U199" i="135"/>
  <c r="AM156" i="142"/>
  <c r="AM66" i="142"/>
  <c r="AM111" i="142"/>
  <c r="R183" i="133"/>
  <c r="R324" i="133" s="1"/>
  <c r="U185" i="135"/>
  <c r="Y9" i="166"/>
  <c r="Y3" i="166"/>
  <c r="S244" i="133"/>
  <c r="Q111" i="142" s="1"/>
  <c r="S83" i="133"/>
  <c r="S150" i="133" s="1"/>
  <c r="R11" i="137"/>
  <c r="R57" i="137" s="1"/>
  <c r="T3" i="161"/>
  <c r="T4" i="146"/>
  <c r="T4" i="149"/>
  <c r="T10" i="149" s="1"/>
  <c r="T24" i="149" s="1"/>
  <c r="R31" i="152"/>
  <c r="R42" i="152" s="1"/>
  <c r="R35" i="152"/>
  <c r="R43" i="152" s="1"/>
  <c r="Q43" i="152"/>
  <c r="M18" i="137"/>
  <c r="U135" i="133"/>
  <c r="S5" i="142"/>
  <c r="S51" i="142" s="1"/>
  <c r="S96" i="142" s="1"/>
  <c r="S141" i="142" s="1"/>
  <c r="S186" i="142" s="1"/>
  <c r="U18" i="152"/>
  <c r="T3" i="153"/>
  <c r="T82" i="133"/>
  <c r="T83" i="133" s="1"/>
  <c r="T150" i="133" s="1"/>
  <c r="S22" i="152"/>
  <c r="S26" i="152" s="1"/>
  <c r="Q142" i="142"/>
  <c r="Q187" i="142"/>
  <c r="Q190" i="142" s="1"/>
  <c r="Q97" i="142"/>
  <c r="Q6" i="142"/>
  <c r="Q52" i="142"/>
  <c r="AL93" i="142"/>
  <c r="AL138" i="142"/>
  <c r="AL183" i="142"/>
  <c r="Q150" i="142"/>
  <c r="Q105" i="142"/>
  <c r="Q14" i="142"/>
  <c r="Q60" i="142"/>
  <c r="S4" i="144"/>
  <c r="S18" i="144" s="1"/>
  <c r="S4" i="145"/>
  <c r="S11" i="145" s="1"/>
  <c r="S54" i="145" s="1"/>
  <c r="AM106" i="142"/>
  <c r="AM151" i="142"/>
  <c r="AM15" i="142"/>
  <c r="AM61" i="142"/>
  <c r="AL48" i="142"/>
  <c r="AM105" i="142"/>
  <c r="AM150" i="142"/>
  <c r="AM14" i="142"/>
  <c r="AM60" i="142"/>
  <c r="O93" i="142"/>
  <c r="AK192" i="142"/>
  <c r="AK194" i="142" s="1"/>
  <c r="N192" i="142"/>
  <c r="N194" i="142" s="1"/>
  <c r="AM142" i="142"/>
  <c r="AM187" i="142"/>
  <c r="AM190" i="142" s="1"/>
  <c r="AM97" i="142"/>
  <c r="AM6" i="142"/>
  <c r="AM52" i="142"/>
  <c r="O138" i="142"/>
  <c r="P187" i="142"/>
  <c r="P190" i="142" s="1"/>
  <c r="P142" i="142"/>
  <c r="P97" i="142"/>
  <c r="P6" i="142"/>
  <c r="P52" i="142"/>
  <c r="AM146" i="142"/>
  <c r="AM101" i="142"/>
  <c r="AM10" i="142"/>
  <c r="AM56" i="142"/>
  <c r="O48" i="142"/>
  <c r="P156" i="142"/>
  <c r="P111" i="142"/>
  <c r="P20" i="142"/>
  <c r="P66" i="142"/>
  <c r="O183" i="142"/>
  <c r="S32" i="133"/>
  <c r="S140" i="133" s="1"/>
  <c r="S234" i="133"/>
  <c r="R32" i="133"/>
  <c r="R140" i="133" s="1"/>
  <c r="R234" i="133"/>
  <c r="S5" i="140"/>
  <c r="S56" i="133"/>
  <c r="S239" i="133" s="1"/>
  <c r="T55" i="133"/>
  <c r="T56" i="133" s="1"/>
  <c r="T50" i="133"/>
  <c r="S51" i="133"/>
  <c r="S144" i="133" s="1"/>
  <c r="T12" i="133"/>
  <c r="S13" i="133"/>
  <c r="S136" i="133" s="1"/>
  <c r="U10" i="133"/>
  <c r="T4" i="136"/>
  <c r="Y9" i="135"/>
  <c r="S10" i="136"/>
  <c r="S30" i="136" s="1"/>
  <c r="S4" i="137"/>
  <c r="T4" i="130"/>
  <c r="Y3" i="135"/>
  <c r="V3" i="133"/>
  <c r="T6" i="130"/>
  <c r="U5" i="133"/>
  <c r="S7" i="130"/>
  <c r="U3" i="130"/>
  <c r="S67" i="145" l="1"/>
  <c r="S24" i="145" s="1"/>
  <c r="S74" i="137"/>
  <c r="S28" i="137" s="1"/>
  <c r="N14" i="145"/>
  <c r="N62" i="137"/>
  <c r="N16" i="137" s="1"/>
  <c r="Q24" i="144"/>
  <c r="S17" i="144"/>
  <c r="S19" i="144"/>
  <c r="S12" i="144"/>
  <c r="S16" i="144"/>
  <c r="R20" i="144"/>
  <c r="R23" i="144" s="1"/>
  <c r="O22" i="176"/>
  <c r="O23" i="176" s="1"/>
  <c r="O22" i="173"/>
  <c r="S49" i="152"/>
  <c r="W157" i="135" s="1" a="1"/>
  <c r="W157" i="135" s="1"/>
  <c r="W285" i="135" s="1"/>
  <c r="S132" i="133"/>
  <c r="V185" i="166"/>
  <c r="V193" i="166"/>
  <c r="U182" i="133"/>
  <c r="U229" i="133" s="1"/>
  <c r="U276" i="133" s="1"/>
  <c r="M20" i="149"/>
  <c r="P22" i="176"/>
  <c r="T39" i="152"/>
  <c r="T44" i="152" s="1"/>
  <c r="U30" i="133"/>
  <c r="N16" i="145"/>
  <c r="N18" i="137" s="1"/>
  <c r="N15" i="146"/>
  <c r="Q13" i="173" s="1"/>
  <c r="N11" i="149"/>
  <c r="O15" i="146"/>
  <c r="O24" i="146" s="1"/>
  <c r="R22" i="173" s="1"/>
  <c r="O11" i="149"/>
  <c r="L20" i="149"/>
  <c r="O58" i="145"/>
  <c r="O63" i="137" s="1"/>
  <c r="O56" i="145"/>
  <c r="O57" i="145"/>
  <c r="O62" i="137" s="1"/>
  <c r="N13" i="145"/>
  <c r="O59" i="145"/>
  <c r="O64" i="137" s="1"/>
  <c r="R45" i="152"/>
  <c r="Q63" i="145" s="1"/>
  <c r="Q70" i="137" s="1"/>
  <c r="T10" i="146"/>
  <c r="T30" i="146" s="1"/>
  <c r="W6" i="178"/>
  <c r="X3" i="176"/>
  <c r="X40" i="176" s="1"/>
  <c r="X118" i="176" s="1"/>
  <c r="X196" i="176" s="1"/>
  <c r="X231" i="176" s="1"/>
  <c r="X266" i="176" s="1"/>
  <c r="X301" i="176" s="1"/>
  <c r="X336" i="176" s="1"/>
  <c r="X371" i="176" s="1"/>
  <c r="X406" i="176" s="1"/>
  <c r="X441" i="176" s="1"/>
  <c r="X476" i="176" s="1"/>
  <c r="X511" i="176" s="1"/>
  <c r="X546" i="176" s="1"/>
  <c r="X581" i="176" s="1"/>
  <c r="U3" i="180"/>
  <c r="U5" i="179"/>
  <c r="W199" i="166"/>
  <c r="T132" i="133"/>
  <c r="V199" i="166"/>
  <c r="X3" i="173"/>
  <c r="X40" i="173" s="1"/>
  <c r="X118" i="173" s="1"/>
  <c r="X196" i="173" s="1"/>
  <c r="X224" i="173" s="1"/>
  <c r="X252" i="173" s="1"/>
  <c r="X280" i="173" s="1"/>
  <c r="X308" i="173" s="1"/>
  <c r="X336" i="173" s="1"/>
  <c r="X364" i="173" s="1"/>
  <c r="X392" i="173" s="1"/>
  <c r="X420" i="173" s="1"/>
  <c r="X448" i="173" s="1"/>
  <c r="X476" i="173" s="1"/>
  <c r="X504" i="173" s="1"/>
  <c r="L24" i="136"/>
  <c r="M24" i="136"/>
  <c r="V185" i="135"/>
  <c r="W199" i="135"/>
  <c r="V193" i="135"/>
  <c r="U189" i="166"/>
  <c r="U287" i="166" s="1"/>
  <c r="BW308" i="133"/>
  <c r="BW307" i="133"/>
  <c r="BW306" i="133"/>
  <c r="T323" i="133"/>
  <c r="T370" i="133" s="1"/>
  <c r="BW304" i="133"/>
  <c r="W2" i="167"/>
  <c r="W2" i="154"/>
  <c r="BW276" i="133"/>
  <c r="BW305" i="133"/>
  <c r="V189" i="135"/>
  <c r="V189" i="166"/>
  <c r="BW300" i="133"/>
  <c r="BW285" i="133"/>
  <c r="BW299" i="133"/>
  <c r="BW290" i="133"/>
  <c r="BW312" i="133"/>
  <c r="BW291" i="133"/>
  <c r="BW303" i="133"/>
  <c r="BW292" i="133"/>
  <c r="BW298" i="133"/>
  <c r="BW313" i="133"/>
  <c r="BW311" i="133"/>
  <c r="BW310" i="133"/>
  <c r="BW279" i="133"/>
  <c r="BW283" i="133"/>
  <c r="BW288" i="133"/>
  <c r="BW297" i="133"/>
  <c r="BW282" i="133"/>
  <c r="BW293" i="133"/>
  <c r="BW302" i="133"/>
  <c r="BW315" i="133"/>
  <c r="BW314" i="133"/>
  <c r="BW309" i="133"/>
  <c r="BW296" i="133"/>
  <c r="BW316" i="133"/>
  <c r="T305" i="133"/>
  <c r="T316" i="133"/>
  <c r="T284" i="133"/>
  <c r="T308" i="133"/>
  <c r="T288" i="133"/>
  <c r="T295" i="133"/>
  <c r="T317" i="133"/>
  <c r="T313" i="133"/>
  <c r="T296" i="133"/>
  <c r="T298" i="133"/>
  <c r="T302" i="133"/>
  <c r="T396" i="133" s="1"/>
  <c r="T291" i="133"/>
  <c r="T287" i="133"/>
  <c r="T381" i="133" s="1"/>
  <c r="T283" i="133"/>
  <c r="T279" i="133"/>
  <c r="T312" i="133"/>
  <c r="T303" i="133"/>
  <c r="T280" i="133"/>
  <c r="T310" i="133"/>
  <c r="T278" i="133"/>
  <c r="T307" i="133"/>
  <c r="T285" i="133"/>
  <c r="T309" i="133"/>
  <c r="T292" i="133"/>
  <c r="T281" i="133"/>
  <c r="T304" i="133"/>
  <c r="T314" i="133"/>
  <c r="T408" i="133" s="1"/>
  <c r="T294" i="133"/>
  <c r="T306" i="133"/>
  <c r="T400" i="133" s="1"/>
  <c r="T300" i="133"/>
  <c r="T277" i="133"/>
  <c r="T301" i="133"/>
  <c r="T297" i="133"/>
  <c r="T391" i="133" s="1"/>
  <c r="T282" i="133"/>
  <c r="T293" i="133"/>
  <c r="T290" i="133"/>
  <c r="T315" i="133"/>
  <c r="T299" i="133"/>
  <c r="T286" i="133"/>
  <c r="T311" i="133"/>
  <c r="T318" i="133"/>
  <c r="T289" i="133"/>
  <c r="BW284" i="133"/>
  <c r="BW301" i="133"/>
  <c r="BW281" i="133"/>
  <c r="BW277" i="133"/>
  <c r="BW294" i="133"/>
  <c r="BW318" i="133"/>
  <c r="BW317" i="133"/>
  <c r="BW286" i="133"/>
  <c r="BW287" i="133"/>
  <c r="BW278" i="133"/>
  <c r="BW280" i="133"/>
  <c r="BW295" i="133"/>
  <c r="BW319" i="133"/>
  <c r="T244" i="133"/>
  <c r="R20" i="142" s="1"/>
  <c r="S197" i="133"/>
  <c r="S338" i="133" s="1"/>
  <c r="V199" i="135"/>
  <c r="R187" i="133"/>
  <c r="R328" i="133" s="1"/>
  <c r="R366" i="133" s="1"/>
  <c r="U189" i="135"/>
  <c r="U287" i="135" s="1"/>
  <c r="U300" i="135" s="1"/>
  <c r="Q20" i="142"/>
  <c r="Q156" i="142"/>
  <c r="Z9" i="166"/>
  <c r="Z3" i="166"/>
  <c r="Q66" i="142"/>
  <c r="T197" i="133"/>
  <c r="T338" i="133" s="1"/>
  <c r="S11" i="137"/>
  <c r="S57" i="137" s="1"/>
  <c r="U3" i="161"/>
  <c r="U4" i="146"/>
  <c r="U4" i="149"/>
  <c r="U10" i="149" s="1"/>
  <c r="U24" i="149" s="1"/>
  <c r="S31" i="152"/>
  <c r="S42" i="152" s="1"/>
  <c r="S35" i="152"/>
  <c r="N15" i="137"/>
  <c r="N15" i="145"/>
  <c r="T5" i="142"/>
  <c r="T51" i="142" s="1"/>
  <c r="T96" i="142" s="1"/>
  <c r="T141" i="142" s="1"/>
  <c r="T186" i="142" s="1"/>
  <c r="V135" i="133"/>
  <c r="V18" i="152"/>
  <c r="U3" i="153"/>
  <c r="U82" i="133"/>
  <c r="T22" i="152"/>
  <c r="T26" i="152" s="1"/>
  <c r="AM183" i="142"/>
  <c r="O192" i="142"/>
  <c r="O194" i="142" s="1"/>
  <c r="AM48" i="142"/>
  <c r="T4" i="145"/>
  <c r="T11" i="145" s="1"/>
  <c r="T54" i="145" s="1"/>
  <c r="T4" i="144"/>
  <c r="T18" i="144" s="1"/>
  <c r="Q151" i="142"/>
  <c r="Q106" i="142"/>
  <c r="Q15" i="142"/>
  <c r="Q61" i="142"/>
  <c r="Q101" i="142"/>
  <c r="Q146" i="142"/>
  <c r="Q10" i="142"/>
  <c r="Q56" i="142"/>
  <c r="AM138" i="142"/>
  <c r="AM93" i="142"/>
  <c r="AL192" i="142"/>
  <c r="AL194" i="142" s="1"/>
  <c r="P146" i="142"/>
  <c r="P183" i="142" s="1"/>
  <c r="P101" i="142"/>
  <c r="P138" i="142" s="1"/>
  <c r="P10" i="142"/>
  <c r="P48" i="142" s="1"/>
  <c r="P56" i="142"/>
  <c r="P93" i="142" s="1"/>
  <c r="S187" i="133"/>
  <c r="S328" i="133" s="1"/>
  <c r="T13" i="133"/>
  <c r="T136" i="133" s="1"/>
  <c r="T230" i="133"/>
  <c r="T51" i="133"/>
  <c r="T144" i="133" s="1"/>
  <c r="T238" i="133"/>
  <c r="T32" i="133"/>
  <c r="T140" i="133" s="1"/>
  <c r="T234" i="133"/>
  <c r="T57" i="133"/>
  <c r="T145" i="133" s="1"/>
  <c r="T239" i="133"/>
  <c r="S183" i="133"/>
  <c r="S324" i="133" s="1"/>
  <c r="S191" i="133"/>
  <c r="S332" i="133" s="1"/>
  <c r="T5" i="140"/>
  <c r="U55" i="133"/>
  <c r="U56" i="133" s="1"/>
  <c r="U50" i="133"/>
  <c r="S57" i="133"/>
  <c r="S145" i="133" s="1"/>
  <c r="U12" i="133"/>
  <c r="V10" i="133"/>
  <c r="U4" i="136"/>
  <c r="Z9" i="135"/>
  <c r="T10" i="136"/>
  <c r="T30" i="136" s="1"/>
  <c r="T4" i="137"/>
  <c r="U4" i="130"/>
  <c r="Z3" i="135"/>
  <c r="W3" i="133"/>
  <c r="U6" i="130"/>
  <c r="V5" i="133"/>
  <c r="T7" i="130"/>
  <c r="V3" i="130"/>
  <c r="R13" i="176" l="1"/>
  <c r="O18" i="149"/>
  <c r="Q13" i="176"/>
  <c r="N18" i="149"/>
  <c r="T67" i="145"/>
  <c r="T24" i="145" s="1"/>
  <c r="T74" i="137"/>
  <c r="T28" i="137" s="1"/>
  <c r="O13" i="145"/>
  <c r="O61" i="137"/>
  <c r="O15" i="137" s="1"/>
  <c r="R24" i="144"/>
  <c r="T17" i="144"/>
  <c r="T19" i="144"/>
  <c r="T12" i="144"/>
  <c r="T16" i="144"/>
  <c r="S20" i="144"/>
  <c r="S23" i="144" s="1"/>
  <c r="T49" i="152"/>
  <c r="X157" i="135" s="1" a="1"/>
  <c r="X157" i="135" s="1"/>
  <c r="X285" i="135" s="1"/>
  <c r="V182" i="133"/>
  <c r="V229" i="133" s="1"/>
  <c r="V276" i="133" s="1"/>
  <c r="BY310" i="133" s="1"/>
  <c r="N6" i="167"/>
  <c r="P23" i="176"/>
  <c r="U39" i="152"/>
  <c r="U44" i="152" s="1"/>
  <c r="V30" i="133"/>
  <c r="V31" i="133" s="1"/>
  <c r="U300" i="166"/>
  <c r="R13" i="173"/>
  <c r="N24" i="146"/>
  <c r="Q22" i="173" s="1"/>
  <c r="P15" i="146"/>
  <c r="P24" i="146" s="1"/>
  <c r="S22" i="173" s="1"/>
  <c r="P11" i="149"/>
  <c r="P57" i="145"/>
  <c r="P62" i="137" s="1"/>
  <c r="P59" i="145"/>
  <c r="P64" i="137" s="1"/>
  <c r="P56" i="145"/>
  <c r="P61" i="137" s="1"/>
  <c r="P58" i="145"/>
  <c r="P63" i="137" s="1"/>
  <c r="V3" i="180"/>
  <c r="V5" i="179"/>
  <c r="X6" i="178"/>
  <c r="Y3" i="176"/>
  <c r="Y40" i="176" s="1"/>
  <c r="Y118" i="176" s="1"/>
  <c r="Y196" i="176" s="1"/>
  <c r="Y231" i="176" s="1"/>
  <c r="Y266" i="176" s="1"/>
  <c r="Y301" i="176" s="1"/>
  <c r="Y336" i="176" s="1"/>
  <c r="Y371" i="176" s="1"/>
  <c r="Y406" i="176" s="1"/>
  <c r="Y441" i="176" s="1"/>
  <c r="Y476" i="176" s="1"/>
  <c r="Y511" i="176" s="1"/>
  <c r="Y546" i="176" s="1"/>
  <c r="Y581" i="176" s="1"/>
  <c r="U10" i="146"/>
  <c r="U30" i="146" s="1"/>
  <c r="W193" i="166"/>
  <c r="W185" i="166"/>
  <c r="Y3" i="173"/>
  <c r="Y40" i="173" s="1"/>
  <c r="Y118" i="173" s="1"/>
  <c r="Y196" i="173" s="1"/>
  <c r="Y224" i="173" s="1"/>
  <c r="Y252" i="173" s="1"/>
  <c r="Y280" i="173" s="1"/>
  <c r="Y308" i="173" s="1"/>
  <c r="Y336" i="173" s="1"/>
  <c r="Y364" i="173" s="1"/>
  <c r="Y392" i="173" s="1"/>
  <c r="Y420" i="173" s="1"/>
  <c r="Y448" i="173" s="1"/>
  <c r="Y476" i="173" s="1"/>
  <c r="Y504" i="173" s="1"/>
  <c r="P23" i="173"/>
  <c r="O6" i="154" s="1"/>
  <c r="O23" i="173"/>
  <c r="N6" i="154" s="1"/>
  <c r="W189" i="166"/>
  <c r="N15" i="136"/>
  <c r="X2" i="167"/>
  <c r="X2" i="154"/>
  <c r="W194" i="135"/>
  <c r="W194" i="166"/>
  <c r="V194" i="135"/>
  <c r="V287" i="135" s="1"/>
  <c r="V300" i="135" s="1"/>
  <c r="V194" i="166"/>
  <c r="V287" i="166" s="1"/>
  <c r="V300" i="166" s="1"/>
  <c r="R111" i="142"/>
  <c r="R156" i="142"/>
  <c r="R66" i="142"/>
  <c r="BX283" i="133"/>
  <c r="U316" i="133"/>
  <c r="U284" i="133"/>
  <c r="U295" i="133"/>
  <c r="U314" i="133"/>
  <c r="U408" i="133" s="1"/>
  <c r="U313" i="133"/>
  <c r="U296" i="133"/>
  <c r="U286" i="133"/>
  <c r="U305" i="133"/>
  <c r="U399" i="133" s="1"/>
  <c r="U308" i="133"/>
  <c r="U302" i="133"/>
  <c r="U291" i="133"/>
  <c r="U287" i="133"/>
  <c r="U283" i="133"/>
  <c r="U279" i="133"/>
  <c r="U318" i="133"/>
  <c r="U293" i="133"/>
  <c r="U303" i="133"/>
  <c r="U397" i="133" s="1"/>
  <c r="U280" i="133"/>
  <c r="U310" i="133"/>
  <c r="U278" i="133"/>
  <c r="U315" i="133"/>
  <c r="U311" i="133"/>
  <c r="U309" i="133"/>
  <c r="U307" i="133"/>
  <c r="U285" i="133"/>
  <c r="U292" i="133"/>
  <c r="U281" i="133"/>
  <c r="U301" i="133"/>
  <c r="U294" i="133"/>
  <c r="U288" i="133"/>
  <c r="U306" i="133"/>
  <c r="U400" i="133" s="1"/>
  <c r="U277" i="133"/>
  <c r="U317" i="133"/>
  <c r="U300" i="133"/>
  <c r="U297" i="133"/>
  <c r="U391" i="133" s="1"/>
  <c r="U282" i="133"/>
  <c r="U299" i="133"/>
  <c r="U298" i="133"/>
  <c r="U290" i="133"/>
  <c r="U312" i="133"/>
  <c r="U304" i="133"/>
  <c r="U398" i="133" s="1"/>
  <c r="U289" i="133"/>
  <c r="BX298" i="133"/>
  <c r="BX277" i="133"/>
  <c r="BX300" i="133"/>
  <c r="BX284" i="133"/>
  <c r="BX310" i="133"/>
  <c r="BX287" i="133"/>
  <c r="BX295" i="133"/>
  <c r="BX281" i="133"/>
  <c r="BX305" i="133"/>
  <c r="BX278" i="133"/>
  <c r="BX311" i="133"/>
  <c r="BX307" i="133"/>
  <c r="U323" i="133"/>
  <c r="U370" i="133" s="1"/>
  <c r="BX289" i="133"/>
  <c r="BX314" i="133"/>
  <c r="BX286" i="133"/>
  <c r="BX282" i="133"/>
  <c r="BX318" i="133"/>
  <c r="BX301" i="133"/>
  <c r="BX285" i="133"/>
  <c r="BX319" i="133"/>
  <c r="BX312" i="133"/>
  <c r="BX302" i="133"/>
  <c r="BX313" i="133"/>
  <c r="BX294" i="133"/>
  <c r="BX297" i="133"/>
  <c r="BX316" i="133"/>
  <c r="BX309" i="133"/>
  <c r="BX306" i="133"/>
  <c r="BX299" i="133"/>
  <c r="BX279" i="133"/>
  <c r="BX288" i="133"/>
  <c r="BX293" i="133"/>
  <c r="BX315" i="133"/>
  <c r="BX317" i="133"/>
  <c r="BX291" i="133"/>
  <c r="BX296" i="133"/>
  <c r="BX276" i="133"/>
  <c r="BX280" i="133"/>
  <c r="BX308" i="133"/>
  <c r="BX304" i="133"/>
  <c r="BX290" i="133"/>
  <c r="BX303" i="133"/>
  <c r="BX292" i="133"/>
  <c r="T183" i="133"/>
  <c r="T324" i="133" s="1"/>
  <c r="W185" i="135"/>
  <c r="O15" i="136"/>
  <c r="T187" i="133"/>
  <c r="T328" i="133" s="1"/>
  <c r="W189" i="135"/>
  <c r="AA9" i="166"/>
  <c r="AA3" i="166"/>
  <c r="T191" i="133"/>
  <c r="T332" i="133" s="1"/>
  <c r="W193" i="135"/>
  <c r="U83" i="133"/>
  <c r="U150" i="133" s="1"/>
  <c r="U244" i="133"/>
  <c r="S111" i="142" s="1"/>
  <c r="V3" i="161"/>
  <c r="V4" i="146"/>
  <c r="V4" i="149"/>
  <c r="V10" i="149" s="1"/>
  <c r="V24" i="149" s="1"/>
  <c r="Q93" i="142"/>
  <c r="T11" i="137"/>
  <c r="T57" i="137" s="1"/>
  <c r="T31" i="152"/>
  <c r="T42" i="152" s="1"/>
  <c r="T35" i="152"/>
  <c r="T43" i="152" s="1"/>
  <c r="S43" i="152"/>
  <c r="O15" i="145"/>
  <c r="O17" i="137" s="1"/>
  <c r="O14" i="145"/>
  <c r="O16" i="145"/>
  <c r="N17" i="137"/>
  <c r="U5" i="142"/>
  <c r="U51" i="142" s="1"/>
  <c r="U96" i="142" s="1"/>
  <c r="U141" i="142" s="1"/>
  <c r="U186" i="142" s="1"/>
  <c r="W135" i="133"/>
  <c r="W18" i="152"/>
  <c r="V3" i="153"/>
  <c r="V82" i="133"/>
  <c r="U22" i="152"/>
  <c r="U26" i="152" s="1"/>
  <c r="Q183" i="142"/>
  <c r="Q48" i="142"/>
  <c r="Q138" i="142"/>
  <c r="P192" i="142"/>
  <c r="P194" i="142" s="1"/>
  <c r="AM192" i="142"/>
  <c r="AM194" i="142" s="1"/>
  <c r="R151" i="142"/>
  <c r="R106" i="142"/>
  <c r="R15" i="142"/>
  <c r="R61" i="142"/>
  <c r="R150" i="142"/>
  <c r="R105" i="142"/>
  <c r="R14" i="142"/>
  <c r="R60" i="142"/>
  <c r="R142" i="142"/>
  <c r="R187" i="142"/>
  <c r="R190" i="142" s="1"/>
  <c r="R97" i="142"/>
  <c r="R6" i="142"/>
  <c r="R52" i="142"/>
  <c r="U4" i="145"/>
  <c r="U11" i="145" s="1"/>
  <c r="U54" i="145" s="1"/>
  <c r="U4" i="144"/>
  <c r="U18" i="144" s="1"/>
  <c r="R101" i="142"/>
  <c r="R146" i="142"/>
  <c r="R10" i="142"/>
  <c r="R56" i="142"/>
  <c r="U51" i="133"/>
  <c r="U144" i="133" s="1"/>
  <c r="U238" i="133"/>
  <c r="U57" i="133"/>
  <c r="U145" i="133" s="1"/>
  <c r="U239" i="133"/>
  <c r="U13" i="133"/>
  <c r="U136" i="133" s="1"/>
  <c r="U230" i="133"/>
  <c r="S192" i="133"/>
  <c r="S333" i="133" s="1"/>
  <c r="S366" i="133" s="1"/>
  <c r="T192" i="133"/>
  <c r="T333" i="133" s="1"/>
  <c r="U5" i="140"/>
  <c r="V55" i="133"/>
  <c r="V56" i="133" s="1"/>
  <c r="V239" i="133" s="1"/>
  <c r="V50" i="133"/>
  <c r="W10" i="133"/>
  <c r="U31" i="133"/>
  <c r="V12" i="133"/>
  <c r="V4" i="136"/>
  <c r="AA9" i="135"/>
  <c r="U4" i="137"/>
  <c r="U10" i="136"/>
  <c r="U30" i="136" s="1"/>
  <c r="V4" i="130"/>
  <c r="AA3" i="135"/>
  <c r="X3" i="133"/>
  <c r="V6" i="130"/>
  <c r="W5" i="133"/>
  <c r="U7" i="130"/>
  <c r="W3" i="130"/>
  <c r="S13" i="176" l="1"/>
  <c r="P18" i="149"/>
  <c r="U67" i="145"/>
  <c r="U24" i="145" s="1"/>
  <c r="U74" i="137"/>
  <c r="U28" i="137" s="1"/>
  <c r="S24" i="144"/>
  <c r="U17" i="144"/>
  <c r="U19" i="144"/>
  <c r="U12" i="144"/>
  <c r="U16" i="144"/>
  <c r="T20" i="144"/>
  <c r="T23" i="144" s="1"/>
  <c r="U49" i="152"/>
  <c r="Y157" i="135" s="1" a="1"/>
  <c r="Y157" i="135" s="1"/>
  <c r="Y285" i="135" s="1"/>
  <c r="U132" i="133"/>
  <c r="U197" i="133"/>
  <c r="U338" i="133" s="1"/>
  <c r="W182" i="133"/>
  <c r="W229" i="133" s="1"/>
  <c r="W276" i="133" s="1"/>
  <c r="BZ291" i="133" s="1"/>
  <c r="N20" i="149"/>
  <c r="Q22" i="176"/>
  <c r="O6" i="167"/>
  <c r="O20" i="149"/>
  <c r="R22" i="176"/>
  <c r="V39" i="152"/>
  <c r="V44" i="152" s="1"/>
  <c r="W30" i="133"/>
  <c r="W31" i="133" s="1"/>
  <c r="P13" i="145"/>
  <c r="P15" i="137" s="1"/>
  <c r="S13" i="173"/>
  <c r="W287" i="166"/>
  <c r="W300" i="166" s="1"/>
  <c r="W287" i="135"/>
  <c r="W300" i="135" s="1"/>
  <c r="Q15" i="146"/>
  <c r="T13" i="173" s="1"/>
  <c r="Q11" i="149"/>
  <c r="Q18" i="149" s="1"/>
  <c r="P14" i="145"/>
  <c r="P16" i="137" s="1"/>
  <c r="Q57" i="145"/>
  <c r="Q58" i="145"/>
  <c r="Q63" i="137" s="1"/>
  <c r="Q59" i="145"/>
  <c r="Q64" i="137" s="1"/>
  <c r="Q56" i="145"/>
  <c r="Q61" i="137" s="1"/>
  <c r="Y6" i="178"/>
  <c r="Z3" i="176"/>
  <c r="Z40" i="176" s="1"/>
  <c r="Z118" i="176" s="1"/>
  <c r="Z196" i="176" s="1"/>
  <c r="Z231" i="176" s="1"/>
  <c r="Z266" i="176" s="1"/>
  <c r="Z301" i="176" s="1"/>
  <c r="Z336" i="176" s="1"/>
  <c r="Z371" i="176" s="1"/>
  <c r="Z406" i="176" s="1"/>
  <c r="Z441" i="176" s="1"/>
  <c r="Z476" i="176" s="1"/>
  <c r="Z511" i="176" s="1"/>
  <c r="Z546" i="176" s="1"/>
  <c r="Z581" i="176" s="1"/>
  <c r="W3" i="180"/>
  <c r="W5" i="179"/>
  <c r="V10" i="146"/>
  <c r="V30" i="146" s="1"/>
  <c r="X185" i="166"/>
  <c r="X193" i="166"/>
  <c r="X199" i="166"/>
  <c r="Z3" i="173"/>
  <c r="Z40" i="173" s="1"/>
  <c r="Z118" i="173" s="1"/>
  <c r="Z196" i="173" s="1"/>
  <c r="Z224" i="173" s="1"/>
  <c r="Z252" i="173" s="1"/>
  <c r="Z280" i="173" s="1"/>
  <c r="Z308" i="173" s="1"/>
  <c r="Z336" i="173" s="1"/>
  <c r="Z364" i="173" s="1"/>
  <c r="Z392" i="173" s="1"/>
  <c r="Z420" i="173" s="1"/>
  <c r="Z448" i="173" s="1"/>
  <c r="Z476" i="173" s="1"/>
  <c r="Z504" i="173" s="1"/>
  <c r="N24" i="136"/>
  <c r="N26" i="136" s="1"/>
  <c r="O24" i="136"/>
  <c r="O26" i="136" s="1"/>
  <c r="X194" i="166"/>
  <c r="N26" i="146"/>
  <c r="P15" i="136"/>
  <c r="O26" i="146"/>
  <c r="Y2" i="167"/>
  <c r="Y2" i="154"/>
  <c r="BY288" i="133"/>
  <c r="BY299" i="133"/>
  <c r="BY300" i="133"/>
  <c r="BY290" i="133"/>
  <c r="BY309" i="133"/>
  <c r="BY291" i="133"/>
  <c r="BY315" i="133"/>
  <c r="BY305" i="133"/>
  <c r="BY287" i="133"/>
  <c r="BY307" i="133"/>
  <c r="BY303" i="133"/>
  <c r="BY285" i="133"/>
  <c r="BY294" i="133"/>
  <c r="BY278" i="133"/>
  <c r="BY313" i="133"/>
  <c r="BY292" i="133"/>
  <c r="V295" i="133"/>
  <c r="V306" i="133"/>
  <c r="V400" i="133" s="1"/>
  <c r="V317" i="133"/>
  <c r="V314" i="133"/>
  <c r="V302" i="133"/>
  <c r="V313" i="133"/>
  <c r="V296" i="133"/>
  <c r="V286" i="133"/>
  <c r="V305" i="133"/>
  <c r="V399" i="133" s="1"/>
  <c r="V291" i="133"/>
  <c r="V281" i="133"/>
  <c r="V287" i="133"/>
  <c r="V283" i="133"/>
  <c r="V279" i="133"/>
  <c r="V318" i="133"/>
  <c r="V288" i="133"/>
  <c r="V310" i="133"/>
  <c r="V309" i="133"/>
  <c r="V285" i="133"/>
  <c r="V315" i="133"/>
  <c r="V311" i="133"/>
  <c r="V278" i="133"/>
  <c r="V307" i="133"/>
  <c r="V292" i="133"/>
  <c r="V294" i="133"/>
  <c r="V300" i="133"/>
  <c r="V299" i="133"/>
  <c r="V297" i="133"/>
  <c r="V391" i="133" s="1"/>
  <c r="V277" i="133"/>
  <c r="V280" i="133"/>
  <c r="V290" i="133"/>
  <c r="V303" i="133"/>
  <c r="V397" i="133" s="1"/>
  <c r="V282" i="133"/>
  <c r="V316" i="133"/>
  <c r="V308" i="133"/>
  <c r="V293" i="133"/>
  <c r="V312" i="133"/>
  <c r="V304" i="133"/>
  <c r="V398" i="133" s="1"/>
  <c r="V301" i="133"/>
  <c r="V298" i="133"/>
  <c r="V284" i="133"/>
  <c r="V289" i="133"/>
  <c r="BY277" i="133"/>
  <c r="BY301" i="133"/>
  <c r="BY298" i="133"/>
  <c r="BY308" i="133"/>
  <c r="BY319" i="133"/>
  <c r="BY302" i="133"/>
  <c r="BY297" i="133"/>
  <c r="BY295" i="133"/>
  <c r="BY314" i="133"/>
  <c r="BY284" i="133"/>
  <c r="BY282" i="133"/>
  <c r="BY296" i="133"/>
  <c r="BY281" i="133"/>
  <c r="BY311" i="133"/>
  <c r="BY293" i="133"/>
  <c r="BY276" i="133"/>
  <c r="BY316" i="133"/>
  <c r="V323" i="133"/>
  <c r="V370" i="133" s="1"/>
  <c r="BY306" i="133"/>
  <c r="BY289" i="133"/>
  <c r="BY286" i="133"/>
  <c r="BY280" i="133"/>
  <c r="BY312" i="133"/>
  <c r="BY283" i="133"/>
  <c r="BY304" i="133"/>
  <c r="BY279" i="133"/>
  <c r="BY318" i="133"/>
  <c r="BY317" i="133"/>
  <c r="T366" i="133"/>
  <c r="U192" i="133"/>
  <c r="U333" i="133" s="1"/>
  <c r="X194" i="135"/>
  <c r="AB9" i="166"/>
  <c r="AB3" i="166"/>
  <c r="U191" i="133"/>
  <c r="U332" i="133" s="1"/>
  <c r="X193" i="135"/>
  <c r="U183" i="133"/>
  <c r="U324" i="133" s="1"/>
  <c r="X185" i="135"/>
  <c r="X199" i="135"/>
  <c r="V83" i="133"/>
  <c r="V150" i="133" s="1"/>
  <c r="S66" i="142"/>
  <c r="S20" i="142"/>
  <c r="S156" i="142"/>
  <c r="U11" i="137"/>
  <c r="U57" i="137" s="1"/>
  <c r="W3" i="161"/>
  <c r="W4" i="146"/>
  <c r="W4" i="149"/>
  <c r="W10" i="149" s="1"/>
  <c r="W24" i="149" s="1"/>
  <c r="U31" i="152"/>
  <c r="U42" i="152" s="1"/>
  <c r="U35" i="152"/>
  <c r="V244" i="133"/>
  <c r="T66" i="142" s="1"/>
  <c r="O16" i="137"/>
  <c r="P15" i="145"/>
  <c r="P17" i="137" s="1"/>
  <c r="P16" i="145"/>
  <c r="P18" i="137" s="1"/>
  <c r="O18" i="137"/>
  <c r="V5" i="142"/>
  <c r="V51" i="142" s="1"/>
  <c r="V96" i="142" s="1"/>
  <c r="V141" i="142" s="1"/>
  <c r="V186" i="142" s="1"/>
  <c r="X135" i="133"/>
  <c r="Q192" i="142"/>
  <c r="Q194" i="142" s="1"/>
  <c r="X18" i="152"/>
  <c r="W3" i="153"/>
  <c r="R93" i="142"/>
  <c r="W82" i="133"/>
  <c r="W83" i="133" s="1"/>
  <c r="W150" i="133" s="1"/>
  <c r="V22" i="152"/>
  <c r="V26" i="152" s="1"/>
  <c r="R48" i="142"/>
  <c r="R138" i="142"/>
  <c r="R183" i="142"/>
  <c r="T106" i="142"/>
  <c r="T151" i="142"/>
  <c r="T15" i="142"/>
  <c r="T61" i="142"/>
  <c r="S187" i="142"/>
  <c r="S190" i="142" s="1"/>
  <c r="S142" i="142"/>
  <c r="S97" i="142"/>
  <c r="S6" i="142"/>
  <c r="S52" i="142"/>
  <c r="S105" i="142"/>
  <c r="S150" i="142"/>
  <c r="S14" i="142"/>
  <c r="S60" i="142"/>
  <c r="S151" i="142"/>
  <c r="S106" i="142"/>
  <c r="S15" i="142"/>
  <c r="S61" i="142"/>
  <c r="V4" i="145"/>
  <c r="V11" i="145" s="1"/>
  <c r="V54" i="145" s="1"/>
  <c r="V4" i="144"/>
  <c r="V18" i="144" s="1"/>
  <c r="U32" i="133"/>
  <c r="U140" i="133" s="1"/>
  <c r="U234" i="133"/>
  <c r="V32" i="133"/>
  <c r="V140" i="133" s="1"/>
  <c r="V234" i="133"/>
  <c r="V51" i="133"/>
  <c r="V144" i="133" s="1"/>
  <c r="V238" i="133"/>
  <c r="V13" i="133"/>
  <c r="V136" i="133" s="1"/>
  <c r="V230" i="133"/>
  <c r="W55" i="133"/>
  <c r="W56" i="133" s="1"/>
  <c r="W50" i="133"/>
  <c r="V5" i="140"/>
  <c r="V57" i="133"/>
  <c r="V145" i="133" s="1"/>
  <c r="X10" i="133"/>
  <c r="W12" i="133"/>
  <c r="W4" i="136"/>
  <c r="AB9" i="135"/>
  <c r="V10" i="136"/>
  <c r="V30" i="136" s="1"/>
  <c r="V4" i="137"/>
  <c r="W4" i="130"/>
  <c r="AB3" i="135"/>
  <c r="Y3" i="133"/>
  <c r="W6" i="130"/>
  <c r="X5" i="133"/>
  <c r="V7" i="130"/>
  <c r="X3" i="130"/>
  <c r="V67" i="145" l="1"/>
  <c r="V24" i="145" s="1"/>
  <c r="V74" i="137"/>
  <c r="V28" i="137" s="1"/>
  <c r="Q14" i="145"/>
  <c r="Q62" i="137"/>
  <c r="Q16" i="137" s="1"/>
  <c r="T24" i="144"/>
  <c r="V17" i="144"/>
  <c r="V19" i="144"/>
  <c r="V12" i="144"/>
  <c r="V16" i="144"/>
  <c r="U20" i="144"/>
  <c r="U23" i="144" s="1"/>
  <c r="V49" i="152"/>
  <c r="Z157" i="135" s="1" a="1"/>
  <c r="Z157" i="135" s="1"/>
  <c r="Z285" i="135" s="1"/>
  <c r="X182" i="133"/>
  <c r="X229" i="133" s="1"/>
  <c r="X276" i="133" s="1"/>
  <c r="CA290" i="133" s="1"/>
  <c r="W197" i="133"/>
  <c r="W338" i="133" s="1"/>
  <c r="V132" i="133"/>
  <c r="V197" i="133"/>
  <c r="V338" i="133" s="1"/>
  <c r="Q20" i="149"/>
  <c r="T22" i="176"/>
  <c r="R23" i="176"/>
  <c r="P20" i="149"/>
  <c r="S22" i="176"/>
  <c r="Q23" i="176"/>
  <c r="Q24" i="146"/>
  <c r="T22" i="173" s="1"/>
  <c r="W39" i="152"/>
  <c r="W44" i="152" s="1"/>
  <c r="X30" i="133"/>
  <c r="X31" i="133" s="1"/>
  <c r="R15" i="146"/>
  <c r="U13" i="173" s="1"/>
  <c r="R11" i="149"/>
  <c r="R59" i="145"/>
  <c r="R64" i="137" s="1"/>
  <c r="R58" i="145"/>
  <c r="R63" i="137" s="1"/>
  <c r="R56" i="145"/>
  <c r="R61" i="137" s="1"/>
  <c r="R57" i="145"/>
  <c r="R62" i="137" s="1"/>
  <c r="T13" i="176"/>
  <c r="W10" i="146"/>
  <c r="W30" i="146" s="1"/>
  <c r="Z6" i="178"/>
  <c r="AA3" i="176"/>
  <c r="AA40" i="176" s="1"/>
  <c r="AA118" i="176" s="1"/>
  <c r="AA196" i="176" s="1"/>
  <c r="AA231" i="176" s="1"/>
  <c r="AA266" i="176" s="1"/>
  <c r="AA301" i="176" s="1"/>
  <c r="AA336" i="176" s="1"/>
  <c r="AA371" i="176" s="1"/>
  <c r="AA406" i="176" s="1"/>
  <c r="AA441" i="176" s="1"/>
  <c r="AA476" i="176" s="1"/>
  <c r="AA511" i="176" s="1"/>
  <c r="AA546" i="176" s="1"/>
  <c r="AA581" i="176" s="1"/>
  <c r="X3" i="180"/>
  <c r="X5" i="179"/>
  <c r="Y193" i="166"/>
  <c r="Y185" i="166"/>
  <c r="Z199" i="166"/>
  <c r="W132" i="133"/>
  <c r="Y199" i="166"/>
  <c r="AA3" i="173"/>
  <c r="AA40" i="173" s="1"/>
  <c r="AA118" i="173" s="1"/>
  <c r="AA196" i="173" s="1"/>
  <c r="AA224" i="173" s="1"/>
  <c r="AA252" i="173" s="1"/>
  <c r="AA280" i="173" s="1"/>
  <c r="AA308" i="173" s="1"/>
  <c r="AA336" i="173" s="1"/>
  <c r="AA364" i="173" s="1"/>
  <c r="AA392" i="173" s="1"/>
  <c r="AA420" i="173" s="1"/>
  <c r="AA448" i="173" s="1"/>
  <c r="AA476" i="173" s="1"/>
  <c r="AA504" i="173" s="1"/>
  <c r="R23" i="173"/>
  <c r="Q6" i="154" s="1"/>
  <c r="Q23" i="173"/>
  <c r="P6" i="154" s="1"/>
  <c r="P24" i="136"/>
  <c r="P26" i="136" s="1"/>
  <c r="P26" i="146"/>
  <c r="Z199" i="135"/>
  <c r="Q15" i="136"/>
  <c r="BZ317" i="133"/>
  <c r="BZ283" i="133"/>
  <c r="BZ293" i="133"/>
  <c r="BZ315" i="133"/>
  <c r="BZ276" i="133"/>
  <c r="W323" i="133"/>
  <c r="W370" i="133" s="1"/>
  <c r="Z2" i="167"/>
  <c r="Z2" i="154"/>
  <c r="BZ303" i="133"/>
  <c r="Y194" i="135"/>
  <c r="Y194" i="166"/>
  <c r="X189" i="135"/>
  <c r="X287" i="135" s="1"/>
  <c r="X300" i="135" s="1"/>
  <c r="X189" i="166"/>
  <c r="X287" i="166" s="1"/>
  <c r="X300" i="166" s="1"/>
  <c r="Y189" i="135"/>
  <c r="Y189" i="166"/>
  <c r="BZ290" i="133"/>
  <c r="BZ308" i="133"/>
  <c r="BZ288" i="133"/>
  <c r="BZ302" i="133"/>
  <c r="BZ319" i="133"/>
  <c r="BZ305" i="133"/>
  <c r="BZ298" i="133"/>
  <c r="BZ277" i="133"/>
  <c r="BZ301" i="133"/>
  <c r="BZ300" i="133"/>
  <c r="BZ310" i="133"/>
  <c r="BZ304" i="133"/>
  <c r="BZ307" i="133"/>
  <c r="BZ286" i="133"/>
  <c r="BZ313" i="133"/>
  <c r="BZ294" i="133"/>
  <c r="BZ289" i="133"/>
  <c r="BZ282" i="133"/>
  <c r="BZ284" i="133"/>
  <c r="BZ279" i="133"/>
  <c r="BZ296" i="133"/>
  <c r="BZ318" i="133"/>
  <c r="BZ281" i="133"/>
  <c r="BZ299" i="133"/>
  <c r="BZ314" i="133"/>
  <c r="BZ316" i="133"/>
  <c r="BZ311" i="133"/>
  <c r="BZ278" i="133"/>
  <c r="BZ287" i="133"/>
  <c r="BZ285" i="133"/>
  <c r="BZ297" i="133"/>
  <c r="BZ306" i="133"/>
  <c r="BZ292" i="133"/>
  <c r="BZ309" i="133"/>
  <c r="BZ295" i="133"/>
  <c r="BZ280" i="133"/>
  <c r="BZ312" i="133"/>
  <c r="W306" i="133"/>
  <c r="W400" i="133" s="1"/>
  <c r="W317" i="133"/>
  <c r="W285" i="133"/>
  <c r="W314" i="133"/>
  <c r="W295" i="133"/>
  <c r="W302" i="133"/>
  <c r="W282" i="133"/>
  <c r="W309" i="133"/>
  <c r="W305" i="133"/>
  <c r="W399" i="133" s="1"/>
  <c r="W291" i="133"/>
  <c r="W281" i="133"/>
  <c r="W287" i="133"/>
  <c r="W283" i="133"/>
  <c r="W279" i="133"/>
  <c r="W318" i="133"/>
  <c r="W315" i="133"/>
  <c r="W312" i="133"/>
  <c r="W298" i="133"/>
  <c r="W296" i="133"/>
  <c r="W278" i="133"/>
  <c r="W307" i="133"/>
  <c r="W311" i="133"/>
  <c r="W292" i="133"/>
  <c r="W294" i="133"/>
  <c r="W310" i="133"/>
  <c r="W300" i="133"/>
  <c r="W288" i="133"/>
  <c r="W277" i="133"/>
  <c r="W299" i="133"/>
  <c r="W297" i="133"/>
  <c r="W391" i="133" s="1"/>
  <c r="W280" i="133"/>
  <c r="W313" i="133"/>
  <c r="W303" i="133"/>
  <c r="W397" i="133" s="1"/>
  <c r="W290" i="133"/>
  <c r="W316" i="133"/>
  <c r="W308" i="133"/>
  <c r="W301" i="133"/>
  <c r="W284" i="133"/>
  <c r="W289" i="133"/>
  <c r="W293" i="133"/>
  <c r="W286" i="133"/>
  <c r="W304" i="133"/>
  <c r="W398" i="133" s="1"/>
  <c r="V187" i="133"/>
  <c r="V328" i="133" s="1"/>
  <c r="U187" i="133"/>
  <c r="U328" i="133" s="1"/>
  <c r="U366" i="133" s="1"/>
  <c r="W244" i="133"/>
  <c r="U156" i="142" s="1"/>
  <c r="R192" i="142"/>
  <c r="R194" i="142" s="1"/>
  <c r="AC3" i="166"/>
  <c r="AC9" i="166"/>
  <c r="V191" i="133"/>
  <c r="V332" i="133" s="1"/>
  <c r="Y193" i="135"/>
  <c r="Y199" i="135"/>
  <c r="V183" i="133"/>
  <c r="V324" i="133" s="1"/>
  <c r="Y185" i="135"/>
  <c r="T111" i="142"/>
  <c r="T20" i="142"/>
  <c r="T156" i="142"/>
  <c r="X3" i="161"/>
  <c r="X4" i="146"/>
  <c r="X4" i="149"/>
  <c r="X10" i="149" s="1"/>
  <c r="X24" i="149" s="1"/>
  <c r="V11" i="137"/>
  <c r="V57" i="137" s="1"/>
  <c r="U43" i="152"/>
  <c r="V31" i="152"/>
  <c r="V42" i="152" s="1"/>
  <c r="V35" i="152"/>
  <c r="V43" i="152" s="1"/>
  <c r="Q15" i="145"/>
  <c r="Q17" i="137" s="1"/>
  <c r="Q16" i="145"/>
  <c r="Q18" i="137" s="1"/>
  <c r="Q13" i="145"/>
  <c r="W5" i="142"/>
  <c r="W51" i="142" s="1"/>
  <c r="W96" i="142" s="1"/>
  <c r="W141" i="142" s="1"/>
  <c r="W186" i="142" s="1"/>
  <c r="Y135" i="133"/>
  <c r="X3" i="153"/>
  <c r="Y18" i="152"/>
  <c r="X82" i="133"/>
  <c r="W22" i="152"/>
  <c r="W26" i="152" s="1"/>
  <c r="T146" i="142"/>
  <c r="T101" i="142"/>
  <c r="T10" i="142"/>
  <c r="T56" i="142"/>
  <c r="T187" i="142"/>
  <c r="T190" i="142" s="1"/>
  <c r="T142" i="142"/>
  <c r="T97" i="142"/>
  <c r="T6" i="142"/>
  <c r="T52" i="142"/>
  <c r="T105" i="142"/>
  <c r="T150" i="142"/>
  <c r="T14" i="142"/>
  <c r="T60" i="142"/>
  <c r="W4" i="145"/>
  <c r="W11" i="145" s="1"/>
  <c r="W54" i="145" s="1"/>
  <c r="W4" i="144"/>
  <c r="W18" i="144" s="1"/>
  <c r="S146" i="142"/>
  <c r="S183" i="142" s="1"/>
  <c r="S101" i="142"/>
  <c r="S138" i="142" s="1"/>
  <c r="S10" i="142"/>
  <c r="S48" i="142" s="1"/>
  <c r="S56" i="142"/>
  <c r="S93" i="142" s="1"/>
  <c r="W13" i="133"/>
  <c r="W136" i="133" s="1"/>
  <c r="W230" i="133"/>
  <c r="W57" i="133"/>
  <c r="W145" i="133" s="1"/>
  <c r="W239" i="133"/>
  <c r="W32" i="133"/>
  <c r="W140" i="133" s="1"/>
  <c r="W234" i="133"/>
  <c r="W51" i="133"/>
  <c r="W144" i="133" s="1"/>
  <c r="W238" i="133"/>
  <c r="V192" i="133"/>
  <c r="V333" i="133" s="1"/>
  <c r="W5" i="140"/>
  <c r="X55" i="133"/>
  <c r="X56" i="133" s="1"/>
  <c r="X50" i="133"/>
  <c r="Y10" i="133"/>
  <c r="X12" i="133"/>
  <c r="X4" i="136"/>
  <c r="AC9" i="135"/>
  <c r="W10" i="136"/>
  <c r="W30" i="136" s="1"/>
  <c r="W4" i="137"/>
  <c r="X4" i="130"/>
  <c r="AC3" i="135"/>
  <c r="Z3" i="133"/>
  <c r="X6" i="130"/>
  <c r="Y5" i="133"/>
  <c r="W7" i="130"/>
  <c r="Y3" i="130"/>
  <c r="U13" i="176" l="1"/>
  <c r="R18" i="149"/>
  <c r="W67" i="145"/>
  <c r="W24" i="145" s="1"/>
  <c r="W74" i="137"/>
  <c r="W28" i="137" s="1"/>
  <c r="U24" i="144"/>
  <c r="W17" i="144"/>
  <c r="W19" i="144"/>
  <c r="V20" i="144"/>
  <c r="W12" i="144"/>
  <c r="W16" i="144"/>
  <c r="Y182" i="133"/>
  <c r="Y229" i="133" s="1"/>
  <c r="Y276" i="133" s="1"/>
  <c r="CB301" i="133" s="1"/>
  <c r="W49" i="152"/>
  <c r="AA157" i="135" s="1" a="1"/>
  <c r="AA157" i="135" s="1"/>
  <c r="AA285" i="135" s="1"/>
  <c r="S23" i="176"/>
  <c r="Q6" i="167"/>
  <c r="P6" i="167"/>
  <c r="R13" i="145"/>
  <c r="R15" i="137" s="1"/>
  <c r="X39" i="152"/>
  <c r="X49" i="152" s="1"/>
  <c r="AB157" i="135" s="1" a="1"/>
  <c r="AB157" i="135" s="1"/>
  <c r="AB285" i="135" s="1"/>
  <c r="Y30" i="133"/>
  <c r="Y287" i="166"/>
  <c r="Y300" i="166" s="1"/>
  <c r="Y287" i="135"/>
  <c r="Y300" i="135" s="1"/>
  <c r="R24" i="146"/>
  <c r="U22" i="173" s="1"/>
  <c r="S15" i="146"/>
  <c r="V13" i="173" s="1"/>
  <c r="S11" i="149"/>
  <c r="S57" i="145"/>
  <c r="S56" i="145"/>
  <c r="S61" i="137" s="1"/>
  <c r="S58" i="145"/>
  <c r="S63" i="137" s="1"/>
  <c r="S59" i="145"/>
  <c r="S64" i="137" s="1"/>
  <c r="T23" i="176"/>
  <c r="Q15" i="137"/>
  <c r="AA6" i="178"/>
  <c r="AB3" i="176"/>
  <c r="AB40" i="176" s="1"/>
  <c r="AB118" i="176" s="1"/>
  <c r="AB196" i="176" s="1"/>
  <c r="AB231" i="176" s="1"/>
  <c r="AB266" i="176" s="1"/>
  <c r="AB301" i="176" s="1"/>
  <c r="AB336" i="176" s="1"/>
  <c r="AB371" i="176" s="1"/>
  <c r="AB406" i="176" s="1"/>
  <c r="AB441" i="176" s="1"/>
  <c r="AB476" i="176" s="1"/>
  <c r="AB511" i="176" s="1"/>
  <c r="AB546" i="176" s="1"/>
  <c r="AB581" i="176" s="1"/>
  <c r="X10" i="146"/>
  <c r="X30" i="146" s="1"/>
  <c r="Y3" i="180"/>
  <c r="Y5" i="179"/>
  <c r="Z185" i="166"/>
  <c r="Z193" i="166"/>
  <c r="AB3" i="173"/>
  <c r="AB40" i="173" s="1"/>
  <c r="AB118" i="173" s="1"/>
  <c r="AB196" i="173" s="1"/>
  <c r="AB224" i="173" s="1"/>
  <c r="AB252" i="173" s="1"/>
  <c r="AB280" i="173" s="1"/>
  <c r="AB308" i="173" s="1"/>
  <c r="AB336" i="173" s="1"/>
  <c r="AB364" i="173" s="1"/>
  <c r="AB392" i="173" s="1"/>
  <c r="AB420" i="173" s="1"/>
  <c r="AB448" i="173" s="1"/>
  <c r="AB476" i="173" s="1"/>
  <c r="AB504" i="173" s="1"/>
  <c r="S23" i="173"/>
  <c r="R6" i="154" s="1"/>
  <c r="Q24" i="136"/>
  <c r="Q26" i="136" s="1"/>
  <c r="Z189" i="166"/>
  <c r="Z194" i="166"/>
  <c r="Q26" i="146"/>
  <c r="AA2" i="167"/>
  <c r="AA2" i="154"/>
  <c r="CA309" i="133"/>
  <c r="CA315" i="133"/>
  <c r="CA285" i="133"/>
  <c r="CA296" i="133"/>
  <c r="CA311" i="133"/>
  <c r="CA283" i="133"/>
  <c r="CA280" i="133"/>
  <c r="CA302" i="133"/>
  <c r="CA284" i="133"/>
  <c r="X323" i="133"/>
  <c r="X370" i="133" s="1"/>
  <c r="CA316" i="133"/>
  <c r="CA306" i="133"/>
  <c r="CA312" i="133"/>
  <c r="CA300" i="133"/>
  <c r="CA301" i="133"/>
  <c r="CA281" i="133"/>
  <c r="CA293" i="133"/>
  <c r="CA319" i="133"/>
  <c r="CA276" i="133"/>
  <c r="CA303" i="133"/>
  <c r="CA308" i="133"/>
  <c r="CA313" i="133"/>
  <c r="CA299" i="133"/>
  <c r="CA307" i="133"/>
  <c r="CA310" i="133"/>
  <c r="CA278" i="133"/>
  <c r="CA287" i="133"/>
  <c r="CA314" i="133"/>
  <c r="CA295" i="133"/>
  <c r="CA279" i="133"/>
  <c r="CA318" i="133"/>
  <c r="CA288" i="133"/>
  <c r="CA297" i="133"/>
  <c r="CA277" i="133"/>
  <c r="X317" i="133"/>
  <c r="X285" i="133"/>
  <c r="X296" i="133"/>
  <c r="X318" i="133"/>
  <c r="X302" i="133"/>
  <c r="X282" i="133"/>
  <c r="X309" i="133"/>
  <c r="X289" i="133"/>
  <c r="X301" i="133"/>
  <c r="X395" i="133" s="1"/>
  <c r="X287" i="133"/>
  <c r="X283" i="133"/>
  <c r="X279" i="133"/>
  <c r="X305" i="133"/>
  <c r="X399" i="133" s="1"/>
  <c r="X291" i="133"/>
  <c r="X315" i="133"/>
  <c r="X295" i="133"/>
  <c r="X314" i="133"/>
  <c r="X303" i="133"/>
  <c r="X397" i="133" s="1"/>
  <c r="X307" i="133"/>
  <c r="X311" i="133"/>
  <c r="X313" i="133"/>
  <c r="X281" i="133"/>
  <c r="X294" i="133"/>
  <c r="X306" i="133"/>
  <c r="X300" i="133"/>
  <c r="X394" i="133" s="1"/>
  <c r="X310" i="133"/>
  <c r="X288" i="133"/>
  <c r="X297" i="133"/>
  <c r="X277" i="133"/>
  <c r="X316" i="133"/>
  <c r="X280" i="133"/>
  <c r="X299" i="133"/>
  <c r="X393" i="133" s="1"/>
  <c r="X290" i="133"/>
  <c r="X293" i="133"/>
  <c r="X298" i="133"/>
  <c r="X392" i="133" s="1"/>
  <c r="X304" i="133"/>
  <c r="X398" i="133" s="1"/>
  <c r="X278" i="133"/>
  <c r="X308" i="133"/>
  <c r="X286" i="133"/>
  <c r="X292" i="133"/>
  <c r="X284" i="133"/>
  <c r="X312" i="133"/>
  <c r="CA292" i="133"/>
  <c r="CA289" i="133"/>
  <c r="CA317" i="133"/>
  <c r="R15" i="136"/>
  <c r="CA294" i="133"/>
  <c r="CA298" i="133"/>
  <c r="CA304" i="133"/>
  <c r="CA282" i="133"/>
  <c r="CA286" i="133"/>
  <c r="CA291" i="133"/>
  <c r="CA305" i="133"/>
  <c r="U20" i="142"/>
  <c r="U111" i="142"/>
  <c r="V366" i="133"/>
  <c r="U66" i="142"/>
  <c r="W191" i="133"/>
  <c r="W332" i="133" s="1"/>
  <c r="Z193" i="135"/>
  <c r="AD9" i="166"/>
  <c r="AD3" i="166"/>
  <c r="W183" i="133"/>
  <c r="W324" i="133" s="1"/>
  <c r="Z185" i="135"/>
  <c r="W192" i="133"/>
  <c r="W333" i="133" s="1"/>
  <c r="Z194" i="135"/>
  <c r="W187" i="133"/>
  <c r="W328" i="133" s="1"/>
  <c r="Z189" i="135"/>
  <c r="X83" i="133"/>
  <c r="X244" i="133"/>
  <c r="V20" i="142" s="1"/>
  <c r="Y3" i="161"/>
  <c r="Y4" i="146"/>
  <c r="Y4" i="149"/>
  <c r="Y10" i="149" s="1"/>
  <c r="Y24" i="149" s="1"/>
  <c r="W11" i="137"/>
  <c r="W57" i="137" s="1"/>
  <c r="W31" i="152"/>
  <c r="W42" i="152" s="1"/>
  <c r="W35" i="152"/>
  <c r="W43" i="152" s="1"/>
  <c r="R15" i="145"/>
  <c r="R17" i="137" s="1"/>
  <c r="R14" i="145"/>
  <c r="R16" i="145"/>
  <c r="R18" i="137" s="1"/>
  <c r="X5" i="142"/>
  <c r="X51" i="142" s="1"/>
  <c r="X96" i="142" s="1"/>
  <c r="X141" i="142" s="1"/>
  <c r="X186" i="142" s="1"/>
  <c r="Z135" i="133"/>
  <c r="Y3" i="153"/>
  <c r="Z18" i="152"/>
  <c r="Y82" i="133"/>
  <c r="X22" i="152"/>
  <c r="X26" i="152" s="1"/>
  <c r="S192" i="142"/>
  <c r="S194" i="142" s="1"/>
  <c r="T138" i="142"/>
  <c r="T183" i="142"/>
  <c r="U105" i="142"/>
  <c r="U150" i="142"/>
  <c r="U14" i="142"/>
  <c r="U60" i="142"/>
  <c r="T48" i="142"/>
  <c r="T93" i="142"/>
  <c r="U187" i="142"/>
  <c r="U190" i="142" s="1"/>
  <c r="U142" i="142"/>
  <c r="U97" i="142"/>
  <c r="U6" i="142"/>
  <c r="U52" i="142"/>
  <c r="X4" i="144"/>
  <c r="X18" i="144" s="1"/>
  <c r="X4" i="145"/>
  <c r="X11" i="145" s="1"/>
  <c r="X54" i="145" s="1"/>
  <c r="U101" i="142"/>
  <c r="U146" i="142"/>
  <c r="U10" i="142"/>
  <c r="U56" i="142"/>
  <c r="U151" i="142"/>
  <c r="U106" i="142"/>
  <c r="U15" i="142"/>
  <c r="U61" i="142"/>
  <c r="X32" i="133"/>
  <c r="X140" i="133" s="1"/>
  <c r="X234" i="133"/>
  <c r="X51" i="133"/>
  <c r="X144" i="133" s="1"/>
  <c r="X238" i="133"/>
  <c r="X13" i="133"/>
  <c r="X136" i="133" s="1"/>
  <c r="X230" i="133"/>
  <c r="X57" i="133"/>
  <c r="X145" i="133" s="1"/>
  <c r="X239" i="133"/>
  <c r="X5" i="140"/>
  <c r="Y55" i="133"/>
  <c r="Y56" i="133" s="1"/>
  <c r="Y50" i="133"/>
  <c r="Z10" i="133"/>
  <c r="Y12" i="133"/>
  <c r="Y4" i="136"/>
  <c r="AD9" i="135"/>
  <c r="X10" i="136"/>
  <c r="X30" i="136" s="1"/>
  <c r="X4" i="137"/>
  <c r="Y4" i="130"/>
  <c r="AD3" i="135"/>
  <c r="AA3" i="133"/>
  <c r="Y6" i="130"/>
  <c r="Z5" i="133"/>
  <c r="X7" i="130"/>
  <c r="Z3" i="130"/>
  <c r="V23" i="144" l="1"/>
  <c r="W20" i="144"/>
  <c r="W23" i="144" s="1"/>
  <c r="V13" i="176"/>
  <c r="S18" i="149"/>
  <c r="X67" i="145"/>
  <c r="X24" i="145" s="1"/>
  <c r="X74" i="137"/>
  <c r="X28" i="137" s="1"/>
  <c r="S14" i="145"/>
  <c r="S62" i="137"/>
  <c r="S16" i="137" s="1"/>
  <c r="V24" i="144"/>
  <c r="X17" i="144"/>
  <c r="X19" i="144"/>
  <c r="X12" i="144"/>
  <c r="X16" i="144"/>
  <c r="Z182" i="133"/>
  <c r="Z229" i="133" s="1"/>
  <c r="Z276" i="133" s="1"/>
  <c r="X44" i="152"/>
  <c r="X150" i="133"/>
  <c r="S6" i="167"/>
  <c r="R20" i="149"/>
  <c r="U22" i="176"/>
  <c r="R6" i="167"/>
  <c r="S24" i="146"/>
  <c r="V22" i="173" s="1"/>
  <c r="Y39" i="152"/>
  <c r="Y44" i="152" s="1"/>
  <c r="Z30" i="133"/>
  <c r="Z31" i="133" s="1"/>
  <c r="Z287" i="166"/>
  <c r="Z300" i="166" s="1"/>
  <c r="S15" i="145"/>
  <c r="S17" i="137" s="1"/>
  <c r="S13" i="145"/>
  <c r="S15" i="137" s="1"/>
  <c r="Z287" i="135"/>
  <c r="Z300" i="135" s="1"/>
  <c r="S16" i="145"/>
  <c r="S18" i="137" s="1"/>
  <c r="T15" i="146"/>
  <c r="T24" i="146" s="1"/>
  <c r="W22" i="173" s="1"/>
  <c r="T11" i="149"/>
  <c r="T18" i="149" s="1"/>
  <c r="T59" i="145"/>
  <c r="T64" i="137" s="1"/>
  <c r="T56" i="145"/>
  <c r="T61" i="137" s="1"/>
  <c r="T57" i="145"/>
  <c r="T62" i="137" s="1"/>
  <c r="T58" i="145"/>
  <c r="T63" i="137" s="1"/>
  <c r="AB6" i="178"/>
  <c r="AC3" i="176"/>
  <c r="AC40" i="176" s="1"/>
  <c r="AC118" i="176" s="1"/>
  <c r="AC196" i="176" s="1"/>
  <c r="AC231" i="176" s="1"/>
  <c r="AC266" i="176" s="1"/>
  <c r="AC301" i="176" s="1"/>
  <c r="AC336" i="176" s="1"/>
  <c r="AC371" i="176" s="1"/>
  <c r="AC406" i="176" s="1"/>
  <c r="AC441" i="176" s="1"/>
  <c r="AC476" i="176" s="1"/>
  <c r="AC511" i="176" s="1"/>
  <c r="AC546" i="176" s="1"/>
  <c r="AC581" i="176" s="1"/>
  <c r="Y10" i="146"/>
  <c r="Y30" i="146" s="1"/>
  <c r="Z3" i="180"/>
  <c r="Z5" i="179"/>
  <c r="AA185" i="166"/>
  <c r="AA193" i="166"/>
  <c r="AC3" i="173"/>
  <c r="AC40" i="173" s="1"/>
  <c r="AC118" i="173" s="1"/>
  <c r="AC196" i="173" s="1"/>
  <c r="AC224" i="173" s="1"/>
  <c r="AC252" i="173" s="1"/>
  <c r="AC280" i="173" s="1"/>
  <c r="AC308" i="173" s="1"/>
  <c r="AC336" i="173" s="1"/>
  <c r="AC364" i="173" s="1"/>
  <c r="AC392" i="173" s="1"/>
  <c r="AC420" i="173" s="1"/>
  <c r="AC448" i="173" s="1"/>
  <c r="AC476" i="173" s="1"/>
  <c r="AC504" i="173" s="1"/>
  <c r="T23" i="173"/>
  <c r="S6" i="154" s="1"/>
  <c r="R24" i="136"/>
  <c r="R26" i="136" s="1"/>
  <c r="AA194" i="166"/>
  <c r="AA189" i="166"/>
  <c r="R26" i="146"/>
  <c r="S15" i="136"/>
  <c r="AK1" i="167"/>
  <c r="AB2" i="167"/>
  <c r="AB2" i="154"/>
  <c r="CB281" i="133"/>
  <c r="CB293" i="133"/>
  <c r="CB292" i="133"/>
  <c r="CB294" i="133"/>
  <c r="CB304" i="133"/>
  <c r="CB278" i="133"/>
  <c r="CB291" i="133"/>
  <c r="CB277" i="133"/>
  <c r="CB302" i="133"/>
  <c r="CB300" i="133"/>
  <c r="Y296" i="133"/>
  <c r="Y307" i="133"/>
  <c r="Y401" i="133" s="1"/>
  <c r="Y318" i="133"/>
  <c r="Y309" i="133"/>
  <c r="Y403" i="133" s="1"/>
  <c r="Y289" i="133"/>
  <c r="Y301" i="133"/>
  <c r="Y395" i="133" s="1"/>
  <c r="Y310" i="133"/>
  <c r="Y305" i="133"/>
  <c r="Y291" i="133"/>
  <c r="Y302" i="133"/>
  <c r="Y315" i="133"/>
  <c r="Y295" i="133"/>
  <c r="Y312" i="133"/>
  <c r="Y406" i="133" s="1"/>
  <c r="Y299" i="133"/>
  <c r="Y393" i="133" s="1"/>
  <c r="Y283" i="133"/>
  <c r="Y285" i="133"/>
  <c r="Y311" i="133"/>
  <c r="Y405" i="133" s="1"/>
  <c r="Y313" i="133"/>
  <c r="Y407" i="133" s="1"/>
  <c r="Y281" i="133"/>
  <c r="Y294" i="133"/>
  <c r="Y306" i="133"/>
  <c r="Y300" i="133"/>
  <c r="Y394" i="133" s="1"/>
  <c r="Y317" i="133"/>
  <c r="Y298" i="133"/>
  <c r="Y392" i="133" s="1"/>
  <c r="Y290" i="133"/>
  <c r="Y277" i="133"/>
  <c r="Y284" i="133"/>
  <c r="Y314" i="133"/>
  <c r="Y288" i="133"/>
  <c r="Y297" i="133"/>
  <c r="Y280" i="133"/>
  <c r="Y279" i="133"/>
  <c r="Y303" i="133"/>
  <c r="Y282" i="133"/>
  <c r="Y316" i="133"/>
  <c r="Y308" i="133"/>
  <c r="Y402" i="133" s="1"/>
  <c r="Y287" i="133"/>
  <c r="Y292" i="133"/>
  <c r="Y293" i="133"/>
  <c r="Y286" i="133"/>
  <c r="Y304" i="133"/>
  <c r="Y278" i="133"/>
  <c r="CB318" i="133"/>
  <c r="CB287" i="133"/>
  <c r="CB310" i="133"/>
  <c r="CB307" i="133"/>
  <c r="CB290" i="133"/>
  <c r="CB314" i="133"/>
  <c r="CB295" i="133"/>
  <c r="CB279" i="133"/>
  <c r="CB309" i="133"/>
  <c r="CB285" i="133"/>
  <c r="CB284" i="133"/>
  <c r="CB315" i="133"/>
  <c r="CB317" i="133"/>
  <c r="CB286" i="133"/>
  <c r="CB316" i="133"/>
  <c r="CB276" i="133"/>
  <c r="CB306" i="133"/>
  <c r="Y323" i="133"/>
  <c r="Y370" i="133" s="1"/>
  <c r="CB280" i="133"/>
  <c r="CB319" i="133"/>
  <c r="CB289" i="133"/>
  <c r="CB297" i="133"/>
  <c r="CB313" i="133"/>
  <c r="CB288" i="133"/>
  <c r="CB305" i="133"/>
  <c r="CB308" i="133"/>
  <c r="CB296" i="133"/>
  <c r="CB298" i="133"/>
  <c r="CB311" i="133"/>
  <c r="CB282" i="133"/>
  <c r="CB303" i="133"/>
  <c r="CB299" i="133"/>
  <c r="CB283" i="133"/>
  <c r="CB312" i="133"/>
  <c r="W366" i="133"/>
  <c r="X187" i="133"/>
  <c r="X328" i="133" s="1"/>
  <c r="AA189" i="135"/>
  <c r="AE9" i="166"/>
  <c r="AE3" i="166"/>
  <c r="AN2" i="166"/>
  <c r="X192" i="133"/>
  <c r="X333" i="133" s="1"/>
  <c r="AA194" i="135"/>
  <c r="X191" i="133"/>
  <c r="X332" i="133" s="1"/>
  <c r="AA193" i="135"/>
  <c r="X183" i="133"/>
  <c r="X324" i="133" s="1"/>
  <c r="AA185" i="135"/>
  <c r="Y83" i="133"/>
  <c r="Y150" i="133" s="1"/>
  <c r="V111" i="142"/>
  <c r="V156" i="142"/>
  <c r="V66" i="142"/>
  <c r="AI2" i="161"/>
  <c r="Z3" i="161"/>
  <c r="Z4" i="146"/>
  <c r="Z4" i="149"/>
  <c r="Z10" i="149" s="1"/>
  <c r="Z24" i="149" s="1"/>
  <c r="X11" i="137"/>
  <c r="X57" i="137" s="1"/>
  <c r="Y244" i="133"/>
  <c r="W111" i="142" s="1"/>
  <c r="X31" i="152"/>
  <c r="X42" i="152" s="1"/>
  <c r="X35" i="152"/>
  <c r="X43" i="152" s="1"/>
  <c r="R16" i="137"/>
  <c r="Y5" i="142"/>
  <c r="Y51" i="142" s="1"/>
  <c r="Y96" i="142" s="1"/>
  <c r="Y141" i="142" s="1"/>
  <c r="Y186" i="142" s="1"/>
  <c r="AA135" i="133"/>
  <c r="Z3" i="153"/>
  <c r="AA18" i="152"/>
  <c r="Z82" i="133"/>
  <c r="Y22" i="152"/>
  <c r="Y26" i="152" s="1"/>
  <c r="V106" i="142"/>
  <c r="V151" i="142"/>
  <c r="V15" i="142"/>
  <c r="V61" i="142"/>
  <c r="T192" i="142"/>
  <c r="T194" i="142" s="1"/>
  <c r="U48" i="142"/>
  <c r="V105" i="142"/>
  <c r="V150" i="142"/>
  <c r="V14" i="142"/>
  <c r="V60" i="142"/>
  <c r="Y4" i="145"/>
  <c r="Y11" i="145" s="1"/>
  <c r="Y54" i="145" s="1"/>
  <c r="Y4" i="144"/>
  <c r="Y18" i="144" s="1"/>
  <c r="U138" i="142"/>
  <c r="U183" i="142"/>
  <c r="U93" i="142"/>
  <c r="V142" i="142"/>
  <c r="V187" i="142"/>
  <c r="V190" i="142" s="1"/>
  <c r="V97" i="142"/>
  <c r="V6" i="142"/>
  <c r="V52" i="142"/>
  <c r="V101" i="142"/>
  <c r="V146" i="142"/>
  <c r="V10" i="142"/>
  <c r="V56" i="142"/>
  <c r="Y13" i="133"/>
  <c r="Y136" i="133" s="1"/>
  <c r="Y230" i="133"/>
  <c r="Y51" i="133"/>
  <c r="Y144" i="133" s="1"/>
  <c r="Y238" i="133"/>
  <c r="Y57" i="133"/>
  <c r="Y145" i="133" s="1"/>
  <c r="Y239" i="133"/>
  <c r="Y5" i="140"/>
  <c r="Z55" i="133"/>
  <c r="Z56" i="133" s="1"/>
  <c r="Z50" i="133"/>
  <c r="Z12" i="133"/>
  <c r="AA10" i="133"/>
  <c r="Y31" i="133"/>
  <c r="AI3" i="136"/>
  <c r="Z4" i="136"/>
  <c r="AE9" i="135"/>
  <c r="Y10" i="136"/>
  <c r="Y30" i="136" s="1"/>
  <c r="Y4" i="137"/>
  <c r="Z4" i="130"/>
  <c r="AE3" i="135"/>
  <c r="AB3" i="133"/>
  <c r="Z6" i="130"/>
  <c r="AA5" i="133"/>
  <c r="Y7" i="130"/>
  <c r="AA3" i="130"/>
  <c r="W24" i="144" l="1"/>
  <c r="Y67" i="145"/>
  <c r="Y24" i="145" s="1"/>
  <c r="Y74" i="137"/>
  <c r="Y28" i="137" s="1"/>
  <c r="Y17" i="144"/>
  <c r="Y19" i="144"/>
  <c r="X20" i="144"/>
  <c r="X23" i="144" s="1"/>
  <c r="Y12" i="144"/>
  <c r="Y16" i="144"/>
  <c r="AA199" i="135"/>
  <c r="AA287" i="135" s="1"/>
  <c r="AA300" i="135" s="1"/>
  <c r="AA199" i="166"/>
  <c r="AA287" i="166" s="1"/>
  <c r="AA300" i="166" s="1"/>
  <c r="AA182" i="133"/>
  <c r="AA229" i="133" s="1"/>
  <c r="AA276" i="133" s="1"/>
  <c r="CD276" i="133" s="1"/>
  <c r="Y49" i="152"/>
  <c r="AC157" i="135" s="1" a="1"/>
  <c r="AC157" i="135" s="1"/>
  <c r="AC285" i="135" s="1"/>
  <c r="Y132" i="133"/>
  <c r="X197" i="133"/>
  <c r="X338" i="133" s="1"/>
  <c r="X366" i="133" s="1"/>
  <c r="Y197" i="133"/>
  <c r="Y338" i="133" s="1"/>
  <c r="X132" i="133"/>
  <c r="S20" i="149"/>
  <c r="V22" i="176"/>
  <c r="T20" i="149"/>
  <c r="W22" i="176"/>
  <c r="U23" i="176"/>
  <c r="W13" i="176"/>
  <c r="Z39" i="152"/>
  <c r="Z49" i="152" s="1"/>
  <c r="AD157" i="135" s="1" a="1"/>
  <c r="AD157" i="135" s="1"/>
  <c r="AD285" i="135" s="1"/>
  <c r="AA30" i="133"/>
  <c r="AA31" i="133" s="1"/>
  <c r="W13" i="173"/>
  <c r="T13" i="145"/>
  <c r="T15" i="137" s="1"/>
  <c r="U15" i="146"/>
  <c r="X13" i="173" s="1"/>
  <c r="U11" i="149"/>
  <c r="U18" i="149" s="1"/>
  <c r="U57" i="145"/>
  <c r="U62" i="137" s="1"/>
  <c r="U58" i="145"/>
  <c r="U63" i="137" s="1"/>
  <c r="U56" i="145"/>
  <c r="U61" i="137" s="1"/>
  <c r="U59" i="145"/>
  <c r="U64" i="137" s="1"/>
  <c r="Z10" i="146"/>
  <c r="Z30" i="146" s="1"/>
  <c r="AC6" i="178"/>
  <c r="AD3" i="176"/>
  <c r="AD40" i="176" s="1"/>
  <c r="AD118" i="176" s="1"/>
  <c r="AD196" i="176" s="1"/>
  <c r="AD231" i="176" s="1"/>
  <c r="AD266" i="176" s="1"/>
  <c r="AD301" i="176" s="1"/>
  <c r="AD336" i="176" s="1"/>
  <c r="AD371" i="176" s="1"/>
  <c r="AD406" i="176" s="1"/>
  <c r="AD441" i="176" s="1"/>
  <c r="AD476" i="176" s="1"/>
  <c r="AD511" i="176" s="1"/>
  <c r="AD546" i="176" s="1"/>
  <c r="AD581" i="176" s="1"/>
  <c r="AA3" i="180"/>
  <c r="AA5" i="179"/>
  <c r="AB193" i="166"/>
  <c r="AB185" i="166"/>
  <c r="AB199" i="166"/>
  <c r="AD3" i="173"/>
  <c r="AD40" i="173" s="1"/>
  <c r="AD118" i="173" s="1"/>
  <c r="AD196" i="173" s="1"/>
  <c r="AD224" i="173" s="1"/>
  <c r="AD252" i="173" s="1"/>
  <c r="AD280" i="173" s="1"/>
  <c r="AD308" i="173" s="1"/>
  <c r="AD336" i="173" s="1"/>
  <c r="AD364" i="173" s="1"/>
  <c r="AD392" i="173" s="1"/>
  <c r="AD420" i="173" s="1"/>
  <c r="AD448" i="173" s="1"/>
  <c r="AD476" i="173" s="1"/>
  <c r="AD504" i="173" s="1"/>
  <c r="U23" i="173"/>
  <c r="T6" i="154" s="1"/>
  <c r="S24" i="136"/>
  <c r="S26" i="136" s="1"/>
  <c r="AB194" i="166"/>
  <c r="S26" i="146"/>
  <c r="AC2" i="167"/>
  <c r="AC2" i="154"/>
  <c r="AL1" i="167"/>
  <c r="CC304" i="133"/>
  <c r="Z307" i="133"/>
  <c r="Z401" i="133" s="1"/>
  <c r="Z318" i="133"/>
  <c r="Z412" i="133" s="1"/>
  <c r="Z286" i="133"/>
  <c r="Z380" i="133" s="1"/>
  <c r="Z301" i="133"/>
  <c r="Z395" i="133" s="1"/>
  <c r="Z310" i="133"/>
  <c r="Z404" i="133" s="1"/>
  <c r="Z277" i="133"/>
  <c r="Z371" i="133" s="1"/>
  <c r="Z291" i="133"/>
  <c r="Z385" i="133" s="1"/>
  <c r="Z302" i="133"/>
  <c r="Z396" i="133" s="1"/>
  <c r="Z315" i="133"/>
  <c r="Z409" i="133" s="1"/>
  <c r="Z295" i="133"/>
  <c r="Z389" i="133" s="1"/>
  <c r="Z312" i="133"/>
  <c r="Z406" i="133" s="1"/>
  <c r="Z299" i="133"/>
  <c r="Z393" i="133" s="1"/>
  <c r="Z305" i="133"/>
  <c r="Z399" i="133" s="1"/>
  <c r="Z283" i="133"/>
  <c r="Z377" i="133" s="1"/>
  <c r="Z292" i="133"/>
  <c r="Z386" i="133" s="1"/>
  <c r="Z285" i="133"/>
  <c r="Z379" i="133" s="1"/>
  <c r="Z311" i="133"/>
  <c r="Z405" i="133" s="1"/>
  <c r="Z313" i="133"/>
  <c r="Z407" i="133" s="1"/>
  <c r="Z294" i="133"/>
  <c r="Z388" i="133" s="1"/>
  <c r="Z306" i="133"/>
  <c r="Z300" i="133"/>
  <c r="Z394" i="133" s="1"/>
  <c r="Z296" i="133"/>
  <c r="Z390" i="133" s="1"/>
  <c r="Z317" i="133"/>
  <c r="Z411" i="133" s="1"/>
  <c r="Z298" i="133"/>
  <c r="Z392" i="133" s="1"/>
  <c r="Z290" i="133"/>
  <c r="Z384" i="133" s="1"/>
  <c r="Z304" i="133"/>
  <c r="Z398" i="133" s="1"/>
  <c r="Z288" i="133"/>
  <c r="Z382" i="133" s="1"/>
  <c r="Z314" i="133"/>
  <c r="Z408" i="133" s="1"/>
  <c r="Z297" i="133"/>
  <c r="Z303" i="133"/>
  <c r="Z397" i="133" s="1"/>
  <c r="Z284" i="133"/>
  <c r="Z378" i="133" s="1"/>
  <c r="Z280" i="133"/>
  <c r="Z374" i="133" s="1"/>
  <c r="Z279" i="133"/>
  <c r="Z373" i="133" s="1"/>
  <c r="Z316" i="133"/>
  <c r="Z410" i="133" s="1"/>
  <c r="Z282" i="133"/>
  <c r="Z376" i="133" s="1"/>
  <c r="Z309" i="133"/>
  <c r="Z403" i="133" s="1"/>
  <c r="Z293" i="133"/>
  <c r="Z387" i="133" s="1"/>
  <c r="Z281" i="133"/>
  <c r="Z375" i="133" s="1"/>
  <c r="Z287" i="133"/>
  <c r="Z381" i="133" s="1"/>
  <c r="Z278" i="133"/>
  <c r="Z372" i="133" s="1"/>
  <c r="Z289" i="133"/>
  <c r="Z383" i="133" s="1"/>
  <c r="Z308" i="133"/>
  <c r="Z402" i="133" s="1"/>
  <c r="T15" i="136"/>
  <c r="CC301" i="133"/>
  <c r="CC292" i="133"/>
  <c r="CC297" i="133"/>
  <c r="CC314" i="133"/>
  <c r="CC279" i="133"/>
  <c r="CC308" i="133"/>
  <c r="CC310" i="133"/>
  <c r="CC293" i="133"/>
  <c r="CC278" i="133"/>
  <c r="CC281" i="133"/>
  <c r="CC298" i="133"/>
  <c r="CC284" i="133"/>
  <c r="CC282" i="133"/>
  <c r="CC313" i="133"/>
  <c r="CC315" i="133"/>
  <c r="CC307" i="133"/>
  <c r="CC280" i="133"/>
  <c r="CC283" i="133"/>
  <c r="CC319" i="133"/>
  <c r="CC286" i="133"/>
  <c r="CC277" i="133"/>
  <c r="CC276" i="133"/>
  <c r="CC295" i="133"/>
  <c r="CC311" i="133"/>
  <c r="CC312" i="133"/>
  <c r="CC309" i="133"/>
  <c r="CC289" i="133"/>
  <c r="CC294" i="133"/>
  <c r="CC288" i="133"/>
  <c r="CC316" i="133"/>
  <c r="CC303" i="133"/>
  <c r="CC291" i="133"/>
  <c r="CC318" i="133"/>
  <c r="CC285" i="133"/>
  <c r="CC305" i="133"/>
  <c r="CC299" i="133"/>
  <c r="CC290" i="133"/>
  <c r="Z323" i="133"/>
  <c r="Z370" i="133" s="1"/>
  <c r="CC287" i="133"/>
  <c r="CC296" i="133"/>
  <c r="CC317" i="133"/>
  <c r="CC300" i="133"/>
  <c r="CC306" i="133"/>
  <c r="CC302" i="133"/>
  <c r="AF9" i="166"/>
  <c r="AF3" i="166"/>
  <c r="Y191" i="133"/>
  <c r="Y332" i="133" s="1"/>
  <c r="AB193" i="135"/>
  <c r="AB199" i="135"/>
  <c r="Y183" i="133"/>
  <c r="Y324" i="133" s="1"/>
  <c r="AB185" i="135"/>
  <c r="AO2" i="166"/>
  <c r="Y192" i="133"/>
  <c r="Y333" i="133" s="1"/>
  <c r="AB194" i="135"/>
  <c r="Z83" i="133"/>
  <c r="Z150" i="133" s="1"/>
  <c r="Y410" i="133"/>
  <c r="W66" i="142"/>
  <c r="W20" i="142"/>
  <c r="W156" i="142"/>
  <c r="Y11" i="137"/>
  <c r="Y57" i="137" s="1"/>
  <c r="Y400" i="133"/>
  <c r="Y382" i="133"/>
  <c r="AJ2" i="161"/>
  <c r="AA3" i="161"/>
  <c r="AA4" i="146"/>
  <c r="AA4" i="149"/>
  <c r="AA10" i="149" s="1"/>
  <c r="AA24" i="149" s="1"/>
  <c r="Y31" i="152"/>
  <c r="Y42" i="152" s="1"/>
  <c r="Y35" i="152"/>
  <c r="Y43" i="152" s="1"/>
  <c r="Z244" i="133"/>
  <c r="X156" i="142" s="1"/>
  <c r="T15" i="145"/>
  <c r="T17" i="137" s="1"/>
  <c r="T16" i="145"/>
  <c r="T18" i="137" s="1"/>
  <c r="T14" i="145"/>
  <c r="Z5" i="142"/>
  <c r="Z51" i="142" s="1"/>
  <c r="Z96" i="142" s="1"/>
  <c r="Z141" i="142" s="1"/>
  <c r="Z186" i="142" s="1"/>
  <c r="AB135" i="133"/>
  <c r="AA3" i="153"/>
  <c r="AB18" i="152"/>
  <c r="AA82" i="133"/>
  <c r="Z22" i="152"/>
  <c r="Z26" i="152" s="1"/>
  <c r="V93" i="142"/>
  <c r="Y387" i="133"/>
  <c r="Y408" i="133"/>
  <c r="Y384" i="133"/>
  <c r="Y371" i="133"/>
  <c r="Y374" i="133"/>
  <c r="Y378" i="133"/>
  <c r="Y390" i="133"/>
  <c r="Y376" i="133"/>
  <c r="Y379" i="133"/>
  <c r="V48" i="142"/>
  <c r="Y386" i="133"/>
  <c r="Y380" i="133"/>
  <c r="Y411" i="133"/>
  <c r="Y412" i="133"/>
  <c r="V138" i="142"/>
  <c r="V183" i="142"/>
  <c r="Y391" i="133"/>
  <c r="Y389" i="133"/>
  <c r="Y396" i="133"/>
  <c r="W151" i="142"/>
  <c r="W106" i="142"/>
  <c r="W15" i="142"/>
  <c r="W61" i="142"/>
  <c r="Y388" i="133"/>
  <c r="Y373" i="133"/>
  <c r="Q373" i="133"/>
  <c r="Q409" i="133"/>
  <c r="Q372" i="133"/>
  <c r="Q410" i="133"/>
  <c r="Q371" i="133"/>
  <c r="Q388" i="133"/>
  <c r="Q380" i="133"/>
  <c r="R382" i="133"/>
  <c r="R377" i="133"/>
  <c r="R389" i="133"/>
  <c r="R412" i="133"/>
  <c r="R376" i="133"/>
  <c r="R386" i="133"/>
  <c r="R374" i="133"/>
  <c r="R375" i="133"/>
  <c r="R411" i="133"/>
  <c r="R378" i="133"/>
  <c r="R384" i="133"/>
  <c r="S373" i="133"/>
  <c r="S372" i="133"/>
  <c r="S380" i="133"/>
  <c r="S379" i="133"/>
  <c r="S371" i="133"/>
  <c r="S410" i="133"/>
  <c r="S388" i="133"/>
  <c r="S409" i="133"/>
  <c r="T374" i="133"/>
  <c r="T376" i="133"/>
  <c r="T373" i="133"/>
  <c r="T383" i="133"/>
  <c r="T389" i="133"/>
  <c r="T382" i="133"/>
  <c r="T371" i="133"/>
  <c r="T378" i="133"/>
  <c r="T412" i="133"/>
  <c r="T384" i="133"/>
  <c r="T377" i="133"/>
  <c r="T372" i="133"/>
  <c r="T387" i="133"/>
  <c r="T385" i="133"/>
  <c r="T409" i="133"/>
  <c r="T380" i="133"/>
  <c r="T410" i="133"/>
  <c r="T390" i="133"/>
  <c r="T388" i="133"/>
  <c r="T386" i="133"/>
  <c r="T411" i="133"/>
  <c r="T375" i="133"/>
  <c r="U388" i="133"/>
  <c r="U374" i="133"/>
  <c r="U373" i="133"/>
  <c r="U379" i="133"/>
  <c r="U371" i="133"/>
  <c r="U412" i="133"/>
  <c r="U410" i="133"/>
  <c r="U411" i="133"/>
  <c r="U378" i="133"/>
  <c r="U377" i="133"/>
  <c r="U389" i="133"/>
  <c r="U375" i="133"/>
  <c r="U384" i="133"/>
  <c r="U386" i="133"/>
  <c r="U376" i="133"/>
  <c r="U380" i="133"/>
  <c r="U372" i="133"/>
  <c r="U382" i="133"/>
  <c r="U404" i="133"/>
  <c r="U409" i="133"/>
  <c r="V372" i="133"/>
  <c r="V383" i="133"/>
  <c r="V389" i="133"/>
  <c r="V409" i="133"/>
  <c r="V387" i="133"/>
  <c r="V411" i="133"/>
  <c r="V378" i="133"/>
  <c r="V388" i="133"/>
  <c r="V386" i="133"/>
  <c r="V371" i="133"/>
  <c r="V376" i="133"/>
  <c r="V380" i="133"/>
  <c r="V396" i="133"/>
  <c r="V374" i="133"/>
  <c r="V379" i="133"/>
  <c r="V377" i="133"/>
  <c r="V375" i="133"/>
  <c r="V410" i="133"/>
  <c r="V412" i="133"/>
  <c r="V382" i="133"/>
  <c r="V381" i="133"/>
  <c r="V390" i="133"/>
  <c r="V385" i="133"/>
  <c r="V373" i="133"/>
  <c r="V384" i="133"/>
  <c r="W374" i="133"/>
  <c r="W386" i="133"/>
  <c r="W371" i="133"/>
  <c r="W380" i="133"/>
  <c r="W377" i="133"/>
  <c r="W384" i="133"/>
  <c r="W389" i="133"/>
  <c r="W388" i="133"/>
  <c r="W373" i="133"/>
  <c r="W379" i="133"/>
  <c r="W383" i="133"/>
  <c r="W372" i="133"/>
  <c r="W409" i="133"/>
  <c r="W387" i="133"/>
  <c r="W410" i="133"/>
  <c r="W378" i="133"/>
  <c r="W404" i="133"/>
  <c r="W412" i="133"/>
  <c r="W408" i="133"/>
  <c r="W390" i="133"/>
  <c r="W411" i="133"/>
  <c r="W376" i="133"/>
  <c r="W385" i="133"/>
  <c r="W382" i="133"/>
  <c r="W375" i="133"/>
  <c r="X374" i="133"/>
  <c r="X388" i="133"/>
  <c r="X385" i="133"/>
  <c r="X371" i="133"/>
  <c r="X390" i="133"/>
  <c r="X377" i="133"/>
  <c r="X409" i="133"/>
  <c r="X378" i="133"/>
  <c r="X384" i="133"/>
  <c r="X373" i="133"/>
  <c r="X383" i="133"/>
  <c r="X396" i="133"/>
  <c r="X376" i="133"/>
  <c r="X412" i="133"/>
  <c r="X404" i="133"/>
  <c r="X381" i="133"/>
  <c r="X382" i="133"/>
  <c r="X411" i="133"/>
  <c r="X386" i="133"/>
  <c r="X410" i="133"/>
  <c r="X375" i="133"/>
  <c r="X379" i="133"/>
  <c r="X387" i="133"/>
  <c r="X389" i="133"/>
  <c r="X372" i="133"/>
  <c r="X380" i="133"/>
  <c r="Y377" i="133"/>
  <c r="W105" i="142"/>
  <c r="W150" i="142"/>
  <c r="W14" i="142"/>
  <c r="W60" i="142"/>
  <c r="Y385" i="133"/>
  <c r="Z4" i="144"/>
  <c r="Z18" i="144" s="1"/>
  <c r="Z4" i="145"/>
  <c r="Z11" i="145" s="1"/>
  <c r="Z54" i="145" s="1"/>
  <c r="Y372" i="133"/>
  <c r="Y404" i="133"/>
  <c r="Y381" i="133"/>
  <c r="Y383" i="133"/>
  <c r="W187" i="142"/>
  <c r="W190" i="142" s="1"/>
  <c r="W142" i="142"/>
  <c r="W97" i="142"/>
  <c r="W6" i="142"/>
  <c r="W52" i="142"/>
  <c r="Y375" i="133"/>
  <c r="U192" i="142"/>
  <c r="U194" i="142" s="1"/>
  <c r="Y409" i="133"/>
  <c r="Z13" i="133"/>
  <c r="Z136" i="133" s="1"/>
  <c r="Z230" i="133"/>
  <c r="Z32" i="133"/>
  <c r="Z140" i="133" s="1"/>
  <c r="Z234" i="133"/>
  <c r="Z57" i="133"/>
  <c r="Z145" i="133" s="1"/>
  <c r="Z239" i="133"/>
  <c r="Y32" i="133"/>
  <c r="Y140" i="133" s="1"/>
  <c r="Y234" i="133"/>
  <c r="Z51" i="133"/>
  <c r="Z144" i="133" s="1"/>
  <c r="Z238" i="133"/>
  <c r="Z5" i="140"/>
  <c r="AA55" i="133"/>
  <c r="AA56" i="133" s="1"/>
  <c r="AA50" i="133"/>
  <c r="AA12" i="133"/>
  <c r="AB10" i="133"/>
  <c r="AI9" i="136"/>
  <c r="AI29" i="136" s="1"/>
  <c r="AJ3" i="136"/>
  <c r="AA4" i="136"/>
  <c r="AF9" i="135"/>
  <c r="Z10" i="136"/>
  <c r="Z30" i="136" s="1"/>
  <c r="Z4" i="137"/>
  <c r="AA4" i="130"/>
  <c r="AF3" i="135"/>
  <c r="AC3" i="133"/>
  <c r="AA6" i="130"/>
  <c r="D6" i="130" s="1"/>
  <c r="AB5" i="133"/>
  <c r="Z7" i="130"/>
  <c r="Z67" i="145" l="1"/>
  <c r="Z24" i="145" s="1"/>
  <c r="Z74" i="137"/>
  <c r="Z28" i="137" s="1"/>
  <c r="X24" i="144"/>
  <c r="Z17" i="144"/>
  <c r="Z19" i="144"/>
  <c r="Z12" i="144"/>
  <c r="Z16" i="144"/>
  <c r="Y20" i="144"/>
  <c r="Y23" i="144" s="1"/>
  <c r="W23" i="176"/>
  <c r="V6" i="167" s="1"/>
  <c r="Z44" i="152"/>
  <c r="AB182" i="133"/>
  <c r="AB229" i="133" s="1"/>
  <c r="AB276" i="133" s="1"/>
  <c r="CE314" i="133" s="1"/>
  <c r="Z132" i="133"/>
  <c r="U16" i="145"/>
  <c r="U18" i="137" s="1"/>
  <c r="Z197" i="133"/>
  <c r="Z338" i="133" s="1"/>
  <c r="U20" i="149"/>
  <c r="X22" i="176"/>
  <c r="T6" i="167"/>
  <c r="V23" i="176"/>
  <c r="U24" i="146"/>
  <c r="X22" i="173" s="1"/>
  <c r="X13" i="176"/>
  <c r="AA39" i="152"/>
  <c r="AA44" i="152" s="1"/>
  <c r="AB30" i="133"/>
  <c r="AB31" i="133" s="1"/>
  <c r="U15" i="145"/>
  <c r="U17" i="137" s="1"/>
  <c r="U13" i="145"/>
  <c r="U15" i="137" s="1"/>
  <c r="V15" i="146"/>
  <c r="Y13" i="173" s="1"/>
  <c r="V11" i="149"/>
  <c r="V18" i="149" s="1"/>
  <c r="V59" i="145"/>
  <c r="V64" i="137" s="1"/>
  <c r="V56" i="145"/>
  <c r="V61" i="137" s="1"/>
  <c r="V57" i="145"/>
  <c r="V62" i="137" s="1"/>
  <c r="V58" i="145"/>
  <c r="V63" i="137" s="1"/>
  <c r="AE3" i="176"/>
  <c r="AE40" i="176" s="1"/>
  <c r="AE118" i="176" s="1"/>
  <c r="AE196" i="176" s="1"/>
  <c r="AE231" i="176" s="1"/>
  <c r="AE266" i="176" s="1"/>
  <c r="AE301" i="176" s="1"/>
  <c r="AE336" i="176" s="1"/>
  <c r="AE371" i="176" s="1"/>
  <c r="AE406" i="176" s="1"/>
  <c r="AE441" i="176" s="1"/>
  <c r="AE476" i="176" s="1"/>
  <c r="AE511" i="176" s="1"/>
  <c r="AE546" i="176" s="1"/>
  <c r="AE581" i="176" s="1"/>
  <c r="AA10" i="146"/>
  <c r="AA30" i="146" s="1"/>
  <c r="AB3" i="180"/>
  <c r="AB5" i="179"/>
  <c r="AC193" i="166"/>
  <c r="AC185" i="166"/>
  <c r="AC199" i="166"/>
  <c r="V23" i="173"/>
  <c r="U6" i="154" s="1"/>
  <c r="T24" i="136"/>
  <c r="T26" i="136" s="1"/>
  <c r="AB189" i="166"/>
  <c r="AM241" i="166" s="1"/>
  <c r="AM268" i="166" s="1"/>
  <c r="AC194" i="166"/>
  <c r="U15" i="136"/>
  <c r="T26" i="146"/>
  <c r="AD2" i="167"/>
  <c r="AM1" i="167"/>
  <c r="AC189" i="135"/>
  <c r="AC189" i="166"/>
  <c r="AA323" i="133"/>
  <c r="AA370" i="133" s="1"/>
  <c r="AA318" i="133"/>
  <c r="AA286" i="133"/>
  <c r="AA297" i="133"/>
  <c r="AA296" i="133"/>
  <c r="AA315" i="133"/>
  <c r="AA303" i="133"/>
  <c r="AA310" i="133"/>
  <c r="AA277" i="133"/>
  <c r="AA302" i="133"/>
  <c r="AA295" i="133"/>
  <c r="AA312" i="133"/>
  <c r="AA299" i="133"/>
  <c r="AA309" i="133"/>
  <c r="AA283" i="133"/>
  <c r="AA291" i="133"/>
  <c r="AA285" i="133"/>
  <c r="AA313" i="133"/>
  <c r="AA311" i="133"/>
  <c r="AA305" i="133"/>
  <c r="AA292" i="133"/>
  <c r="AA306" i="133"/>
  <c r="AA300" i="133"/>
  <c r="AA317" i="133"/>
  <c r="AA298" i="133"/>
  <c r="AA290" i="133"/>
  <c r="AA304" i="133"/>
  <c r="AA288" i="133"/>
  <c r="AA307" i="133"/>
  <c r="AA284" i="133"/>
  <c r="AA314" i="133"/>
  <c r="AA294" i="133"/>
  <c r="AA280" i="133"/>
  <c r="AA293" i="133"/>
  <c r="AA282" i="133"/>
  <c r="AA279" i="133"/>
  <c r="AA316" i="133"/>
  <c r="AA287" i="133"/>
  <c r="AA301" i="133"/>
  <c r="AA278" i="133"/>
  <c r="AA289" i="133"/>
  <c r="AA308" i="133"/>
  <c r="AA281" i="133"/>
  <c r="Z191" i="133"/>
  <c r="Z332" i="133" s="1"/>
  <c r="AC193" i="135"/>
  <c r="AC199" i="135"/>
  <c r="Y187" i="133"/>
  <c r="Y328" i="133" s="1"/>
  <c r="Y366" i="133" s="1"/>
  <c r="AB189" i="135"/>
  <c r="AB287" i="135" s="1"/>
  <c r="AB300" i="135" s="1"/>
  <c r="Z192" i="133"/>
  <c r="Z333" i="133" s="1"/>
  <c r="AC194" i="135"/>
  <c r="AG3" i="166"/>
  <c r="AG9" i="166"/>
  <c r="AP2" i="166"/>
  <c r="Z183" i="133"/>
  <c r="Z324" i="133" s="1"/>
  <c r="AC185" i="135"/>
  <c r="AA83" i="133"/>
  <c r="AA150" i="133" s="1"/>
  <c r="X66" i="142"/>
  <c r="X20" i="142"/>
  <c r="X111" i="142"/>
  <c r="Z11" i="137"/>
  <c r="Z57" i="137" s="1"/>
  <c r="AK2" i="161"/>
  <c r="AB3" i="161"/>
  <c r="Z31" i="152"/>
  <c r="Z42" i="152" s="1"/>
  <c r="Z35" i="152"/>
  <c r="Z43" i="152" s="1"/>
  <c r="T16" i="137"/>
  <c r="U14" i="145"/>
  <c r="U16" i="137" s="1"/>
  <c r="AA244" i="133"/>
  <c r="Y66" i="142" s="1"/>
  <c r="AA5" i="142"/>
  <c r="AA51" i="142" s="1"/>
  <c r="AA96" i="142" s="1"/>
  <c r="AA141" i="142" s="1"/>
  <c r="AA186" i="142" s="1"/>
  <c r="AC135" i="133"/>
  <c r="AC18" i="152"/>
  <c r="AB82" i="133"/>
  <c r="AB83" i="133" s="1"/>
  <c r="AB150" i="133" s="1"/>
  <c r="AA22" i="152"/>
  <c r="AA26" i="152" s="1"/>
  <c r="AA4" i="144"/>
  <c r="AA18" i="144" s="1"/>
  <c r="AA4" i="145"/>
  <c r="AA11" i="145" s="1"/>
  <c r="AA54" i="145" s="1"/>
  <c r="X151" i="142"/>
  <c r="X106" i="142"/>
  <c r="X15" i="142"/>
  <c r="X61" i="142"/>
  <c r="X101" i="142"/>
  <c r="X146" i="142"/>
  <c r="X10" i="142"/>
  <c r="X56" i="142"/>
  <c r="W101" i="142"/>
  <c r="W138" i="142" s="1"/>
  <c r="W146" i="142"/>
  <c r="W183" i="142" s="1"/>
  <c r="W10" i="142"/>
  <c r="W48" i="142" s="1"/>
  <c r="W56" i="142"/>
  <c r="W93" i="142" s="1"/>
  <c r="V192" i="142"/>
  <c r="V194" i="142" s="1"/>
  <c r="X142" i="142"/>
  <c r="X187" i="142"/>
  <c r="X190" i="142" s="1"/>
  <c r="X97" i="142"/>
  <c r="X6" i="142"/>
  <c r="X52" i="142"/>
  <c r="X105" i="142"/>
  <c r="X150" i="142"/>
  <c r="X14" i="142"/>
  <c r="X60" i="142"/>
  <c r="CD302" i="133"/>
  <c r="CD287" i="133"/>
  <c r="CD288" i="133"/>
  <c r="CD301" i="133"/>
  <c r="CD283" i="133"/>
  <c r="CD300" i="133"/>
  <c r="CD315" i="133"/>
  <c r="CD280" i="133"/>
  <c r="CD296" i="133"/>
  <c r="CD308" i="133"/>
  <c r="CD279" i="133"/>
  <c r="CD295" i="133"/>
  <c r="CD304" i="133"/>
  <c r="CD303" i="133"/>
  <c r="CD285" i="133"/>
  <c r="CD313" i="133"/>
  <c r="CD318" i="133"/>
  <c r="CD284" i="133"/>
  <c r="CD289" i="133"/>
  <c r="CD297" i="133"/>
  <c r="CD299" i="133"/>
  <c r="CD291" i="133"/>
  <c r="CD290" i="133"/>
  <c r="CD294" i="133"/>
  <c r="CD281" i="133"/>
  <c r="CD286" i="133"/>
  <c r="CD278" i="133"/>
  <c r="CD293" i="133"/>
  <c r="CD310" i="133"/>
  <c r="CD312" i="133"/>
  <c r="CD277" i="133"/>
  <c r="CD314" i="133"/>
  <c r="CD306" i="133"/>
  <c r="CD316" i="133"/>
  <c r="CD282" i="133"/>
  <c r="CD292" i="133"/>
  <c r="CD319" i="133"/>
  <c r="CD309" i="133"/>
  <c r="CD317" i="133"/>
  <c r="CD311" i="133"/>
  <c r="CD305" i="133"/>
  <c r="CD298" i="133"/>
  <c r="CD307" i="133"/>
  <c r="AA51" i="133"/>
  <c r="AA144" i="133" s="1"/>
  <c r="AA238" i="133"/>
  <c r="Z187" i="133"/>
  <c r="Z328" i="133" s="1"/>
  <c r="AA13" i="133"/>
  <c r="AA136" i="133" s="1"/>
  <c r="AA230" i="133"/>
  <c r="AA32" i="133"/>
  <c r="AA140" i="133" s="1"/>
  <c r="AA234" i="133"/>
  <c r="AA57" i="133"/>
  <c r="AA145" i="133" s="1"/>
  <c r="AA239" i="133"/>
  <c r="AB55" i="133"/>
  <c r="AB56" i="133" s="1"/>
  <c r="AB50" i="133"/>
  <c r="AB12" i="133"/>
  <c r="AC10" i="133"/>
  <c r="AK3" i="136"/>
  <c r="AJ9" i="136"/>
  <c r="AJ29" i="136" s="1"/>
  <c r="AA10" i="136"/>
  <c r="AA30" i="136" s="1"/>
  <c r="AA4" i="137"/>
  <c r="AC5" i="133"/>
  <c r="AA7" i="130"/>
  <c r="D7" i="130" s="1"/>
  <c r="Z20" i="144" l="1"/>
  <c r="Z23" i="144" s="1"/>
  <c r="Z24" i="144" s="1"/>
  <c r="AA67" i="145"/>
  <c r="D67" i="145" s="1"/>
  <c r="AA74" i="137"/>
  <c r="Y24" i="144"/>
  <c r="AA17" i="144"/>
  <c r="AA19" i="144"/>
  <c r="D19" i="144" s="1"/>
  <c r="AA12" i="144"/>
  <c r="AA16" i="144"/>
  <c r="D18" i="144"/>
  <c r="AA49" i="152"/>
  <c r="AE157" i="135" s="1" a="1"/>
  <c r="AE157" i="135" s="1"/>
  <c r="AE285" i="135" s="1"/>
  <c r="X23" i="176"/>
  <c r="W6" i="167" s="1"/>
  <c r="AC182" i="133"/>
  <c r="AC229" i="133" s="1"/>
  <c r="AC276" i="133" s="1"/>
  <c r="CF305" i="133" s="1"/>
  <c r="AA132" i="133"/>
  <c r="V20" i="149"/>
  <c r="Y22" i="176"/>
  <c r="U6" i="167"/>
  <c r="V24" i="146"/>
  <c r="Y22" i="173" s="1"/>
  <c r="AB39" i="152"/>
  <c r="AB49" i="152" s="1"/>
  <c r="AF157" i="135" s="1" a="1"/>
  <c r="AF157" i="135" s="1"/>
  <c r="AF285" i="135" s="1"/>
  <c r="AC30" i="133"/>
  <c r="AC31" i="133" s="1"/>
  <c r="AC234" i="133" s="1"/>
  <c r="AC287" i="166"/>
  <c r="AC300" i="166" s="1"/>
  <c r="AB287" i="166"/>
  <c r="AB300" i="166" s="1"/>
  <c r="AC287" i="135"/>
  <c r="AC300" i="135" s="1"/>
  <c r="W15" i="146"/>
  <c r="Z13" i="173" s="1"/>
  <c r="W11" i="149"/>
  <c r="W59" i="145"/>
  <c r="W58" i="145"/>
  <c r="W63" i="137" s="1"/>
  <c r="W57" i="145"/>
  <c r="W62" i="137" s="1"/>
  <c r="W56" i="145"/>
  <c r="W61" i="137" s="1"/>
  <c r="Y13" i="176"/>
  <c r="AM239" i="166"/>
  <c r="AM266" i="166" s="1"/>
  <c r="AF3" i="176"/>
  <c r="AF40" i="176" s="1"/>
  <c r="AF118" i="176" s="1"/>
  <c r="AF196" i="176" s="1"/>
  <c r="AF231" i="176" s="1"/>
  <c r="AF266" i="176" s="1"/>
  <c r="AF301" i="176" s="1"/>
  <c r="AF336" i="176" s="1"/>
  <c r="AF371" i="176" s="1"/>
  <c r="AF406" i="176" s="1"/>
  <c r="AF441" i="176" s="1"/>
  <c r="AF476" i="176" s="1"/>
  <c r="AF511" i="176" s="1"/>
  <c r="AF546" i="176" s="1"/>
  <c r="AF581" i="176" s="1"/>
  <c r="D12" i="21"/>
  <c r="AM240" i="166"/>
  <c r="AM267" i="166" s="1"/>
  <c r="AC5" i="179"/>
  <c r="AD193" i="166"/>
  <c r="AD185" i="166"/>
  <c r="AM231" i="166"/>
  <c r="AM258" i="166" s="1"/>
  <c r="AD199" i="166"/>
  <c r="AL249" i="166"/>
  <c r="AL276" i="166" s="1"/>
  <c r="AM236" i="166"/>
  <c r="AM263" i="166" s="1"/>
  <c r="AM246" i="166"/>
  <c r="AM273" i="166" s="1"/>
  <c r="AM245" i="166"/>
  <c r="AM272" i="166" s="1"/>
  <c r="AM250" i="166"/>
  <c r="AM277" i="166" s="1"/>
  <c r="AM252" i="166"/>
  <c r="AM279" i="166" s="1"/>
  <c r="AM243" i="166"/>
  <c r="AM270" i="166" s="1"/>
  <c r="AM233" i="166"/>
  <c r="AM260" i="166" s="1"/>
  <c r="AM248" i="166"/>
  <c r="AM275" i="166" s="1"/>
  <c r="AM232" i="166"/>
  <c r="AM259" i="166" s="1"/>
  <c r="AM237" i="166"/>
  <c r="AM264" i="166" s="1"/>
  <c r="AM244" i="166"/>
  <c r="AM271" i="166" s="1"/>
  <c r="AM238" i="166"/>
  <c r="AM265" i="166" s="1"/>
  <c r="AM242" i="166"/>
  <c r="AM269" i="166" s="1"/>
  <c r="W23" i="173"/>
  <c r="V6" i="154" s="1"/>
  <c r="U24" i="136"/>
  <c r="U26" i="136" s="1"/>
  <c r="AD194" i="166"/>
  <c r="AD189" i="166"/>
  <c r="U26" i="146"/>
  <c r="V15" i="136"/>
  <c r="AN1" i="167"/>
  <c r="AE2" i="167"/>
  <c r="C25" i="167" s="1" a="1"/>
  <c r="C25" i="167" s="1"/>
  <c r="C25" i="154" a="1"/>
  <c r="C25" i="154" s="1"/>
  <c r="AL232" i="166"/>
  <c r="AL259" i="166" s="1"/>
  <c r="AL239" i="166"/>
  <c r="AL266" i="166" s="1"/>
  <c r="AL242" i="166"/>
  <c r="AL269" i="166" s="1"/>
  <c r="AL235" i="166"/>
  <c r="AL262" i="166" s="1"/>
  <c r="AL238" i="166"/>
  <c r="AL265" i="166" s="1"/>
  <c r="AL243" i="166"/>
  <c r="AL270" i="166" s="1"/>
  <c r="AL237" i="166"/>
  <c r="AL264" i="166" s="1"/>
  <c r="AL230" i="166"/>
  <c r="AL236" i="166"/>
  <c r="AL263" i="166" s="1"/>
  <c r="AL233" i="166"/>
  <c r="AL260" i="166" s="1"/>
  <c r="AL251" i="166"/>
  <c r="AL278" i="166" s="1"/>
  <c r="AL247" i="166"/>
  <c r="AL274" i="166" s="1"/>
  <c r="AL241" i="166"/>
  <c r="AL268" i="166" s="1"/>
  <c r="AL234" i="166"/>
  <c r="AL261" i="166" s="1"/>
  <c r="CE286" i="133"/>
  <c r="AB297" i="133"/>
  <c r="AB391" i="133" s="1"/>
  <c r="AB308" i="133"/>
  <c r="AB402" i="133" s="1"/>
  <c r="AB296" i="133"/>
  <c r="AB390" i="133" s="1"/>
  <c r="AB315" i="133"/>
  <c r="AB409" i="133" s="1"/>
  <c r="AB303" i="133"/>
  <c r="AB397" i="133" s="1"/>
  <c r="AB283" i="133"/>
  <c r="AB377" i="133" s="1"/>
  <c r="AB287" i="133"/>
  <c r="AB381" i="133" s="1"/>
  <c r="AB295" i="133"/>
  <c r="AB389" i="133" s="1"/>
  <c r="AB318" i="133"/>
  <c r="AB412" i="133" s="1"/>
  <c r="AB312" i="133"/>
  <c r="AB406" i="133" s="1"/>
  <c r="AB299" i="133"/>
  <c r="AB309" i="133"/>
  <c r="AB403" i="133" s="1"/>
  <c r="AB306" i="133"/>
  <c r="AB400" i="133" s="1"/>
  <c r="AB292" i="133"/>
  <c r="AB386" i="133" s="1"/>
  <c r="AB310" i="133"/>
  <c r="AB404" i="133" s="1"/>
  <c r="AB291" i="133"/>
  <c r="AB385" i="133" s="1"/>
  <c r="AB278" i="133"/>
  <c r="AB372" i="133" s="1"/>
  <c r="AB301" i="133"/>
  <c r="AB311" i="133"/>
  <c r="AB405" i="133" s="1"/>
  <c r="AB305" i="133"/>
  <c r="AB399" i="133" s="1"/>
  <c r="AB313" i="133"/>
  <c r="AB407" i="133" s="1"/>
  <c r="AB281" i="133"/>
  <c r="AB375" i="133" s="1"/>
  <c r="AB317" i="133"/>
  <c r="AB411" i="133" s="1"/>
  <c r="AB298" i="133"/>
  <c r="AB290" i="133"/>
  <c r="AB384" i="133" s="1"/>
  <c r="AB304" i="133"/>
  <c r="AB398" i="133" s="1"/>
  <c r="AB288" i="133"/>
  <c r="AB382" i="133" s="1"/>
  <c r="AB279" i="133"/>
  <c r="AB373" i="133" s="1"/>
  <c r="AB302" i="133"/>
  <c r="AB396" i="133" s="1"/>
  <c r="AB314" i="133"/>
  <c r="AB408" i="133" s="1"/>
  <c r="AB294" i="133"/>
  <c r="AB388" i="133" s="1"/>
  <c r="AB280" i="133"/>
  <c r="AB374" i="133" s="1"/>
  <c r="AB277" i="133"/>
  <c r="AB371" i="133" s="1"/>
  <c r="AB307" i="133"/>
  <c r="AB401" i="133" s="1"/>
  <c r="AB300" i="133"/>
  <c r="AB285" i="133"/>
  <c r="AB379" i="133" s="1"/>
  <c r="AB282" i="133"/>
  <c r="AB376" i="133" s="1"/>
  <c r="AB284" i="133"/>
  <c r="AB378" i="133" s="1"/>
  <c r="AB316" i="133"/>
  <c r="AB410" i="133" s="1"/>
  <c r="AB293" i="133"/>
  <c r="AB387" i="133" s="1"/>
  <c r="AB286" i="133"/>
  <c r="AB380" i="133" s="1"/>
  <c r="AB289" i="133"/>
  <c r="AB383" i="133" s="1"/>
  <c r="AA400" i="133"/>
  <c r="CE282" i="133"/>
  <c r="CE293" i="133"/>
  <c r="CE306" i="133"/>
  <c r="CE277" i="133"/>
  <c r="CE312" i="133"/>
  <c r="CE302" i="133"/>
  <c r="CE299" i="133"/>
  <c r="CE289" i="133"/>
  <c r="CE300" i="133"/>
  <c r="CE310" i="133"/>
  <c r="CE318" i="133"/>
  <c r="CE291" i="133"/>
  <c r="CE316" i="133"/>
  <c r="CE278" i="133"/>
  <c r="AB323" i="133"/>
  <c r="AB370" i="133" s="1"/>
  <c r="CE285" i="133"/>
  <c r="AA410" i="133"/>
  <c r="CE281" i="133"/>
  <c r="CE296" i="133"/>
  <c r="CE292" i="133"/>
  <c r="CE307" i="133"/>
  <c r="CE298" i="133"/>
  <c r="CE283" i="133"/>
  <c r="CE313" i="133"/>
  <c r="CE304" i="133"/>
  <c r="CE276" i="133"/>
  <c r="CE305" i="133"/>
  <c r="CE311" i="133"/>
  <c r="CE319" i="133"/>
  <c r="CE284" i="133"/>
  <c r="CE309" i="133"/>
  <c r="CE287" i="133"/>
  <c r="CE295" i="133"/>
  <c r="CE290" i="133"/>
  <c r="CE303" i="133"/>
  <c r="CE308" i="133"/>
  <c r="CE288" i="133"/>
  <c r="CE280" i="133"/>
  <c r="CE315" i="133"/>
  <c r="CE294" i="133"/>
  <c r="CE317" i="133"/>
  <c r="CE279" i="133"/>
  <c r="CE297" i="133"/>
  <c r="CE301" i="133"/>
  <c r="AA192" i="133"/>
  <c r="AA333" i="133" s="1"/>
  <c r="AD194" i="135"/>
  <c r="AA187" i="133"/>
  <c r="AA328" i="133" s="1"/>
  <c r="AD189" i="135"/>
  <c r="AA197" i="133"/>
  <c r="AA338" i="133" s="1"/>
  <c r="AD199" i="135"/>
  <c r="AA191" i="133"/>
  <c r="AA332" i="133" s="1"/>
  <c r="AD193" i="135"/>
  <c r="AA183" i="133"/>
  <c r="AA324" i="133" s="1"/>
  <c r="AD185" i="135"/>
  <c r="Z366" i="133"/>
  <c r="AH3" i="166"/>
  <c r="AH9" i="166"/>
  <c r="AQ2" i="166"/>
  <c r="AB132" i="133"/>
  <c r="Y156" i="142"/>
  <c r="AC3" i="161"/>
  <c r="Y20" i="142"/>
  <c r="AA11" i="137"/>
  <c r="AA57" i="137" s="1"/>
  <c r="AL2" i="161"/>
  <c r="Y111" i="142"/>
  <c r="AA31" i="152"/>
  <c r="AA42" i="152" s="1"/>
  <c r="AA35" i="152"/>
  <c r="AA43" i="152" s="1"/>
  <c r="AB244" i="133"/>
  <c r="Z111" i="142" s="1"/>
  <c r="V16" i="145"/>
  <c r="V18" i="137" s="1"/>
  <c r="V14" i="145"/>
  <c r="V16" i="137" s="1"/>
  <c r="V13" i="145"/>
  <c r="V15" i="145"/>
  <c r="V17" i="137" s="1"/>
  <c r="AB5" i="142"/>
  <c r="AB51" i="142" s="1"/>
  <c r="AB96" i="142" s="1"/>
  <c r="AB141" i="142" s="1"/>
  <c r="AB186" i="142" s="1"/>
  <c r="AD18" i="152"/>
  <c r="AC82" i="133"/>
  <c r="AB22" i="152"/>
  <c r="AB26" i="152" s="1"/>
  <c r="Y142" i="142"/>
  <c r="Y187" i="142"/>
  <c r="Y190" i="142" s="1"/>
  <c r="Y97" i="142"/>
  <c r="Y6" i="142"/>
  <c r="Y52" i="142"/>
  <c r="X93" i="142"/>
  <c r="AA389" i="133"/>
  <c r="AA401" i="133"/>
  <c r="AA380" i="133"/>
  <c r="AA381" i="133"/>
  <c r="AA395" i="133"/>
  <c r="AA390" i="133"/>
  <c r="AA382" i="133"/>
  <c r="AA378" i="133"/>
  <c r="AA411" i="133"/>
  <c r="AA403" i="133"/>
  <c r="AA372" i="133"/>
  <c r="AA388" i="133"/>
  <c r="AA396" i="133"/>
  <c r="AA409" i="133"/>
  <c r="AA408" i="133"/>
  <c r="AA376" i="133"/>
  <c r="AA404" i="133"/>
  <c r="AA387" i="133"/>
  <c r="AA379" i="133"/>
  <c r="AA386" i="133"/>
  <c r="AA394" i="133"/>
  <c r="AA383" i="133"/>
  <c r="AA407" i="133"/>
  <c r="AA375" i="133"/>
  <c r="AA385" i="133"/>
  <c r="AA393" i="133"/>
  <c r="AA405" i="133"/>
  <c r="AA373" i="133"/>
  <c r="AA391" i="133"/>
  <c r="AA412" i="133"/>
  <c r="AA406" i="133"/>
  <c r="AA374" i="133"/>
  <c r="AA371" i="133"/>
  <c r="AA384" i="133"/>
  <c r="AA392" i="133"/>
  <c r="AA402" i="133"/>
  <c r="AA377" i="133"/>
  <c r="Y150" i="142"/>
  <c r="Y105" i="142"/>
  <c r="Y14" i="142"/>
  <c r="Y60" i="142"/>
  <c r="X138" i="142"/>
  <c r="X48" i="142"/>
  <c r="W192" i="142"/>
  <c r="W194" i="142" s="1"/>
  <c r="Y101" i="142"/>
  <c r="Y146" i="142"/>
  <c r="Y10" i="142"/>
  <c r="Y56" i="142"/>
  <c r="X183" i="142"/>
  <c r="Y106" i="142"/>
  <c r="Y151" i="142"/>
  <c r="Y15" i="142"/>
  <c r="Y61" i="142"/>
  <c r="AB32" i="133"/>
  <c r="AB140" i="133" s="1"/>
  <c r="AB234" i="133"/>
  <c r="AB51" i="133"/>
  <c r="AB144" i="133" s="1"/>
  <c r="AB238" i="133"/>
  <c r="AB13" i="133"/>
  <c r="AB136" i="133" s="1"/>
  <c r="AB230" i="133"/>
  <c r="AB57" i="133"/>
  <c r="AB145" i="133" s="1"/>
  <c r="AB239" i="133"/>
  <c r="AC55" i="133"/>
  <c r="AC56" i="133" s="1"/>
  <c r="AC50" i="133"/>
  <c r="AC12" i="133"/>
  <c r="AK9" i="136"/>
  <c r="AK29" i="136" s="1"/>
  <c r="AL3" i="136"/>
  <c r="D4" i="130"/>
  <c r="AA24" i="145" l="1"/>
  <c r="D24" i="145" s="1"/>
  <c r="Z13" i="176"/>
  <c r="W18" i="149"/>
  <c r="Z22" i="176" s="1"/>
  <c r="D174" i="21"/>
  <c r="D175" i="21" s="1"/>
  <c r="G35" i="153" s="1"/>
  <c r="G83" i="145" s="1"/>
  <c r="O80" i="141"/>
  <c r="AA28" i="137"/>
  <c r="D28" i="137" s="1"/>
  <c r="D74" i="137"/>
  <c r="W16" i="145"/>
  <c r="W64" i="137"/>
  <c r="W18" i="137" s="1"/>
  <c r="AA20" i="144"/>
  <c r="D17" i="144"/>
  <c r="H35" i="153"/>
  <c r="H83" i="145" s="1"/>
  <c r="AB44" i="152"/>
  <c r="W13" i="145"/>
  <c r="W15" i="137" s="1"/>
  <c r="AC39" i="152"/>
  <c r="AC44" i="152" s="1"/>
  <c r="W24" i="146"/>
  <c r="Z22" i="173" s="1"/>
  <c r="AD287" i="166"/>
  <c r="AD300" i="166" s="1"/>
  <c r="AD287" i="135"/>
  <c r="AD300" i="135" s="1"/>
  <c r="X15" i="146"/>
  <c r="AA13" i="173" s="1"/>
  <c r="X11" i="149"/>
  <c r="X59" i="145"/>
  <c r="X64" i="137" s="1"/>
  <c r="X56" i="145"/>
  <c r="X61" i="137" s="1"/>
  <c r="X58" i="145"/>
  <c r="X63" i="137" s="1"/>
  <c r="W15" i="145"/>
  <c r="W17" i="137" s="1"/>
  <c r="X57" i="145"/>
  <c r="X62" i="137" s="1"/>
  <c r="F107" i="173"/>
  <c r="F47" i="173"/>
  <c r="Y23" i="176"/>
  <c r="V15" i="137"/>
  <c r="AD5" i="179"/>
  <c r="AE185" i="166"/>
  <c r="AE193" i="166"/>
  <c r="AK241" i="166"/>
  <c r="AK268" i="166" s="1"/>
  <c r="AE199" i="166"/>
  <c r="AK245" i="166"/>
  <c r="AK272" i="166" s="1"/>
  <c r="AK238" i="166"/>
  <c r="AK265" i="166" s="1"/>
  <c r="AK236" i="166"/>
  <c r="AK263" i="166" s="1"/>
  <c r="AK235" i="166"/>
  <c r="AK262" i="166" s="1"/>
  <c r="X23" i="173"/>
  <c r="W6" i="154" s="1"/>
  <c r="V24" i="136"/>
  <c r="V26" i="136" s="1"/>
  <c r="V26" i="146"/>
  <c r="AK231" i="166"/>
  <c r="AK258" i="166" s="1"/>
  <c r="AK251" i="166"/>
  <c r="AK278" i="166" s="1"/>
  <c r="AK252" i="166"/>
  <c r="AK279" i="166" s="1"/>
  <c r="AK243" i="166"/>
  <c r="AK270" i="166" s="1"/>
  <c r="AK246" i="166"/>
  <c r="AK273" i="166" s="1"/>
  <c r="AK244" i="166"/>
  <c r="AK271" i="166" s="1"/>
  <c r="AK232" i="166"/>
  <c r="AK259" i="166" s="1"/>
  <c r="AK249" i="166"/>
  <c r="AK276" i="166" s="1"/>
  <c r="AK242" i="166"/>
  <c r="AK269" i="166" s="1"/>
  <c r="AK250" i="166"/>
  <c r="AK277" i="166" s="1"/>
  <c r="AK240" i="166"/>
  <c r="AK267" i="166" s="1"/>
  <c r="AK230" i="166"/>
  <c r="AE194" i="166"/>
  <c r="AE189" i="166"/>
  <c r="CF279" i="133"/>
  <c r="CF298" i="133"/>
  <c r="AO1" i="167"/>
  <c r="AL257" i="166"/>
  <c r="Z156" i="142"/>
  <c r="CF280" i="133"/>
  <c r="AC308" i="133"/>
  <c r="AC287" i="133"/>
  <c r="AC381" i="133" s="1"/>
  <c r="AC315" i="133"/>
  <c r="AC409" i="133" s="1"/>
  <c r="AC303" i="133"/>
  <c r="AC397" i="133" s="1"/>
  <c r="AC283" i="133"/>
  <c r="AC377" i="133" s="1"/>
  <c r="AC290" i="133"/>
  <c r="AC384" i="133" s="1"/>
  <c r="AC310" i="133"/>
  <c r="AC404" i="133" s="1"/>
  <c r="AC292" i="133"/>
  <c r="AC386" i="133" s="1"/>
  <c r="AC282" i="133"/>
  <c r="AC376" i="133" s="1"/>
  <c r="AC314" i="133"/>
  <c r="AC408" i="133" s="1"/>
  <c r="AC306" i="133"/>
  <c r="AC400" i="133" s="1"/>
  <c r="AC297" i="133"/>
  <c r="AC391" i="133" s="1"/>
  <c r="AC295" i="133"/>
  <c r="AC389" i="133" s="1"/>
  <c r="AC318" i="133"/>
  <c r="AC412" i="133" s="1"/>
  <c r="AC312" i="133"/>
  <c r="AC299" i="133"/>
  <c r="AC393" i="133" s="1"/>
  <c r="AC309" i="133"/>
  <c r="AC288" i="133"/>
  <c r="AC382" i="133" s="1"/>
  <c r="AC284" i="133"/>
  <c r="AC378" i="133" s="1"/>
  <c r="AC280" i="133"/>
  <c r="AC374" i="133" s="1"/>
  <c r="AC278" i="133"/>
  <c r="AC372" i="133" s="1"/>
  <c r="AC286" i="133"/>
  <c r="AC380" i="133" s="1"/>
  <c r="AC301" i="133"/>
  <c r="AC395" i="133" s="1"/>
  <c r="AC281" i="133"/>
  <c r="AC375" i="133" s="1"/>
  <c r="AC313" i="133"/>
  <c r="AC407" i="133" s="1"/>
  <c r="AC294" i="133"/>
  <c r="AC388" i="133" s="1"/>
  <c r="AC304" i="133"/>
  <c r="AC398" i="133" s="1"/>
  <c r="AC296" i="133"/>
  <c r="AC390" i="133" s="1"/>
  <c r="AC302" i="133"/>
  <c r="AC396" i="133" s="1"/>
  <c r="AC279" i="133"/>
  <c r="AC373" i="133" s="1"/>
  <c r="AC277" i="133"/>
  <c r="AC371" i="133" s="1"/>
  <c r="AC317" i="133"/>
  <c r="AC411" i="133" s="1"/>
  <c r="AC307" i="133"/>
  <c r="AC401" i="133" s="1"/>
  <c r="AC300" i="133"/>
  <c r="AC394" i="133" s="1"/>
  <c r="AC291" i="133"/>
  <c r="AC385" i="133" s="1"/>
  <c r="AC285" i="133"/>
  <c r="AC379" i="133" s="1"/>
  <c r="AC316" i="133"/>
  <c r="AC410" i="133" s="1"/>
  <c r="AC293" i="133"/>
  <c r="AC387" i="133" s="1"/>
  <c r="AC305" i="133"/>
  <c r="AC399" i="133" s="1"/>
  <c r="AC311" i="133"/>
  <c r="AC298" i="133"/>
  <c r="AC392" i="133" s="1"/>
  <c r="AC289" i="133"/>
  <c r="AC383" i="133" s="1"/>
  <c r="CF312" i="133"/>
  <c r="CF291" i="133"/>
  <c r="CF301" i="133"/>
  <c r="CF303" i="133"/>
  <c r="CF283" i="133"/>
  <c r="CF309" i="133"/>
  <c r="CF277" i="133"/>
  <c r="CF293" i="133"/>
  <c r="CF316" i="133"/>
  <c r="CF289" i="133"/>
  <c r="CF294" i="133"/>
  <c r="CF297" i="133"/>
  <c r="CF284" i="133"/>
  <c r="CF310" i="133"/>
  <c r="CF315" i="133"/>
  <c r="AC323" i="133"/>
  <c r="AC370" i="133" s="1"/>
  <c r="CF319" i="133"/>
  <c r="CF282" i="133"/>
  <c r="CF276" i="133"/>
  <c r="CF313" i="133"/>
  <c r="CF302" i="133"/>
  <c r="CF286" i="133"/>
  <c r="CF285" i="133"/>
  <c r="CF300" i="133"/>
  <c r="CF311" i="133"/>
  <c r="CF317" i="133"/>
  <c r="CF307" i="133"/>
  <c r="CF318" i="133"/>
  <c r="CF295" i="133"/>
  <c r="CF290" i="133"/>
  <c r="CF304" i="133"/>
  <c r="CF278" i="133"/>
  <c r="CF314" i="133"/>
  <c r="CF296" i="133"/>
  <c r="CF306" i="133"/>
  <c r="CF288" i="133"/>
  <c r="CF299" i="133"/>
  <c r="CF292" i="133"/>
  <c r="CF308" i="133"/>
  <c r="CF287" i="133"/>
  <c r="CF281" i="133"/>
  <c r="CG280" i="133"/>
  <c r="W15" i="136"/>
  <c r="W405" i="133"/>
  <c r="Z400" i="133"/>
  <c r="AA399" i="133"/>
  <c r="AA366" i="133"/>
  <c r="AB192" i="133"/>
  <c r="AB333" i="133" s="1"/>
  <c r="AE194" i="135"/>
  <c r="AR2" i="166"/>
  <c r="AB197" i="133"/>
  <c r="AB338" i="133" s="1"/>
  <c r="AE199" i="135"/>
  <c r="AB191" i="133"/>
  <c r="AB332" i="133" s="1"/>
  <c r="AE193" i="135"/>
  <c r="AB187" i="133"/>
  <c r="AB328" i="133" s="1"/>
  <c r="AE189" i="135"/>
  <c r="AB183" i="133"/>
  <c r="AB324" i="133" s="1"/>
  <c r="AE185" i="135"/>
  <c r="AC244" i="133"/>
  <c r="AA111" i="142" s="1"/>
  <c r="AC83" i="133"/>
  <c r="AC150" i="133" s="1"/>
  <c r="Z66" i="142"/>
  <c r="Z20" i="142"/>
  <c r="AM2" i="161"/>
  <c r="AB31" i="152"/>
  <c r="AB42" i="152" s="1"/>
  <c r="AB35" i="152"/>
  <c r="AB43" i="152" s="1"/>
  <c r="W14" i="145"/>
  <c r="W16" i="137" s="1"/>
  <c r="AC5" i="142"/>
  <c r="AC51" i="142" s="1"/>
  <c r="AC96" i="142" s="1"/>
  <c r="AC141" i="142" s="1"/>
  <c r="AC186" i="142" s="1"/>
  <c r="AC22" i="152"/>
  <c r="AC26" i="152" s="1"/>
  <c r="X192" i="142"/>
  <c r="X194" i="142" s="1"/>
  <c r="AA101" i="142"/>
  <c r="AA146" i="142"/>
  <c r="AA10" i="142"/>
  <c r="AA56" i="142"/>
  <c r="Y138" i="142"/>
  <c r="Z142" i="142"/>
  <c r="Z187" i="142"/>
  <c r="Z190" i="142" s="1"/>
  <c r="Z97" i="142"/>
  <c r="Z6" i="142"/>
  <c r="Z52" i="142"/>
  <c r="Y93" i="142"/>
  <c r="Y48" i="142"/>
  <c r="Y183" i="142"/>
  <c r="Z105" i="142"/>
  <c r="Z150" i="142"/>
  <c r="Z14" i="142"/>
  <c r="Z60" i="142"/>
  <c r="Z151" i="142"/>
  <c r="Z106" i="142"/>
  <c r="Z15" i="142"/>
  <c r="Z61" i="142"/>
  <c r="Z101" i="142"/>
  <c r="Z146" i="142"/>
  <c r="Z10" i="142"/>
  <c r="Z56" i="142"/>
  <c r="AC13" i="133"/>
  <c r="AC136" i="133" s="1"/>
  <c r="AC230" i="133"/>
  <c r="AC51" i="133"/>
  <c r="AC144" i="133" s="1"/>
  <c r="AC238" i="133"/>
  <c r="AC57" i="133"/>
  <c r="AC145" i="133" s="1"/>
  <c r="AC239" i="133"/>
  <c r="AC32" i="133"/>
  <c r="AC140" i="133" s="1"/>
  <c r="AL9" i="136"/>
  <c r="AL29" i="136" s="1"/>
  <c r="AM3" i="136"/>
  <c r="D23" i="144" l="1"/>
  <c r="D24" i="144" s="1"/>
  <c r="G40" i="145"/>
  <c r="G90" i="137"/>
  <c r="G44" i="137" s="1"/>
  <c r="Z23" i="176"/>
  <c r="Y6" i="167" s="1"/>
  <c r="D18" i="183"/>
  <c r="G18" i="183" s="1"/>
  <c r="F19" i="183" s="1"/>
  <c r="S14" i="21"/>
  <c r="L136" i="21" s="1"/>
  <c r="L140" i="21" s="1"/>
  <c r="AA13" i="176"/>
  <c r="X18" i="149"/>
  <c r="AA23" i="144"/>
  <c r="D20" i="144"/>
  <c r="H90" i="137"/>
  <c r="H44" i="137" s="1"/>
  <c r="H40" i="145"/>
  <c r="I35" i="153"/>
  <c r="AC49" i="152"/>
  <c r="G306" i="133"/>
  <c r="AC132" i="133"/>
  <c r="X13" i="145"/>
  <c r="X15" i="137" s="1"/>
  <c r="W20" i="149"/>
  <c r="X6" i="167"/>
  <c r="X24" i="146"/>
  <c r="AA22" i="173" s="1"/>
  <c r="AD39" i="152"/>
  <c r="AD49" i="152" s="1"/>
  <c r="E30" i="133"/>
  <c r="AE287" i="135"/>
  <c r="AE300" i="135" s="1"/>
  <c r="AE287" i="166"/>
  <c r="AE300" i="166" s="1"/>
  <c r="Y15" i="146"/>
  <c r="AB13" i="173" s="1"/>
  <c r="Y11" i="149"/>
  <c r="Y18" i="149" s="1"/>
  <c r="Y58" i="145"/>
  <c r="Y63" i="137" s="1"/>
  <c r="Y59" i="145"/>
  <c r="Y64" i="137" s="1"/>
  <c r="Y56" i="145"/>
  <c r="Y57" i="145"/>
  <c r="Y62" i="137" s="1"/>
  <c r="AK257" i="166"/>
  <c r="AF185" i="166"/>
  <c r="AF193" i="166"/>
  <c r="AF199" i="166"/>
  <c r="AJ241" i="166"/>
  <c r="AJ268" i="166" s="1"/>
  <c r="Y23" i="173"/>
  <c r="X6" i="154" s="1"/>
  <c r="W24" i="136"/>
  <c r="W26" i="136" s="1"/>
  <c r="AF194" i="166"/>
  <c r="AF189" i="166"/>
  <c r="AJ242" i="166"/>
  <c r="AJ269" i="166" s="1"/>
  <c r="W26" i="146"/>
  <c r="AP1" i="167"/>
  <c r="CG298" i="133"/>
  <c r="CG307" i="133"/>
  <c r="CG282" i="133"/>
  <c r="CG294" i="133"/>
  <c r="CG279" i="133"/>
  <c r="CG311" i="133"/>
  <c r="X391" i="133"/>
  <c r="CG308" i="133"/>
  <c r="CG288" i="133"/>
  <c r="CG315" i="133"/>
  <c r="CG317" i="133"/>
  <c r="CG296" i="133"/>
  <c r="CG276" i="133"/>
  <c r="CG283" i="133"/>
  <c r="CG309" i="133"/>
  <c r="CG305" i="133"/>
  <c r="CG314" i="133"/>
  <c r="CG310" i="133"/>
  <c r="P388" i="133"/>
  <c r="Q412" i="133"/>
  <c r="Q378" i="133"/>
  <c r="S383" i="133"/>
  <c r="Q411" i="133"/>
  <c r="Q376" i="133"/>
  <c r="P371" i="133"/>
  <c r="P380" i="133"/>
  <c r="Q375" i="133"/>
  <c r="P372" i="133"/>
  <c r="Q382" i="133"/>
  <c r="Q389" i="133"/>
  <c r="Q386" i="133"/>
  <c r="P373" i="133"/>
  <c r="P409" i="133"/>
  <c r="P410" i="133"/>
  <c r="Q377" i="133"/>
  <c r="R379" i="133"/>
  <c r="Q374" i="133"/>
  <c r="Q384" i="133"/>
  <c r="U381" i="133"/>
  <c r="T404" i="133"/>
  <c r="S387" i="133"/>
  <c r="S390" i="133"/>
  <c r="S385" i="133"/>
  <c r="V408" i="133"/>
  <c r="U396" i="133"/>
  <c r="CG289" i="133"/>
  <c r="CG281" i="133"/>
  <c r="CG302" i="133"/>
  <c r="Y397" i="133"/>
  <c r="Y398" i="133"/>
  <c r="W392" i="133"/>
  <c r="CG286" i="133"/>
  <c r="Y399" i="133"/>
  <c r="AC402" i="133"/>
  <c r="CG290" i="133"/>
  <c r="AC403" i="133"/>
  <c r="CG287" i="133"/>
  <c r="CG316" i="133"/>
  <c r="AC406" i="133"/>
  <c r="AB395" i="133"/>
  <c r="CG297" i="133"/>
  <c r="CG319" i="133"/>
  <c r="CG304" i="133"/>
  <c r="AB392" i="133"/>
  <c r="CG312" i="133"/>
  <c r="CG285" i="133"/>
  <c r="CG284" i="133"/>
  <c r="CG293" i="133"/>
  <c r="CG318" i="133"/>
  <c r="CG306" i="133"/>
  <c r="CG313" i="133"/>
  <c r="CG278" i="133"/>
  <c r="CG303" i="133"/>
  <c r="AB393" i="133"/>
  <c r="CG299" i="133"/>
  <c r="CG291" i="133"/>
  <c r="CG300" i="133"/>
  <c r="CG301" i="133"/>
  <c r="X400" i="133"/>
  <c r="CG292" i="133"/>
  <c r="CG277" i="133"/>
  <c r="CG295" i="133"/>
  <c r="X15" i="136"/>
  <c r="AC405" i="133"/>
  <c r="AB394" i="133"/>
  <c r="K406" i="133"/>
  <c r="K373" i="133"/>
  <c r="M395" i="133"/>
  <c r="L393" i="133"/>
  <c r="K402" i="133"/>
  <c r="M406" i="133"/>
  <c r="K388" i="133"/>
  <c r="K374" i="133"/>
  <c r="M403" i="133"/>
  <c r="M383" i="133"/>
  <c r="K395" i="133"/>
  <c r="M392" i="133"/>
  <c r="L399" i="133"/>
  <c r="K397" i="133"/>
  <c r="K396" i="133"/>
  <c r="K411" i="133"/>
  <c r="L388" i="133"/>
  <c r="L379" i="133"/>
  <c r="M385" i="133"/>
  <c r="L408" i="133"/>
  <c r="K412" i="133"/>
  <c r="L384" i="133"/>
  <c r="K409" i="133"/>
  <c r="M402" i="133"/>
  <c r="K379" i="133"/>
  <c r="M393" i="133"/>
  <c r="M397" i="133"/>
  <c r="K394" i="133"/>
  <c r="K407" i="133"/>
  <c r="L396" i="133"/>
  <c r="K378" i="133"/>
  <c r="K376" i="133"/>
  <c r="M390" i="133"/>
  <c r="M398" i="133"/>
  <c r="K399" i="133"/>
  <c r="K408" i="133"/>
  <c r="K372" i="133"/>
  <c r="M401" i="133"/>
  <c r="L372" i="133"/>
  <c r="K377" i="133"/>
  <c r="M400" i="133"/>
  <c r="K380" i="133"/>
  <c r="K392" i="133"/>
  <c r="K410" i="133"/>
  <c r="K390" i="133"/>
  <c r="O394" i="133"/>
  <c r="O401" i="133"/>
  <c r="L385" i="133"/>
  <c r="N387" i="133"/>
  <c r="L386" i="133"/>
  <c r="K398" i="133"/>
  <c r="K382" i="133"/>
  <c r="K391" i="133"/>
  <c r="K383" i="133"/>
  <c r="L404" i="133"/>
  <c r="M391" i="133"/>
  <c r="P397" i="133"/>
  <c r="L398" i="133"/>
  <c r="K404" i="133"/>
  <c r="K371" i="133"/>
  <c r="N390" i="133"/>
  <c r="M404" i="133"/>
  <c r="L380" i="133"/>
  <c r="K387" i="133"/>
  <c r="L377" i="133"/>
  <c r="K375" i="133"/>
  <c r="K403" i="133"/>
  <c r="L403" i="133"/>
  <c r="L401" i="133"/>
  <c r="L394" i="133"/>
  <c r="L381" i="133"/>
  <c r="K389" i="133"/>
  <c r="N391" i="133"/>
  <c r="L407" i="133"/>
  <c r="L410" i="133"/>
  <c r="M407" i="133"/>
  <c r="M381" i="133"/>
  <c r="N397" i="133"/>
  <c r="L411" i="133"/>
  <c r="N395" i="133"/>
  <c r="L375" i="133"/>
  <c r="L392" i="133"/>
  <c r="L378" i="133"/>
  <c r="K384" i="133"/>
  <c r="L391" i="133"/>
  <c r="L412" i="133"/>
  <c r="L373" i="133"/>
  <c r="M399" i="133"/>
  <c r="O405" i="133"/>
  <c r="O403" i="133"/>
  <c r="N402" i="133"/>
  <c r="M379" i="133"/>
  <c r="L402" i="133"/>
  <c r="M394" i="133"/>
  <c r="N392" i="133"/>
  <c r="L387" i="133"/>
  <c r="O400" i="133"/>
  <c r="N405" i="133"/>
  <c r="N383" i="133"/>
  <c r="L374" i="133"/>
  <c r="L405" i="133"/>
  <c r="O402" i="133"/>
  <c r="L371" i="133"/>
  <c r="O392" i="133"/>
  <c r="L395" i="133"/>
  <c r="O397" i="133"/>
  <c r="M387" i="133"/>
  <c r="N403" i="133"/>
  <c r="L389" i="133"/>
  <c r="O393" i="133"/>
  <c r="N407" i="133"/>
  <c r="L390" i="133"/>
  <c r="O391" i="133"/>
  <c r="M396" i="133"/>
  <c r="K381" i="133"/>
  <c r="O381" i="133"/>
  <c r="N398" i="133"/>
  <c r="L382" i="133"/>
  <c r="O406" i="133"/>
  <c r="L383" i="133"/>
  <c r="N393" i="133"/>
  <c r="O408" i="133"/>
  <c r="K393" i="133"/>
  <c r="N381" i="133"/>
  <c r="K386" i="133"/>
  <c r="N385" i="133"/>
  <c r="K405" i="133"/>
  <c r="L376" i="133"/>
  <c r="L409" i="133"/>
  <c r="K400" i="133"/>
  <c r="M408" i="133"/>
  <c r="M405" i="133"/>
  <c r="K401" i="133"/>
  <c r="R402" i="133"/>
  <c r="N400" i="133"/>
  <c r="P398" i="133"/>
  <c r="P405" i="133"/>
  <c r="N399" i="133"/>
  <c r="N396" i="133"/>
  <c r="O407" i="133"/>
  <c r="L400" i="133"/>
  <c r="L397" i="133"/>
  <c r="O399" i="133"/>
  <c r="Q408" i="133"/>
  <c r="P395" i="133"/>
  <c r="P402" i="133"/>
  <c r="O398" i="133"/>
  <c r="P392" i="133"/>
  <c r="Q407" i="133"/>
  <c r="L406" i="133"/>
  <c r="R371" i="133"/>
  <c r="Q401" i="133"/>
  <c r="Q392" i="133"/>
  <c r="O396" i="133"/>
  <c r="N408" i="133"/>
  <c r="P403" i="133"/>
  <c r="P391" i="133"/>
  <c r="Q398" i="133"/>
  <c r="K385" i="133"/>
  <c r="N394" i="133"/>
  <c r="P393" i="133"/>
  <c r="R388" i="133"/>
  <c r="O395" i="133"/>
  <c r="N404" i="133"/>
  <c r="Q400" i="133"/>
  <c r="P408" i="133"/>
  <c r="R394" i="133"/>
  <c r="P401" i="133"/>
  <c r="Q402" i="133"/>
  <c r="P396" i="133"/>
  <c r="O404" i="133"/>
  <c r="P381" i="133"/>
  <c r="N406" i="133"/>
  <c r="N401" i="133"/>
  <c r="P394" i="133"/>
  <c r="Q395" i="133"/>
  <c r="R405" i="133"/>
  <c r="R373" i="133"/>
  <c r="R395" i="133"/>
  <c r="Q391" i="133"/>
  <c r="Q393" i="133"/>
  <c r="R410" i="133"/>
  <c r="R393" i="133"/>
  <c r="P406" i="133"/>
  <c r="S375" i="133"/>
  <c r="R403" i="133"/>
  <c r="Q406" i="133"/>
  <c r="Q405" i="133"/>
  <c r="R392" i="133"/>
  <c r="R399" i="133"/>
  <c r="S384" i="133"/>
  <c r="R398" i="133"/>
  <c r="P399" i="133"/>
  <c r="Q394" i="133"/>
  <c r="R409" i="133"/>
  <c r="S395" i="133"/>
  <c r="R400" i="133"/>
  <c r="S382" i="133"/>
  <c r="Q403" i="133"/>
  <c r="R397" i="133"/>
  <c r="Q399" i="133"/>
  <c r="P400" i="133"/>
  <c r="P407" i="133"/>
  <c r="Q397" i="133"/>
  <c r="S398" i="133"/>
  <c r="R407" i="133"/>
  <c r="S394" i="133"/>
  <c r="R401" i="133"/>
  <c r="R372" i="133"/>
  <c r="S376" i="133"/>
  <c r="R380" i="133"/>
  <c r="S412" i="133"/>
  <c r="S400" i="133"/>
  <c r="S399" i="133"/>
  <c r="R406" i="133"/>
  <c r="S378" i="133"/>
  <c r="S402" i="133"/>
  <c r="S405" i="133"/>
  <c r="T395" i="133"/>
  <c r="S377" i="133"/>
  <c r="S403" i="133"/>
  <c r="T403" i="133"/>
  <c r="S386" i="133"/>
  <c r="U385" i="133"/>
  <c r="R391" i="133"/>
  <c r="S392" i="133"/>
  <c r="T405" i="133"/>
  <c r="T393" i="133"/>
  <c r="T398" i="133"/>
  <c r="U405" i="133"/>
  <c r="T401" i="133"/>
  <c r="S391" i="133"/>
  <c r="S393" i="133"/>
  <c r="S374" i="133"/>
  <c r="S406" i="133"/>
  <c r="T406" i="133"/>
  <c r="U394" i="133"/>
  <c r="U390" i="133"/>
  <c r="U406" i="133"/>
  <c r="S407" i="133"/>
  <c r="S401" i="133"/>
  <c r="S389" i="133"/>
  <c r="V393" i="133"/>
  <c r="S397" i="133"/>
  <c r="T407" i="133"/>
  <c r="U392" i="133"/>
  <c r="T392" i="133"/>
  <c r="U395" i="133"/>
  <c r="T399" i="133"/>
  <c r="U402" i="133"/>
  <c r="T379" i="133"/>
  <c r="S411" i="133"/>
  <c r="X405" i="133"/>
  <c r="V395" i="133"/>
  <c r="U383" i="133"/>
  <c r="V402" i="133"/>
  <c r="V401" i="133"/>
  <c r="X401" i="133"/>
  <c r="V403" i="133"/>
  <c r="V404" i="133"/>
  <c r="X402" i="133"/>
  <c r="T402" i="133"/>
  <c r="X406" i="133"/>
  <c r="U393" i="133"/>
  <c r="T397" i="133"/>
  <c r="Z391" i="133"/>
  <c r="Z413" i="133" s="1"/>
  <c r="V392" i="133"/>
  <c r="U407" i="133"/>
  <c r="V407" i="133"/>
  <c r="W395" i="133"/>
  <c r="X407" i="133"/>
  <c r="W393" i="133"/>
  <c r="W396" i="133"/>
  <c r="W406" i="133"/>
  <c r="T394" i="133"/>
  <c r="U401" i="133"/>
  <c r="U403" i="133"/>
  <c r="W403" i="133"/>
  <c r="V394" i="133"/>
  <c r="X408" i="133"/>
  <c r="W402" i="133"/>
  <c r="X403" i="133"/>
  <c r="V406" i="133"/>
  <c r="W407" i="133"/>
  <c r="AA397" i="133"/>
  <c r="W401" i="133"/>
  <c r="W394" i="133"/>
  <c r="V405" i="133"/>
  <c r="AA398" i="133"/>
  <c r="W381" i="133"/>
  <c r="U387" i="133"/>
  <c r="AB366" i="133"/>
  <c r="AC197" i="133"/>
  <c r="AC338" i="133" s="1"/>
  <c r="AF199" i="135"/>
  <c r="AA66" i="142"/>
  <c r="AC187" i="133"/>
  <c r="AC328" i="133" s="1"/>
  <c r="AF189" i="135"/>
  <c r="AA20" i="142"/>
  <c r="AA156" i="142"/>
  <c r="AC183" i="133"/>
  <c r="AC324" i="133" s="1"/>
  <c r="AF185" i="135"/>
  <c r="AS2" i="166"/>
  <c r="AC192" i="133"/>
  <c r="AC333" i="133" s="1"/>
  <c r="AF194" i="135"/>
  <c r="AC191" i="133"/>
  <c r="AC332" i="133" s="1"/>
  <c r="AF193" i="135"/>
  <c r="AB111" i="142"/>
  <c r="AN2" i="161"/>
  <c r="AC31" i="152"/>
  <c r="AC42" i="152" s="1"/>
  <c r="AC35" i="152"/>
  <c r="AC43" i="152" s="1"/>
  <c r="X16" i="145"/>
  <c r="X18" i="137" s="1"/>
  <c r="X15" i="145"/>
  <c r="X17" i="137" s="1"/>
  <c r="X14" i="145"/>
  <c r="X16" i="137" s="1"/>
  <c r="AD22" i="152"/>
  <c r="Z183" i="142"/>
  <c r="Z48" i="142"/>
  <c r="AA151" i="142"/>
  <c r="AA106" i="142"/>
  <c r="AA15" i="142"/>
  <c r="AA61" i="142"/>
  <c r="AA142" i="142"/>
  <c r="AA187" i="142"/>
  <c r="AA190" i="142" s="1"/>
  <c r="AA97" i="142"/>
  <c r="AA6" i="142"/>
  <c r="AA52" i="142"/>
  <c r="Z93" i="142"/>
  <c r="Z138" i="142"/>
  <c r="AA150" i="142"/>
  <c r="AA105" i="142"/>
  <c r="AA14" i="142"/>
  <c r="AA60" i="142"/>
  <c r="Y192" i="142"/>
  <c r="Y194" i="142" s="1"/>
  <c r="E5" i="133"/>
  <c r="AN3" i="136"/>
  <c r="AM9" i="136"/>
  <c r="AM29" i="136" s="1"/>
  <c r="J230" i="135" l="1"/>
  <c r="Y13" i="145"/>
  <c r="Y61" i="137"/>
  <c r="Y15" i="137" s="1"/>
  <c r="AA24" i="144"/>
  <c r="J35" i="153"/>
  <c r="I83" i="145"/>
  <c r="G303" i="133"/>
  <c r="I289" i="133"/>
  <c r="H304" i="133"/>
  <c r="G314" i="133"/>
  <c r="I306" i="133"/>
  <c r="H314" i="133"/>
  <c r="H300" i="133"/>
  <c r="J315" i="133"/>
  <c r="H282" i="133"/>
  <c r="H284" i="133"/>
  <c r="H310" i="133"/>
  <c r="H294" i="133"/>
  <c r="H299" i="133"/>
  <c r="H309" i="133"/>
  <c r="H301" i="133"/>
  <c r="I286" i="133"/>
  <c r="J292" i="133"/>
  <c r="G283" i="133"/>
  <c r="G312" i="133"/>
  <c r="H286" i="133"/>
  <c r="G290" i="133"/>
  <c r="J285" i="133"/>
  <c r="G284" i="133"/>
  <c r="I283" i="133"/>
  <c r="H290" i="133"/>
  <c r="H292" i="133"/>
  <c r="J277" i="133"/>
  <c r="J279" i="133"/>
  <c r="G295" i="133"/>
  <c r="H293" i="133"/>
  <c r="I308" i="133"/>
  <c r="I298" i="133"/>
  <c r="I318" i="133"/>
  <c r="J299" i="133"/>
  <c r="H316" i="133"/>
  <c r="J308" i="133"/>
  <c r="G305" i="133"/>
  <c r="J284" i="133"/>
  <c r="I285" i="133"/>
  <c r="J298" i="133"/>
  <c r="J316" i="133"/>
  <c r="G278" i="133"/>
  <c r="J283" i="133"/>
  <c r="I316" i="133"/>
  <c r="H303" i="133"/>
  <c r="I295" i="133"/>
  <c r="I293" i="133"/>
  <c r="I313" i="133"/>
  <c r="G315" i="133"/>
  <c r="J312" i="133"/>
  <c r="G279" i="133"/>
  <c r="I280" i="133"/>
  <c r="I300" i="133"/>
  <c r="H307" i="133"/>
  <c r="I309" i="133"/>
  <c r="H285" i="133"/>
  <c r="H306" i="133"/>
  <c r="J313" i="133"/>
  <c r="H313" i="133"/>
  <c r="I288" i="133"/>
  <c r="H318" i="133"/>
  <c r="H312" i="133"/>
  <c r="G311" i="133"/>
  <c r="J310" i="133"/>
  <c r="H298" i="133"/>
  <c r="I277" i="133"/>
  <c r="J296" i="133"/>
  <c r="I284" i="133"/>
  <c r="CH280" i="133"/>
  <c r="G285" i="133"/>
  <c r="J288" i="133"/>
  <c r="J302" i="133"/>
  <c r="J291" i="133"/>
  <c r="I312" i="133"/>
  <c r="G291" i="133"/>
  <c r="J280" i="133"/>
  <c r="H315" i="133"/>
  <c r="H296" i="133"/>
  <c r="I281" i="133"/>
  <c r="I292" i="133"/>
  <c r="G280" i="133"/>
  <c r="G289" i="133"/>
  <c r="I278" i="133"/>
  <c r="H288" i="133"/>
  <c r="H287" i="133"/>
  <c r="J281" i="133"/>
  <c r="I303" i="133"/>
  <c r="G281" i="133"/>
  <c r="G307" i="133"/>
  <c r="G296" i="133"/>
  <c r="J287" i="133"/>
  <c r="I314" i="133"/>
  <c r="J295" i="133"/>
  <c r="G302" i="133"/>
  <c r="G310" i="133"/>
  <c r="J286" i="133"/>
  <c r="H295" i="133"/>
  <c r="G318" i="133"/>
  <c r="G300" i="133"/>
  <c r="I287" i="133"/>
  <c r="I301" i="133"/>
  <c r="J303" i="133"/>
  <c r="H302" i="133"/>
  <c r="H283" i="133"/>
  <c r="J278" i="133"/>
  <c r="H311" i="133"/>
  <c r="J311" i="133"/>
  <c r="I302" i="133"/>
  <c r="H278" i="133"/>
  <c r="G298" i="133"/>
  <c r="I299" i="133"/>
  <c r="I282" i="133"/>
  <c r="I294" i="133"/>
  <c r="G292" i="133"/>
  <c r="G316" i="133"/>
  <c r="G297" i="133"/>
  <c r="J318" i="133"/>
  <c r="H281" i="133"/>
  <c r="H317" i="133"/>
  <c r="I307" i="133"/>
  <c r="H291" i="133"/>
  <c r="G286" i="133"/>
  <c r="J317" i="133"/>
  <c r="I291" i="133"/>
  <c r="G313" i="133"/>
  <c r="H308" i="133"/>
  <c r="H277" i="133"/>
  <c r="J314" i="133"/>
  <c r="H289" i="133"/>
  <c r="G317" i="133"/>
  <c r="G301" i="133"/>
  <c r="J297" i="133"/>
  <c r="I290" i="133"/>
  <c r="I310" i="133"/>
  <c r="G304" i="133"/>
  <c r="G309" i="133"/>
  <c r="J307" i="133"/>
  <c r="I279" i="133"/>
  <c r="I304" i="133"/>
  <c r="G294" i="133"/>
  <c r="J305" i="133"/>
  <c r="J304" i="133"/>
  <c r="I297" i="133"/>
  <c r="G308" i="133"/>
  <c r="G299" i="133"/>
  <c r="J300" i="133"/>
  <c r="J290" i="133"/>
  <c r="I317" i="133"/>
  <c r="AD44" i="152"/>
  <c r="E44" i="152" s="1"/>
  <c r="G288" i="133"/>
  <c r="G282" i="133"/>
  <c r="J294" i="133"/>
  <c r="H280" i="133"/>
  <c r="J309" i="133"/>
  <c r="I315" i="133"/>
  <c r="I296" i="133"/>
  <c r="J289" i="133"/>
  <c r="H279" i="133"/>
  <c r="E39" i="152"/>
  <c r="I285" i="135"/>
  <c r="G287" i="133"/>
  <c r="J293" i="133"/>
  <c r="J306" i="133"/>
  <c r="J301" i="133"/>
  <c r="I305" i="133"/>
  <c r="H297" i="133"/>
  <c r="G293" i="133"/>
  <c r="I311" i="133"/>
  <c r="H305" i="133"/>
  <c r="J282" i="133"/>
  <c r="E195" i="183" s="1"/>
  <c r="E202" i="183" s="1"/>
  <c r="E203" i="183" s="1"/>
  <c r="X20" i="149"/>
  <c r="AA22" i="176"/>
  <c r="Y20" i="149"/>
  <c r="AB22" i="176"/>
  <c r="AB13" i="176"/>
  <c r="Y24" i="146"/>
  <c r="AB22" i="173" s="1"/>
  <c r="AF287" i="166"/>
  <c r="AF300" i="166" s="1"/>
  <c r="AF287" i="135"/>
  <c r="AF300" i="135" s="1"/>
  <c r="X31" i="146"/>
  <c r="AA25" i="173" s="1"/>
  <c r="X25" i="149"/>
  <c r="AA25" i="176" s="1"/>
  <c r="Z15" i="146"/>
  <c r="AC13" i="173" s="1"/>
  <c r="Z11" i="149"/>
  <c r="Z57" i="145"/>
  <c r="Z62" i="137" s="1"/>
  <c r="Z58" i="145"/>
  <c r="Z63" i="137" s="1"/>
  <c r="Z56" i="145"/>
  <c r="Z59" i="145"/>
  <c r="Z64" i="137" s="1"/>
  <c r="AG185" i="166"/>
  <c r="AG193" i="166"/>
  <c r="AG199" i="166"/>
  <c r="AI246" i="166"/>
  <c r="AI273" i="166" s="1"/>
  <c r="Z23" i="173"/>
  <c r="Y6" i="154" s="1"/>
  <c r="X24" i="136"/>
  <c r="X26" i="136" s="1"/>
  <c r="AG189" i="166"/>
  <c r="AG194" i="166"/>
  <c r="X26" i="146"/>
  <c r="AQ1" i="167"/>
  <c r="CH278" i="133"/>
  <c r="F392" i="133"/>
  <c r="F403" i="133"/>
  <c r="F404" i="133"/>
  <c r="F408" i="133"/>
  <c r="F400" i="133"/>
  <c r="F391" i="133"/>
  <c r="F381" i="133"/>
  <c r="F412" i="133"/>
  <c r="F386" i="133"/>
  <c r="F394" i="133"/>
  <c r="AC413" i="133"/>
  <c r="Y413" i="133"/>
  <c r="CH283" i="133"/>
  <c r="CH291" i="133"/>
  <c r="AB413" i="133"/>
  <c r="CH277" i="133"/>
  <c r="T413" i="133"/>
  <c r="K413" i="133"/>
  <c r="L413" i="133"/>
  <c r="R413" i="133"/>
  <c r="Q413" i="133"/>
  <c r="V413" i="133"/>
  <c r="U413" i="133"/>
  <c r="M413" i="133"/>
  <c r="N413" i="133"/>
  <c r="S413" i="133"/>
  <c r="AA413" i="133"/>
  <c r="O413" i="133"/>
  <c r="P413" i="133"/>
  <c r="W413" i="133"/>
  <c r="X413" i="133"/>
  <c r="Y15" i="136"/>
  <c r="AC366" i="133"/>
  <c r="AT2" i="166"/>
  <c r="AC66" i="142"/>
  <c r="E81" i="133"/>
  <c r="AB20" i="142"/>
  <c r="AB66" i="142"/>
  <c r="AB156" i="142"/>
  <c r="AO2" i="161"/>
  <c r="Y16" i="145"/>
  <c r="Y18" i="137" s="1"/>
  <c r="Y15" i="145"/>
  <c r="Y17" i="137" s="1"/>
  <c r="Y14" i="145"/>
  <c r="Y16" i="137" s="1"/>
  <c r="E22" i="152"/>
  <c r="AD26" i="152"/>
  <c r="AD35" i="152" s="1"/>
  <c r="AC150" i="142"/>
  <c r="AC105" i="142"/>
  <c r="AC14" i="142"/>
  <c r="AC60" i="142"/>
  <c r="AA93" i="142"/>
  <c r="AA138" i="142"/>
  <c r="AA48" i="142"/>
  <c r="AB146" i="142"/>
  <c r="AB101" i="142"/>
  <c r="AB10" i="142"/>
  <c r="AB56" i="142"/>
  <c r="AB151" i="142"/>
  <c r="AB106" i="142"/>
  <c r="AB15" i="142"/>
  <c r="AB61" i="142"/>
  <c r="Z192" i="142"/>
  <c r="Z194" i="142" s="1"/>
  <c r="AA183" i="142"/>
  <c r="AB142" i="142"/>
  <c r="AB187" i="142"/>
  <c r="AB190" i="142" s="1"/>
  <c r="AB97" i="142"/>
  <c r="AB6" i="142"/>
  <c r="AB52" i="142"/>
  <c r="AB105" i="142"/>
  <c r="AB150" i="142"/>
  <c r="AB14" i="142"/>
  <c r="AB60" i="142"/>
  <c r="AC142" i="142"/>
  <c r="AC187" i="142"/>
  <c r="AC190" i="142" s="1"/>
  <c r="AC97" i="142"/>
  <c r="AC6" i="142"/>
  <c r="AC52" i="142"/>
  <c r="F230" i="133"/>
  <c r="F238" i="133"/>
  <c r="E55" i="133"/>
  <c r="AO3" i="136"/>
  <c r="AO9" i="136" s="1"/>
  <c r="AO29" i="136" s="1"/>
  <c r="E50" i="133"/>
  <c r="E82" i="133"/>
  <c r="E12" i="133"/>
  <c r="AN9" i="136"/>
  <c r="AN29" i="136" s="1"/>
  <c r="AC13" i="176" l="1"/>
  <c r="Z18" i="149"/>
  <c r="Z13" i="145"/>
  <c r="Z61" i="137"/>
  <c r="Z15" i="137" s="1"/>
  <c r="D199" i="183"/>
  <c r="I40" i="145"/>
  <c r="I90" i="137"/>
  <c r="I44" i="137" s="1"/>
  <c r="K35" i="153"/>
  <c r="J83" i="145"/>
  <c r="F395" i="133"/>
  <c r="D192" i="183"/>
  <c r="CH295" i="133"/>
  <c r="D208" i="183"/>
  <c r="CH312" i="133"/>
  <c r="CH300" i="133"/>
  <c r="CH279" i="133"/>
  <c r="CH299" i="133"/>
  <c r="CH306" i="133"/>
  <c r="CH316" i="133"/>
  <c r="CH285" i="133"/>
  <c r="CH304" i="133"/>
  <c r="CH307" i="133"/>
  <c r="CH301" i="133"/>
  <c r="CH286" i="133"/>
  <c r="CH303" i="133"/>
  <c r="CH314" i="133"/>
  <c r="CH281" i="133"/>
  <c r="F405" i="133"/>
  <c r="CH290" i="133"/>
  <c r="F399" i="133"/>
  <c r="F372" i="133"/>
  <c r="F390" i="133"/>
  <c r="F406" i="133"/>
  <c r="F384" i="133"/>
  <c r="F387" i="133"/>
  <c r="F393" i="133"/>
  <c r="CH318" i="133"/>
  <c r="F376" i="133"/>
  <c r="CH302" i="133"/>
  <c r="CH292" i="133"/>
  <c r="F397" i="133"/>
  <c r="CH293" i="133"/>
  <c r="F410" i="133"/>
  <c r="F401" i="133"/>
  <c r="D206" i="183"/>
  <c r="CH282" i="133"/>
  <c r="F377" i="133"/>
  <c r="CH276" i="133"/>
  <c r="CH313" i="133"/>
  <c r="F398" i="133"/>
  <c r="CH294" i="133"/>
  <c r="F407" i="133"/>
  <c r="CH309" i="133"/>
  <c r="F383" i="133"/>
  <c r="F411" i="133"/>
  <c r="F388" i="133"/>
  <c r="CH289" i="133"/>
  <c r="CH308" i="133"/>
  <c r="F402" i="133"/>
  <c r="D198" i="183"/>
  <c r="D194" i="183"/>
  <c r="D196" i="183"/>
  <c r="CH287" i="133"/>
  <c r="CH296" i="133"/>
  <c r="CH297" i="133"/>
  <c r="F373" i="133"/>
  <c r="CH315" i="133"/>
  <c r="D193" i="183"/>
  <c r="CH305" i="133"/>
  <c r="F396" i="133"/>
  <c r="CH288" i="133"/>
  <c r="CH310" i="133"/>
  <c r="CH317" i="133"/>
  <c r="F385" i="133"/>
  <c r="CH319" i="133"/>
  <c r="F374" i="133"/>
  <c r="CH298" i="133"/>
  <c r="CH311" i="133"/>
  <c r="F378" i="133"/>
  <c r="CH284" i="133"/>
  <c r="F382" i="133"/>
  <c r="F389" i="133"/>
  <c r="F409" i="133"/>
  <c r="D212" i="183"/>
  <c r="D207" i="183"/>
  <c r="D211" i="183"/>
  <c r="D209" i="183"/>
  <c r="D200" i="183"/>
  <c r="D197" i="183"/>
  <c r="D214" i="183"/>
  <c r="D213" i="183"/>
  <c r="D215" i="183"/>
  <c r="D201" i="183"/>
  <c r="D210" i="183"/>
  <c r="D195" i="183"/>
  <c r="AH185" i="166"/>
  <c r="AB23" i="176"/>
  <c r="AA6" i="167" s="1"/>
  <c r="AA55" i="176"/>
  <c r="AA133" i="176" s="1"/>
  <c r="AA23" i="176"/>
  <c r="Z24" i="146"/>
  <c r="AC22" i="173" s="1"/>
  <c r="AG287" i="166"/>
  <c r="AG300" i="166" s="1"/>
  <c r="M31" i="146"/>
  <c r="P25" i="173" s="1"/>
  <c r="M25" i="149"/>
  <c r="P25" i="176" s="1"/>
  <c r="Q31" i="146"/>
  <c r="T25" i="173" s="1"/>
  <c r="Q25" i="149"/>
  <c r="T25" i="176" s="1"/>
  <c r="U31" i="146"/>
  <c r="X25" i="173" s="1"/>
  <c r="U25" i="149"/>
  <c r="X25" i="176" s="1"/>
  <c r="I31" i="146"/>
  <c r="L25" i="173" s="1"/>
  <c r="I25" i="149"/>
  <c r="L25" i="176" s="1"/>
  <c r="N31" i="146"/>
  <c r="Q25" i="173" s="1"/>
  <c r="N25" i="149"/>
  <c r="Q25" i="176" s="1"/>
  <c r="Y31" i="146"/>
  <c r="AB25" i="173" s="1"/>
  <c r="Y25" i="149"/>
  <c r="AB25" i="176" s="1"/>
  <c r="L31" i="146"/>
  <c r="O25" i="173" s="1"/>
  <c r="L25" i="149"/>
  <c r="O25" i="176" s="1"/>
  <c r="AG25" i="176"/>
  <c r="Z31" i="146"/>
  <c r="AC25" i="173" s="1"/>
  <c r="Z25" i="149"/>
  <c r="AC25" i="176" s="1"/>
  <c r="W31" i="146"/>
  <c r="Z25" i="173" s="1"/>
  <c r="W25" i="149"/>
  <c r="Z25" i="176" s="1"/>
  <c r="AI25" i="176"/>
  <c r="AA31" i="146"/>
  <c r="AD25" i="173" s="1"/>
  <c r="AA25" i="149"/>
  <c r="K31" i="146"/>
  <c r="N25" i="173" s="1"/>
  <c r="K25" i="149"/>
  <c r="N25" i="176" s="1"/>
  <c r="AJ25" i="176"/>
  <c r="T31" i="146"/>
  <c r="W25" i="173" s="1"/>
  <c r="T25" i="149"/>
  <c r="W25" i="176" s="1"/>
  <c r="R31" i="146"/>
  <c r="U25" i="173" s="1"/>
  <c r="R25" i="149"/>
  <c r="U25" i="176" s="1"/>
  <c r="AA15" i="146"/>
  <c r="AA24" i="146" s="1"/>
  <c r="AD22" i="173" s="1"/>
  <c r="AA11" i="149"/>
  <c r="O31" i="146"/>
  <c r="R25" i="173" s="1"/>
  <c r="O25" i="149"/>
  <c r="R25" i="176" s="1"/>
  <c r="P31" i="146"/>
  <c r="S25" i="173" s="1"/>
  <c r="P25" i="149"/>
  <c r="S25" i="176" s="1"/>
  <c r="V31" i="146"/>
  <c r="Y25" i="173" s="1"/>
  <c r="V25" i="149"/>
  <c r="Y25" i="176" s="1"/>
  <c r="S31" i="146"/>
  <c r="V25" i="173" s="1"/>
  <c r="S25" i="149"/>
  <c r="V25" i="176" s="1"/>
  <c r="AH25" i="176"/>
  <c r="J31" i="146"/>
  <c r="M25" i="173" s="1"/>
  <c r="J25" i="149"/>
  <c r="M25" i="176" s="1"/>
  <c r="AA56" i="145"/>
  <c r="AA57" i="145"/>
  <c r="AA62" i="137" s="1"/>
  <c r="AA59" i="145"/>
  <c r="AA64" i="137" s="1"/>
  <c r="AA58" i="145"/>
  <c r="AA63" i="137" s="1"/>
  <c r="E287" i="133"/>
  <c r="E297" i="133"/>
  <c r="E301" i="133"/>
  <c r="E298" i="133"/>
  <c r="E306" i="133"/>
  <c r="E286" i="133"/>
  <c r="E292" i="133"/>
  <c r="E318" i="133"/>
  <c r="E300" i="133"/>
  <c r="E309" i="133"/>
  <c r="E314" i="133"/>
  <c r="E310" i="133"/>
  <c r="AA23" i="173"/>
  <c r="Z6" i="154" s="1"/>
  <c r="Y24" i="136"/>
  <c r="Y26" i="136" s="1"/>
  <c r="X38" i="146"/>
  <c r="AA55" i="173"/>
  <c r="AA133" i="173" s="1"/>
  <c r="Y26" i="146"/>
  <c r="X31" i="149"/>
  <c r="AC20" i="142"/>
  <c r="F244" i="133"/>
  <c r="AC156" i="142"/>
  <c r="AC111" i="142"/>
  <c r="X31" i="136"/>
  <c r="Z15" i="136"/>
  <c r="D190" i="142"/>
  <c r="AD43" i="152"/>
  <c r="E43" i="152" s="1"/>
  <c r="E35" i="152"/>
  <c r="Z14" i="145"/>
  <c r="Z16" i="137" s="1"/>
  <c r="Z15" i="145"/>
  <c r="Z17" i="137" s="1"/>
  <c r="Z16" i="145"/>
  <c r="Z18" i="137" s="1"/>
  <c r="E26" i="152"/>
  <c r="AD31" i="152"/>
  <c r="AB93" i="142"/>
  <c r="AB48" i="142"/>
  <c r="F234" i="133"/>
  <c r="AC101" i="142"/>
  <c r="AC146" i="142"/>
  <c r="AC10" i="142"/>
  <c r="AC56" i="142"/>
  <c r="AB138" i="142"/>
  <c r="AA192" i="142"/>
  <c r="AA194" i="142" s="1"/>
  <c r="AB183" i="142"/>
  <c r="F239" i="133"/>
  <c r="AC151" i="142"/>
  <c r="AC106" i="142"/>
  <c r="AC15" i="142"/>
  <c r="AC61" i="142"/>
  <c r="E83" i="133"/>
  <c r="E51" i="133"/>
  <c r="E56" i="133"/>
  <c r="E31" i="133"/>
  <c r="F136" i="133"/>
  <c r="E13" i="133"/>
  <c r="AD13" i="176" l="1"/>
  <c r="AA18" i="149"/>
  <c r="AA13" i="145"/>
  <c r="AA61" i="137"/>
  <c r="AA15" i="137" s="1"/>
  <c r="J40" i="145"/>
  <c r="J90" i="137"/>
  <c r="J44" i="137" s="1"/>
  <c r="L35" i="153"/>
  <c r="K83" i="145"/>
  <c r="E278" i="133"/>
  <c r="E303" i="133"/>
  <c r="E299" i="133"/>
  <c r="E312" i="133"/>
  <c r="E282" i="133"/>
  <c r="E311" i="133"/>
  <c r="E281" i="133"/>
  <c r="E305" i="133"/>
  <c r="E317" i="133"/>
  <c r="E296" i="133"/>
  <c r="E290" i="133"/>
  <c r="E285" i="133"/>
  <c r="E293" i="133"/>
  <c r="E283" i="133"/>
  <c r="E316" i="133"/>
  <c r="E289" i="133"/>
  <c r="E304" i="133"/>
  <c r="E294" i="133"/>
  <c r="E313" i="133"/>
  <c r="E308" i="133"/>
  <c r="E307" i="133"/>
  <c r="E279" i="133"/>
  <c r="E280" i="133"/>
  <c r="E295" i="133"/>
  <c r="E315" i="133"/>
  <c r="D202" i="183"/>
  <c r="D203" i="183" s="1"/>
  <c r="E288" i="133"/>
  <c r="AF25" i="176"/>
  <c r="E284" i="133"/>
  <c r="E302" i="133"/>
  <c r="E291" i="133"/>
  <c r="D216" i="183"/>
  <c r="D217" i="183" s="1"/>
  <c r="AH193" i="166"/>
  <c r="M55" i="176"/>
  <c r="M133" i="176" s="1"/>
  <c r="X32" i="149"/>
  <c r="X34" i="149" s="1"/>
  <c r="AA32" i="176"/>
  <c r="O55" i="176"/>
  <c r="O133" i="176" s="1"/>
  <c r="L55" i="176"/>
  <c r="L133" i="176" s="1"/>
  <c r="U55" i="176"/>
  <c r="U133" i="176" s="1"/>
  <c r="Y55" i="176"/>
  <c r="Y133" i="176" s="1"/>
  <c r="V55" i="176"/>
  <c r="V133" i="176" s="1"/>
  <c r="R55" i="176"/>
  <c r="R133" i="176" s="1"/>
  <c r="AA31" i="149"/>
  <c r="AD25" i="176"/>
  <c r="Z6" i="167"/>
  <c r="Z20" i="149"/>
  <c r="AC22" i="176"/>
  <c r="AE25" i="176"/>
  <c r="Q55" i="176"/>
  <c r="Q133" i="176" s="1"/>
  <c r="S55" i="176"/>
  <c r="S133" i="176" s="1"/>
  <c r="W55" i="176"/>
  <c r="W133" i="176" s="1"/>
  <c r="P55" i="176"/>
  <c r="P133" i="176" s="1"/>
  <c r="AB55" i="176"/>
  <c r="AB133" i="176" s="1"/>
  <c r="X55" i="176"/>
  <c r="X133" i="176" s="1"/>
  <c r="T55" i="176"/>
  <c r="T133" i="176" s="1"/>
  <c r="N55" i="176"/>
  <c r="N133" i="176" s="1"/>
  <c r="AC55" i="176"/>
  <c r="AC133" i="176" s="1"/>
  <c r="Z55" i="176"/>
  <c r="Z133" i="176" s="1"/>
  <c r="AD13" i="173"/>
  <c r="AD55" i="173" s="1"/>
  <c r="AD133" i="173" s="1"/>
  <c r="AA32" i="173"/>
  <c r="AA33" i="173" s="1"/>
  <c r="AH199" i="166"/>
  <c r="F132" i="133"/>
  <c r="X39" i="146"/>
  <c r="X41" i="146" s="1"/>
  <c r="AB23" i="173"/>
  <c r="AA6" i="154" s="1"/>
  <c r="V38" i="146"/>
  <c r="Y55" i="173"/>
  <c r="Y133" i="173" s="1"/>
  <c r="J38" i="146"/>
  <c r="O38" i="146"/>
  <c r="R55" i="173"/>
  <c r="R133" i="173" s="1"/>
  <c r="Z24" i="136"/>
  <c r="Z26" i="136" s="1"/>
  <c r="Q38" i="146"/>
  <c r="P38" i="146"/>
  <c r="L38" i="146"/>
  <c r="O55" i="173"/>
  <c r="O133" i="173" s="1"/>
  <c r="AA38" i="146"/>
  <c r="U38" i="146"/>
  <c r="Z38" i="146"/>
  <c r="AC32" i="173" s="1"/>
  <c r="AC33" i="173" s="1"/>
  <c r="Y38" i="146"/>
  <c r="M38" i="146"/>
  <c r="N38" i="146"/>
  <c r="W38" i="146"/>
  <c r="Z55" i="173"/>
  <c r="Z133" i="173" s="1"/>
  <c r="T38" i="146"/>
  <c r="W55" i="173"/>
  <c r="W133" i="173" s="1"/>
  <c r="R38" i="146"/>
  <c r="U55" i="173"/>
  <c r="U133" i="173" s="1"/>
  <c r="K38" i="146"/>
  <c r="N32" i="173" s="1"/>
  <c r="N33" i="173" s="1"/>
  <c r="I38" i="146"/>
  <c r="S38" i="146"/>
  <c r="X38" i="136"/>
  <c r="X39" i="136" s="1"/>
  <c r="X41" i="136" s="1"/>
  <c r="Z26" i="146"/>
  <c r="Y31" i="149"/>
  <c r="T31" i="149"/>
  <c r="R31" i="149"/>
  <c r="P31" i="149"/>
  <c r="K31" i="149"/>
  <c r="U31" i="149"/>
  <c r="S31" i="149"/>
  <c r="V31" i="149"/>
  <c r="Q31" i="149"/>
  <c r="M31" i="149"/>
  <c r="L31" i="149"/>
  <c r="Z31" i="149"/>
  <c r="O31" i="149"/>
  <c r="J31" i="149"/>
  <c r="I31" i="149"/>
  <c r="N31" i="149"/>
  <c r="W31" i="149"/>
  <c r="J31" i="136"/>
  <c r="U31" i="136"/>
  <c r="Q31" i="136"/>
  <c r="N31" i="136"/>
  <c r="M31" i="136"/>
  <c r="L31" i="136"/>
  <c r="Z31" i="136"/>
  <c r="W31" i="136"/>
  <c r="AA31" i="136"/>
  <c r="V31" i="136"/>
  <c r="S31" i="136"/>
  <c r="T31" i="136"/>
  <c r="Y31" i="136"/>
  <c r="P31" i="136"/>
  <c r="K31" i="136"/>
  <c r="R31" i="136"/>
  <c r="O31" i="136"/>
  <c r="I31" i="136"/>
  <c r="AK25" i="176"/>
  <c r="AA15" i="136"/>
  <c r="AC48" i="142"/>
  <c r="AC138" i="142"/>
  <c r="E31" i="152"/>
  <c r="AD42" i="152"/>
  <c r="E42" i="152" s="1"/>
  <c r="AA16" i="145"/>
  <c r="AA18" i="137" s="1"/>
  <c r="AA15" i="145"/>
  <c r="AA17" i="137" s="1"/>
  <c r="AA14" i="145"/>
  <c r="AA16" i="137" s="1"/>
  <c r="AC183" i="142"/>
  <c r="AC93" i="142"/>
  <c r="AB192" i="142"/>
  <c r="AB194" i="142" s="1"/>
  <c r="F150" i="133"/>
  <c r="F144" i="133"/>
  <c r="F183" i="133"/>
  <c r="E57" i="133"/>
  <c r="E32" i="133"/>
  <c r="K90" i="137" l="1"/>
  <c r="K44" i="137" s="1"/>
  <c r="K40" i="145"/>
  <c r="L83" i="145"/>
  <c r="M35" i="153"/>
  <c r="AF32" i="176"/>
  <c r="AF33" i="176" s="1"/>
  <c r="AE7" i="167" s="1"/>
  <c r="E25" i="176"/>
  <c r="AD55" i="176"/>
  <c r="AD133" i="176" s="1"/>
  <c r="N32" i="149"/>
  <c r="N34" i="149" s="1"/>
  <c r="Q32" i="176"/>
  <c r="AI32" i="176"/>
  <c r="AI33" i="176" s="1"/>
  <c r="AH7" i="167" s="1"/>
  <c r="I32" i="149"/>
  <c r="L32" i="176"/>
  <c r="AH32" i="176"/>
  <c r="AH33" i="176" s="1"/>
  <c r="AG7" i="167" s="1"/>
  <c r="O32" i="149"/>
  <c r="O34" i="149" s="1"/>
  <c r="R32" i="176"/>
  <c r="AD22" i="176"/>
  <c r="AE32" i="176"/>
  <c r="AE33" i="176" s="1"/>
  <c r="AD7" i="167" s="1"/>
  <c r="V32" i="149"/>
  <c r="V34" i="149" s="1"/>
  <c r="Y32" i="176"/>
  <c r="AA32" i="149"/>
  <c r="AD32" i="176"/>
  <c r="AD33" i="176" s="1"/>
  <c r="AC7" i="167" s="1"/>
  <c r="S32" i="149"/>
  <c r="S34" i="149" s="1"/>
  <c r="V32" i="176"/>
  <c r="M32" i="149"/>
  <c r="M34" i="149" s="1"/>
  <c r="P32" i="176"/>
  <c r="K32" i="149"/>
  <c r="N32" i="176"/>
  <c r="N33" i="176" s="1"/>
  <c r="M7" i="167" s="1"/>
  <c r="AJ32" i="176"/>
  <c r="AJ33" i="176" s="1"/>
  <c r="AI7" i="167" s="1"/>
  <c r="P32" i="149"/>
  <c r="P34" i="149" s="1"/>
  <c r="S32" i="176"/>
  <c r="Y32" i="149"/>
  <c r="Y34" i="149" s="1"/>
  <c r="AB32" i="176"/>
  <c r="L32" i="149"/>
  <c r="L34" i="149" s="1"/>
  <c r="O32" i="176"/>
  <c r="AG32" i="176"/>
  <c r="AG33" i="176" s="1"/>
  <c r="AF7" i="167" s="1"/>
  <c r="AA33" i="176"/>
  <c r="AA109" i="176"/>
  <c r="AA187" i="176" s="1"/>
  <c r="T32" i="149"/>
  <c r="T34" i="149" s="1"/>
  <c r="W32" i="176"/>
  <c r="Q32" i="149"/>
  <c r="Q34" i="149" s="1"/>
  <c r="T32" i="176"/>
  <c r="U32" i="149"/>
  <c r="U34" i="149" s="1"/>
  <c r="X32" i="176"/>
  <c r="J32" i="149"/>
  <c r="M32" i="176"/>
  <c r="Z32" i="149"/>
  <c r="Z34" i="149" s="1"/>
  <c r="AC32" i="176"/>
  <c r="AC33" i="176" s="1"/>
  <c r="AB7" i="167" s="1"/>
  <c r="AC23" i="176"/>
  <c r="R32" i="149"/>
  <c r="R34" i="149" s="1"/>
  <c r="U32" i="176"/>
  <c r="W32" i="149"/>
  <c r="W34" i="149" s="1"/>
  <c r="Z32" i="176"/>
  <c r="AA35" i="173"/>
  <c r="Y10" i="180" s="1"/>
  <c r="Y30" i="180" s="1"/>
  <c r="Z8" i="154"/>
  <c r="Z20" i="154" s="1"/>
  <c r="D56" i="145"/>
  <c r="D59" i="145"/>
  <c r="AA20" i="149"/>
  <c r="AA109" i="173"/>
  <c r="AA187" i="173" s="1"/>
  <c r="L32" i="173"/>
  <c r="L33" i="173" s="1"/>
  <c r="W32" i="173"/>
  <c r="W33" i="173" s="1"/>
  <c r="P32" i="173"/>
  <c r="P33" i="173" s="1"/>
  <c r="AB32" i="173"/>
  <c r="AB33" i="173" s="1"/>
  <c r="X32" i="173"/>
  <c r="X33" i="173" s="1"/>
  <c r="Z32" i="173"/>
  <c r="Z33" i="173" s="1"/>
  <c r="AA39" i="146"/>
  <c r="AD32" i="173"/>
  <c r="AD33" i="173" s="1"/>
  <c r="Q32" i="173"/>
  <c r="Q33" i="173" s="1"/>
  <c r="Y32" i="173"/>
  <c r="Y33" i="173" s="1"/>
  <c r="U32" i="173"/>
  <c r="U33" i="173" s="1"/>
  <c r="S32" i="173"/>
  <c r="S33" i="173" s="1"/>
  <c r="R32" i="173"/>
  <c r="R33" i="173" s="1"/>
  <c r="O32" i="173"/>
  <c r="O33" i="173" s="1"/>
  <c r="T32" i="173"/>
  <c r="T33" i="173" s="1"/>
  <c r="M32" i="173"/>
  <c r="M33" i="173" s="1"/>
  <c r="V32" i="173"/>
  <c r="V33" i="173" s="1"/>
  <c r="AK32" i="176"/>
  <c r="AK33" i="176" s="1"/>
  <c r="AJ7" i="167" s="1"/>
  <c r="O39" i="146"/>
  <c r="T39" i="146"/>
  <c r="T41" i="146" s="1"/>
  <c r="V39" i="146"/>
  <c r="V41" i="146" s="1"/>
  <c r="J39" i="146"/>
  <c r="K39" i="146"/>
  <c r="U39" i="146"/>
  <c r="U41" i="146" s="1"/>
  <c r="P55" i="173"/>
  <c r="P133" i="173" s="1"/>
  <c r="AB55" i="173"/>
  <c r="AB133" i="173" s="1"/>
  <c r="P39" i="146"/>
  <c r="N55" i="173"/>
  <c r="N133" i="173" s="1"/>
  <c r="M55" i="173"/>
  <c r="M133" i="173" s="1"/>
  <c r="S55" i="173"/>
  <c r="S133" i="173" s="1"/>
  <c r="X55" i="173"/>
  <c r="X133" i="173" s="1"/>
  <c r="V55" i="173"/>
  <c r="V133" i="173" s="1"/>
  <c r="L55" i="173"/>
  <c r="L133" i="173" s="1"/>
  <c r="AC23" i="173"/>
  <c r="AB6" i="154" s="1"/>
  <c r="AC109" i="173"/>
  <c r="AC187" i="173" s="1"/>
  <c r="Q55" i="173"/>
  <c r="Q133" i="173" s="1"/>
  <c r="AC55" i="173"/>
  <c r="AC133" i="173" s="1"/>
  <c r="T55" i="173"/>
  <c r="T133" i="173" s="1"/>
  <c r="Q39" i="146"/>
  <c r="Q41" i="146" s="1"/>
  <c r="S39" i="146"/>
  <c r="Y39" i="146"/>
  <c r="Y41" i="146" s="1"/>
  <c r="W39" i="146"/>
  <c r="Z39" i="146"/>
  <c r="Z41" i="146" s="1"/>
  <c r="L39" i="146"/>
  <c r="AA24" i="136"/>
  <c r="AA26" i="136" s="1"/>
  <c r="I39" i="146"/>
  <c r="M39" i="146"/>
  <c r="AA38" i="136"/>
  <c r="AA39" i="136" s="1"/>
  <c r="R39" i="146"/>
  <c r="N39" i="146"/>
  <c r="U38" i="136"/>
  <c r="U39" i="136" s="1"/>
  <c r="U41" i="136" s="1"/>
  <c r="S38" i="136"/>
  <c r="S39" i="136" s="1"/>
  <c r="S41" i="136" s="1"/>
  <c r="P38" i="136"/>
  <c r="P39" i="136" s="1"/>
  <c r="P41" i="136" s="1"/>
  <c r="V38" i="136"/>
  <c r="V39" i="136" s="1"/>
  <c r="V41" i="136" s="1"/>
  <c r="K38" i="136"/>
  <c r="K39" i="136" s="1"/>
  <c r="N38" i="136"/>
  <c r="N39" i="136" s="1"/>
  <c r="N41" i="136" s="1"/>
  <c r="O38" i="136"/>
  <c r="O39" i="136" s="1"/>
  <c r="O41" i="136" s="1"/>
  <c r="I38" i="136"/>
  <c r="I39" i="136" s="1"/>
  <c r="Z38" i="136"/>
  <c r="Z39" i="136" s="1"/>
  <c r="Z41" i="136" s="1"/>
  <c r="J38" i="136"/>
  <c r="J39" i="136" s="1"/>
  <c r="Q38" i="136"/>
  <c r="Q39" i="136" s="1"/>
  <c r="Q41" i="136" s="1"/>
  <c r="L38" i="136"/>
  <c r="L39" i="136" s="1"/>
  <c r="R38" i="136"/>
  <c r="R39" i="136" s="1"/>
  <c r="R41" i="136" s="1"/>
  <c r="Y38" i="136"/>
  <c r="Y39" i="136" s="1"/>
  <c r="Y41" i="136" s="1"/>
  <c r="W38" i="136"/>
  <c r="W39" i="136" s="1"/>
  <c r="W41" i="136" s="1"/>
  <c r="M38" i="136"/>
  <c r="M39" i="136" s="1"/>
  <c r="T38" i="136"/>
  <c r="T39" i="136" s="1"/>
  <c r="T41" i="136" s="1"/>
  <c r="AA26" i="146"/>
  <c r="AH194" i="166"/>
  <c r="AH189" i="166"/>
  <c r="F371" i="133"/>
  <c r="D138" i="142"/>
  <c r="D48" i="142"/>
  <c r="AC192" i="142"/>
  <c r="AC194" i="142" s="1"/>
  <c r="D93" i="142"/>
  <c r="D183" i="142"/>
  <c r="F191" i="133"/>
  <c r="F197" i="133"/>
  <c r="F140" i="133"/>
  <c r="F145" i="133"/>
  <c r="Z19" i="154" l="1"/>
  <c r="AA44" i="154"/>
  <c r="AC44" i="154"/>
  <c r="AB44" i="154"/>
  <c r="M83" i="145"/>
  <c r="N35" i="153"/>
  <c r="L90" i="137"/>
  <c r="L44" i="137" s="1"/>
  <c r="L40" i="145"/>
  <c r="AC109" i="176"/>
  <c r="AC187" i="176" s="1"/>
  <c r="D15" i="145"/>
  <c r="M33" i="176"/>
  <c r="AD109" i="176"/>
  <c r="AD187" i="176" s="1"/>
  <c r="AD23" i="176"/>
  <c r="T109" i="176"/>
  <c r="T187" i="176" s="1"/>
  <c r="T33" i="176"/>
  <c r="Z7" i="167"/>
  <c r="Z8" i="167" s="1"/>
  <c r="Z20" i="167" s="1"/>
  <c r="AA35" i="176"/>
  <c r="P109" i="176"/>
  <c r="P187" i="176" s="1"/>
  <c r="P33" i="176"/>
  <c r="V109" i="176"/>
  <c r="V187" i="176" s="1"/>
  <c r="V33" i="176"/>
  <c r="Y109" i="176"/>
  <c r="Y187" i="176" s="1"/>
  <c r="Y33" i="176"/>
  <c r="AA34" i="149"/>
  <c r="W109" i="176"/>
  <c r="W187" i="176" s="1"/>
  <c r="W33" i="176"/>
  <c r="D58" i="145"/>
  <c r="O109" i="176"/>
  <c r="O187" i="176" s="1"/>
  <c r="O33" i="176"/>
  <c r="Q109" i="176"/>
  <c r="Q187" i="176" s="1"/>
  <c r="Q33" i="176"/>
  <c r="AB109" i="176"/>
  <c r="AB187" i="176" s="1"/>
  <c r="AB33" i="176"/>
  <c r="U109" i="176"/>
  <c r="U187" i="176" s="1"/>
  <c r="U33" i="176"/>
  <c r="R109" i="176"/>
  <c r="R187" i="176" s="1"/>
  <c r="R33" i="176"/>
  <c r="S109" i="176"/>
  <c r="S187" i="176" s="1"/>
  <c r="S33" i="176"/>
  <c r="Z109" i="176"/>
  <c r="Z187" i="176" s="1"/>
  <c r="Z33" i="176"/>
  <c r="AC35" i="176"/>
  <c r="AB6" i="167"/>
  <c r="AB8" i="167" s="1"/>
  <c r="AB20" i="167" s="1"/>
  <c r="AF46" i="167" s="1"/>
  <c r="X109" i="176"/>
  <c r="X187" i="176" s="1"/>
  <c r="X33" i="176"/>
  <c r="E32" i="176"/>
  <c r="L33" i="176"/>
  <c r="AB35" i="173"/>
  <c r="Z10" i="180" s="1"/>
  <c r="Z30" i="180" s="1"/>
  <c r="AA8" i="154"/>
  <c r="AA20" i="154" s="1"/>
  <c r="W35" i="173"/>
  <c r="U10" i="180" s="1"/>
  <c r="U30" i="180" s="1"/>
  <c r="V8" i="154"/>
  <c r="V20" i="154" s="1"/>
  <c r="V19" i="154" s="1"/>
  <c r="V35" i="173"/>
  <c r="T10" i="180" s="1"/>
  <c r="U8" i="154"/>
  <c r="U20" i="154" s="1"/>
  <c r="U19" i="154" s="1"/>
  <c r="Z35" i="173"/>
  <c r="X10" i="180" s="1"/>
  <c r="Y8" i="154"/>
  <c r="Y20" i="154" s="1"/>
  <c r="P35" i="173"/>
  <c r="N10" i="180" s="1"/>
  <c r="R35" i="173"/>
  <c r="P10" i="180" s="1"/>
  <c r="Q8" i="154"/>
  <c r="Q20" i="154" s="1"/>
  <c r="Q19" i="154" s="1"/>
  <c r="T35" i="173"/>
  <c r="R10" i="180" s="1"/>
  <c r="R30" i="180" s="1"/>
  <c r="S8" i="154"/>
  <c r="S20" i="154" s="1"/>
  <c r="S19" i="154" s="1"/>
  <c r="S35" i="173"/>
  <c r="Q10" i="180" s="1"/>
  <c r="R8" i="154"/>
  <c r="R20" i="154" s="1"/>
  <c r="R19" i="154" s="1"/>
  <c r="X35" i="173"/>
  <c r="V10" i="180" s="1"/>
  <c r="V30" i="180" s="1"/>
  <c r="W8" i="154"/>
  <c r="W20" i="154" s="1"/>
  <c r="O35" i="173"/>
  <c r="M10" i="180" s="1"/>
  <c r="U35" i="173"/>
  <c r="S10" i="180" s="1"/>
  <c r="T8" i="154"/>
  <c r="T20" i="154" s="1"/>
  <c r="T19" i="154" s="1"/>
  <c r="Y35" i="173"/>
  <c r="W10" i="180" s="1"/>
  <c r="W30" i="180" s="1"/>
  <c r="X8" i="154"/>
  <c r="X20" i="154" s="1"/>
  <c r="Q35" i="173"/>
  <c r="O10" i="180" s="1"/>
  <c r="P8" i="154"/>
  <c r="P20" i="154" s="1"/>
  <c r="P19" i="154" s="1"/>
  <c r="D13" i="145"/>
  <c r="D15" i="137"/>
  <c r="D7" i="183" s="1"/>
  <c r="AH287" i="166"/>
  <c r="AH300" i="166" s="1"/>
  <c r="N230" i="166"/>
  <c r="J230" i="166"/>
  <c r="J245" i="135"/>
  <c r="J272" i="135" s="1"/>
  <c r="M245" i="135"/>
  <c r="M272" i="135" s="1"/>
  <c r="D62" i="137"/>
  <c r="D16" i="145"/>
  <c r="D64" i="137"/>
  <c r="D57" i="145"/>
  <c r="Z109" i="173"/>
  <c r="Z187" i="173" s="1"/>
  <c r="R109" i="173"/>
  <c r="R187" i="173" s="1"/>
  <c r="Q109" i="173"/>
  <c r="Q187" i="173" s="1"/>
  <c r="T109" i="173"/>
  <c r="T187" i="173" s="1"/>
  <c r="O109" i="173"/>
  <c r="O187" i="173" s="1"/>
  <c r="S109" i="173"/>
  <c r="S187" i="173" s="1"/>
  <c r="U109" i="173"/>
  <c r="U187" i="173" s="1"/>
  <c r="Y109" i="173"/>
  <c r="Y187" i="173" s="1"/>
  <c r="X109" i="173"/>
  <c r="X187" i="173" s="1"/>
  <c r="P109" i="173"/>
  <c r="P187" i="173" s="1"/>
  <c r="AB109" i="173"/>
  <c r="AB187" i="173" s="1"/>
  <c r="W109" i="173"/>
  <c r="W187" i="173" s="1"/>
  <c r="V109" i="173"/>
  <c r="V187" i="173" s="1"/>
  <c r="Y244" i="135"/>
  <c r="Y271" i="135" s="1"/>
  <c r="O247" i="135"/>
  <c r="O274" i="135" s="1"/>
  <c r="Q236" i="135"/>
  <c r="Q263" i="135" s="1"/>
  <c r="AC252" i="135"/>
  <c r="AC279" i="135" s="1"/>
  <c r="AE13" i="176"/>
  <c r="J257" i="135"/>
  <c r="X230" i="135"/>
  <c r="X257" i="135" s="1"/>
  <c r="S250" i="135"/>
  <c r="S277" i="135" s="1"/>
  <c r="O41" i="146"/>
  <c r="J237" i="135"/>
  <c r="J264" i="135" s="1"/>
  <c r="AF233" i="135"/>
  <c r="AF260" i="135" s="1"/>
  <c r="AF247" i="135"/>
  <c r="AF274" i="135" s="1"/>
  <c r="P243" i="135"/>
  <c r="P270" i="135" s="1"/>
  <c r="K240" i="135"/>
  <c r="K267" i="135" s="1"/>
  <c r="W41" i="146"/>
  <c r="AA41" i="136"/>
  <c r="AB8" i="154"/>
  <c r="AB20" i="154" s="1"/>
  <c r="AC46" i="154" s="1"/>
  <c r="P41" i="146"/>
  <c r="S41" i="146"/>
  <c r="AC35" i="173"/>
  <c r="AA10" i="180" s="1"/>
  <c r="AA30" i="180" s="1"/>
  <c r="AD23" i="173"/>
  <c r="AD109" i="173"/>
  <c r="AD187" i="173" s="1"/>
  <c r="R41" i="146"/>
  <c r="N41" i="146"/>
  <c r="AF252" i="135"/>
  <c r="AF279" i="135" s="1"/>
  <c r="Z247" i="135"/>
  <c r="Z274" i="135" s="1"/>
  <c r="AB244" i="135"/>
  <c r="AB271" i="135" s="1"/>
  <c r="Z234" i="135"/>
  <c r="Z261" i="135" s="1"/>
  <c r="Z248" i="135"/>
  <c r="Z275" i="135" s="1"/>
  <c r="L243" i="135"/>
  <c r="L270" i="135" s="1"/>
  <c r="U239" i="135"/>
  <c r="U266" i="135" s="1"/>
  <c r="R242" i="135"/>
  <c r="R269" i="135" s="1"/>
  <c r="AE252" i="135"/>
  <c r="AE279" i="135" s="1"/>
  <c r="R231" i="135"/>
  <c r="R258" i="135" s="1"/>
  <c r="AA245" i="135"/>
  <c r="AA272" i="135" s="1"/>
  <c r="M235" i="135"/>
  <c r="M262" i="135" s="1"/>
  <c r="M244" i="135"/>
  <c r="M271" i="135" s="1"/>
  <c r="AC250" i="135"/>
  <c r="AC277" i="135" s="1"/>
  <c r="AF250" i="135"/>
  <c r="AF277" i="135" s="1"/>
  <c r="W235" i="135"/>
  <c r="W262" i="135" s="1"/>
  <c r="K244" i="135"/>
  <c r="K271" i="135" s="1"/>
  <c r="AD247" i="135"/>
  <c r="AD274" i="135" s="1"/>
  <c r="AE251" i="135"/>
  <c r="AE278" i="135" s="1"/>
  <c r="T235" i="135"/>
  <c r="T262" i="135" s="1"/>
  <c r="O241" i="135"/>
  <c r="O268" i="135" s="1"/>
  <c r="Y238" i="135"/>
  <c r="Y265" i="135" s="1"/>
  <c r="K232" i="135"/>
  <c r="K259" i="135" s="1"/>
  <c r="AF245" i="135"/>
  <c r="AF272" i="135" s="1"/>
  <c r="W251" i="135"/>
  <c r="W278" i="135" s="1"/>
  <c r="AA233" i="135"/>
  <c r="AA260" i="135" s="1"/>
  <c r="AE244" i="135"/>
  <c r="AE271" i="135" s="1"/>
  <c r="AE250" i="135"/>
  <c r="AE277" i="135" s="1"/>
  <c r="AD230" i="135"/>
  <c r="AD257" i="135" s="1"/>
  <c r="Y248" i="135"/>
  <c r="Y275" i="135" s="1"/>
  <c r="X234" i="135"/>
  <c r="X261" i="135" s="1"/>
  <c r="V240" i="135"/>
  <c r="V267" i="135" s="1"/>
  <c r="U236" i="135"/>
  <c r="U263" i="135" s="1"/>
  <c r="L238" i="135"/>
  <c r="L265" i="135" s="1"/>
  <c r="S238" i="135"/>
  <c r="S265" i="135" s="1"/>
  <c r="Y247" i="135"/>
  <c r="Y274" i="135" s="1"/>
  <c r="K243" i="135"/>
  <c r="K270" i="135" s="1"/>
  <c r="AD252" i="135"/>
  <c r="AD279" i="135" s="1"/>
  <c r="L236" i="135"/>
  <c r="L263" i="135" s="1"/>
  <c r="AE245" i="135"/>
  <c r="AE272" i="135" s="1"/>
  <c r="X247" i="135"/>
  <c r="X274" i="135" s="1"/>
  <c r="S237" i="135"/>
  <c r="S264" i="135" s="1"/>
  <c r="S247" i="135"/>
  <c r="S274" i="135" s="1"/>
  <c r="Y246" i="135"/>
  <c r="Y273" i="135" s="1"/>
  <c r="R230" i="135"/>
  <c r="R257" i="135" s="1"/>
  <c r="AA250" i="135"/>
  <c r="AA277" i="135" s="1"/>
  <c r="M242" i="135"/>
  <c r="M269" i="135" s="1"/>
  <c r="AD234" i="135"/>
  <c r="AD261" i="135" s="1"/>
  <c r="Q250" i="135"/>
  <c r="Q277" i="135" s="1"/>
  <c r="Z237" i="135"/>
  <c r="Z264" i="135" s="1"/>
  <c r="Y232" i="135"/>
  <c r="Y259" i="135" s="1"/>
  <c r="AB243" i="135"/>
  <c r="AB270" i="135" s="1"/>
  <c r="X249" i="135"/>
  <c r="X276" i="135" s="1"/>
  <c r="AA41" i="146"/>
  <c r="J242" i="135"/>
  <c r="J269" i="135" s="1"/>
  <c r="AE243" i="135"/>
  <c r="AE270" i="135" s="1"/>
  <c r="AB240" i="135"/>
  <c r="AB267" i="135" s="1"/>
  <c r="U231" i="135"/>
  <c r="U258" i="135" s="1"/>
  <c r="AA248" i="135"/>
  <c r="AA275" i="135" s="1"/>
  <c r="M237" i="135"/>
  <c r="M264" i="135" s="1"/>
  <c r="O248" i="135"/>
  <c r="O275" i="135" s="1"/>
  <c r="P242" i="135"/>
  <c r="P269" i="135" s="1"/>
  <c r="T242" i="135"/>
  <c r="T269" i="135" s="1"/>
  <c r="P247" i="135"/>
  <c r="P274" i="135" s="1"/>
  <c r="X237" i="135"/>
  <c r="X264" i="135" s="1"/>
  <c r="M231" i="135"/>
  <c r="M258" i="135" s="1"/>
  <c r="J239" i="135"/>
  <c r="J266" i="135" s="1"/>
  <c r="P234" i="135"/>
  <c r="P261" i="135" s="1"/>
  <c r="Z238" i="135"/>
  <c r="Z265" i="135" s="1"/>
  <c r="T243" i="135"/>
  <c r="T270" i="135" s="1"/>
  <c r="AC244" i="135"/>
  <c r="AC271" i="135" s="1"/>
  <c r="K235" i="135"/>
  <c r="K262" i="135" s="1"/>
  <c r="N240" i="135"/>
  <c r="N267" i="135" s="1"/>
  <c r="P236" i="135"/>
  <c r="P263" i="135" s="1"/>
  <c r="V249" i="135"/>
  <c r="V276" i="135" s="1"/>
  <c r="O250" i="135"/>
  <c r="O277" i="135" s="1"/>
  <c r="AA242" i="135"/>
  <c r="AA269" i="135" s="1"/>
  <c r="K242" i="135"/>
  <c r="K269" i="135" s="1"/>
  <c r="T245" i="135"/>
  <c r="T272" i="135" s="1"/>
  <c r="V238" i="135"/>
  <c r="V265" i="135" s="1"/>
  <c r="L252" i="135"/>
  <c r="L279" i="135" s="1"/>
  <c r="AB235" i="135"/>
  <c r="AB262" i="135" s="1"/>
  <c r="V230" i="135"/>
  <c r="V257" i="135" s="1"/>
  <c r="Q230" i="135"/>
  <c r="Q257" i="135" s="1"/>
  <c r="W249" i="135"/>
  <c r="W276" i="135" s="1"/>
  <c r="AE235" i="135"/>
  <c r="AE262" i="135" s="1"/>
  <c r="AA246" i="135"/>
  <c r="AA273" i="135" s="1"/>
  <c r="V232" i="135"/>
  <c r="V259" i="135" s="1"/>
  <c r="AA249" i="135"/>
  <c r="AA276" i="135" s="1"/>
  <c r="AD242" i="135"/>
  <c r="AD269" i="135" s="1"/>
  <c r="S232" i="135"/>
  <c r="S259" i="135" s="1"/>
  <c r="Q240" i="135"/>
  <c r="Q267" i="135" s="1"/>
  <c r="AB250" i="135"/>
  <c r="AB277" i="135" s="1"/>
  <c r="R234" i="135"/>
  <c r="R261" i="135" s="1"/>
  <c r="Z246" i="135"/>
  <c r="Z273" i="135" s="1"/>
  <c r="AD250" i="135"/>
  <c r="AD277" i="135" s="1"/>
  <c r="N237" i="135"/>
  <c r="N264" i="135" s="1"/>
  <c r="AA247" i="135"/>
  <c r="AA274" i="135" s="1"/>
  <c r="R233" i="135"/>
  <c r="R260" i="135" s="1"/>
  <c r="V244" i="135"/>
  <c r="V271" i="135" s="1"/>
  <c r="Q244" i="135"/>
  <c r="Q271" i="135" s="1"/>
  <c r="Z231" i="135"/>
  <c r="Z258" i="135" s="1"/>
  <c r="AF238" i="135"/>
  <c r="AF265" i="135" s="1"/>
  <c r="Z249" i="135"/>
  <c r="Z276" i="135" s="1"/>
  <c r="J232" i="135"/>
  <c r="J259" i="135" s="1"/>
  <c r="AB246" i="135"/>
  <c r="AB273" i="135" s="1"/>
  <c r="N231" i="135"/>
  <c r="N258" i="135" s="1"/>
  <c r="M233" i="135"/>
  <c r="M260" i="135" s="1"/>
  <c r="O233" i="135"/>
  <c r="O260" i="135" s="1"/>
  <c r="AD240" i="135"/>
  <c r="AD267" i="135" s="1"/>
  <c r="AE236" i="135"/>
  <c r="AE263" i="135" s="1"/>
  <c r="P231" i="135"/>
  <c r="P258" i="135" s="1"/>
  <c r="W247" i="135"/>
  <c r="W274" i="135" s="1"/>
  <c r="J248" i="135"/>
  <c r="J275" i="135" s="1"/>
  <c r="M239" i="135"/>
  <c r="M266" i="135" s="1"/>
  <c r="N245" i="135"/>
  <c r="N272" i="135" s="1"/>
  <c r="N244" i="135"/>
  <c r="N271" i="135" s="1"/>
  <c r="M251" i="135"/>
  <c r="M278" i="135" s="1"/>
  <c r="AC231" i="135"/>
  <c r="AC258" i="135" s="1"/>
  <c r="AD241" i="135"/>
  <c r="AD268" i="135" s="1"/>
  <c r="W242" i="135"/>
  <c r="W269" i="135" s="1"/>
  <c r="AF243" i="135"/>
  <c r="AF270" i="135" s="1"/>
  <c r="M236" i="135"/>
  <c r="M263" i="135" s="1"/>
  <c r="AC243" i="135"/>
  <c r="AC270" i="135" s="1"/>
  <c r="AC249" i="135"/>
  <c r="AC276" i="135" s="1"/>
  <c r="W230" i="135"/>
  <c r="W257" i="135" s="1"/>
  <c r="Y239" i="135"/>
  <c r="Y266" i="135" s="1"/>
  <c r="L239" i="135"/>
  <c r="L266" i="135" s="1"/>
  <c r="X250" i="135"/>
  <c r="X277" i="135" s="1"/>
  <c r="AA237" i="135"/>
  <c r="AA264" i="135" s="1"/>
  <c r="AC245" i="135"/>
  <c r="AC272" i="135" s="1"/>
  <c r="U249" i="135"/>
  <c r="U276" i="135" s="1"/>
  <c r="J247" i="135"/>
  <c r="J274" i="135" s="1"/>
  <c r="S246" i="135"/>
  <c r="S273" i="135" s="1"/>
  <c r="T251" i="135"/>
  <c r="T278" i="135" s="1"/>
  <c r="Q242" i="135"/>
  <c r="Q269" i="135" s="1"/>
  <c r="AE234" i="135"/>
  <c r="AE261" i="135" s="1"/>
  <c r="R248" i="135"/>
  <c r="R275" i="135" s="1"/>
  <c r="AD236" i="135"/>
  <c r="AD263" i="135" s="1"/>
  <c r="K233" i="135"/>
  <c r="K260" i="135" s="1"/>
  <c r="X242" i="135"/>
  <c r="X269" i="135" s="1"/>
  <c r="P239" i="135"/>
  <c r="P266" i="135" s="1"/>
  <c r="Z240" i="135"/>
  <c r="Z267" i="135" s="1"/>
  <c r="AD245" i="135"/>
  <c r="AD272" i="135" s="1"/>
  <c r="X248" i="135"/>
  <c r="X275" i="135" s="1"/>
  <c r="AC251" i="135"/>
  <c r="AC278" i="135" s="1"/>
  <c r="AF246" i="135"/>
  <c r="AF273" i="135" s="1"/>
  <c r="AB236" i="135"/>
  <c r="AB263" i="135" s="1"/>
  <c r="M232" i="135"/>
  <c r="M259" i="135" s="1"/>
  <c r="N247" i="135"/>
  <c r="N274" i="135" s="1"/>
  <c r="X241" i="135"/>
  <c r="X268" i="135" s="1"/>
  <c r="T236" i="135"/>
  <c r="T263" i="135" s="1"/>
  <c r="L245" i="135"/>
  <c r="L272" i="135" s="1"/>
  <c r="O236" i="135"/>
  <c r="O263" i="135" s="1"/>
  <c r="M249" i="135"/>
  <c r="M276" i="135" s="1"/>
  <c r="Q234" i="135"/>
  <c r="Q261" i="135" s="1"/>
  <c r="Q248" i="135"/>
  <c r="Q275" i="135" s="1"/>
  <c r="AC234" i="135"/>
  <c r="AC261" i="135" s="1"/>
  <c r="W244" i="135"/>
  <c r="W271" i="135" s="1"/>
  <c r="K231" i="135"/>
  <c r="K258" i="135" s="1"/>
  <c r="X246" i="135"/>
  <c r="X273" i="135" s="1"/>
  <c r="U251" i="135"/>
  <c r="U278" i="135" s="1"/>
  <c r="W239" i="135"/>
  <c r="W266" i="135" s="1"/>
  <c r="Y250" i="135"/>
  <c r="Y277" i="135" s="1"/>
  <c r="V243" i="135"/>
  <c r="V270" i="135" s="1"/>
  <c r="W248" i="135"/>
  <c r="W275" i="135" s="1"/>
  <c r="U246" i="135"/>
  <c r="U273" i="135" s="1"/>
  <c r="T230" i="135"/>
  <c r="T257" i="135" s="1"/>
  <c r="J251" i="135"/>
  <c r="J278" i="135" s="1"/>
  <c r="J236" i="135"/>
  <c r="J263" i="135" s="1"/>
  <c r="M241" i="135"/>
  <c r="M268" i="135" s="1"/>
  <c r="AC237" i="135"/>
  <c r="AC264" i="135" s="1"/>
  <c r="O243" i="135"/>
  <c r="O270" i="135" s="1"/>
  <c r="L230" i="135"/>
  <c r="L257" i="135" s="1"/>
  <c r="S241" i="135"/>
  <c r="S268" i="135" s="1"/>
  <c r="S251" i="135"/>
  <c r="S278" i="135" s="1"/>
  <c r="R251" i="135"/>
  <c r="R278" i="135" s="1"/>
  <c r="AA243" i="135"/>
  <c r="AA270" i="135" s="1"/>
  <c r="Y234" i="135"/>
  <c r="Y261" i="135" s="1"/>
  <c r="S233" i="135"/>
  <c r="S260" i="135" s="1"/>
  <c r="P246" i="135"/>
  <c r="P273" i="135" s="1"/>
  <c r="V241" i="135"/>
  <c r="V268" i="135" s="1"/>
  <c r="U230" i="135"/>
  <c r="U257" i="135" s="1"/>
  <c r="P249" i="135"/>
  <c r="P276" i="135" s="1"/>
  <c r="Y230" i="135"/>
  <c r="Y257" i="135" s="1"/>
  <c r="R241" i="135"/>
  <c r="R268" i="135" s="1"/>
  <c r="K251" i="135"/>
  <c r="K278" i="135" s="1"/>
  <c r="Q247" i="135"/>
  <c r="Q274" i="135" s="1"/>
  <c r="K247" i="135"/>
  <c r="K274" i="135" s="1"/>
  <c r="R239" i="135"/>
  <c r="R266" i="135" s="1"/>
  <c r="T248" i="135"/>
  <c r="T275" i="135" s="1"/>
  <c r="AF241" i="135"/>
  <c r="AF268" i="135" s="1"/>
  <c r="T252" i="135"/>
  <c r="T279" i="135" s="1"/>
  <c r="Q232" i="135"/>
  <c r="Q259" i="135" s="1"/>
  <c r="P241" i="135"/>
  <c r="P268" i="135" s="1"/>
  <c r="O235" i="135"/>
  <c r="O262" i="135" s="1"/>
  <c r="V236" i="135"/>
  <c r="V263" i="135" s="1"/>
  <c r="AF234" i="135"/>
  <c r="AF261" i="135" s="1"/>
  <c r="AD232" i="135"/>
  <c r="AD259" i="135" s="1"/>
  <c r="U242" i="135"/>
  <c r="U269" i="135" s="1"/>
  <c r="P252" i="135"/>
  <c r="P279" i="135" s="1"/>
  <c r="L231" i="135"/>
  <c r="L258" i="135" s="1"/>
  <c r="O237" i="135"/>
  <c r="O264" i="135" s="1"/>
  <c r="AA240" i="135"/>
  <c r="AA267" i="135" s="1"/>
  <c r="AE232" i="135"/>
  <c r="AE259" i="135" s="1"/>
  <c r="S252" i="135"/>
  <c r="S279" i="135" s="1"/>
  <c r="V239" i="135"/>
  <c r="V266" i="135" s="1"/>
  <c r="W237" i="135"/>
  <c r="W264" i="135" s="1"/>
  <c r="T240" i="135"/>
  <c r="T267" i="135" s="1"/>
  <c r="X235" i="135"/>
  <c r="X262" i="135" s="1"/>
  <c r="V242" i="135"/>
  <c r="V269" i="135" s="1"/>
  <c r="N250" i="135"/>
  <c r="N277" i="135" s="1"/>
  <c r="AE239" i="135"/>
  <c r="AE266" i="135" s="1"/>
  <c r="Q239" i="135"/>
  <c r="Q266" i="135" s="1"/>
  <c r="AC246" i="135"/>
  <c r="AC273" i="135" s="1"/>
  <c r="R243" i="135"/>
  <c r="R270" i="135" s="1"/>
  <c r="O242" i="135"/>
  <c r="O269" i="135" s="1"/>
  <c r="K236" i="135"/>
  <c r="K263" i="135" s="1"/>
  <c r="Z251" i="135"/>
  <c r="Z278" i="135" s="1"/>
  <c r="Y243" i="135"/>
  <c r="Y270" i="135" s="1"/>
  <c r="Z235" i="135"/>
  <c r="Z262" i="135" s="1"/>
  <c r="V250" i="135"/>
  <c r="V277" i="135" s="1"/>
  <c r="N243" i="135"/>
  <c r="N270" i="135" s="1"/>
  <c r="U244" i="135"/>
  <c r="U271" i="135" s="1"/>
  <c r="X252" i="135"/>
  <c r="X279" i="135" s="1"/>
  <c r="AC242" i="135"/>
  <c r="AC269" i="135" s="1"/>
  <c r="K250" i="135"/>
  <c r="K277" i="135" s="1"/>
  <c r="Q246" i="135"/>
  <c r="Q273" i="135" s="1"/>
  <c r="AF251" i="135"/>
  <c r="AF278" i="135" s="1"/>
  <c r="N241" i="135"/>
  <c r="N268" i="135" s="1"/>
  <c r="J240" i="135"/>
  <c r="J267" i="135" s="1"/>
  <c r="L250" i="135"/>
  <c r="L277" i="135" s="1"/>
  <c r="O245" i="135"/>
  <c r="O272" i="135" s="1"/>
  <c r="T237" i="135"/>
  <c r="T264" i="135" s="1"/>
  <c r="O249" i="135"/>
  <c r="O276" i="135" s="1"/>
  <c r="W252" i="135"/>
  <c r="W279" i="135" s="1"/>
  <c r="AF249" i="135"/>
  <c r="AF276" i="135" s="1"/>
  <c r="Q233" i="135"/>
  <c r="Q260" i="135" s="1"/>
  <c r="K248" i="135"/>
  <c r="K275" i="135" s="1"/>
  <c r="Y245" i="135"/>
  <c r="Y272" i="135" s="1"/>
  <c r="K245" i="135"/>
  <c r="K272" i="135" s="1"/>
  <c r="T244" i="135"/>
  <c r="T271" i="135" s="1"/>
  <c r="S234" i="135"/>
  <c r="S261" i="135" s="1"/>
  <c r="L237" i="135"/>
  <c r="L264" i="135" s="1"/>
  <c r="Z241" i="135"/>
  <c r="Z268" i="135" s="1"/>
  <c r="J249" i="135"/>
  <c r="J276" i="135" s="1"/>
  <c r="L235" i="135"/>
  <c r="L262" i="135" s="1"/>
  <c r="P230" i="135"/>
  <c r="P257" i="135" s="1"/>
  <c r="AC247" i="135"/>
  <c r="AC274" i="135" s="1"/>
  <c r="L246" i="135"/>
  <c r="L273" i="135" s="1"/>
  <c r="Z243" i="135"/>
  <c r="Z270" i="135" s="1"/>
  <c r="AF239" i="135"/>
  <c r="AF266" i="135" s="1"/>
  <c r="S240" i="135"/>
  <c r="S267" i="135" s="1"/>
  <c r="V245" i="135"/>
  <c r="V272" i="135" s="1"/>
  <c r="U250" i="135"/>
  <c r="U277" i="135" s="1"/>
  <c r="AD248" i="135"/>
  <c r="AD275" i="135" s="1"/>
  <c r="O251" i="135"/>
  <c r="O278" i="135" s="1"/>
  <c r="AA230" i="135"/>
  <c r="AA257" i="135" s="1"/>
  <c r="Z242" i="135"/>
  <c r="Z269" i="135" s="1"/>
  <c r="AF235" i="135"/>
  <c r="AF262" i="135" s="1"/>
  <c r="Y241" i="135"/>
  <c r="Y268" i="135" s="1"/>
  <c r="AE237" i="135"/>
  <c r="AE264" i="135" s="1"/>
  <c r="J234" i="135"/>
  <c r="J261" i="135" s="1"/>
  <c r="X232" i="135"/>
  <c r="X259" i="135" s="1"/>
  <c r="AD237" i="135"/>
  <c r="AD264" i="135" s="1"/>
  <c r="AD231" i="135"/>
  <c r="AD258" i="135" s="1"/>
  <c r="L240" i="135"/>
  <c r="L267" i="135" s="1"/>
  <c r="U252" i="135"/>
  <c r="U279" i="135" s="1"/>
  <c r="AC238" i="135"/>
  <c r="AC265" i="135" s="1"/>
  <c r="AB249" i="135"/>
  <c r="AB276" i="135" s="1"/>
  <c r="R252" i="135"/>
  <c r="R279" i="135" s="1"/>
  <c r="K234" i="135"/>
  <c r="K261" i="135" s="1"/>
  <c r="P251" i="135"/>
  <c r="P278" i="135" s="1"/>
  <c r="K239" i="135"/>
  <c r="K266" i="135" s="1"/>
  <c r="AD246" i="135"/>
  <c r="AD273" i="135" s="1"/>
  <c r="S244" i="135"/>
  <c r="S271" i="135" s="1"/>
  <c r="K241" i="135"/>
  <c r="K268" i="135" s="1"/>
  <c r="M230" i="135"/>
  <c r="M257" i="135" s="1"/>
  <c r="M234" i="135"/>
  <c r="M261" i="135" s="1"/>
  <c r="V235" i="135"/>
  <c r="V262" i="135" s="1"/>
  <c r="S231" i="135"/>
  <c r="S258" i="135" s="1"/>
  <c r="P240" i="135"/>
  <c r="P267" i="135" s="1"/>
  <c r="Q243" i="135"/>
  <c r="Q270" i="135" s="1"/>
  <c r="R238" i="135"/>
  <c r="R265" i="135" s="1"/>
  <c r="R244" i="135"/>
  <c r="R271" i="135" s="1"/>
  <c r="K237" i="135"/>
  <c r="K264" i="135" s="1"/>
  <c r="L241" i="135"/>
  <c r="L268" i="135" s="1"/>
  <c r="M243" i="135"/>
  <c r="M270" i="135" s="1"/>
  <c r="V251" i="135"/>
  <c r="V278" i="135" s="1"/>
  <c r="O246" i="135"/>
  <c r="O273" i="135" s="1"/>
  <c r="L242" i="135"/>
  <c r="L269" i="135" s="1"/>
  <c r="U248" i="135"/>
  <c r="U275" i="135" s="1"/>
  <c r="U247" i="135"/>
  <c r="U274" i="135" s="1"/>
  <c r="O240" i="135"/>
  <c r="O267" i="135" s="1"/>
  <c r="T249" i="135"/>
  <c r="T276" i="135" s="1"/>
  <c r="T238" i="135"/>
  <c r="T265" i="135" s="1"/>
  <c r="P237" i="135"/>
  <c r="P264" i="135" s="1"/>
  <c r="M250" i="135"/>
  <c r="M277" i="135" s="1"/>
  <c r="U240" i="135"/>
  <c r="U267" i="135" s="1"/>
  <c r="AE247" i="135"/>
  <c r="AE274" i="135" s="1"/>
  <c r="X244" i="135"/>
  <c r="X271" i="135" s="1"/>
  <c r="AE249" i="135"/>
  <c r="AE276" i="135" s="1"/>
  <c r="P233" i="135"/>
  <c r="P260" i="135" s="1"/>
  <c r="J250" i="135"/>
  <c r="J277" i="135" s="1"/>
  <c r="Z252" i="135"/>
  <c r="Z279" i="135" s="1"/>
  <c r="W234" i="135"/>
  <c r="W261" i="135" s="1"/>
  <c r="Y237" i="135"/>
  <c r="Y264" i="135" s="1"/>
  <c r="AD251" i="135"/>
  <c r="AD278" i="135" s="1"/>
  <c r="R232" i="135"/>
  <c r="R259" i="135" s="1"/>
  <c r="M240" i="135"/>
  <c r="M267" i="135" s="1"/>
  <c r="T246" i="135"/>
  <c r="T273" i="135" s="1"/>
  <c r="N235" i="135"/>
  <c r="N262" i="135" s="1"/>
  <c r="N234" i="135"/>
  <c r="N261" i="135" s="1"/>
  <c r="N246" i="135"/>
  <c r="N273" i="135" s="1"/>
  <c r="X233" i="135"/>
  <c r="X260" i="135" s="1"/>
  <c r="R236" i="135"/>
  <c r="R263" i="135" s="1"/>
  <c r="AF240" i="135"/>
  <c r="AF267" i="135" s="1"/>
  <c r="Z244" i="135"/>
  <c r="Z271" i="135" s="1"/>
  <c r="AF248" i="135"/>
  <c r="AF275" i="135" s="1"/>
  <c r="S243" i="135"/>
  <c r="S270" i="135" s="1"/>
  <c r="AA241" i="135"/>
  <c r="AA268" i="135" s="1"/>
  <c r="U243" i="135"/>
  <c r="U270" i="135" s="1"/>
  <c r="V248" i="135"/>
  <c r="V275" i="135" s="1"/>
  <c r="R240" i="135"/>
  <c r="R267" i="135" s="1"/>
  <c r="N252" i="135"/>
  <c r="N279" i="135" s="1"/>
  <c r="N251" i="135"/>
  <c r="N278" i="135" s="1"/>
  <c r="P235" i="135"/>
  <c r="P262" i="135" s="1"/>
  <c r="J252" i="135"/>
  <c r="J279" i="135" s="1"/>
  <c r="J244" i="135"/>
  <c r="J271" i="135" s="1"/>
  <c r="K246" i="135"/>
  <c r="K273" i="135" s="1"/>
  <c r="O230" i="135"/>
  <c r="O257" i="135" s="1"/>
  <c r="S248" i="135"/>
  <c r="S275" i="135" s="1"/>
  <c r="L248" i="135"/>
  <c r="L275" i="135" s="1"/>
  <c r="AB233" i="135"/>
  <c r="AB260" i="135" s="1"/>
  <c r="S249" i="135"/>
  <c r="S276" i="135" s="1"/>
  <c r="K252" i="135"/>
  <c r="K279" i="135" s="1"/>
  <c r="AD233" i="135"/>
  <c r="AD260" i="135" s="1"/>
  <c r="U245" i="135"/>
  <c r="U272" i="135" s="1"/>
  <c r="Y249" i="135"/>
  <c r="Y276" i="135" s="1"/>
  <c r="K249" i="135"/>
  <c r="K276" i="135" s="1"/>
  <c r="AB242" i="135"/>
  <c r="AB269" i="135" s="1"/>
  <c r="N248" i="135"/>
  <c r="N275" i="135" s="1"/>
  <c r="J241" i="135"/>
  <c r="J268" i="135" s="1"/>
  <c r="N232" i="135"/>
  <c r="N259" i="135" s="1"/>
  <c r="W246" i="135"/>
  <c r="W273" i="135" s="1"/>
  <c r="AB239" i="135"/>
  <c r="AB266" i="135" s="1"/>
  <c r="R249" i="135"/>
  <c r="R276" i="135" s="1"/>
  <c r="J238" i="135"/>
  <c r="J265" i="135" s="1"/>
  <c r="Y236" i="135"/>
  <c r="Y263" i="135" s="1"/>
  <c r="V231" i="135"/>
  <c r="V258" i="135" s="1"/>
  <c r="AC240" i="135"/>
  <c r="AC267" i="135" s="1"/>
  <c r="T232" i="135"/>
  <c r="T259" i="135" s="1"/>
  <c r="AC233" i="135"/>
  <c r="AC260" i="135" s="1"/>
  <c r="X238" i="135"/>
  <c r="X265" i="135" s="1"/>
  <c r="W241" i="135"/>
  <c r="W268" i="135" s="1"/>
  <c r="O239" i="135"/>
  <c r="O266" i="135" s="1"/>
  <c r="X236" i="135"/>
  <c r="X263" i="135" s="1"/>
  <c r="AE248" i="135"/>
  <c r="AE275" i="135" s="1"/>
  <c r="Q238" i="135"/>
  <c r="Q265" i="135" s="1"/>
  <c r="Y252" i="135"/>
  <c r="Y279" i="135" s="1"/>
  <c r="N236" i="135"/>
  <c r="N263" i="135" s="1"/>
  <c r="X251" i="135"/>
  <c r="X278" i="135" s="1"/>
  <c r="L247" i="135"/>
  <c r="L274" i="135" s="1"/>
  <c r="L232" i="135"/>
  <c r="L259" i="135" s="1"/>
  <c r="X231" i="135"/>
  <c r="X258" i="135" s="1"/>
  <c r="X243" i="135"/>
  <c r="X270" i="135" s="1"/>
  <c r="O231" i="135"/>
  <c r="O258" i="135" s="1"/>
  <c r="O234" i="135"/>
  <c r="O261" i="135" s="1"/>
  <c r="AA238" i="135"/>
  <c r="AA265" i="135" s="1"/>
  <c r="Y233" i="135"/>
  <c r="Y260" i="135" s="1"/>
  <c r="M252" i="135"/>
  <c r="M279" i="135" s="1"/>
  <c r="AE240" i="135"/>
  <c r="AE267" i="135" s="1"/>
  <c r="AB237" i="135"/>
  <c r="AB264" i="135" s="1"/>
  <c r="J233" i="135"/>
  <c r="J260" i="135" s="1"/>
  <c r="AA235" i="135"/>
  <c r="AA262" i="135" s="1"/>
  <c r="P244" i="135"/>
  <c r="P271" i="135" s="1"/>
  <c r="U241" i="135"/>
  <c r="U268" i="135" s="1"/>
  <c r="AB251" i="135"/>
  <c r="AB278" i="135" s="1"/>
  <c r="W240" i="135"/>
  <c r="W267" i="135" s="1"/>
  <c r="P238" i="135"/>
  <c r="P265" i="135" s="1"/>
  <c r="X239" i="135"/>
  <c r="X266" i="135" s="1"/>
  <c r="O252" i="135"/>
  <c r="O279" i="135" s="1"/>
  <c r="P232" i="135"/>
  <c r="P259" i="135" s="1"/>
  <c r="AB232" i="135"/>
  <c r="AB259" i="135" s="1"/>
  <c r="AA251" i="135"/>
  <c r="AA278" i="135" s="1"/>
  <c r="T239" i="135"/>
  <c r="T266" i="135" s="1"/>
  <c r="Z232" i="135"/>
  <c r="Z259" i="135" s="1"/>
  <c r="O244" i="135"/>
  <c r="O271" i="135" s="1"/>
  <c r="AE246" i="135"/>
  <c r="AE273" i="135" s="1"/>
  <c r="T250" i="135"/>
  <c r="T277" i="135" s="1"/>
  <c r="S230" i="135"/>
  <c r="S257" i="135" s="1"/>
  <c r="Z239" i="135"/>
  <c r="Z266" i="135" s="1"/>
  <c r="R235" i="135"/>
  <c r="R262" i="135" s="1"/>
  <c r="AC241" i="135"/>
  <c r="AC268" i="135" s="1"/>
  <c r="W236" i="135"/>
  <c r="W263" i="135" s="1"/>
  <c r="Z233" i="135"/>
  <c r="Z260" i="135" s="1"/>
  <c r="AC232" i="135"/>
  <c r="AC259" i="135" s="1"/>
  <c r="Q231" i="135"/>
  <c r="Q258" i="135" s="1"/>
  <c r="W233" i="135"/>
  <c r="W260" i="135" s="1"/>
  <c r="AD238" i="135"/>
  <c r="AD265" i="135" s="1"/>
  <c r="AB234" i="135"/>
  <c r="AB261" i="135" s="1"/>
  <c r="U235" i="135"/>
  <c r="U262" i="135" s="1"/>
  <c r="AC236" i="135"/>
  <c r="AC263" i="135" s="1"/>
  <c r="AE233" i="135"/>
  <c r="AE260" i="135" s="1"/>
  <c r="AF242" i="135"/>
  <c r="AF269" i="135" s="1"/>
  <c r="N230" i="135"/>
  <c r="N257" i="135" s="1"/>
  <c r="R245" i="135"/>
  <c r="R272" i="135" s="1"/>
  <c r="K238" i="135"/>
  <c r="K265" i="135" s="1"/>
  <c r="AE230" i="135"/>
  <c r="AE257" i="135" s="1"/>
  <c r="P245" i="135"/>
  <c r="P272" i="135" s="1"/>
  <c r="Q235" i="135"/>
  <c r="Q262" i="135" s="1"/>
  <c r="U237" i="135"/>
  <c r="U264" i="135" s="1"/>
  <c r="AA244" i="135"/>
  <c r="AA271" i="135" s="1"/>
  <c r="X240" i="135"/>
  <c r="X267" i="135" s="1"/>
  <c r="AC248" i="135"/>
  <c r="AC275" i="135" s="1"/>
  <c r="Y251" i="135"/>
  <c r="Y278" i="135" s="1"/>
  <c r="AA232" i="135"/>
  <c r="AA259" i="135" s="1"/>
  <c r="AF236" i="135"/>
  <c r="AF263" i="135" s="1"/>
  <c r="W231" i="135"/>
  <c r="W258" i="135" s="1"/>
  <c r="V246" i="135"/>
  <c r="V273" i="135" s="1"/>
  <c r="O232" i="135"/>
  <c r="O259" i="135" s="1"/>
  <c r="AE242" i="135"/>
  <c r="AE269" i="135" s="1"/>
  <c r="V252" i="135"/>
  <c r="V279" i="135" s="1"/>
  <c r="N249" i="135"/>
  <c r="N276" i="135" s="1"/>
  <c r="R246" i="135"/>
  <c r="R273" i="135" s="1"/>
  <c r="T231" i="135"/>
  <c r="T258" i="135" s="1"/>
  <c r="Y231" i="135"/>
  <c r="Y258" i="135" s="1"/>
  <c r="Z230" i="135"/>
  <c r="Z257" i="135" s="1"/>
  <c r="AB248" i="135"/>
  <c r="AB275" i="135" s="1"/>
  <c r="N233" i="135"/>
  <c r="N260" i="135" s="1"/>
  <c r="M247" i="135"/>
  <c r="M274" i="135" s="1"/>
  <c r="S242" i="135"/>
  <c r="S269" i="135" s="1"/>
  <c r="AD239" i="135"/>
  <c r="AD266" i="135" s="1"/>
  <c r="AB245" i="135"/>
  <c r="AB272" i="135" s="1"/>
  <c r="U238" i="135"/>
  <c r="U265" i="135" s="1"/>
  <c r="T234" i="135"/>
  <c r="T261" i="135" s="1"/>
  <c r="O238" i="135"/>
  <c r="O265" i="135" s="1"/>
  <c r="AD249" i="135"/>
  <c r="AD276" i="135" s="1"/>
  <c r="AC230" i="135"/>
  <c r="AC257" i="135" s="1"/>
  <c r="T247" i="135"/>
  <c r="T274" i="135" s="1"/>
  <c r="AC235" i="135"/>
  <c r="AC262" i="135" s="1"/>
  <c r="V247" i="135"/>
  <c r="V274" i="135" s="1"/>
  <c r="Z236" i="135"/>
  <c r="Z263" i="135" s="1"/>
  <c r="Y240" i="135"/>
  <c r="Y267" i="135" s="1"/>
  <c r="U234" i="135"/>
  <c r="U261" i="135" s="1"/>
  <c r="W232" i="135"/>
  <c r="W259" i="135" s="1"/>
  <c r="AF237" i="135"/>
  <c r="AF264" i="135" s="1"/>
  <c r="AA231" i="135"/>
  <c r="AA258" i="135" s="1"/>
  <c r="N238" i="135"/>
  <c r="N265" i="135" s="1"/>
  <c r="Y242" i="135"/>
  <c r="Y269" i="135" s="1"/>
  <c r="AB241" i="135"/>
  <c r="AB268" i="135" s="1"/>
  <c r="M248" i="135"/>
  <c r="M275" i="135" s="1"/>
  <c r="Q237" i="135"/>
  <c r="Q264" i="135" s="1"/>
  <c r="T241" i="135"/>
  <c r="T268" i="135" s="1"/>
  <c r="R250" i="135"/>
  <c r="R277" i="135" s="1"/>
  <c r="S235" i="135"/>
  <c r="S262" i="135" s="1"/>
  <c r="AF231" i="135"/>
  <c r="AF258" i="135" s="1"/>
  <c r="L234" i="135"/>
  <c r="L261" i="135" s="1"/>
  <c r="AB238" i="135"/>
  <c r="AB265" i="135" s="1"/>
  <c r="J235" i="135"/>
  <c r="J262" i="135" s="1"/>
  <c r="AA252" i="135"/>
  <c r="AA279" i="135" s="1"/>
  <c r="S236" i="135"/>
  <c r="S263" i="135" s="1"/>
  <c r="U233" i="135"/>
  <c r="U260" i="135" s="1"/>
  <c r="R247" i="135"/>
  <c r="R274" i="135" s="1"/>
  <c r="Q245" i="135"/>
  <c r="Q272" i="135" s="1"/>
  <c r="Z245" i="135"/>
  <c r="Z272" i="135" s="1"/>
  <c r="AE238" i="135"/>
  <c r="AE265" i="135" s="1"/>
  <c r="AB231" i="135"/>
  <c r="AB258" i="135" s="1"/>
  <c r="AC239" i="135"/>
  <c r="AC266" i="135" s="1"/>
  <c r="Q251" i="135"/>
  <c r="Q278" i="135" s="1"/>
  <c r="S245" i="135"/>
  <c r="S272" i="135" s="1"/>
  <c r="N242" i="135"/>
  <c r="N269" i="135" s="1"/>
  <c r="AE231" i="135"/>
  <c r="AE258" i="135" s="1"/>
  <c r="U232" i="135"/>
  <c r="U259" i="135" s="1"/>
  <c r="L249" i="135"/>
  <c r="L276" i="135" s="1"/>
  <c r="X245" i="135"/>
  <c r="X272" i="135" s="1"/>
  <c r="R237" i="135"/>
  <c r="R264" i="135" s="1"/>
  <c r="AB252" i="135"/>
  <c r="AB279" i="135" s="1"/>
  <c r="AA234" i="135"/>
  <c r="AA261" i="135" s="1"/>
  <c r="L244" i="135"/>
  <c r="L271" i="135" s="1"/>
  <c r="AD235" i="135"/>
  <c r="AD262" i="135" s="1"/>
  <c r="W243" i="135"/>
  <c r="W270" i="135" s="1"/>
  <c r="J243" i="135"/>
  <c r="J270" i="135" s="1"/>
  <c r="AA239" i="135"/>
  <c r="AA266" i="135" s="1"/>
  <c r="W245" i="135"/>
  <c r="W272" i="135" s="1"/>
  <c r="AD244" i="135"/>
  <c r="AD271" i="135" s="1"/>
  <c r="Q249" i="135"/>
  <c r="Q276" i="135" s="1"/>
  <c r="AB230" i="135"/>
  <c r="AB257" i="135" s="1"/>
  <c r="AE241" i="135"/>
  <c r="AE268" i="135" s="1"/>
  <c r="N239" i="135"/>
  <c r="N266" i="135" s="1"/>
  <c r="W250" i="135"/>
  <c r="W277" i="135" s="1"/>
  <c r="Q252" i="135"/>
  <c r="Q279" i="135" s="1"/>
  <c r="AD243" i="135"/>
  <c r="AD270" i="135" s="1"/>
  <c r="AB247" i="135"/>
  <c r="AB274" i="135" s="1"/>
  <c r="AF232" i="135"/>
  <c r="AF259" i="135" s="1"/>
  <c r="L233" i="135"/>
  <c r="L260" i="135" s="1"/>
  <c r="V233" i="135"/>
  <c r="V260" i="135" s="1"/>
  <c r="P248" i="135"/>
  <c r="P275" i="135" s="1"/>
  <c r="Z250" i="135"/>
  <c r="Z277" i="135" s="1"/>
  <c r="L251" i="135"/>
  <c r="L278" i="135" s="1"/>
  <c r="J231" i="135"/>
  <c r="J258" i="135" s="1"/>
  <c r="Y235" i="135"/>
  <c r="Y262" i="135" s="1"/>
  <c r="T233" i="135"/>
  <c r="T260" i="135" s="1"/>
  <c r="V237" i="135"/>
  <c r="V264" i="135" s="1"/>
  <c r="M238" i="135"/>
  <c r="M265" i="135" s="1"/>
  <c r="AA236" i="135"/>
  <c r="AA263" i="135" s="1"/>
  <c r="V234" i="135"/>
  <c r="V261" i="135" s="1"/>
  <c r="S239" i="135"/>
  <c r="S266" i="135" s="1"/>
  <c r="J246" i="135"/>
  <c r="J273" i="135" s="1"/>
  <c r="AF244" i="135"/>
  <c r="AF271" i="135" s="1"/>
  <c r="AF230" i="135"/>
  <c r="AF257" i="135" s="1"/>
  <c r="K230" i="135"/>
  <c r="K257" i="135" s="1"/>
  <c r="P250" i="135"/>
  <c r="P277" i="135" s="1"/>
  <c r="W238" i="135"/>
  <c r="W265" i="135" s="1"/>
  <c r="M246" i="135"/>
  <c r="M273" i="135" s="1"/>
  <c r="Q241" i="135"/>
  <c r="Q268" i="135" s="1"/>
  <c r="AH244" i="166"/>
  <c r="AH271" i="166" s="1"/>
  <c r="Q231" i="166"/>
  <c r="Q258" i="166" s="1"/>
  <c r="O248" i="166"/>
  <c r="O275" i="166" s="1"/>
  <c r="K232" i="166"/>
  <c r="K259" i="166" s="1"/>
  <c r="T242" i="166"/>
  <c r="T269" i="166" s="1"/>
  <c r="AJ234" i="166"/>
  <c r="AJ261" i="166" s="1"/>
  <c r="AH234" i="166"/>
  <c r="AH261" i="166" s="1"/>
  <c r="V237" i="166"/>
  <c r="V264" i="166" s="1"/>
  <c r="AK247" i="166"/>
  <c r="AK274" i="166" s="1"/>
  <c r="AF241" i="166"/>
  <c r="AF268" i="166" s="1"/>
  <c r="AK239" i="166"/>
  <c r="AK266" i="166" s="1"/>
  <c r="AE249" i="166"/>
  <c r="AE276" i="166" s="1"/>
  <c r="AC237" i="166"/>
  <c r="AC264" i="166" s="1"/>
  <c r="Z232" i="166"/>
  <c r="Z259" i="166" s="1"/>
  <c r="K240" i="166"/>
  <c r="K267" i="166" s="1"/>
  <c r="AD245" i="166"/>
  <c r="AD272" i="166" s="1"/>
  <c r="Q251" i="166"/>
  <c r="Q278" i="166" s="1"/>
  <c r="AH246" i="166"/>
  <c r="AH273" i="166" s="1"/>
  <c r="AD237" i="166"/>
  <c r="AD264" i="166" s="1"/>
  <c r="AJ235" i="166"/>
  <c r="AJ262" i="166" s="1"/>
  <c r="W230" i="166"/>
  <c r="AE230" i="166"/>
  <c r="O230" i="166"/>
  <c r="P237" i="166"/>
  <c r="P264" i="166" s="1"/>
  <c r="Y243" i="166"/>
  <c r="Y270" i="166" s="1"/>
  <c r="AM235" i="166"/>
  <c r="AM262" i="166" s="1"/>
  <c r="O246" i="166"/>
  <c r="O273" i="166" s="1"/>
  <c r="AH249" i="166"/>
  <c r="AH276" i="166" s="1"/>
  <c r="N239" i="166"/>
  <c r="N266" i="166" s="1"/>
  <c r="X246" i="166"/>
  <c r="X273" i="166" s="1"/>
  <c r="T235" i="166"/>
  <c r="T262" i="166" s="1"/>
  <c r="Y246" i="166"/>
  <c r="Y273" i="166" s="1"/>
  <c r="O250" i="166"/>
  <c r="O277" i="166" s="1"/>
  <c r="P231" i="166"/>
  <c r="P258" i="166" s="1"/>
  <c r="U241" i="166"/>
  <c r="U268" i="166" s="1"/>
  <c r="AJ243" i="166"/>
  <c r="AJ270" i="166" s="1"/>
  <c r="T252" i="166"/>
  <c r="T279" i="166" s="1"/>
  <c r="AA240" i="166"/>
  <c r="AA267" i="166" s="1"/>
  <c r="X243" i="166"/>
  <c r="X270" i="166" s="1"/>
  <c r="T240" i="166"/>
  <c r="T267" i="166" s="1"/>
  <c r="AF238" i="166"/>
  <c r="AF265" i="166" s="1"/>
  <c r="AA230" i="166"/>
  <c r="AD242" i="166"/>
  <c r="AD269" i="166" s="1"/>
  <c r="S238" i="166"/>
  <c r="S265" i="166" s="1"/>
  <c r="AF245" i="166"/>
  <c r="AF272" i="166" s="1"/>
  <c r="J250" i="166"/>
  <c r="J277" i="166" s="1"/>
  <c r="Z240" i="166"/>
  <c r="Z267" i="166" s="1"/>
  <c r="AC249" i="166"/>
  <c r="AC276" i="166" s="1"/>
  <c r="Y251" i="166"/>
  <c r="Y278" i="166" s="1"/>
  <c r="AM230" i="166"/>
  <c r="R233" i="166"/>
  <c r="R260" i="166" s="1"/>
  <c r="S244" i="166"/>
  <c r="S271" i="166" s="1"/>
  <c r="X233" i="166"/>
  <c r="X260" i="166" s="1"/>
  <c r="AI237" i="166"/>
  <c r="AI264" i="166" s="1"/>
  <c r="L230" i="166"/>
  <c r="M241" i="166"/>
  <c r="M268" i="166" s="1"/>
  <c r="W249" i="166"/>
  <c r="W276" i="166" s="1"/>
  <c r="O234" i="166"/>
  <c r="O261" i="166" s="1"/>
  <c r="AA241" i="166"/>
  <c r="AA268" i="166" s="1"/>
  <c r="X242" i="166"/>
  <c r="X269" i="166" s="1"/>
  <c r="K235" i="166"/>
  <c r="K262" i="166" s="1"/>
  <c r="Y234" i="166"/>
  <c r="Y261" i="166" s="1"/>
  <c r="AI245" i="166"/>
  <c r="AI272" i="166" s="1"/>
  <c r="AB232" i="166"/>
  <c r="AB259" i="166" s="1"/>
  <c r="AC247" i="166"/>
  <c r="AC274" i="166" s="1"/>
  <c r="M245" i="166"/>
  <c r="M272" i="166" s="1"/>
  <c r="AD234" i="166"/>
  <c r="AD261" i="166" s="1"/>
  <c r="T233" i="166"/>
  <c r="T260" i="166" s="1"/>
  <c r="AF248" i="166"/>
  <c r="AF275" i="166" s="1"/>
  <c r="AA231" i="166"/>
  <c r="AA258" i="166" s="1"/>
  <c r="Z242" i="166"/>
  <c r="Z269" i="166" s="1"/>
  <c r="AC234" i="166"/>
  <c r="AC261" i="166" s="1"/>
  <c r="K233" i="166"/>
  <c r="K260" i="166" s="1"/>
  <c r="S251" i="166"/>
  <c r="S278" i="166" s="1"/>
  <c r="Z239" i="166"/>
  <c r="Z266" i="166" s="1"/>
  <c r="M242" i="166"/>
  <c r="M269" i="166" s="1"/>
  <c r="M247" i="166"/>
  <c r="M274" i="166" s="1"/>
  <c r="K236" i="166"/>
  <c r="K263" i="166" s="1"/>
  <c r="Q240" i="166"/>
  <c r="Q267" i="166" s="1"/>
  <c r="AF233" i="166"/>
  <c r="AF260" i="166" s="1"/>
  <c r="AB242" i="166"/>
  <c r="AB269" i="166" s="1"/>
  <c r="Q239" i="166"/>
  <c r="Q266" i="166" s="1"/>
  <c r="AJ248" i="166"/>
  <c r="AJ275" i="166" s="1"/>
  <c r="V230" i="166"/>
  <c r="M232" i="166"/>
  <c r="M259" i="166" s="1"/>
  <c r="AI241" i="166"/>
  <c r="AI268" i="166" s="1"/>
  <c r="AL231" i="166"/>
  <c r="AB235" i="166"/>
  <c r="AB262" i="166" s="1"/>
  <c r="AC238" i="166"/>
  <c r="AC265" i="166" s="1"/>
  <c r="AM249" i="166"/>
  <c r="AM276" i="166" s="1"/>
  <c r="AD235" i="166"/>
  <c r="AD262" i="166" s="1"/>
  <c r="W234" i="166"/>
  <c r="W261" i="166" s="1"/>
  <c r="AI235" i="166"/>
  <c r="AI262" i="166" s="1"/>
  <c r="N241" i="166"/>
  <c r="N268" i="166" s="1"/>
  <c r="L238" i="166"/>
  <c r="L265" i="166" s="1"/>
  <c r="Z245" i="166"/>
  <c r="Z272" i="166" s="1"/>
  <c r="AB247" i="166"/>
  <c r="AB274" i="166" s="1"/>
  <c r="Y239" i="166"/>
  <c r="Y266" i="166" s="1"/>
  <c r="AF251" i="166"/>
  <c r="AF278" i="166" s="1"/>
  <c r="AD236" i="166"/>
  <c r="AD263" i="166" s="1"/>
  <c r="U234" i="166"/>
  <c r="U261" i="166" s="1"/>
  <c r="AM234" i="166"/>
  <c r="AM261" i="166" s="1"/>
  <c r="K249" i="166"/>
  <c r="K276" i="166" s="1"/>
  <c r="J233" i="166"/>
  <c r="J260" i="166" s="1"/>
  <c r="AE246" i="166"/>
  <c r="AE273" i="166" s="1"/>
  <c r="J240" i="166"/>
  <c r="J267" i="166" s="1"/>
  <c r="M246" i="166"/>
  <c r="M273" i="166" s="1"/>
  <c r="R242" i="166"/>
  <c r="R269" i="166" s="1"/>
  <c r="P241" i="166"/>
  <c r="P268" i="166" s="1"/>
  <c r="AC245" i="166"/>
  <c r="AC272" i="166" s="1"/>
  <c r="T236" i="166"/>
  <c r="T263" i="166" s="1"/>
  <c r="T249" i="166"/>
  <c r="T276" i="166" s="1"/>
  <c r="L252" i="166"/>
  <c r="L279" i="166" s="1"/>
  <c r="O232" i="166"/>
  <c r="O259" i="166" s="1"/>
  <c r="AD252" i="166"/>
  <c r="AD279" i="166" s="1"/>
  <c r="U239" i="166"/>
  <c r="U266" i="166" s="1"/>
  <c r="AF246" i="166"/>
  <c r="AF273" i="166" s="1"/>
  <c r="AD240" i="166"/>
  <c r="AD267" i="166" s="1"/>
  <c r="M238" i="166"/>
  <c r="M265" i="166" s="1"/>
  <c r="V232" i="166"/>
  <c r="V259" i="166" s="1"/>
  <c r="J249" i="166"/>
  <c r="J276" i="166" s="1"/>
  <c r="AA237" i="166"/>
  <c r="AA264" i="166" s="1"/>
  <c r="AH238" i="166"/>
  <c r="AH265" i="166" s="1"/>
  <c r="S240" i="166"/>
  <c r="S267" i="166" s="1"/>
  <c r="S243" i="166"/>
  <c r="S270" i="166" s="1"/>
  <c r="X238" i="166"/>
  <c r="X265" i="166" s="1"/>
  <c r="Z241" i="166"/>
  <c r="Z268" i="166" s="1"/>
  <c r="P238" i="166"/>
  <c r="P265" i="166" s="1"/>
  <c r="R240" i="166"/>
  <c r="R267" i="166" s="1"/>
  <c r="AE252" i="166"/>
  <c r="AE279" i="166" s="1"/>
  <c r="M252" i="166"/>
  <c r="M279" i="166" s="1"/>
  <c r="R234" i="166"/>
  <c r="R261" i="166" s="1"/>
  <c r="AK248" i="166"/>
  <c r="AK275" i="166" s="1"/>
  <c r="AJ239" i="166"/>
  <c r="AJ266" i="166" s="1"/>
  <c r="P252" i="166"/>
  <c r="P279" i="166" s="1"/>
  <c r="S252" i="166"/>
  <c r="S279" i="166" s="1"/>
  <c r="U237" i="166"/>
  <c r="U264" i="166" s="1"/>
  <c r="L231" i="166"/>
  <c r="L258" i="166" s="1"/>
  <c r="P230" i="166"/>
  <c r="L235" i="166"/>
  <c r="L262" i="166" s="1"/>
  <c r="Q235" i="166"/>
  <c r="Q262" i="166" s="1"/>
  <c r="K242" i="166"/>
  <c r="K269" i="166" s="1"/>
  <c r="AB249" i="166"/>
  <c r="AB276" i="166" s="1"/>
  <c r="Y250" i="166"/>
  <c r="Y277" i="166" s="1"/>
  <c r="Z234" i="166"/>
  <c r="Z261" i="166" s="1"/>
  <c r="K251" i="166"/>
  <c r="K278" i="166" s="1"/>
  <c r="S250" i="166"/>
  <c r="S277" i="166" s="1"/>
  <c r="AA247" i="166"/>
  <c r="AA274" i="166" s="1"/>
  <c r="AE245" i="166"/>
  <c r="AE272" i="166" s="1"/>
  <c r="AI233" i="166"/>
  <c r="AI260" i="166" s="1"/>
  <c r="AC243" i="166"/>
  <c r="AC270" i="166" s="1"/>
  <c r="R244" i="166"/>
  <c r="R271" i="166" s="1"/>
  <c r="AK237" i="166"/>
  <c r="AK264" i="166" s="1"/>
  <c r="AG246" i="166"/>
  <c r="AG273" i="166" s="1"/>
  <c r="W233" i="166"/>
  <c r="W260" i="166" s="1"/>
  <c r="R251" i="166"/>
  <c r="R278" i="166" s="1"/>
  <c r="AK233" i="166"/>
  <c r="AD241" i="166"/>
  <c r="AD268" i="166" s="1"/>
  <c r="AM247" i="166"/>
  <c r="AM274" i="166" s="1"/>
  <c r="Y230" i="166"/>
  <c r="T244" i="166"/>
  <c r="T271" i="166" s="1"/>
  <c r="AL248" i="166"/>
  <c r="AL275" i="166" s="1"/>
  <c r="Z250" i="166"/>
  <c r="Z277" i="166" s="1"/>
  <c r="AH248" i="166"/>
  <c r="AH275" i="166" s="1"/>
  <c r="S247" i="166"/>
  <c r="S274" i="166" s="1"/>
  <c r="W244" i="166"/>
  <c r="W271" i="166" s="1"/>
  <c r="U244" i="166"/>
  <c r="U271" i="166" s="1"/>
  <c r="Y244" i="166"/>
  <c r="Y271" i="166" s="1"/>
  <c r="Z244" i="166"/>
  <c r="Z271" i="166" s="1"/>
  <c r="AM251" i="166"/>
  <c r="AM278" i="166" s="1"/>
  <c r="V244" i="166"/>
  <c r="V271" i="166" s="1"/>
  <c r="Q232" i="166"/>
  <c r="Q259" i="166" s="1"/>
  <c r="AK234" i="166"/>
  <c r="AK261" i="166" s="1"/>
  <c r="AI231" i="166"/>
  <c r="AI258" i="166" s="1"/>
  <c r="U232" i="166"/>
  <c r="U259" i="166" s="1"/>
  <c r="T251" i="166"/>
  <c r="T278" i="166" s="1"/>
  <c r="AF247" i="166"/>
  <c r="AF274" i="166" s="1"/>
  <c r="K239" i="166"/>
  <c r="K266" i="166" s="1"/>
  <c r="AJ251" i="166"/>
  <c r="AJ278" i="166" s="1"/>
  <c r="Q234" i="166"/>
  <c r="Q261" i="166" s="1"/>
  <c r="S233" i="166"/>
  <c r="S260" i="166" s="1"/>
  <c r="W245" i="166"/>
  <c r="W272" i="166" s="1"/>
  <c r="AG241" i="166"/>
  <c r="AG268" i="166" s="1"/>
  <c r="O247" i="166"/>
  <c r="O274" i="166" s="1"/>
  <c r="AH241" i="166"/>
  <c r="AH268" i="166" s="1"/>
  <c r="O249" i="166"/>
  <c r="O276" i="166" s="1"/>
  <c r="AE231" i="166"/>
  <c r="AE258" i="166" s="1"/>
  <c r="N233" i="166"/>
  <c r="N260" i="166" s="1"/>
  <c r="X236" i="166"/>
  <c r="X263" i="166" s="1"/>
  <c r="M233" i="166"/>
  <c r="M260" i="166" s="1"/>
  <c r="AL252" i="166"/>
  <c r="AL279" i="166" s="1"/>
  <c r="U246" i="166"/>
  <c r="U273" i="166" s="1"/>
  <c r="J234" i="166"/>
  <c r="J261" i="166" s="1"/>
  <c r="X245" i="166"/>
  <c r="X272" i="166" s="1"/>
  <c r="V231" i="166"/>
  <c r="V258" i="166" s="1"/>
  <c r="AC232" i="166"/>
  <c r="AC259" i="166" s="1"/>
  <c r="AA238" i="166"/>
  <c r="AA265" i="166" s="1"/>
  <c r="P246" i="166"/>
  <c r="P273" i="166" s="1"/>
  <c r="N248" i="166"/>
  <c r="N275" i="166" s="1"/>
  <c r="AI248" i="166"/>
  <c r="AI275" i="166" s="1"/>
  <c r="M251" i="166"/>
  <c r="M278" i="166" s="1"/>
  <c r="AF235" i="166"/>
  <c r="AF262" i="166" s="1"/>
  <c r="V249" i="166"/>
  <c r="V276" i="166" s="1"/>
  <c r="AL244" i="166"/>
  <c r="AL271" i="166" s="1"/>
  <c r="AG252" i="166"/>
  <c r="AG279" i="166" s="1"/>
  <c r="Z237" i="166"/>
  <c r="Z264" i="166" s="1"/>
  <c r="AG251" i="166"/>
  <c r="AG278" i="166" s="1"/>
  <c r="J241" i="166"/>
  <c r="J268" i="166" s="1"/>
  <c r="R238" i="166"/>
  <c r="R265" i="166" s="1"/>
  <c r="AI247" i="166"/>
  <c r="AI274" i="166" s="1"/>
  <c r="J235" i="166"/>
  <c r="J262" i="166" s="1"/>
  <c r="N242" i="166"/>
  <c r="N269" i="166" s="1"/>
  <c r="X244" i="166"/>
  <c r="X271" i="166" s="1"/>
  <c r="AC235" i="166"/>
  <c r="AC262" i="166" s="1"/>
  <c r="O251" i="166"/>
  <c r="O278" i="166" s="1"/>
  <c r="O237" i="166"/>
  <c r="O264" i="166" s="1"/>
  <c r="AH233" i="166"/>
  <c r="AH260" i="166" s="1"/>
  <c r="O244" i="166"/>
  <c r="O271" i="166" s="1"/>
  <c r="AE242" i="166"/>
  <c r="AE269" i="166" s="1"/>
  <c r="V238" i="166"/>
  <c r="V265" i="166" s="1"/>
  <c r="O245" i="166"/>
  <c r="O272" i="166" s="1"/>
  <c r="AG233" i="166"/>
  <c r="AG260" i="166" s="1"/>
  <c r="O241" i="166"/>
  <c r="O268" i="166" s="1"/>
  <c r="O231" i="166"/>
  <c r="O258" i="166" s="1"/>
  <c r="AL250" i="166"/>
  <c r="AL277" i="166" s="1"/>
  <c r="AB233" i="166"/>
  <c r="AB260" i="166" s="1"/>
  <c r="AA233" i="166"/>
  <c r="AA260" i="166" s="1"/>
  <c r="AG245" i="166"/>
  <c r="AG272" i="166" s="1"/>
  <c r="AI230" i="166"/>
  <c r="U245" i="166"/>
  <c r="U272" i="166" s="1"/>
  <c r="AJ249" i="166"/>
  <c r="AJ276" i="166" s="1"/>
  <c r="M243" i="166"/>
  <c r="M270" i="166" s="1"/>
  <c r="AL246" i="166"/>
  <c r="AL273" i="166" s="1"/>
  <c r="Y236" i="166"/>
  <c r="Y263" i="166" s="1"/>
  <c r="P244" i="166"/>
  <c r="P271" i="166" s="1"/>
  <c r="AA239" i="166"/>
  <c r="AA266" i="166" s="1"/>
  <c r="AG240" i="166"/>
  <c r="AG267" i="166" s="1"/>
  <c r="L237" i="166"/>
  <c r="L264" i="166" s="1"/>
  <c r="R249" i="166"/>
  <c r="R276" i="166" s="1"/>
  <c r="Q252" i="166"/>
  <c r="Q279" i="166" s="1"/>
  <c r="AH242" i="166"/>
  <c r="AH269" i="166" s="1"/>
  <c r="T247" i="166"/>
  <c r="T274" i="166" s="1"/>
  <c r="O233" i="166"/>
  <c r="O260" i="166" s="1"/>
  <c r="AF239" i="166"/>
  <c r="AF266" i="166" s="1"/>
  <c r="Y232" i="166"/>
  <c r="Y259" i="166" s="1"/>
  <c r="AD246" i="166"/>
  <c r="AD273" i="166" s="1"/>
  <c r="R239" i="166"/>
  <c r="R266" i="166" s="1"/>
  <c r="Y252" i="166"/>
  <c r="Y279" i="166" s="1"/>
  <c r="Z248" i="166"/>
  <c r="Z275" i="166" s="1"/>
  <c r="AA244" i="166"/>
  <c r="AA271" i="166" s="1"/>
  <c r="O243" i="166"/>
  <c r="O270" i="166" s="1"/>
  <c r="K246" i="166"/>
  <c r="K273" i="166" s="1"/>
  <c r="AJ247" i="166"/>
  <c r="AJ274" i="166" s="1"/>
  <c r="Q246" i="166"/>
  <c r="Q273" i="166" s="1"/>
  <c r="N252" i="166"/>
  <c r="N279" i="166" s="1"/>
  <c r="Q230" i="166"/>
  <c r="AJ233" i="166"/>
  <c r="AJ260" i="166" s="1"/>
  <c r="AE237" i="166"/>
  <c r="AE264" i="166" s="1"/>
  <c r="X239" i="166"/>
  <c r="X266" i="166" s="1"/>
  <c r="AC252" i="166"/>
  <c r="AC279" i="166" s="1"/>
  <c r="V241" i="166"/>
  <c r="V268" i="166" s="1"/>
  <c r="AG247" i="166"/>
  <c r="AG274" i="166" s="1"/>
  <c r="AE235" i="166"/>
  <c r="AE262" i="166" s="1"/>
  <c r="R246" i="166"/>
  <c r="R273" i="166" s="1"/>
  <c r="AA236" i="166"/>
  <c r="AA263" i="166" s="1"/>
  <c r="AL245" i="166"/>
  <c r="AL272" i="166" s="1"/>
  <c r="AA234" i="166"/>
  <c r="AA261" i="166" s="1"/>
  <c r="P240" i="166"/>
  <c r="P267" i="166" s="1"/>
  <c r="K243" i="166"/>
  <c r="K270" i="166" s="1"/>
  <c r="AF231" i="166"/>
  <c r="AF258" i="166" s="1"/>
  <c r="T241" i="166"/>
  <c r="T268" i="166" s="1"/>
  <c r="AG234" i="166"/>
  <c r="AG261" i="166" s="1"/>
  <c r="J239" i="166"/>
  <c r="J266" i="166" s="1"/>
  <c r="AA232" i="166"/>
  <c r="AA259" i="166" s="1"/>
  <c r="U233" i="166"/>
  <c r="U260" i="166" s="1"/>
  <c r="M244" i="166"/>
  <c r="M271" i="166" s="1"/>
  <c r="S236" i="166"/>
  <c r="S263" i="166" s="1"/>
  <c r="S232" i="166"/>
  <c r="S259" i="166" s="1"/>
  <c r="T230" i="166"/>
  <c r="AH231" i="166"/>
  <c r="AH258" i="166" s="1"/>
  <c r="AJ250" i="166"/>
  <c r="AJ277" i="166" s="1"/>
  <c r="AB246" i="166"/>
  <c r="AB273" i="166" s="1"/>
  <c r="X250" i="166"/>
  <c r="X277" i="166" s="1"/>
  <c r="J231" i="166"/>
  <c r="J258" i="166" s="1"/>
  <c r="T243" i="166"/>
  <c r="T270" i="166" s="1"/>
  <c r="AD251" i="166"/>
  <c r="AD278" i="166" s="1"/>
  <c r="K247" i="166"/>
  <c r="K274" i="166" s="1"/>
  <c r="U242" i="166"/>
  <c r="U269" i="166" s="1"/>
  <c r="AI251" i="166"/>
  <c r="AI278" i="166" s="1"/>
  <c r="K241" i="166"/>
  <c r="K268" i="166" s="1"/>
  <c r="AG250" i="166"/>
  <c r="AG277" i="166" s="1"/>
  <c r="Q248" i="166"/>
  <c r="Q275" i="166" s="1"/>
  <c r="AB243" i="166"/>
  <c r="AB270" i="166" s="1"/>
  <c r="AA251" i="166"/>
  <c r="AA278" i="166" s="1"/>
  <c r="AE236" i="166"/>
  <c r="AE263" i="166" s="1"/>
  <c r="AL240" i="166"/>
  <c r="AL267" i="166" s="1"/>
  <c r="V246" i="166"/>
  <c r="V273" i="166" s="1"/>
  <c r="V251" i="166"/>
  <c r="V278" i="166" s="1"/>
  <c r="X247" i="166"/>
  <c r="X274" i="166" s="1"/>
  <c r="S241" i="166"/>
  <c r="S268" i="166" s="1"/>
  <c r="T239" i="166"/>
  <c r="T266" i="166" s="1"/>
  <c r="U248" i="166"/>
  <c r="U275" i="166" s="1"/>
  <c r="S242" i="166"/>
  <c r="S269" i="166" s="1"/>
  <c r="R237" i="166"/>
  <c r="R264" i="166" s="1"/>
  <c r="W232" i="166"/>
  <c r="W259" i="166" s="1"/>
  <c r="X249" i="166"/>
  <c r="X276" i="166" s="1"/>
  <c r="W236" i="166"/>
  <c r="W263" i="166" s="1"/>
  <c r="R230" i="166"/>
  <c r="S248" i="166"/>
  <c r="S275" i="166" s="1"/>
  <c r="S239" i="166"/>
  <c r="S266" i="166" s="1"/>
  <c r="L244" i="166"/>
  <c r="L271" i="166" s="1"/>
  <c r="AC233" i="166"/>
  <c r="AC260" i="166" s="1"/>
  <c r="AA242" i="166"/>
  <c r="AA269" i="166" s="1"/>
  <c r="AA246" i="166"/>
  <c r="AA273" i="166" s="1"/>
  <c r="W235" i="166"/>
  <c r="W262" i="166" s="1"/>
  <c r="R243" i="166"/>
  <c r="R270" i="166" s="1"/>
  <c r="T234" i="166"/>
  <c r="T261" i="166" s="1"/>
  <c r="AG236" i="166"/>
  <c r="AG263" i="166" s="1"/>
  <c r="T232" i="166"/>
  <c r="T259" i="166" s="1"/>
  <c r="V235" i="166"/>
  <c r="V262" i="166" s="1"/>
  <c r="L249" i="166"/>
  <c r="L276" i="166" s="1"/>
  <c r="N236" i="166"/>
  <c r="N263" i="166" s="1"/>
  <c r="M231" i="166"/>
  <c r="M258" i="166" s="1"/>
  <c r="L242" i="166"/>
  <c r="L269" i="166" s="1"/>
  <c r="M250" i="166"/>
  <c r="M277" i="166" s="1"/>
  <c r="J243" i="166"/>
  <c r="J270" i="166" s="1"/>
  <c r="AJ245" i="166"/>
  <c r="AJ272" i="166" s="1"/>
  <c r="N231" i="166"/>
  <c r="N258" i="166" s="1"/>
  <c r="AH247" i="166"/>
  <c r="AH274" i="166" s="1"/>
  <c r="U240" i="166"/>
  <c r="U267" i="166" s="1"/>
  <c r="T245" i="166"/>
  <c r="T272" i="166" s="1"/>
  <c r="W247" i="166"/>
  <c r="W274" i="166" s="1"/>
  <c r="AG232" i="166"/>
  <c r="AG259" i="166" s="1"/>
  <c r="AE239" i="166"/>
  <c r="AE266" i="166" s="1"/>
  <c r="AB248" i="166"/>
  <c r="AB275" i="166" s="1"/>
  <c r="AH239" i="166"/>
  <c r="AH266" i="166" s="1"/>
  <c r="L248" i="166"/>
  <c r="L275" i="166" s="1"/>
  <c r="K245" i="166"/>
  <c r="K272" i="166" s="1"/>
  <c r="T250" i="166"/>
  <c r="T277" i="166" s="1"/>
  <c r="AI236" i="166"/>
  <c r="AI263" i="166" s="1"/>
  <c r="Q238" i="166"/>
  <c r="Q265" i="166" s="1"/>
  <c r="Q233" i="166"/>
  <c r="Q260" i="166" s="1"/>
  <c r="AG248" i="166"/>
  <c r="AG275" i="166" s="1"/>
  <c r="Z251" i="166"/>
  <c r="Z278" i="166" s="1"/>
  <c r="AB231" i="166"/>
  <c r="AB258" i="166" s="1"/>
  <c r="W243" i="166"/>
  <c r="W270" i="166" s="1"/>
  <c r="AJ237" i="166"/>
  <c r="AJ264" i="166" s="1"/>
  <c r="X234" i="166"/>
  <c r="X261" i="166" s="1"/>
  <c r="AB234" i="166"/>
  <c r="AB261" i="166" s="1"/>
  <c r="K238" i="166"/>
  <c r="K265" i="166" s="1"/>
  <c r="AA243" i="166"/>
  <c r="AA270" i="166" s="1"/>
  <c r="AF249" i="166"/>
  <c r="AF276" i="166" s="1"/>
  <c r="AE234" i="166"/>
  <c r="AE261" i="166" s="1"/>
  <c r="R250" i="166"/>
  <c r="R277" i="166" s="1"/>
  <c r="AJ244" i="166"/>
  <c r="AJ271" i="166" s="1"/>
  <c r="Q249" i="166"/>
  <c r="Q276" i="166" s="1"/>
  <c r="T246" i="166"/>
  <c r="T273" i="166" s="1"/>
  <c r="AH232" i="166"/>
  <c r="AH259" i="166" s="1"/>
  <c r="K237" i="166"/>
  <c r="K264" i="166" s="1"/>
  <c r="M249" i="166"/>
  <c r="M276" i="166" s="1"/>
  <c r="AD230" i="166"/>
  <c r="AB238" i="166"/>
  <c r="AB265" i="166" s="1"/>
  <c r="AI252" i="166"/>
  <c r="AI279" i="166" s="1"/>
  <c r="AC241" i="166"/>
  <c r="AC268" i="166" s="1"/>
  <c r="P242" i="166"/>
  <c r="P269" i="166" s="1"/>
  <c r="L233" i="166"/>
  <c r="L260" i="166" s="1"/>
  <c r="S249" i="166"/>
  <c r="S276" i="166" s="1"/>
  <c r="M234" i="166"/>
  <c r="M261" i="166" s="1"/>
  <c r="AE243" i="166"/>
  <c r="AE270" i="166" s="1"/>
  <c r="AF252" i="166"/>
  <c r="AF279" i="166" s="1"/>
  <c r="AA252" i="166"/>
  <c r="AA279" i="166" s="1"/>
  <c r="AI239" i="166"/>
  <c r="AI266" i="166" s="1"/>
  <c r="Z252" i="166"/>
  <c r="Z279" i="166" s="1"/>
  <c r="AD247" i="166"/>
  <c r="AD274" i="166" s="1"/>
  <c r="O252" i="166"/>
  <c r="O279" i="166" s="1"/>
  <c r="Y233" i="166"/>
  <c r="Y260" i="166" s="1"/>
  <c r="Z247" i="166"/>
  <c r="Z274" i="166" s="1"/>
  <c r="J246" i="166"/>
  <c r="J273" i="166" s="1"/>
  <c r="T231" i="166"/>
  <c r="T258" i="166" s="1"/>
  <c r="AI242" i="166"/>
  <c r="AI269" i="166" s="1"/>
  <c r="U243" i="166"/>
  <c r="U270" i="166" s="1"/>
  <c r="AD238" i="166"/>
  <c r="AD265" i="166" s="1"/>
  <c r="V245" i="166"/>
  <c r="V272" i="166" s="1"/>
  <c r="T237" i="166"/>
  <c r="T264" i="166" s="1"/>
  <c r="Y242" i="166"/>
  <c r="Y269" i="166" s="1"/>
  <c r="M230" i="166"/>
  <c r="AA249" i="166"/>
  <c r="AA276" i="166" s="1"/>
  <c r="P233" i="166"/>
  <c r="P260" i="166" s="1"/>
  <c r="W246" i="166"/>
  <c r="W273" i="166" s="1"/>
  <c r="AJ252" i="166"/>
  <c r="AJ279" i="166" s="1"/>
  <c r="K230" i="166"/>
  <c r="V236" i="166"/>
  <c r="V263" i="166" s="1"/>
  <c r="V252" i="166"/>
  <c r="V279" i="166" s="1"/>
  <c r="U238" i="166"/>
  <c r="U265" i="166" s="1"/>
  <c r="P243" i="166"/>
  <c r="P270" i="166" s="1"/>
  <c r="AA248" i="166"/>
  <c r="AA275" i="166" s="1"/>
  <c r="Y235" i="166"/>
  <c r="Y262" i="166" s="1"/>
  <c r="O239" i="166"/>
  <c r="O266" i="166" s="1"/>
  <c r="Y241" i="166"/>
  <c r="Y268" i="166" s="1"/>
  <c r="AH236" i="166"/>
  <c r="AH263" i="166" s="1"/>
  <c r="Z243" i="166"/>
  <c r="Z270" i="166" s="1"/>
  <c r="AI240" i="166"/>
  <c r="AI267" i="166" s="1"/>
  <c r="K250" i="166"/>
  <c r="K277" i="166" s="1"/>
  <c r="O236" i="166"/>
  <c r="O263" i="166" s="1"/>
  <c r="O238" i="166"/>
  <c r="O265" i="166" s="1"/>
  <c r="J247" i="166"/>
  <c r="J274" i="166" s="1"/>
  <c r="Q247" i="166"/>
  <c r="Q274" i="166" s="1"/>
  <c r="L232" i="166"/>
  <c r="L259" i="166" s="1"/>
  <c r="N235" i="166"/>
  <c r="N262" i="166" s="1"/>
  <c r="P235" i="166"/>
  <c r="P262" i="166" s="1"/>
  <c r="J238" i="166"/>
  <c r="J265" i="166" s="1"/>
  <c r="S237" i="166"/>
  <c r="S264" i="166" s="1"/>
  <c r="AJ231" i="166"/>
  <c r="AJ258" i="166" s="1"/>
  <c r="L241" i="166"/>
  <c r="L268" i="166" s="1"/>
  <c r="W250" i="166"/>
  <c r="W277" i="166" s="1"/>
  <c r="AD231" i="166"/>
  <c r="AD258" i="166" s="1"/>
  <c r="AJ240" i="166"/>
  <c r="AJ267" i="166" s="1"/>
  <c r="AD239" i="166"/>
  <c r="AD266" i="166" s="1"/>
  <c r="AE232" i="166"/>
  <c r="AE259" i="166" s="1"/>
  <c r="K244" i="166"/>
  <c r="K271" i="166" s="1"/>
  <c r="AA250" i="166"/>
  <c r="AA277" i="166" s="1"/>
  <c r="V240" i="166"/>
  <c r="V267" i="166" s="1"/>
  <c r="L247" i="166"/>
  <c r="L274" i="166" s="1"/>
  <c r="V239" i="166"/>
  <c r="V266" i="166" s="1"/>
  <c r="AD248" i="166"/>
  <c r="AD275" i="166" s="1"/>
  <c r="R235" i="166"/>
  <c r="R262" i="166" s="1"/>
  <c r="Z235" i="166"/>
  <c r="Z262" i="166" s="1"/>
  <c r="V250" i="166"/>
  <c r="V277" i="166" s="1"/>
  <c r="AA245" i="166"/>
  <c r="AA272" i="166" s="1"/>
  <c r="Q244" i="166"/>
  <c r="Q271" i="166" s="1"/>
  <c r="P251" i="166"/>
  <c r="P278" i="166" s="1"/>
  <c r="AB240" i="166"/>
  <c r="AB267" i="166" s="1"/>
  <c r="R236" i="166"/>
  <c r="R263" i="166" s="1"/>
  <c r="V247" i="166"/>
  <c r="V274" i="166" s="1"/>
  <c r="AB252" i="166"/>
  <c r="AB279" i="166" s="1"/>
  <c r="AF240" i="166"/>
  <c r="AF267" i="166" s="1"/>
  <c r="AH243" i="166"/>
  <c r="AH270" i="166" s="1"/>
  <c r="L250" i="166"/>
  <c r="L277" i="166" s="1"/>
  <c r="Z233" i="166"/>
  <c r="Z260" i="166" s="1"/>
  <c r="P239" i="166"/>
  <c r="P266" i="166" s="1"/>
  <c r="AH235" i="166"/>
  <c r="AH262" i="166" s="1"/>
  <c r="S246" i="166"/>
  <c r="S273" i="166" s="1"/>
  <c r="V242" i="166"/>
  <c r="V269" i="166" s="1"/>
  <c r="X235" i="166"/>
  <c r="X262" i="166" s="1"/>
  <c r="AC231" i="166"/>
  <c r="AC258" i="166" s="1"/>
  <c r="U250" i="166"/>
  <c r="U277" i="166" s="1"/>
  <c r="L251" i="166"/>
  <c r="L278" i="166" s="1"/>
  <c r="X252" i="166"/>
  <c r="X279" i="166" s="1"/>
  <c r="M240" i="166"/>
  <c r="M267" i="166" s="1"/>
  <c r="N246" i="166"/>
  <c r="N273" i="166" s="1"/>
  <c r="J232" i="166"/>
  <c r="J259" i="166" s="1"/>
  <c r="K231" i="166"/>
  <c r="K258" i="166" s="1"/>
  <c r="Z231" i="166"/>
  <c r="Z258" i="166" s="1"/>
  <c r="M239" i="166"/>
  <c r="M266" i="166" s="1"/>
  <c r="L234" i="166"/>
  <c r="L261" i="166" s="1"/>
  <c r="W231" i="166"/>
  <c r="W258" i="166" s="1"/>
  <c r="N238" i="166"/>
  <c r="N265" i="166" s="1"/>
  <c r="K234" i="166"/>
  <c r="K261" i="166" s="1"/>
  <c r="AC239" i="166"/>
  <c r="AC266" i="166" s="1"/>
  <c r="AB251" i="166"/>
  <c r="AB278" i="166" s="1"/>
  <c r="AE241" i="166"/>
  <c r="AE268" i="166" s="1"/>
  <c r="W239" i="166"/>
  <c r="W266" i="166" s="1"/>
  <c r="AF242" i="166"/>
  <c r="AF269" i="166" s="1"/>
  <c r="AF237" i="166"/>
  <c r="AF264" i="166" s="1"/>
  <c r="R241" i="166"/>
  <c r="R268" i="166" s="1"/>
  <c r="J248" i="166"/>
  <c r="J275" i="166" s="1"/>
  <c r="AB241" i="166"/>
  <c r="AB268" i="166" s="1"/>
  <c r="AC246" i="166"/>
  <c r="AC273" i="166" s="1"/>
  <c r="AH252" i="166"/>
  <c r="AH279" i="166" s="1"/>
  <c r="K252" i="166"/>
  <c r="K279" i="166" s="1"/>
  <c r="AJ246" i="166"/>
  <c r="AJ273" i="166" s="1"/>
  <c r="AE247" i="166"/>
  <c r="AE274" i="166" s="1"/>
  <c r="J251" i="166"/>
  <c r="J278" i="166" s="1"/>
  <c r="AF234" i="166"/>
  <c r="AF261" i="166" s="1"/>
  <c r="AJ238" i="166"/>
  <c r="AJ265" i="166" s="1"/>
  <c r="O242" i="166"/>
  <c r="O269" i="166" s="1"/>
  <c r="AC250" i="166"/>
  <c r="AC277" i="166" s="1"/>
  <c r="W238" i="166"/>
  <c r="W265" i="166" s="1"/>
  <c r="Q250" i="166"/>
  <c r="Q277" i="166" s="1"/>
  <c r="X230" i="166"/>
  <c r="T248" i="166"/>
  <c r="T275" i="166" s="1"/>
  <c r="N245" i="166"/>
  <c r="N272" i="166" s="1"/>
  <c r="W240" i="166"/>
  <c r="W267" i="166" s="1"/>
  <c r="U235" i="166"/>
  <c r="U262" i="166" s="1"/>
  <c r="N247" i="166"/>
  <c r="N274" i="166" s="1"/>
  <c r="AF250" i="166"/>
  <c r="AF277" i="166" s="1"/>
  <c r="N243" i="166"/>
  <c r="N270" i="166" s="1"/>
  <c r="AC248" i="166"/>
  <c r="AC275" i="166" s="1"/>
  <c r="U231" i="166"/>
  <c r="U258" i="166" s="1"/>
  <c r="AB236" i="166"/>
  <c r="AB263" i="166" s="1"/>
  <c r="S230" i="166"/>
  <c r="AE251" i="166"/>
  <c r="AE278" i="166" s="1"/>
  <c r="AG238" i="166"/>
  <c r="AG265" i="166" s="1"/>
  <c r="V243" i="166"/>
  <c r="V270" i="166" s="1"/>
  <c r="AD232" i="166"/>
  <c r="AD259" i="166" s="1"/>
  <c r="AD243" i="166"/>
  <c r="AD270" i="166" s="1"/>
  <c r="AI243" i="166"/>
  <c r="AI270" i="166" s="1"/>
  <c r="AJ232" i="166"/>
  <c r="AJ259" i="166" s="1"/>
  <c r="AI249" i="166"/>
  <c r="AI276" i="166" s="1"/>
  <c r="P245" i="166"/>
  <c r="P272" i="166" s="1"/>
  <c r="N234" i="166"/>
  <c r="N261" i="166" s="1"/>
  <c r="Y247" i="166"/>
  <c r="Y274" i="166" s="1"/>
  <c r="AG243" i="166"/>
  <c r="AG270" i="166" s="1"/>
  <c r="AD233" i="166"/>
  <c r="AD260" i="166" s="1"/>
  <c r="AI244" i="166"/>
  <c r="AI271" i="166" s="1"/>
  <c r="Z238" i="166"/>
  <c r="Z265" i="166" s="1"/>
  <c r="AC242" i="166"/>
  <c r="AC269" i="166" s="1"/>
  <c r="P250" i="166"/>
  <c r="P277" i="166" s="1"/>
  <c r="V248" i="166"/>
  <c r="V275" i="166" s="1"/>
  <c r="X232" i="166"/>
  <c r="X259" i="166" s="1"/>
  <c r="J237" i="166"/>
  <c r="J264" i="166" s="1"/>
  <c r="M248" i="166"/>
  <c r="M275" i="166" s="1"/>
  <c r="AG242" i="166"/>
  <c r="AG269" i="166" s="1"/>
  <c r="S245" i="166"/>
  <c r="S272" i="166" s="1"/>
  <c r="Q245" i="166"/>
  <c r="Q272" i="166" s="1"/>
  <c r="N249" i="166"/>
  <c r="N276" i="166" s="1"/>
  <c r="AH245" i="166"/>
  <c r="AH272" i="166" s="1"/>
  <c r="O240" i="166"/>
  <c r="O267" i="166" s="1"/>
  <c r="J236" i="166"/>
  <c r="J263" i="166" s="1"/>
  <c r="AE233" i="166"/>
  <c r="AE260" i="166" s="1"/>
  <c r="AH250" i="166"/>
  <c r="AH277" i="166" s="1"/>
  <c r="AI232" i="166"/>
  <c r="AI259" i="166" s="1"/>
  <c r="M235" i="166"/>
  <c r="M262" i="166" s="1"/>
  <c r="AC240" i="166"/>
  <c r="AC267" i="166" s="1"/>
  <c r="AE250" i="166"/>
  <c r="AE277" i="166" s="1"/>
  <c r="AE248" i="166"/>
  <c r="AE275" i="166" s="1"/>
  <c r="W252" i="166"/>
  <c r="W279" i="166" s="1"/>
  <c r="AF230" i="166"/>
  <c r="Y249" i="166"/>
  <c r="Y276" i="166" s="1"/>
  <c r="Y231" i="166"/>
  <c r="Y258" i="166" s="1"/>
  <c r="Y240" i="166"/>
  <c r="Y267" i="166" s="1"/>
  <c r="N244" i="166"/>
  <c r="N271" i="166" s="1"/>
  <c r="P236" i="166"/>
  <c r="P263" i="166" s="1"/>
  <c r="M236" i="166"/>
  <c r="M263" i="166" s="1"/>
  <c r="AF243" i="166"/>
  <c r="AF270" i="166" s="1"/>
  <c r="Y248" i="166"/>
  <c r="Y275" i="166" s="1"/>
  <c r="P234" i="166"/>
  <c r="P261" i="166" s="1"/>
  <c r="W242" i="166"/>
  <c r="W269" i="166" s="1"/>
  <c r="X231" i="166"/>
  <c r="X258" i="166" s="1"/>
  <c r="R245" i="166"/>
  <c r="R272" i="166" s="1"/>
  <c r="AJ230" i="166"/>
  <c r="U247" i="166"/>
  <c r="U274" i="166" s="1"/>
  <c r="W248" i="166"/>
  <c r="W275" i="166" s="1"/>
  <c r="P249" i="166"/>
  <c r="P276" i="166" s="1"/>
  <c r="Q243" i="166"/>
  <c r="Q270" i="166" s="1"/>
  <c r="AI250" i="166"/>
  <c r="AI277" i="166" s="1"/>
  <c r="O235" i="166"/>
  <c r="O262" i="166" s="1"/>
  <c r="AH240" i="166"/>
  <c r="AH267" i="166" s="1"/>
  <c r="P248" i="166"/>
  <c r="P275" i="166" s="1"/>
  <c r="Z246" i="166"/>
  <c r="Z273" i="166" s="1"/>
  <c r="L246" i="166"/>
  <c r="L273" i="166" s="1"/>
  <c r="S231" i="166"/>
  <c r="S258" i="166" s="1"/>
  <c r="X237" i="166"/>
  <c r="X264" i="166" s="1"/>
  <c r="AC236" i="166"/>
  <c r="AC263" i="166" s="1"/>
  <c r="AC230" i="166"/>
  <c r="N232" i="166"/>
  <c r="N259" i="166" s="1"/>
  <c r="J244" i="166"/>
  <c r="J271" i="166" s="1"/>
  <c r="L245" i="166"/>
  <c r="L272" i="166" s="1"/>
  <c r="L240" i="166"/>
  <c r="L267" i="166" s="1"/>
  <c r="AB230" i="166"/>
  <c r="K248" i="166"/>
  <c r="K275" i="166" s="1"/>
  <c r="AH230" i="166"/>
  <c r="L239" i="166"/>
  <c r="L266" i="166" s="1"/>
  <c r="Q236" i="166"/>
  <c r="Q263" i="166" s="1"/>
  <c r="AI238" i="166"/>
  <c r="AI265" i="166" s="1"/>
  <c r="N250" i="166"/>
  <c r="N277" i="166" s="1"/>
  <c r="Z230" i="166"/>
  <c r="N237" i="166"/>
  <c r="N264" i="166" s="1"/>
  <c r="AG249" i="166"/>
  <c r="AG276" i="166" s="1"/>
  <c r="AI234" i="166"/>
  <c r="AI261" i="166" s="1"/>
  <c r="W241" i="166"/>
  <c r="W268" i="166" s="1"/>
  <c r="AG231" i="166"/>
  <c r="AG258" i="166" s="1"/>
  <c r="U252" i="166"/>
  <c r="U279" i="166" s="1"/>
  <c r="Z249" i="166"/>
  <c r="Z276" i="166" s="1"/>
  <c r="J252" i="166"/>
  <c r="J279" i="166" s="1"/>
  <c r="J245" i="166"/>
  <c r="J272" i="166" s="1"/>
  <c r="N251" i="166"/>
  <c r="N278" i="166" s="1"/>
  <c r="AB250" i="166"/>
  <c r="AB277" i="166" s="1"/>
  <c r="U236" i="166"/>
  <c r="U263" i="166" s="1"/>
  <c r="AF236" i="166"/>
  <c r="AF263" i="166" s="1"/>
  <c r="X251" i="166"/>
  <c r="X278" i="166" s="1"/>
  <c r="AG237" i="166"/>
  <c r="AG264" i="166" s="1"/>
  <c r="M237" i="166"/>
  <c r="M264" i="166" s="1"/>
  <c r="X241" i="166"/>
  <c r="X268" i="166" s="1"/>
  <c r="AH251" i="166"/>
  <c r="AH278" i="166" s="1"/>
  <c r="Q241" i="166"/>
  <c r="Q268" i="166" s="1"/>
  <c r="L236" i="166"/>
  <c r="L263" i="166" s="1"/>
  <c r="V234" i="166"/>
  <c r="V261" i="166" s="1"/>
  <c r="AD250" i="166"/>
  <c r="AD277" i="166" s="1"/>
  <c r="X240" i="166"/>
  <c r="X267" i="166" s="1"/>
  <c r="P232" i="166"/>
  <c r="P259" i="166" s="1"/>
  <c r="AJ236" i="166"/>
  <c r="AJ263" i="166" s="1"/>
  <c r="Y237" i="166"/>
  <c r="Y264" i="166" s="1"/>
  <c r="S234" i="166"/>
  <c r="S261" i="166" s="1"/>
  <c r="AE238" i="166"/>
  <c r="AE265" i="166" s="1"/>
  <c r="J242" i="166"/>
  <c r="J269" i="166" s="1"/>
  <c r="AH237" i="166"/>
  <c r="AH264" i="166" s="1"/>
  <c r="AE240" i="166"/>
  <c r="AE267" i="166" s="1"/>
  <c r="AG235" i="166"/>
  <c r="AG262" i="166" s="1"/>
  <c r="T238" i="166"/>
  <c r="T265" i="166" s="1"/>
  <c r="W251" i="166"/>
  <c r="W278" i="166" s="1"/>
  <c r="V233" i="166"/>
  <c r="V260" i="166" s="1"/>
  <c r="R252" i="166"/>
  <c r="R279" i="166" s="1"/>
  <c r="AC244" i="166"/>
  <c r="AC271" i="166" s="1"/>
  <c r="Y245" i="166"/>
  <c r="Y272" i="166" s="1"/>
  <c r="S235" i="166"/>
  <c r="S262" i="166" s="1"/>
  <c r="AD249" i="166"/>
  <c r="AD276" i="166" s="1"/>
  <c r="AB237" i="166"/>
  <c r="AB264" i="166" s="1"/>
  <c r="Z236" i="166"/>
  <c r="Z263" i="166" s="1"/>
  <c r="Q242" i="166"/>
  <c r="Q269" i="166" s="1"/>
  <c r="N240" i="166"/>
  <c r="N267" i="166" s="1"/>
  <c r="AB239" i="166"/>
  <c r="AB266" i="166" s="1"/>
  <c r="X248" i="166"/>
  <c r="X275" i="166" s="1"/>
  <c r="AG239" i="166"/>
  <c r="AG266" i="166" s="1"/>
  <c r="R248" i="166"/>
  <c r="R275" i="166" s="1"/>
  <c r="R247" i="166"/>
  <c r="R274" i="166" s="1"/>
  <c r="R232" i="166"/>
  <c r="R259" i="166" s="1"/>
  <c r="U249" i="166"/>
  <c r="U276" i="166" s="1"/>
  <c r="L243" i="166"/>
  <c r="L270" i="166" s="1"/>
  <c r="P247" i="166"/>
  <c r="P274" i="166" s="1"/>
  <c r="AA235" i="166"/>
  <c r="AA262" i="166" s="1"/>
  <c r="AC251" i="166"/>
  <c r="AC278" i="166" s="1"/>
  <c r="U251" i="166"/>
  <c r="U278" i="166" s="1"/>
  <c r="Y238" i="166"/>
  <c r="Y265" i="166" s="1"/>
  <c r="R231" i="166"/>
  <c r="R258" i="166" s="1"/>
  <c r="Q237" i="166"/>
  <c r="Q264" i="166" s="1"/>
  <c r="AB245" i="166"/>
  <c r="AB272" i="166" s="1"/>
  <c r="U230" i="166"/>
  <c r="AD244" i="166"/>
  <c r="AD271" i="166" s="1"/>
  <c r="AG230" i="166"/>
  <c r="AF244" i="166"/>
  <c r="AF271" i="166" s="1"/>
  <c r="AB244" i="166"/>
  <c r="AB271" i="166" s="1"/>
  <c r="W237" i="166"/>
  <c r="W264" i="166" s="1"/>
  <c r="AF232" i="166"/>
  <c r="AF259" i="166" s="1"/>
  <c r="AG244" i="166"/>
  <c r="AG271" i="166" s="1"/>
  <c r="AE244" i="166"/>
  <c r="AE271" i="166" s="1"/>
  <c r="Z23" i="154"/>
  <c r="G277" i="133" a="1"/>
  <c r="G277" i="133" s="1"/>
  <c r="E277" i="133" s="1"/>
  <c r="F379" i="133"/>
  <c r="D14" i="145"/>
  <c r="D63" i="137"/>
  <c r="D17" i="137"/>
  <c r="D8" i="183" s="1"/>
  <c r="D192" i="142"/>
  <c r="F192" i="133"/>
  <c r="F187" i="133"/>
  <c r="F330" i="133"/>
  <c r="F331" i="133"/>
  <c r="F338" i="133"/>
  <c r="F337" i="133"/>
  <c r="F332" i="133"/>
  <c r="F335" i="133"/>
  <c r="F336" i="133"/>
  <c r="F325" i="133"/>
  <c r="F327" i="133"/>
  <c r="F326" i="133"/>
  <c r="F329" i="133"/>
  <c r="F334" i="133"/>
  <c r="F324" i="133"/>
  <c r="Y19" i="154" l="1"/>
  <c r="Z43" i="154"/>
  <c r="AA43" i="154"/>
  <c r="AC43" i="154"/>
  <c r="AB43" i="154"/>
  <c r="X19" i="154"/>
  <c r="AC42" i="154"/>
  <c r="Z42" i="154"/>
  <c r="Y42" i="154"/>
  <c r="AB42" i="154"/>
  <c r="AA42" i="154"/>
  <c r="AC45" i="154"/>
  <c r="AB45" i="154"/>
  <c r="W19" i="154"/>
  <c r="X41" i="154"/>
  <c r="AB41" i="154"/>
  <c r="Y41" i="154"/>
  <c r="AC41" i="154"/>
  <c r="AA41" i="154"/>
  <c r="Z41" i="154"/>
  <c r="N83" i="145"/>
  <c r="O35" i="153"/>
  <c r="M40" i="145"/>
  <c r="M90" i="137"/>
  <c r="M44" i="137" s="1"/>
  <c r="Q30" i="180"/>
  <c r="P30" i="180"/>
  <c r="S30" i="180"/>
  <c r="O30" i="180"/>
  <c r="T30" i="180"/>
  <c r="X30" i="180"/>
  <c r="AG46" i="167"/>
  <c r="AD46" i="167"/>
  <c r="AE46" i="167"/>
  <c r="AI46" i="167"/>
  <c r="AH46" i="167"/>
  <c r="AB19" i="167"/>
  <c r="AB23" i="167"/>
  <c r="AC46" i="167"/>
  <c r="D61" i="137"/>
  <c r="Y7" i="167"/>
  <c r="Y8" i="167" s="1"/>
  <c r="Y20" i="167" s="1"/>
  <c r="Z35" i="176"/>
  <c r="R7" i="167"/>
  <c r="R8" i="167" s="1"/>
  <c r="R20" i="167" s="1"/>
  <c r="S35" i="176"/>
  <c r="N7" i="167"/>
  <c r="N8" i="167" s="1"/>
  <c r="N20" i="167" s="1"/>
  <c r="O35" i="176"/>
  <c r="I287" i="135"/>
  <c r="I300" i="135" s="1"/>
  <c r="V7" i="167"/>
  <c r="V8" i="167" s="1"/>
  <c r="V20" i="167" s="1"/>
  <c r="W35" i="176"/>
  <c r="X7" i="167"/>
  <c r="X8" i="167" s="1"/>
  <c r="X20" i="167" s="1"/>
  <c r="Y35" i="176"/>
  <c r="Q7" i="167"/>
  <c r="Q8" i="167" s="1"/>
  <c r="Q20" i="167" s="1"/>
  <c r="R35" i="176"/>
  <c r="T7" i="167"/>
  <c r="T8" i="167" s="1"/>
  <c r="T20" i="167" s="1"/>
  <c r="U35" i="176"/>
  <c r="K7" i="167"/>
  <c r="E33" i="176"/>
  <c r="Z19" i="167"/>
  <c r="Z23" i="167"/>
  <c r="AB44" i="167"/>
  <c r="AC44" i="167"/>
  <c r="AD44" i="167"/>
  <c r="AA44" i="167"/>
  <c r="AE44" i="167"/>
  <c r="AG44" i="167"/>
  <c r="AF44" i="167"/>
  <c r="O7" i="167"/>
  <c r="O8" i="167" s="1"/>
  <c r="O20" i="167" s="1"/>
  <c r="P35" i="176"/>
  <c r="S7" i="167"/>
  <c r="S8" i="167" s="1"/>
  <c r="S20" i="167" s="1"/>
  <c r="T35" i="176"/>
  <c r="U7" i="167"/>
  <c r="U8" i="167" s="1"/>
  <c r="U20" i="167" s="1"/>
  <c r="V35" i="176"/>
  <c r="W7" i="167"/>
  <c r="W8" i="167" s="1"/>
  <c r="W20" i="167" s="1"/>
  <c r="X35" i="176"/>
  <c r="AD35" i="176"/>
  <c r="AC6" i="167"/>
  <c r="AC8" i="167" s="1"/>
  <c r="AA7" i="167"/>
  <c r="AA8" i="167" s="1"/>
  <c r="AB35" i="176"/>
  <c r="AE22" i="176"/>
  <c r="AE109" i="176" s="1"/>
  <c r="AE187" i="176" s="1"/>
  <c r="L7" i="167"/>
  <c r="P7" i="167"/>
  <c r="P8" i="167" s="1"/>
  <c r="P20" i="167" s="1"/>
  <c r="Q35" i="176"/>
  <c r="AD35" i="173"/>
  <c r="AB10" i="180" s="1"/>
  <c r="AB30" i="180" s="1"/>
  <c r="AC6" i="154"/>
  <c r="AC8" i="154" s="1"/>
  <c r="AC20" i="154" s="1"/>
  <c r="AB19" i="154"/>
  <c r="AA19" i="154"/>
  <c r="I287" i="166"/>
  <c r="I300" i="166" s="1"/>
  <c r="D18" i="137"/>
  <c r="D9" i="183" s="1"/>
  <c r="D16" i="137"/>
  <c r="AJ13" i="176"/>
  <c r="AK13" i="176"/>
  <c r="AK55" i="176" s="1"/>
  <c r="AK133" i="176" s="1"/>
  <c r="AE55" i="176"/>
  <c r="AE133" i="176" s="1"/>
  <c r="R70" i="145"/>
  <c r="R77" i="137" s="1"/>
  <c r="AC280" i="135"/>
  <c r="X62" i="145" s="1"/>
  <c r="X70" i="145"/>
  <c r="X77" i="137" s="1"/>
  <c r="V70" i="145"/>
  <c r="V77" i="137" s="1"/>
  <c r="AE280" i="135"/>
  <c r="Z62" i="145" s="1"/>
  <c r="Z70" i="145"/>
  <c r="Z77" i="137" s="1"/>
  <c r="K280" i="135"/>
  <c r="L280" i="135"/>
  <c r="I70" i="145"/>
  <c r="I77" i="137" s="1"/>
  <c r="Q70" i="145"/>
  <c r="Q77" i="137" s="1"/>
  <c r="S70" i="145"/>
  <c r="S77" i="137" s="1"/>
  <c r="S280" i="135"/>
  <c r="N62" i="145" s="1"/>
  <c r="N70" i="145"/>
  <c r="N77" i="137" s="1"/>
  <c r="AF280" i="135"/>
  <c r="AA62" i="145" s="1"/>
  <c r="AA70" i="145"/>
  <c r="AA77" i="137" s="1"/>
  <c r="P280" i="135"/>
  <c r="K62" i="145" s="1"/>
  <c r="K70" i="145"/>
  <c r="K77" i="137" s="1"/>
  <c r="Y280" i="135"/>
  <c r="T62" i="145" s="1"/>
  <c r="T70" i="145"/>
  <c r="T77" i="137" s="1"/>
  <c r="Y70" i="145"/>
  <c r="Y77" i="137" s="1"/>
  <c r="O280" i="135"/>
  <c r="J62" i="145" s="1"/>
  <c r="J70" i="145"/>
  <c r="J77" i="137" s="1"/>
  <c r="T280" i="135"/>
  <c r="O62" i="145" s="1"/>
  <c r="O70" i="145"/>
  <c r="O77" i="137" s="1"/>
  <c r="M280" i="135"/>
  <c r="U280" i="135"/>
  <c r="P62" i="145" s="1"/>
  <c r="P70" i="145"/>
  <c r="P77" i="137" s="1"/>
  <c r="L70" i="145"/>
  <c r="L77" i="137" s="1"/>
  <c r="AB280" i="135"/>
  <c r="W62" i="145" s="1"/>
  <c r="W70" i="145"/>
  <c r="W77" i="137" s="1"/>
  <c r="Z280" i="135"/>
  <c r="U62" i="145" s="1"/>
  <c r="U70" i="145"/>
  <c r="U77" i="137" s="1"/>
  <c r="M70" i="145"/>
  <c r="M77" i="137" s="1"/>
  <c r="J280" i="135"/>
  <c r="AA253" i="135"/>
  <c r="AA301" i="135" s="1"/>
  <c r="R280" i="135"/>
  <c r="M62" i="145" s="1"/>
  <c r="V280" i="135"/>
  <c r="Q62" i="145" s="1"/>
  <c r="AA280" i="135"/>
  <c r="V62" i="145" s="1"/>
  <c r="O253" i="135"/>
  <c r="O301" i="135" s="1"/>
  <c r="T253" i="135"/>
  <c r="T301" i="135" s="1"/>
  <c r="AC253" i="135"/>
  <c r="AC301" i="135" s="1"/>
  <c r="Y253" i="135"/>
  <c r="Y301" i="135" s="1"/>
  <c r="AB253" i="135"/>
  <c r="AB301" i="135" s="1"/>
  <c r="R253" i="135"/>
  <c r="R301" i="135" s="1"/>
  <c r="U253" i="135"/>
  <c r="U301" i="135" s="1"/>
  <c r="X253" i="135"/>
  <c r="X301" i="135" s="1"/>
  <c r="Q253" i="135"/>
  <c r="Q301" i="135" s="1"/>
  <c r="W280" i="135"/>
  <c r="R62" i="145" s="1"/>
  <c r="X280" i="135"/>
  <c r="S62" i="145" s="1"/>
  <c r="W253" i="135"/>
  <c r="W301" i="135" s="1"/>
  <c r="N253" i="135"/>
  <c r="N301" i="135" s="1"/>
  <c r="V253" i="135"/>
  <c r="V301" i="135" s="1"/>
  <c r="S253" i="135"/>
  <c r="S301" i="135" s="1"/>
  <c r="K253" i="135"/>
  <c r="K301" i="135" s="1"/>
  <c r="Q280" i="135"/>
  <c r="L62" i="145" s="1"/>
  <c r="Z253" i="135"/>
  <c r="Z301" i="135" s="1"/>
  <c r="AE253" i="135"/>
  <c r="AE301" i="135" s="1"/>
  <c r="L253" i="135"/>
  <c r="L301" i="135" s="1"/>
  <c r="AD253" i="135"/>
  <c r="AD301" i="135" s="1"/>
  <c r="AD280" i="135"/>
  <c r="Y62" i="145" s="1"/>
  <c r="J253" i="135"/>
  <c r="J301" i="135" s="1"/>
  <c r="P253" i="135"/>
  <c r="P301" i="135" s="1"/>
  <c r="AF253" i="135"/>
  <c r="AF301" i="135" s="1"/>
  <c r="M253" i="135"/>
  <c r="M301" i="135" s="1"/>
  <c r="AK260" i="166"/>
  <c r="AK280" i="166" s="1"/>
  <c r="AK253" i="166"/>
  <c r="AK301" i="166" s="1"/>
  <c r="AM257" i="166"/>
  <c r="AM280" i="166" s="1"/>
  <c r="AM253" i="166"/>
  <c r="AM301" i="166" s="1"/>
  <c r="AE253" i="166"/>
  <c r="AE301" i="166" s="1"/>
  <c r="AE257" i="166"/>
  <c r="AE280" i="166" s="1"/>
  <c r="W253" i="166"/>
  <c r="W301" i="166" s="1"/>
  <c r="W257" i="166"/>
  <c r="W280" i="166" s="1"/>
  <c r="AC257" i="166"/>
  <c r="AC280" i="166" s="1"/>
  <c r="AC253" i="166"/>
  <c r="AC301" i="166" s="1"/>
  <c r="T257" i="166"/>
  <c r="T280" i="166" s="1"/>
  <c r="T253" i="166"/>
  <c r="T301" i="166" s="1"/>
  <c r="U253" i="166"/>
  <c r="U301" i="166" s="1"/>
  <c r="U257" i="166"/>
  <c r="U280" i="166" s="1"/>
  <c r="R257" i="166"/>
  <c r="R280" i="166" s="1"/>
  <c r="R253" i="166"/>
  <c r="R301" i="166" s="1"/>
  <c r="AJ257" i="166"/>
  <c r="AJ280" i="166" s="1"/>
  <c r="AJ253" i="166"/>
  <c r="AJ301" i="166" s="1"/>
  <c r="AH257" i="166"/>
  <c r="AH280" i="166" s="1"/>
  <c r="AH253" i="166"/>
  <c r="AH301" i="166" s="1"/>
  <c r="AA253" i="166"/>
  <c r="AA301" i="166" s="1"/>
  <c r="AA257" i="166"/>
  <c r="AA280" i="166" s="1"/>
  <c r="Z253" i="166"/>
  <c r="Z301" i="166" s="1"/>
  <c r="Z257" i="166"/>
  <c r="Z280" i="166" s="1"/>
  <c r="J253" i="166"/>
  <c r="J301" i="166" s="1"/>
  <c r="J257" i="166"/>
  <c r="J280" i="166" s="1"/>
  <c r="AB257" i="166"/>
  <c r="AB280" i="166" s="1"/>
  <c r="AB253" i="166"/>
  <c r="AB301" i="166" s="1"/>
  <c r="AF257" i="166"/>
  <c r="AF280" i="166" s="1"/>
  <c r="AF253" i="166"/>
  <c r="AF301" i="166" s="1"/>
  <c r="AG257" i="166"/>
  <c r="AG280" i="166" s="1"/>
  <c r="AG253" i="166"/>
  <c r="AG301" i="166" s="1"/>
  <c r="E44" i="154"/>
  <c r="S253" i="166"/>
  <c r="S301" i="166" s="1"/>
  <c r="S257" i="166"/>
  <c r="S280" i="166" s="1"/>
  <c r="AD253" i="166"/>
  <c r="AD301" i="166" s="1"/>
  <c r="AD257" i="166"/>
  <c r="AD280" i="166" s="1"/>
  <c r="K257" i="166"/>
  <c r="K280" i="166" s="1"/>
  <c r="K253" i="166"/>
  <c r="K301" i="166" s="1"/>
  <c r="AI253" i="166"/>
  <c r="AI301" i="166" s="1"/>
  <c r="AI257" i="166"/>
  <c r="AI280" i="166" s="1"/>
  <c r="AL258" i="166"/>
  <c r="AL280" i="166" s="1"/>
  <c r="AL253" i="166"/>
  <c r="AL301" i="166" s="1"/>
  <c r="P253" i="166"/>
  <c r="P301" i="166" s="1"/>
  <c r="P257" i="166"/>
  <c r="P280" i="166" s="1"/>
  <c r="N257" i="166"/>
  <c r="N280" i="166" s="1"/>
  <c r="N253" i="166"/>
  <c r="N301" i="166" s="1"/>
  <c r="M257" i="166"/>
  <c r="M280" i="166" s="1"/>
  <c r="M253" i="166"/>
  <c r="M301" i="166" s="1"/>
  <c r="L257" i="166"/>
  <c r="L280" i="166" s="1"/>
  <c r="L253" i="166"/>
  <c r="L301" i="166" s="1"/>
  <c r="V253" i="166"/>
  <c r="V301" i="166" s="1"/>
  <c r="V257" i="166"/>
  <c r="V280" i="166" s="1"/>
  <c r="X253" i="166"/>
  <c r="X301" i="166" s="1"/>
  <c r="X257" i="166"/>
  <c r="X280" i="166" s="1"/>
  <c r="Q253" i="166"/>
  <c r="Q301" i="166" s="1"/>
  <c r="Q257" i="166"/>
  <c r="Q280" i="166" s="1"/>
  <c r="Y257" i="166"/>
  <c r="Y280" i="166" s="1"/>
  <c r="Y253" i="166"/>
  <c r="Y301" i="166" s="1"/>
  <c r="O253" i="166"/>
  <c r="O301" i="166" s="1"/>
  <c r="O257" i="166"/>
  <c r="O280" i="166" s="1"/>
  <c r="AB39" i="154"/>
  <c r="U23" i="154"/>
  <c r="Y39" i="154"/>
  <c r="X39" i="154"/>
  <c r="AA39" i="154"/>
  <c r="Z39" i="154"/>
  <c r="W39" i="154"/>
  <c r="V39" i="154"/>
  <c r="AA23" i="154"/>
  <c r="W23" i="154"/>
  <c r="T37" i="154"/>
  <c r="U37" i="154"/>
  <c r="X37" i="154"/>
  <c r="Z37" i="154"/>
  <c r="Y37" i="154"/>
  <c r="V37" i="154"/>
  <c r="W37" i="154"/>
  <c r="S23" i="154"/>
  <c r="W35" i="154"/>
  <c r="V35" i="154"/>
  <c r="T35" i="154"/>
  <c r="R35" i="154"/>
  <c r="X35" i="154"/>
  <c r="U35" i="154"/>
  <c r="S35" i="154"/>
  <c r="Q23" i="154"/>
  <c r="AB23" i="154"/>
  <c r="T34" i="154"/>
  <c r="Q34" i="154"/>
  <c r="P23" i="154"/>
  <c r="W34" i="154"/>
  <c r="V34" i="154"/>
  <c r="U34" i="154"/>
  <c r="S34" i="154"/>
  <c r="R34" i="154"/>
  <c r="Y23" i="154"/>
  <c r="X23" i="154"/>
  <c r="AC40" i="154"/>
  <c r="AA40" i="154"/>
  <c r="Z40" i="154"/>
  <c r="Y40" i="154"/>
  <c r="X40" i="154"/>
  <c r="W40" i="154"/>
  <c r="V23" i="154"/>
  <c r="AB40" i="154"/>
  <c r="W36" i="154"/>
  <c r="V36" i="154"/>
  <c r="U36" i="154"/>
  <c r="Y36" i="154"/>
  <c r="T36" i="154"/>
  <c r="S36" i="154"/>
  <c r="X36" i="154"/>
  <c r="R23" i="154"/>
  <c r="Z38" i="154"/>
  <c r="W38" i="154"/>
  <c r="T23" i="154"/>
  <c r="AA38" i="154"/>
  <c r="U38" i="154"/>
  <c r="Y38" i="154"/>
  <c r="X38" i="154"/>
  <c r="V38" i="154"/>
  <c r="F333" i="133"/>
  <c r="F328" i="133"/>
  <c r="F375" i="133"/>
  <c r="F380" i="133"/>
  <c r="S6" i="21" l="1"/>
  <c r="L116" i="21" s="1"/>
  <c r="I37" i="141"/>
  <c r="I40" i="141" s="1"/>
  <c r="H11" i="146" s="1"/>
  <c r="K9" i="173" s="1"/>
  <c r="H37" i="141"/>
  <c r="H40" i="141" s="1"/>
  <c r="G11" i="146" s="1"/>
  <c r="J9" i="173" s="1"/>
  <c r="J43" i="173" s="1"/>
  <c r="J121" i="173" s="1"/>
  <c r="F69" i="137"/>
  <c r="F23" i="137" s="1"/>
  <c r="G37" i="141"/>
  <c r="G40" i="141" s="1"/>
  <c r="F11" i="146" s="1"/>
  <c r="F11" i="136" s="1"/>
  <c r="E19" i="145"/>
  <c r="F37" i="141"/>
  <c r="F40" i="141" s="1"/>
  <c r="E11" i="146" s="1"/>
  <c r="E24" i="146" s="1"/>
  <c r="E69" i="137"/>
  <c r="E80" i="137" s="1"/>
  <c r="E73" i="145"/>
  <c r="E30" i="145" s="1"/>
  <c r="F19" i="145"/>
  <c r="N280" i="135"/>
  <c r="I62" i="145" s="1"/>
  <c r="X69" i="137"/>
  <c r="Y69" i="137"/>
  <c r="O69" i="137"/>
  <c r="J69" i="137"/>
  <c r="N69" i="137"/>
  <c r="W69" i="137"/>
  <c r="R69" i="137"/>
  <c r="K19" i="145"/>
  <c r="K69" i="137"/>
  <c r="Q19" i="145"/>
  <c r="Q69" i="137"/>
  <c r="U69" i="137"/>
  <c r="P19" i="145"/>
  <c r="P69" i="137"/>
  <c r="S19" i="145"/>
  <c r="S69" i="137"/>
  <c r="T69" i="137"/>
  <c r="AA19" i="145"/>
  <c r="AA69" i="137"/>
  <c r="M69" i="137"/>
  <c r="Z19" i="145"/>
  <c r="Z69" i="137"/>
  <c r="L19" i="145"/>
  <c r="L69" i="137"/>
  <c r="V19" i="145"/>
  <c r="V69" i="137"/>
  <c r="O83" i="145"/>
  <c r="P35" i="153"/>
  <c r="N40" i="145"/>
  <c r="N90" i="137"/>
  <c r="N44" i="137" s="1"/>
  <c r="E46" i="167"/>
  <c r="AE23" i="176"/>
  <c r="AE35" i="176" s="1"/>
  <c r="O19" i="167"/>
  <c r="P33" i="167"/>
  <c r="V33" i="167"/>
  <c r="S33" i="167"/>
  <c r="T33" i="167"/>
  <c r="R33" i="167"/>
  <c r="Q33" i="167"/>
  <c r="O23" i="167"/>
  <c r="U33" i="167"/>
  <c r="E44" i="167"/>
  <c r="P19" i="167"/>
  <c r="W34" i="167"/>
  <c r="V34" i="167"/>
  <c r="R34" i="167"/>
  <c r="P23" i="167"/>
  <c r="U34" i="167"/>
  <c r="T34" i="167"/>
  <c r="S34" i="167"/>
  <c r="Q34" i="167"/>
  <c r="T19" i="167"/>
  <c r="U38" i="167"/>
  <c r="Z38" i="167"/>
  <c r="AA38" i="167"/>
  <c r="X38" i="167"/>
  <c r="W38" i="167"/>
  <c r="Y38" i="167"/>
  <c r="T23" i="167"/>
  <c r="V38" i="167"/>
  <c r="X19" i="167"/>
  <c r="Z42" i="167"/>
  <c r="AA42" i="167"/>
  <c r="Y42" i="167"/>
  <c r="AB42" i="167"/>
  <c r="AC42" i="167"/>
  <c r="X23" i="167"/>
  <c r="AD42" i="167"/>
  <c r="AE42" i="167"/>
  <c r="AA20" i="167"/>
  <c r="AA19" i="167" s="1"/>
  <c r="V19" i="167"/>
  <c r="AA40" i="167"/>
  <c r="Y40" i="167"/>
  <c r="X40" i="167"/>
  <c r="AB40" i="167"/>
  <c r="AC40" i="167"/>
  <c r="Z40" i="167"/>
  <c r="V23" i="167"/>
  <c r="W40" i="167"/>
  <c r="W19" i="167"/>
  <c r="AA41" i="167"/>
  <c r="AC41" i="167"/>
  <c r="W23" i="167"/>
  <c r="Y41" i="167"/>
  <c r="AD41" i="167"/>
  <c r="Z41" i="167"/>
  <c r="AB41" i="167"/>
  <c r="X41" i="167"/>
  <c r="N19" i="167"/>
  <c r="R32" i="167"/>
  <c r="Q32" i="167"/>
  <c r="P32" i="167"/>
  <c r="O32" i="167"/>
  <c r="U32" i="167"/>
  <c r="T32" i="167"/>
  <c r="N23" i="167"/>
  <c r="S32" i="167"/>
  <c r="AC20" i="167"/>
  <c r="AC19" i="167" s="1"/>
  <c r="U19" i="167"/>
  <c r="X39" i="167"/>
  <c r="Z39" i="167"/>
  <c r="U23" i="167"/>
  <c r="W39" i="167"/>
  <c r="AB39" i="167"/>
  <c r="AA39" i="167"/>
  <c r="Y39" i="167"/>
  <c r="V39" i="167"/>
  <c r="R19" i="167"/>
  <c r="X36" i="167"/>
  <c r="U36" i="167"/>
  <c r="Y36" i="167"/>
  <c r="R23" i="167"/>
  <c r="T36" i="167"/>
  <c r="V36" i="167"/>
  <c r="W36" i="167"/>
  <c r="S36" i="167"/>
  <c r="Q19" i="167"/>
  <c r="U35" i="167"/>
  <c r="R35" i="167"/>
  <c r="V35" i="167"/>
  <c r="X35" i="167"/>
  <c r="T35" i="167"/>
  <c r="W35" i="167"/>
  <c r="Q23" i="167"/>
  <c r="S35" i="167"/>
  <c r="S19" i="167"/>
  <c r="S23" i="167"/>
  <c r="V37" i="167"/>
  <c r="T37" i="167"/>
  <c r="Y37" i="167"/>
  <c r="Z37" i="167"/>
  <c r="U37" i="167"/>
  <c r="W37" i="167"/>
  <c r="X37" i="167"/>
  <c r="Y19" i="167"/>
  <c r="Z43" i="167"/>
  <c r="AA43" i="167"/>
  <c r="AD43" i="167"/>
  <c r="AE43" i="167"/>
  <c r="AF43" i="167"/>
  <c r="AC43" i="167"/>
  <c r="AB43" i="167"/>
  <c r="Y23" i="167"/>
  <c r="AC23" i="154"/>
  <c r="AC19" i="154"/>
  <c r="W24" i="154"/>
  <c r="AB24" i="154"/>
  <c r="Z24" i="154"/>
  <c r="AA24" i="154"/>
  <c r="AC24" i="154"/>
  <c r="Y24" i="154"/>
  <c r="X24" i="154"/>
  <c r="AF13" i="176"/>
  <c r="AG13" i="176"/>
  <c r="AI13" i="176"/>
  <c r="AJ55" i="176"/>
  <c r="AJ133" i="176" s="1"/>
  <c r="I9" i="176"/>
  <c r="I23" i="176" s="1"/>
  <c r="J9" i="176"/>
  <c r="K9" i="176"/>
  <c r="AK31" i="136"/>
  <c r="AO15" i="136"/>
  <c r="H31" i="137"/>
  <c r="H27" i="145"/>
  <c r="P31" i="137"/>
  <c r="P27" i="145"/>
  <c r="K31" i="137"/>
  <c r="K27" i="145"/>
  <c r="L31" i="137"/>
  <c r="L27" i="145"/>
  <c r="S31" i="137"/>
  <c r="S27" i="145"/>
  <c r="T31" i="137"/>
  <c r="T27" i="145"/>
  <c r="AA31" i="137"/>
  <c r="AA27" i="145"/>
  <c r="G31" i="137"/>
  <c r="G27" i="145"/>
  <c r="N31" i="137"/>
  <c r="N27" i="145"/>
  <c r="O31" i="137"/>
  <c r="O27" i="145"/>
  <c r="J31" i="137"/>
  <c r="J27" i="145"/>
  <c r="Q31" i="137"/>
  <c r="Q27" i="145"/>
  <c r="M31" i="137"/>
  <c r="M27" i="145"/>
  <c r="U31" i="137"/>
  <c r="U27" i="145"/>
  <c r="Y31" i="137"/>
  <c r="Y27" i="145"/>
  <c r="I31" i="137"/>
  <c r="I27" i="145"/>
  <c r="Z31" i="137"/>
  <c r="Z27" i="145"/>
  <c r="V31" i="137"/>
  <c r="V27" i="145"/>
  <c r="W31" i="137"/>
  <c r="W27" i="145"/>
  <c r="X31" i="137"/>
  <c r="X27" i="145"/>
  <c r="R31" i="137"/>
  <c r="R27" i="145"/>
  <c r="E31" i="137"/>
  <c r="E27" i="145"/>
  <c r="D70" i="145"/>
  <c r="F27" i="145"/>
  <c r="J19" i="145"/>
  <c r="O19" i="145"/>
  <c r="M19" i="145"/>
  <c r="X19" i="145"/>
  <c r="Y19" i="145"/>
  <c r="T19" i="145"/>
  <c r="N19" i="145"/>
  <c r="W19" i="145"/>
  <c r="R19" i="145"/>
  <c r="U19" i="145"/>
  <c r="E46" i="154"/>
  <c r="E39" i="154"/>
  <c r="E45" i="154"/>
  <c r="E38" i="154"/>
  <c r="E43" i="154"/>
  <c r="E41" i="154"/>
  <c r="E40" i="154"/>
  <c r="E42" i="154"/>
  <c r="E35" i="154"/>
  <c r="E36" i="154"/>
  <c r="E34" i="154"/>
  <c r="E37" i="154"/>
  <c r="F366" i="133"/>
  <c r="F413" i="133"/>
  <c r="AL15" i="136"/>
  <c r="AN15" i="136"/>
  <c r="AM15" i="136"/>
  <c r="AK15" i="136"/>
  <c r="AJ15" i="136"/>
  <c r="AI15" i="136"/>
  <c r="E37" i="141" l="1"/>
  <c r="E40" i="141" s="1"/>
  <c r="E23" i="137"/>
  <c r="G69" i="137"/>
  <c r="G23" i="137" s="1"/>
  <c r="G19" i="145"/>
  <c r="H69" i="137"/>
  <c r="H23" i="137" s="1"/>
  <c r="H19" i="145"/>
  <c r="H9" i="173"/>
  <c r="H43" i="173" s="1"/>
  <c r="H121" i="173" s="1"/>
  <c r="H22" i="173"/>
  <c r="Q23" i="137"/>
  <c r="K23" i="137"/>
  <c r="I19" i="145"/>
  <c r="D19" i="145" s="1"/>
  <c r="D62" i="145"/>
  <c r="I69" i="137"/>
  <c r="I23" i="137" s="1"/>
  <c r="V23" i="137"/>
  <c r="L23" i="137"/>
  <c r="M23" i="137"/>
  <c r="T23" i="137"/>
  <c r="Z23" i="137"/>
  <c r="U23" i="137"/>
  <c r="R23" i="137"/>
  <c r="W23" i="137"/>
  <c r="N23" i="137"/>
  <c r="J23" i="137"/>
  <c r="P23" i="137"/>
  <c r="O23" i="137"/>
  <c r="Y23" i="137"/>
  <c r="S23" i="137"/>
  <c r="AA23" i="137"/>
  <c r="X23" i="137"/>
  <c r="Q35" i="153"/>
  <c r="P83" i="145"/>
  <c r="O40" i="145"/>
  <c r="O90" i="137"/>
  <c r="O44" i="137" s="1"/>
  <c r="AD6" i="167"/>
  <c r="AD8" i="167" s="1"/>
  <c r="AD20" i="167" s="1"/>
  <c r="AG48" i="167" s="1"/>
  <c r="E36" i="167"/>
  <c r="Z24" i="167"/>
  <c r="AJ22" i="176"/>
  <c r="E43" i="167"/>
  <c r="E39" i="167"/>
  <c r="E40" i="167"/>
  <c r="E38" i="167"/>
  <c r="AA24" i="167"/>
  <c r="E42" i="167"/>
  <c r="U24" i="167"/>
  <c r="E37" i="167"/>
  <c r="I35" i="176"/>
  <c r="H6" i="167"/>
  <c r="E41" i="167"/>
  <c r="AF47" i="167"/>
  <c r="AC23" i="167"/>
  <c r="AH47" i="167"/>
  <c r="AE47" i="167"/>
  <c r="AG47" i="167"/>
  <c r="AJ47" i="167"/>
  <c r="AI47" i="167"/>
  <c r="AD47" i="167"/>
  <c r="Y24" i="167"/>
  <c r="X24" i="167"/>
  <c r="W24" i="167"/>
  <c r="E32" i="167"/>
  <c r="AH22" i="176"/>
  <c r="AH109" i="176" s="1"/>
  <c r="AH187" i="176" s="1"/>
  <c r="V24" i="167"/>
  <c r="E35" i="167"/>
  <c r="E33" i="167"/>
  <c r="E34" i="167"/>
  <c r="AA23" i="167"/>
  <c r="AH45" i="167"/>
  <c r="AG45" i="167"/>
  <c r="AE45" i="167"/>
  <c r="AB45" i="167"/>
  <c r="AB24" i="167" s="1"/>
  <c r="AD45" i="167"/>
  <c r="AF45" i="167"/>
  <c r="AC45" i="167"/>
  <c r="AC24" i="167" s="1"/>
  <c r="AK22" i="176"/>
  <c r="E47" i="154"/>
  <c r="E13" i="173"/>
  <c r="F43" i="141"/>
  <c r="F44" i="141" s="1"/>
  <c r="F24" i="146"/>
  <c r="I22" i="173" s="1"/>
  <c r="I9" i="173"/>
  <c r="I43" i="173" s="1"/>
  <c r="I121" i="173" s="1"/>
  <c r="I43" i="176"/>
  <c r="I121" i="176" s="1"/>
  <c r="D11" i="149"/>
  <c r="AF55" i="176"/>
  <c r="AF133" i="176" s="1"/>
  <c r="AH13" i="176"/>
  <c r="E13" i="176" s="1"/>
  <c r="AI55" i="176"/>
  <c r="AI133" i="176" s="1"/>
  <c r="AG55" i="176"/>
  <c r="AG133" i="176" s="1"/>
  <c r="J43" i="176"/>
  <c r="J121" i="176" s="1"/>
  <c r="K43" i="176"/>
  <c r="K121" i="176" s="1"/>
  <c r="G11" i="136"/>
  <c r="H11" i="136"/>
  <c r="H9" i="176"/>
  <c r="AM31" i="136"/>
  <c r="AN24" i="136"/>
  <c r="AN26" i="136" s="1"/>
  <c r="AN41" i="136" s="1"/>
  <c r="AI24" i="136"/>
  <c r="AI26" i="136" s="1"/>
  <c r="AO24" i="136"/>
  <c r="AO26" i="136" s="1"/>
  <c r="AO41" i="136" s="1"/>
  <c r="AM38" i="136"/>
  <c r="AK24" i="136"/>
  <c r="AK26" i="136" s="1"/>
  <c r="AM24" i="136"/>
  <c r="AM26" i="136" s="1"/>
  <c r="AJ24" i="136"/>
  <c r="AJ26" i="136" s="1"/>
  <c r="AL24" i="136"/>
  <c r="AL26" i="136" s="1"/>
  <c r="D27" i="145"/>
  <c r="E34" i="137"/>
  <c r="E74" i="145"/>
  <c r="D77" i="137"/>
  <c r="F31" i="137"/>
  <c r="D31" i="137" s="1"/>
  <c r="AI31" i="136"/>
  <c r="D15" i="146"/>
  <c r="M19" i="21" s="1"/>
  <c r="L81" i="21" s="1"/>
  <c r="AL31" i="136"/>
  <c r="AJ31" i="136"/>
  <c r="D31" i="146"/>
  <c r="D25" i="149"/>
  <c r="E11" i="136"/>
  <c r="D11" i="146"/>
  <c r="M15" i="21" s="1"/>
  <c r="AK45" i="152"/>
  <c r="AI45" i="152"/>
  <c r="D21" i="183" l="1"/>
  <c r="S17" i="21"/>
  <c r="L119" i="21" s="1"/>
  <c r="D69" i="137"/>
  <c r="P40" i="145"/>
  <c r="P90" i="137"/>
  <c r="P44" i="137" s="1"/>
  <c r="Q83" i="145"/>
  <c r="R35" i="153"/>
  <c r="K21" i="176"/>
  <c r="M21" i="176"/>
  <c r="AJ48" i="167"/>
  <c r="AD19" i="167"/>
  <c r="AF48" i="167"/>
  <c r="AI48" i="167"/>
  <c r="AE48" i="167"/>
  <c r="AE24" i="167" s="1"/>
  <c r="AH48" i="167"/>
  <c r="AD23" i="167"/>
  <c r="AD24" i="167"/>
  <c r="E47" i="167"/>
  <c r="AG22" i="176"/>
  <c r="AF22" i="176"/>
  <c r="AI22" i="176"/>
  <c r="AK109" i="176"/>
  <c r="AK187" i="176" s="1"/>
  <c r="AK23" i="176"/>
  <c r="AJ109" i="176"/>
  <c r="AJ187" i="176" s="1"/>
  <c r="AJ23" i="176"/>
  <c r="E45" i="167"/>
  <c r="E48" i="154"/>
  <c r="E133" i="173"/>
  <c r="F2" i="141"/>
  <c r="F24" i="136"/>
  <c r="AH55" i="176"/>
  <c r="AH23" i="176"/>
  <c r="K43" i="173"/>
  <c r="K121" i="173" s="1"/>
  <c r="E121" i="173" s="1"/>
  <c r="H43" i="176"/>
  <c r="E9" i="176"/>
  <c r="H23" i="176"/>
  <c r="E31" i="145"/>
  <c r="H122" i="173"/>
  <c r="E9" i="173"/>
  <c r="AI38" i="136"/>
  <c r="AI39" i="136" s="1"/>
  <c r="AI41" i="136" s="1"/>
  <c r="AK38" i="136"/>
  <c r="AK39" i="136" s="1"/>
  <c r="AK41" i="136" s="1"/>
  <c r="AJ38" i="136"/>
  <c r="AJ39" i="136" s="1"/>
  <c r="AJ41" i="136" s="1"/>
  <c r="D38" i="146"/>
  <c r="E25" i="173"/>
  <c r="I23" i="173"/>
  <c r="I109" i="173"/>
  <c r="I187" i="173" s="1"/>
  <c r="E32" i="173"/>
  <c r="E24" i="136"/>
  <c r="AL38" i="136"/>
  <c r="AL39" i="136" s="1"/>
  <c r="AL41" i="136" s="1"/>
  <c r="AM39" i="136"/>
  <c r="AM41" i="136" s="1"/>
  <c r="D31" i="149"/>
  <c r="D32" i="149"/>
  <c r="E81" i="137"/>
  <c r="E35" i="137" s="1"/>
  <c r="E54" i="167"/>
  <c r="D31" i="136"/>
  <c r="D15" i="136"/>
  <c r="D11" i="136"/>
  <c r="AI47" i="152"/>
  <c r="AK47" i="152"/>
  <c r="AH45" i="152"/>
  <c r="AL45" i="152"/>
  <c r="AJ45" i="152"/>
  <c r="AG45" i="152"/>
  <c r="D23" i="137" l="1"/>
  <c r="R83" i="145"/>
  <c r="S35" i="153"/>
  <c r="Q40" i="145"/>
  <c r="Q90" i="137"/>
  <c r="Q44" i="137" s="1"/>
  <c r="J23" i="136"/>
  <c r="I23" i="136"/>
  <c r="L21" i="176"/>
  <c r="L103" i="176" s="1"/>
  <c r="L181" i="176" s="1"/>
  <c r="J20" i="149"/>
  <c r="J34" i="149" s="1"/>
  <c r="H23" i="136"/>
  <c r="K22" i="176"/>
  <c r="K109" i="176" s="1"/>
  <c r="K187" i="176" s="1"/>
  <c r="K21" i="173"/>
  <c r="H24" i="146"/>
  <c r="K22" i="173" s="1"/>
  <c r="K109" i="173" s="1"/>
  <c r="K187" i="173" s="1"/>
  <c r="L21" i="173"/>
  <c r="I24" i="146"/>
  <c r="L22" i="173" s="1"/>
  <c r="L109" i="173" s="1"/>
  <c r="L187" i="173" s="1"/>
  <c r="M21" i="173"/>
  <c r="J24" i="146"/>
  <c r="M22" i="173" s="1"/>
  <c r="M109" i="173" s="1"/>
  <c r="M187" i="173" s="1"/>
  <c r="D66" i="183"/>
  <c r="E66" i="183" s="1"/>
  <c r="L22" i="176"/>
  <c r="M103" i="176"/>
  <c r="M181" i="176" s="1"/>
  <c r="K103" i="176"/>
  <c r="K181" i="176" s="1"/>
  <c r="E43" i="176"/>
  <c r="H121" i="176"/>
  <c r="E48" i="167"/>
  <c r="AI109" i="176"/>
  <c r="AI187" i="176" s="1"/>
  <c r="AI23" i="176"/>
  <c r="AJ35" i="176"/>
  <c r="AI6" i="167"/>
  <c r="AI8" i="167" s="1"/>
  <c r="AH35" i="176"/>
  <c r="AG6" i="167"/>
  <c r="AG8" i="167" s="1"/>
  <c r="E55" i="176"/>
  <c r="AH133" i="176"/>
  <c r="E133" i="176" s="1"/>
  <c r="AF109" i="176"/>
  <c r="AF187" i="176" s="1"/>
  <c r="AF23" i="176"/>
  <c r="H35" i="176"/>
  <c r="G6" i="167"/>
  <c r="AG109" i="176"/>
  <c r="AG187" i="176" s="1"/>
  <c r="AG23" i="176"/>
  <c r="AK35" i="176"/>
  <c r="AJ6" i="167"/>
  <c r="AJ8" i="167" s="1"/>
  <c r="AJ20" i="167" s="1"/>
  <c r="I35" i="173"/>
  <c r="G10" i="180" s="1"/>
  <c r="H6" i="154"/>
  <c r="H8" i="154" s="1"/>
  <c r="H20" i="154" s="1"/>
  <c r="P26" i="154" s="1"/>
  <c r="D62" i="183"/>
  <c r="G21" i="183"/>
  <c r="D53" i="183"/>
  <c r="E43" i="173"/>
  <c r="H123" i="173"/>
  <c r="D39" i="146"/>
  <c r="D38" i="136"/>
  <c r="E33" i="173"/>
  <c r="E55" i="173"/>
  <c r="H109" i="173"/>
  <c r="H187" i="173" s="1"/>
  <c r="H23" i="173"/>
  <c r="G6" i="154" s="1"/>
  <c r="G8" i="154" s="1"/>
  <c r="D39" i="136"/>
  <c r="AG47" i="152"/>
  <c r="AJ47" i="152"/>
  <c r="AL47" i="152"/>
  <c r="AH47" i="152"/>
  <c r="D14" i="183" l="1"/>
  <c r="D51" i="183" s="1"/>
  <c r="S9" i="21"/>
  <c r="L117" i="21" s="1"/>
  <c r="R40" i="145"/>
  <c r="R90" i="137"/>
  <c r="R44" i="137" s="1"/>
  <c r="S83" i="145"/>
  <c r="T35" i="153"/>
  <c r="M22" i="176"/>
  <c r="M109" i="176" s="1"/>
  <c r="M187" i="176" s="1"/>
  <c r="H24" i="136"/>
  <c r="J24" i="136"/>
  <c r="I24" i="136"/>
  <c r="N21" i="176"/>
  <c r="N21" i="173"/>
  <c r="M103" i="173"/>
  <c r="M181" i="173" s="1"/>
  <c r="M23" i="173"/>
  <c r="L103" i="173"/>
  <c r="L181" i="173" s="1"/>
  <c r="L23" i="173"/>
  <c r="K103" i="173"/>
  <c r="K181" i="173" s="1"/>
  <c r="K23" i="173"/>
  <c r="K23" i="176"/>
  <c r="J6" i="167" s="1"/>
  <c r="L23" i="176"/>
  <c r="L109" i="176"/>
  <c r="L187" i="176" s="1"/>
  <c r="E121" i="176"/>
  <c r="H122" i="176"/>
  <c r="AJ19" i="167"/>
  <c r="AJ23" i="167"/>
  <c r="AI20" i="167"/>
  <c r="AI19" i="167" s="1"/>
  <c r="AG35" i="176"/>
  <c r="AF6" i="167"/>
  <c r="AF8" i="167" s="1"/>
  <c r="AG20" i="167"/>
  <c r="AI35" i="176"/>
  <c r="AH6" i="167"/>
  <c r="AH8" i="167" s="1"/>
  <c r="AF35" i="176"/>
  <c r="AE6" i="167"/>
  <c r="AE8" i="167" s="1"/>
  <c r="H19" i="154"/>
  <c r="K26" i="154"/>
  <c r="H23" i="154"/>
  <c r="O26" i="154"/>
  <c r="M26" i="154"/>
  <c r="E53" i="154"/>
  <c r="Q26" i="154"/>
  <c r="L26" i="154"/>
  <c r="N26" i="154"/>
  <c r="G20" i="154"/>
  <c r="G19" i="154" s="1"/>
  <c r="H188" i="173"/>
  <c r="H192" i="173" s="1"/>
  <c r="E62" i="183"/>
  <c r="H165" i="173"/>
  <c r="H124" i="173"/>
  <c r="I120" i="173" s="1"/>
  <c r="E7" i="154"/>
  <c r="H35" i="173"/>
  <c r="F10" i="180" s="1"/>
  <c r="F30" i="180" s="1"/>
  <c r="E54" i="154"/>
  <c r="E7" i="167"/>
  <c r="T83" i="145" l="1"/>
  <c r="U35" i="153"/>
  <c r="S40" i="145"/>
  <c r="S90" i="137"/>
  <c r="S44" i="137" s="1"/>
  <c r="M23" i="176"/>
  <c r="L6" i="167" s="1"/>
  <c r="L8" i="167" s="1"/>
  <c r="L20" i="167" s="1"/>
  <c r="L19" i="167" s="1"/>
  <c r="K35" i="173"/>
  <c r="I10" i="180" s="1"/>
  <c r="J6" i="154"/>
  <c r="K6" i="154"/>
  <c r="L35" i="173"/>
  <c r="J10" i="180" s="1"/>
  <c r="L6" i="154"/>
  <c r="M35" i="173"/>
  <c r="K10" i="180" s="1"/>
  <c r="K35" i="176"/>
  <c r="K6" i="167"/>
  <c r="K8" i="167" s="1"/>
  <c r="K20" i="167" s="1"/>
  <c r="L35" i="176"/>
  <c r="H123" i="176"/>
  <c r="H192" i="176"/>
  <c r="H124" i="176"/>
  <c r="I120" i="176" s="1"/>
  <c r="AE20" i="167"/>
  <c r="AE19" i="167" s="1"/>
  <c r="AH20" i="167"/>
  <c r="AH19" i="167" s="1"/>
  <c r="AH51" i="167"/>
  <c r="AJ51" i="167"/>
  <c r="AI51" i="167"/>
  <c r="AG23" i="167"/>
  <c r="AG19" i="167"/>
  <c r="AF20" i="167"/>
  <c r="AJ53" i="167"/>
  <c r="E53" i="167" s="1"/>
  <c r="AI23" i="167"/>
  <c r="E26" i="154"/>
  <c r="K24" i="146"/>
  <c r="N22" i="173" s="1"/>
  <c r="H190" i="173"/>
  <c r="I186" i="173" s="1"/>
  <c r="H189" i="173"/>
  <c r="N103" i="176"/>
  <c r="N181" i="176" s="1"/>
  <c r="H166" i="173"/>
  <c r="I162" i="173" s="1"/>
  <c r="K23" i="136"/>
  <c r="Q25" i="154"/>
  <c r="O25" i="154"/>
  <c r="N25" i="154"/>
  <c r="L25" i="154"/>
  <c r="P25" i="154"/>
  <c r="M25" i="154"/>
  <c r="K25" i="154"/>
  <c r="G23" i="154"/>
  <c r="U83" i="145" l="1"/>
  <c r="V35" i="153"/>
  <c r="T90" i="137"/>
  <c r="T44" i="137" s="1"/>
  <c r="T40" i="145"/>
  <c r="M35" i="176"/>
  <c r="K19" i="167"/>
  <c r="K23" i="167"/>
  <c r="P29" i="167"/>
  <c r="Q29" i="167"/>
  <c r="R29" i="167"/>
  <c r="M29" i="167"/>
  <c r="O29" i="167"/>
  <c r="N29" i="167"/>
  <c r="L29" i="167"/>
  <c r="S30" i="167"/>
  <c r="O30" i="167"/>
  <c r="M30" i="167"/>
  <c r="P30" i="167"/>
  <c r="L23" i="167"/>
  <c r="N30" i="167"/>
  <c r="R30" i="167"/>
  <c r="Q30" i="167"/>
  <c r="N22" i="176"/>
  <c r="AJ52" i="167"/>
  <c r="AH23" i="167"/>
  <c r="AI52" i="167"/>
  <c r="AJ50" i="167"/>
  <c r="AI50" i="167"/>
  <c r="AG50" i="167"/>
  <c r="AF23" i="167"/>
  <c r="AH50" i="167"/>
  <c r="E51" i="167"/>
  <c r="AF19" i="167"/>
  <c r="AH49" i="167"/>
  <c r="AF49" i="167"/>
  <c r="AI49" i="167"/>
  <c r="AJ49" i="167"/>
  <c r="AE23" i="167"/>
  <c r="AG49" i="167"/>
  <c r="E50" i="154"/>
  <c r="E52" i="154"/>
  <c r="E51" i="154"/>
  <c r="E49" i="154"/>
  <c r="N103" i="173"/>
  <c r="N181" i="173" s="1"/>
  <c r="K24" i="136"/>
  <c r="K20" i="149"/>
  <c r="K34" i="149" s="1"/>
  <c r="E25" i="154"/>
  <c r="G61" i="154"/>
  <c r="W35" i="153" l="1"/>
  <c r="V83" i="145"/>
  <c r="U40" i="145"/>
  <c r="U90" i="137"/>
  <c r="U44" i="137" s="1"/>
  <c r="E29" i="167"/>
  <c r="E30" i="167"/>
  <c r="AH24" i="167"/>
  <c r="AJ24" i="167"/>
  <c r="AF24" i="167"/>
  <c r="E49" i="167"/>
  <c r="AI24" i="167"/>
  <c r="E52" i="167"/>
  <c r="AG24" i="167"/>
  <c r="E50" i="167"/>
  <c r="N109" i="176"/>
  <c r="N23" i="176"/>
  <c r="N23" i="173"/>
  <c r="N109" i="173"/>
  <c r="N187" i="173" s="1"/>
  <c r="G62" i="154"/>
  <c r="AM45" i="152"/>
  <c r="V90" i="137" l="1"/>
  <c r="V44" i="137" s="1"/>
  <c r="V40" i="145"/>
  <c r="X35" i="153"/>
  <c r="W83" i="145"/>
  <c r="M6" i="167"/>
  <c r="M8" i="167" s="1"/>
  <c r="N35" i="176"/>
  <c r="N187" i="176"/>
  <c r="N35" i="173"/>
  <c r="L10" i="180" s="1"/>
  <c r="M6" i="154"/>
  <c r="G63" i="154"/>
  <c r="H22" i="154" s="1"/>
  <c r="AM47" i="152"/>
  <c r="AF45" i="152"/>
  <c r="AC45" i="152"/>
  <c r="AE45" i="152"/>
  <c r="AD45" i="152"/>
  <c r="W40" i="145" l="1"/>
  <c r="W90" i="137"/>
  <c r="W44" i="137" s="1"/>
  <c r="X83" i="145"/>
  <c r="Y35" i="153"/>
  <c r="M20" i="167"/>
  <c r="M19" i="167" s="1"/>
  <c r="H61" i="154"/>
  <c r="AC47" i="152"/>
  <c r="AD47" i="152"/>
  <c r="AE47" i="152"/>
  <c r="AF47" i="152"/>
  <c r="Y83" i="145" l="1"/>
  <c r="Z35" i="153"/>
  <c r="X90" i="137"/>
  <c r="X44" i="137" s="1"/>
  <c r="X40" i="145"/>
  <c r="R31" i="167"/>
  <c r="R24" i="167" s="1"/>
  <c r="N31" i="167"/>
  <c r="M23" i="167"/>
  <c r="P31" i="167"/>
  <c r="O31" i="167"/>
  <c r="Q31" i="167"/>
  <c r="T31" i="167"/>
  <c r="T24" i="167" s="1"/>
  <c r="S31" i="167"/>
  <c r="S24" i="167" s="1"/>
  <c r="H62" i="154"/>
  <c r="AA35" i="153" l="1"/>
  <c r="AA83" i="145" s="1"/>
  <c r="AA40" i="145" s="1"/>
  <c r="Z83" i="145"/>
  <c r="Y40" i="145"/>
  <c r="Y90" i="137"/>
  <c r="Y44" i="137" s="1"/>
  <c r="E31" i="167"/>
  <c r="H63" i="154"/>
  <c r="I22" i="154" s="1"/>
  <c r="AA90" i="137" l="1"/>
  <c r="AA44" i="137" s="1"/>
  <c r="Z40" i="145"/>
  <c r="Z90" i="137"/>
  <c r="Z44" i="137" s="1"/>
  <c r="G45" i="152" l="1"/>
  <c r="F63" i="145" s="1"/>
  <c r="F70" i="137" s="1"/>
  <c r="F80" i="137" s="1"/>
  <c r="H45" i="152"/>
  <c r="G63" i="145" s="1"/>
  <c r="G70" i="137" s="1"/>
  <c r="G80" i="137" s="1"/>
  <c r="G73" i="145" l="1"/>
  <c r="F73" i="145"/>
  <c r="H47" i="152"/>
  <c r="G47" i="152"/>
  <c r="F30" i="145" l="1"/>
  <c r="G34" i="137"/>
  <c r="G30" i="145"/>
  <c r="F20" i="145"/>
  <c r="F74" i="145"/>
  <c r="G20" i="145"/>
  <c r="G74" i="145"/>
  <c r="F81" i="137" l="1"/>
  <c r="F35" i="137" s="1"/>
  <c r="H8" i="167"/>
  <c r="H20" i="167" s="1"/>
  <c r="G81" i="137"/>
  <c r="G35" i="137" s="1"/>
  <c r="F34" i="137"/>
  <c r="G67" i="137"/>
  <c r="G24" i="137"/>
  <c r="F31" i="145"/>
  <c r="F67" i="137"/>
  <c r="F24" i="137"/>
  <c r="G31" i="145"/>
  <c r="D83" i="145" l="1"/>
  <c r="H19" i="167"/>
  <c r="M26" i="167"/>
  <c r="Q26" i="167"/>
  <c r="N26" i="167"/>
  <c r="K26" i="167"/>
  <c r="O26" i="167"/>
  <c r="L26" i="167"/>
  <c r="P26" i="167"/>
  <c r="H23" i="167"/>
  <c r="F21" i="137"/>
  <c r="G21" i="137"/>
  <c r="D40" i="145" l="1"/>
  <c r="D44" i="137"/>
  <c r="S30" i="21" s="1"/>
  <c r="D90" i="137"/>
  <c r="E26" i="167"/>
  <c r="AN45" i="152"/>
  <c r="L127" i="21" l="1"/>
  <c r="AN47" i="152"/>
  <c r="AB45" i="152"/>
  <c r="AA63" i="145" s="1"/>
  <c r="AA70" i="137" s="1"/>
  <c r="AA45" i="152"/>
  <c r="Z63" i="145" s="1"/>
  <c r="Z70" i="137" s="1"/>
  <c r="AB47" i="152" l="1"/>
  <c r="AA47" i="152"/>
  <c r="Z20" i="145" l="1"/>
  <c r="AA20" i="145"/>
  <c r="J8" i="167" l="1"/>
  <c r="AA67" i="137"/>
  <c r="AA24" i="137"/>
  <c r="Z67" i="137"/>
  <c r="Z24" i="137"/>
  <c r="J20" i="167" l="1"/>
  <c r="J19" i="167" s="1"/>
  <c r="AA21" i="137"/>
  <c r="Z21" i="137"/>
  <c r="O28" i="167" l="1"/>
  <c r="Q28" i="167"/>
  <c r="P28" i="167"/>
  <c r="L28" i="167"/>
  <c r="M28" i="167"/>
  <c r="J23" i="167"/>
  <c r="K28" i="167"/>
  <c r="N28" i="167"/>
  <c r="E37" i="152"/>
  <c r="E28" i="167" l="1"/>
  <c r="E20" i="152"/>
  <c r="E21" i="152"/>
  <c r="W45" i="152" l="1"/>
  <c r="V63" i="145" s="1"/>
  <c r="V70" i="137" s="1"/>
  <c r="N45" i="152"/>
  <c r="M63" i="145" s="1"/>
  <c r="M70" i="137" s="1"/>
  <c r="V45" i="152"/>
  <c r="U63" i="145" s="1"/>
  <c r="U70" i="137" s="1"/>
  <c r="Y45" i="152"/>
  <c r="X63" i="145" s="1"/>
  <c r="X70" i="137" s="1"/>
  <c r="E24" i="152"/>
  <c r="U45" i="152"/>
  <c r="T63" i="145" s="1"/>
  <c r="T70" i="137" s="1"/>
  <c r="Q45" i="152"/>
  <c r="P63" i="145" s="1"/>
  <c r="P70" i="137" s="1"/>
  <c r="E25" i="152"/>
  <c r="P45" i="152"/>
  <c r="O63" i="145" s="1"/>
  <c r="O70" i="137" s="1"/>
  <c r="Z45" i="152"/>
  <c r="Y63" i="145" s="1"/>
  <c r="Y70" i="137" s="1"/>
  <c r="S45" i="152"/>
  <c r="R63" i="145" s="1"/>
  <c r="R70" i="137" s="1"/>
  <c r="L45" i="152"/>
  <c r="K63" i="145" s="1"/>
  <c r="K70" i="137" s="1"/>
  <c r="T45" i="152"/>
  <c r="S63" i="145" s="1"/>
  <c r="S70" i="137" s="1"/>
  <c r="X45" i="152"/>
  <c r="W63" i="145" s="1"/>
  <c r="W70" i="137" s="1"/>
  <c r="O45" i="152"/>
  <c r="N63" i="145" s="1"/>
  <c r="N70" i="137" s="1"/>
  <c r="M45" i="152"/>
  <c r="L63" i="145" s="1"/>
  <c r="L70" i="137" s="1"/>
  <c r="Q47" i="152" l="1"/>
  <c r="K47" i="152"/>
  <c r="N47" i="152"/>
  <c r="U47" i="152"/>
  <c r="V47" i="152"/>
  <c r="S47" i="152"/>
  <c r="Y47" i="152"/>
  <c r="W47" i="152"/>
  <c r="X47" i="152"/>
  <c r="L47" i="152"/>
  <c r="Z47" i="152"/>
  <c r="P47" i="152"/>
  <c r="M47" i="152"/>
  <c r="T47" i="152"/>
  <c r="R47" i="152"/>
  <c r="O47" i="152"/>
  <c r="E34" i="152"/>
  <c r="E38" i="152"/>
  <c r="E33" i="152"/>
  <c r="X20" i="145" l="1"/>
  <c r="R20" i="145"/>
  <c r="U20" i="145"/>
  <c r="M20" i="145"/>
  <c r="T20" i="145"/>
  <c r="O20" i="145"/>
  <c r="V20" i="145"/>
  <c r="J20" i="145"/>
  <c r="N20" i="145"/>
  <c r="Q20" i="145"/>
  <c r="Y20" i="145"/>
  <c r="S20" i="145"/>
  <c r="L20" i="145"/>
  <c r="K20" i="145"/>
  <c r="W20" i="145"/>
  <c r="P20" i="145"/>
  <c r="I45" i="152"/>
  <c r="H63" i="145" s="1"/>
  <c r="H70" i="137" s="1"/>
  <c r="H80" i="137" s="1"/>
  <c r="AQ45" i="152" l="1"/>
  <c r="AQ47" i="152" s="1"/>
  <c r="H73" i="145"/>
  <c r="N67" i="137"/>
  <c r="N24" i="137"/>
  <c r="J67" i="137"/>
  <c r="J24" i="137"/>
  <c r="Y67" i="137"/>
  <c r="Y24" i="137"/>
  <c r="T67" i="137"/>
  <c r="T24" i="137"/>
  <c r="O67" i="137"/>
  <c r="O24" i="137"/>
  <c r="L67" i="137"/>
  <c r="L24" i="137"/>
  <c r="Q67" i="137"/>
  <c r="Q24" i="137"/>
  <c r="M67" i="137"/>
  <c r="M24" i="137"/>
  <c r="R67" i="137"/>
  <c r="R24" i="137"/>
  <c r="P67" i="137"/>
  <c r="P24" i="137"/>
  <c r="I47" i="152"/>
  <c r="U67" i="137"/>
  <c r="U24" i="137"/>
  <c r="S67" i="137"/>
  <c r="S24" i="137"/>
  <c r="V67" i="137"/>
  <c r="V24" i="137"/>
  <c r="W67" i="137"/>
  <c r="W24" i="137"/>
  <c r="K67" i="137"/>
  <c r="K24" i="137"/>
  <c r="X67" i="137"/>
  <c r="X24" i="137"/>
  <c r="H30" i="145" l="1"/>
  <c r="K21" i="137"/>
  <c r="V21" i="137"/>
  <c r="X21" i="137"/>
  <c r="W21" i="137"/>
  <c r="L21" i="137"/>
  <c r="O21" i="137"/>
  <c r="Y21" i="137"/>
  <c r="S21" i="137"/>
  <c r="R21" i="137"/>
  <c r="U21" i="137"/>
  <c r="J21" i="137"/>
  <c r="M21" i="137"/>
  <c r="Q21" i="137"/>
  <c r="T21" i="137"/>
  <c r="H20" i="145"/>
  <c r="D20" i="145" s="1"/>
  <c r="H74" i="145"/>
  <c r="P21" i="137"/>
  <c r="N21" i="137"/>
  <c r="H81" i="137" l="1"/>
  <c r="H35" i="137" s="1"/>
  <c r="H34" i="137"/>
  <c r="H31" i="145"/>
  <c r="D63" i="145"/>
  <c r="H67" i="137"/>
  <c r="H24" i="137"/>
  <c r="D70" i="137" l="1"/>
  <c r="D67" i="137"/>
  <c r="H21" i="137"/>
  <c r="D24" i="137"/>
  <c r="D15" i="183" l="1"/>
  <c r="S10" i="21"/>
  <c r="L118" i="21" s="1"/>
  <c r="D21" i="137"/>
  <c r="D12" i="183" s="1"/>
  <c r="H17" i="153"/>
  <c r="H18" i="153" s="1"/>
  <c r="H76" i="145" s="1"/>
  <c r="G17" i="153"/>
  <c r="F76" i="145"/>
  <c r="E76" i="145"/>
  <c r="G18" i="153" l="1"/>
  <c r="G19" i="153" s="1"/>
  <c r="G77" i="145" s="1"/>
  <c r="E83" i="137"/>
  <c r="E33" i="145"/>
  <c r="F83" i="137"/>
  <c r="F33" i="145"/>
  <c r="H83" i="137"/>
  <c r="H33" i="145"/>
  <c r="F19" i="153"/>
  <c r="H19" i="153"/>
  <c r="G76" i="145" l="1"/>
  <c r="H31" i="153"/>
  <c r="H77" i="145"/>
  <c r="F31" i="153"/>
  <c r="F77" i="145"/>
  <c r="G84" i="137"/>
  <c r="G38" i="137" s="1"/>
  <c r="G34" i="145"/>
  <c r="F37" i="137"/>
  <c r="G31" i="153"/>
  <c r="E31" i="153"/>
  <c r="E77" i="145"/>
  <c r="H37" i="137"/>
  <c r="E37" i="137"/>
  <c r="G83" i="137" l="1"/>
  <c r="G37" i="137" s="1"/>
  <c r="G33" i="145"/>
  <c r="G85" i="145"/>
  <c r="G42" i="145" s="1"/>
  <c r="G50" i="145" s="1"/>
  <c r="G51" i="145" s="1"/>
  <c r="F84" i="137"/>
  <c r="F34" i="145"/>
  <c r="F85" i="145"/>
  <c r="H84" i="137"/>
  <c r="H34" i="145"/>
  <c r="H85" i="145"/>
  <c r="H92" i="145" s="1"/>
  <c r="E84" i="137"/>
  <c r="E34" i="145"/>
  <c r="E85" i="145"/>
  <c r="E92" i="145" s="1"/>
  <c r="G92" i="145" l="1"/>
  <c r="G92" i="137"/>
  <c r="G46" i="137" s="1"/>
  <c r="E42" i="145"/>
  <c r="E38" i="137"/>
  <c r="E92" i="137"/>
  <c r="F42" i="145"/>
  <c r="F50" i="145" s="1"/>
  <c r="F51" i="145" s="1"/>
  <c r="F92" i="145"/>
  <c r="F38" i="137"/>
  <c r="F92" i="137"/>
  <c r="H42" i="145"/>
  <c r="H50" i="145" s="1"/>
  <c r="H51" i="145" s="1"/>
  <c r="H38" i="137"/>
  <c r="H92" i="137"/>
  <c r="E46" i="137" l="1"/>
  <c r="F46" i="137"/>
  <c r="E50" i="145"/>
  <c r="E51" i="145" s="1"/>
  <c r="H46" i="137"/>
  <c r="G8" i="167" l="1"/>
  <c r="G20" i="167" s="1"/>
  <c r="G23" i="167" l="1"/>
  <c r="G61" i="167" s="1"/>
  <c r="G62" i="167" s="1"/>
  <c r="O25" i="167"/>
  <c r="M25" i="167"/>
  <c r="N25" i="167"/>
  <c r="P25" i="167"/>
  <c r="L25" i="167"/>
  <c r="Q25" i="167"/>
  <c r="G19" i="167"/>
  <c r="K25" i="167"/>
  <c r="G63" i="167" l="1"/>
  <c r="H22" i="167" s="1"/>
  <c r="H61" i="167" s="1"/>
  <c r="E25" i="167"/>
  <c r="H62" i="167" l="1"/>
  <c r="H63" i="167" s="1"/>
  <c r="I22" i="167" s="1"/>
  <c r="F3" i="146" l="1"/>
  <c r="F9" i="146" s="1"/>
  <c r="F29" i="146" s="1"/>
  <c r="H5" i="178"/>
  <c r="G4" i="179" s="1"/>
  <c r="F3" i="136"/>
  <c r="F3" i="137" s="1"/>
  <c r="F10" i="137" s="1"/>
  <c r="F56" i="137" s="1"/>
  <c r="F3" i="149"/>
  <c r="F9" i="149" s="1"/>
  <c r="F23" i="149" s="1"/>
  <c r="I2" i="173"/>
  <c r="I39" i="173" s="1"/>
  <c r="I117" i="173" s="1"/>
  <c r="I2" i="176"/>
  <c r="I39" i="176" s="1"/>
  <c r="I117" i="176" s="1"/>
  <c r="I188" i="176" s="1"/>
  <c r="G2" i="153"/>
  <c r="H1" i="167"/>
  <c r="H1" i="154"/>
  <c r="K2" i="166"/>
  <c r="K2" i="135"/>
  <c r="F2" i="161"/>
  <c r="F2" i="153"/>
  <c r="E4" i="140"/>
  <c r="I195" i="176" l="1"/>
  <c r="I230" i="176" s="1"/>
  <c r="I265" i="176" s="1"/>
  <c r="I300" i="176" s="1"/>
  <c r="I335" i="176" s="1"/>
  <c r="I370" i="176" s="1"/>
  <c r="I128" i="173"/>
  <c r="I176" i="173"/>
  <c r="I195" i="173"/>
  <c r="I223" i="173" s="1"/>
  <c r="I251" i="173" s="1"/>
  <c r="I279" i="173" s="1"/>
  <c r="I307" i="173" s="1"/>
  <c r="G3" i="136"/>
  <c r="G3" i="145" s="1"/>
  <c r="G10" i="145" s="1"/>
  <c r="G53" i="145" s="1"/>
  <c r="I1" i="167"/>
  <c r="L2" i="166"/>
  <c r="F4" i="140"/>
  <c r="G2" i="180"/>
  <c r="G2" i="161"/>
  <c r="L2" i="135"/>
  <c r="I1" i="154"/>
  <c r="J1" i="167"/>
  <c r="I189" i="176"/>
  <c r="I190" i="176"/>
  <c r="J186" i="176" s="1"/>
  <c r="I182" i="176"/>
  <c r="I122" i="176"/>
  <c r="I158" i="176"/>
  <c r="I134" i="176"/>
  <c r="I152" i="176"/>
  <c r="I128" i="176"/>
  <c r="I140" i="176"/>
  <c r="I170" i="176"/>
  <c r="I164" i="176"/>
  <c r="I146" i="176"/>
  <c r="I176" i="176"/>
  <c r="I164" i="173"/>
  <c r="I182" i="173"/>
  <c r="I122" i="173"/>
  <c r="I170" i="173"/>
  <c r="I140" i="173"/>
  <c r="I134" i="173"/>
  <c r="I188" i="173"/>
  <c r="I146" i="173"/>
  <c r="I152" i="173"/>
  <c r="I158" i="173"/>
  <c r="F3" i="144"/>
  <c r="F3" i="145"/>
  <c r="F10" i="145" s="1"/>
  <c r="F53" i="145" s="1"/>
  <c r="F9" i="136"/>
  <c r="F29" i="136" s="1"/>
  <c r="G3" i="149"/>
  <c r="G9" i="149" s="1"/>
  <c r="G23" i="149" s="1"/>
  <c r="J2" i="173"/>
  <c r="J39" i="173" s="1"/>
  <c r="J117" i="173" s="1"/>
  <c r="G3" i="146"/>
  <c r="J2" i="176"/>
  <c r="J39" i="176" s="1"/>
  <c r="J117" i="176" s="1"/>
  <c r="I5" i="178"/>
  <c r="F11" i="144" l="1"/>
  <c r="F15" i="144"/>
  <c r="I178" i="173"/>
  <c r="J174" i="173" s="1"/>
  <c r="J176" i="173" s="1"/>
  <c r="J178" i="173" s="1"/>
  <c r="K174" i="173" s="1"/>
  <c r="I129" i="173"/>
  <c r="I177" i="173"/>
  <c r="I130" i="173"/>
  <c r="J126" i="173" s="1"/>
  <c r="J128" i="173" s="1"/>
  <c r="J130" i="173" s="1"/>
  <c r="K126" i="173" s="1"/>
  <c r="K2" i="173"/>
  <c r="K39" i="173" s="1"/>
  <c r="K117" i="173" s="1"/>
  <c r="K195" i="173" s="1"/>
  <c r="G4" i="140"/>
  <c r="H3" i="146"/>
  <c r="M2" i="135"/>
  <c r="H2" i="161"/>
  <c r="J1" i="154"/>
  <c r="K2" i="176"/>
  <c r="K39" i="176" s="1"/>
  <c r="K117" i="176" s="1"/>
  <c r="K195" i="176" s="1"/>
  <c r="K230" i="176" s="1"/>
  <c r="H2" i="153"/>
  <c r="M2" i="166"/>
  <c r="H3" i="136"/>
  <c r="H3" i="149"/>
  <c r="H9" i="149" s="1"/>
  <c r="H23" i="149" s="1"/>
  <c r="J5" i="178"/>
  <c r="I4" i="179" s="1"/>
  <c r="G3" i="144"/>
  <c r="G3" i="137"/>
  <c r="G10" i="137" s="1"/>
  <c r="G56" i="137" s="1"/>
  <c r="G9" i="136"/>
  <c r="G29" i="136" s="1"/>
  <c r="I166" i="173"/>
  <c r="J162" i="173" s="1"/>
  <c r="J164" i="173" s="1"/>
  <c r="I165" i="173"/>
  <c r="I171" i="176"/>
  <c r="I172" i="176"/>
  <c r="J168" i="176" s="1"/>
  <c r="J170" i="176" s="1"/>
  <c r="I136" i="176"/>
  <c r="J132" i="176" s="1"/>
  <c r="J134" i="176" s="1"/>
  <c r="I135" i="176"/>
  <c r="I192" i="176"/>
  <c r="I123" i="176"/>
  <c r="I124" i="176"/>
  <c r="J120" i="176" s="1"/>
  <c r="J122" i="176" s="1"/>
  <c r="J195" i="176"/>
  <c r="J195" i="173"/>
  <c r="I190" i="173"/>
  <c r="J186" i="173" s="1"/>
  <c r="I189" i="173"/>
  <c r="I166" i="176"/>
  <c r="J162" i="176" s="1"/>
  <c r="J164" i="176" s="1"/>
  <c r="J165" i="176" s="1"/>
  <c r="I165" i="176"/>
  <c r="I130" i="176"/>
  <c r="J126" i="176" s="1"/>
  <c r="J128" i="176" s="1"/>
  <c r="J129" i="176" s="1"/>
  <c r="I129" i="176"/>
  <c r="I154" i="176"/>
  <c r="J150" i="176" s="1"/>
  <c r="J152" i="176" s="1"/>
  <c r="I153" i="176"/>
  <c r="I159" i="176"/>
  <c r="I160" i="176"/>
  <c r="J156" i="176" s="1"/>
  <c r="H4" i="179"/>
  <c r="H2" i="180"/>
  <c r="I184" i="176"/>
  <c r="J180" i="176" s="1"/>
  <c r="I183" i="176"/>
  <c r="I160" i="173"/>
  <c r="J156" i="173" s="1"/>
  <c r="J158" i="173" s="1"/>
  <c r="I159" i="173"/>
  <c r="I148" i="173"/>
  <c r="J144" i="173" s="1"/>
  <c r="J146" i="173" s="1"/>
  <c r="I147" i="173"/>
  <c r="I135" i="173"/>
  <c r="I136" i="173"/>
  <c r="J132" i="173" s="1"/>
  <c r="I142" i="173"/>
  <c r="J138" i="173" s="1"/>
  <c r="I141" i="173"/>
  <c r="I192" i="173"/>
  <c r="I124" i="173"/>
  <c r="J120" i="173" s="1"/>
  <c r="J122" i="173" s="1"/>
  <c r="I123" i="173"/>
  <c r="I177" i="176"/>
  <c r="I178" i="176"/>
  <c r="J174" i="176" s="1"/>
  <c r="I141" i="176"/>
  <c r="I142" i="176"/>
  <c r="J138" i="176" s="1"/>
  <c r="J140" i="176" s="1"/>
  <c r="J141" i="176" s="1"/>
  <c r="I3" i="146"/>
  <c r="I3" i="136"/>
  <c r="N2" i="135"/>
  <c r="L2" i="173"/>
  <c r="L39" i="173" s="1"/>
  <c r="L117" i="173" s="1"/>
  <c r="K5" i="178"/>
  <c r="H4" i="140"/>
  <c r="I3" i="149"/>
  <c r="I9" i="149" s="1"/>
  <c r="I23" i="149" s="1"/>
  <c r="I2" i="161"/>
  <c r="I335" i="173"/>
  <c r="G9" i="146"/>
  <c r="G29" i="146" s="1"/>
  <c r="I154" i="173"/>
  <c r="J150" i="173" s="1"/>
  <c r="I153" i="173"/>
  <c r="I171" i="173"/>
  <c r="I172" i="173"/>
  <c r="J168" i="173" s="1"/>
  <c r="J170" i="173" s="1"/>
  <c r="J171" i="173" s="1"/>
  <c r="I184" i="173"/>
  <c r="J180" i="173" s="1"/>
  <c r="I183" i="173"/>
  <c r="I147" i="176"/>
  <c r="I148" i="176"/>
  <c r="J144" i="176" s="1"/>
  <c r="I405" i="176"/>
  <c r="G11" i="144" l="1"/>
  <c r="G15" i="144"/>
  <c r="K128" i="173"/>
  <c r="K130" i="173" s="1"/>
  <c r="L126" i="173" s="1"/>
  <c r="H9" i="146"/>
  <c r="H29" i="146" s="1"/>
  <c r="L2" i="176"/>
  <c r="L39" i="176" s="1"/>
  <c r="L117" i="176" s="1"/>
  <c r="L195" i="176" s="1"/>
  <c r="I2" i="153"/>
  <c r="K1" i="167"/>
  <c r="N2" i="166"/>
  <c r="H9" i="136"/>
  <c r="H29" i="136" s="1"/>
  <c r="K1" i="154"/>
  <c r="I2" i="180"/>
  <c r="H3" i="144"/>
  <c r="H3" i="145"/>
  <c r="H10" i="145" s="1"/>
  <c r="H53" i="145" s="1"/>
  <c r="H3" i="137"/>
  <c r="H10" i="137" s="1"/>
  <c r="H56" i="137" s="1"/>
  <c r="K176" i="173"/>
  <c r="K177" i="173" s="1"/>
  <c r="J147" i="173"/>
  <c r="K265" i="176"/>
  <c r="J146" i="176"/>
  <c r="J130" i="176"/>
  <c r="K126" i="176" s="1"/>
  <c r="I440" i="176"/>
  <c r="J129" i="173"/>
  <c r="J160" i="173"/>
  <c r="K156" i="173" s="1"/>
  <c r="J166" i="176"/>
  <c r="K162" i="176" s="1"/>
  <c r="J134" i="173"/>
  <c r="J4" i="179"/>
  <c r="J2" i="180"/>
  <c r="J153" i="176"/>
  <c r="J124" i="173"/>
  <c r="K120" i="173" s="1"/>
  <c r="J152" i="173"/>
  <c r="I3" i="145"/>
  <c r="I10" i="145" s="1"/>
  <c r="I53" i="145" s="1"/>
  <c r="I3" i="144"/>
  <c r="I9" i="136"/>
  <c r="I29" i="136" s="1"/>
  <c r="I3" i="137"/>
  <c r="I10" i="137" s="1"/>
  <c r="I56" i="137" s="1"/>
  <c r="J123" i="176"/>
  <c r="J166" i="173"/>
  <c r="K162" i="173" s="1"/>
  <c r="I9" i="146"/>
  <c r="I29" i="146" s="1"/>
  <c r="J3" i="146"/>
  <c r="L5" i="178"/>
  <c r="O2" i="166"/>
  <c r="L1" i="154"/>
  <c r="I4" i="140"/>
  <c r="J2" i="161"/>
  <c r="M2" i="173"/>
  <c r="M39" i="173" s="1"/>
  <c r="M117" i="173" s="1"/>
  <c r="L1" i="167"/>
  <c r="M2" i="176"/>
  <c r="M39" i="176" s="1"/>
  <c r="M117" i="176" s="1"/>
  <c r="J3" i="149"/>
  <c r="J9" i="149" s="1"/>
  <c r="J23" i="149" s="1"/>
  <c r="J3" i="136"/>
  <c r="O2" i="135"/>
  <c r="J2" i="153"/>
  <c r="J124" i="176"/>
  <c r="K120" i="176" s="1"/>
  <c r="J136" i="176"/>
  <c r="K132" i="176" s="1"/>
  <c r="I363" i="173"/>
  <c r="J223" i="173"/>
  <c r="J172" i="176"/>
  <c r="K168" i="176" s="1"/>
  <c r="K223" i="173"/>
  <c r="J154" i="176"/>
  <c r="K150" i="176" s="1"/>
  <c r="J171" i="176"/>
  <c r="J140" i="173"/>
  <c r="J123" i="173"/>
  <c r="J165" i="173"/>
  <c r="J230" i="176"/>
  <c r="J148" i="173"/>
  <c r="K144" i="173" s="1"/>
  <c r="J177" i="173"/>
  <c r="J158" i="176"/>
  <c r="J135" i="176"/>
  <c r="J159" i="173"/>
  <c r="J142" i="176"/>
  <c r="K138" i="176" s="1"/>
  <c r="J172" i="173"/>
  <c r="K168" i="173" s="1"/>
  <c r="L195" i="173"/>
  <c r="J176" i="176"/>
  <c r="H11" i="144" l="1"/>
  <c r="H15" i="144"/>
  <c r="I11" i="144"/>
  <c r="I15" i="144"/>
  <c r="J178" i="176"/>
  <c r="K174" i="176" s="1"/>
  <c r="K176" i="176" s="1"/>
  <c r="K177" i="176" s="1"/>
  <c r="J154" i="173"/>
  <c r="K150" i="173" s="1"/>
  <c r="K152" i="173" s="1"/>
  <c r="K154" i="173" s="1"/>
  <c r="L150" i="173" s="1"/>
  <c r="K129" i="173"/>
  <c r="J159" i="176"/>
  <c r="K170" i="173"/>
  <c r="J147" i="176"/>
  <c r="J141" i="173"/>
  <c r="I475" i="176"/>
  <c r="J265" i="176"/>
  <c r="J3" i="137"/>
  <c r="J10" i="137" s="1"/>
  <c r="J56" i="137" s="1"/>
  <c r="J3" i="144"/>
  <c r="J9" i="136"/>
  <c r="J29" i="136" s="1"/>
  <c r="J3" i="145"/>
  <c r="J10" i="145" s="1"/>
  <c r="J53" i="145" s="1"/>
  <c r="L223" i="173"/>
  <c r="M195" i="176"/>
  <c r="J251" i="173"/>
  <c r="K164" i="176"/>
  <c r="K166" i="176" s="1"/>
  <c r="L162" i="176" s="1"/>
  <c r="K128" i="176"/>
  <c r="K130" i="176" s="1"/>
  <c r="L126" i="176" s="1"/>
  <c r="K4" i="179"/>
  <c r="K2" i="180"/>
  <c r="J9" i="146"/>
  <c r="J29" i="146" s="1"/>
  <c r="J142" i="173"/>
  <c r="K138" i="173" s="1"/>
  <c r="L230" i="176"/>
  <c r="K300" i="176"/>
  <c r="I391" i="173"/>
  <c r="J153" i="173"/>
  <c r="K122" i="173"/>
  <c r="K178" i="173"/>
  <c r="L174" i="173" s="1"/>
  <c r="J135" i="173"/>
  <c r="J177" i="176"/>
  <c r="M195" i="173"/>
  <c r="K158" i="173"/>
  <c r="J136" i="173"/>
  <c r="K132" i="173" s="1"/>
  <c r="K251" i="173"/>
  <c r="K122" i="176"/>
  <c r="K146" i="173"/>
  <c r="K148" i="173" s="1"/>
  <c r="L144" i="173" s="1"/>
  <c r="K3" i="149"/>
  <c r="K9" i="149" s="1"/>
  <c r="K23" i="149" s="1"/>
  <c r="K3" i="146"/>
  <c r="M1" i="154"/>
  <c r="M5" i="178"/>
  <c r="N2" i="176"/>
  <c r="N39" i="176" s="1"/>
  <c r="N117" i="176" s="1"/>
  <c r="K2" i="153"/>
  <c r="N2" i="173"/>
  <c r="N39" i="173" s="1"/>
  <c r="N117" i="173" s="1"/>
  <c r="K3" i="136"/>
  <c r="P2" i="135"/>
  <c r="K2" i="161"/>
  <c r="J4" i="140"/>
  <c r="P2" i="166"/>
  <c r="M1" i="167"/>
  <c r="K140" i="176"/>
  <c r="K170" i="176"/>
  <c r="J160" i="176"/>
  <c r="K156" i="176" s="1"/>
  <c r="K164" i="173"/>
  <c r="J148" i="176"/>
  <c r="K144" i="176" s="1"/>
  <c r="L128" i="173"/>
  <c r="L130" i="173" s="1"/>
  <c r="M126" i="173" s="1"/>
  <c r="K152" i="176"/>
  <c r="K154" i="176" s="1"/>
  <c r="L150" i="176" s="1"/>
  <c r="K134" i="176"/>
  <c r="J11" i="144" l="1"/>
  <c r="J15" i="144"/>
  <c r="K153" i="173"/>
  <c r="L164" i="176"/>
  <c r="L166" i="176" s="1"/>
  <c r="M162" i="176" s="1"/>
  <c r="M128" i="173"/>
  <c r="M129" i="173" s="1"/>
  <c r="L146" i="173"/>
  <c r="L147" i="173" s="1"/>
  <c r="L152" i="176"/>
  <c r="L153" i="176" s="1"/>
  <c r="L128" i="176"/>
  <c r="L129" i="176" s="1"/>
  <c r="L152" i="173"/>
  <c r="M230" i="176"/>
  <c r="K123" i="176"/>
  <c r="L4" i="179"/>
  <c r="L2" i="180"/>
  <c r="L265" i="176"/>
  <c r="K165" i="173"/>
  <c r="K166" i="173"/>
  <c r="L162" i="173" s="1"/>
  <c r="K171" i="176"/>
  <c r="K141" i="176"/>
  <c r="K140" i="173"/>
  <c r="K153" i="176"/>
  <c r="L176" i="173"/>
  <c r="K335" i="176"/>
  <c r="K3" i="137"/>
  <c r="K10" i="137" s="1"/>
  <c r="K56" i="137" s="1"/>
  <c r="K3" i="145"/>
  <c r="K10" i="145" s="1"/>
  <c r="K53" i="145" s="1"/>
  <c r="K3" i="144"/>
  <c r="K9" i="136"/>
  <c r="K29" i="136" s="1"/>
  <c r="K123" i="173"/>
  <c r="K129" i="176"/>
  <c r="K146" i="176"/>
  <c r="K171" i="173"/>
  <c r="I419" i="173"/>
  <c r="L251" i="173"/>
  <c r="K147" i="173"/>
  <c r="L129" i="173"/>
  <c r="K279" i="173"/>
  <c r="N195" i="173"/>
  <c r="K124" i="173"/>
  <c r="L120" i="173" s="1"/>
  <c r="K124" i="176"/>
  <c r="L120" i="176" s="1"/>
  <c r="N195" i="176"/>
  <c r="K165" i="176"/>
  <c r="Q2" i="135"/>
  <c r="L2" i="153"/>
  <c r="L3" i="149"/>
  <c r="L9" i="149" s="1"/>
  <c r="L23" i="149" s="1"/>
  <c r="N5" i="178"/>
  <c r="L3" i="146"/>
  <c r="O2" i="173"/>
  <c r="O39" i="173" s="1"/>
  <c r="O117" i="173" s="1"/>
  <c r="L3" i="136"/>
  <c r="N1" i="154"/>
  <c r="O2" i="176"/>
  <c r="O39" i="176" s="1"/>
  <c r="O117" i="176" s="1"/>
  <c r="L2" i="161"/>
  <c r="Q2" i="166"/>
  <c r="K4" i="140"/>
  <c r="N1" i="167"/>
  <c r="K172" i="173"/>
  <c r="L168" i="173" s="1"/>
  <c r="K178" i="176"/>
  <c r="L174" i="176" s="1"/>
  <c r="J300" i="176"/>
  <c r="K9" i="146"/>
  <c r="K29" i="146" s="1"/>
  <c r="K158" i="176"/>
  <c r="K160" i="176" s="1"/>
  <c r="L156" i="176" s="1"/>
  <c r="K172" i="176"/>
  <c r="L168" i="176" s="1"/>
  <c r="K134" i="173"/>
  <c r="K159" i="173"/>
  <c r="K142" i="176"/>
  <c r="L138" i="176" s="1"/>
  <c r="K160" i="173"/>
  <c r="L156" i="173" s="1"/>
  <c r="K135" i="176"/>
  <c r="M223" i="173"/>
  <c r="K136" i="176"/>
  <c r="L132" i="176" s="1"/>
  <c r="J279" i="173"/>
  <c r="I510" i="176"/>
  <c r="K11" i="144" l="1"/>
  <c r="K15" i="144"/>
  <c r="L165" i="176"/>
  <c r="L158" i="176"/>
  <c r="L160" i="176" s="1"/>
  <c r="M156" i="176" s="1"/>
  <c r="M164" i="176"/>
  <c r="K147" i="176"/>
  <c r="O5" i="178"/>
  <c r="O1" i="154"/>
  <c r="P2" i="176"/>
  <c r="P39" i="176" s="1"/>
  <c r="P117" i="176" s="1"/>
  <c r="M3" i="149"/>
  <c r="M9" i="149" s="1"/>
  <c r="M23" i="149" s="1"/>
  <c r="O1" i="167"/>
  <c r="L4" i="140"/>
  <c r="M3" i="136"/>
  <c r="M3" i="146"/>
  <c r="P2" i="173"/>
  <c r="P39" i="173" s="1"/>
  <c r="P117" i="173" s="1"/>
  <c r="R2" i="135"/>
  <c r="M2" i="161"/>
  <c r="R2" i="166"/>
  <c r="M2" i="153"/>
  <c r="L300" i="176"/>
  <c r="L140" i="176"/>
  <c r="L153" i="173"/>
  <c r="J307" i="173"/>
  <c r="M251" i="173"/>
  <c r="K135" i="173"/>
  <c r="L148" i="173"/>
  <c r="M144" i="173" s="1"/>
  <c r="L176" i="176"/>
  <c r="L178" i="176" s="1"/>
  <c r="M174" i="176" s="1"/>
  <c r="L122" i="173"/>
  <c r="L124" i="173" s="1"/>
  <c r="M120" i="173" s="1"/>
  <c r="L279" i="173"/>
  <c r="K141" i="173"/>
  <c r="M265" i="176"/>
  <c r="I447" i="173"/>
  <c r="L177" i="173"/>
  <c r="L178" i="173"/>
  <c r="M174" i="173" s="1"/>
  <c r="O195" i="173"/>
  <c r="L9" i="146"/>
  <c r="L29" i="146" s="1"/>
  <c r="K307" i="173"/>
  <c r="K136" i="173"/>
  <c r="L132" i="173" s="1"/>
  <c r="L154" i="176"/>
  <c r="M150" i="176" s="1"/>
  <c r="L164" i="173"/>
  <c r="M130" i="173"/>
  <c r="N126" i="173" s="1"/>
  <c r="L170" i="173"/>
  <c r="N223" i="173"/>
  <c r="K142" i="173"/>
  <c r="L138" i="173" s="1"/>
  <c r="K148" i="176"/>
  <c r="L144" i="176" s="1"/>
  <c r="L158" i="173"/>
  <c r="O195" i="176"/>
  <c r="L3" i="145"/>
  <c r="L10" i="145" s="1"/>
  <c r="L53" i="145" s="1"/>
  <c r="L3" i="144"/>
  <c r="L9" i="136"/>
  <c r="L29" i="136" s="1"/>
  <c r="L3" i="137"/>
  <c r="L10" i="137" s="1"/>
  <c r="L56" i="137" s="1"/>
  <c r="N230" i="176"/>
  <c r="L154" i="173"/>
  <c r="M150" i="173" s="1"/>
  <c r="L130" i="176"/>
  <c r="M126" i="176" s="1"/>
  <c r="L134" i="176"/>
  <c r="M4" i="179"/>
  <c r="M2" i="180"/>
  <c r="J335" i="176"/>
  <c r="L170" i="176"/>
  <c r="I545" i="176"/>
  <c r="K159" i="176"/>
  <c r="L122" i="176"/>
  <c r="L124" i="176" s="1"/>
  <c r="M120" i="176" s="1"/>
  <c r="K370" i="176"/>
  <c r="L11" i="144" l="1"/>
  <c r="L15" i="144"/>
  <c r="L159" i="176"/>
  <c r="M122" i="173"/>
  <c r="M123" i="173" s="1"/>
  <c r="M176" i="176"/>
  <c r="M177" i="176" s="1"/>
  <c r="M122" i="176"/>
  <c r="M123" i="176" s="1"/>
  <c r="M158" i="176"/>
  <c r="M160" i="176" s="1"/>
  <c r="N156" i="176" s="1"/>
  <c r="J370" i="176"/>
  <c r="N251" i="173"/>
  <c r="M152" i="176"/>
  <c r="L135" i="176"/>
  <c r="O230" i="176"/>
  <c r="M300" i="176"/>
  <c r="L134" i="173"/>
  <c r="N4" i="179"/>
  <c r="N2" i="180"/>
  <c r="P1" i="167"/>
  <c r="N2" i="153"/>
  <c r="N3" i="146"/>
  <c r="P1" i="154"/>
  <c r="M4" i="140"/>
  <c r="Q2" i="176"/>
  <c r="Q39" i="176" s="1"/>
  <c r="Q117" i="176" s="1"/>
  <c r="N3" i="149"/>
  <c r="N9" i="149" s="1"/>
  <c r="N23" i="149" s="1"/>
  <c r="P5" i="178"/>
  <c r="Q2" i="173"/>
  <c r="Q39" i="173" s="1"/>
  <c r="Q117" i="173" s="1"/>
  <c r="N2" i="161"/>
  <c r="N3" i="136"/>
  <c r="S2" i="166"/>
  <c r="S2" i="135"/>
  <c r="I580" i="176"/>
  <c r="L171" i="176"/>
  <c r="M152" i="173"/>
  <c r="M154" i="173" s="1"/>
  <c r="N150" i="173" s="1"/>
  <c r="L171" i="173"/>
  <c r="K335" i="173"/>
  <c r="L172" i="173"/>
  <c r="M168" i="173" s="1"/>
  <c r="N128" i="173"/>
  <c r="N130" i="173" s="1"/>
  <c r="O126" i="173" s="1"/>
  <c r="M279" i="173"/>
  <c r="M165" i="176"/>
  <c r="P195" i="173"/>
  <c r="M166" i="176"/>
  <c r="N162" i="176" s="1"/>
  <c r="K405" i="176"/>
  <c r="L159" i="173"/>
  <c r="L160" i="173"/>
  <c r="M156" i="173" s="1"/>
  <c r="L141" i="176"/>
  <c r="L140" i="173"/>
  <c r="L142" i="176"/>
  <c r="M138" i="176" s="1"/>
  <c r="L146" i="176"/>
  <c r="L165" i="173"/>
  <c r="L307" i="173"/>
  <c r="L136" i="176"/>
  <c r="M132" i="176" s="1"/>
  <c r="M128" i="176"/>
  <c r="L123" i="176"/>
  <c r="J335" i="173"/>
  <c r="L123" i="173"/>
  <c r="L172" i="176"/>
  <c r="M168" i="176" s="1"/>
  <c r="N265" i="176"/>
  <c r="M176" i="173"/>
  <c r="M178" i="173" s="1"/>
  <c r="N174" i="173" s="1"/>
  <c r="L177" i="176"/>
  <c r="L335" i="176"/>
  <c r="M9" i="146"/>
  <c r="M29" i="146" s="1"/>
  <c r="M9" i="136"/>
  <c r="M29" i="136" s="1"/>
  <c r="M3" i="144"/>
  <c r="M3" i="145"/>
  <c r="M10" i="145" s="1"/>
  <c r="M53" i="145" s="1"/>
  <c r="M3" i="137"/>
  <c r="M10" i="137" s="1"/>
  <c r="M56" i="137" s="1"/>
  <c r="I475" i="173"/>
  <c r="L166" i="173"/>
  <c r="M162" i="173" s="1"/>
  <c r="O223" i="173"/>
  <c r="M146" i="173"/>
  <c r="P195" i="176"/>
  <c r="M11" i="144" l="1"/>
  <c r="M15" i="144"/>
  <c r="N152" i="173"/>
  <c r="N153" i="173" s="1"/>
  <c r="N176" i="173"/>
  <c r="N177" i="173" s="1"/>
  <c r="N158" i="176"/>
  <c r="N159" i="176" s="1"/>
  <c r="O128" i="173"/>
  <c r="N279" i="173"/>
  <c r="M170" i="173"/>
  <c r="J363" i="173"/>
  <c r="M158" i="173"/>
  <c r="M164" i="173"/>
  <c r="L147" i="176"/>
  <c r="O3" i="149"/>
  <c r="O9" i="149" s="1"/>
  <c r="O23" i="149" s="1"/>
  <c r="N4" i="140"/>
  <c r="R2" i="176"/>
  <c r="R39" i="176" s="1"/>
  <c r="R117" i="176" s="1"/>
  <c r="O2" i="161"/>
  <c r="Q5" i="178"/>
  <c r="T2" i="135"/>
  <c r="R2" i="173"/>
  <c r="R39" i="173" s="1"/>
  <c r="R117" i="173" s="1"/>
  <c r="O3" i="146"/>
  <c r="O2" i="153"/>
  <c r="Q1" i="154"/>
  <c r="O3" i="136"/>
  <c r="Q1" i="167"/>
  <c r="T2" i="166"/>
  <c r="I503" i="173"/>
  <c r="M170" i="176"/>
  <c r="M129" i="176"/>
  <c r="L141" i="173"/>
  <c r="L135" i="173"/>
  <c r="M130" i="176"/>
  <c r="N126" i="176" s="1"/>
  <c r="L142" i="173"/>
  <c r="M138" i="173" s="1"/>
  <c r="L136" i="173"/>
  <c r="M132" i="173" s="1"/>
  <c r="M134" i="176"/>
  <c r="N129" i="173"/>
  <c r="O2" i="180"/>
  <c r="O4" i="179"/>
  <c r="M147" i="173"/>
  <c r="L335" i="173"/>
  <c r="Q195" i="176"/>
  <c r="M153" i="176"/>
  <c r="M148" i="173"/>
  <c r="N144" i="173" s="1"/>
  <c r="O265" i="176"/>
  <c r="N9" i="146"/>
  <c r="N29" i="146" s="1"/>
  <c r="M307" i="173"/>
  <c r="M153" i="173"/>
  <c r="L148" i="176"/>
  <c r="M144" i="176" s="1"/>
  <c r="N164" i="176"/>
  <c r="M140" i="176"/>
  <c r="P223" i="173"/>
  <c r="N9" i="136"/>
  <c r="N29" i="136" s="1"/>
  <c r="N3" i="137"/>
  <c r="N10" i="137" s="1"/>
  <c r="N56" i="137" s="1"/>
  <c r="N3" i="145"/>
  <c r="N10" i="145" s="1"/>
  <c r="N53" i="145" s="1"/>
  <c r="N3" i="144"/>
  <c r="Q195" i="173"/>
  <c r="J405" i="176"/>
  <c r="P230" i="176"/>
  <c r="M159" i="176"/>
  <c r="M177" i="173"/>
  <c r="M154" i="176"/>
  <c r="N150" i="176" s="1"/>
  <c r="M124" i="176"/>
  <c r="N120" i="176" s="1"/>
  <c r="K440" i="176"/>
  <c r="M335" i="176"/>
  <c r="O251" i="173"/>
  <c r="L370" i="176"/>
  <c r="N300" i="176"/>
  <c r="K363" i="173"/>
  <c r="M178" i="176"/>
  <c r="N174" i="176" s="1"/>
  <c r="M124" i="173"/>
  <c r="N120" i="173" s="1"/>
  <c r="N11" i="144" l="1"/>
  <c r="N15" i="144"/>
  <c r="M335" i="173"/>
  <c r="O3" i="137"/>
  <c r="O10" i="137" s="1"/>
  <c r="O56" i="137" s="1"/>
  <c r="O9" i="136"/>
  <c r="O29" i="136" s="1"/>
  <c r="O3" i="144"/>
  <c r="O3" i="145"/>
  <c r="O10" i="145" s="1"/>
  <c r="O53" i="145" s="1"/>
  <c r="M370" i="176"/>
  <c r="N128" i="176"/>
  <c r="N307" i="173"/>
  <c r="N146" i="173"/>
  <c r="R1" i="167"/>
  <c r="R5" i="178"/>
  <c r="U2" i="135"/>
  <c r="P2" i="153"/>
  <c r="P3" i="136"/>
  <c r="S2" i="176"/>
  <c r="S39" i="176" s="1"/>
  <c r="S117" i="176" s="1"/>
  <c r="S2" i="173"/>
  <c r="S39" i="173" s="1"/>
  <c r="S117" i="173" s="1"/>
  <c r="P3" i="149"/>
  <c r="P9" i="149" s="1"/>
  <c r="P23" i="149" s="1"/>
  <c r="U2" i="166"/>
  <c r="P3" i="146"/>
  <c r="P2" i="161"/>
  <c r="O4" i="140"/>
  <c r="R1" i="154"/>
  <c r="J391" i="173"/>
  <c r="M171" i="173"/>
  <c r="N154" i="173"/>
  <c r="O150" i="173" s="1"/>
  <c r="M165" i="173"/>
  <c r="O279" i="173"/>
  <c r="O9" i="146"/>
  <c r="O29" i="146" s="1"/>
  <c r="M166" i="173"/>
  <c r="N162" i="173" s="1"/>
  <c r="N335" i="176"/>
  <c r="Q230" i="176"/>
  <c r="L363" i="173"/>
  <c r="R195" i="173"/>
  <c r="M159" i="173"/>
  <c r="Q223" i="173"/>
  <c r="M160" i="173"/>
  <c r="N156" i="173" s="1"/>
  <c r="M171" i="176"/>
  <c r="P265" i="176"/>
  <c r="M141" i="176"/>
  <c r="M172" i="176"/>
  <c r="N168" i="176" s="1"/>
  <c r="O130" i="173"/>
  <c r="P126" i="173" s="1"/>
  <c r="P251" i="173"/>
  <c r="M142" i="176"/>
  <c r="N138" i="176" s="1"/>
  <c r="P2" i="180"/>
  <c r="P4" i="179"/>
  <c r="N160" i="176"/>
  <c r="O156" i="176" s="1"/>
  <c r="N165" i="176"/>
  <c r="O129" i="173"/>
  <c r="N122" i="173"/>
  <c r="N166" i="176"/>
  <c r="O162" i="176" s="1"/>
  <c r="N178" i="173"/>
  <c r="O174" i="173" s="1"/>
  <c r="K475" i="176"/>
  <c r="M146" i="176"/>
  <c r="M135" i="176"/>
  <c r="J440" i="176"/>
  <c r="O300" i="176"/>
  <c r="M136" i="176"/>
  <c r="N132" i="176" s="1"/>
  <c r="R195" i="176"/>
  <c r="N122" i="176"/>
  <c r="N124" i="176" s="1"/>
  <c r="O120" i="176" s="1"/>
  <c r="N176" i="176"/>
  <c r="L405" i="176"/>
  <c r="N152" i="176"/>
  <c r="M134" i="173"/>
  <c r="K391" i="173"/>
  <c r="M140" i="173"/>
  <c r="M172" i="173"/>
  <c r="N168" i="173" s="1"/>
  <c r="O11" i="144" l="1"/>
  <c r="O15" i="144"/>
  <c r="O122" i="176"/>
  <c r="O123" i="176" s="1"/>
  <c r="N147" i="173"/>
  <c r="R230" i="176"/>
  <c r="N134" i="176"/>
  <c r="N135" i="176" s="1"/>
  <c r="O335" i="176"/>
  <c r="N148" i="173"/>
  <c r="O144" i="173" s="1"/>
  <c r="Q265" i="176"/>
  <c r="M135" i="173"/>
  <c r="R223" i="173"/>
  <c r="M136" i="173"/>
  <c r="N132" i="173" s="1"/>
  <c r="O164" i="176"/>
  <c r="O307" i="173"/>
  <c r="N123" i="173"/>
  <c r="P9" i="146"/>
  <c r="P29" i="146" s="1"/>
  <c r="N335" i="173"/>
  <c r="N153" i="176"/>
  <c r="N123" i="176"/>
  <c r="N124" i="173"/>
  <c r="O120" i="173" s="1"/>
  <c r="N154" i="176"/>
  <c r="O150" i="176" s="1"/>
  <c r="M405" i="176"/>
  <c r="N170" i="173"/>
  <c r="M147" i="176"/>
  <c r="N158" i="173"/>
  <c r="M148" i="176"/>
  <c r="N144" i="176" s="1"/>
  <c r="P4" i="140"/>
  <c r="S5" i="178"/>
  <c r="V2" i="166"/>
  <c r="Q2" i="153"/>
  <c r="Q3" i="136"/>
  <c r="S1" i="154"/>
  <c r="S1" i="167"/>
  <c r="T2" i="173"/>
  <c r="T39" i="173" s="1"/>
  <c r="T117" i="173" s="1"/>
  <c r="T2" i="176"/>
  <c r="T39" i="176" s="1"/>
  <c r="T117" i="176" s="1"/>
  <c r="V2" i="135"/>
  <c r="Q2" i="161"/>
  <c r="Q3" i="146"/>
  <c r="Q3" i="149"/>
  <c r="Q9" i="149" s="1"/>
  <c r="Q23" i="149" s="1"/>
  <c r="M363" i="173"/>
  <c r="M141" i="173"/>
  <c r="L440" i="176"/>
  <c r="P128" i="173"/>
  <c r="P130" i="173" s="1"/>
  <c r="Q126" i="173" s="1"/>
  <c r="Q251" i="173"/>
  <c r="N370" i="176"/>
  <c r="O152" i="173"/>
  <c r="S195" i="173"/>
  <c r="M142" i="173"/>
  <c r="N138" i="173" s="1"/>
  <c r="O158" i="176"/>
  <c r="N170" i="176"/>
  <c r="S195" i="176"/>
  <c r="P9" i="136"/>
  <c r="P29" i="136" s="1"/>
  <c r="P3" i="137"/>
  <c r="P10" i="137" s="1"/>
  <c r="P56" i="137" s="1"/>
  <c r="P3" i="144"/>
  <c r="P3" i="145"/>
  <c r="P10" i="145" s="1"/>
  <c r="P53" i="145" s="1"/>
  <c r="P279" i="173"/>
  <c r="N129" i="176"/>
  <c r="N130" i="176"/>
  <c r="O126" i="176" s="1"/>
  <c r="N177" i="176"/>
  <c r="L391" i="173"/>
  <c r="K419" i="173"/>
  <c r="N178" i="176"/>
  <c r="O174" i="176" s="1"/>
  <c r="N164" i="173"/>
  <c r="Q4" i="179"/>
  <c r="Q2" i="180"/>
  <c r="K510" i="176"/>
  <c r="J419" i="173"/>
  <c r="J475" i="176"/>
  <c r="O176" i="173"/>
  <c r="N140" i="176"/>
  <c r="P300" i="176"/>
  <c r="P11" i="144" l="1"/>
  <c r="P15" i="144"/>
  <c r="Q128" i="173"/>
  <c r="Q130" i="173" s="1"/>
  <c r="R126" i="173" s="1"/>
  <c r="O152" i="176"/>
  <c r="O153" i="176" s="1"/>
  <c r="N363" i="173"/>
  <c r="L475" i="176"/>
  <c r="O146" i="173"/>
  <c r="O147" i="173" s="1"/>
  <c r="J510" i="176"/>
  <c r="K545" i="176"/>
  <c r="N405" i="176"/>
  <c r="N171" i="176"/>
  <c r="N134" i="173"/>
  <c r="O122" i="173"/>
  <c r="O124" i="173" s="1"/>
  <c r="P120" i="173" s="1"/>
  <c r="R251" i="173"/>
  <c r="N146" i="176"/>
  <c r="N147" i="176" s="1"/>
  <c r="O370" i="176"/>
  <c r="N159" i="173"/>
  <c r="M440" i="176"/>
  <c r="O153" i="173"/>
  <c r="O154" i="173"/>
  <c r="P150" i="173" s="1"/>
  <c r="Q9" i="146"/>
  <c r="Q29" i="146" s="1"/>
  <c r="N160" i="173"/>
  <c r="O156" i="173" s="1"/>
  <c r="U2" i="173"/>
  <c r="U39" i="173" s="1"/>
  <c r="U117" i="173" s="1"/>
  <c r="R3" i="149"/>
  <c r="R9" i="149" s="1"/>
  <c r="R23" i="149" s="1"/>
  <c r="U2" i="176"/>
  <c r="U39" i="176" s="1"/>
  <c r="U117" i="176" s="1"/>
  <c r="R3" i="136"/>
  <c r="Q4" i="140"/>
  <c r="R3" i="146"/>
  <c r="T5" i="178"/>
  <c r="T1" i="167"/>
  <c r="R2" i="153"/>
  <c r="T1" i="154"/>
  <c r="R2" i="161"/>
  <c r="W2" i="135"/>
  <c r="W2" i="166"/>
  <c r="N172" i="176"/>
  <c r="O168" i="176" s="1"/>
  <c r="O159" i="176"/>
  <c r="O128" i="176"/>
  <c r="O130" i="176" s="1"/>
  <c r="P126" i="176" s="1"/>
  <c r="O160" i="176"/>
  <c r="P156" i="176" s="1"/>
  <c r="N171" i="173"/>
  <c r="N165" i="173"/>
  <c r="N140" i="173"/>
  <c r="N141" i="173" s="1"/>
  <c r="N172" i="173"/>
  <c r="O168" i="173" s="1"/>
  <c r="N166" i="173"/>
  <c r="O162" i="173" s="1"/>
  <c r="S223" i="173"/>
  <c r="T195" i="176"/>
  <c r="O176" i="176"/>
  <c r="T195" i="173"/>
  <c r="O335" i="173"/>
  <c r="N136" i="176"/>
  <c r="O132" i="176" s="1"/>
  <c r="K447" i="173"/>
  <c r="M391" i="173"/>
  <c r="P335" i="176"/>
  <c r="Q3" i="144"/>
  <c r="Q9" i="136"/>
  <c r="Q29" i="136" s="1"/>
  <c r="Q3" i="137"/>
  <c r="Q10" i="137" s="1"/>
  <c r="Q56" i="137" s="1"/>
  <c r="Q3" i="145"/>
  <c r="Q10" i="145" s="1"/>
  <c r="Q53" i="145" s="1"/>
  <c r="S230" i="176"/>
  <c r="Q279" i="173"/>
  <c r="L419" i="173"/>
  <c r="R265" i="176"/>
  <c r="N141" i="176"/>
  <c r="R4" i="179"/>
  <c r="R2" i="180"/>
  <c r="N142" i="176"/>
  <c r="O138" i="176" s="1"/>
  <c r="O177" i="173"/>
  <c r="J447" i="173"/>
  <c r="O165" i="176"/>
  <c r="O178" i="173"/>
  <c r="P174" i="173" s="1"/>
  <c r="P307" i="173"/>
  <c r="P129" i="173"/>
  <c r="O166" i="176"/>
  <c r="P162" i="176" s="1"/>
  <c r="Q300" i="176"/>
  <c r="O124" i="176"/>
  <c r="P120" i="176" s="1"/>
  <c r="Q11" i="144" l="1"/>
  <c r="Q15" i="144"/>
  <c r="Q129" i="173"/>
  <c r="P122" i="173"/>
  <c r="P123" i="173" s="1"/>
  <c r="P128" i="176"/>
  <c r="P129" i="176" s="1"/>
  <c r="R128" i="173"/>
  <c r="P122" i="176"/>
  <c r="M475" i="176"/>
  <c r="S265" i="176"/>
  <c r="K475" i="173"/>
  <c r="Q307" i="173"/>
  <c r="S2" i="180"/>
  <c r="S4" i="179"/>
  <c r="O405" i="176"/>
  <c r="O363" i="173"/>
  <c r="O134" i="176"/>
  <c r="O135" i="176" s="1"/>
  <c r="N148" i="176"/>
  <c r="O144" i="176" s="1"/>
  <c r="S251" i="173"/>
  <c r="R279" i="173"/>
  <c r="O154" i="176"/>
  <c r="P150" i="176" s="1"/>
  <c r="M419" i="173"/>
  <c r="O140" i="176"/>
  <c r="O141" i="176" s="1"/>
  <c r="T230" i="176"/>
  <c r="O164" i="173"/>
  <c r="O165" i="173" s="1"/>
  <c r="O170" i="173"/>
  <c r="O171" i="173" s="1"/>
  <c r="N142" i="173"/>
  <c r="O138" i="173" s="1"/>
  <c r="U195" i="173"/>
  <c r="Q335" i="176"/>
  <c r="O123" i="173"/>
  <c r="N135" i="173"/>
  <c r="P152" i="173"/>
  <c r="P153" i="173" s="1"/>
  <c r="N136" i="173"/>
  <c r="O132" i="173" s="1"/>
  <c r="K580" i="176"/>
  <c r="P164" i="176"/>
  <c r="P165" i="176" s="1"/>
  <c r="P158" i="176"/>
  <c r="P159" i="176" s="1"/>
  <c r="J545" i="176"/>
  <c r="P370" i="176"/>
  <c r="O177" i="176"/>
  <c r="N440" i="176"/>
  <c r="O148" i="173"/>
  <c r="P144" i="173" s="1"/>
  <c r="R300" i="176"/>
  <c r="U195" i="176"/>
  <c r="O170" i="176"/>
  <c r="O171" i="176" s="1"/>
  <c r="L447" i="173"/>
  <c r="O158" i="173"/>
  <c r="O159" i="173" s="1"/>
  <c r="T223" i="173"/>
  <c r="J475" i="173"/>
  <c r="S2" i="161"/>
  <c r="R4" i="140"/>
  <c r="X2" i="135"/>
  <c r="U1" i="167"/>
  <c r="U5" i="178"/>
  <c r="S2" i="153"/>
  <c r="U1" i="154"/>
  <c r="V2" i="173"/>
  <c r="V39" i="173" s="1"/>
  <c r="V117" i="173" s="1"/>
  <c r="X2" i="166"/>
  <c r="S3" i="149"/>
  <c r="S9" i="149" s="1"/>
  <c r="S23" i="149" s="1"/>
  <c r="S3" i="146"/>
  <c r="S3" i="136"/>
  <c r="V2" i="176"/>
  <c r="V39" i="176" s="1"/>
  <c r="V117" i="176" s="1"/>
  <c r="N391" i="173"/>
  <c r="O129" i="176"/>
  <c r="R9" i="146"/>
  <c r="R29" i="146" s="1"/>
  <c r="P335" i="173"/>
  <c r="P176" i="173"/>
  <c r="P178" i="173" s="1"/>
  <c r="Q174" i="173" s="1"/>
  <c r="O178" i="176"/>
  <c r="P174" i="176" s="1"/>
  <c r="R3" i="144"/>
  <c r="R9" i="136"/>
  <c r="R29" i="136" s="1"/>
  <c r="R3" i="137"/>
  <c r="R10" i="137" s="1"/>
  <c r="R56" i="137" s="1"/>
  <c r="R3" i="145"/>
  <c r="R10" i="145" s="1"/>
  <c r="R53" i="145" s="1"/>
  <c r="L510" i="176"/>
  <c r="R11" i="144" l="1"/>
  <c r="R15" i="144"/>
  <c r="O136" i="176"/>
  <c r="P132" i="176" s="1"/>
  <c r="P134" i="176" s="1"/>
  <c r="P135" i="176" s="1"/>
  <c r="L475" i="173"/>
  <c r="S3" i="145"/>
  <c r="S10" i="145" s="1"/>
  <c r="S53" i="145" s="1"/>
  <c r="S9" i="136"/>
  <c r="S29" i="136" s="1"/>
  <c r="S3" i="144"/>
  <c r="S3" i="137"/>
  <c r="S10" i="137" s="1"/>
  <c r="S56" i="137" s="1"/>
  <c r="P405" i="176"/>
  <c r="P160" i="176"/>
  <c r="Q156" i="176" s="1"/>
  <c r="L545" i="176"/>
  <c r="V195" i="173"/>
  <c r="P166" i="176"/>
  <c r="Q162" i="176" s="1"/>
  <c r="O142" i="176"/>
  <c r="P138" i="176" s="1"/>
  <c r="J503" i="173"/>
  <c r="P146" i="173"/>
  <c r="P147" i="173" s="1"/>
  <c r="M447" i="173"/>
  <c r="Q370" i="176"/>
  <c r="O140" i="173"/>
  <c r="O141" i="173" s="1"/>
  <c r="K503" i="173"/>
  <c r="P176" i="176"/>
  <c r="P177" i="176" s="1"/>
  <c r="T4" i="179"/>
  <c r="T2" i="180"/>
  <c r="N475" i="176"/>
  <c r="S279" i="173"/>
  <c r="U230" i="176"/>
  <c r="N419" i="173"/>
  <c r="P123" i="176"/>
  <c r="P177" i="173"/>
  <c r="O172" i="173"/>
  <c r="P168" i="173" s="1"/>
  <c r="P124" i="176"/>
  <c r="Q120" i="176" s="1"/>
  <c r="O391" i="173"/>
  <c r="O172" i="176"/>
  <c r="P168" i="176" s="1"/>
  <c r="R335" i="176"/>
  <c r="R129" i="173"/>
  <c r="O166" i="173"/>
  <c r="P162" i="173" s="1"/>
  <c r="O160" i="173"/>
  <c r="P156" i="173" s="1"/>
  <c r="M510" i="176"/>
  <c r="R307" i="173"/>
  <c r="O146" i="176"/>
  <c r="O147" i="176" s="1"/>
  <c r="O440" i="176"/>
  <c r="S9" i="146"/>
  <c r="S29" i="146" s="1"/>
  <c r="T251" i="173"/>
  <c r="T3" i="149"/>
  <c r="T9" i="149" s="1"/>
  <c r="T23" i="149" s="1"/>
  <c r="T3" i="146"/>
  <c r="V1" i="167"/>
  <c r="Y2" i="166"/>
  <c r="Y2" i="135"/>
  <c r="T2" i="153"/>
  <c r="S4" i="140"/>
  <c r="T3" i="136"/>
  <c r="W2" i="176"/>
  <c r="W39" i="176" s="1"/>
  <c r="W117" i="176" s="1"/>
  <c r="V5" i="178"/>
  <c r="V1" i="154"/>
  <c r="T2" i="161"/>
  <c r="W2" i="173"/>
  <c r="W39" i="173" s="1"/>
  <c r="W117" i="173" s="1"/>
  <c r="Q176" i="173"/>
  <c r="Q178" i="173" s="1"/>
  <c r="R174" i="173" s="1"/>
  <c r="O134" i="173"/>
  <c r="O136" i="173" s="1"/>
  <c r="P132" i="173" s="1"/>
  <c r="S300" i="176"/>
  <c r="R130" i="173"/>
  <c r="S126" i="173" s="1"/>
  <c r="P154" i="173"/>
  <c r="Q150" i="173" s="1"/>
  <c r="T265" i="176"/>
  <c r="J580" i="176"/>
  <c r="P152" i="176"/>
  <c r="P153" i="176" s="1"/>
  <c r="P130" i="176"/>
  <c r="Q126" i="176" s="1"/>
  <c r="P363" i="173"/>
  <c r="V195" i="176"/>
  <c r="U223" i="173"/>
  <c r="Q335" i="173"/>
  <c r="P124" i="173"/>
  <c r="Q120" i="173" s="1"/>
  <c r="S11" i="144" l="1"/>
  <c r="S15" i="144"/>
  <c r="P178" i="176"/>
  <c r="Q174" i="176" s="1"/>
  <c r="Q176" i="176" s="1"/>
  <c r="Q177" i="176" s="1"/>
  <c r="P134" i="173"/>
  <c r="R176" i="173"/>
  <c r="R177" i="173" s="1"/>
  <c r="U265" i="176"/>
  <c r="M545" i="176"/>
  <c r="N447" i="173"/>
  <c r="Q363" i="173"/>
  <c r="S335" i="176"/>
  <c r="S307" i="173"/>
  <c r="P391" i="173"/>
  <c r="W195" i="173"/>
  <c r="O419" i="173"/>
  <c r="P148" i="173"/>
  <c r="Q144" i="173" s="1"/>
  <c r="P136" i="176"/>
  <c r="Q132" i="176" s="1"/>
  <c r="N510" i="176"/>
  <c r="P158" i="173"/>
  <c r="P159" i="173" s="1"/>
  <c r="Q128" i="176"/>
  <c r="Q129" i="176" s="1"/>
  <c r="T300" i="176"/>
  <c r="O148" i="176"/>
  <c r="P144" i="176" s="1"/>
  <c r="P164" i="173"/>
  <c r="P165" i="173" s="1"/>
  <c r="U3" i="146"/>
  <c r="U2" i="161"/>
  <c r="W1" i="167"/>
  <c r="W1" i="154"/>
  <c r="U2" i="153"/>
  <c r="Z2" i="135"/>
  <c r="X2" i="173"/>
  <c r="X39" i="173" s="1"/>
  <c r="X117" i="173" s="1"/>
  <c r="T4" i="140"/>
  <c r="U3" i="149"/>
  <c r="U9" i="149" s="1"/>
  <c r="U23" i="149" s="1"/>
  <c r="Z2" i="166"/>
  <c r="X2" i="176"/>
  <c r="X39" i="176" s="1"/>
  <c r="X117" i="176" s="1"/>
  <c r="W5" i="178"/>
  <c r="U3" i="136"/>
  <c r="P140" i="176"/>
  <c r="Q164" i="176"/>
  <c r="Q165" i="176" s="1"/>
  <c r="P440" i="176"/>
  <c r="T9" i="146"/>
  <c r="T29" i="146" s="1"/>
  <c r="V230" i="176"/>
  <c r="W195" i="176"/>
  <c r="Q152" i="173"/>
  <c r="Q153" i="173" s="1"/>
  <c r="S128" i="173"/>
  <c r="S129" i="173" s="1"/>
  <c r="Q405" i="176"/>
  <c r="V223" i="173"/>
  <c r="Q177" i="173"/>
  <c r="L503" i="173"/>
  <c r="U251" i="173"/>
  <c r="O135" i="173"/>
  <c r="O475" i="176"/>
  <c r="P170" i="176"/>
  <c r="P171" i="176" s="1"/>
  <c r="R370" i="176"/>
  <c r="T279" i="173"/>
  <c r="O142" i="173"/>
  <c r="P138" i="173" s="1"/>
  <c r="U2" i="180"/>
  <c r="U4" i="179"/>
  <c r="L580" i="176"/>
  <c r="Q122" i="173"/>
  <c r="R335" i="173"/>
  <c r="P154" i="176"/>
  <c r="Q150" i="176" s="1"/>
  <c r="Q122" i="176"/>
  <c r="T3" i="137"/>
  <c r="T10" i="137" s="1"/>
  <c r="T56" i="137" s="1"/>
  <c r="T3" i="145"/>
  <c r="T10" i="145" s="1"/>
  <c r="T53" i="145" s="1"/>
  <c r="T3" i="144"/>
  <c r="T9" i="136"/>
  <c r="T29" i="136" s="1"/>
  <c r="P170" i="173"/>
  <c r="P171" i="173" s="1"/>
  <c r="Q158" i="176"/>
  <c r="Q159" i="176" s="1"/>
  <c r="M475" i="173"/>
  <c r="T11" i="144" l="1"/>
  <c r="T15" i="144"/>
  <c r="P172" i="176"/>
  <c r="Q168" i="176" s="1"/>
  <c r="Q170" i="176" s="1"/>
  <c r="Q171" i="176" s="1"/>
  <c r="Q178" i="176"/>
  <c r="R174" i="176" s="1"/>
  <c r="R176" i="176" s="1"/>
  <c r="R177" i="176" s="1"/>
  <c r="M503" i="173"/>
  <c r="Q440" i="176"/>
  <c r="N545" i="176"/>
  <c r="Q123" i="173"/>
  <c r="U9" i="146"/>
  <c r="U29" i="146" s="1"/>
  <c r="W223" i="173"/>
  <c r="P419" i="173"/>
  <c r="Q160" i="176"/>
  <c r="R156" i="176" s="1"/>
  <c r="S130" i="173"/>
  <c r="T126" i="173" s="1"/>
  <c r="R405" i="176"/>
  <c r="U300" i="176"/>
  <c r="Q154" i="173"/>
  <c r="R150" i="173" s="1"/>
  <c r="P141" i="176"/>
  <c r="X195" i="176"/>
  <c r="P146" i="176"/>
  <c r="P147" i="176" s="1"/>
  <c r="P142" i="176"/>
  <c r="Q138" i="176" s="1"/>
  <c r="T335" i="176"/>
  <c r="Q134" i="176"/>
  <c r="Q135" i="176" s="1"/>
  <c r="P475" i="176"/>
  <c r="X195" i="173"/>
  <c r="Q146" i="173"/>
  <c r="Q147" i="173" s="1"/>
  <c r="Q123" i="176"/>
  <c r="Q124" i="176"/>
  <c r="R120" i="176" s="1"/>
  <c r="O447" i="173"/>
  <c r="Q152" i="176"/>
  <c r="Q153" i="176" s="1"/>
  <c r="S370" i="176"/>
  <c r="S335" i="173"/>
  <c r="P172" i="173"/>
  <c r="Q168" i="173" s="1"/>
  <c r="Q166" i="176"/>
  <c r="R162" i="176" s="1"/>
  <c r="P166" i="173"/>
  <c r="Q162" i="173" s="1"/>
  <c r="R363" i="173"/>
  <c r="U279" i="173"/>
  <c r="V251" i="173"/>
  <c r="Q130" i="176"/>
  <c r="R126" i="176" s="1"/>
  <c r="T307" i="173"/>
  <c r="V3" i="149"/>
  <c r="V9" i="149" s="1"/>
  <c r="V23" i="149" s="1"/>
  <c r="Y2" i="173"/>
  <c r="Y39" i="173" s="1"/>
  <c r="Y117" i="173" s="1"/>
  <c r="AA2" i="166"/>
  <c r="V2" i="153"/>
  <c r="AA2" i="135"/>
  <c r="U4" i="140"/>
  <c r="X5" i="178"/>
  <c r="V3" i="136"/>
  <c r="Y2" i="176"/>
  <c r="Y39" i="176" s="1"/>
  <c r="Y117" i="176" s="1"/>
  <c r="V3" i="146"/>
  <c r="X1" i="154"/>
  <c r="X1" i="167"/>
  <c r="V2" i="161"/>
  <c r="P135" i="173"/>
  <c r="O510" i="176"/>
  <c r="Q124" i="173"/>
  <c r="R120" i="173" s="1"/>
  <c r="U3" i="137"/>
  <c r="U10" i="137" s="1"/>
  <c r="U56" i="137" s="1"/>
  <c r="U9" i="136"/>
  <c r="U29" i="136" s="1"/>
  <c r="U3" i="145"/>
  <c r="U10" i="145" s="1"/>
  <c r="U53" i="145" s="1"/>
  <c r="U3" i="144"/>
  <c r="V2" i="180"/>
  <c r="V4" i="179"/>
  <c r="Q391" i="173"/>
  <c r="W230" i="176"/>
  <c r="N475" i="173"/>
  <c r="M580" i="176"/>
  <c r="P140" i="173"/>
  <c r="P141" i="173" s="1"/>
  <c r="R178" i="173"/>
  <c r="S174" i="173" s="1"/>
  <c r="V265" i="176"/>
  <c r="P160" i="173"/>
  <c r="Q156" i="173" s="1"/>
  <c r="P136" i="173"/>
  <c r="Q132" i="173" s="1"/>
  <c r="U11" i="144" l="1"/>
  <c r="U15" i="144"/>
  <c r="Q136" i="176"/>
  <c r="R132" i="176" s="1"/>
  <c r="R134" i="176" s="1"/>
  <c r="R135" i="176" s="1"/>
  <c r="Q172" i="176"/>
  <c r="R168" i="176" s="1"/>
  <c r="S363" i="173"/>
  <c r="O545" i="176"/>
  <c r="P148" i="176"/>
  <c r="Q144" i="176" s="1"/>
  <c r="R158" i="176"/>
  <c r="R159" i="176" s="1"/>
  <c r="Q134" i="173"/>
  <c r="R152" i="173"/>
  <c r="R153" i="173" s="1"/>
  <c r="Y5" i="178"/>
  <c r="Z2" i="173"/>
  <c r="Z39" i="173" s="1"/>
  <c r="Z117" i="173" s="1"/>
  <c r="W3" i="146"/>
  <c r="Y1" i="154"/>
  <c r="AB2" i="166"/>
  <c r="Y1" i="167"/>
  <c r="V4" i="140"/>
  <c r="W3" i="136"/>
  <c r="W3" i="149"/>
  <c r="W9" i="149" s="1"/>
  <c r="W23" i="149" s="1"/>
  <c r="Z2" i="176"/>
  <c r="Z39" i="176" s="1"/>
  <c r="Z117" i="176" s="1"/>
  <c r="W2" i="153"/>
  <c r="AB2" i="135"/>
  <c r="W2" i="161"/>
  <c r="X230" i="176"/>
  <c r="U335" i="176"/>
  <c r="W4" i="179"/>
  <c r="W2" i="180"/>
  <c r="R128" i="176"/>
  <c r="R129" i="176" s="1"/>
  <c r="R122" i="176"/>
  <c r="Y195" i="173"/>
  <c r="W265" i="176"/>
  <c r="W251" i="173"/>
  <c r="R440" i="176"/>
  <c r="R164" i="176"/>
  <c r="R165" i="176" s="1"/>
  <c r="N580" i="176"/>
  <c r="Q140" i="176"/>
  <c r="Q142" i="176" s="1"/>
  <c r="R138" i="176" s="1"/>
  <c r="T128" i="173"/>
  <c r="T129" i="173" s="1"/>
  <c r="N503" i="173"/>
  <c r="Q154" i="176"/>
  <c r="R150" i="176" s="1"/>
  <c r="R122" i="173"/>
  <c r="T335" i="173"/>
  <c r="V9" i="146"/>
  <c r="V29" i="146" s="1"/>
  <c r="V300" i="176"/>
  <c r="Q475" i="176"/>
  <c r="Q419" i="173"/>
  <c r="P510" i="176"/>
  <c r="V279" i="173"/>
  <c r="R391" i="173"/>
  <c r="S405" i="176"/>
  <c r="P447" i="173"/>
  <c r="Q148" i="173"/>
  <c r="R144" i="173" s="1"/>
  <c r="P142" i="173"/>
  <c r="Q138" i="173" s="1"/>
  <c r="Q164" i="173"/>
  <c r="Q165" i="173" s="1"/>
  <c r="R178" i="176"/>
  <c r="S174" i="176" s="1"/>
  <c r="Q170" i="173"/>
  <c r="Q171" i="173" s="1"/>
  <c r="O475" i="173"/>
  <c r="T370" i="176"/>
  <c r="U307" i="173"/>
  <c r="Q158" i="173"/>
  <c r="Q159" i="173" s="1"/>
  <c r="Y195" i="176"/>
  <c r="V3" i="145"/>
  <c r="V10" i="145" s="1"/>
  <c r="V53" i="145" s="1"/>
  <c r="V3" i="144"/>
  <c r="V9" i="136"/>
  <c r="V29" i="136" s="1"/>
  <c r="V3" i="137"/>
  <c r="V10" i="137" s="1"/>
  <c r="V56" i="137" s="1"/>
  <c r="S176" i="173"/>
  <c r="S177" i="173" s="1"/>
  <c r="X223" i="173"/>
  <c r="V11" i="144" l="1"/>
  <c r="V15" i="144"/>
  <c r="S178" i="173"/>
  <c r="T174" i="173" s="1"/>
  <c r="T176" i="173" s="1"/>
  <c r="T177" i="173" s="1"/>
  <c r="R130" i="176"/>
  <c r="S126" i="176" s="1"/>
  <c r="S128" i="176" s="1"/>
  <c r="S129" i="176" s="1"/>
  <c r="Q166" i="173"/>
  <c r="R162" i="173" s="1"/>
  <c r="R164" i="173" s="1"/>
  <c r="R165" i="173" s="1"/>
  <c r="R160" i="176"/>
  <c r="S156" i="176" s="1"/>
  <c r="S158" i="176" s="1"/>
  <c r="S159" i="176" s="1"/>
  <c r="Q146" i="176"/>
  <c r="Q147" i="176" s="1"/>
  <c r="T405" i="176"/>
  <c r="R123" i="173"/>
  <c r="X2" i="180"/>
  <c r="X4" i="179"/>
  <c r="V307" i="173"/>
  <c r="R123" i="176"/>
  <c r="Q160" i="173"/>
  <c r="R156" i="173" s="1"/>
  <c r="R124" i="176"/>
  <c r="S120" i="176" s="1"/>
  <c r="X251" i="173"/>
  <c r="U335" i="173"/>
  <c r="R475" i="176"/>
  <c r="U370" i="176"/>
  <c r="Q510" i="176"/>
  <c r="T363" i="173"/>
  <c r="P545" i="176"/>
  <c r="R152" i="176"/>
  <c r="R153" i="176" s="1"/>
  <c r="O580" i="176"/>
  <c r="Y223" i="173"/>
  <c r="Z195" i="176"/>
  <c r="W279" i="173"/>
  <c r="Q140" i="173"/>
  <c r="Q141" i="173" s="1"/>
  <c r="V335" i="176"/>
  <c r="W300" i="176"/>
  <c r="R146" i="173"/>
  <c r="R147" i="173" s="1"/>
  <c r="P475" i="173"/>
  <c r="Q172" i="173"/>
  <c r="R168" i="173" s="1"/>
  <c r="T130" i="173"/>
  <c r="U126" i="173" s="1"/>
  <c r="X265" i="176"/>
  <c r="R136" i="176"/>
  <c r="S132" i="176" s="1"/>
  <c r="R170" i="176"/>
  <c r="R171" i="176" s="1"/>
  <c r="R419" i="173"/>
  <c r="R124" i="173"/>
  <c r="S120" i="173" s="1"/>
  <c r="R166" i="176"/>
  <c r="S162" i="176" s="1"/>
  <c r="S391" i="173"/>
  <c r="S440" i="176"/>
  <c r="R154" i="173"/>
  <c r="S150" i="173" s="1"/>
  <c r="Q135" i="173"/>
  <c r="O503" i="173"/>
  <c r="Q447" i="173"/>
  <c r="Q136" i="173"/>
  <c r="R132" i="173" s="1"/>
  <c r="Y230" i="176"/>
  <c r="S176" i="176"/>
  <c r="S177" i="176" s="1"/>
  <c r="Q141" i="176"/>
  <c r="W3" i="145"/>
  <c r="W10" i="145" s="1"/>
  <c r="W53" i="145" s="1"/>
  <c r="W3" i="144"/>
  <c r="W3" i="137"/>
  <c r="W10" i="137" s="1"/>
  <c r="W56" i="137" s="1"/>
  <c r="W9" i="136"/>
  <c r="W29" i="136" s="1"/>
  <c r="W9" i="146"/>
  <c r="W29" i="146" s="1"/>
  <c r="Z195" i="173"/>
  <c r="R140" i="176"/>
  <c r="R141" i="176" s="1"/>
  <c r="X3" i="146"/>
  <c r="X3" i="149"/>
  <c r="X9" i="149" s="1"/>
  <c r="X23" i="149" s="1"/>
  <c r="AA2" i="173"/>
  <c r="AA39" i="173" s="1"/>
  <c r="AA117" i="173" s="1"/>
  <c r="Z5" i="178"/>
  <c r="W4" i="140"/>
  <c r="Z1" i="154"/>
  <c r="Z1" i="167"/>
  <c r="X3" i="136"/>
  <c r="AA2" i="176"/>
  <c r="AA39" i="176" s="1"/>
  <c r="AA117" i="176" s="1"/>
  <c r="X2" i="153"/>
  <c r="AC2" i="135"/>
  <c r="AC2" i="166"/>
  <c r="X2" i="161"/>
  <c r="W11" i="144" l="1"/>
  <c r="W15" i="144"/>
  <c r="S130" i="176"/>
  <c r="T126" i="176" s="1"/>
  <c r="R154" i="176"/>
  <c r="S150" i="176" s="1"/>
  <c r="S152" i="176" s="1"/>
  <c r="S153" i="176" s="1"/>
  <c r="X9" i="136"/>
  <c r="X29" i="136" s="1"/>
  <c r="X3" i="145"/>
  <c r="X10" i="145" s="1"/>
  <c r="X53" i="145" s="1"/>
  <c r="X3" i="137"/>
  <c r="X10" i="137" s="1"/>
  <c r="X56" i="137" s="1"/>
  <c r="X3" i="144"/>
  <c r="P503" i="173"/>
  <c r="S178" i="176"/>
  <c r="T174" i="176" s="1"/>
  <c r="V335" i="173"/>
  <c r="X9" i="146"/>
  <c r="X29" i="146" s="1"/>
  <c r="Q475" i="173"/>
  <c r="S122" i="173"/>
  <c r="P580" i="176"/>
  <c r="R142" i="176"/>
  <c r="S138" i="176" s="1"/>
  <c r="T178" i="173"/>
  <c r="U174" i="173" s="1"/>
  <c r="S152" i="173"/>
  <c r="S153" i="173" s="1"/>
  <c r="S475" i="176"/>
  <c r="R447" i="173"/>
  <c r="U128" i="173"/>
  <c r="U129" i="173" s="1"/>
  <c r="R134" i="173"/>
  <c r="R170" i="173"/>
  <c r="R171" i="173" s="1"/>
  <c r="S122" i="176"/>
  <c r="U363" i="173"/>
  <c r="U405" i="176"/>
  <c r="R172" i="176"/>
  <c r="S168" i="176" s="1"/>
  <c r="Q545" i="176"/>
  <c r="Y265" i="176"/>
  <c r="Z230" i="176"/>
  <c r="S419" i="173"/>
  <c r="AA195" i="173"/>
  <c r="W307" i="173"/>
  <c r="X279" i="173"/>
  <c r="Y251" i="173"/>
  <c r="R166" i="173"/>
  <c r="S162" i="173" s="1"/>
  <c r="T440" i="176"/>
  <c r="Q142" i="173"/>
  <c r="R138" i="173" s="1"/>
  <c r="S134" i="176"/>
  <c r="S135" i="176" s="1"/>
  <c r="R148" i="173"/>
  <c r="S144" i="173" s="1"/>
  <c r="Y4" i="179"/>
  <c r="Y2" i="180"/>
  <c r="Z223" i="173"/>
  <c r="T391" i="173"/>
  <c r="X300" i="176"/>
  <c r="S160" i="176"/>
  <c r="T156" i="176" s="1"/>
  <c r="S164" i="176"/>
  <c r="S165" i="176" s="1"/>
  <c r="R510" i="176"/>
  <c r="R158" i="173"/>
  <c r="R159" i="173" s="1"/>
  <c r="Y3" i="149"/>
  <c r="Y9" i="149" s="1"/>
  <c r="Y23" i="149" s="1"/>
  <c r="Y2" i="161"/>
  <c r="Y3" i="136"/>
  <c r="AD2" i="166"/>
  <c r="AA1" i="167"/>
  <c r="Y3" i="146"/>
  <c r="AA1" i="154"/>
  <c r="AB2" i="173"/>
  <c r="AB39" i="173" s="1"/>
  <c r="AB117" i="173" s="1"/>
  <c r="X4" i="140"/>
  <c r="AD2" i="135"/>
  <c r="Y2" i="153"/>
  <c r="AB2" i="176"/>
  <c r="AB39" i="176" s="1"/>
  <c r="AB117" i="176" s="1"/>
  <c r="AA5" i="178"/>
  <c r="W335" i="176"/>
  <c r="AA195" i="176"/>
  <c r="V370" i="176"/>
  <c r="Q148" i="176"/>
  <c r="R144" i="176" s="1"/>
  <c r="X11" i="144" l="1"/>
  <c r="X15" i="144"/>
  <c r="T128" i="176"/>
  <c r="T129" i="176" s="1"/>
  <c r="Y9" i="136"/>
  <c r="Y29" i="136" s="1"/>
  <c r="Y3" i="145"/>
  <c r="Y10" i="145" s="1"/>
  <c r="Y53" i="145" s="1"/>
  <c r="Y3" i="144"/>
  <c r="Y3" i="137"/>
  <c r="Y10" i="137" s="1"/>
  <c r="Y56" i="137" s="1"/>
  <c r="R475" i="173"/>
  <c r="U391" i="173"/>
  <c r="AA230" i="176"/>
  <c r="X307" i="173"/>
  <c r="X335" i="176"/>
  <c r="S146" i="173"/>
  <c r="S147" i="173" s="1"/>
  <c r="T176" i="176"/>
  <c r="T177" i="176" s="1"/>
  <c r="W335" i="173"/>
  <c r="S123" i="176"/>
  <c r="S124" i="176"/>
  <c r="T120" i="176" s="1"/>
  <c r="AA223" i="173"/>
  <c r="R172" i="173"/>
  <c r="S168" i="173" s="1"/>
  <c r="R135" i="173"/>
  <c r="Z265" i="176"/>
  <c r="Z251" i="173"/>
  <c r="V405" i="176"/>
  <c r="W370" i="176"/>
  <c r="R545" i="176"/>
  <c r="V363" i="173"/>
  <c r="S164" i="173"/>
  <c r="S165" i="173" s="1"/>
  <c r="Q580" i="176"/>
  <c r="S510" i="176"/>
  <c r="S123" i="173"/>
  <c r="S447" i="173"/>
  <c r="S124" i="173"/>
  <c r="T120" i="173" s="1"/>
  <c r="Z2" i="180"/>
  <c r="Z4" i="179"/>
  <c r="R160" i="173"/>
  <c r="S156" i="173" s="1"/>
  <c r="S136" i="176"/>
  <c r="T132" i="176" s="1"/>
  <c r="AB195" i="176"/>
  <c r="R140" i="173"/>
  <c r="R141" i="173" s="1"/>
  <c r="Y279" i="173"/>
  <c r="Q503" i="173"/>
  <c r="AB5" i="178"/>
  <c r="AE2" i="166"/>
  <c r="AC2" i="173"/>
  <c r="AC39" i="173" s="1"/>
  <c r="AC117" i="173" s="1"/>
  <c r="AB1" i="154"/>
  <c r="Y4" i="140"/>
  <c r="Z2" i="161"/>
  <c r="AB1" i="167"/>
  <c r="Z3" i="149"/>
  <c r="Z9" i="149" s="1"/>
  <c r="Z23" i="149" s="1"/>
  <c r="AC2" i="176"/>
  <c r="AC39" i="176" s="1"/>
  <c r="AC117" i="176" s="1"/>
  <c r="AE2" i="135"/>
  <c r="Z2" i="153"/>
  <c r="Z3" i="136"/>
  <c r="Z3" i="146"/>
  <c r="R146" i="176"/>
  <c r="T419" i="173"/>
  <c r="S170" i="176"/>
  <c r="S171" i="176" s="1"/>
  <c r="T475" i="176"/>
  <c r="R136" i="173"/>
  <c r="S132" i="173" s="1"/>
  <c r="S154" i="173"/>
  <c r="T150" i="173" s="1"/>
  <c r="U176" i="173"/>
  <c r="U177" i="173" s="1"/>
  <c r="S154" i="176"/>
  <c r="T150" i="176" s="1"/>
  <c r="AB195" i="173"/>
  <c r="Y300" i="176"/>
  <c r="U130" i="173"/>
  <c r="V126" i="173" s="1"/>
  <c r="S140" i="176"/>
  <c r="S141" i="176" s="1"/>
  <c r="S166" i="176"/>
  <c r="T162" i="176" s="1"/>
  <c r="U440" i="176"/>
  <c r="Y9" i="146"/>
  <c r="Y29" i="146" s="1"/>
  <c r="T158" i="176"/>
  <c r="T159" i="176" s="1"/>
  <c r="Y11" i="144" l="1"/>
  <c r="Y15" i="144"/>
  <c r="T130" i="176"/>
  <c r="U126" i="176" s="1"/>
  <c r="U128" i="176" s="1"/>
  <c r="U129" i="176" s="1"/>
  <c r="T134" i="176"/>
  <c r="T135" i="176" s="1"/>
  <c r="S142" i="176"/>
  <c r="T138" i="176" s="1"/>
  <c r="V440" i="176"/>
  <c r="Z300" i="176"/>
  <c r="Z9" i="146"/>
  <c r="Z29" i="146" s="1"/>
  <c r="R580" i="176"/>
  <c r="S172" i="176"/>
  <c r="T168" i="176" s="1"/>
  <c r="T164" i="176"/>
  <c r="T165" i="176" s="1"/>
  <c r="R503" i="173"/>
  <c r="T510" i="176"/>
  <c r="Y335" i="176"/>
  <c r="R142" i="173"/>
  <c r="S138" i="173" s="1"/>
  <c r="X335" i="173"/>
  <c r="S148" i="173"/>
  <c r="T144" i="173" s="1"/>
  <c r="R147" i="176"/>
  <c r="R148" i="176"/>
  <c r="S144" i="176" s="1"/>
  <c r="U419" i="173"/>
  <c r="T122" i="173"/>
  <c r="T124" i="173" s="1"/>
  <c r="U120" i="173" s="1"/>
  <c r="T178" i="176"/>
  <c r="U174" i="176" s="1"/>
  <c r="T152" i="176"/>
  <c r="T153" i="176" s="1"/>
  <c r="AB230" i="176"/>
  <c r="S134" i="173"/>
  <c r="AC195" i="173"/>
  <c r="T122" i="176"/>
  <c r="T124" i="176" s="1"/>
  <c r="U120" i="176" s="1"/>
  <c r="AB223" i="173"/>
  <c r="T447" i="173"/>
  <c r="AD2" i="176"/>
  <c r="AD39" i="176" s="1"/>
  <c r="AD117" i="176" s="1"/>
  <c r="AA3" i="149"/>
  <c r="AA9" i="149" s="1"/>
  <c r="AA23" i="149" s="1"/>
  <c r="AF2" i="166"/>
  <c r="AF2" i="135"/>
  <c r="Z4" i="140"/>
  <c r="AA2" i="161"/>
  <c r="AC1" i="154"/>
  <c r="AA2" i="153"/>
  <c r="AC5" i="178"/>
  <c r="AA3" i="136"/>
  <c r="AD2" i="173"/>
  <c r="AD39" i="173" s="1"/>
  <c r="AD117" i="173" s="1"/>
  <c r="AA3" i="146"/>
  <c r="AC1" i="167"/>
  <c r="S545" i="176"/>
  <c r="V391" i="173"/>
  <c r="U475" i="176"/>
  <c r="Z3" i="144"/>
  <c r="Z9" i="136"/>
  <c r="Z29" i="136" s="1"/>
  <c r="Z3" i="145"/>
  <c r="Z10" i="145" s="1"/>
  <c r="Z53" i="145" s="1"/>
  <c r="Z3" i="137"/>
  <c r="Z10" i="137" s="1"/>
  <c r="Z56" i="137" s="1"/>
  <c r="S170" i="173"/>
  <c r="S171" i="173" s="1"/>
  <c r="AC195" i="176"/>
  <c r="X370" i="176"/>
  <c r="V128" i="173"/>
  <c r="V129" i="173" s="1"/>
  <c r="U178" i="173"/>
  <c r="V174" i="173" s="1"/>
  <c r="Z279" i="173"/>
  <c r="T152" i="173"/>
  <c r="T153" i="173" s="1"/>
  <c r="T160" i="176"/>
  <c r="U156" i="176" s="1"/>
  <c r="S166" i="173"/>
  <c r="T162" i="173" s="1"/>
  <c r="W405" i="176"/>
  <c r="W363" i="173"/>
  <c r="S158" i="173"/>
  <c r="S159" i="173" s="1"/>
  <c r="S475" i="173"/>
  <c r="AA265" i="176"/>
  <c r="Y307" i="173"/>
  <c r="AA251" i="173"/>
  <c r="AA2" i="180"/>
  <c r="AA4" i="179"/>
  <c r="Z11" i="144" l="1"/>
  <c r="Z15" i="144"/>
  <c r="T136" i="176"/>
  <c r="U132" i="176" s="1"/>
  <c r="U134" i="176" s="1"/>
  <c r="U135" i="176" s="1"/>
  <c r="S160" i="173"/>
  <c r="T156" i="173" s="1"/>
  <c r="T158" i="173" s="1"/>
  <c r="T159" i="173" s="1"/>
  <c r="T154" i="173"/>
  <c r="U150" i="173" s="1"/>
  <c r="U152" i="173" s="1"/>
  <c r="U153" i="173" s="1"/>
  <c r="U130" i="176"/>
  <c r="V126" i="176" s="1"/>
  <c r="V128" i="176" s="1"/>
  <c r="V129" i="176" s="1"/>
  <c r="U122" i="176"/>
  <c r="U124" i="176" s="1"/>
  <c r="V120" i="176" s="1"/>
  <c r="AB251" i="173"/>
  <c r="Z307" i="173"/>
  <c r="V176" i="173"/>
  <c r="V177" i="173" s="1"/>
  <c r="AC223" i="173"/>
  <c r="AA279" i="173"/>
  <c r="AA300" i="176"/>
  <c r="U122" i="173"/>
  <c r="S140" i="173"/>
  <c r="S141" i="173" s="1"/>
  <c r="Z335" i="176"/>
  <c r="S135" i="173"/>
  <c r="S136" i="173"/>
  <c r="T132" i="173" s="1"/>
  <c r="U447" i="173"/>
  <c r="Y335" i="173"/>
  <c r="S580" i="176"/>
  <c r="S146" i="176"/>
  <c r="S148" i="176" s="1"/>
  <c r="T144" i="176" s="1"/>
  <c r="S503" i="173"/>
  <c r="AC230" i="176"/>
  <c r="X363" i="173"/>
  <c r="U510" i="176"/>
  <c r="AB265" i="176"/>
  <c r="W391" i="173"/>
  <c r="T166" i="176"/>
  <c r="U162" i="176" s="1"/>
  <c r="T170" i="176"/>
  <c r="T171" i="176" s="1"/>
  <c r="V419" i="173"/>
  <c r="V475" i="176"/>
  <c r="T146" i="173"/>
  <c r="T147" i="173" s="1"/>
  <c r="V130" i="173"/>
  <c r="W126" i="173" s="1"/>
  <c r="AA9" i="146"/>
  <c r="AA29" i="146" s="1"/>
  <c r="T475" i="173"/>
  <c r="S172" i="173"/>
  <c r="T168" i="173" s="1"/>
  <c r="T154" i="176"/>
  <c r="U150" i="176" s="1"/>
  <c r="AA9" i="136"/>
  <c r="AA29" i="136" s="1"/>
  <c r="AA3" i="145"/>
  <c r="AA10" i="145" s="1"/>
  <c r="AA53" i="145" s="1"/>
  <c r="AA3" i="137"/>
  <c r="AA10" i="137" s="1"/>
  <c r="AA56" i="137" s="1"/>
  <c r="AA3" i="144"/>
  <c r="T545" i="176"/>
  <c r="AB4" i="179"/>
  <c r="AB2" i="180"/>
  <c r="AG2" i="166"/>
  <c r="AE2" i="176"/>
  <c r="AE39" i="176" s="1"/>
  <c r="AE117" i="176" s="1"/>
  <c r="AB2" i="161"/>
  <c r="AD1" i="167"/>
  <c r="T123" i="176"/>
  <c r="AD195" i="176"/>
  <c r="X405" i="176"/>
  <c r="T164" i="173"/>
  <c r="T165" i="173" s="1"/>
  <c r="U176" i="176"/>
  <c r="U177" i="176" s="1"/>
  <c r="T140" i="176"/>
  <c r="T141" i="176" s="1"/>
  <c r="AD195" i="173"/>
  <c r="W440" i="176"/>
  <c r="U158" i="176"/>
  <c r="U159" i="176" s="1"/>
  <c r="Y370" i="176"/>
  <c r="T123" i="173"/>
  <c r="AA11" i="144" l="1"/>
  <c r="AA15" i="144"/>
  <c r="U154" i="173"/>
  <c r="V150" i="173" s="1"/>
  <c r="V152" i="173" s="1"/>
  <c r="V153" i="173" s="1"/>
  <c r="T142" i="176"/>
  <c r="U138" i="176" s="1"/>
  <c r="U140" i="176" s="1"/>
  <c r="U141" i="176" s="1"/>
  <c r="T146" i="176"/>
  <c r="T147" i="176" s="1"/>
  <c r="V178" i="173"/>
  <c r="W174" i="173" s="1"/>
  <c r="Z335" i="173"/>
  <c r="X440" i="176"/>
  <c r="S142" i="173"/>
  <c r="T138" i="173" s="1"/>
  <c r="U160" i="176"/>
  <c r="V156" i="176" s="1"/>
  <c r="U164" i="176"/>
  <c r="U165" i="176" s="1"/>
  <c r="U123" i="173"/>
  <c r="AB279" i="173"/>
  <c r="W475" i="176"/>
  <c r="AE195" i="176"/>
  <c r="U124" i="173"/>
  <c r="V120" i="173" s="1"/>
  <c r="AC251" i="173"/>
  <c r="AD223" i="173"/>
  <c r="Z370" i="176"/>
  <c r="T580" i="176"/>
  <c r="AE1" i="167"/>
  <c r="AH2" i="166"/>
  <c r="AF2" i="176"/>
  <c r="AF39" i="176" s="1"/>
  <c r="AF117" i="176" s="1"/>
  <c r="AC2" i="161"/>
  <c r="AD230" i="176"/>
  <c r="AA307" i="173"/>
  <c r="T172" i="176"/>
  <c r="U168" i="176" s="1"/>
  <c r="U136" i="176"/>
  <c r="V132" i="176" s="1"/>
  <c r="AC265" i="176"/>
  <c r="U178" i="176"/>
  <c r="V174" i="176" s="1"/>
  <c r="T160" i="173"/>
  <c r="U156" i="173" s="1"/>
  <c r="T166" i="173"/>
  <c r="U162" i="173" s="1"/>
  <c r="Y405" i="176"/>
  <c r="W128" i="173"/>
  <c r="W129" i="173" s="1"/>
  <c r="V130" i="176"/>
  <c r="W126" i="176" s="1"/>
  <c r="V510" i="176"/>
  <c r="AB300" i="176"/>
  <c r="S147" i="176"/>
  <c r="X391" i="173"/>
  <c r="U475" i="173"/>
  <c r="U152" i="176"/>
  <c r="U153" i="176" s="1"/>
  <c r="T134" i="173"/>
  <c r="AA335" i="176"/>
  <c r="T170" i="173"/>
  <c r="T171" i="173" s="1"/>
  <c r="W419" i="173"/>
  <c r="AC4" i="179"/>
  <c r="T503" i="173"/>
  <c r="U545" i="176"/>
  <c r="U123" i="176"/>
  <c r="V447" i="173"/>
  <c r="T148" i="173"/>
  <c r="U144" i="173" s="1"/>
  <c r="Y363" i="173"/>
  <c r="V122" i="176"/>
  <c r="W130" i="173" l="1"/>
  <c r="X126" i="173" s="1"/>
  <c r="X128" i="173" s="1"/>
  <c r="X129" i="173" s="1"/>
  <c r="U166" i="176"/>
  <c r="V162" i="176" s="1"/>
  <c r="V164" i="176" s="1"/>
  <c r="V165" i="176" s="1"/>
  <c r="U154" i="176"/>
  <c r="V150" i="176" s="1"/>
  <c r="V152" i="176" s="1"/>
  <c r="V153" i="176" s="1"/>
  <c r="T148" i="176"/>
  <c r="U144" i="176" s="1"/>
  <c r="U146" i="176" s="1"/>
  <c r="U147" i="176" s="1"/>
  <c r="Z363" i="173"/>
  <c r="V134" i="176"/>
  <c r="V135" i="176" s="1"/>
  <c r="AD4" i="179"/>
  <c r="AD251" i="173"/>
  <c r="AF195" i="176"/>
  <c r="V122" i="173"/>
  <c r="AB307" i="173"/>
  <c r="AA335" i="173"/>
  <c r="U164" i="173"/>
  <c r="U165" i="173" s="1"/>
  <c r="V158" i="176"/>
  <c r="V159" i="176" s="1"/>
  <c r="V545" i="176"/>
  <c r="Z405" i="176"/>
  <c r="T140" i="173"/>
  <c r="T141" i="173" s="1"/>
  <c r="X419" i="173"/>
  <c r="W510" i="176"/>
  <c r="AA370" i="176"/>
  <c r="T135" i="173"/>
  <c r="U503" i="173"/>
  <c r="X475" i="176"/>
  <c r="W176" i="173"/>
  <c r="W177" i="173" s="1"/>
  <c r="U142" i="176"/>
  <c r="V138" i="176" s="1"/>
  <c r="W447" i="173"/>
  <c r="U170" i="176"/>
  <c r="U171" i="176" s="1"/>
  <c r="T172" i="173"/>
  <c r="U168" i="173" s="1"/>
  <c r="V475" i="173"/>
  <c r="V123" i="176"/>
  <c r="V124" i="176"/>
  <c r="W120" i="176" s="1"/>
  <c r="U158" i="173"/>
  <c r="U159" i="173" s="1"/>
  <c r="V176" i="176"/>
  <c r="V177" i="176" s="1"/>
  <c r="AC300" i="176"/>
  <c r="AD265" i="176"/>
  <c r="AC279" i="173"/>
  <c r="T136" i="173"/>
  <c r="U132" i="173" s="1"/>
  <c r="W128" i="176"/>
  <c r="W129" i="176" s="1"/>
  <c r="AE230" i="176"/>
  <c r="AB335" i="176"/>
  <c r="Y440" i="176"/>
  <c r="U580" i="176"/>
  <c r="AD2" i="161"/>
  <c r="AI2" i="166"/>
  <c r="AF1" i="167"/>
  <c r="AG2" i="176"/>
  <c r="AG39" i="176" s="1"/>
  <c r="AG117" i="176" s="1"/>
  <c r="U146" i="173"/>
  <c r="U147" i="173" s="1"/>
  <c r="V154" i="173"/>
  <c r="W150" i="173" s="1"/>
  <c r="Y391" i="173"/>
  <c r="AB370" i="176" l="1"/>
  <c r="U172" i="176"/>
  <c r="V168" i="176" s="1"/>
  <c r="AD279" i="173"/>
  <c r="AE265" i="176"/>
  <c r="Z391" i="173"/>
  <c r="AA363" i="173"/>
  <c r="V503" i="173"/>
  <c r="U134" i="173"/>
  <c r="U170" i="173"/>
  <c r="U171" i="173" s="1"/>
  <c r="AC307" i="173"/>
  <c r="AB335" i="173"/>
  <c r="U148" i="173"/>
  <c r="V144" i="173" s="1"/>
  <c r="V580" i="176"/>
  <c r="AC335" i="176"/>
  <c r="W475" i="173"/>
  <c r="V178" i="176"/>
  <c r="W174" i="176" s="1"/>
  <c r="AE4" i="179"/>
  <c r="U160" i="173"/>
  <c r="V156" i="173" s="1"/>
  <c r="W545" i="176"/>
  <c r="V123" i="173"/>
  <c r="Z440" i="176"/>
  <c r="V160" i="176"/>
  <c r="W156" i="176" s="1"/>
  <c r="V124" i="173"/>
  <c r="W120" i="173" s="1"/>
  <c r="V166" i="176"/>
  <c r="W162" i="176" s="1"/>
  <c r="V140" i="176"/>
  <c r="V141" i="176" s="1"/>
  <c r="AF230" i="176"/>
  <c r="AA405" i="176"/>
  <c r="T142" i="173"/>
  <c r="U138" i="173" s="1"/>
  <c r="U166" i="173"/>
  <c r="V162" i="173" s="1"/>
  <c r="Y419" i="173"/>
  <c r="W152" i="173"/>
  <c r="W153" i="173" s="1"/>
  <c r="X510" i="176"/>
  <c r="W122" i="176"/>
  <c r="W178" i="173"/>
  <c r="X174" i="173" s="1"/>
  <c r="W130" i="176"/>
  <c r="X126" i="176" s="1"/>
  <c r="X130" i="173"/>
  <c r="Y126" i="173" s="1"/>
  <c r="AH2" i="176"/>
  <c r="AH39" i="176" s="1"/>
  <c r="AH117" i="176" s="1"/>
  <c r="AG1" i="167"/>
  <c r="AJ2" i="166"/>
  <c r="AE2" i="161"/>
  <c r="V154" i="176"/>
  <c r="W150" i="176" s="1"/>
  <c r="AG195" i="176"/>
  <c r="X447" i="173"/>
  <c r="V136" i="176"/>
  <c r="W132" i="176" s="1"/>
  <c r="U148" i="176"/>
  <c r="V144" i="176" s="1"/>
  <c r="Y475" i="176"/>
  <c r="AD300" i="176"/>
  <c r="W154" i="173" l="1"/>
  <c r="X150" i="173" s="1"/>
  <c r="X152" i="173" s="1"/>
  <c r="X153" i="173" s="1"/>
  <c r="X128" i="176"/>
  <c r="X129" i="176" s="1"/>
  <c r="AD307" i="173"/>
  <c r="AC370" i="176"/>
  <c r="AB405" i="176"/>
  <c r="X545" i="176"/>
  <c r="V142" i="176"/>
  <c r="W138" i="176" s="1"/>
  <c r="V146" i="173"/>
  <c r="V147" i="173" s="1"/>
  <c r="Z419" i="173"/>
  <c r="X475" i="173"/>
  <c r="AH1" i="167"/>
  <c r="AF2" i="161"/>
  <c r="AK2" i="166"/>
  <c r="AI2" i="176"/>
  <c r="AI39" i="176" s="1"/>
  <c r="AI117" i="176" s="1"/>
  <c r="W164" i="176"/>
  <c r="W165" i="176" s="1"/>
  <c r="U172" i="173"/>
  <c r="V168" i="173" s="1"/>
  <c r="Y128" i="173"/>
  <c r="Y129" i="173" s="1"/>
  <c r="X176" i="173"/>
  <c r="X177" i="173" s="1"/>
  <c r="AC335" i="173"/>
  <c r="W123" i="176"/>
  <c r="W503" i="173"/>
  <c r="AA391" i="173"/>
  <c r="V164" i="173"/>
  <c r="V165" i="173" s="1"/>
  <c r="Y447" i="173"/>
  <c r="Y510" i="176"/>
  <c r="W122" i="173"/>
  <c r="W158" i="176"/>
  <c r="W159" i="176" s="1"/>
  <c r="Z475" i="176"/>
  <c r="AG230" i="176"/>
  <c r="AD335" i="176"/>
  <c r="V158" i="173"/>
  <c r="V159" i="173" s="1"/>
  <c r="W176" i="176"/>
  <c r="W177" i="176" s="1"/>
  <c r="AA440" i="176"/>
  <c r="W134" i="176"/>
  <c r="W135" i="176" s="1"/>
  <c r="V170" i="176"/>
  <c r="V171" i="176" s="1"/>
  <c r="W152" i="176"/>
  <c r="W153" i="176" s="1"/>
  <c r="AH195" i="176"/>
  <c r="U135" i="173"/>
  <c r="U136" i="173"/>
  <c r="V132" i="173" s="1"/>
  <c r="W580" i="176"/>
  <c r="AF4" i="179"/>
  <c r="AB363" i="173"/>
  <c r="AF265" i="176"/>
  <c r="W124" i="176"/>
  <c r="X120" i="176" s="1"/>
  <c r="U140" i="173"/>
  <c r="U141" i="173" s="1"/>
  <c r="AE300" i="176"/>
  <c r="V146" i="176"/>
  <c r="X130" i="176" l="1"/>
  <c r="Y126" i="176" s="1"/>
  <c r="Y128" i="176" s="1"/>
  <c r="Y129" i="176" s="1"/>
  <c r="W178" i="176"/>
  <c r="X174" i="176" s="1"/>
  <c r="X176" i="176" s="1"/>
  <c r="X177" i="176" s="1"/>
  <c r="X154" i="173"/>
  <c r="Y150" i="173" s="1"/>
  <c r="AA419" i="173"/>
  <c r="W160" i="176"/>
  <c r="X156" i="176" s="1"/>
  <c r="V170" i="173"/>
  <c r="V171" i="173" s="1"/>
  <c r="AL2" i="166"/>
  <c r="AI1" i="167"/>
  <c r="AG2" i="161"/>
  <c r="AJ2" i="176"/>
  <c r="AJ39" i="176" s="1"/>
  <c r="AJ117" i="176" s="1"/>
  <c r="W154" i="176"/>
  <c r="X150" i="176" s="1"/>
  <c r="V166" i="173"/>
  <c r="W162" i="173" s="1"/>
  <c r="W123" i="173"/>
  <c r="AC363" i="173"/>
  <c r="AA475" i="176"/>
  <c r="AD335" i="173"/>
  <c r="V147" i="176"/>
  <c r="W166" i="176"/>
  <c r="X162" i="176" s="1"/>
  <c r="W140" i="176"/>
  <c r="X503" i="173"/>
  <c r="U142" i="173"/>
  <c r="V138" i="173" s="1"/>
  <c r="V172" i="176"/>
  <c r="W168" i="176" s="1"/>
  <c r="V134" i="173"/>
  <c r="V160" i="173"/>
  <c r="W156" i="173" s="1"/>
  <c r="X122" i="176"/>
  <c r="X124" i="176" s="1"/>
  <c r="Y120" i="176" s="1"/>
  <c r="W124" i="173"/>
  <c r="X120" i="173" s="1"/>
  <c r="Z447" i="173"/>
  <c r="Y545" i="176"/>
  <c r="W136" i="176"/>
  <c r="X132" i="176" s="1"/>
  <c r="V148" i="173"/>
  <c r="W144" i="173" s="1"/>
  <c r="AH230" i="176"/>
  <c r="X178" i="173"/>
  <c r="Y174" i="173" s="1"/>
  <c r="AI195" i="176"/>
  <c r="Y130" i="173"/>
  <c r="Z126" i="173" s="1"/>
  <c r="X580" i="176"/>
  <c r="AF300" i="176"/>
  <c r="AG4" i="179"/>
  <c r="V148" i="176"/>
  <c r="W144" i="176" s="1"/>
  <c r="AB391" i="173"/>
  <c r="AG265" i="176"/>
  <c r="AE335" i="176"/>
  <c r="AB440" i="176"/>
  <c r="Z510" i="176"/>
  <c r="AD370" i="176"/>
  <c r="AC405" i="176"/>
  <c r="Y475" i="173"/>
  <c r="AF335" i="176" l="1"/>
  <c r="AH4" i="179"/>
  <c r="Y503" i="173"/>
  <c r="AM2" i="166"/>
  <c r="AK2" i="176"/>
  <c r="AK39" i="176" s="1"/>
  <c r="AK117" i="176" s="1"/>
  <c r="AH2" i="161"/>
  <c r="AJ1" i="167"/>
  <c r="AJ195" i="176"/>
  <c r="X158" i="176"/>
  <c r="X159" i="176" s="1"/>
  <c r="AA447" i="173"/>
  <c r="AH265" i="176"/>
  <c r="W170" i="176"/>
  <c r="W171" i="176" s="1"/>
  <c r="V140" i="173"/>
  <c r="V141" i="173" s="1"/>
  <c r="X122" i="173"/>
  <c r="Z475" i="173"/>
  <c r="AD405" i="176"/>
  <c r="W164" i="173"/>
  <c r="W165" i="173" s="1"/>
  <c r="AA510" i="176"/>
  <c r="Z545" i="176"/>
  <c r="AE370" i="176"/>
  <c r="Z128" i="173"/>
  <c r="Z129" i="173" s="1"/>
  <c r="W146" i="176"/>
  <c r="W147" i="176" s="1"/>
  <c r="AB419" i="173"/>
  <c r="V172" i="173"/>
  <c r="W168" i="173" s="1"/>
  <c r="AG300" i="176"/>
  <c r="W146" i="173"/>
  <c r="W147" i="173" s="1"/>
  <c r="X123" i="176"/>
  <c r="Y176" i="173"/>
  <c r="Y177" i="173" s="1"/>
  <c r="AC391" i="173"/>
  <c r="AI230" i="176"/>
  <c r="Y122" i="176"/>
  <c r="Y124" i="176" s="1"/>
  <c r="Z120" i="176" s="1"/>
  <c r="W141" i="176"/>
  <c r="Y580" i="176"/>
  <c r="W158" i="173"/>
  <c r="W159" i="173" s="1"/>
  <c r="W142" i="176"/>
  <c r="X138" i="176" s="1"/>
  <c r="AC440" i="176"/>
  <c r="AB475" i="176"/>
  <c r="X134" i="176"/>
  <c r="X135" i="176" s="1"/>
  <c r="V135" i="173"/>
  <c r="X164" i="176"/>
  <c r="X165" i="176" s="1"/>
  <c r="X152" i="176"/>
  <c r="X153" i="176" s="1"/>
  <c r="V136" i="173"/>
  <c r="W132" i="173" s="1"/>
  <c r="Y152" i="173"/>
  <c r="Y153" i="173" s="1"/>
  <c r="Y130" i="176"/>
  <c r="Z126" i="176" s="1"/>
  <c r="AD363" i="173"/>
  <c r="X178" i="176"/>
  <c r="Y174" i="176" s="1"/>
  <c r="V142" i="173" l="1"/>
  <c r="W138" i="173" s="1"/>
  <c r="W140" i="173" s="1"/>
  <c r="W141" i="173" s="1"/>
  <c r="W148" i="176"/>
  <c r="X144" i="176" s="1"/>
  <c r="X146" i="176" s="1"/>
  <c r="X147" i="176" s="1"/>
  <c r="X160" i="176"/>
  <c r="Y156" i="176" s="1"/>
  <c r="Y158" i="176" s="1"/>
  <c r="Y159" i="176" s="1"/>
  <c r="W166" i="173"/>
  <c r="X162" i="173" s="1"/>
  <c r="X164" i="173" s="1"/>
  <c r="X165" i="173" s="1"/>
  <c r="Z122" i="176"/>
  <c r="Z124" i="176" s="1"/>
  <c r="AA120" i="176" s="1"/>
  <c r="X136" i="176"/>
  <c r="Y132" i="176" s="1"/>
  <c r="AC475" i="176"/>
  <c r="AG335" i="176"/>
  <c r="AD440" i="176"/>
  <c r="W172" i="176"/>
  <c r="X168" i="176" s="1"/>
  <c r="AK195" i="176"/>
  <c r="Z128" i="176"/>
  <c r="Z129" i="176" s="1"/>
  <c r="X154" i="176"/>
  <c r="Y150" i="176" s="1"/>
  <c r="AF370" i="176"/>
  <c r="X166" i="176"/>
  <c r="Y162" i="176" s="1"/>
  <c r="Z503" i="173"/>
  <c r="Y178" i="173"/>
  <c r="Z174" i="173" s="1"/>
  <c r="AI4" i="179"/>
  <c r="AJ230" i="176"/>
  <c r="Y176" i="176"/>
  <c r="Y177" i="176" s="1"/>
  <c r="Y154" i="173"/>
  <c r="Z150" i="173" s="1"/>
  <c r="W134" i="173"/>
  <c r="W148" i="173"/>
  <c r="X144" i="173" s="1"/>
  <c r="AA475" i="173"/>
  <c r="AC419" i="173"/>
  <c r="AB510" i="176"/>
  <c r="Y123" i="176"/>
  <c r="W170" i="173"/>
  <c r="W171" i="173" s="1"/>
  <c r="Z130" i="173"/>
  <c r="AA126" i="173" s="1"/>
  <c r="AI265" i="176"/>
  <c r="AH300" i="176"/>
  <c r="AD391" i="173"/>
  <c r="AE405" i="176"/>
  <c r="Z580" i="176"/>
  <c r="AA545" i="176"/>
  <c r="AB447" i="173"/>
  <c r="X140" i="176"/>
  <c r="X141" i="176" s="1"/>
  <c r="X123" i="173"/>
  <c r="X124" i="173"/>
  <c r="Y120" i="173" s="1"/>
  <c r="W160" i="173"/>
  <c r="X156" i="173" s="1"/>
  <c r="Y160" i="176" l="1"/>
  <c r="Z156" i="176" s="1"/>
  <c r="Z158" i="176" s="1"/>
  <c r="Z159" i="176" s="1"/>
  <c r="W142" i="173"/>
  <c r="X138" i="173" s="1"/>
  <c r="AK230" i="176"/>
  <c r="C198" i="176" a="1"/>
  <c r="X148" i="176"/>
  <c r="Y144" i="176" s="1"/>
  <c r="AF405" i="176"/>
  <c r="AB545" i="176"/>
  <c r="AH335" i="176"/>
  <c r="X170" i="176"/>
  <c r="X171" i="176" s="1"/>
  <c r="AA503" i="173"/>
  <c r="C198" i="173" a="1"/>
  <c r="AA128" i="173"/>
  <c r="AA129" i="173" s="1"/>
  <c r="Z152" i="173"/>
  <c r="Z153" i="173" s="1"/>
  <c r="AC447" i="173"/>
  <c r="AJ265" i="176"/>
  <c r="X142" i="176"/>
  <c r="Y138" i="176" s="1"/>
  <c r="AE440" i="176"/>
  <c r="Z176" i="173"/>
  <c r="Z177" i="173" s="1"/>
  <c r="W172" i="173"/>
  <c r="X168" i="173" s="1"/>
  <c r="AD475" i="176"/>
  <c r="Y122" i="173"/>
  <c r="Y124" i="173" s="1"/>
  <c r="Z120" i="173" s="1"/>
  <c r="AG370" i="176"/>
  <c r="AC510" i="176"/>
  <c r="Y152" i="176"/>
  <c r="Y153" i="176" s="1"/>
  <c r="Z130" i="176"/>
  <c r="AA126" i="176" s="1"/>
  <c r="Y134" i="176"/>
  <c r="Y136" i="176" s="1"/>
  <c r="Z132" i="176" s="1"/>
  <c r="Y164" i="176"/>
  <c r="Y165" i="176" s="1"/>
  <c r="X166" i="173"/>
  <c r="Y162" i="173" s="1"/>
  <c r="AB475" i="173"/>
  <c r="X146" i="173"/>
  <c r="X147" i="173" s="1"/>
  <c r="W135" i="173"/>
  <c r="W136" i="173"/>
  <c r="X132" i="173" s="1"/>
  <c r="AI300" i="176"/>
  <c r="AA580" i="176"/>
  <c r="X158" i="173"/>
  <c r="X159" i="173" s="1"/>
  <c r="Y178" i="176"/>
  <c r="Z174" i="176" s="1"/>
  <c r="AD419" i="173"/>
  <c r="Z123" i="176"/>
  <c r="AA122" i="176"/>
  <c r="Y154" i="176" l="1"/>
  <c r="Z150" i="176" s="1"/>
  <c r="Z152" i="176" s="1"/>
  <c r="Z153" i="176" s="1"/>
  <c r="Z178" i="173"/>
  <c r="AA174" i="173" s="1"/>
  <c r="AA176" i="173" s="1"/>
  <c r="AA177" i="173" s="1"/>
  <c r="Z134" i="176"/>
  <c r="E213" i="176"/>
  <c r="E219" i="176"/>
  <c r="F219" i="176" s="1"/>
  <c r="E216" i="176"/>
  <c r="F216" i="176" s="1"/>
  <c r="E208" i="176"/>
  <c r="F208" i="176" s="1"/>
  <c r="E202" i="176"/>
  <c r="F202" i="176" s="1"/>
  <c r="E199" i="176"/>
  <c r="F199" i="176" s="1"/>
  <c r="E201" i="176"/>
  <c r="F201" i="176" s="1"/>
  <c r="E203" i="176"/>
  <c r="F203" i="176" s="1"/>
  <c r="E209" i="176"/>
  <c r="F209" i="176" s="1"/>
  <c r="E210" i="176"/>
  <c r="F210" i="176" s="1"/>
  <c r="E200" i="176"/>
  <c r="F200" i="176" s="1"/>
  <c r="E221" i="176"/>
  <c r="E220" i="176"/>
  <c r="E227" i="176"/>
  <c r="E218" i="176"/>
  <c r="E223" i="176"/>
  <c r="E226" i="176"/>
  <c r="E212" i="176"/>
  <c r="E206" i="176"/>
  <c r="F206" i="176" s="1"/>
  <c r="E211" i="176"/>
  <c r="E217" i="176"/>
  <c r="E225" i="176"/>
  <c r="F225" i="176" s="1"/>
  <c r="E224" i="176"/>
  <c r="C198" i="176"/>
  <c r="E204" i="176"/>
  <c r="E207" i="176"/>
  <c r="E205" i="176"/>
  <c r="E214" i="176"/>
  <c r="F214" i="176" s="1"/>
  <c r="E215" i="176"/>
  <c r="F215" i="176" s="1"/>
  <c r="H216" i="176"/>
  <c r="H202" i="176"/>
  <c r="H214" i="176"/>
  <c r="H203" i="176"/>
  <c r="E222" i="176"/>
  <c r="AA128" i="176"/>
  <c r="AA129" i="176" s="1"/>
  <c r="AG405" i="176"/>
  <c r="AK265" i="176"/>
  <c r="C233" i="176" a="1"/>
  <c r="AJ300" i="176"/>
  <c r="AA123" i="176"/>
  <c r="AE475" i="176"/>
  <c r="X170" i="173"/>
  <c r="X171" i="173" s="1"/>
  <c r="Z160" i="176"/>
  <c r="AA156" i="176" s="1"/>
  <c r="Y140" i="176"/>
  <c r="Y141" i="176" s="1"/>
  <c r="AD447" i="173"/>
  <c r="X148" i="173"/>
  <c r="Y144" i="173" s="1"/>
  <c r="AI335" i="176"/>
  <c r="C226" i="173" a="1"/>
  <c r="AB580" i="176"/>
  <c r="AB503" i="173"/>
  <c r="X172" i="176"/>
  <c r="Y168" i="176" s="1"/>
  <c r="Y166" i="176"/>
  <c r="Z162" i="176" s="1"/>
  <c r="AH370" i="176"/>
  <c r="X134" i="173"/>
  <c r="X136" i="173" s="1"/>
  <c r="Y132" i="173" s="1"/>
  <c r="Y164" i="173"/>
  <c r="Y165" i="173" s="1"/>
  <c r="Y135" i="176"/>
  <c r="Y146" i="176"/>
  <c r="Y147" i="176" s="1"/>
  <c r="Z176" i="176"/>
  <c r="Z177" i="176" s="1"/>
  <c r="Z154" i="173"/>
  <c r="AA150" i="173" s="1"/>
  <c r="X160" i="173"/>
  <c r="Y156" i="173" s="1"/>
  <c r="Y123" i="173"/>
  <c r="AA130" i="173"/>
  <c r="AB126" i="173" s="1"/>
  <c r="AD510" i="176"/>
  <c r="AC545" i="176"/>
  <c r="AC475" i="173"/>
  <c r="AA124" i="176"/>
  <c r="AB120" i="176" s="1"/>
  <c r="Z122" i="173"/>
  <c r="E213" i="173"/>
  <c r="F213" i="173" s="1"/>
  <c r="E212" i="173"/>
  <c r="E219" i="173"/>
  <c r="F219" i="173" s="1"/>
  <c r="E217" i="173"/>
  <c r="E208" i="173"/>
  <c r="E200" i="173"/>
  <c r="F200" i="173" s="1"/>
  <c r="E216" i="173"/>
  <c r="E218" i="173"/>
  <c r="E204" i="173"/>
  <c r="E209" i="173"/>
  <c r="E202" i="173"/>
  <c r="E201" i="173"/>
  <c r="F201" i="173" s="1"/>
  <c r="E211" i="173"/>
  <c r="E205" i="173"/>
  <c r="E207" i="173"/>
  <c r="E199" i="173"/>
  <c r="E210" i="173"/>
  <c r="C198" i="173"/>
  <c r="E220" i="173"/>
  <c r="F220" i="173" s="1"/>
  <c r="E203" i="173"/>
  <c r="E215" i="173"/>
  <c r="E214" i="173"/>
  <c r="E206" i="173"/>
  <c r="F206" i="173" s="1"/>
  <c r="AF440" i="176"/>
  <c r="X140" i="173"/>
  <c r="X141" i="173" s="1"/>
  <c r="F226" i="176" l="1"/>
  <c r="H226" i="176" s="1"/>
  <c r="F223" i="176"/>
  <c r="F218" i="176"/>
  <c r="H218" i="176" s="1"/>
  <c r="F227" i="176"/>
  <c r="H227" i="176" s="1"/>
  <c r="F216" i="173"/>
  <c r="H216" i="173" s="1"/>
  <c r="I216" i="176"/>
  <c r="I214" i="176"/>
  <c r="H219" i="173"/>
  <c r="H215" i="176"/>
  <c r="H223" i="176"/>
  <c r="I223" i="176" s="1"/>
  <c r="H206" i="173"/>
  <c r="I206" i="173" s="1"/>
  <c r="H200" i="173"/>
  <c r="I200" i="173" s="1"/>
  <c r="H200" i="176"/>
  <c r="I200" i="176" s="1"/>
  <c r="H219" i="176"/>
  <c r="H213" i="173"/>
  <c r="H225" i="176"/>
  <c r="H209" i="176"/>
  <c r="H208" i="176"/>
  <c r="I208" i="176" s="1"/>
  <c r="H206" i="176"/>
  <c r="H220" i="173"/>
  <c r="H210" i="176"/>
  <c r="Y134" i="173"/>
  <c r="I202" i="176"/>
  <c r="X142" i="173"/>
  <c r="Y138" i="173" s="1"/>
  <c r="F224" i="176"/>
  <c r="H224" i="176" s="1"/>
  <c r="E234" i="173"/>
  <c r="E245" i="173"/>
  <c r="E229" i="173"/>
  <c r="E240" i="173"/>
  <c r="E235" i="173"/>
  <c r="E232" i="173"/>
  <c r="E248" i="173"/>
  <c r="E244" i="173"/>
  <c r="E243" i="173"/>
  <c r="E247" i="173"/>
  <c r="E233" i="173"/>
  <c r="E242" i="173"/>
  <c r="E246" i="173"/>
  <c r="C226" i="173"/>
  <c r="E227" i="173"/>
  <c r="E228" i="173"/>
  <c r="E230" i="173"/>
  <c r="E238" i="173"/>
  <c r="E231" i="173"/>
  <c r="E241" i="173"/>
  <c r="E239" i="173"/>
  <c r="E237" i="173"/>
  <c r="E236" i="173"/>
  <c r="F236" i="173" s="1"/>
  <c r="H201" i="176"/>
  <c r="F205" i="173"/>
  <c r="H205" i="173" s="1"/>
  <c r="AG440" i="176"/>
  <c r="AD545" i="176"/>
  <c r="Y142" i="176"/>
  <c r="Z138" i="176" s="1"/>
  <c r="AA130" i="176"/>
  <c r="AB126" i="176" s="1"/>
  <c r="F202" i="173"/>
  <c r="H202" i="173" s="1"/>
  <c r="I202" i="173" s="1"/>
  <c r="AK300" i="176"/>
  <c r="C268" i="176" a="1"/>
  <c r="F221" i="176"/>
  <c r="AA178" i="173"/>
  <c r="AB174" i="173" s="1"/>
  <c r="E198" i="173"/>
  <c r="C254" i="173" a="1"/>
  <c r="F210" i="173"/>
  <c r="F217" i="173"/>
  <c r="H217" i="173" s="1"/>
  <c r="Y146" i="173"/>
  <c r="Y147" i="173" s="1"/>
  <c r="F212" i="173"/>
  <c r="H212" i="173" s="1"/>
  <c r="F211" i="176"/>
  <c r="Z154" i="176"/>
  <c r="AA150" i="176" s="1"/>
  <c r="AF475" i="176"/>
  <c r="Z164" i="176"/>
  <c r="Z165" i="176" s="1"/>
  <c r="F207" i="176"/>
  <c r="Z123" i="173"/>
  <c r="X172" i="173"/>
  <c r="Y168" i="173" s="1"/>
  <c r="AJ335" i="176"/>
  <c r="I203" i="176"/>
  <c r="J203" i="176" s="1"/>
  <c r="F212" i="176"/>
  <c r="H212" i="176" s="1"/>
  <c r="F213" i="176"/>
  <c r="Y148" i="176"/>
  <c r="Z144" i="176" s="1"/>
  <c r="Y170" i="176"/>
  <c r="Y171" i="176" s="1"/>
  <c r="E236" i="176"/>
  <c r="F236" i="176" s="1"/>
  <c r="E247" i="176"/>
  <c r="E239" i="176"/>
  <c r="E245" i="176"/>
  <c r="E257" i="176"/>
  <c r="E256" i="176"/>
  <c r="E252" i="176"/>
  <c r="E250" i="176"/>
  <c r="E238" i="176"/>
  <c r="E234" i="176"/>
  <c r="E249" i="176"/>
  <c r="E258" i="176"/>
  <c r="F258" i="176" s="1"/>
  <c r="E244" i="176"/>
  <c r="F244" i="176" s="1"/>
  <c r="E246" i="176"/>
  <c r="F246" i="176" s="1"/>
  <c r="E237" i="176"/>
  <c r="E253" i="176"/>
  <c r="E243" i="176"/>
  <c r="F243" i="176" s="1"/>
  <c r="E251" i="176"/>
  <c r="E248" i="176"/>
  <c r="E254" i="176"/>
  <c r="E259" i="176"/>
  <c r="E262" i="176"/>
  <c r="E241" i="176"/>
  <c r="C233" i="176"/>
  <c r="E255" i="176"/>
  <c r="E260" i="176"/>
  <c r="E235" i="176"/>
  <c r="E261" i="176"/>
  <c r="E240" i="176"/>
  <c r="E242" i="176"/>
  <c r="F242" i="176" s="1"/>
  <c r="F220" i="176"/>
  <c r="H220" i="176" s="1"/>
  <c r="F204" i="173"/>
  <c r="AC503" i="173"/>
  <c r="AH405" i="176"/>
  <c r="AA152" i="173"/>
  <c r="AA153" i="173" s="1"/>
  <c r="AI370" i="176"/>
  <c r="F199" i="173"/>
  <c r="H199" i="173" s="1"/>
  <c r="F207" i="173"/>
  <c r="H207" i="173" s="1"/>
  <c r="AA158" i="176"/>
  <c r="AA159" i="176" s="1"/>
  <c r="Y166" i="173"/>
  <c r="Z162" i="173" s="1"/>
  <c r="X135" i="173"/>
  <c r="H201" i="173"/>
  <c r="Z124" i="173"/>
  <c r="AA120" i="173" s="1"/>
  <c r="H199" i="176"/>
  <c r="Z135" i="176"/>
  <c r="F211" i="173"/>
  <c r="H211" i="173" s="1"/>
  <c r="F222" i="176"/>
  <c r="F209" i="173"/>
  <c r="AB128" i="173"/>
  <c r="AB129" i="173" s="1"/>
  <c r="F218" i="173"/>
  <c r="H218" i="173" s="1"/>
  <c r="F214" i="173"/>
  <c r="H214" i="173" s="1"/>
  <c r="Y158" i="173"/>
  <c r="Y159" i="173" s="1"/>
  <c r="AD475" i="173"/>
  <c r="F217" i="176"/>
  <c r="AB122" i="176"/>
  <c r="F204" i="176"/>
  <c r="H204" i="176" s="1"/>
  <c r="Z136" i="176"/>
  <c r="AA132" i="176" s="1"/>
  <c r="F203" i="173"/>
  <c r="H203" i="173" s="1"/>
  <c r="AC580" i="176"/>
  <c r="F208" i="173"/>
  <c r="F205" i="176"/>
  <c r="F215" i="173"/>
  <c r="H215" i="173" s="1"/>
  <c r="Z178" i="176"/>
  <c r="AA174" i="176" s="1"/>
  <c r="AE510" i="176"/>
  <c r="E198" i="176"/>
  <c r="F255" i="176" l="1"/>
  <c r="F247" i="176"/>
  <c r="F242" i="173"/>
  <c r="F248" i="176"/>
  <c r="F248" i="173"/>
  <c r="H248" i="173" s="1"/>
  <c r="F251" i="176"/>
  <c r="J216" i="176"/>
  <c r="F253" i="176"/>
  <c r="H253" i="176" s="1"/>
  <c r="I226" i="176"/>
  <c r="J226" i="176" s="1"/>
  <c r="I216" i="173"/>
  <c r="J214" i="176"/>
  <c r="I220" i="173"/>
  <c r="J220" i="173" s="1"/>
  <c r="I219" i="173"/>
  <c r="I217" i="173"/>
  <c r="J217" i="173" s="1"/>
  <c r="K217" i="173" s="1"/>
  <c r="I214" i="173"/>
  <c r="H247" i="176"/>
  <c r="I212" i="176"/>
  <c r="K216" i="176"/>
  <c r="I215" i="176"/>
  <c r="J223" i="176"/>
  <c r="I213" i="173"/>
  <c r="I219" i="176"/>
  <c r="H221" i="176"/>
  <c r="I224" i="176"/>
  <c r="I227" i="176"/>
  <c r="I225" i="176"/>
  <c r="H248" i="176"/>
  <c r="I211" i="173"/>
  <c r="J211" i="173" s="1"/>
  <c r="I218" i="173"/>
  <c r="J218" i="173" s="1"/>
  <c r="I212" i="173"/>
  <c r="I215" i="173"/>
  <c r="H251" i="176"/>
  <c r="I220" i="176"/>
  <c r="I218" i="176"/>
  <c r="H242" i="173"/>
  <c r="H242" i="176"/>
  <c r="I242" i="176" s="1"/>
  <c r="J242" i="176" s="1"/>
  <c r="J206" i="173"/>
  <c r="K206" i="173" s="1"/>
  <c r="L206" i="173" s="1"/>
  <c r="I209" i="176"/>
  <c r="J209" i="176" s="1"/>
  <c r="I206" i="176"/>
  <c r="J206" i="176"/>
  <c r="I205" i="173"/>
  <c r="I207" i="173"/>
  <c r="I204" i="176"/>
  <c r="J204" i="176" s="1"/>
  <c r="J208" i="176"/>
  <c r="K208" i="176" s="1"/>
  <c r="I210" i="176"/>
  <c r="H243" i="176"/>
  <c r="Y148" i="173"/>
  <c r="Z144" i="173" s="1"/>
  <c r="Z146" i="173" s="1"/>
  <c r="Z147" i="173" s="1"/>
  <c r="H209" i="173"/>
  <c r="Y172" i="176"/>
  <c r="Z168" i="176" s="1"/>
  <c r="Z170" i="176" s="1"/>
  <c r="Z171" i="176" s="1"/>
  <c r="H244" i="176"/>
  <c r="H205" i="176"/>
  <c r="AB130" i="173"/>
  <c r="AC126" i="173" s="1"/>
  <c r="AC128" i="173" s="1"/>
  <c r="AC129" i="173" s="1"/>
  <c r="H258" i="176"/>
  <c r="H204" i="173"/>
  <c r="H255" i="176"/>
  <c r="H211" i="176"/>
  <c r="H207" i="176"/>
  <c r="H217" i="176"/>
  <c r="H236" i="173"/>
  <c r="H246" i="176"/>
  <c r="H210" i="173"/>
  <c r="H208" i="173"/>
  <c r="H213" i="176"/>
  <c r="H222" i="176"/>
  <c r="I199" i="173"/>
  <c r="J199" i="173" s="1"/>
  <c r="F234" i="176"/>
  <c r="H234" i="176" s="1"/>
  <c r="AB128" i="176"/>
  <c r="F240" i="176"/>
  <c r="H240" i="176" s="1"/>
  <c r="AA122" i="173"/>
  <c r="F256" i="176"/>
  <c r="Z166" i="176"/>
  <c r="AA162" i="176" s="1"/>
  <c r="F245" i="176"/>
  <c r="F239" i="176"/>
  <c r="I201" i="173"/>
  <c r="F228" i="173"/>
  <c r="H228" i="173" s="1"/>
  <c r="F235" i="173"/>
  <c r="H235" i="173" s="1"/>
  <c r="AB176" i="173"/>
  <c r="AB177" i="173" s="1"/>
  <c r="F235" i="176"/>
  <c r="H235" i="176" s="1"/>
  <c r="I235" i="176" s="1"/>
  <c r="F240" i="173"/>
  <c r="H240" i="173" s="1"/>
  <c r="F249" i="176"/>
  <c r="H249" i="176" s="1"/>
  <c r="E221" i="173"/>
  <c r="F198" i="173"/>
  <c r="F221" i="173" s="1"/>
  <c r="F250" i="176"/>
  <c r="H250" i="176" s="1"/>
  <c r="Z140" i="176"/>
  <c r="Z142" i="176" s="1"/>
  <c r="AA138" i="176" s="1"/>
  <c r="F252" i="176"/>
  <c r="H252" i="176" s="1"/>
  <c r="AA152" i="176"/>
  <c r="AA153" i="176" s="1"/>
  <c r="I203" i="173"/>
  <c r="F257" i="176"/>
  <c r="H257" i="176" s="1"/>
  <c r="AA160" i="176"/>
  <c r="AB156" i="176" s="1"/>
  <c r="F259" i="176"/>
  <c r="H259" i="176" s="1"/>
  <c r="F254" i="176"/>
  <c r="H254" i="176" s="1"/>
  <c r="Z146" i="176"/>
  <c r="Z147" i="176" s="1"/>
  <c r="F227" i="173"/>
  <c r="H227" i="173" s="1"/>
  <c r="F229" i="173"/>
  <c r="H229" i="173" s="1"/>
  <c r="I229" i="173" s="1"/>
  <c r="K203" i="176"/>
  <c r="L203" i="176" s="1"/>
  <c r="J200" i="176"/>
  <c r="AG475" i="176"/>
  <c r="F245" i="173"/>
  <c r="I199" i="176"/>
  <c r="J199" i="176" s="1"/>
  <c r="F237" i="173"/>
  <c r="H237" i="173" s="1"/>
  <c r="E226" i="173"/>
  <c r="F234" i="173"/>
  <c r="H234" i="173" s="1"/>
  <c r="F238" i="176"/>
  <c r="H238" i="176" s="1"/>
  <c r="F241" i="176"/>
  <c r="F262" i="176"/>
  <c r="H262" i="176" s="1"/>
  <c r="Y170" i="173"/>
  <c r="Y171" i="173" s="1"/>
  <c r="J202" i="173"/>
  <c r="K202" i="173" s="1"/>
  <c r="L202" i="173" s="1"/>
  <c r="F261" i="176"/>
  <c r="H261" i="176" s="1"/>
  <c r="F198" i="176"/>
  <c r="E228" i="176"/>
  <c r="Y160" i="173"/>
  <c r="Z156" i="173" s="1"/>
  <c r="J200" i="173"/>
  <c r="F239" i="173"/>
  <c r="F246" i="173"/>
  <c r="H246" i="173" s="1"/>
  <c r="E263" i="173"/>
  <c r="F263" i="173" s="1"/>
  <c r="E270" i="173"/>
  <c r="E274" i="173"/>
  <c r="E268" i="173"/>
  <c r="E262" i="173"/>
  <c r="E267" i="173"/>
  <c r="E266" i="173"/>
  <c r="F266" i="173" s="1"/>
  <c r="E276" i="173"/>
  <c r="E259" i="173"/>
  <c r="E269" i="173"/>
  <c r="E264" i="173"/>
  <c r="E275" i="173"/>
  <c r="C254" i="173"/>
  <c r="E272" i="173"/>
  <c r="E255" i="173"/>
  <c r="E261" i="173"/>
  <c r="E258" i="173"/>
  <c r="F258" i="173" s="1"/>
  <c r="E273" i="173"/>
  <c r="E265" i="173"/>
  <c r="E260" i="173"/>
  <c r="E271" i="173"/>
  <c r="E256" i="173"/>
  <c r="F256" i="173" s="1"/>
  <c r="E257" i="173"/>
  <c r="AE545" i="176"/>
  <c r="F233" i="173"/>
  <c r="H233" i="173" s="1"/>
  <c r="E296" i="176"/>
  <c r="E284" i="176"/>
  <c r="E289" i="176"/>
  <c r="E287" i="176"/>
  <c r="E280" i="176"/>
  <c r="E269" i="176"/>
  <c r="E278" i="176"/>
  <c r="E286" i="176"/>
  <c r="E270" i="176"/>
  <c r="E283" i="176"/>
  <c r="E281" i="176"/>
  <c r="E295" i="176"/>
  <c r="E291" i="176"/>
  <c r="E293" i="176"/>
  <c r="E272" i="176"/>
  <c r="E273" i="176"/>
  <c r="E275" i="176"/>
  <c r="E271" i="176"/>
  <c r="E292" i="176"/>
  <c r="E276" i="176"/>
  <c r="E297" i="176"/>
  <c r="E274" i="176"/>
  <c r="E288" i="176"/>
  <c r="E290" i="176"/>
  <c r="E294" i="176"/>
  <c r="E277" i="176"/>
  <c r="E279" i="176"/>
  <c r="C268" i="176"/>
  <c r="E282" i="176"/>
  <c r="E285" i="176"/>
  <c r="F247" i="173"/>
  <c r="AK335" i="176"/>
  <c r="C303" i="176" a="1"/>
  <c r="F243" i="173"/>
  <c r="AA176" i="176"/>
  <c r="AA177" i="176" s="1"/>
  <c r="AI405" i="176"/>
  <c r="H236" i="176"/>
  <c r="F244" i="173"/>
  <c r="H244" i="173" s="1"/>
  <c r="F260" i="176"/>
  <c r="H260" i="176" s="1"/>
  <c r="AA154" i="173"/>
  <c r="AB150" i="173" s="1"/>
  <c r="C282" i="173" a="1"/>
  <c r="AH440" i="176"/>
  <c r="AB123" i="176"/>
  <c r="E233" i="176"/>
  <c r="F237" i="176"/>
  <c r="H237" i="176" s="1"/>
  <c r="AJ370" i="176"/>
  <c r="AF510" i="176"/>
  <c r="AD580" i="176"/>
  <c r="AA134" i="176"/>
  <c r="AA136" i="176" s="1"/>
  <c r="AB132" i="176" s="1"/>
  <c r="I201" i="176"/>
  <c r="J201" i="176" s="1"/>
  <c r="Y140" i="173"/>
  <c r="Y141" i="173" s="1"/>
  <c r="F241" i="173"/>
  <c r="AB124" i="176"/>
  <c r="AC120" i="176" s="1"/>
  <c r="AD503" i="173"/>
  <c r="F231" i="173"/>
  <c r="H231" i="173" s="1"/>
  <c r="F232" i="173"/>
  <c r="J202" i="176"/>
  <c r="F238" i="173"/>
  <c r="Y135" i="173"/>
  <c r="Z164" i="173"/>
  <c r="Z165" i="173" s="1"/>
  <c r="F230" i="173"/>
  <c r="H230" i="173" s="1"/>
  <c r="Y136" i="173"/>
  <c r="Z132" i="173" s="1"/>
  <c r="K242" i="176" l="1"/>
  <c r="L242" i="176" s="1"/>
  <c r="J216" i="173"/>
  <c r="K216" i="173" s="1"/>
  <c r="F289" i="176"/>
  <c r="F296" i="176"/>
  <c r="H296" i="176" s="1"/>
  <c r="F276" i="173"/>
  <c r="H276" i="173" s="1"/>
  <c r="F267" i="173"/>
  <c r="H267" i="173" s="1"/>
  <c r="F270" i="173"/>
  <c r="F287" i="176"/>
  <c r="H287" i="176" s="1"/>
  <c r="J215" i="173"/>
  <c r="K215" i="173" s="1"/>
  <c r="J214" i="173"/>
  <c r="J212" i="173"/>
  <c r="K212" i="173" s="1"/>
  <c r="J219" i="173"/>
  <c r="K214" i="176"/>
  <c r="M217" i="173"/>
  <c r="K220" i="173"/>
  <c r="L214" i="176"/>
  <c r="L216" i="176"/>
  <c r="I248" i="173"/>
  <c r="J224" i="176"/>
  <c r="I247" i="176"/>
  <c r="I251" i="176"/>
  <c r="L216" i="173"/>
  <c r="M216" i="173" s="1"/>
  <c r="I246" i="173"/>
  <c r="K226" i="176"/>
  <c r="L217" i="173"/>
  <c r="I248" i="176"/>
  <c r="J225" i="176"/>
  <c r="K223" i="176"/>
  <c r="J219" i="176"/>
  <c r="J212" i="176"/>
  <c r="J251" i="176"/>
  <c r="J213" i="173"/>
  <c r="I244" i="173"/>
  <c r="J220" i="176"/>
  <c r="K211" i="173"/>
  <c r="J227" i="176"/>
  <c r="I249" i="176"/>
  <c r="K218" i="173"/>
  <c r="J218" i="176"/>
  <c r="J215" i="176"/>
  <c r="J248" i="173"/>
  <c r="I257" i="176"/>
  <c r="I252" i="176"/>
  <c r="I253" i="176"/>
  <c r="I254" i="176"/>
  <c r="I221" i="176"/>
  <c r="I242" i="173"/>
  <c r="I260" i="176"/>
  <c r="I255" i="176"/>
  <c r="I246" i="176"/>
  <c r="I258" i="176"/>
  <c r="I262" i="176"/>
  <c r="I213" i="176"/>
  <c r="I217" i="176"/>
  <c r="I211" i="176"/>
  <c r="I250" i="176"/>
  <c r="I261" i="176"/>
  <c r="I259" i="176"/>
  <c r="I240" i="173"/>
  <c r="I222" i="176"/>
  <c r="H198" i="173"/>
  <c r="I198" i="173" s="1"/>
  <c r="H270" i="173"/>
  <c r="J205" i="173"/>
  <c r="K205" i="173" s="1"/>
  <c r="J207" i="173"/>
  <c r="K207" i="173" s="1"/>
  <c r="K209" i="176"/>
  <c r="L209" i="176" s="1"/>
  <c r="I233" i="173"/>
  <c r="I237" i="173"/>
  <c r="J210" i="176"/>
  <c r="I240" i="176"/>
  <c r="J240" i="176" s="1"/>
  <c r="I235" i="173"/>
  <c r="I234" i="173"/>
  <c r="I205" i="176"/>
  <c r="J205" i="176" s="1"/>
  <c r="I244" i="176"/>
  <c r="J244" i="176" s="1"/>
  <c r="L208" i="176"/>
  <c r="M206" i="173"/>
  <c r="N206" i="173" s="1"/>
  <c r="O206" i="173" s="1"/>
  <c r="P206" i="173" s="1"/>
  <c r="I243" i="176"/>
  <c r="J243" i="176" s="1"/>
  <c r="M242" i="176"/>
  <c r="K206" i="176"/>
  <c r="L206" i="176" s="1"/>
  <c r="M206" i="176" s="1"/>
  <c r="I208" i="173"/>
  <c r="H232" i="173"/>
  <c r="I236" i="173"/>
  <c r="J236" i="173" s="1"/>
  <c r="I209" i="173"/>
  <c r="J209" i="173" s="1"/>
  <c r="I210" i="173"/>
  <c r="J210" i="173" s="1"/>
  <c r="K204" i="176"/>
  <c r="I207" i="176"/>
  <c r="I204" i="173"/>
  <c r="H266" i="173"/>
  <c r="I266" i="173" s="1"/>
  <c r="J229" i="173"/>
  <c r="K229" i="173" s="1"/>
  <c r="H256" i="173"/>
  <c r="I256" i="173" s="1"/>
  <c r="H258" i="173"/>
  <c r="I258" i="173" s="1"/>
  <c r="H247" i="173"/>
  <c r="H263" i="173"/>
  <c r="H245" i="176"/>
  <c r="H239" i="176"/>
  <c r="Z172" i="176"/>
  <c r="AA168" i="176" s="1"/>
  <c r="AA170" i="176" s="1"/>
  <c r="AA171" i="176" s="1"/>
  <c r="AA178" i="176"/>
  <c r="AB174" i="176" s="1"/>
  <c r="AB176" i="176" s="1"/>
  <c r="AB177" i="176" s="1"/>
  <c r="H243" i="173"/>
  <c r="H238" i="173"/>
  <c r="H241" i="173"/>
  <c r="H289" i="176"/>
  <c r="H241" i="176"/>
  <c r="H245" i="173"/>
  <c r="H239" i="173"/>
  <c r="H256" i="176"/>
  <c r="I234" i="176"/>
  <c r="J234" i="176" s="1"/>
  <c r="AJ405" i="176"/>
  <c r="Z134" i="173"/>
  <c r="F294" i="176"/>
  <c r="H294" i="176" s="1"/>
  <c r="Z148" i="176"/>
  <c r="AA144" i="176" s="1"/>
  <c r="M203" i="176"/>
  <c r="F295" i="176"/>
  <c r="H295" i="176" s="1"/>
  <c r="K202" i="176"/>
  <c r="F281" i="176"/>
  <c r="H281" i="176" s="1"/>
  <c r="Y172" i="173"/>
  <c r="Z168" i="173" s="1"/>
  <c r="F283" i="176"/>
  <c r="H283" i="176" s="1"/>
  <c r="F260" i="173"/>
  <c r="C310" i="173" a="1"/>
  <c r="I238" i="176"/>
  <c r="AA140" i="176"/>
  <c r="AA141" i="176" s="1"/>
  <c r="I228" i="173"/>
  <c r="AC130" i="173"/>
  <c r="AD126" i="173" s="1"/>
  <c r="J203" i="173"/>
  <c r="K203" i="173" s="1"/>
  <c r="I230" i="173"/>
  <c r="Z158" i="173"/>
  <c r="Z159" i="173" s="1"/>
  <c r="F275" i="176"/>
  <c r="H275" i="176" s="1"/>
  <c r="F264" i="173"/>
  <c r="AB158" i="176"/>
  <c r="AB159" i="176" s="1"/>
  <c r="F277" i="176"/>
  <c r="E292" i="173"/>
  <c r="F292" i="173" s="1"/>
  <c r="E285" i="173"/>
  <c r="F285" i="173" s="1"/>
  <c r="E301" i="173"/>
  <c r="E284" i="173"/>
  <c r="E286" i="173"/>
  <c r="F286" i="173" s="1"/>
  <c r="E290" i="173"/>
  <c r="E304" i="173"/>
  <c r="F304" i="173" s="1"/>
  <c r="E296" i="173"/>
  <c r="E303" i="173"/>
  <c r="E291" i="173"/>
  <c r="E283" i="173"/>
  <c r="F283" i="173" s="1"/>
  <c r="E287" i="173"/>
  <c r="F287" i="173" s="1"/>
  <c r="E297" i="173"/>
  <c r="E293" i="173"/>
  <c r="F293" i="173" s="1"/>
  <c r="E295" i="173"/>
  <c r="E299" i="173"/>
  <c r="E300" i="173"/>
  <c r="E302" i="173"/>
  <c r="E298" i="173"/>
  <c r="E294" i="173"/>
  <c r="F294" i="173" s="1"/>
  <c r="C282" i="173"/>
  <c r="E289" i="173"/>
  <c r="E288" i="173"/>
  <c r="F270" i="176"/>
  <c r="H270" i="176" s="1"/>
  <c r="F265" i="173"/>
  <c r="H265" i="173" s="1"/>
  <c r="I265" i="173" s="1"/>
  <c r="F286" i="176"/>
  <c r="F275" i="173"/>
  <c r="I227" i="173"/>
  <c r="F292" i="176"/>
  <c r="H292" i="176" s="1"/>
  <c r="F271" i="176"/>
  <c r="H271" i="176" s="1"/>
  <c r="I271" i="176" s="1"/>
  <c r="F257" i="173"/>
  <c r="H257" i="173" s="1"/>
  <c r="E249" i="173"/>
  <c r="F226" i="173"/>
  <c r="F249" i="173" s="1"/>
  <c r="K201" i="176"/>
  <c r="L201" i="176" s="1"/>
  <c r="F273" i="176"/>
  <c r="H273" i="176" s="1"/>
  <c r="AA123" i="173"/>
  <c r="AA124" i="173"/>
  <c r="AB120" i="173" s="1"/>
  <c r="I231" i="173"/>
  <c r="F272" i="176"/>
  <c r="H272" i="176" s="1"/>
  <c r="AE580" i="176"/>
  <c r="M202" i="173"/>
  <c r="AA154" i="176"/>
  <c r="AB150" i="176" s="1"/>
  <c r="F293" i="176"/>
  <c r="H293" i="176" s="1"/>
  <c r="F291" i="176"/>
  <c r="H291" i="176" s="1"/>
  <c r="Z148" i="173"/>
  <c r="AA144" i="173" s="1"/>
  <c r="F271" i="173"/>
  <c r="H271" i="173" s="1"/>
  <c r="AB129" i="176"/>
  <c r="F269" i="173"/>
  <c r="AB130" i="176"/>
  <c r="AC126" i="176" s="1"/>
  <c r="Y142" i="173"/>
  <c r="Z138" i="173" s="1"/>
  <c r="F259" i="173"/>
  <c r="H259" i="173" s="1"/>
  <c r="F290" i="176"/>
  <c r="H290" i="176" s="1"/>
  <c r="F285" i="176"/>
  <c r="H285" i="176" s="1"/>
  <c r="F288" i="176"/>
  <c r="J235" i="176"/>
  <c r="K235" i="176" s="1"/>
  <c r="E263" i="176"/>
  <c r="F233" i="176"/>
  <c r="F263" i="176" s="1"/>
  <c r="F278" i="176"/>
  <c r="AG510" i="176"/>
  <c r="K200" i="176"/>
  <c r="K199" i="173"/>
  <c r="K199" i="176"/>
  <c r="K200" i="173"/>
  <c r="Z141" i="176"/>
  <c r="AB152" i="173"/>
  <c r="AB153" i="173" s="1"/>
  <c r="F269" i="176"/>
  <c r="H269" i="176" s="1"/>
  <c r="F273" i="173"/>
  <c r="H273" i="173" s="1"/>
  <c r="AF545" i="176"/>
  <c r="E329" i="176"/>
  <c r="E319" i="176"/>
  <c r="E330" i="176"/>
  <c r="E314" i="176"/>
  <c r="E321" i="176"/>
  <c r="E317" i="176"/>
  <c r="F317" i="176" s="1"/>
  <c r="E326" i="176"/>
  <c r="E325" i="176"/>
  <c r="E304" i="176"/>
  <c r="E318" i="176"/>
  <c r="E306" i="176"/>
  <c r="E327" i="176"/>
  <c r="E308" i="176"/>
  <c r="E332" i="176"/>
  <c r="E310" i="176"/>
  <c r="E312" i="176"/>
  <c r="E313" i="176"/>
  <c r="F313" i="176" s="1"/>
  <c r="E309" i="176"/>
  <c r="E323" i="176"/>
  <c r="E307" i="176"/>
  <c r="E320" i="176"/>
  <c r="F320" i="176" s="1"/>
  <c r="E316" i="176"/>
  <c r="E305" i="176"/>
  <c r="E311" i="176"/>
  <c r="E324" i="176"/>
  <c r="E322" i="176"/>
  <c r="E315" i="176"/>
  <c r="F315" i="176" s="1"/>
  <c r="E331" i="176"/>
  <c r="C303" i="176"/>
  <c r="E328" i="176"/>
  <c r="F297" i="176"/>
  <c r="H297" i="176" s="1"/>
  <c r="Z166" i="173"/>
  <c r="AA162" i="173" s="1"/>
  <c r="AK370" i="176"/>
  <c r="C338" i="176" a="1"/>
  <c r="F279" i="176"/>
  <c r="F276" i="176"/>
  <c r="H276" i="176" s="1"/>
  <c r="I276" i="176" s="1"/>
  <c r="F280" i="176"/>
  <c r="F282" i="176"/>
  <c r="F261" i="173"/>
  <c r="AH475" i="176"/>
  <c r="F255" i="173"/>
  <c r="H255" i="173" s="1"/>
  <c r="F262" i="173"/>
  <c r="J201" i="173"/>
  <c r="AA164" i="176"/>
  <c r="AA165" i="176" s="1"/>
  <c r="I236" i="176"/>
  <c r="J236" i="176" s="1"/>
  <c r="F274" i="176"/>
  <c r="F284" i="176"/>
  <c r="H284" i="176" s="1"/>
  <c r="F272" i="173"/>
  <c r="H272" i="173" s="1"/>
  <c r="F268" i="173"/>
  <c r="AC122" i="176"/>
  <c r="AC124" i="176" s="1"/>
  <c r="AD120" i="176" s="1"/>
  <c r="AA135" i="176"/>
  <c r="E254" i="173"/>
  <c r="F274" i="173"/>
  <c r="AB178" i="173"/>
  <c r="AC174" i="173" s="1"/>
  <c r="AB134" i="176"/>
  <c r="AB135" i="176" s="1"/>
  <c r="I237" i="176"/>
  <c r="J237" i="176" s="1"/>
  <c r="AI440" i="176"/>
  <c r="E268" i="176"/>
  <c r="F228" i="176"/>
  <c r="H198" i="176"/>
  <c r="M214" i="176" l="1"/>
  <c r="N214" i="176" s="1"/>
  <c r="N216" i="173"/>
  <c r="O216" i="173" s="1"/>
  <c r="K219" i="173"/>
  <c r="L219" i="173" s="1"/>
  <c r="M219" i="173" s="1"/>
  <c r="J211" i="176"/>
  <c r="K211" i="176" s="1"/>
  <c r="K225" i="176"/>
  <c r="J247" i="176"/>
  <c r="F302" i="173"/>
  <c r="H302" i="173" s="1"/>
  <c r="J221" i="176"/>
  <c r="J222" i="176"/>
  <c r="L212" i="173"/>
  <c r="M216" i="176"/>
  <c r="L223" i="176"/>
  <c r="J213" i="176"/>
  <c r="K213" i="176" s="1"/>
  <c r="J258" i="176"/>
  <c r="F295" i="173"/>
  <c r="H295" i="173" s="1"/>
  <c r="F297" i="173"/>
  <c r="H297" i="173" s="1"/>
  <c r="J246" i="176"/>
  <c r="K246" i="176" s="1"/>
  <c r="F325" i="176"/>
  <c r="H325" i="176" s="1"/>
  <c r="J255" i="176"/>
  <c r="L211" i="173"/>
  <c r="N217" i="173"/>
  <c r="I287" i="176"/>
  <c r="J244" i="173"/>
  <c r="K214" i="173"/>
  <c r="J259" i="176"/>
  <c r="K259" i="176" s="1"/>
  <c r="K212" i="176"/>
  <c r="K224" i="176"/>
  <c r="J253" i="176"/>
  <c r="L215" i="173"/>
  <c r="K227" i="176"/>
  <c r="J248" i="176"/>
  <c r="K251" i="176"/>
  <c r="K248" i="173"/>
  <c r="L248" i="173" s="1"/>
  <c r="M248" i="173" s="1"/>
  <c r="I270" i="173"/>
  <c r="J270" i="173" s="1"/>
  <c r="K270" i="173" s="1"/>
  <c r="I273" i="173"/>
  <c r="J273" i="173" s="1"/>
  <c r="L220" i="173"/>
  <c r="K219" i="176"/>
  <c r="I281" i="176"/>
  <c r="J281" i="176" s="1"/>
  <c r="K281" i="176" s="1"/>
  <c r="L226" i="176"/>
  <c r="J254" i="176"/>
  <c r="K254" i="176" s="1"/>
  <c r="K213" i="173"/>
  <c r="K218" i="176"/>
  <c r="L218" i="173"/>
  <c r="H317" i="176"/>
  <c r="J217" i="176"/>
  <c r="I296" i="176"/>
  <c r="J246" i="173"/>
  <c r="J262" i="176"/>
  <c r="K215" i="176"/>
  <c r="J242" i="173"/>
  <c r="I267" i="173"/>
  <c r="K220" i="176"/>
  <c r="J260" i="176"/>
  <c r="I292" i="176"/>
  <c r="J261" i="176"/>
  <c r="I272" i="173"/>
  <c r="J272" i="173" s="1"/>
  <c r="K272" i="173" s="1"/>
  <c r="J257" i="176"/>
  <c r="I293" i="176"/>
  <c r="J240" i="173"/>
  <c r="J249" i="176"/>
  <c r="J250" i="176"/>
  <c r="J252" i="176"/>
  <c r="H315" i="176"/>
  <c r="I315" i="176" s="1"/>
  <c r="J315" i="176" s="1"/>
  <c r="J198" i="173"/>
  <c r="K198" i="173" s="1"/>
  <c r="I290" i="176"/>
  <c r="I276" i="173"/>
  <c r="J276" i="173" s="1"/>
  <c r="I291" i="176"/>
  <c r="I243" i="173"/>
  <c r="I289" i="176"/>
  <c r="I294" i="176"/>
  <c r="I256" i="176"/>
  <c r="I239" i="173"/>
  <c r="I297" i="176"/>
  <c r="I295" i="176"/>
  <c r="H221" i="173"/>
  <c r="H44" i="173" s="1"/>
  <c r="H45" i="173" s="1"/>
  <c r="I241" i="173"/>
  <c r="I283" i="176"/>
  <c r="I285" i="176"/>
  <c r="I247" i="173"/>
  <c r="I245" i="173"/>
  <c r="J245" i="173" s="1"/>
  <c r="I284" i="176"/>
  <c r="I271" i="173"/>
  <c r="J271" i="173" s="1"/>
  <c r="H313" i="176"/>
  <c r="I313" i="176" s="1"/>
  <c r="H320" i="176"/>
  <c r="H304" i="173"/>
  <c r="L207" i="173"/>
  <c r="M207" i="173" s="1"/>
  <c r="L229" i="173"/>
  <c r="M229" i="173" s="1"/>
  <c r="L205" i="173"/>
  <c r="M205" i="173" s="1"/>
  <c r="K244" i="176"/>
  <c r="L244" i="176" s="1"/>
  <c r="L204" i="176"/>
  <c r="M204" i="176" s="1"/>
  <c r="N204" i="176" s="1"/>
  <c r="J265" i="173"/>
  <c r="J204" i="173"/>
  <c r="I275" i="176"/>
  <c r="J275" i="176" s="1"/>
  <c r="I238" i="173"/>
  <c r="J238" i="173" s="1"/>
  <c r="N206" i="176"/>
  <c r="O206" i="176" s="1"/>
  <c r="Q206" i="173"/>
  <c r="R206" i="173" s="1"/>
  <c r="H292" i="173"/>
  <c r="I245" i="176"/>
  <c r="K209" i="173"/>
  <c r="L209" i="173" s="1"/>
  <c r="J235" i="173"/>
  <c r="K235" i="173" s="1"/>
  <c r="J233" i="173"/>
  <c r="H293" i="173"/>
  <c r="K210" i="173"/>
  <c r="J234" i="173"/>
  <c r="I241" i="176"/>
  <c r="J241" i="176" s="1"/>
  <c r="J207" i="176"/>
  <c r="I239" i="176"/>
  <c r="J239" i="176" s="1"/>
  <c r="K239" i="176" s="1"/>
  <c r="I263" i="173"/>
  <c r="K236" i="173"/>
  <c r="J266" i="173"/>
  <c r="K266" i="173" s="1"/>
  <c r="J237" i="173"/>
  <c r="M208" i="176"/>
  <c r="I232" i="173"/>
  <c r="J232" i="173" s="1"/>
  <c r="N242" i="176"/>
  <c r="O242" i="176" s="1"/>
  <c r="J276" i="176"/>
  <c r="K240" i="176"/>
  <c r="L240" i="176" s="1"/>
  <c r="I221" i="173"/>
  <c r="I44" i="173" s="1"/>
  <c r="K243" i="176"/>
  <c r="L243" i="176" s="1"/>
  <c r="K205" i="176"/>
  <c r="J208" i="173"/>
  <c r="K210" i="176"/>
  <c r="M209" i="176"/>
  <c r="N209" i="176" s="1"/>
  <c r="J256" i="173"/>
  <c r="K256" i="173" s="1"/>
  <c r="H285" i="173"/>
  <c r="I285" i="173" s="1"/>
  <c r="J258" i="173"/>
  <c r="K258" i="173" s="1"/>
  <c r="J238" i="176"/>
  <c r="L200" i="173"/>
  <c r="M200" i="173" s="1"/>
  <c r="AB154" i="173"/>
  <c r="AC150" i="173" s="1"/>
  <c r="AC152" i="173" s="1"/>
  <c r="H278" i="176"/>
  <c r="H280" i="176"/>
  <c r="H264" i="173"/>
  <c r="H288" i="176"/>
  <c r="H274" i="173"/>
  <c r="H262" i="173"/>
  <c r="H294" i="173"/>
  <c r="H268" i="173"/>
  <c r="AA166" i="176"/>
  <c r="AB162" i="176" s="1"/>
  <c r="AB164" i="176" s="1"/>
  <c r="AB165" i="176" s="1"/>
  <c r="H287" i="173"/>
  <c r="I287" i="173" s="1"/>
  <c r="AB178" i="176"/>
  <c r="AC174" i="176" s="1"/>
  <c r="H277" i="176"/>
  <c r="H269" i="173"/>
  <c r="H274" i="176"/>
  <c r="H286" i="176"/>
  <c r="H233" i="176"/>
  <c r="I233" i="176" s="1"/>
  <c r="H260" i="173"/>
  <c r="H261" i="173"/>
  <c r="H275" i="173"/>
  <c r="H282" i="176"/>
  <c r="H279" i="176"/>
  <c r="AD122" i="176"/>
  <c r="AD124" i="176" s="1"/>
  <c r="AE120" i="176" s="1"/>
  <c r="I273" i="176"/>
  <c r="J273" i="176" s="1"/>
  <c r="K273" i="176" s="1"/>
  <c r="F288" i="173"/>
  <c r="H288" i="173" s="1"/>
  <c r="AI475" i="176"/>
  <c r="F329" i="176"/>
  <c r="F289" i="173"/>
  <c r="E303" i="176"/>
  <c r="E344" i="176"/>
  <c r="F344" i="176" s="1"/>
  <c r="E357" i="176"/>
  <c r="E349" i="176"/>
  <c r="E346" i="176"/>
  <c r="E343" i="176"/>
  <c r="E339" i="176"/>
  <c r="E367" i="176"/>
  <c r="F367" i="176" s="1"/>
  <c r="E358" i="176"/>
  <c r="E348" i="176"/>
  <c r="F348" i="176" s="1"/>
  <c r="E363" i="176"/>
  <c r="E359" i="176"/>
  <c r="E355" i="176"/>
  <c r="E360" i="176"/>
  <c r="E353" i="176"/>
  <c r="E366" i="176"/>
  <c r="E347" i="176"/>
  <c r="E352" i="176"/>
  <c r="E354" i="176"/>
  <c r="E350" i="176"/>
  <c r="E340" i="176"/>
  <c r="E351" i="176"/>
  <c r="E345" i="176"/>
  <c r="E342" i="176"/>
  <c r="E341" i="176"/>
  <c r="C338" i="176"/>
  <c r="E365" i="176"/>
  <c r="E362" i="176"/>
  <c r="F362" i="176" s="1"/>
  <c r="E361" i="176"/>
  <c r="E364" i="176"/>
  <c r="E356" i="176"/>
  <c r="H228" i="176"/>
  <c r="H44" i="176" s="1"/>
  <c r="I198" i="176"/>
  <c r="F311" i="176"/>
  <c r="H311" i="176" s="1"/>
  <c r="F321" i="176"/>
  <c r="H321" i="176" s="1"/>
  <c r="I257" i="173"/>
  <c r="Z135" i="173"/>
  <c r="K234" i="176"/>
  <c r="L234" i="176" s="1"/>
  <c r="AC176" i="173"/>
  <c r="F305" i="176"/>
  <c r="H305" i="176" s="1"/>
  <c r="F314" i="176"/>
  <c r="H314" i="176" s="1"/>
  <c r="L235" i="176"/>
  <c r="Z136" i="173"/>
  <c r="AA132" i="173" s="1"/>
  <c r="E282" i="173"/>
  <c r="AA172" i="176"/>
  <c r="AB168" i="176" s="1"/>
  <c r="F312" i="176"/>
  <c r="F331" i="176"/>
  <c r="H331" i="176" s="1"/>
  <c r="Z140" i="173"/>
  <c r="Z141" i="173" s="1"/>
  <c r="J231" i="173"/>
  <c r="J228" i="173"/>
  <c r="K228" i="173" s="1"/>
  <c r="L202" i="176"/>
  <c r="M202" i="176" s="1"/>
  <c r="N202" i="176" s="1"/>
  <c r="AA146" i="176"/>
  <c r="AA147" i="176" s="1"/>
  <c r="F332" i="176"/>
  <c r="H332" i="176" s="1"/>
  <c r="H226" i="173"/>
  <c r="F301" i="173"/>
  <c r="E329" i="173"/>
  <c r="E332" i="173"/>
  <c r="F332" i="173" s="1"/>
  <c r="E322" i="173"/>
  <c r="E331" i="173"/>
  <c r="E326" i="173"/>
  <c r="E321" i="173"/>
  <c r="E323" i="173"/>
  <c r="E324" i="173"/>
  <c r="E312" i="173"/>
  <c r="E313" i="173"/>
  <c r="E311" i="173"/>
  <c r="E316" i="173"/>
  <c r="E315" i="173"/>
  <c r="E314" i="173"/>
  <c r="E327" i="173"/>
  <c r="E320" i="173"/>
  <c r="E325" i="173"/>
  <c r="F325" i="173" s="1"/>
  <c r="E319" i="173"/>
  <c r="F319" i="173" s="1"/>
  <c r="E330" i="173"/>
  <c r="E317" i="173"/>
  <c r="E328" i="173"/>
  <c r="E318" i="173"/>
  <c r="C310" i="173"/>
  <c r="I255" i="173"/>
  <c r="F316" i="176"/>
  <c r="H316" i="176" s="1"/>
  <c r="F291" i="173"/>
  <c r="F299" i="173"/>
  <c r="H299" i="173" s="1"/>
  <c r="F296" i="173"/>
  <c r="Z170" i="173"/>
  <c r="Z171" i="173" s="1"/>
  <c r="I259" i="173"/>
  <c r="F290" i="173"/>
  <c r="AC123" i="176"/>
  <c r="I272" i="176"/>
  <c r="AB152" i="176"/>
  <c r="AB153" i="176" s="1"/>
  <c r="F310" i="176"/>
  <c r="F284" i="173"/>
  <c r="H284" i="173" s="1"/>
  <c r="L200" i="176"/>
  <c r="K236" i="176"/>
  <c r="F308" i="176"/>
  <c r="H308" i="176" s="1"/>
  <c r="AB122" i="173"/>
  <c r="C338" i="173" a="1"/>
  <c r="F327" i="176"/>
  <c r="H327" i="176" s="1"/>
  <c r="J271" i="176"/>
  <c r="J230" i="173"/>
  <c r="AJ440" i="176"/>
  <c r="N202" i="173"/>
  <c r="F300" i="173"/>
  <c r="H300" i="173" s="1"/>
  <c r="AA142" i="176"/>
  <c r="AB138" i="176" s="1"/>
  <c r="AF580" i="176"/>
  <c r="F303" i="173"/>
  <c r="H303" i="173" s="1"/>
  <c r="AA164" i="173"/>
  <c r="AA165" i="173" s="1"/>
  <c r="F307" i="176"/>
  <c r="H307" i="176" s="1"/>
  <c r="N203" i="176"/>
  <c r="F323" i="176"/>
  <c r="F309" i="176"/>
  <c r="H309" i="176" s="1"/>
  <c r="Z160" i="173"/>
  <c r="AA156" i="173" s="1"/>
  <c r="AC128" i="176"/>
  <c r="AC129" i="176" s="1"/>
  <c r="AA146" i="173"/>
  <c r="AA147" i="173" s="1"/>
  <c r="H283" i="173"/>
  <c r="K237" i="176"/>
  <c r="K201" i="173"/>
  <c r="AK405" i="176"/>
  <c r="C373" i="176" a="1"/>
  <c r="F318" i="176"/>
  <c r="L199" i="176"/>
  <c r="F328" i="176"/>
  <c r="F322" i="176"/>
  <c r="F304" i="176"/>
  <c r="H304" i="176" s="1"/>
  <c r="I269" i="176"/>
  <c r="AB136" i="176"/>
  <c r="AC132" i="176" s="1"/>
  <c r="M201" i="176"/>
  <c r="N201" i="176" s="1"/>
  <c r="O201" i="176" s="1"/>
  <c r="P201" i="176" s="1"/>
  <c r="Q201" i="176" s="1"/>
  <c r="R201" i="176" s="1"/>
  <c r="S201" i="176" s="1"/>
  <c r="T201" i="176" s="1"/>
  <c r="U201" i="176" s="1"/>
  <c r="V201" i="176" s="1"/>
  <c r="W201" i="176" s="1"/>
  <c r="X201" i="176" s="1"/>
  <c r="Y201" i="176" s="1"/>
  <c r="Z201" i="176" s="1"/>
  <c r="AA201" i="176" s="1"/>
  <c r="AB201" i="176" s="1"/>
  <c r="AC201" i="176" s="1"/>
  <c r="AD201" i="176" s="1"/>
  <c r="AE201" i="176" s="1"/>
  <c r="AF201" i="176" s="1"/>
  <c r="AG201" i="176" s="1"/>
  <c r="AH201" i="176" s="1"/>
  <c r="AI201" i="176" s="1"/>
  <c r="AJ201" i="176" s="1"/>
  <c r="AK201" i="176" s="1"/>
  <c r="F298" i="173"/>
  <c r="F330" i="176"/>
  <c r="H330" i="176" s="1"/>
  <c r="F319" i="176"/>
  <c r="H319" i="176" s="1"/>
  <c r="L203" i="173"/>
  <c r="M203" i="173" s="1"/>
  <c r="AH510" i="176"/>
  <c r="AB160" i="176"/>
  <c r="AC156" i="176" s="1"/>
  <c r="F306" i="176"/>
  <c r="H306" i="176" s="1"/>
  <c r="I270" i="176"/>
  <c r="AG545" i="176"/>
  <c r="AD128" i="173"/>
  <c r="AD129" i="173" s="1"/>
  <c r="F254" i="173"/>
  <c r="F277" i="173" s="1"/>
  <c r="E277" i="173"/>
  <c r="F326" i="176"/>
  <c r="L199" i="173"/>
  <c r="H286" i="173"/>
  <c r="I286" i="173" s="1"/>
  <c r="J227" i="173"/>
  <c r="F268" i="176"/>
  <c r="E298" i="176"/>
  <c r="F324" i="176"/>
  <c r="H324" i="176" s="1"/>
  <c r="L254" i="176" l="1"/>
  <c r="M215" i="173"/>
  <c r="L224" i="176"/>
  <c r="M224" i="176" s="1"/>
  <c r="J256" i="176"/>
  <c r="K261" i="176"/>
  <c r="L261" i="176" s="1"/>
  <c r="K255" i="176"/>
  <c r="K247" i="176"/>
  <c r="K242" i="173"/>
  <c r="L242" i="173" s="1"/>
  <c r="M242" i="173"/>
  <c r="M223" i="176"/>
  <c r="L219" i="176"/>
  <c r="J239" i="173"/>
  <c r="K239" i="173" s="1"/>
  <c r="L212" i="176"/>
  <c r="M212" i="176"/>
  <c r="L259" i="176"/>
  <c r="L247" i="176"/>
  <c r="J243" i="173"/>
  <c r="J291" i="176"/>
  <c r="M254" i="176"/>
  <c r="K222" i="176"/>
  <c r="P216" i="173"/>
  <c r="Q216" i="173" s="1"/>
  <c r="O217" i="173"/>
  <c r="F324" i="173"/>
  <c r="J290" i="176"/>
  <c r="K221" i="176"/>
  <c r="L221" i="176" s="1"/>
  <c r="O214" i="176"/>
  <c r="K258" i="176"/>
  <c r="L258" i="176" s="1"/>
  <c r="M212" i="173"/>
  <c r="J247" i="173"/>
  <c r="N216" i="176"/>
  <c r="N219" i="173"/>
  <c r="L251" i="176"/>
  <c r="L218" i="176"/>
  <c r="F354" i="176"/>
  <c r="K260" i="176"/>
  <c r="N248" i="173"/>
  <c r="O248" i="173" s="1"/>
  <c r="J287" i="176"/>
  <c r="F366" i="176"/>
  <c r="H366" i="176" s="1"/>
  <c r="J295" i="176"/>
  <c r="F353" i="176"/>
  <c r="H353" i="176" s="1"/>
  <c r="K244" i="173"/>
  <c r="J292" i="176"/>
  <c r="J293" i="176"/>
  <c r="L225" i="176"/>
  <c r="I302" i="173"/>
  <c r="J302" i="173" s="1"/>
  <c r="J284" i="176"/>
  <c r="K284" i="176" s="1"/>
  <c r="K248" i="176"/>
  <c r="M226" i="176"/>
  <c r="M211" i="173"/>
  <c r="N211" i="173" s="1"/>
  <c r="L213" i="173"/>
  <c r="L214" i="173"/>
  <c r="L227" i="176"/>
  <c r="M218" i="173"/>
  <c r="L213" i="176"/>
  <c r="M213" i="176" s="1"/>
  <c r="K253" i="176"/>
  <c r="L215" i="176"/>
  <c r="M220" i="173"/>
  <c r="L246" i="176"/>
  <c r="L220" i="176"/>
  <c r="K240" i="173"/>
  <c r="J267" i="173"/>
  <c r="K267" i="173" s="1"/>
  <c r="K257" i="176"/>
  <c r="K262" i="176"/>
  <c r="L211" i="176"/>
  <c r="M211" i="176"/>
  <c r="K246" i="173"/>
  <c r="K252" i="176"/>
  <c r="K250" i="176"/>
  <c r="J296" i="176"/>
  <c r="J289" i="176"/>
  <c r="K289" i="176" s="1"/>
  <c r="I317" i="176"/>
  <c r="L198" i="173"/>
  <c r="M198" i="173" s="1"/>
  <c r="N198" i="173" s="1"/>
  <c r="L281" i="176"/>
  <c r="M281" i="176" s="1"/>
  <c r="K217" i="176"/>
  <c r="L272" i="173"/>
  <c r="J294" i="176"/>
  <c r="I295" i="173"/>
  <c r="J285" i="176"/>
  <c r="L270" i="173"/>
  <c r="K273" i="173"/>
  <c r="L273" i="173" s="1"/>
  <c r="J297" i="176"/>
  <c r="I303" i="173"/>
  <c r="K249" i="176"/>
  <c r="L249" i="176"/>
  <c r="K271" i="173"/>
  <c r="K276" i="173"/>
  <c r="K245" i="173"/>
  <c r="J241" i="173"/>
  <c r="J283" i="176"/>
  <c r="I300" i="173"/>
  <c r="I332" i="176"/>
  <c r="H46" i="173"/>
  <c r="I42" i="173" s="1"/>
  <c r="I46" i="173" s="1"/>
  <c r="J42" i="173" s="1"/>
  <c r="J313" i="176"/>
  <c r="K313" i="176" s="1"/>
  <c r="H348" i="176"/>
  <c r="I348" i="176" s="1"/>
  <c r="I304" i="173"/>
  <c r="I282" i="176"/>
  <c r="I274" i="173"/>
  <c r="I320" i="176"/>
  <c r="I321" i="176"/>
  <c r="I275" i="173"/>
  <c r="H362" i="176"/>
  <c r="I324" i="176"/>
  <c r="I316" i="176"/>
  <c r="I268" i="173"/>
  <c r="I286" i="176"/>
  <c r="I269" i="173"/>
  <c r="I299" i="173"/>
  <c r="I319" i="176"/>
  <c r="I330" i="176"/>
  <c r="I331" i="176"/>
  <c r="J331" i="176" s="1"/>
  <c r="K331" i="176" s="1"/>
  <c r="H324" i="173"/>
  <c r="I297" i="173"/>
  <c r="I45" i="173"/>
  <c r="I327" i="176"/>
  <c r="I325" i="176"/>
  <c r="I288" i="176"/>
  <c r="H332" i="173"/>
  <c r="H354" i="176"/>
  <c r="M244" i="176"/>
  <c r="N244" i="176" s="1"/>
  <c r="O204" i="176"/>
  <c r="P204" i="176" s="1"/>
  <c r="Q204" i="176" s="1"/>
  <c r="R204" i="176" s="1"/>
  <c r="P206" i="176"/>
  <c r="Q206" i="176" s="1"/>
  <c r="S206" i="173"/>
  <c r="T206" i="173" s="1"/>
  <c r="U206" i="173" s="1"/>
  <c r="N207" i="173"/>
  <c r="O207" i="173" s="1"/>
  <c r="P207" i="173" s="1"/>
  <c r="L239" i="176"/>
  <c r="M239" i="176" s="1"/>
  <c r="K204" i="173"/>
  <c r="O209" i="176"/>
  <c r="P209" i="176" s="1"/>
  <c r="Q209" i="176" s="1"/>
  <c r="J221" i="173"/>
  <c r="J44" i="173" s="1"/>
  <c r="J45" i="173" s="1"/>
  <c r="K265" i="173"/>
  <c r="K234" i="173"/>
  <c r="L234" i="173" s="1"/>
  <c r="N203" i="173"/>
  <c r="O203" i="173" s="1"/>
  <c r="P203" i="173" s="1"/>
  <c r="K276" i="176"/>
  <c r="L276" i="176" s="1"/>
  <c r="J245" i="176"/>
  <c r="K245" i="176" s="1"/>
  <c r="L245" i="176" s="1"/>
  <c r="M243" i="176"/>
  <c r="I314" i="176"/>
  <c r="I274" i="176"/>
  <c r="J274" i="176" s="1"/>
  <c r="I311" i="176"/>
  <c r="I288" i="173"/>
  <c r="J288" i="173" s="1"/>
  <c r="K238" i="173"/>
  <c r="K208" i="173"/>
  <c r="L208" i="173" s="1"/>
  <c r="K275" i="176"/>
  <c r="K207" i="176"/>
  <c r="L207" i="176" s="1"/>
  <c r="L210" i="173"/>
  <c r="I277" i="176"/>
  <c r="M209" i="173"/>
  <c r="N209" i="173" s="1"/>
  <c r="J263" i="173"/>
  <c r="K263" i="173" s="1"/>
  <c r="I293" i="173"/>
  <c r="J293" i="173" s="1"/>
  <c r="L266" i="173"/>
  <c r="I279" i="176"/>
  <c r="L210" i="176"/>
  <c r="K241" i="176"/>
  <c r="I294" i="173"/>
  <c r="J294" i="173" s="1"/>
  <c r="I262" i="173"/>
  <c r="M240" i="176"/>
  <c r="N240" i="176" s="1"/>
  <c r="I292" i="173"/>
  <c r="J292" i="173" s="1"/>
  <c r="N208" i="176"/>
  <c r="O208" i="176" s="1"/>
  <c r="I264" i="173"/>
  <c r="K233" i="173"/>
  <c r="L233" i="173" s="1"/>
  <c r="I280" i="176"/>
  <c r="L235" i="173"/>
  <c r="M235" i="173" s="1"/>
  <c r="P242" i="176"/>
  <c r="L205" i="176"/>
  <c r="M205" i="176" s="1"/>
  <c r="K232" i="173"/>
  <c r="K237" i="173"/>
  <c r="I261" i="173"/>
  <c r="J261" i="173" s="1"/>
  <c r="N205" i="173"/>
  <c r="O205" i="173" s="1"/>
  <c r="P205" i="173" s="1"/>
  <c r="L236" i="173"/>
  <c r="K315" i="176"/>
  <c r="L315" i="176" s="1"/>
  <c r="I260" i="173"/>
  <c r="I278" i="176"/>
  <c r="J278" i="176" s="1"/>
  <c r="K278" i="176" s="1"/>
  <c r="I309" i="176"/>
  <c r="J309" i="176" s="1"/>
  <c r="L201" i="173"/>
  <c r="M201" i="173" s="1"/>
  <c r="N201" i="173" s="1"/>
  <c r="N200" i="173"/>
  <c r="O200" i="173" s="1"/>
  <c r="P200" i="173" s="1"/>
  <c r="Q200" i="173" s="1"/>
  <c r="R200" i="173" s="1"/>
  <c r="S200" i="173" s="1"/>
  <c r="T200" i="173" s="1"/>
  <c r="H263" i="176"/>
  <c r="H50" i="176" s="1"/>
  <c r="H52" i="176" s="1"/>
  <c r="I48" i="176" s="1"/>
  <c r="M234" i="176"/>
  <c r="N234" i="176" s="1"/>
  <c r="O234" i="176" s="1"/>
  <c r="P234" i="176" s="1"/>
  <c r="Q234" i="176" s="1"/>
  <c r="R234" i="176" s="1"/>
  <c r="S234" i="176" s="1"/>
  <c r="T234" i="176" s="1"/>
  <c r="U234" i="176" s="1"/>
  <c r="V234" i="176" s="1"/>
  <c r="W234" i="176" s="1"/>
  <c r="X234" i="176" s="1"/>
  <c r="Y234" i="176" s="1"/>
  <c r="Z234" i="176" s="1"/>
  <c r="AA234" i="176" s="1"/>
  <c r="AB234" i="176" s="1"/>
  <c r="AC234" i="176" s="1"/>
  <c r="J257" i="173"/>
  <c r="I284" i="173"/>
  <c r="J284" i="173" s="1"/>
  <c r="H254" i="173"/>
  <c r="I254" i="173" s="1"/>
  <c r="J254" i="173" s="1"/>
  <c r="K238" i="176"/>
  <c r="L238" i="176" s="1"/>
  <c r="H329" i="176"/>
  <c r="H326" i="176"/>
  <c r="H325" i="173"/>
  <c r="H312" i="176"/>
  <c r="H301" i="173"/>
  <c r="H322" i="176"/>
  <c r="H344" i="176"/>
  <c r="H296" i="173"/>
  <c r="H310" i="176"/>
  <c r="H291" i="173"/>
  <c r="AA166" i="173"/>
  <c r="AB162" i="173" s="1"/>
  <c r="AB164" i="173" s="1"/>
  <c r="AB165" i="173" s="1"/>
  <c r="H319" i="173"/>
  <c r="H289" i="173"/>
  <c r="H323" i="176"/>
  <c r="H298" i="173"/>
  <c r="AC176" i="176"/>
  <c r="AC177" i="176" s="1"/>
  <c r="H290" i="173"/>
  <c r="H328" i="176"/>
  <c r="AA148" i="176"/>
  <c r="AB144" i="176" s="1"/>
  <c r="AB146" i="176" s="1"/>
  <c r="AB147" i="176" s="1"/>
  <c r="Z142" i="173"/>
  <c r="AA138" i="173" s="1"/>
  <c r="AA140" i="173" s="1"/>
  <c r="AA141" i="173" s="1"/>
  <c r="H367" i="176"/>
  <c r="H318" i="176"/>
  <c r="F321" i="173"/>
  <c r="M199" i="173"/>
  <c r="I228" i="176"/>
  <c r="I44" i="176" s="1"/>
  <c r="I45" i="176" s="1"/>
  <c r="J198" i="176"/>
  <c r="K198" i="176" s="1"/>
  <c r="J255" i="173"/>
  <c r="E310" i="173"/>
  <c r="H46" i="176"/>
  <c r="I42" i="176" s="1"/>
  <c r="H45" i="176"/>
  <c r="O202" i="176"/>
  <c r="J259" i="173"/>
  <c r="L256" i="173"/>
  <c r="M256" i="173" s="1"/>
  <c r="N256" i="173" s="1"/>
  <c r="K271" i="176"/>
  <c r="L271" i="176" s="1"/>
  <c r="F317" i="173"/>
  <c r="K231" i="173"/>
  <c r="AG580" i="176"/>
  <c r="L228" i="173"/>
  <c r="M228" i="173" s="1"/>
  <c r="N228" i="173" s="1"/>
  <c r="AA148" i="173"/>
  <c r="AB144" i="173" s="1"/>
  <c r="AB123" i="173"/>
  <c r="AB124" i="173"/>
  <c r="AC120" i="173" s="1"/>
  <c r="C366" i="173" a="1"/>
  <c r="O203" i="176"/>
  <c r="P203" i="176" s="1"/>
  <c r="Q203" i="176" s="1"/>
  <c r="R203" i="176" s="1"/>
  <c r="S203" i="176" s="1"/>
  <c r="T203" i="176" s="1"/>
  <c r="AB154" i="176"/>
  <c r="AC150" i="176" s="1"/>
  <c r="F364" i="176"/>
  <c r="F358" i="176"/>
  <c r="H358" i="176" s="1"/>
  <c r="F361" i="176"/>
  <c r="H361" i="176" s="1"/>
  <c r="F345" i="176"/>
  <c r="H345" i="176" s="1"/>
  <c r="AD130" i="173"/>
  <c r="AC158" i="176"/>
  <c r="F343" i="176"/>
  <c r="H343" i="176" s="1"/>
  <c r="I283" i="173"/>
  <c r="AB140" i="176"/>
  <c r="AB142" i="176" s="1"/>
  <c r="AC138" i="176" s="1"/>
  <c r="O202" i="173"/>
  <c r="P202" i="173" s="1"/>
  <c r="Q202" i="173" s="1"/>
  <c r="R202" i="173" s="1"/>
  <c r="S202" i="173" s="1"/>
  <c r="T202" i="173" s="1"/>
  <c r="U202" i="173" s="1"/>
  <c r="V202" i="173" s="1"/>
  <c r="W202" i="173" s="1"/>
  <c r="X202" i="173" s="1"/>
  <c r="Y202" i="173" s="1"/>
  <c r="Z202" i="173" s="1"/>
  <c r="AA202" i="173" s="1"/>
  <c r="AB202" i="173" s="1"/>
  <c r="AC202" i="173" s="1"/>
  <c r="AD202" i="173" s="1"/>
  <c r="F327" i="173"/>
  <c r="F349" i="176"/>
  <c r="H349" i="176" s="1"/>
  <c r="AC130" i="176"/>
  <c r="AD126" i="176" s="1"/>
  <c r="AA158" i="173"/>
  <c r="AA159" i="173" s="1"/>
  <c r="F329" i="173"/>
  <c r="H329" i="173" s="1"/>
  <c r="I306" i="176"/>
  <c r="F351" i="176"/>
  <c r="F357" i="176"/>
  <c r="AC153" i="173"/>
  <c r="AC154" i="173"/>
  <c r="AD150" i="173" s="1"/>
  <c r="M199" i="176"/>
  <c r="N199" i="176" s="1"/>
  <c r="O199" i="176" s="1"/>
  <c r="P199" i="176" s="1"/>
  <c r="Q199" i="176" s="1"/>
  <c r="R199" i="176" s="1"/>
  <c r="S199" i="176" s="1"/>
  <c r="T199" i="176" s="1"/>
  <c r="U199" i="176" s="1"/>
  <c r="V199" i="176" s="1"/>
  <c r="W199" i="176" s="1"/>
  <c r="X199" i="176" s="1"/>
  <c r="Y199" i="176" s="1"/>
  <c r="Z199" i="176" s="1"/>
  <c r="AA199" i="176" s="1"/>
  <c r="AB199" i="176" s="1"/>
  <c r="AC199" i="176" s="1"/>
  <c r="AD199" i="176" s="1"/>
  <c r="AE199" i="176" s="1"/>
  <c r="AF199" i="176" s="1"/>
  <c r="AG199" i="176" s="1"/>
  <c r="AH199" i="176" s="1"/>
  <c r="AI199" i="176" s="1"/>
  <c r="AJ199" i="176" s="1"/>
  <c r="AK199" i="176" s="1"/>
  <c r="AB166" i="176"/>
  <c r="AC162" i="176" s="1"/>
  <c r="J286" i="173"/>
  <c r="J287" i="173"/>
  <c r="K287" i="173" s="1"/>
  <c r="F363" i="176"/>
  <c r="H363" i="176" s="1"/>
  <c r="AJ475" i="176"/>
  <c r="J270" i="176"/>
  <c r="K270" i="176" s="1"/>
  <c r="I307" i="176"/>
  <c r="F340" i="176"/>
  <c r="H340" i="176" s="1"/>
  <c r="I340" i="176" s="1"/>
  <c r="K227" i="173"/>
  <c r="J269" i="176"/>
  <c r="N229" i="173"/>
  <c r="AC134" i="176"/>
  <c r="AC135" i="176" s="1"/>
  <c r="J272" i="176"/>
  <c r="K272" i="176" s="1"/>
  <c r="I304" i="176"/>
  <c r="J304" i="176" s="1"/>
  <c r="F323" i="173"/>
  <c r="H323" i="173" s="1"/>
  <c r="E355" i="173"/>
  <c r="E359" i="173"/>
  <c r="E342" i="173"/>
  <c r="E353" i="173"/>
  <c r="E343" i="173"/>
  <c r="F343" i="173" s="1"/>
  <c r="E347" i="173"/>
  <c r="E344" i="173"/>
  <c r="E357" i="173"/>
  <c r="E351" i="173"/>
  <c r="E341" i="173"/>
  <c r="F341" i="173" s="1"/>
  <c r="E350" i="173"/>
  <c r="F350" i="173" s="1"/>
  <c r="E360" i="173"/>
  <c r="E348" i="173"/>
  <c r="E349" i="173"/>
  <c r="E345" i="173"/>
  <c r="E346" i="173"/>
  <c r="F346" i="173" s="1"/>
  <c r="E340" i="173"/>
  <c r="F340" i="173" s="1"/>
  <c r="E358" i="173"/>
  <c r="E354" i="173"/>
  <c r="E339" i="173"/>
  <c r="E356" i="173"/>
  <c r="E352" i="173"/>
  <c r="C338" i="173"/>
  <c r="F359" i="176"/>
  <c r="H359" i="176" s="1"/>
  <c r="L236" i="176"/>
  <c r="I305" i="176"/>
  <c r="E399" i="176"/>
  <c r="E396" i="176"/>
  <c r="E376" i="176"/>
  <c r="E390" i="176"/>
  <c r="E383" i="176"/>
  <c r="E397" i="176"/>
  <c r="E381" i="176"/>
  <c r="E382" i="176"/>
  <c r="E401" i="176"/>
  <c r="F401" i="176" s="1"/>
  <c r="E375" i="176"/>
  <c r="E384" i="176"/>
  <c r="E374" i="176"/>
  <c r="F374" i="176" s="1"/>
  <c r="E386" i="176"/>
  <c r="E379" i="176"/>
  <c r="E391" i="176"/>
  <c r="E387" i="176"/>
  <c r="E377" i="176"/>
  <c r="F377" i="176" s="1"/>
  <c r="E393" i="176"/>
  <c r="E378" i="176"/>
  <c r="E402" i="176"/>
  <c r="E394" i="176"/>
  <c r="E380" i="176"/>
  <c r="E389" i="176"/>
  <c r="E400" i="176"/>
  <c r="E395" i="176"/>
  <c r="E392" i="176"/>
  <c r="E385" i="176"/>
  <c r="E388" i="176"/>
  <c r="E398" i="176"/>
  <c r="C373" i="176"/>
  <c r="J285" i="173"/>
  <c r="M235" i="176"/>
  <c r="N235" i="176" s="1"/>
  <c r="O235" i="176" s="1"/>
  <c r="P235" i="176" s="1"/>
  <c r="Q235" i="176" s="1"/>
  <c r="R235" i="176" s="1"/>
  <c r="S235" i="176" s="1"/>
  <c r="T235" i="176" s="1"/>
  <c r="F316" i="173"/>
  <c r="H316" i="173" s="1"/>
  <c r="F350" i="176"/>
  <c r="H350" i="176" s="1"/>
  <c r="I350" i="176" s="1"/>
  <c r="F311" i="173"/>
  <c r="H311" i="173" s="1"/>
  <c r="AC177" i="173"/>
  <c r="AC178" i="173"/>
  <c r="AD174" i="173" s="1"/>
  <c r="L273" i="176"/>
  <c r="M273" i="176" s="1"/>
  <c r="AE122" i="176"/>
  <c r="AE124" i="176" s="1"/>
  <c r="AF120" i="176" s="1"/>
  <c r="F330" i="173"/>
  <c r="F314" i="173"/>
  <c r="H314" i="173" s="1"/>
  <c r="F339" i="176"/>
  <c r="H339" i="176" s="1"/>
  <c r="I308" i="176"/>
  <c r="J308" i="176" s="1"/>
  <c r="F315" i="173"/>
  <c r="H315" i="173" s="1"/>
  <c r="F346" i="176"/>
  <c r="H346" i="176" s="1"/>
  <c r="F313" i="173"/>
  <c r="H313" i="173" s="1"/>
  <c r="I313" i="173" s="1"/>
  <c r="F298" i="176"/>
  <c r="H268" i="176"/>
  <c r="AH545" i="176"/>
  <c r="L258" i="173"/>
  <c r="F312" i="173"/>
  <c r="H312" i="173" s="1"/>
  <c r="F347" i="176"/>
  <c r="H347" i="176" s="1"/>
  <c r="I263" i="176"/>
  <c r="I50" i="176" s="1"/>
  <c r="J233" i="176"/>
  <c r="AI510" i="176"/>
  <c r="AB170" i="176"/>
  <c r="AB171" i="176" s="1"/>
  <c r="K230" i="173"/>
  <c r="F331" i="173"/>
  <c r="H331" i="173" s="1"/>
  <c r="F341" i="176"/>
  <c r="H341" i="176" s="1"/>
  <c r="I341" i="176" s="1"/>
  <c r="F360" i="176"/>
  <c r="H360" i="176" s="1"/>
  <c r="F326" i="173"/>
  <c r="H326" i="173" s="1"/>
  <c r="E333" i="176"/>
  <c r="F303" i="176"/>
  <c r="AK440" i="176"/>
  <c r="C408" i="176" a="1"/>
  <c r="Z172" i="173"/>
  <c r="AA168" i="173" s="1"/>
  <c r="F328" i="173"/>
  <c r="F322" i="173"/>
  <c r="H322" i="173" s="1"/>
  <c r="H249" i="173"/>
  <c r="H50" i="173" s="1"/>
  <c r="I226" i="173"/>
  <c r="J226" i="173" s="1"/>
  <c r="L237" i="176"/>
  <c r="F282" i="173"/>
  <c r="E305" i="173"/>
  <c r="AA134" i="173"/>
  <c r="AA136" i="173" s="1"/>
  <c r="AB132" i="173" s="1"/>
  <c r="F356" i="176"/>
  <c r="F355" i="176"/>
  <c r="H355" i="176" s="1"/>
  <c r="F318" i="173"/>
  <c r="F320" i="173"/>
  <c r="M200" i="176"/>
  <c r="N200" i="176" s="1"/>
  <c r="F342" i="176"/>
  <c r="H342" i="176" s="1"/>
  <c r="AD123" i="176"/>
  <c r="F352" i="176"/>
  <c r="F365" i="176"/>
  <c r="H365" i="176" s="1"/>
  <c r="E338" i="176"/>
  <c r="M221" i="176" l="1"/>
  <c r="N221" i="176" s="1"/>
  <c r="O221" i="176" s="1"/>
  <c r="M246" i="176"/>
  <c r="N246" i="176" s="1"/>
  <c r="M258" i="176"/>
  <c r="N258" i="176" s="1"/>
  <c r="O258" i="176" s="1"/>
  <c r="M225" i="176"/>
  <c r="L267" i="173"/>
  <c r="F397" i="176"/>
  <c r="H397" i="176" s="1"/>
  <c r="M249" i="176"/>
  <c r="N249" i="176"/>
  <c r="O249" i="176" s="1"/>
  <c r="J316" i="176"/>
  <c r="M273" i="173"/>
  <c r="J319" i="176"/>
  <c r="K319" i="176" s="1"/>
  <c r="M259" i="176"/>
  <c r="J268" i="173"/>
  <c r="K268" i="173" s="1"/>
  <c r="J300" i="173"/>
  <c r="L246" i="173"/>
  <c r="K256" i="176"/>
  <c r="L256" i="176" s="1"/>
  <c r="L289" i="176"/>
  <c r="L253" i="176"/>
  <c r="M213" i="173"/>
  <c r="K291" i="176"/>
  <c r="N212" i="176"/>
  <c r="K297" i="176"/>
  <c r="L297" i="176" s="1"/>
  <c r="R216" i="173"/>
  <c r="S216" i="173" s="1"/>
  <c r="N213" i="176"/>
  <c r="F395" i="176"/>
  <c r="H395" i="176" s="1"/>
  <c r="F351" i="173"/>
  <c r="H351" i="173" s="1"/>
  <c r="O211" i="173"/>
  <c r="P211" i="173" s="1"/>
  <c r="F400" i="176"/>
  <c r="H400" i="176" s="1"/>
  <c r="K295" i="176"/>
  <c r="F357" i="173"/>
  <c r="H357" i="173" s="1"/>
  <c r="J286" i="176"/>
  <c r="K286" i="176" s="1"/>
  <c r="F358" i="173"/>
  <c r="H358" i="173" s="1"/>
  <c r="I358" i="173" s="1"/>
  <c r="L260" i="176"/>
  <c r="F391" i="176"/>
  <c r="H391" i="176" s="1"/>
  <c r="M270" i="173"/>
  <c r="L255" i="176"/>
  <c r="M255" i="176" s="1"/>
  <c r="J321" i="176"/>
  <c r="K290" i="176"/>
  <c r="O244" i="176"/>
  <c r="P244" i="176" s="1"/>
  <c r="J288" i="176"/>
  <c r="K288" i="176" s="1"/>
  <c r="K293" i="176"/>
  <c r="L293" i="176" s="1"/>
  <c r="N212" i="173"/>
  <c r="K243" i="173"/>
  <c r="F352" i="173"/>
  <c r="H352" i="173" s="1"/>
  <c r="J269" i="173"/>
  <c r="K269" i="173" s="1"/>
  <c r="L269" i="173" s="1"/>
  <c r="F387" i="176"/>
  <c r="H387" i="176" s="1"/>
  <c r="P214" i="176"/>
  <c r="N215" i="173"/>
  <c r="M215" i="176"/>
  <c r="N215" i="176" s="1"/>
  <c r="L244" i="173"/>
  <c r="M244" i="173" s="1"/>
  <c r="J275" i="173"/>
  <c r="K275" i="173" s="1"/>
  <c r="M272" i="173"/>
  <c r="N272" i="173"/>
  <c r="N218" i="173"/>
  <c r="P248" i="173"/>
  <c r="N220" i="173"/>
  <c r="M219" i="176"/>
  <c r="N219" i="176" s="1"/>
  <c r="J274" i="173"/>
  <c r="K274" i="173" s="1"/>
  <c r="L274" i="173" s="1"/>
  <c r="N223" i="176"/>
  <c r="N281" i="176"/>
  <c r="O281" i="176" s="1"/>
  <c r="L222" i="176"/>
  <c r="M251" i="176"/>
  <c r="O216" i="176"/>
  <c r="L262" i="176"/>
  <c r="K292" i="176"/>
  <c r="J327" i="176"/>
  <c r="P217" i="173"/>
  <c r="M214" i="173"/>
  <c r="N214" i="173" s="1"/>
  <c r="O214" i="173" s="1"/>
  <c r="N226" i="176"/>
  <c r="O226" i="176" s="1"/>
  <c r="K287" i="176"/>
  <c r="K247" i="173"/>
  <c r="M261" i="176"/>
  <c r="L248" i="176"/>
  <c r="M247" i="176"/>
  <c r="J282" i="176"/>
  <c r="M218" i="176"/>
  <c r="N254" i="176"/>
  <c r="O254" i="176" s="1"/>
  <c r="N242" i="173"/>
  <c r="N224" i="176"/>
  <c r="M227" i="176"/>
  <c r="L217" i="176"/>
  <c r="O219" i="173"/>
  <c r="J325" i="176"/>
  <c r="N211" i="176"/>
  <c r="O198" i="173"/>
  <c r="P198" i="173" s="1"/>
  <c r="V206" i="173"/>
  <c r="W206" i="173" s="1"/>
  <c r="X206" i="173" s="1"/>
  <c r="Y206" i="173" s="1"/>
  <c r="Z206" i="173" s="1"/>
  <c r="AA206" i="173" s="1"/>
  <c r="AB206" i="173" s="1"/>
  <c r="AC206" i="173" s="1"/>
  <c r="AD206" i="173" s="1"/>
  <c r="L250" i="176"/>
  <c r="K241" i="173"/>
  <c r="J317" i="176"/>
  <c r="L257" i="176"/>
  <c r="M257" i="176" s="1"/>
  <c r="L240" i="173"/>
  <c r="M220" i="176"/>
  <c r="J295" i="173"/>
  <c r="L245" i="173"/>
  <c r="J304" i="173"/>
  <c r="K304" i="173" s="1"/>
  <c r="L252" i="176"/>
  <c r="K302" i="173"/>
  <c r="L302" i="173" s="1"/>
  <c r="L284" i="176"/>
  <c r="M284" i="176" s="1"/>
  <c r="I366" i="176"/>
  <c r="L239" i="173"/>
  <c r="K294" i="176"/>
  <c r="L276" i="173"/>
  <c r="L271" i="173"/>
  <c r="M271" i="173" s="1"/>
  <c r="K296" i="176"/>
  <c r="L296" i="176" s="1"/>
  <c r="I324" i="173"/>
  <c r="J330" i="176"/>
  <c r="J299" i="173"/>
  <c r="L313" i="176"/>
  <c r="M313" i="176" s="1"/>
  <c r="K285" i="176"/>
  <c r="K283" i="176"/>
  <c r="L283" i="176" s="1"/>
  <c r="J303" i="173"/>
  <c r="J297" i="173"/>
  <c r="L331" i="176"/>
  <c r="J249" i="173"/>
  <c r="J50" i="173" s="1"/>
  <c r="J320" i="176"/>
  <c r="J348" i="176"/>
  <c r="I354" i="176"/>
  <c r="J324" i="176"/>
  <c r="J332" i="176"/>
  <c r="I329" i="173"/>
  <c r="I353" i="176"/>
  <c r="J358" i="173"/>
  <c r="I362" i="176"/>
  <c r="I296" i="173"/>
  <c r="I332" i="173"/>
  <c r="J332" i="173"/>
  <c r="I331" i="173"/>
  <c r="I358" i="176"/>
  <c r="I298" i="173"/>
  <c r="I363" i="176"/>
  <c r="I325" i="173"/>
  <c r="I323" i="176"/>
  <c r="I359" i="176"/>
  <c r="I323" i="173"/>
  <c r="J323" i="173" s="1"/>
  <c r="I322" i="176"/>
  <c r="I301" i="173"/>
  <c r="I367" i="176"/>
  <c r="I329" i="176"/>
  <c r="I361" i="176"/>
  <c r="I365" i="176"/>
  <c r="I318" i="176"/>
  <c r="I328" i="176"/>
  <c r="I355" i="176"/>
  <c r="I326" i="176"/>
  <c r="I360" i="176"/>
  <c r="I326" i="173"/>
  <c r="H401" i="176"/>
  <c r="K261" i="173"/>
  <c r="L261" i="173" s="1"/>
  <c r="K228" i="176"/>
  <c r="K44" i="176" s="1"/>
  <c r="J46" i="173"/>
  <c r="K42" i="173" s="1"/>
  <c r="Q205" i="173"/>
  <c r="R205" i="173" s="1"/>
  <c r="M210" i="173"/>
  <c r="N210" i="173" s="1"/>
  <c r="O210" i="173" s="1"/>
  <c r="I316" i="173"/>
  <c r="J316" i="173" s="1"/>
  <c r="K316" i="173" s="1"/>
  <c r="K294" i="173"/>
  <c r="L294" i="173" s="1"/>
  <c r="M294" i="173" s="1"/>
  <c r="K288" i="173"/>
  <c r="L288" i="173" s="1"/>
  <c r="Q207" i="173"/>
  <c r="O209" i="173"/>
  <c r="M234" i="173"/>
  <c r="N234" i="173" s="1"/>
  <c r="O234" i="173" s="1"/>
  <c r="P208" i="176"/>
  <c r="Q208" i="176" s="1"/>
  <c r="K274" i="176"/>
  <c r="L274" i="176" s="1"/>
  <c r="L204" i="173"/>
  <c r="M204" i="173" s="1"/>
  <c r="Q203" i="173"/>
  <c r="R203" i="173" s="1"/>
  <c r="S203" i="173" s="1"/>
  <c r="T203" i="173" s="1"/>
  <c r="U203" i="173" s="1"/>
  <c r="V203" i="173" s="1"/>
  <c r="W203" i="173" s="1"/>
  <c r="X203" i="173" s="1"/>
  <c r="K221" i="173"/>
  <c r="K44" i="173" s="1"/>
  <c r="K45" i="173" s="1"/>
  <c r="L265" i="173"/>
  <c r="M265" i="173" s="1"/>
  <c r="N205" i="176"/>
  <c r="O205" i="176" s="1"/>
  <c r="J311" i="176"/>
  <c r="J314" i="176"/>
  <c r="J260" i="173"/>
  <c r="K260" i="173" s="1"/>
  <c r="F344" i="173"/>
  <c r="H344" i="173" s="1"/>
  <c r="M245" i="176"/>
  <c r="N245" i="176" s="1"/>
  <c r="M207" i="176"/>
  <c r="N207" i="176" s="1"/>
  <c r="O207" i="176" s="1"/>
  <c r="P207" i="176" s="1"/>
  <c r="I345" i="176"/>
  <c r="R209" i="176"/>
  <c r="S209" i="176" s="1"/>
  <c r="F305" i="173"/>
  <c r="H282" i="173"/>
  <c r="I282" i="173" s="1"/>
  <c r="N243" i="176"/>
  <c r="O243" i="176" s="1"/>
  <c r="F347" i="173"/>
  <c r="H347" i="173" s="1"/>
  <c r="I290" i="173"/>
  <c r="J290" i="173" s="1"/>
  <c r="I322" i="173"/>
  <c r="M208" i="173"/>
  <c r="N208" i="173" s="1"/>
  <c r="L238" i="173"/>
  <c r="L275" i="176"/>
  <c r="I344" i="176"/>
  <c r="L241" i="176"/>
  <c r="K292" i="173"/>
  <c r="J280" i="176"/>
  <c r="H51" i="176"/>
  <c r="M266" i="173"/>
  <c r="Q242" i="176"/>
  <c r="M276" i="176"/>
  <c r="N276" i="176" s="1"/>
  <c r="M236" i="173"/>
  <c r="N236" i="173" s="1"/>
  <c r="I349" i="176"/>
  <c r="J349" i="176" s="1"/>
  <c r="K309" i="176"/>
  <c r="L309" i="176" s="1"/>
  <c r="N235" i="173"/>
  <c r="I312" i="176"/>
  <c r="I319" i="173"/>
  <c r="K293" i="173"/>
  <c r="L293" i="173" s="1"/>
  <c r="L263" i="173"/>
  <c r="I289" i="173"/>
  <c r="J289" i="173" s="1"/>
  <c r="J277" i="176"/>
  <c r="K277" i="176" s="1"/>
  <c r="I291" i="173"/>
  <c r="I310" i="176"/>
  <c r="J310" i="176" s="1"/>
  <c r="O201" i="173"/>
  <c r="P201" i="173" s="1"/>
  <c r="Q201" i="173" s="1"/>
  <c r="R201" i="173" s="1"/>
  <c r="S201" i="173" s="1"/>
  <c r="T201" i="173" s="1"/>
  <c r="U201" i="173" s="1"/>
  <c r="V201" i="173" s="1"/>
  <c r="W201" i="173" s="1"/>
  <c r="X201" i="173" s="1"/>
  <c r="Y201" i="173" s="1"/>
  <c r="Z201" i="173" s="1"/>
  <c r="O240" i="176"/>
  <c r="P240" i="176" s="1"/>
  <c r="Q240" i="176" s="1"/>
  <c r="R240" i="176" s="1"/>
  <c r="L278" i="176"/>
  <c r="M233" i="173"/>
  <c r="N233" i="173" s="1"/>
  <c r="M210" i="176"/>
  <c r="N210" i="176" s="1"/>
  <c r="I347" i="176"/>
  <c r="L237" i="173"/>
  <c r="J262" i="173"/>
  <c r="J279" i="176"/>
  <c r="N239" i="176"/>
  <c r="J350" i="176"/>
  <c r="M315" i="176"/>
  <c r="L232" i="173"/>
  <c r="J264" i="173"/>
  <c r="R206" i="176"/>
  <c r="I346" i="176"/>
  <c r="U200" i="173"/>
  <c r="V200" i="173" s="1"/>
  <c r="O200" i="176"/>
  <c r="P200" i="176" s="1"/>
  <c r="Q200" i="176" s="1"/>
  <c r="R200" i="176" s="1"/>
  <c r="S200" i="176" s="1"/>
  <c r="T200" i="176" s="1"/>
  <c r="U200" i="176" s="1"/>
  <c r="V200" i="176" s="1"/>
  <c r="W200" i="176" s="1"/>
  <c r="X200" i="176" s="1"/>
  <c r="Y200" i="176" s="1"/>
  <c r="Z200" i="176" s="1"/>
  <c r="AA200" i="176" s="1"/>
  <c r="AB200" i="176" s="1"/>
  <c r="AC200" i="176" s="1"/>
  <c r="AD200" i="176" s="1"/>
  <c r="AE200" i="176" s="1"/>
  <c r="AF200" i="176" s="1"/>
  <c r="AG200" i="176" s="1"/>
  <c r="AH200" i="176" s="1"/>
  <c r="AI200" i="176" s="1"/>
  <c r="AJ200" i="176" s="1"/>
  <c r="AK200" i="176" s="1"/>
  <c r="H277" i="173"/>
  <c r="H56" i="173" s="1"/>
  <c r="H57" i="173" s="1"/>
  <c r="AD234" i="176"/>
  <c r="AE234" i="176" s="1"/>
  <c r="AF234" i="176" s="1"/>
  <c r="AG234" i="176" s="1"/>
  <c r="AH234" i="176" s="1"/>
  <c r="AI234" i="176" s="1"/>
  <c r="AJ234" i="176" s="1"/>
  <c r="AK234" i="176" s="1"/>
  <c r="J307" i="176"/>
  <c r="K307" i="176" s="1"/>
  <c r="L307" i="176" s="1"/>
  <c r="K257" i="173"/>
  <c r="L257" i="173" s="1"/>
  <c r="M236" i="176"/>
  <c r="N236" i="176" s="1"/>
  <c r="H377" i="176"/>
  <c r="I377" i="176" s="1"/>
  <c r="S204" i="176"/>
  <c r="K254" i="173"/>
  <c r="L254" i="173" s="1"/>
  <c r="M254" i="173" s="1"/>
  <c r="N273" i="176"/>
  <c r="O273" i="176" s="1"/>
  <c r="P273" i="176" s="1"/>
  <c r="Q273" i="176" s="1"/>
  <c r="R273" i="176" s="1"/>
  <c r="S273" i="176" s="1"/>
  <c r="T273" i="176" s="1"/>
  <c r="U203" i="176"/>
  <c r="V203" i="176" s="1"/>
  <c r="W203" i="176" s="1"/>
  <c r="X203" i="176" s="1"/>
  <c r="Y203" i="176" s="1"/>
  <c r="Z203" i="176" s="1"/>
  <c r="AA203" i="176" s="1"/>
  <c r="AB203" i="176" s="1"/>
  <c r="AC203" i="176" s="1"/>
  <c r="AD203" i="176" s="1"/>
  <c r="AE203" i="176" s="1"/>
  <c r="AF203" i="176" s="1"/>
  <c r="AG203" i="176" s="1"/>
  <c r="AH203" i="176" s="1"/>
  <c r="AI203" i="176" s="1"/>
  <c r="AJ203" i="176" s="1"/>
  <c r="AK203" i="176" s="1"/>
  <c r="M238" i="176"/>
  <c r="U235" i="176"/>
  <c r="V235" i="176" s="1"/>
  <c r="W235" i="176" s="1"/>
  <c r="X235" i="176" s="1"/>
  <c r="K284" i="173"/>
  <c r="L284" i="173" s="1"/>
  <c r="H346" i="173"/>
  <c r="I346" i="173" s="1"/>
  <c r="H374" i="176"/>
  <c r="H317" i="173"/>
  <c r="AB148" i="176"/>
  <c r="AC144" i="176" s="1"/>
  <c r="AC146" i="176" s="1"/>
  <c r="AC147" i="176" s="1"/>
  <c r="H340" i="173"/>
  <c r="I340" i="173" s="1"/>
  <c r="H364" i="176"/>
  <c r="H321" i="173"/>
  <c r="AC178" i="176"/>
  <c r="AD174" i="176" s="1"/>
  <c r="H351" i="176"/>
  <c r="H356" i="176"/>
  <c r="H352" i="176"/>
  <c r="H357" i="176"/>
  <c r="H327" i="173"/>
  <c r="H318" i="173"/>
  <c r="H328" i="173"/>
  <c r="H320" i="173"/>
  <c r="H330" i="173"/>
  <c r="H343" i="173"/>
  <c r="I343" i="173" s="1"/>
  <c r="AA160" i="173"/>
  <c r="AB156" i="173" s="1"/>
  <c r="AB158" i="173" s="1"/>
  <c r="AB159" i="173" s="1"/>
  <c r="H350" i="173"/>
  <c r="O228" i="173"/>
  <c r="P228" i="173" s="1"/>
  <c r="Q228" i="173" s="1"/>
  <c r="R228" i="173" s="1"/>
  <c r="AF122" i="176"/>
  <c r="AF124" i="176" s="1"/>
  <c r="AG120" i="176" s="1"/>
  <c r="AB134" i="173"/>
  <c r="I312" i="173"/>
  <c r="F349" i="173"/>
  <c r="F333" i="176"/>
  <c r="H303" i="176"/>
  <c r="I277" i="173"/>
  <c r="I56" i="173" s="1"/>
  <c r="L287" i="173"/>
  <c r="K286" i="173"/>
  <c r="L286" i="173" s="1"/>
  <c r="M286" i="173" s="1"/>
  <c r="O256" i="173"/>
  <c r="P256" i="173" s="1"/>
  <c r="F353" i="173"/>
  <c r="H353" i="173" s="1"/>
  <c r="L230" i="173"/>
  <c r="F388" i="176"/>
  <c r="F390" i="176"/>
  <c r="H390" i="176" s="1"/>
  <c r="F339" i="173"/>
  <c r="H339" i="173" s="1"/>
  <c r="I342" i="176"/>
  <c r="F385" i="176"/>
  <c r="H385" i="176" s="1"/>
  <c r="I385" i="176" s="1"/>
  <c r="F376" i="176"/>
  <c r="H376" i="176" s="1"/>
  <c r="I376" i="176" s="1"/>
  <c r="J305" i="176"/>
  <c r="K305" i="176" s="1"/>
  <c r="F348" i="173"/>
  <c r="K304" i="176"/>
  <c r="L231" i="173"/>
  <c r="F310" i="173"/>
  <c r="F333" i="173" s="1"/>
  <c r="E333" i="173"/>
  <c r="K285" i="173"/>
  <c r="L285" i="173" s="1"/>
  <c r="I311" i="173"/>
  <c r="J311" i="173" s="1"/>
  <c r="K311" i="173" s="1"/>
  <c r="F382" i="176"/>
  <c r="H382" i="176" s="1"/>
  <c r="F381" i="176"/>
  <c r="F398" i="176"/>
  <c r="AC159" i="176"/>
  <c r="AC160" i="176"/>
  <c r="AD156" i="176" s="1"/>
  <c r="F383" i="176"/>
  <c r="H383" i="176" s="1"/>
  <c r="I383" i="176" s="1"/>
  <c r="F354" i="173"/>
  <c r="H354" i="173" s="1"/>
  <c r="F399" i="176"/>
  <c r="H399" i="176" s="1"/>
  <c r="E368" i="176"/>
  <c r="F338" i="176"/>
  <c r="F368" i="176" s="1"/>
  <c r="M237" i="176"/>
  <c r="AA142" i="173"/>
  <c r="AB138" i="173" s="1"/>
  <c r="I315" i="173"/>
  <c r="I314" i="173"/>
  <c r="J314" i="173" s="1"/>
  <c r="I51" i="176"/>
  <c r="F356" i="173"/>
  <c r="H356" i="173" s="1"/>
  <c r="F389" i="176"/>
  <c r="AH580" i="176"/>
  <c r="F380" i="176"/>
  <c r="H380" i="176" s="1"/>
  <c r="F396" i="176"/>
  <c r="H396" i="176" s="1"/>
  <c r="F402" i="176"/>
  <c r="H402" i="176" s="1"/>
  <c r="I343" i="176"/>
  <c r="F379" i="176"/>
  <c r="H379" i="176" s="1"/>
  <c r="L227" i="173"/>
  <c r="M227" i="173" s="1"/>
  <c r="N227" i="173" s="1"/>
  <c r="O227" i="173" s="1"/>
  <c r="AE123" i="176"/>
  <c r="F342" i="173"/>
  <c r="H342" i="173" s="1"/>
  <c r="AC164" i="176"/>
  <c r="AC165" i="176" s="1"/>
  <c r="AB146" i="173"/>
  <c r="AB147" i="173" s="1"/>
  <c r="AA135" i="173"/>
  <c r="AB172" i="176"/>
  <c r="AC168" i="176" s="1"/>
  <c r="F359" i="173"/>
  <c r="H359" i="173" s="1"/>
  <c r="F355" i="173"/>
  <c r="H355" i="173" s="1"/>
  <c r="J340" i="176"/>
  <c r="K340" i="176" s="1"/>
  <c r="C394" i="173" a="1"/>
  <c r="F394" i="176"/>
  <c r="H394" i="176" s="1"/>
  <c r="F360" i="173"/>
  <c r="J341" i="176"/>
  <c r="K255" i="173"/>
  <c r="F392" i="176"/>
  <c r="H392" i="176" s="1"/>
  <c r="I339" i="176"/>
  <c r="F378" i="176"/>
  <c r="H378" i="176" s="1"/>
  <c r="I378" i="176" s="1"/>
  <c r="K259" i="173"/>
  <c r="K308" i="176"/>
  <c r="AD152" i="173"/>
  <c r="AD153" i="173" s="1"/>
  <c r="F345" i="173"/>
  <c r="AB166" i="173"/>
  <c r="AC162" i="173" s="1"/>
  <c r="AI545" i="176"/>
  <c r="I249" i="173"/>
  <c r="I50" i="173" s="1"/>
  <c r="K226" i="173"/>
  <c r="L226" i="173" s="1"/>
  <c r="L272" i="176"/>
  <c r="I52" i="176"/>
  <c r="J48" i="176" s="1"/>
  <c r="AC152" i="176"/>
  <c r="AC153" i="176" s="1"/>
  <c r="J228" i="176"/>
  <c r="J44" i="176" s="1"/>
  <c r="L198" i="176"/>
  <c r="AD176" i="173"/>
  <c r="AD177" i="173" s="1"/>
  <c r="F393" i="176"/>
  <c r="L270" i="176"/>
  <c r="E429" i="176"/>
  <c r="E437" i="176"/>
  <c r="E431" i="176"/>
  <c r="E410" i="176"/>
  <c r="E418" i="176"/>
  <c r="E419" i="176"/>
  <c r="E411" i="176"/>
  <c r="F411" i="176" s="1"/>
  <c r="E432" i="176"/>
  <c r="E423" i="176"/>
  <c r="E435" i="176"/>
  <c r="E426" i="176"/>
  <c r="E414" i="176"/>
  <c r="E433" i="176"/>
  <c r="E415" i="176"/>
  <c r="E409" i="176"/>
  <c r="E430" i="176"/>
  <c r="E417" i="176"/>
  <c r="E413" i="176"/>
  <c r="E428" i="176"/>
  <c r="E424" i="176"/>
  <c r="E427" i="176"/>
  <c r="E434" i="176"/>
  <c r="E421" i="176"/>
  <c r="E420" i="176"/>
  <c r="E416" i="176"/>
  <c r="E422" i="176"/>
  <c r="C408" i="176"/>
  <c r="E436" i="176"/>
  <c r="E412" i="176"/>
  <c r="E425" i="176"/>
  <c r="J313" i="173"/>
  <c r="K313" i="173" s="1"/>
  <c r="J283" i="173"/>
  <c r="K283" i="173" s="1"/>
  <c r="AC136" i="176"/>
  <c r="AD132" i="176" s="1"/>
  <c r="O229" i="173"/>
  <c r="P229" i="173" s="1"/>
  <c r="Q229" i="173" s="1"/>
  <c r="R229" i="173" s="1"/>
  <c r="S229" i="173" s="1"/>
  <c r="T229" i="173" s="1"/>
  <c r="J263" i="176"/>
  <c r="J50" i="176" s="1"/>
  <c r="J51" i="176" s="1"/>
  <c r="K233" i="176"/>
  <c r="AC122" i="173"/>
  <c r="E371" i="173"/>
  <c r="E373" i="173"/>
  <c r="E370" i="173"/>
  <c r="E381" i="173"/>
  <c r="E379" i="173"/>
  <c r="E367" i="173"/>
  <c r="F367" i="173" s="1"/>
  <c r="E386" i="173"/>
  <c r="E382" i="173"/>
  <c r="E378" i="173"/>
  <c r="E375" i="173"/>
  <c r="E383" i="173"/>
  <c r="E377" i="173"/>
  <c r="F377" i="173" s="1"/>
  <c r="E387" i="173"/>
  <c r="E368" i="173"/>
  <c r="F368" i="173" s="1"/>
  <c r="E369" i="173"/>
  <c r="E388" i="173"/>
  <c r="E380" i="173"/>
  <c r="F380" i="173" s="1"/>
  <c r="E372" i="173"/>
  <c r="E376" i="173"/>
  <c r="C366" i="173"/>
  <c r="E374" i="173"/>
  <c r="E384" i="173"/>
  <c r="E385" i="173"/>
  <c r="H52" i="173"/>
  <c r="I48" i="173" s="1"/>
  <c r="H51" i="173"/>
  <c r="H298" i="176"/>
  <c r="H56" i="176" s="1"/>
  <c r="I268" i="176"/>
  <c r="I298" i="176" s="1"/>
  <c r="I56" i="176" s="1"/>
  <c r="AK475" i="176"/>
  <c r="C443" i="176" a="1"/>
  <c r="F384" i="176"/>
  <c r="E338" i="173"/>
  <c r="H341" i="173"/>
  <c r="J306" i="176"/>
  <c r="P202" i="176"/>
  <c r="Q202" i="176" s="1"/>
  <c r="R202" i="176" s="1"/>
  <c r="S202" i="176" s="1"/>
  <c r="T202" i="176" s="1"/>
  <c r="U202" i="176" s="1"/>
  <c r="V202" i="176" s="1"/>
  <c r="W202" i="176" s="1"/>
  <c r="X202" i="176" s="1"/>
  <c r="Y202" i="176" s="1"/>
  <c r="Z202" i="176" s="1"/>
  <c r="AA202" i="176" s="1"/>
  <c r="AB202" i="176" s="1"/>
  <c r="AC202" i="176" s="1"/>
  <c r="AD202" i="176" s="1"/>
  <c r="AE202" i="176" s="1"/>
  <c r="AF202" i="176" s="1"/>
  <c r="AG202" i="176" s="1"/>
  <c r="AH202" i="176" s="1"/>
  <c r="AI202" i="176" s="1"/>
  <c r="AJ202" i="176" s="1"/>
  <c r="AK202" i="176" s="1"/>
  <c r="N199" i="173"/>
  <c r="AA170" i="173"/>
  <c r="AA171" i="173" s="1"/>
  <c r="F375" i="176"/>
  <c r="H375" i="176" s="1"/>
  <c r="AB141" i="176"/>
  <c r="M271" i="176"/>
  <c r="I46" i="176"/>
  <c r="J42" i="176" s="1"/>
  <c r="F386" i="176"/>
  <c r="H386" i="176" s="1"/>
  <c r="E373" i="176"/>
  <c r="M258" i="173"/>
  <c r="K269" i="176"/>
  <c r="L269" i="176" s="1"/>
  <c r="AJ510" i="176"/>
  <c r="AD128" i="176"/>
  <c r="AD130" i="176" s="1"/>
  <c r="AE126" i="176" s="1"/>
  <c r="AC140" i="176"/>
  <c r="AC142" i="176" s="1"/>
  <c r="AD138" i="176" s="1"/>
  <c r="M256" i="176" l="1"/>
  <c r="N256" i="176" s="1"/>
  <c r="O256" i="176" s="1"/>
  <c r="P256" i="176" s="1"/>
  <c r="O215" i="176"/>
  <c r="Q244" i="176"/>
  <c r="R244" i="176" s="1"/>
  <c r="P249" i="176"/>
  <c r="Q249" i="176" s="1"/>
  <c r="M239" i="173"/>
  <c r="N239" i="173" s="1"/>
  <c r="O239" i="173" s="1"/>
  <c r="T216" i="173"/>
  <c r="U216" i="173" s="1"/>
  <c r="V216" i="173"/>
  <c r="W216" i="173" s="1"/>
  <c r="X216" i="173" s="1"/>
  <c r="Y216" i="173" s="1"/>
  <c r="O246" i="176"/>
  <c r="Q211" i="173"/>
  <c r="R211" i="173" s="1"/>
  <c r="M297" i="176"/>
  <c r="N297" i="176" s="1"/>
  <c r="N257" i="176"/>
  <c r="O257" i="176" s="1"/>
  <c r="P257" i="176" s="1"/>
  <c r="F425" i="176"/>
  <c r="M276" i="173"/>
  <c r="N276" i="173" s="1"/>
  <c r="J329" i="173"/>
  <c r="F432" i="176"/>
  <c r="H432" i="176" s="1"/>
  <c r="K324" i="176"/>
  <c r="L324" i="176" s="1"/>
  <c r="N218" i="176"/>
  <c r="O218" i="176" s="1"/>
  <c r="P218" i="176" s="1"/>
  <c r="Q218" i="176" s="1"/>
  <c r="R218" i="176" s="1"/>
  <c r="S218" i="176" s="1"/>
  <c r="T218" i="176" s="1"/>
  <c r="U218" i="176" s="1"/>
  <c r="V218" i="176" s="1"/>
  <c r="W218" i="176" s="1"/>
  <c r="X218" i="176" s="1"/>
  <c r="Y218" i="176" s="1"/>
  <c r="Z218" i="176" s="1"/>
  <c r="AA218" i="176" s="1"/>
  <c r="F435" i="176"/>
  <c r="H435" i="176" s="1"/>
  <c r="Q217" i="173"/>
  <c r="R217" i="173" s="1"/>
  <c r="S217" i="173" s="1"/>
  <c r="T217" i="173" s="1"/>
  <c r="U217" i="173" s="1"/>
  <c r="V217" i="173" s="1"/>
  <c r="O218" i="173"/>
  <c r="P218" i="173" s="1"/>
  <c r="Q218" i="173" s="1"/>
  <c r="R218" i="173" s="1"/>
  <c r="S218" i="173" s="1"/>
  <c r="T218" i="173" s="1"/>
  <c r="U218" i="173" s="1"/>
  <c r="V218" i="173" s="1"/>
  <c r="W218" i="173" s="1"/>
  <c r="J323" i="176"/>
  <c r="N220" i="176"/>
  <c r="M240" i="173"/>
  <c r="P216" i="176"/>
  <c r="P258" i="176"/>
  <c r="Q258" i="176" s="1"/>
  <c r="R258" i="176" s="1"/>
  <c r="K299" i="173"/>
  <c r="P214" i="173"/>
  <c r="K282" i="176"/>
  <c r="J296" i="173"/>
  <c r="K296" i="173" s="1"/>
  <c r="M252" i="176"/>
  <c r="N252" i="176" s="1"/>
  <c r="P221" i="176"/>
  <c r="J326" i="176"/>
  <c r="L241" i="173"/>
  <c r="F384" i="173"/>
  <c r="H384" i="173" s="1"/>
  <c r="L295" i="176"/>
  <c r="M295" i="176" s="1"/>
  <c r="M250" i="176"/>
  <c r="L247" i="173"/>
  <c r="M247" i="173"/>
  <c r="O211" i="176"/>
  <c r="P211" i="176" s="1"/>
  <c r="Q211" i="176"/>
  <c r="N227" i="176"/>
  <c r="O227" i="176" s="1"/>
  <c r="P227" i="176" s="1"/>
  <c r="Q227" i="176" s="1"/>
  <c r="R227" i="176" s="1"/>
  <c r="S227" i="176" s="1"/>
  <c r="T227" i="176" s="1"/>
  <c r="U227" i="176" s="1"/>
  <c r="V227" i="176" s="1"/>
  <c r="L290" i="176"/>
  <c r="M290" i="176"/>
  <c r="M267" i="173"/>
  <c r="N247" i="176"/>
  <c r="J329" i="176"/>
  <c r="N270" i="173"/>
  <c r="M222" i="176"/>
  <c r="N222" i="176" s="1"/>
  <c r="O215" i="173"/>
  <c r="P215" i="173" s="1"/>
  <c r="N284" i="176"/>
  <c r="O284" i="176" s="1"/>
  <c r="P284" i="176" s="1"/>
  <c r="Q284" i="176" s="1"/>
  <c r="O220" i="173"/>
  <c r="P220" i="173" s="1"/>
  <c r="Q220" i="173" s="1"/>
  <c r="R220" i="173" s="1"/>
  <c r="S220" i="173" s="1"/>
  <c r="T220" i="173" s="1"/>
  <c r="P215" i="176"/>
  <c r="Q215" i="176" s="1"/>
  <c r="L291" i="176"/>
  <c r="M291" i="176" s="1"/>
  <c r="J322" i="176"/>
  <c r="K322" i="176" s="1"/>
  <c r="P254" i="176"/>
  <c r="K327" i="176"/>
  <c r="J298" i="173"/>
  <c r="K298" i="173" s="1"/>
  <c r="F388" i="173"/>
  <c r="H388" i="173" s="1"/>
  <c r="Q214" i="176"/>
  <c r="R214" i="176" s="1"/>
  <c r="L286" i="176"/>
  <c r="M217" i="176"/>
  <c r="K321" i="176"/>
  <c r="O212" i="173"/>
  <c r="P212" i="173"/>
  <c r="M248" i="176"/>
  <c r="J331" i="173"/>
  <c r="K331" i="173" s="1"/>
  <c r="K300" i="173"/>
  <c r="F431" i="176"/>
  <c r="H431" i="176" s="1"/>
  <c r="J358" i="176"/>
  <c r="M262" i="176"/>
  <c r="N259" i="176"/>
  <c r="O259" i="176" s="1"/>
  <c r="J328" i="176"/>
  <c r="K328" i="176" s="1"/>
  <c r="K330" i="176"/>
  <c r="N261" i="176"/>
  <c r="F383" i="173"/>
  <c r="H383" i="173" s="1"/>
  <c r="F421" i="176"/>
  <c r="H421" i="176" s="1"/>
  <c r="K316" i="176"/>
  <c r="O213" i="176"/>
  <c r="J366" i="176"/>
  <c r="K366" i="176" s="1"/>
  <c r="L287" i="176"/>
  <c r="P226" i="176"/>
  <c r="Q226" i="176" s="1"/>
  <c r="N213" i="173"/>
  <c r="K325" i="176"/>
  <c r="M246" i="173"/>
  <c r="N273" i="173"/>
  <c r="F430" i="176"/>
  <c r="H430" i="176" s="1"/>
  <c r="O272" i="173"/>
  <c r="P272" i="173" s="1"/>
  <c r="L228" i="176"/>
  <c r="L44" i="176" s="1"/>
  <c r="L45" i="176" s="1"/>
  <c r="I400" i="176"/>
  <c r="N271" i="173"/>
  <c r="O271" i="173" s="1"/>
  <c r="M245" i="173"/>
  <c r="N245" i="173"/>
  <c r="P219" i="173"/>
  <c r="O219" i="176"/>
  <c r="L243" i="173"/>
  <c r="O212" i="176"/>
  <c r="P212" i="176" s="1"/>
  <c r="J301" i="173"/>
  <c r="K358" i="173"/>
  <c r="L358" i="173" s="1"/>
  <c r="M331" i="176"/>
  <c r="N331" i="176" s="1"/>
  <c r="L294" i="176"/>
  <c r="N244" i="173"/>
  <c r="O244" i="173"/>
  <c r="K332" i="176"/>
  <c r="M283" i="176"/>
  <c r="P281" i="176"/>
  <c r="Q281" i="176" s="1"/>
  <c r="R281" i="176" s="1"/>
  <c r="O223" i="176"/>
  <c r="P223" i="176" s="1"/>
  <c r="M253" i="176"/>
  <c r="F382" i="173"/>
  <c r="H382" i="173" s="1"/>
  <c r="J325" i="173"/>
  <c r="K325" i="173" s="1"/>
  <c r="K317" i="176"/>
  <c r="L317" i="176" s="1"/>
  <c r="M317" i="176" s="1"/>
  <c r="M302" i="173"/>
  <c r="M293" i="176"/>
  <c r="N225" i="176"/>
  <c r="J318" i="176"/>
  <c r="K318" i="176" s="1"/>
  <c r="L304" i="173"/>
  <c r="K348" i="176"/>
  <c r="O242" i="173"/>
  <c r="P242" i="173" s="1"/>
  <c r="N255" i="176"/>
  <c r="M289" i="176"/>
  <c r="Q254" i="176"/>
  <c r="M260" i="176"/>
  <c r="O224" i="176"/>
  <c r="P224" i="176" s="1"/>
  <c r="L292" i="176"/>
  <c r="N251" i="176"/>
  <c r="Q248" i="173"/>
  <c r="K295" i="173"/>
  <c r="J354" i="176"/>
  <c r="L285" i="176"/>
  <c r="M285" i="176" s="1"/>
  <c r="N285" i="176" s="1"/>
  <c r="J363" i="176"/>
  <c r="J353" i="176"/>
  <c r="S205" i="173"/>
  <c r="T205" i="173" s="1"/>
  <c r="U205" i="173" s="1"/>
  <c r="L268" i="173"/>
  <c r="J324" i="173"/>
  <c r="K324" i="173" s="1"/>
  <c r="M269" i="173"/>
  <c r="J360" i="176"/>
  <c r="M296" i="176"/>
  <c r="L288" i="176"/>
  <c r="K303" i="173"/>
  <c r="L303" i="173" s="1"/>
  <c r="M303" i="173" s="1"/>
  <c r="M257" i="173"/>
  <c r="N257" i="173" s="1"/>
  <c r="K297" i="173"/>
  <c r="M274" i="173"/>
  <c r="N274" i="173" s="1"/>
  <c r="I387" i="176"/>
  <c r="K320" i="176"/>
  <c r="L275" i="173"/>
  <c r="L319" i="176"/>
  <c r="M319" i="176" s="1"/>
  <c r="K46" i="173"/>
  <c r="L42" i="173" s="1"/>
  <c r="J51" i="173"/>
  <c r="I351" i="173"/>
  <c r="J355" i="176"/>
  <c r="J326" i="173"/>
  <c r="K332" i="173"/>
  <c r="J365" i="176"/>
  <c r="I391" i="176"/>
  <c r="J361" i="176"/>
  <c r="J362" i="176"/>
  <c r="K323" i="173"/>
  <c r="I401" i="176"/>
  <c r="J359" i="176"/>
  <c r="J367" i="176"/>
  <c r="H380" i="173"/>
  <c r="I380" i="173" s="1"/>
  <c r="J380" i="173" s="1"/>
  <c r="I353" i="173"/>
  <c r="I364" i="176"/>
  <c r="J364" i="176" s="1"/>
  <c r="I354" i="173"/>
  <c r="I327" i="173"/>
  <c r="I356" i="176"/>
  <c r="I397" i="176"/>
  <c r="I352" i="173"/>
  <c r="I330" i="173"/>
  <c r="I394" i="176"/>
  <c r="I357" i="173"/>
  <c r="I392" i="176"/>
  <c r="I390" i="176"/>
  <c r="I359" i="173"/>
  <c r="I356" i="173"/>
  <c r="I328" i="173"/>
  <c r="J328" i="173" s="1"/>
  <c r="I402" i="176"/>
  <c r="I357" i="176"/>
  <c r="J357" i="176" s="1"/>
  <c r="I386" i="176"/>
  <c r="I351" i="176"/>
  <c r="I395" i="176"/>
  <c r="I352" i="176"/>
  <c r="I355" i="173"/>
  <c r="I396" i="176"/>
  <c r="I399" i="176"/>
  <c r="M261" i="173"/>
  <c r="N261" i="173" s="1"/>
  <c r="P234" i="173"/>
  <c r="Q234" i="173" s="1"/>
  <c r="R234" i="173" s="1"/>
  <c r="S234" i="173" s="1"/>
  <c r="T234" i="173" s="1"/>
  <c r="H310" i="173"/>
  <c r="I310" i="173" s="1"/>
  <c r="R207" i="173"/>
  <c r="S207" i="173" s="1"/>
  <c r="T207" i="173" s="1"/>
  <c r="H305" i="173"/>
  <c r="H62" i="173" s="1"/>
  <c r="H63" i="173" s="1"/>
  <c r="P243" i="176"/>
  <c r="Q243" i="176" s="1"/>
  <c r="L221" i="173"/>
  <c r="L44" i="173" s="1"/>
  <c r="L45" i="173" s="1"/>
  <c r="W200" i="173"/>
  <c r="X200" i="173" s="1"/>
  <c r="Y200" i="173" s="1"/>
  <c r="Z200" i="173" s="1"/>
  <c r="AA200" i="173" s="1"/>
  <c r="AB200" i="173" s="1"/>
  <c r="AC200" i="173" s="1"/>
  <c r="AD200" i="173" s="1"/>
  <c r="P227" i="173"/>
  <c r="M274" i="176"/>
  <c r="N274" i="176" s="1"/>
  <c r="N204" i="173"/>
  <c r="M221" i="173"/>
  <c r="M44" i="173" s="1"/>
  <c r="O235" i="173"/>
  <c r="P235" i="173" s="1"/>
  <c r="Q235" i="173" s="1"/>
  <c r="P209" i="173"/>
  <c r="Q209" i="173" s="1"/>
  <c r="L260" i="173"/>
  <c r="M260" i="173" s="1"/>
  <c r="N260" i="173" s="1"/>
  <c r="Y203" i="173"/>
  <c r="Z203" i="173" s="1"/>
  <c r="AA203" i="173" s="1"/>
  <c r="AB203" i="173" s="1"/>
  <c r="AC203" i="173" s="1"/>
  <c r="AD203" i="173" s="1"/>
  <c r="M275" i="176"/>
  <c r="N275" i="176" s="1"/>
  <c r="O275" i="176" s="1"/>
  <c r="N265" i="173"/>
  <c r="R208" i="176"/>
  <c r="S208" i="176" s="1"/>
  <c r="K311" i="176"/>
  <c r="O233" i="173"/>
  <c r="P233" i="173" s="1"/>
  <c r="Q233" i="173" s="1"/>
  <c r="R233" i="173" s="1"/>
  <c r="S233" i="173" s="1"/>
  <c r="J344" i="176"/>
  <c r="K344" i="176" s="1"/>
  <c r="I379" i="176"/>
  <c r="F420" i="176"/>
  <c r="H420" i="176" s="1"/>
  <c r="R242" i="176"/>
  <c r="I344" i="173"/>
  <c r="O239" i="176"/>
  <c r="P239" i="176" s="1"/>
  <c r="Q239" i="176" s="1"/>
  <c r="K289" i="173"/>
  <c r="J322" i="173"/>
  <c r="J345" i="176"/>
  <c r="K345" i="176"/>
  <c r="P210" i="173"/>
  <c r="J312" i="176"/>
  <c r="I382" i="176"/>
  <c r="I305" i="173"/>
  <c r="I62" i="173" s="1"/>
  <c r="K264" i="173"/>
  <c r="L264" i="173" s="1"/>
  <c r="M264" i="173" s="1"/>
  <c r="K310" i="176"/>
  <c r="L310" i="176" s="1"/>
  <c r="M310" i="176" s="1"/>
  <c r="N310" i="176" s="1"/>
  <c r="N315" i="176"/>
  <c r="K349" i="176"/>
  <c r="L349" i="176" s="1"/>
  <c r="K290" i="173"/>
  <c r="K262" i="173"/>
  <c r="J277" i="173"/>
  <c r="J56" i="173" s="1"/>
  <c r="J57" i="173" s="1"/>
  <c r="M293" i="173"/>
  <c r="K314" i="176"/>
  <c r="M288" i="173"/>
  <c r="I321" i="173"/>
  <c r="J321" i="173" s="1"/>
  <c r="K279" i="176"/>
  <c r="L279" i="176" s="1"/>
  <c r="I380" i="176"/>
  <c r="M238" i="173"/>
  <c r="N238" i="173"/>
  <c r="O276" i="176"/>
  <c r="P276" i="176" s="1"/>
  <c r="Q276" i="176" s="1"/>
  <c r="R276" i="176" s="1"/>
  <c r="AA201" i="173"/>
  <c r="AB201" i="173" s="1"/>
  <c r="AC201" i="173" s="1"/>
  <c r="AD201" i="173" s="1"/>
  <c r="J291" i="173"/>
  <c r="M241" i="176"/>
  <c r="K350" i="176"/>
  <c r="L350" i="176" s="1"/>
  <c r="M350" i="176" s="1"/>
  <c r="O208" i="173"/>
  <c r="I318" i="173"/>
  <c r="N266" i="173"/>
  <c r="O266" i="173" s="1"/>
  <c r="O236" i="173"/>
  <c r="F418" i="176"/>
  <c r="H418" i="176" s="1"/>
  <c r="J346" i="176"/>
  <c r="K346" i="176" s="1"/>
  <c r="P205" i="176"/>
  <c r="J347" i="176"/>
  <c r="K347" i="176" s="1"/>
  <c r="L347" i="176" s="1"/>
  <c r="N313" i="176"/>
  <c r="O313" i="176" s="1"/>
  <c r="P313" i="176" s="1"/>
  <c r="M309" i="176"/>
  <c r="Q207" i="176"/>
  <c r="O210" i="176"/>
  <c r="L316" i="173"/>
  <c r="L277" i="176"/>
  <c r="M232" i="173"/>
  <c r="N232" i="173" s="1"/>
  <c r="O232" i="173" s="1"/>
  <c r="P232" i="173" s="1"/>
  <c r="Q232" i="173" s="1"/>
  <c r="I350" i="173"/>
  <c r="J350" i="173" s="1"/>
  <c r="M237" i="173"/>
  <c r="N237" i="173"/>
  <c r="O237" i="173" s="1"/>
  <c r="J383" i="176"/>
  <c r="J319" i="173"/>
  <c r="I317" i="173"/>
  <c r="J317" i="173" s="1"/>
  <c r="M263" i="173"/>
  <c r="O245" i="176"/>
  <c r="P245" i="176" s="1"/>
  <c r="I347" i="173"/>
  <c r="T209" i="176"/>
  <c r="S206" i="176"/>
  <c r="N294" i="173"/>
  <c r="O294" i="173" s="1"/>
  <c r="J385" i="176"/>
  <c r="M278" i="176"/>
  <c r="N278" i="176" s="1"/>
  <c r="S240" i="176"/>
  <c r="K280" i="176"/>
  <c r="L280" i="176" s="1"/>
  <c r="L292" i="173"/>
  <c r="J346" i="173"/>
  <c r="K346" i="173" s="1"/>
  <c r="S228" i="173"/>
  <c r="T228" i="173" s="1"/>
  <c r="U228" i="173" s="1"/>
  <c r="V228" i="173" s="1"/>
  <c r="W228" i="173" s="1"/>
  <c r="X228" i="173" s="1"/>
  <c r="Y228" i="173" s="1"/>
  <c r="Z228" i="173" s="1"/>
  <c r="AA228" i="173" s="1"/>
  <c r="AB228" i="173" s="1"/>
  <c r="AC228" i="173" s="1"/>
  <c r="AD228" i="173" s="1"/>
  <c r="I320" i="173"/>
  <c r="J320" i="173" s="1"/>
  <c r="L340" i="176"/>
  <c r="M340" i="176" s="1"/>
  <c r="J343" i="173"/>
  <c r="K343" i="173" s="1"/>
  <c r="L343" i="173" s="1"/>
  <c r="H58" i="173"/>
  <c r="I54" i="173" s="1"/>
  <c r="I58" i="173" s="1"/>
  <c r="J54" i="173" s="1"/>
  <c r="O236" i="176"/>
  <c r="P236" i="176" s="1"/>
  <c r="Q236" i="176" s="1"/>
  <c r="R236" i="176" s="1"/>
  <c r="S236" i="176" s="1"/>
  <c r="T236" i="176" s="1"/>
  <c r="U236" i="176" s="1"/>
  <c r="V236" i="176" s="1"/>
  <c r="W236" i="176" s="1"/>
  <c r="X236" i="176" s="1"/>
  <c r="Y236" i="176" s="1"/>
  <c r="Z236" i="176" s="1"/>
  <c r="AA236" i="176" s="1"/>
  <c r="AB236" i="176" s="1"/>
  <c r="AC236" i="176" s="1"/>
  <c r="AD236" i="176" s="1"/>
  <c r="J340" i="173"/>
  <c r="J377" i="176"/>
  <c r="K377" i="176" s="1"/>
  <c r="T204" i="176"/>
  <c r="U204" i="176" s="1"/>
  <c r="V204" i="176" s="1"/>
  <c r="W204" i="176" s="1"/>
  <c r="X204" i="176" s="1"/>
  <c r="Y204" i="176" s="1"/>
  <c r="Z204" i="176" s="1"/>
  <c r="AA204" i="176" s="1"/>
  <c r="AB204" i="176" s="1"/>
  <c r="AC204" i="176" s="1"/>
  <c r="AD204" i="176" s="1"/>
  <c r="AE204" i="176" s="1"/>
  <c r="AF204" i="176" s="1"/>
  <c r="M226" i="173"/>
  <c r="N226" i="173" s="1"/>
  <c r="O226" i="173" s="1"/>
  <c r="U229" i="173"/>
  <c r="V229" i="173" s="1"/>
  <c r="W229" i="173" s="1"/>
  <c r="X229" i="173" s="1"/>
  <c r="Y229" i="173" s="1"/>
  <c r="Z229" i="173" s="1"/>
  <c r="AA229" i="173" s="1"/>
  <c r="AB229" i="173" s="1"/>
  <c r="AC229" i="173" s="1"/>
  <c r="AD229" i="173" s="1"/>
  <c r="I374" i="176"/>
  <c r="J374" i="176" s="1"/>
  <c r="N238" i="176"/>
  <c r="O238" i="176" s="1"/>
  <c r="J268" i="176"/>
  <c r="Y235" i="176"/>
  <c r="Z235" i="176" s="1"/>
  <c r="AA235" i="176" s="1"/>
  <c r="AB235" i="176" s="1"/>
  <c r="AC235" i="176" s="1"/>
  <c r="AD235" i="176" s="1"/>
  <c r="AE235" i="176" s="1"/>
  <c r="AF235" i="176" s="1"/>
  <c r="AG235" i="176" s="1"/>
  <c r="AH235" i="176" s="1"/>
  <c r="AI235" i="176" s="1"/>
  <c r="AJ235" i="176" s="1"/>
  <c r="AK235" i="176" s="1"/>
  <c r="M230" i="173"/>
  <c r="N230" i="173" s="1"/>
  <c r="U273" i="176"/>
  <c r="I342" i="173"/>
  <c r="J342" i="173" s="1"/>
  <c r="L311" i="173"/>
  <c r="M311" i="173" s="1"/>
  <c r="N311" i="173" s="1"/>
  <c r="M284" i="173"/>
  <c r="N284" i="173" s="1"/>
  <c r="H348" i="173"/>
  <c r="H388" i="176"/>
  <c r="H349" i="173"/>
  <c r="H384" i="176"/>
  <c r="H398" i="176"/>
  <c r="H393" i="176"/>
  <c r="H367" i="173"/>
  <c r="I367" i="173" s="1"/>
  <c r="J367" i="173" s="1"/>
  <c r="H377" i="173"/>
  <c r="H411" i="176"/>
  <c r="I411" i="176" s="1"/>
  <c r="J411" i="176" s="1"/>
  <c r="K411" i="176" s="1"/>
  <c r="AD176" i="176"/>
  <c r="AD177" i="176" s="1"/>
  <c r="H389" i="176"/>
  <c r="H360" i="173"/>
  <c r="H345" i="173"/>
  <c r="H425" i="176"/>
  <c r="H381" i="176"/>
  <c r="J52" i="176"/>
  <c r="K48" i="176" s="1"/>
  <c r="F415" i="176"/>
  <c r="F414" i="176"/>
  <c r="H414" i="176" s="1"/>
  <c r="F372" i="173"/>
  <c r="H372" i="173" s="1"/>
  <c r="N254" i="173"/>
  <c r="O254" i="173" s="1"/>
  <c r="F433" i="176"/>
  <c r="H433" i="176" s="1"/>
  <c r="F381" i="173"/>
  <c r="H381" i="173" s="1"/>
  <c r="F370" i="173"/>
  <c r="H370" i="173" s="1"/>
  <c r="I370" i="173" s="1"/>
  <c r="J370" i="173" s="1"/>
  <c r="F385" i="173"/>
  <c r="H385" i="173" s="1"/>
  <c r="AB160" i="173"/>
  <c r="AC156" i="173" s="1"/>
  <c r="C422" i="173" a="1"/>
  <c r="K341" i="176"/>
  <c r="E447" i="176"/>
  <c r="E469" i="176"/>
  <c r="E459" i="176"/>
  <c r="E449" i="176"/>
  <c r="F449" i="176" s="1"/>
  <c r="E452" i="176"/>
  <c r="F452" i="176" s="1"/>
  <c r="E457" i="176"/>
  <c r="F457" i="176" s="1"/>
  <c r="E453" i="176"/>
  <c r="F453" i="176" s="1"/>
  <c r="E464" i="176"/>
  <c r="E472" i="176"/>
  <c r="F472" i="176" s="1"/>
  <c r="E466" i="176"/>
  <c r="E450" i="176"/>
  <c r="E446" i="176"/>
  <c r="E451" i="176"/>
  <c r="E448" i="176"/>
  <c r="F448" i="176" s="1"/>
  <c r="E456" i="176"/>
  <c r="E462" i="176"/>
  <c r="E444" i="176"/>
  <c r="F444" i="176" s="1"/>
  <c r="E471" i="176"/>
  <c r="E455" i="176"/>
  <c r="E465" i="176"/>
  <c r="E461" i="176"/>
  <c r="E460" i="176"/>
  <c r="E458" i="176"/>
  <c r="E454" i="176"/>
  <c r="E445" i="176"/>
  <c r="E463" i="176"/>
  <c r="E470" i="176"/>
  <c r="F470" i="176" s="1"/>
  <c r="E468" i="176"/>
  <c r="F468" i="176" s="1"/>
  <c r="E467" i="176"/>
  <c r="F467" i="176" s="1"/>
  <c r="C443" i="176"/>
  <c r="AK510" i="176"/>
  <c r="C478" i="176" a="1"/>
  <c r="K45" i="176"/>
  <c r="J45" i="176"/>
  <c r="F376" i="173"/>
  <c r="K263" i="176"/>
  <c r="K50" i="176" s="1"/>
  <c r="L233" i="176"/>
  <c r="M233" i="176" s="1"/>
  <c r="AI580" i="176"/>
  <c r="K306" i="176"/>
  <c r="L306" i="176" s="1"/>
  <c r="F373" i="173"/>
  <c r="AJ545" i="176"/>
  <c r="J312" i="173"/>
  <c r="I375" i="176"/>
  <c r="AE128" i="176"/>
  <c r="M270" i="176"/>
  <c r="N270" i="176" s="1"/>
  <c r="O270" i="176" s="1"/>
  <c r="E403" i="176"/>
  <c r="F373" i="176"/>
  <c r="F369" i="173"/>
  <c r="H369" i="173" s="1"/>
  <c r="AC164" i="173"/>
  <c r="AC165" i="173" s="1"/>
  <c r="AD140" i="176"/>
  <c r="AD141" i="176" s="1"/>
  <c r="N286" i="173"/>
  <c r="I57" i="173"/>
  <c r="AD158" i="176"/>
  <c r="AD159" i="176" s="1"/>
  <c r="AG122" i="176"/>
  <c r="AD129" i="176"/>
  <c r="H58" i="176"/>
  <c r="I54" i="176" s="1"/>
  <c r="I58" i="176" s="1"/>
  <c r="J54" i="176" s="1"/>
  <c r="H57" i="176"/>
  <c r="I57" i="176"/>
  <c r="F379" i="173"/>
  <c r="F409" i="176"/>
  <c r="H409" i="176" s="1"/>
  <c r="M272" i="176"/>
  <c r="E409" i="173"/>
  <c r="E410" i="173"/>
  <c r="E400" i="173"/>
  <c r="E406" i="173"/>
  <c r="E395" i="173"/>
  <c r="F395" i="173" s="1"/>
  <c r="E399" i="173"/>
  <c r="E398" i="173"/>
  <c r="E411" i="173"/>
  <c r="E415" i="173"/>
  <c r="C394" i="173"/>
  <c r="E401" i="173"/>
  <c r="E408" i="173"/>
  <c r="E403" i="173"/>
  <c r="E407" i="173"/>
  <c r="E402" i="173"/>
  <c r="E416" i="173"/>
  <c r="E404" i="173"/>
  <c r="E405" i="173"/>
  <c r="E397" i="173"/>
  <c r="E396" i="173"/>
  <c r="E413" i="173"/>
  <c r="E412" i="173"/>
  <c r="E414" i="173"/>
  <c r="J282" i="173"/>
  <c r="M198" i="176"/>
  <c r="N237" i="176"/>
  <c r="O237" i="176" s="1"/>
  <c r="P237" i="176" s="1"/>
  <c r="Q237" i="176" s="1"/>
  <c r="R237" i="176" s="1"/>
  <c r="S237" i="176" s="1"/>
  <c r="T237" i="176" s="1"/>
  <c r="U237" i="176" s="1"/>
  <c r="V237" i="176" s="1"/>
  <c r="F371" i="173"/>
  <c r="H371" i="173" s="1"/>
  <c r="F436" i="176"/>
  <c r="H436" i="176" s="1"/>
  <c r="F426" i="176"/>
  <c r="H426" i="176" s="1"/>
  <c r="AD134" i="176"/>
  <c r="M287" i="173"/>
  <c r="AC123" i="173"/>
  <c r="N258" i="173"/>
  <c r="O258" i="173" s="1"/>
  <c r="I341" i="173"/>
  <c r="J341" i="173" s="1"/>
  <c r="I52" i="173"/>
  <c r="J48" i="173" s="1"/>
  <c r="J52" i="173" s="1"/>
  <c r="K48" i="173" s="1"/>
  <c r="F423" i="176"/>
  <c r="H423" i="176" s="1"/>
  <c r="AD178" i="173"/>
  <c r="L305" i="176"/>
  <c r="M305" i="176" s="1"/>
  <c r="I339" i="173"/>
  <c r="M269" i="176"/>
  <c r="N269" i="176" s="1"/>
  <c r="AA172" i="173"/>
  <c r="AB168" i="173" s="1"/>
  <c r="F387" i="173"/>
  <c r="AC154" i="176"/>
  <c r="AD150" i="176" s="1"/>
  <c r="Q256" i="173"/>
  <c r="R256" i="173" s="1"/>
  <c r="S256" i="173" s="1"/>
  <c r="T256" i="173" s="1"/>
  <c r="U256" i="173" s="1"/>
  <c r="V256" i="173" s="1"/>
  <c r="W256" i="173" s="1"/>
  <c r="X256" i="173" s="1"/>
  <c r="Y256" i="173" s="1"/>
  <c r="Z256" i="173" s="1"/>
  <c r="AA256" i="173" s="1"/>
  <c r="AB256" i="173" s="1"/>
  <c r="AC256" i="173" s="1"/>
  <c r="AD256" i="173" s="1"/>
  <c r="F422" i="176"/>
  <c r="AB135" i="173"/>
  <c r="AC170" i="176"/>
  <c r="AC171" i="176" s="1"/>
  <c r="AC124" i="173"/>
  <c r="AD120" i="173" s="1"/>
  <c r="L308" i="176"/>
  <c r="AB140" i="173"/>
  <c r="AB141" i="173" s="1"/>
  <c r="F424" i="176"/>
  <c r="H424" i="176" s="1"/>
  <c r="F410" i="176"/>
  <c r="H410" i="176" s="1"/>
  <c r="J339" i="176"/>
  <c r="K339" i="176" s="1"/>
  <c r="J342" i="176"/>
  <c r="F375" i="173"/>
  <c r="F428" i="176"/>
  <c r="H428" i="176" s="1"/>
  <c r="H338" i="176"/>
  <c r="K314" i="173"/>
  <c r="M307" i="176"/>
  <c r="M285" i="173"/>
  <c r="J46" i="176"/>
  <c r="K42" i="176" s="1"/>
  <c r="K46" i="176" s="1"/>
  <c r="L42" i="176" s="1"/>
  <c r="F374" i="173"/>
  <c r="F378" i="173"/>
  <c r="F437" i="176"/>
  <c r="H437" i="176" s="1"/>
  <c r="AC166" i="176"/>
  <c r="AD162" i="176" s="1"/>
  <c r="M231" i="173"/>
  <c r="J376" i="176"/>
  <c r="AB136" i="173"/>
  <c r="AC132" i="173" s="1"/>
  <c r="AC148" i="176"/>
  <c r="AD144" i="176" s="1"/>
  <c r="F416" i="176"/>
  <c r="L255" i="173"/>
  <c r="J315" i="173"/>
  <c r="H368" i="173"/>
  <c r="I368" i="173" s="1"/>
  <c r="F434" i="176"/>
  <c r="L304" i="176"/>
  <c r="I51" i="173"/>
  <c r="E366" i="173"/>
  <c r="L313" i="173"/>
  <c r="F413" i="176"/>
  <c r="H413" i="176" s="1"/>
  <c r="F429" i="176"/>
  <c r="H429" i="176" s="1"/>
  <c r="K249" i="173"/>
  <c r="K50" i="173" s="1"/>
  <c r="Q198" i="173"/>
  <c r="E408" i="176"/>
  <c r="H333" i="176"/>
  <c r="H62" i="176" s="1"/>
  <c r="I303" i="176"/>
  <c r="I333" i="176" s="1"/>
  <c r="I62" i="176" s="1"/>
  <c r="F419" i="176"/>
  <c r="F427" i="176"/>
  <c r="H427" i="176" s="1"/>
  <c r="AD154" i="173"/>
  <c r="AB148" i="173"/>
  <c r="AC144" i="173" s="1"/>
  <c r="N271" i="176"/>
  <c r="O199" i="173"/>
  <c r="E361" i="173"/>
  <c r="F338" i="173"/>
  <c r="F361" i="173" s="1"/>
  <c r="AC141" i="176"/>
  <c r="F386" i="173"/>
  <c r="L283" i="173"/>
  <c r="M283" i="173" s="1"/>
  <c r="N283" i="173" s="1"/>
  <c r="F412" i="176"/>
  <c r="H412" i="176" s="1"/>
  <c r="F417" i="176"/>
  <c r="H417" i="176" s="1"/>
  <c r="I417" i="176" s="1"/>
  <c r="J378" i="176"/>
  <c r="K378" i="176" s="1"/>
  <c r="L378" i="176" s="1"/>
  <c r="J343" i="176"/>
  <c r="AF123" i="176"/>
  <c r="L259" i="173"/>
  <c r="W227" i="176" l="1"/>
  <c r="X227" i="176" s="1"/>
  <c r="Y227" i="176" s="1"/>
  <c r="Z227" i="176" s="1"/>
  <c r="AA227" i="176" s="1"/>
  <c r="AB227" i="176" s="1"/>
  <c r="S244" i="176"/>
  <c r="T244" i="176" s="1"/>
  <c r="X218" i="173"/>
  <c r="Y218" i="173" s="1"/>
  <c r="Z218" i="173" s="1"/>
  <c r="AA218" i="173" s="1"/>
  <c r="N317" i="176"/>
  <c r="O331" i="176"/>
  <c r="P331" i="176" s="1"/>
  <c r="W217" i="173"/>
  <c r="X217" i="173" s="1"/>
  <c r="Y217" i="173" s="1"/>
  <c r="Z217" i="173" s="1"/>
  <c r="P259" i="176"/>
  <c r="Q259" i="176" s="1"/>
  <c r="R226" i="176"/>
  <c r="S226" i="176" s="1"/>
  <c r="S211" i="173"/>
  <c r="T211" i="173" s="1"/>
  <c r="U211" i="173" s="1"/>
  <c r="V211" i="173" s="1"/>
  <c r="Z216" i="173"/>
  <c r="AA216" i="173" s="1"/>
  <c r="S214" i="176"/>
  <c r="T214" i="176" s="1"/>
  <c r="U214" i="176" s="1"/>
  <c r="V214" i="176" s="1"/>
  <c r="W214" i="176"/>
  <c r="Q257" i="176"/>
  <c r="R257" i="176" s="1"/>
  <c r="O317" i="176"/>
  <c r="P246" i="176"/>
  <c r="Q223" i="176"/>
  <c r="R223" i="176" s="1"/>
  <c r="S223" i="176" s="1"/>
  <c r="T223" i="176" s="1"/>
  <c r="U223" i="176" s="1"/>
  <c r="V223" i="176" s="1"/>
  <c r="W223" i="176" s="1"/>
  <c r="X223" i="176" s="1"/>
  <c r="Y223" i="176" s="1"/>
  <c r="Z223" i="176" s="1"/>
  <c r="AA223" i="176" s="1"/>
  <c r="AB223" i="176" s="1"/>
  <c r="AC223" i="176" s="1"/>
  <c r="AD223" i="176" s="1"/>
  <c r="AE223" i="176" s="1"/>
  <c r="AF223" i="176" s="1"/>
  <c r="P271" i="173"/>
  <c r="Q271" i="173" s="1"/>
  <c r="L46" i="176"/>
  <c r="M42" i="176" s="1"/>
  <c r="F462" i="176"/>
  <c r="H462" i="176" s="1"/>
  <c r="F456" i="176"/>
  <c r="F471" i="176"/>
  <c r="H471" i="176" s="1"/>
  <c r="N303" i="173"/>
  <c r="M288" i="176"/>
  <c r="M275" i="173"/>
  <c r="N291" i="176"/>
  <c r="O291" i="176" s="1"/>
  <c r="P291" i="176" s="1"/>
  <c r="S258" i="176"/>
  <c r="M268" i="173"/>
  <c r="N268" i="173"/>
  <c r="O268" i="173"/>
  <c r="R249" i="176"/>
  <c r="S249" i="176" s="1"/>
  <c r="T249" i="176" s="1"/>
  <c r="U249" i="176" s="1"/>
  <c r="V249" i="176" s="1"/>
  <c r="W249" i="176" s="1"/>
  <c r="Q224" i="176"/>
  <c r="R224" i="176" s="1"/>
  <c r="N302" i="173"/>
  <c r="O302" i="173"/>
  <c r="L316" i="176"/>
  <c r="M316" i="176" s="1"/>
  <c r="M304" i="173"/>
  <c r="N295" i="176"/>
  <c r="O295" i="176" s="1"/>
  <c r="P295" i="176" s="1"/>
  <c r="U220" i="173"/>
  <c r="L298" i="173"/>
  <c r="M298" i="173" s="1"/>
  <c r="L330" i="176"/>
  <c r="M330" i="176" s="1"/>
  <c r="L348" i="176"/>
  <c r="M348" i="176" s="1"/>
  <c r="O297" i="176"/>
  <c r="P297" i="176" s="1"/>
  <c r="J327" i="173"/>
  <c r="L321" i="176"/>
  <c r="AB218" i="176"/>
  <c r="AC218" i="176" s="1"/>
  <c r="AD218" i="176" s="1"/>
  <c r="N296" i="176"/>
  <c r="O296" i="176" s="1"/>
  <c r="O285" i="176"/>
  <c r="P285" i="176" s="1"/>
  <c r="N260" i="176"/>
  <c r="O260" i="176" s="1"/>
  <c r="K360" i="176"/>
  <c r="F410" i="173"/>
  <c r="H410" i="173" s="1"/>
  <c r="L331" i="173"/>
  <c r="K358" i="176"/>
  <c r="N240" i="173"/>
  <c r="O240" i="173" s="1"/>
  <c r="F465" i="176"/>
  <c r="H465" i="176" s="1"/>
  <c r="J351" i="176"/>
  <c r="L324" i="173"/>
  <c r="L320" i="176"/>
  <c r="M320" i="176" s="1"/>
  <c r="N320" i="176" s="1"/>
  <c r="Q212" i="173"/>
  <c r="R212" i="173" s="1"/>
  <c r="N247" i="173"/>
  <c r="N269" i="173"/>
  <c r="O269" i="173"/>
  <c r="P269" i="173" s="1"/>
  <c r="J355" i="173"/>
  <c r="K355" i="173" s="1"/>
  <c r="J352" i="173"/>
  <c r="K352" i="173" s="1"/>
  <c r="K301" i="173"/>
  <c r="L301" i="173" s="1"/>
  <c r="N246" i="173"/>
  <c r="O246" i="173" s="1"/>
  <c r="M286" i="176"/>
  <c r="N286" i="176"/>
  <c r="O286" i="176" s="1"/>
  <c r="P286" i="176" s="1"/>
  <c r="O222" i="176"/>
  <c r="N289" i="176"/>
  <c r="O276" i="173"/>
  <c r="P276" i="173" s="1"/>
  <c r="R215" i="176"/>
  <c r="J356" i="176"/>
  <c r="N293" i="176"/>
  <c r="O293" i="176" s="1"/>
  <c r="P293" i="176" s="1"/>
  <c r="N267" i="173"/>
  <c r="O267" i="173" s="1"/>
  <c r="K323" i="176"/>
  <c r="N319" i="176"/>
  <c r="O319" i="176"/>
  <c r="F461" i="176"/>
  <c r="H461" i="176" s="1"/>
  <c r="P236" i="173"/>
  <c r="Q236" i="173"/>
  <c r="S281" i="176"/>
  <c r="T281" i="176" s="1"/>
  <c r="K326" i="176"/>
  <c r="J400" i="176"/>
  <c r="P239" i="173"/>
  <c r="F409" i="173"/>
  <c r="H409" i="173" s="1"/>
  <c r="F460" i="176"/>
  <c r="H460" i="176" s="1"/>
  <c r="J352" i="176"/>
  <c r="K352" i="176" s="1"/>
  <c r="L352" i="176" s="1"/>
  <c r="J391" i="176"/>
  <c r="O274" i="173"/>
  <c r="P274" i="173" s="1"/>
  <c r="L327" i="176"/>
  <c r="Q221" i="176"/>
  <c r="R221" i="176" s="1"/>
  <c r="S221" i="176" s="1"/>
  <c r="T221" i="176" s="1"/>
  <c r="U221" i="176" s="1"/>
  <c r="V221" i="176" s="1"/>
  <c r="W221" i="176" s="1"/>
  <c r="X221" i="176" s="1"/>
  <c r="Y221" i="176" s="1"/>
  <c r="Z221" i="176" s="1"/>
  <c r="AA221" i="176" s="1"/>
  <c r="AB221" i="176" s="1"/>
  <c r="AC221" i="176" s="1"/>
  <c r="AD221" i="176" s="1"/>
  <c r="P244" i="173"/>
  <c r="Q244" i="173" s="1"/>
  <c r="O270" i="173"/>
  <c r="R248" i="173"/>
  <c r="N253" i="176"/>
  <c r="P219" i="176"/>
  <c r="Q219" i="176" s="1"/>
  <c r="R219" i="176" s="1"/>
  <c r="S219" i="176" s="1"/>
  <c r="T219" i="176" s="1"/>
  <c r="U219" i="176" s="1"/>
  <c r="K329" i="173"/>
  <c r="F411" i="173"/>
  <c r="H411" i="173" s="1"/>
  <c r="J387" i="176"/>
  <c r="K353" i="176"/>
  <c r="R254" i="176"/>
  <c r="S254" i="176" s="1"/>
  <c r="N217" i="176"/>
  <c r="K329" i="176"/>
  <c r="Q272" i="173"/>
  <c r="M241" i="173"/>
  <c r="N241" i="173" s="1"/>
  <c r="L249" i="173"/>
  <c r="L50" i="173" s="1"/>
  <c r="L51" i="173" s="1"/>
  <c r="F413" i="173"/>
  <c r="H413" i="173" s="1"/>
  <c r="J357" i="173"/>
  <c r="K357" i="173" s="1"/>
  <c r="Q212" i="176"/>
  <c r="L332" i="176"/>
  <c r="M332" i="176" s="1"/>
  <c r="O213" i="173"/>
  <c r="L299" i="173"/>
  <c r="P213" i="176"/>
  <c r="O261" i="176"/>
  <c r="O251" i="176"/>
  <c r="L325" i="176"/>
  <c r="Q219" i="173"/>
  <c r="F459" i="176"/>
  <c r="H459" i="176" s="1"/>
  <c r="J399" i="176"/>
  <c r="M287" i="176"/>
  <c r="O217" i="176"/>
  <c r="F469" i="176"/>
  <c r="H469" i="176" s="1"/>
  <c r="J330" i="173"/>
  <c r="K361" i="176"/>
  <c r="Q215" i="173"/>
  <c r="K367" i="176"/>
  <c r="K363" i="176"/>
  <c r="L297" i="173"/>
  <c r="M297" i="173" s="1"/>
  <c r="R284" i="176"/>
  <c r="O220" i="176"/>
  <c r="N262" i="176"/>
  <c r="M292" i="176"/>
  <c r="N221" i="173"/>
  <c r="N44" i="173" s="1"/>
  <c r="N45" i="173" s="1"/>
  <c r="M243" i="173"/>
  <c r="N248" i="176"/>
  <c r="O247" i="176"/>
  <c r="L282" i="176"/>
  <c r="M282" i="176"/>
  <c r="N290" i="176"/>
  <c r="Q256" i="176"/>
  <c r="R211" i="176"/>
  <c r="L295" i="173"/>
  <c r="O245" i="173"/>
  <c r="O273" i="173"/>
  <c r="P273" i="173"/>
  <c r="J351" i="173"/>
  <c r="K351" i="173" s="1"/>
  <c r="Q214" i="173"/>
  <c r="R214" i="173"/>
  <c r="I429" i="176"/>
  <c r="J402" i="176"/>
  <c r="K402" i="176" s="1"/>
  <c r="N283" i="176"/>
  <c r="L300" i="173"/>
  <c r="M300" i="173" s="1"/>
  <c r="N250" i="176"/>
  <c r="O250" i="176" s="1"/>
  <c r="P250" i="176" s="1"/>
  <c r="O252" i="176"/>
  <c r="Q216" i="176"/>
  <c r="M294" i="176"/>
  <c r="Q242" i="173"/>
  <c r="R242" i="173" s="1"/>
  <c r="S242" i="173" s="1"/>
  <c r="O225" i="176"/>
  <c r="J356" i="173"/>
  <c r="K356" i="173" s="1"/>
  <c r="L356" i="173" s="1"/>
  <c r="M356" i="173" s="1"/>
  <c r="O255" i="176"/>
  <c r="R243" i="176"/>
  <c r="S243" i="176" s="1"/>
  <c r="T243" i="176" s="1"/>
  <c r="K326" i="173"/>
  <c r="K355" i="176"/>
  <c r="K354" i="176"/>
  <c r="V205" i="173"/>
  <c r="W205" i="173" s="1"/>
  <c r="X205" i="173" s="1"/>
  <c r="Y205" i="173" s="1"/>
  <c r="K362" i="176"/>
  <c r="M324" i="176"/>
  <c r="L322" i="176"/>
  <c r="M322" i="176" s="1"/>
  <c r="L323" i="173"/>
  <c r="K365" i="176"/>
  <c r="L365" i="176" s="1"/>
  <c r="M365" i="176" s="1"/>
  <c r="M358" i="173"/>
  <c r="L328" i="176"/>
  <c r="M328" i="176" s="1"/>
  <c r="L325" i="173"/>
  <c r="M325" i="173" s="1"/>
  <c r="L296" i="173"/>
  <c r="M296" i="173" s="1"/>
  <c r="L366" i="176"/>
  <c r="M366" i="176" s="1"/>
  <c r="L332" i="173"/>
  <c r="M332" i="173" s="1"/>
  <c r="K359" i="176"/>
  <c r="J354" i="173"/>
  <c r="K354" i="173" s="1"/>
  <c r="L354" i="173" s="1"/>
  <c r="L318" i="176"/>
  <c r="M318" i="176"/>
  <c r="K357" i="176"/>
  <c r="L357" i="176" s="1"/>
  <c r="M357" i="176" s="1"/>
  <c r="AD178" i="176"/>
  <c r="AE174" i="176" s="1"/>
  <c r="AE176" i="176" s="1"/>
  <c r="AE177" i="176" s="1"/>
  <c r="I384" i="173"/>
  <c r="J396" i="176"/>
  <c r="J401" i="176"/>
  <c r="J392" i="176"/>
  <c r="I383" i="173"/>
  <c r="J353" i="173"/>
  <c r="J394" i="176"/>
  <c r="J395" i="176"/>
  <c r="J397" i="176"/>
  <c r="K356" i="176"/>
  <c r="L356" i="176" s="1"/>
  <c r="K364" i="176"/>
  <c r="J359" i="173"/>
  <c r="J390" i="176"/>
  <c r="K380" i="173"/>
  <c r="I430" i="176"/>
  <c r="I424" i="176"/>
  <c r="K328" i="173"/>
  <c r="J386" i="176"/>
  <c r="I385" i="173"/>
  <c r="I426" i="176"/>
  <c r="J426" i="176"/>
  <c r="I388" i="173"/>
  <c r="L46" i="173"/>
  <c r="M42" i="173" s="1"/>
  <c r="M46" i="173" s="1"/>
  <c r="N42" i="173" s="1"/>
  <c r="I423" i="176"/>
  <c r="J310" i="173"/>
  <c r="K310" i="173" s="1"/>
  <c r="L310" i="173" s="1"/>
  <c r="I431" i="176"/>
  <c r="I427" i="176"/>
  <c r="I381" i="173"/>
  <c r="I421" i="176"/>
  <c r="I435" i="176"/>
  <c r="I398" i="176"/>
  <c r="I425" i="176"/>
  <c r="I388" i="176"/>
  <c r="J388" i="176" s="1"/>
  <c r="I432" i="176"/>
  <c r="M45" i="173"/>
  <c r="I436" i="176"/>
  <c r="I433" i="176"/>
  <c r="I389" i="176"/>
  <c r="I382" i="173"/>
  <c r="I393" i="176"/>
  <c r="J393" i="176" s="1"/>
  <c r="I360" i="173"/>
  <c r="J360" i="173" s="1"/>
  <c r="I428" i="176"/>
  <c r="I437" i="176"/>
  <c r="H449" i="176"/>
  <c r="I449" i="176" s="1"/>
  <c r="J449" i="176" s="1"/>
  <c r="K449" i="176" s="1"/>
  <c r="H452" i="176"/>
  <c r="I452" i="176" s="1"/>
  <c r="J452" i="176" s="1"/>
  <c r="H472" i="176"/>
  <c r="H333" i="173"/>
  <c r="H68" i="173" s="1"/>
  <c r="H70" i="173" s="1"/>
  <c r="I66" i="173" s="1"/>
  <c r="J58" i="173"/>
  <c r="K54" i="173" s="1"/>
  <c r="U207" i="173"/>
  <c r="V207" i="173" s="1"/>
  <c r="W207" i="173" s="1"/>
  <c r="X207" i="173" s="1"/>
  <c r="Y207" i="173" s="1"/>
  <c r="Z207" i="173" s="1"/>
  <c r="AA207" i="173" s="1"/>
  <c r="AB207" i="173" s="1"/>
  <c r="AC207" i="173" s="1"/>
  <c r="AD207" i="173" s="1"/>
  <c r="O261" i="173"/>
  <c r="O204" i="173"/>
  <c r="H64" i="173"/>
  <c r="I60" i="173" s="1"/>
  <c r="I64" i="173" s="1"/>
  <c r="J60" i="173" s="1"/>
  <c r="I63" i="173"/>
  <c r="K277" i="173"/>
  <c r="K56" i="173" s="1"/>
  <c r="K57" i="173" s="1"/>
  <c r="Q227" i="173"/>
  <c r="R227" i="173" s="1"/>
  <c r="T233" i="173"/>
  <c r="U233" i="173" s="1"/>
  <c r="R232" i="173"/>
  <c r="S232" i="173" s="1"/>
  <c r="T232" i="173" s="1"/>
  <c r="U232" i="173" s="1"/>
  <c r="V232" i="173" s="1"/>
  <c r="P275" i="176"/>
  <c r="Q275" i="176" s="1"/>
  <c r="T208" i="176"/>
  <c r="U208" i="176" s="1"/>
  <c r="V208" i="176" s="1"/>
  <c r="J379" i="176"/>
  <c r="K379" i="176" s="1"/>
  <c r="R209" i="173"/>
  <c r="S209" i="173" s="1"/>
  <c r="U234" i="173"/>
  <c r="V234" i="173" s="1"/>
  <c r="W234" i="173" s="1"/>
  <c r="X234" i="173" s="1"/>
  <c r="Y234" i="173" s="1"/>
  <c r="Z234" i="173" s="1"/>
  <c r="AA234" i="173" s="1"/>
  <c r="AB234" i="173" s="1"/>
  <c r="AC234" i="173" s="1"/>
  <c r="AD234" i="173" s="1"/>
  <c r="I333" i="173"/>
  <c r="I68" i="173" s="1"/>
  <c r="L311" i="176"/>
  <c r="O265" i="173"/>
  <c r="P237" i="173"/>
  <c r="Q237" i="173" s="1"/>
  <c r="R237" i="173" s="1"/>
  <c r="S276" i="176"/>
  <c r="T276" i="176" s="1"/>
  <c r="J382" i="176"/>
  <c r="K340" i="173"/>
  <c r="L340" i="173" s="1"/>
  <c r="I420" i="176"/>
  <c r="J420" i="176" s="1"/>
  <c r="F451" i="176"/>
  <c r="H451" i="176" s="1"/>
  <c r="I451" i="176" s="1"/>
  <c r="N288" i="173"/>
  <c r="K291" i="173"/>
  <c r="L291" i="173" s="1"/>
  <c r="M291" i="173" s="1"/>
  <c r="T240" i="176"/>
  <c r="U240" i="176" s="1"/>
  <c r="V240" i="176" s="1"/>
  <c r="W240" i="176" s="1"/>
  <c r="X240" i="176" s="1"/>
  <c r="Y240" i="176" s="1"/>
  <c r="Z240" i="176" s="1"/>
  <c r="AA240" i="176" s="1"/>
  <c r="L346" i="176"/>
  <c r="P266" i="173"/>
  <c r="Q266" i="173" s="1"/>
  <c r="R266" i="173" s="1"/>
  <c r="S266" i="173" s="1"/>
  <c r="M316" i="173"/>
  <c r="N241" i="176"/>
  <c r="I418" i="176"/>
  <c r="J380" i="176"/>
  <c r="M349" i="176"/>
  <c r="N349" i="176" s="1"/>
  <c r="O349" i="176" s="1"/>
  <c r="J344" i="173"/>
  <c r="K344" i="173" s="1"/>
  <c r="O274" i="176"/>
  <c r="P274" i="176" s="1"/>
  <c r="P210" i="176"/>
  <c r="Q210" i="176" s="1"/>
  <c r="R210" i="176" s="1"/>
  <c r="S210" i="176"/>
  <c r="O278" i="176"/>
  <c r="P278" i="176" s="1"/>
  <c r="N309" i="176"/>
  <c r="O309" i="176" s="1"/>
  <c r="R239" i="176"/>
  <c r="I377" i="173"/>
  <c r="O315" i="176"/>
  <c r="P315" i="176" s="1"/>
  <c r="K322" i="173"/>
  <c r="L322" i="173" s="1"/>
  <c r="L344" i="176"/>
  <c r="M344" i="176" s="1"/>
  <c r="L289" i="173"/>
  <c r="M289" i="173" s="1"/>
  <c r="K317" i="173"/>
  <c r="L317" i="173" s="1"/>
  <c r="I414" i="176"/>
  <c r="F447" i="176"/>
  <c r="H447" i="176" s="1"/>
  <c r="I447" i="176" s="1"/>
  <c r="O260" i="173"/>
  <c r="P260" i="173" s="1"/>
  <c r="U209" i="176"/>
  <c r="V209" i="176" s="1"/>
  <c r="K319" i="173"/>
  <c r="I381" i="176"/>
  <c r="J381" i="176"/>
  <c r="K381" i="176"/>
  <c r="L381" i="176" s="1"/>
  <c r="I384" i="176"/>
  <c r="J384" i="176" s="1"/>
  <c r="J347" i="173"/>
  <c r="L262" i="173"/>
  <c r="P208" i="173"/>
  <c r="K321" i="173"/>
  <c r="L321" i="173" s="1"/>
  <c r="M321" i="173" s="1"/>
  <c r="O310" i="176"/>
  <c r="P310" i="176" s="1"/>
  <c r="Q210" i="173"/>
  <c r="I349" i="173"/>
  <c r="V273" i="176"/>
  <c r="W273" i="176" s="1"/>
  <c r="X273" i="176" s="1"/>
  <c r="Y273" i="176" s="1"/>
  <c r="Z273" i="176" s="1"/>
  <c r="AA273" i="176" s="1"/>
  <c r="AB273" i="176" s="1"/>
  <c r="AC273" i="176" s="1"/>
  <c r="M292" i="173"/>
  <c r="M277" i="176"/>
  <c r="Q205" i="176"/>
  <c r="M280" i="176"/>
  <c r="N280" i="176" s="1"/>
  <c r="F400" i="173"/>
  <c r="H400" i="173" s="1"/>
  <c r="N263" i="173"/>
  <c r="O263" i="173" s="1"/>
  <c r="P263" i="173" s="1"/>
  <c r="R207" i="176"/>
  <c r="S207" i="176" s="1"/>
  <c r="T207" i="176" s="1"/>
  <c r="N350" i="176"/>
  <c r="O350" i="176" s="1"/>
  <c r="J417" i="176"/>
  <c r="K417" i="176" s="1"/>
  <c r="M347" i="176"/>
  <c r="N347" i="176" s="1"/>
  <c r="L346" i="173"/>
  <c r="M346" i="173" s="1"/>
  <c r="J318" i="173"/>
  <c r="F455" i="176"/>
  <c r="H455" i="176" s="1"/>
  <c r="I345" i="173"/>
  <c r="I348" i="173"/>
  <c r="N264" i="173"/>
  <c r="O264" i="173" s="1"/>
  <c r="P294" i="173"/>
  <c r="L314" i="176"/>
  <c r="M314" i="176" s="1"/>
  <c r="L290" i="173"/>
  <c r="M290" i="173" s="1"/>
  <c r="N290" i="173" s="1"/>
  <c r="O238" i="173"/>
  <c r="P238" i="173" s="1"/>
  <c r="Q238" i="173" s="1"/>
  <c r="L345" i="176"/>
  <c r="R235" i="173"/>
  <c r="K350" i="173"/>
  <c r="K312" i="176"/>
  <c r="M279" i="176"/>
  <c r="N279" i="176" s="1"/>
  <c r="K320" i="173"/>
  <c r="L320" i="173" s="1"/>
  <c r="I372" i="173"/>
  <c r="N293" i="173"/>
  <c r="K383" i="176"/>
  <c r="P238" i="176"/>
  <c r="Q238" i="176" s="1"/>
  <c r="R238" i="176" s="1"/>
  <c r="S238" i="176" s="1"/>
  <c r="T238" i="176" s="1"/>
  <c r="U238" i="176" s="1"/>
  <c r="V238" i="176" s="1"/>
  <c r="W238" i="176" s="1"/>
  <c r="X238" i="176" s="1"/>
  <c r="Y238" i="176" s="1"/>
  <c r="Z238" i="176" s="1"/>
  <c r="AA238" i="176" s="1"/>
  <c r="AB238" i="176" s="1"/>
  <c r="AC238" i="176" s="1"/>
  <c r="AD238" i="176" s="1"/>
  <c r="AE238" i="176" s="1"/>
  <c r="AF238" i="176" s="1"/>
  <c r="AG238" i="176" s="1"/>
  <c r="AH238" i="176" s="1"/>
  <c r="AI238" i="176" s="1"/>
  <c r="AJ238" i="176" s="1"/>
  <c r="AK238" i="176" s="1"/>
  <c r="T206" i="176"/>
  <c r="K385" i="176"/>
  <c r="S242" i="176"/>
  <c r="T242" i="176" s="1"/>
  <c r="Q245" i="176"/>
  <c r="R245" i="176" s="1"/>
  <c r="Q313" i="176"/>
  <c r="R313" i="176" s="1"/>
  <c r="S313" i="176" s="1"/>
  <c r="O283" i="173"/>
  <c r="P283" i="173" s="1"/>
  <c r="Q283" i="173" s="1"/>
  <c r="R283" i="173" s="1"/>
  <c r="S283" i="173" s="1"/>
  <c r="O257" i="173"/>
  <c r="K312" i="173"/>
  <c r="L312" i="173" s="1"/>
  <c r="M312" i="173" s="1"/>
  <c r="M306" i="176"/>
  <c r="N306" i="176" s="1"/>
  <c r="O306" i="176" s="1"/>
  <c r="P306" i="176" s="1"/>
  <c r="Q306" i="176" s="1"/>
  <c r="R306" i="176" s="1"/>
  <c r="S306" i="176" s="1"/>
  <c r="T306" i="176" s="1"/>
  <c r="U306" i="176" s="1"/>
  <c r="V306" i="176" s="1"/>
  <c r="W306" i="176" s="1"/>
  <c r="X306" i="176" s="1"/>
  <c r="Y306" i="176" s="1"/>
  <c r="Z306" i="176" s="1"/>
  <c r="AA306" i="176" s="1"/>
  <c r="AB306" i="176" s="1"/>
  <c r="AC306" i="176" s="1"/>
  <c r="AD306" i="176" s="1"/>
  <c r="AE306" i="176" s="1"/>
  <c r="AF306" i="176" s="1"/>
  <c r="AG306" i="176" s="1"/>
  <c r="AH306" i="176" s="1"/>
  <c r="AI306" i="176" s="1"/>
  <c r="AJ306" i="176" s="1"/>
  <c r="AK306" i="176" s="1"/>
  <c r="AG204" i="176"/>
  <c r="AH204" i="176" s="1"/>
  <c r="AI204" i="176" s="1"/>
  <c r="AJ204" i="176" s="1"/>
  <c r="AK204" i="176" s="1"/>
  <c r="K342" i="173"/>
  <c r="L342" i="173" s="1"/>
  <c r="O269" i="176"/>
  <c r="P269" i="176" s="1"/>
  <c r="Q269" i="176" s="1"/>
  <c r="R269" i="176" s="1"/>
  <c r="S269" i="176" s="1"/>
  <c r="T269" i="176" s="1"/>
  <c r="U269" i="176" s="1"/>
  <c r="V269" i="176" s="1"/>
  <c r="W269" i="176" s="1"/>
  <c r="L377" i="176"/>
  <c r="K52" i="176"/>
  <c r="L48" i="176" s="1"/>
  <c r="P258" i="173"/>
  <c r="Q258" i="173" s="1"/>
  <c r="R258" i="173" s="1"/>
  <c r="S258" i="173" s="1"/>
  <c r="T258" i="173" s="1"/>
  <c r="U258" i="173" s="1"/>
  <c r="V258" i="173" s="1"/>
  <c r="W258" i="173" s="1"/>
  <c r="X258" i="173" s="1"/>
  <c r="Y258" i="173" s="1"/>
  <c r="Z258" i="173" s="1"/>
  <c r="AA258" i="173" s="1"/>
  <c r="AB258" i="173" s="1"/>
  <c r="AC258" i="173" s="1"/>
  <c r="AD258" i="173" s="1"/>
  <c r="O230" i="173"/>
  <c r="W237" i="176"/>
  <c r="X237" i="176" s="1"/>
  <c r="Y237" i="176" s="1"/>
  <c r="Z237" i="176" s="1"/>
  <c r="AA237" i="176" s="1"/>
  <c r="AB237" i="176" s="1"/>
  <c r="AC237" i="176" s="1"/>
  <c r="AD237" i="176" s="1"/>
  <c r="AE237" i="176" s="1"/>
  <c r="AF237" i="176" s="1"/>
  <c r="AG237" i="176" s="1"/>
  <c r="AH237" i="176" s="1"/>
  <c r="AI237" i="176" s="1"/>
  <c r="AJ237" i="176" s="1"/>
  <c r="AK237" i="176" s="1"/>
  <c r="AE236" i="176"/>
  <c r="AF236" i="176" s="1"/>
  <c r="AG236" i="176" s="1"/>
  <c r="AH236" i="176" s="1"/>
  <c r="AI236" i="176" s="1"/>
  <c r="AJ236" i="176" s="1"/>
  <c r="AK236" i="176" s="1"/>
  <c r="K370" i="173"/>
  <c r="L370" i="173" s="1"/>
  <c r="J298" i="176"/>
  <c r="J56" i="176" s="1"/>
  <c r="J58" i="176" s="1"/>
  <c r="K54" i="176" s="1"/>
  <c r="K268" i="176"/>
  <c r="K298" i="176" s="1"/>
  <c r="K56" i="176" s="1"/>
  <c r="O284" i="173"/>
  <c r="K374" i="176"/>
  <c r="P270" i="176"/>
  <c r="Q270" i="176" s="1"/>
  <c r="R270" i="176" s="1"/>
  <c r="S270" i="176" s="1"/>
  <c r="T270" i="176" s="1"/>
  <c r="U270" i="176" s="1"/>
  <c r="V270" i="176" s="1"/>
  <c r="W270" i="176" s="1"/>
  <c r="X270" i="176" s="1"/>
  <c r="Y270" i="176" s="1"/>
  <c r="Z270" i="176" s="1"/>
  <c r="AA270" i="176" s="1"/>
  <c r="AB270" i="176" s="1"/>
  <c r="AC270" i="176" s="1"/>
  <c r="AD270" i="176" s="1"/>
  <c r="AE270" i="176" s="1"/>
  <c r="AF270" i="176" s="1"/>
  <c r="AG270" i="176" s="1"/>
  <c r="AH270" i="176" s="1"/>
  <c r="AI270" i="176" s="1"/>
  <c r="AJ270" i="176" s="1"/>
  <c r="AK270" i="176" s="1"/>
  <c r="H415" i="176"/>
  <c r="H453" i="176"/>
  <c r="H387" i="173"/>
  <c r="H374" i="173"/>
  <c r="H386" i="173"/>
  <c r="AC166" i="173"/>
  <c r="AD162" i="173" s="1"/>
  <c r="AD164" i="173" s="1"/>
  <c r="AD165" i="173" s="1"/>
  <c r="H379" i="173"/>
  <c r="H373" i="173"/>
  <c r="H422" i="176"/>
  <c r="H395" i="173"/>
  <c r="I395" i="173" s="1"/>
  <c r="H456" i="176"/>
  <c r="H457" i="176"/>
  <c r="H467" i="176"/>
  <c r="H375" i="173"/>
  <c r="H416" i="176"/>
  <c r="H419" i="176"/>
  <c r="H470" i="176"/>
  <c r="H444" i="176"/>
  <c r="H434" i="176"/>
  <c r="H376" i="173"/>
  <c r="H378" i="173"/>
  <c r="H468" i="176"/>
  <c r="F396" i="173"/>
  <c r="H396" i="173" s="1"/>
  <c r="H368" i="176"/>
  <c r="H68" i="176" s="1"/>
  <c r="I338" i="176"/>
  <c r="R198" i="173"/>
  <c r="K343" i="176"/>
  <c r="M308" i="176"/>
  <c r="F407" i="173"/>
  <c r="M304" i="176"/>
  <c r="N304" i="176" s="1"/>
  <c r="O304" i="176" s="1"/>
  <c r="K367" i="173"/>
  <c r="AC134" i="173"/>
  <c r="F463" i="176"/>
  <c r="H463" i="176" s="1"/>
  <c r="F445" i="176"/>
  <c r="H445" i="176" s="1"/>
  <c r="I445" i="176" s="1"/>
  <c r="J445" i="176" s="1"/>
  <c r="F403" i="176"/>
  <c r="H373" i="176"/>
  <c r="F458" i="176"/>
  <c r="H458" i="176" s="1"/>
  <c r="AB170" i="173"/>
  <c r="F397" i="173"/>
  <c r="H397" i="173" s="1"/>
  <c r="I397" i="173" s="1"/>
  <c r="K341" i="173"/>
  <c r="M378" i="176"/>
  <c r="N378" i="176" s="1"/>
  <c r="AD164" i="176"/>
  <c r="AD165" i="176" s="1"/>
  <c r="L341" i="176"/>
  <c r="M341" i="176" s="1"/>
  <c r="N341" i="176" s="1"/>
  <c r="O341" i="176" s="1"/>
  <c r="P341" i="176" s="1"/>
  <c r="Q341" i="176" s="1"/>
  <c r="R341" i="176" s="1"/>
  <c r="S341" i="176" s="1"/>
  <c r="T341" i="176" s="1"/>
  <c r="U341" i="176" s="1"/>
  <c r="V341" i="176" s="1"/>
  <c r="W341" i="176" s="1"/>
  <c r="X341" i="176" s="1"/>
  <c r="Y341" i="176" s="1"/>
  <c r="Z341" i="176" s="1"/>
  <c r="AA341" i="176" s="1"/>
  <c r="AB341" i="176" s="1"/>
  <c r="AC341" i="176" s="1"/>
  <c r="AD341" i="176" s="1"/>
  <c r="AE341" i="176" s="1"/>
  <c r="F446" i="176"/>
  <c r="H446" i="176" s="1"/>
  <c r="F450" i="176"/>
  <c r="H450" i="176" s="1"/>
  <c r="I450" i="176" s="1"/>
  <c r="N305" i="176"/>
  <c r="O305" i="176" s="1"/>
  <c r="P305" i="176" s="1"/>
  <c r="Q305" i="176" s="1"/>
  <c r="R305" i="176" s="1"/>
  <c r="S305" i="176" s="1"/>
  <c r="T305" i="176" s="1"/>
  <c r="U305" i="176" s="1"/>
  <c r="V305" i="176" s="1"/>
  <c r="W305" i="176" s="1"/>
  <c r="X305" i="176" s="1"/>
  <c r="Y305" i="176" s="1"/>
  <c r="Z305" i="176" s="1"/>
  <c r="AA305" i="176" s="1"/>
  <c r="AB305" i="176" s="1"/>
  <c r="AC305" i="176" s="1"/>
  <c r="AD305" i="176" s="1"/>
  <c r="AE305" i="176" s="1"/>
  <c r="AF305" i="176" s="1"/>
  <c r="AG305" i="176" s="1"/>
  <c r="AH305" i="176" s="1"/>
  <c r="AI305" i="176" s="1"/>
  <c r="AJ305" i="176" s="1"/>
  <c r="AK305" i="176" s="1"/>
  <c r="AD135" i="176"/>
  <c r="F454" i="176"/>
  <c r="H454" i="176" s="1"/>
  <c r="AD136" i="176"/>
  <c r="AE132" i="176" s="1"/>
  <c r="P226" i="173"/>
  <c r="AC158" i="173"/>
  <c r="AC159" i="173" s="1"/>
  <c r="M313" i="173"/>
  <c r="N272" i="176"/>
  <c r="O272" i="176" s="1"/>
  <c r="P272" i="176" s="1"/>
  <c r="Q272" i="176" s="1"/>
  <c r="R272" i="176" s="1"/>
  <c r="S272" i="176" s="1"/>
  <c r="T272" i="176" s="1"/>
  <c r="U272" i="176" s="1"/>
  <c r="V272" i="176" s="1"/>
  <c r="W272" i="176" s="1"/>
  <c r="X272" i="176" s="1"/>
  <c r="Y272" i="176" s="1"/>
  <c r="Z272" i="176" s="1"/>
  <c r="AA272" i="176" s="1"/>
  <c r="AB272" i="176" s="1"/>
  <c r="AC272" i="176" s="1"/>
  <c r="AD272" i="176" s="1"/>
  <c r="AE272" i="176" s="1"/>
  <c r="AF272" i="176" s="1"/>
  <c r="AG272" i="176" s="1"/>
  <c r="AH272" i="176" s="1"/>
  <c r="AI272" i="176" s="1"/>
  <c r="AJ272" i="176" s="1"/>
  <c r="AK272" i="176" s="1"/>
  <c r="F403" i="173"/>
  <c r="F408" i="173"/>
  <c r="H408" i="173" s="1"/>
  <c r="F401" i="173"/>
  <c r="L314" i="173"/>
  <c r="I369" i="173"/>
  <c r="AC172" i="176"/>
  <c r="AD168" i="176" s="1"/>
  <c r="AD142" i="176"/>
  <c r="AE138" i="176" s="1"/>
  <c r="K315" i="173"/>
  <c r="M263" i="176"/>
  <c r="M50" i="176" s="1"/>
  <c r="N233" i="176"/>
  <c r="F466" i="176"/>
  <c r="H466" i="176" s="1"/>
  <c r="M343" i="173"/>
  <c r="N343" i="173" s="1"/>
  <c r="F464" i="176"/>
  <c r="N231" i="173"/>
  <c r="I410" i="176"/>
  <c r="J410" i="176" s="1"/>
  <c r="F416" i="173"/>
  <c r="AE129" i="176"/>
  <c r="E443" i="176"/>
  <c r="C450" i="173" a="1"/>
  <c r="N307" i="176"/>
  <c r="M228" i="176"/>
  <c r="M44" i="176" s="1"/>
  <c r="N198" i="176"/>
  <c r="F402" i="173"/>
  <c r="AE130" i="176"/>
  <c r="AF126" i="176" s="1"/>
  <c r="J375" i="176"/>
  <c r="K375" i="176" s="1"/>
  <c r="H448" i="176"/>
  <c r="I448" i="176" s="1"/>
  <c r="J339" i="173"/>
  <c r="L339" i="176"/>
  <c r="M339" i="176" s="1"/>
  <c r="N339" i="176" s="1"/>
  <c r="O339" i="176" s="1"/>
  <c r="P339" i="176" s="1"/>
  <c r="Q339" i="176" s="1"/>
  <c r="R339" i="176" s="1"/>
  <c r="S339" i="176" s="1"/>
  <c r="T339" i="176" s="1"/>
  <c r="U339" i="176" s="1"/>
  <c r="V339" i="176" s="1"/>
  <c r="W339" i="176" s="1"/>
  <c r="X339" i="176" s="1"/>
  <c r="Y339" i="176" s="1"/>
  <c r="O286" i="173"/>
  <c r="P286" i="173" s="1"/>
  <c r="Q286" i="173" s="1"/>
  <c r="R286" i="173" s="1"/>
  <c r="S286" i="173" s="1"/>
  <c r="T286" i="173" s="1"/>
  <c r="U286" i="173" s="1"/>
  <c r="V286" i="173" s="1"/>
  <c r="W286" i="173" s="1"/>
  <c r="X286" i="173" s="1"/>
  <c r="Y286" i="173" s="1"/>
  <c r="Z286" i="173" s="1"/>
  <c r="AC146" i="173"/>
  <c r="AC147" i="173" s="1"/>
  <c r="O271" i="176"/>
  <c r="P271" i="176" s="1"/>
  <c r="Q271" i="176" s="1"/>
  <c r="R271" i="176" s="1"/>
  <c r="S271" i="176" s="1"/>
  <c r="T271" i="176" s="1"/>
  <c r="U271" i="176" s="1"/>
  <c r="V271" i="176" s="1"/>
  <c r="W271" i="176" s="1"/>
  <c r="X271" i="176" s="1"/>
  <c r="Y271" i="176" s="1"/>
  <c r="Z271" i="176" s="1"/>
  <c r="AA271" i="176" s="1"/>
  <c r="AB271" i="176" s="1"/>
  <c r="AC271" i="176" s="1"/>
  <c r="AD271" i="176" s="1"/>
  <c r="AE271" i="176" s="1"/>
  <c r="AF271" i="176" s="1"/>
  <c r="AG271" i="176" s="1"/>
  <c r="AH271" i="176" s="1"/>
  <c r="AI271" i="176" s="1"/>
  <c r="AJ271" i="176" s="1"/>
  <c r="AK271" i="176" s="1"/>
  <c r="F412" i="173"/>
  <c r="AK545" i="176"/>
  <c r="C513" i="176" a="1"/>
  <c r="K342" i="176"/>
  <c r="L342" i="176" s="1"/>
  <c r="M342" i="176" s="1"/>
  <c r="N287" i="173"/>
  <c r="AD122" i="173"/>
  <c r="F414" i="173"/>
  <c r="H414" i="173" s="1"/>
  <c r="P199" i="173"/>
  <c r="C478" i="176"/>
  <c r="E507" i="176"/>
  <c r="E498" i="176"/>
  <c r="E495" i="176"/>
  <c r="E488" i="176"/>
  <c r="E502" i="176"/>
  <c r="E490" i="176"/>
  <c r="E492" i="176"/>
  <c r="E496" i="176"/>
  <c r="E485" i="176"/>
  <c r="E505" i="176"/>
  <c r="E483" i="176"/>
  <c r="F483" i="176" s="1"/>
  <c r="E504" i="176"/>
  <c r="E482" i="176"/>
  <c r="F482" i="176" s="1"/>
  <c r="E486" i="176"/>
  <c r="F486" i="176" s="1"/>
  <c r="E489" i="176"/>
  <c r="F489" i="176" s="1"/>
  <c r="E479" i="176"/>
  <c r="F479" i="176" s="1"/>
  <c r="E494" i="176"/>
  <c r="E480" i="176"/>
  <c r="F480" i="176" s="1"/>
  <c r="E500" i="176"/>
  <c r="E506" i="176"/>
  <c r="F506" i="176" s="1"/>
  <c r="E493" i="176"/>
  <c r="E481" i="176"/>
  <c r="E491" i="176"/>
  <c r="E484" i="176"/>
  <c r="E501" i="176"/>
  <c r="E499" i="176"/>
  <c r="E487" i="176"/>
  <c r="E497" i="176"/>
  <c r="E503" i="176"/>
  <c r="AD160" i="176"/>
  <c r="AE156" i="176" s="1"/>
  <c r="F405" i="173"/>
  <c r="I413" i="176"/>
  <c r="J413" i="176" s="1"/>
  <c r="K51" i="176"/>
  <c r="J368" i="173"/>
  <c r="K368" i="173" s="1"/>
  <c r="AG123" i="176"/>
  <c r="H64" i="176"/>
  <c r="I60" i="176" s="1"/>
  <c r="I64" i="176" s="1"/>
  <c r="J60" i="176" s="1"/>
  <c r="H63" i="176"/>
  <c r="I63" i="176"/>
  <c r="N285" i="173"/>
  <c r="O285" i="173" s="1"/>
  <c r="P285" i="173" s="1"/>
  <c r="Q285" i="173" s="1"/>
  <c r="R285" i="173" s="1"/>
  <c r="S285" i="173" s="1"/>
  <c r="T285" i="173" s="1"/>
  <c r="U285" i="173" s="1"/>
  <c r="V285" i="173" s="1"/>
  <c r="W285" i="173" s="1"/>
  <c r="X285" i="173" s="1"/>
  <c r="Y285" i="173" s="1"/>
  <c r="Z285" i="173" s="1"/>
  <c r="AA285" i="173" s="1"/>
  <c r="AB285" i="173" s="1"/>
  <c r="AC285" i="173" s="1"/>
  <c r="AD285" i="173" s="1"/>
  <c r="AG124" i="176"/>
  <c r="AH120" i="176" s="1"/>
  <c r="K51" i="173"/>
  <c r="N340" i="176"/>
  <c r="I409" i="176"/>
  <c r="AD152" i="176"/>
  <c r="AD153" i="176" s="1"/>
  <c r="F415" i="173"/>
  <c r="H415" i="173" s="1"/>
  <c r="AJ580" i="176"/>
  <c r="L263" i="176"/>
  <c r="L50" i="176" s="1"/>
  <c r="L51" i="176" s="1"/>
  <c r="M259" i="173"/>
  <c r="N259" i="173" s="1"/>
  <c r="O259" i="173" s="1"/>
  <c r="P259" i="173" s="1"/>
  <c r="Q259" i="173" s="1"/>
  <c r="R259" i="173" s="1"/>
  <c r="S259" i="173" s="1"/>
  <c r="T259" i="173" s="1"/>
  <c r="U259" i="173" s="1"/>
  <c r="V259" i="173" s="1"/>
  <c r="W259" i="173" s="1"/>
  <c r="X259" i="173" s="1"/>
  <c r="Y259" i="173" s="1"/>
  <c r="Z259" i="173" s="1"/>
  <c r="AA259" i="173" s="1"/>
  <c r="AB259" i="173" s="1"/>
  <c r="AC259" i="173" s="1"/>
  <c r="AD259" i="173" s="1"/>
  <c r="J305" i="173"/>
  <c r="J62" i="173" s="1"/>
  <c r="K282" i="173"/>
  <c r="F366" i="173"/>
  <c r="F389" i="173" s="1"/>
  <c r="E389" i="173"/>
  <c r="F399" i="173"/>
  <c r="H399" i="173" s="1"/>
  <c r="O311" i="173"/>
  <c r="AB142" i="173"/>
  <c r="AC138" i="173" s="1"/>
  <c r="F406" i="173"/>
  <c r="J303" i="176"/>
  <c r="L411" i="176"/>
  <c r="E436" i="173"/>
  <c r="E435" i="173"/>
  <c r="E432" i="173"/>
  <c r="E425" i="173"/>
  <c r="E424" i="173"/>
  <c r="E439" i="173"/>
  <c r="E429" i="173"/>
  <c r="E437" i="173"/>
  <c r="F437" i="173" s="1"/>
  <c r="E427" i="173"/>
  <c r="C422" i="173"/>
  <c r="E434" i="173"/>
  <c r="E433" i="173"/>
  <c r="E426" i="173"/>
  <c r="E441" i="173"/>
  <c r="E430" i="173"/>
  <c r="E431" i="173"/>
  <c r="E423" i="173"/>
  <c r="E442" i="173"/>
  <c r="E444" i="173"/>
  <c r="E428" i="173"/>
  <c r="E443" i="173"/>
  <c r="E438" i="173"/>
  <c r="E440" i="173"/>
  <c r="E394" i="173"/>
  <c r="I371" i="173"/>
  <c r="J371" i="173" s="1"/>
  <c r="M255" i="173"/>
  <c r="K52" i="173"/>
  <c r="L48" i="173" s="1"/>
  <c r="F398" i="173"/>
  <c r="H398" i="173" s="1"/>
  <c r="F408" i="176"/>
  <c r="F438" i="176" s="1"/>
  <c r="E438" i="176"/>
  <c r="AD146" i="176"/>
  <c r="AD148" i="176" s="1"/>
  <c r="AE144" i="176" s="1"/>
  <c r="F404" i="173"/>
  <c r="P254" i="173"/>
  <c r="H338" i="173"/>
  <c r="I412" i="176"/>
  <c r="K376" i="176"/>
  <c r="Q331" i="176" l="1"/>
  <c r="R331" i="176" s="1"/>
  <c r="AC227" i="176"/>
  <c r="AD227" i="176" s="1"/>
  <c r="AE227" i="176" s="1"/>
  <c r="AF227" i="176" s="1"/>
  <c r="AG227" i="176" s="1"/>
  <c r="AH227" i="176" s="1"/>
  <c r="AI227" i="176" s="1"/>
  <c r="AJ227" i="176" s="1"/>
  <c r="R259" i="176"/>
  <c r="S259" i="176" s="1"/>
  <c r="U244" i="176"/>
  <c r="V244" i="176" s="1"/>
  <c r="W244" i="176" s="1"/>
  <c r="AA217" i="173"/>
  <c r="AB217" i="173" s="1"/>
  <c r="AC217" i="173" s="1"/>
  <c r="AB218" i="173"/>
  <c r="AC218" i="173" s="1"/>
  <c r="T226" i="176"/>
  <c r="U226" i="176" s="1"/>
  <c r="V226" i="176" s="1"/>
  <c r="W226" i="176" s="1"/>
  <c r="X226" i="176" s="1"/>
  <c r="Y226" i="176" s="1"/>
  <c r="Z226" i="176" s="1"/>
  <c r="AA226" i="176" s="1"/>
  <c r="AB226" i="176" s="1"/>
  <c r="AC226" i="176" s="1"/>
  <c r="AD226" i="176" s="1"/>
  <c r="AE226" i="176" s="1"/>
  <c r="AF226" i="176" s="1"/>
  <c r="AG226" i="176" s="1"/>
  <c r="AH226" i="176" s="1"/>
  <c r="AI226" i="176" s="1"/>
  <c r="X214" i="176"/>
  <c r="Y214" i="176" s="1"/>
  <c r="V220" i="173"/>
  <c r="W220" i="173" s="1"/>
  <c r="N275" i="173"/>
  <c r="O275" i="173" s="1"/>
  <c r="N330" i="176"/>
  <c r="O330" i="176" s="1"/>
  <c r="P330" i="176" s="1"/>
  <c r="Q330" i="176" s="1"/>
  <c r="L351" i="173"/>
  <c r="M351" i="173" s="1"/>
  <c r="N351" i="173" s="1"/>
  <c r="R244" i="173"/>
  <c r="AB216" i="173"/>
  <c r="AC216" i="173" s="1"/>
  <c r="AD216" i="173" s="1"/>
  <c r="L52" i="173"/>
  <c r="M48" i="173" s="1"/>
  <c r="R236" i="173"/>
  <c r="S236" i="173" s="1"/>
  <c r="T236" i="173" s="1"/>
  <c r="U236" i="173" s="1"/>
  <c r="V236" i="173" s="1"/>
  <c r="W236" i="173" s="1"/>
  <c r="P267" i="173"/>
  <c r="Q267" i="173" s="1"/>
  <c r="AG223" i="176"/>
  <c r="AH223" i="176" s="1"/>
  <c r="AI223" i="176" s="1"/>
  <c r="N325" i="173"/>
  <c r="O325" i="173" s="1"/>
  <c r="Q276" i="173"/>
  <c r="R276" i="173" s="1"/>
  <c r="S244" i="173"/>
  <c r="T244" i="173" s="1"/>
  <c r="U244" i="173" s="1"/>
  <c r="V244" i="173" s="1"/>
  <c r="W244" i="173" s="1"/>
  <c r="X244" i="173" s="1"/>
  <c r="O221" i="173"/>
  <c r="O44" i="173" s="1"/>
  <c r="O45" i="173" s="1"/>
  <c r="N318" i="176"/>
  <c r="P317" i="176"/>
  <c r="Q317" i="176" s="1"/>
  <c r="Q286" i="176"/>
  <c r="R286" i="176" s="1"/>
  <c r="Q297" i="176"/>
  <c r="R297" i="176" s="1"/>
  <c r="S297" i="176" s="1"/>
  <c r="T297" i="176" s="1"/>
  <c r="Q246" i="176"/>
  <c r="R246" i="176" s="1"/>
  <c r="S246" i="176" s="1"/>
  <c r="Q295" i="176"/>
  <c r="R295" i="176" s="1"/>
  <c r="S295" i="176" s="1"/>
  <c r="T295" i="176" s="1"/>
  <c r="L326" i="176"/>
  <c r="M326" i="176" s="1"/>
  <c r="W211" i="173"/>
  <c r="X249" i="176"/>
  <c r="Y249" i="176" s="1"/>
  <c r="U281" i="176"/>
  <c r="V281" i="176" s="1"/>
  <c r="W281" i="176" s="1"/>
  <c r="N46" i="173"/>
  <c r="O42" i="173" s="1"/>
  <c r="P240" i="173"/>
  <c r="Q240" i="173" s="1"/>
  <c r="T242" i="173"/>
  <c r="U242" i="173" s="1"/>
  <c r="V242" i="173" s="1"/>
  <c r="W242" i="173" s="1"/>
  <c r="N243" i="173"/>
  <c r="N249" i="173" s="1"/>
  <c r="N50" i="173" s="1"/>
  <c r="L364" i="176"/>
  <c r="M364" i="176" s="1"/>
  <c r="N364" i="176" s="1"/>
  <c r="P302" i="173"/>
  <c r="J389" i="176"/>
  <c r="L361" i="176"/>
  <c r="M361" i="176" s="1"/>
  <c r="J427" i="176"/>
  <c r="K391" i="176"/>
  <c r="T254" i="176"/>
  <c r="N316" i="176"/>
  <c r="O316" i="176" s="1"/>
  <c r="P316" i="176" s="1"/>
  <c r="S212" i="173"/>
  <c r="J428" i="176"/>
  <c r="K428" i="176" s="1"/>
  <c r="K390" i="176"/>
  <c r="L390" i="176" s="1"/>
  <c r="K387" i="176"/>
  <c r="N296" i="173"/>
  <c r="O296" i="173" s="1"/>
  <c r="J382" i="173"/>
  <c r="K382" i="173" s="1"/>
  <c r="L402" i="176"/>
  <c r="M323" i="173"/>
  <c r="N323" i="173" s="1"/>
  <c r="N356" i="173"/>
  <c r="O356" i="173" s="1"/>
  <c r="L367" i="176"/>
  <c r="M367" i="176" s="1"/>
  <c r="O253" i="176"/>
  <c r="P245" i="173"/>
  <c r="K351" i="176"/>
  <c r="L351" i="176"/>
  <c r="M351" i="176" s="1"/>
  <c r="N304" i="173"/>
  <c r="O304" i="173" s="1"/>
  <c r="P268" i="173"/>
  <c r="K399" i="176"/>
  <c r="L399" i="176" s="1"/>
  <c r="N332" i="173"/>
  <c r="O332" i="173" s="1"/>
  <c r="P247" i="176"/>
  <c r="M327" i="176"/>
  <c r="L323" i="176"/>
  <c r="M323" i="176"/>
  <c r="N323" i="176" s="1"/>
  <c r="Q239" i="173"/>
  <c r="N348" i="176"/>
  <c r="F500" i="176"/>
  <c r="H500" i="176" s="1"/>
  <c r="N294" i="176"/>
  <c r="K330" i="173"/>
  <c r="L330" i="173" s="1"/>
  <c r="N322" i="176"/>
  <c r="K400" i="176"/>
  <c r="J423" i="176"/>
  <c r="K423" i="176" s="1"/>
  <c r="Q250" i="176"/>
  <c r="R250" i="176" s="1"/>
  <c r="K327" i="173"/>
  <c r="L327" i="173" s="1"/>
  <c r="M249" i="173"/>
  <c r="M50" i="173" s="1"/>
  <c r="M51" i="173" s="1"/>
  <c r="R212" i="176"/>
  <c r="S212" i="176" s="1"/>
  <c r="T212" i="176" s="1"/>
  <c r="U212" i="176" s="1"/>
  <c r="O248" i="176"/>
  <c r="N358" i="173"/>
  <c r="M324" i="173"/>
  <c r="Q291" i="176"/>
  <c r="K392" i="176"/>
  <c r="N297" i="173"/>
  <c r="N288" i="176"/>
  <c r="J384" i="173"/>
  <c r="K384" i="173" s="1"/>
  <c r="P246" i="173"/>
  <c r="L358" i="176"/>
  <c r="P217" i="176"/>
  <c r="V219" i="176"/>
  <c r="R216" i="176"/>
  <c r="P220" i="176"/>
  <c r="Q220" i="176" s="1"/>
  <c r="R220" i="176" s="1"/>
  <c r="S220" i="176" s="1"/>
  <c r="T220" i="176" s="1"/>
  <c r="U220" i="176" s="1"/>
  <c r="V220" i="176" s="1"/>
  <c r="W220" i="176" s="1"/>
  <c r="X220" i="176" s="1"/>
  <c r="Y220" i="176" s="1"/>
  <c r="Z220" i="176" s="1"/>
  <c r="AA220" i="176" s="1"/>
  <c r="AB220" i="176" s="1"/>
  <c r="AC220" i="176" s="1"/>
  <c r="F504" i="176"/>
  <c r="H504" i="176" s="1"/>
  <c r="N292" i="176"/>
  <c r="O292" i="176" s="1"/>
  <c r="N366" i="176"/>
  <c r="L362" i="176"/>
  <c r="N300" i="173"/>
  <c r="Q273" i="173"/>
  <c r="M299" i="173"/>
  <c r="N299" i="173" s="1"/>
  <c r="M331" i="173"/>
  <c r="N331" i="173" s="1"/>
  <c r="J430" i="176"/>
  <c r="N298" i="173"/>
  <c r="O298" i="173" s="1"/>
  <c r="P298" i="173"/>
  <c r="Q298" i="173" s="1"/>
  <c r="R298" i="173" s="1"/>
  <c r="S298" i="173" s="1"/>
  <c r="T298" i="173" s="1"/>
  <c r="U298" i="173" s="1"/>
  <c r="V298" i="173" s="1"/>
  <c r="W298" i="173" s="1"/>
  <c r="P225" i="176"/>
  <c r="R219" i="173"/>
  <c r="S215" i="176"/>
  <c r="F505" i="176"/>
  <c r="H505" i="176" s="1"/>
  <c r="J385" i="173"/>
  <c r="K385" i="173" s="1"/>
  <c r="J429" i="176"/>
  <c r="K429" i="176" s="1"/>
  <c r="L429" i="176" s="1"/>
  <c r="Q285" i="176"/>
  <c r="R285" i="176" s="1"/>
  <c r="I465" i="176"/>
  <c r="P270" i="173"/>
  <c r="K397" i="176"/>
  <c r="N357" i="176"/>
  <c r="O357" i="176" s="1"/>
  <c r="P357" i="176"/>
  <c r="L354" i="176"/>
  <c r="S214" i="173"/>
  <c r="N287" i="176"/>
  <c r="P261" i="176"/>
  <c r="AE218" i="176"/>
  <c r="Q269" i="173"/>
  <c r="S284" i="176"/>
  <c r="T284" i="176" s="1"/>
  <c r="U284" i="176" s="1"/>
  <c r="Q213" i="176"/>
  <c r="O320" i="176"/>
  <c r="P320" i="176" s="1"/>
  <c r="J398" i="176"/>
  <c r="K398" i="176" s="1"/>
  <c r="O283" i="176"/>
  <c r="P283" i="176" s="1"/>
  <c r="M295" i="173"/>
  <c r="P319" i="176"/>
  <c r="Q319" i="176" s="1"/>
  <c r="R319" i="176" s="1"/>
  <c r="S319" i="176" s="1"/>
  <c r="O289" i="176"/>
  <c r="P289" i="176" s="1"/>
  <c r="Q289" i="176"/>
  <c r="L326" i="173"/>
  <c r="S211" i="176"/>
  <c r="O262" i="176"/>
  <c r="K353" i="173"/>
  <c r="O290" i="176"/>
  <c r="P290" i="176" s="1"/>
  <c r="N282" i="176"/>
  <c r="Q274" i="173"/>
  <c r="AE221" i="176"/>
  <c r="AF221" i="176" s="1"/>
  <c r="O303" i="173"/>
  <c r="P303" i="173" s="1"/>
  <c r="J425" i="176"/>
  <c r="K425" i="176" s="1"/>
  <c r="L360" i="176"/>
  <c r="S248" i="173"/>
  <c r="S224" i="176"/>
  <c r="T224" i="176" s="1"/>
  <c r="U224" i="176" s="1"/>
  <c r="V224" i="176" s="1"/>
  <c r="W224" i="176" s="1"/>
  <c r="X224" i="176" s="1"/>
  <c r="Y224" i="176" s="1"/>
  <c r="Z224" i="176" s="1"/>
  <c r="AA224" i="176" s="1"/>
  <c r="AB224" i="176" s="1"/>
  <c r="AC224" i="176" s="1"/>
  <c r="AD224" i="176" s="1"/>
  <c r="AE224" i="176" s="1"/>
  <c r="AF224" i="176" s="1"/>
  <c r="AG224" i="176" s="1"/>
  <c r="F499" i="176"/>
  <c r="H499" i="176" s="1"/>
  <c r="S257" i="176"/>
  <c r="R271" i="173"/>
  <c r="R256" i="176"/>
  <c r="M325" i="176"/>
  <c r="L329" i="173"/>
  <c r="F495" i="176"/>
  <c r="H495" i="176" s="1"/>
  <c r="P255" i="176"/>
  <c r="F507" i="176"/>
  <c r="H507" i="176" s="1"/>
  <c r="J381" i="173"/>
  <c r="K381" i="173" s="1"/>
  <c r="L363" i="176"/>
  <c r="M363" i="176" s="1"/>
  <c r="R272" i="173"/>
  <c r="L353" i="176"/>
  <c r="Q293" i="176"/>
  <c r="R293" i="176" s="1"/>
  <c r="R215" i="173"/>
  <c r="N332" i="176"/>
  <c r="L329" i="176"/>
  <c r="T258" i="176"/>
  <c r="J437" i="176"/>
  <c r="K437" i="176" s="1"/>
  <c r="J383" i="173"/>
  <c r="O241" i="173"/>
  <c r="O247" i="173"/>
  <c r="N324" i="176"/>
  <c r="O324" i="176" s="1"/>
  <c r="L355" i="176"/>
  <c r="P213" i="173"/>
  <c r="M301" i="173"/>
  <c r="K396" i="176"/>
  <c r="N365" i="176"/>
  <c r="P252" i="176"/>
  <c r="P251" i="176"/>
  <c r="N328" i="176"/>
  <c r="O328" i="176" s="1"/>
  <c r="M321" i="176"/>
  <c r="N321" i="176" s="1"/>
  <c r="P222" i="176"/>
  <c r="Q222" i="176" s="1"/>
  <c r="R222" i="176" s="1"/>
  <c r="S222" i="176" s="1"/>
  <c r="T222" i="176" s="1"/>
  <c r="U222" i="176" s="1"/>
  <c r="V222" i="176" s="1"/>
  <c r="W222" i="176" s="1"/>
  <c r="X222" i="176" s="1"/>
  <c r="Y222" i="176" s="1"/>
  <c r="Z222" i="176" s="1"/>
  <c r="AA222" i="176" s="1"/>
  <c r="AB222" i="176" s="1"/>
  <c r="AC222" i="176" s="1"/>
  <c r="AD222" i="176" s="1"/>
  <c r="AE222" i="176" s="1"/>
  <c r="P260" i="176"/>
  <c r="P296" i="176"/>
  <c r="U207" i="176"/>
  <c r="V207" i="176" s="1"/>
  <c r="AB240" i="176"/>
  <c r="S227" i="173"/>
  <c r="T227" i="173" s="1"/>
  <c r="U227" i="173" s="1"/>
  <c r="V227" i="173" s="1"/>
  <c r="W227" i="173" s="1"/>
  <c r="X227" i="173" s="1"/>
  <c r="Y227" i="173" s="1"/>
  <c r="Z227" i="173" s="1"/>
  <c r="AA227" i="173" s="1"/>
  <c r="AB227" i="173" s="1"/>
  <c r="AC227" i="173" s="1"/>
  <c r="AD227" i="173" s="1"/>
  <c r="L352" i="173"/>
  <c r="K386" i="176"/>
  <c r="L386" i="176" s="1"/>
  <c r="J388" i="173"/>
  <c r="L359" i="176"/>
  <c r="K359" i="173"/>
  <c r="Q274" i="176"/>
  <c r="R274" i="176" s="1"/>
  <c r="S274" i="176" s="1"/>
  <c r="T274" i="176" s="1"/>
  <c r="U274" i="176" s="1"/>
  <c r="V274" i="176" s="1"/>
  <c r="W274" i="176" s="1"/>
  <c r="X274" i="176" s="1"/>
  <c r="Y274" i="176" s="1"/>
  <c r="Z274" i="176" s="1"/>
  <c r="AA274" i="176" s="1"/>
  <c r="AB274" i="176" s="1"/>
  <c r="AC274" i="176" s="1"/>
  <c r="AD274" i="176" s="1"/>
  <c r="AE274" i="176" s="1"/>
  <c r="AF274" i="176" s="1"/>
  <c r="AG274" i="176" s="1"/>
  <c r="AH274" i="176" s="1"/>
  <c r="AI274" i="176" s="1"/>
  <c r="AJ274" i="176" s="1"/>
  <c r="AK274" i="176" s="1"/>
  <c r="K394" i="176"/>
  <c r="L380" i="173"/>
  <c r="L357" i="173"/>
  <c r="M357" i="173" s="1"/>
  <c r="N357" i="173" s="1"/>
  <c r="K395" i="176"/>
  <c r="I461" i="176"/>
  <c r="L328" i="173"/>
  <c r="M328" i="173" s="1"/>
  <c r="M356" i="176"/>
  <c r="M352" i="176"/>
  <c r="L355" i="173"/>
  <c r="M354" i="173"/>
  <c r="N354" i="173" s="1"/>
  <c r="I460" i="176"/>
  <c r="K401" i="176"/>
  <c r="K426" i="176"/>
  <c r="J424" i="176"/>
  <c r="J431" i="176"/>
  <c r="J432" i="176"/>
  <c r="I459" i="176"/>
  <c r="I456" i="176"/>
  <c r="K427" i="176"/>
  <c r="K360" i="173"/>
  <c r="K452" i="176"/>
  <c r="L452" i="176" s="1"/>
  <c r="M452" i="176" s="1"/>
  <c r="N452" i="176" s="1"/>
  <c r="O452" i="176" s="1"/>
  <c r="P452" i="176" s="1"/>
  <c r="J435" i="176"/>
  <c r="K435" i="176" s="1"/>
  <c r="J421" i="176"/>
  <c r="K393" i="176"/>
  <c r="K388" i="176"/>
  <c r="J433" i="176"/>
  <c r="K433" i="176" s="1"/>
  <c r="I472" i="176"/>
  <c r="I469" i="176"/>
  <c r="J436" i="176"/>
  <c r="I69" i="173"/>
  <c r="I409" i="173"/>
  <c r="J409" i="173"/>
  <c r="I410" i="173"/>
  <c r="J410" i="173"/>
  <c r="I434" i="176"/>
  <c r="I379" i="173"/>
  <c r="J379" i="173" s="1"/>
  <c r="I470" i="176"/>
  <c r="H506" i="176"/>
  <c r="I414" i="173"/>
  <c r="J414" i="173" s="1"/>
  <c r="I467" i="176"/>
  <c r="J467" i="176" s="1"/>
  <c r="K467" i="176" s="1"/>
  <c r="I457" i="176"/>
  <c r="I458" i="176"/>
  <c r="I387" i="173"/>
  <c r="I466" i="176"/>
  <c r="I408" i="173"/>
  <c r="J408" i="173" s="1"/>
  <c r="H69" i="173"/>
  <c r="I386" i="173"/>
  <c r="I462" i="176"/>
  <c r="I422" i="176"/>
  <c r="I463" i="176"/>
  <c r="I471" i="176"/>
  <c r="I468" i="176"/>
  <c r="J468" i="176" s="1"/>
  <c r="I415" i="173"/>
  <c r="I413" i="173"/>
  <c r="I411" i="173"/>
  <c r="U276" i="176"/>
  <c r="V276" i="176" s="1"/>
  <c r="W276" i="176" s="1"/>
  <c r="X276" i="176" s="1"/>
  <c r="Y276" i="176" s="1"/>
  <c r="Z276" i="176" s="1"/>
  <c r="AA276" i="176" s="1"/>
  <c r="AB276" i="176" s="1"/>
  <c r="AC276" i="176" s="1"/>
  <c r="AD276" i="176" s="1"/>
  <c r="AE276" i="176" s="1"/>
  <c r="AF276" i="176" s="1"/>
  <c r="AG276" i="176" s="1"/>
  <c r="AH276" i="176" s="1"/>
  <c r="AI276" i="176" s="1"/>
  <c r="AJ276" i="176" s="1"/>
  <c r="P204" i="173"/>
  <c r="Q204" i="173" s="1"/>
  <c r="K58" i="173"/>
  <c r="L54" i="173" s="1"/>
  <c r="P261" i="173"/>
  <c r="Q261" i="173" s="1"/>
  <c r="T266" i="173"/>
  <c r="U266" i="173" s="1"/>
  <c r="V266" i="173" s="1"/>
  <c r="W266" i="173" s="1"/>
  <c r="X266" i="173" s="1"/>
  <c r="Y266" i="173" s="1"/>
  <c r="Z266" i="173" s="1"/>
  <c r="T209" i="173"/>
  <c r="U209" i="173" s="1"/>
  <c r="V209" i="173" s="1"/>
  <c r="W209" i="173" s="1"/>
  <c r="J447" i="176"/>
  <c r="K447" i="176" s="1"/>
  <c r="L447" i="176" s="1"/>
  <c r="W209" i="176"/>
  <c r="X209" i="176" s="1"/>
  <c r="Y209" i="176" s="1"/>
  <c r="Z209" i="176" s="1"/>
  <c r="AA209" i="176" s="1"/>
  <c r="AB209" i="176" s="1"/>
  <c r="AC209" i="176" s="1"/>
  <c r="AD209" i="176" s="1"/>
  <c r="AE209" i="176" s="1"/>
  <c r="AF209" i="176" s="1"/>
  <c r="AG209" i="176" s="1"/>
  <c r="AH209" i="176" s="1"/>
  <c r="AI209" i="176" s="1"/>
  <c r="AJ209" i="176" s="1"/>
  <c r="AK209" i="176" s="1"/>
  <c r="X269" i="176"/>
  <c r="Y269" i="176" s="1"/>
  <c r="Z269" i="176" s="1"/>
  <c r="AA269" i="176" s="1"/>
  <c r="AB269" i="176" s="1"/>
  <c r="AC269" i="176" s="1"/>
  <c r="AD269" i="176" s="1"/>
  <c r="AE269" i="176" s="1"/>
  <c r="AF269" i="176" s="1"/>
  <c r="AG269" i="176" s="1"/>
  <c r="AH269" i="176" s="1"/>
  <c r="AI269" i="176" s="1"/>
  <c r="AJ269" i="176" s="1"/>
  <c r="R275" i="176"/>
  <c r="S275" i="176" s="1"/>
  <c r="J450" i="176"/>
  <c r="K450" i="176" s="1"/>
  <c r="L450" i="176" s="1"/>
  <c r="K420" i="176"/>
  <c r="L420" i="176" s="1"/>
  <c r="Q260" i="173"/>
  <c r="R260" i="173" s="1"/>
  <c r="S260" i="173" s="1"/>
  <c r="T260" i="173" s="1"/>
  <c r="S237" i="173"/>
  <c r="T237" i="173" s="1"/>
  <c r="M320" i="173"/>
  <c r="N320" i="173" s="1"/>
  <c r="O320" i="173" s="1"/>
  <c r="I70" i="173"/>
  <c r="J66" i="173" s="1"/>
  <c r="M311" i="176"/>
  <c r="N311" i="176" s="1"/>
  <c r="L379" i="176"/>
  <c r="M379" i="176" s="1"/>
  <c r="R238" i="173"/>
  <c r="S238" i="173" s="1"/>
  <c r="P349" i="176"/>
  <c r="P265" i="173"/>
  <c r="Q265" i="173" s="1"/>
  <c r="Q310" i="176"/>
  <c r="R310" i="176" s="1"/>
  <c r="S310" i="176" s="1"/>
  <c r="M340" i="173"/>
  <c r="N340" i="173" s="1"/>
  <c r="AD273" i="176"/>
  <c r="AE273" i="176" s="1"/>
  <c r="AF273" i="176" s="1"/>
  <c r="AG273" i="176" s="1"/>
  <c r="AH273" i="176" s="1"/>
  <c r="AI273" i="176" s="1"/>
  <c r="AJ273" i="176" s="1"/>
  <c r="AK273" i="176" s="1"/>
  <c r="J451" i="176"/>
  <c r="K451" i="176" s="1"/>
  <c r="S245" i="176"/>
  <c r="T245" i="176" s="1"/>
  <c r="AA286" i="173"/>
  <c r="AB286" i="173" s="1"/>
  <c r="AC286" i="173" s="1"/>
  <c r="AD286" i="173" s="1"/>
  <c r="K382" i="176"/>
  <c r="L382" i="176" s="1"/>
  <c r="M382" i="176" s="1"/>
  <c r="Z205" i="173"/>
  <c r="AA205" i="173" s="1"/>
  <c r="AB205" i="173" s="1"/>
  <c r="AC205" i="173" s="1"/>
  <c r="AD205" i="173" s="1"/>
  <c r="N346" i="173"/>
  <c r="J414" i="176"/>
  <c r="K414" i="176" s="1"/>
  <c r="O293" i="173"/>
  <c r="J348" i="173"/>
  <c r="K348" i="173" s="1"/>
  <c r="L348" i="173" s="1"/>
  <c r="M348" i="173" s="1"/>
  <c r="N348" i="173" s="1"/>
  <c r="U243" i="176"/>
  <c r="L312" i="176"/>
  <c r="M312" i="176" s="1"/>
  <c r="J349" i="173"/>
  <c r="O288" i="173"/>
  <c r="L350" i="173"/>
  <c r="O347" i="176"/>
  <c r="P347" i="176" s="1"/>
  <c r="O241" i="176"/>
  <c r="P241" i="176" s="1"/>
  <c r="K347" i="173"/>
  <c r="L347" i="173" s="1"/>
  <c r="M346" i="176"/>
  <c r="L344" i="173"/>
  <c r="W232" i="173"/>
  <c r="X232" i="173" s="1"/>
  <c r="Y232" i="173" s="1"/>
  <c r="Z232" i="173" s="1"/>
  <c r="AA232" i="173" s="1"/>
  <c r="AB232" i="173" s="1"/>
  <c r="AC232" i="173" s="1"/>
  <c r="AD232" i="173" s="1"/>
  <c r="I378" i="173"/>
  <c r="I374" i="173"/>
  <c r="J374" i="173" s="1"/>
  <c r="Q294" i="173"/>
  <c r="R294" i="173" s="1"/>
  <c r="S294" i="173" s="1"/>
  <c r="T294" i="173" s="1"/>
  <c r="U294" i="173" s="1"/>
  <c r="V233" i="173"/>
  <c r="W233" i="173" s="1"/>
  <c r="T210" i="176"/>
  <c r="U210" i="176" s="1"/>
  <c r="V210" i="176" s="1"/>
  <c r="W210" i="176" s="1"/>
  <c r="J377" i="173"/>
  <c r="S239" i="176"/>
  <c r="T239" i="176" s="1"/>
  <c r="U239" i="176" s="1"/>
  <c r="V239" i="176" s="1"/>
  <c r="W239" i="176" s="1"/>
  <c r="X239" i="176" s="1"/>
  <c r="Y239" i="176" s="1"/>
  <c r="Z239" i="176" s="1"/>
  <c r="AA239" i="176" s="1"/>
  <c r="AB239" i="176" s="1"/>
  <c r="AC239" i="176" s="1"/>
  <c r="AD239" i="176" s="1"/>
  <c r="AE239" i="176" s="1"/>
  <c r="AF239" i="176" s="1"/>
  <c r="AG239" i="176" s="1"/>
  <c r="AH239" i="176" s="1"/>
  <c r="AI239" i="176" s="1"/>
  <c r="AJ239" i="176" s="1"/>
  <c r="AK239" i="176" s="1"/>
  <c r="F484" i="176"/>
  <c r="H484" i="176" s="1"/>
  <c r="AB171" i="173"/>
  <c r="I400" i="173"/>
  <c r="O279" i="176"/>
  <c r="I376" i="173"/>
  <c r="J376" i="173" s="1"/>
  <c r="L417" i="176"/>
  <c r="M417" i="176" s="1"/>
  <c r="N289" i="173"/>
  <c r="Q315" i="176"/>
  <c r="R205" i="176"/>
  <c r="I416" i="176"/>
  <c r="M317" i="173"/>
  <c r="N317" i="173" s="1"/>
  <c r="U206" i="176"/>
  <c r="L449" i="176"/>
  <c r="T313" i="176"/>
  <c r="J345" i="173"/>
  <c r="P264" i="173"/>
  <c r="Q263" i="173"/>
  <c r="M262" i="173"/>
  <c r="N262" i="173" s="1"/>
  <c r="O280" i="176"/>
  <c r="N292" i="173"/>
  <c r="O292" i="173" s="1"/>
  <c r="I373" i="173"/>
  <c r="W208" i="176"/>
  <c r="N344" i="176"/>
  <c r="N291" i="173"/>
  <c r="O291" i="173" s="1"/>
  <c r="J333" i="173"/>
  <c r="J68" i="173" s="1"/>
  <c r="J69" i="173" s="1"/>
  <c r="N314" i="176"/>
  <c r="O314" i="176" s="1"/>
  <c r="N321" i="173"/>
  <c r="I454" i="176"/>
  <c r="K384" i="176"/>
  <c r="K318" i="173"/>
  <c r="S235" i="173"/>
  <c r="P309" i="176"/>
  <c r="N316" i="173"/>
  <c r="L277" i="173"/>
  <c r="L56" i="173" s="1"/>
  <c r="L57" i="173" s="1"/>
  <c r="U242" i="176"/>
  <c r="V242" i="176" s="1"/>
  <c r="W242" i="176" s="1"/>
  <c r="X242" i="176" s="1"/>
  <c r="Y242" i="176" s="1"/>
  <c r="Z242" i="176" s="1"/>
  <c r="Q278" i="176"/>
  <c r="M322" i="173"/>
  <c r="L383" i="176"/>
  <c r="M381" i="176"/>
  <c r="I455" i="176"/>
  <c r="I419" i="176"/>
  <c r="J419" i="176" s="1"/>
  <c r="M345" i="176"/>
  <c r="I453" i="176"/>
  <c r="J453" i="176" s="1"/>
  <c r="N277" i="176"/>
  <c r="O277" i="176" s="1"/>
  <c r="P277" i="176" s="1"/>
  <c r="L319" i="173"/>
  <c r="I415" i="176"/>
  <c r="J372" i="173"/>
  <c r="I375" i="173"/>
  <c r="J375" i="173" s="1"/>
  <c r="P350" i="176"/>
  <c r="Q350" i="176" s="1"/>
  <c r="O290" i="173"/>
  <c r="R210" i="173"/>
  <c r="K380" i="176"/>
  <c r="L380" i="176" s="1"/>
  <c r="J64" i="173"/>
  <c r="K60" i="173" s="1"/>
  <c r="L385" i="176"/>
  <c r="Q208" i="173"/>
  <c r="J418" i="176"/>
  <c r="K371" i="173"/>
  <c r="L371" i="173" s="1"/>
  <c r="M371" i="173" s="1"/>
  <c r="N371" i="173" s="1"/>
  <c r="M342" i="173"/>
  <c r="N342" i="173" s="1"/>
  <c r="H408" i="176"/>
  <c r="H438" i="176" s="1"/>
  <c r="H80" i="176" s="1"/>
  <c r="P257" i="173"/>
  <c r="Q257" i="173" s="1"/>
  <c r="R257" i="173" s="1"/>
  <c r="S257" i="173" s="1"/>
  <c r="T257" i="173" s="1"/>
  <c r="U257" i="173" s="1"/>
  <c r="V257" i="173" s="1"/>
  <c r="W257" i="173" s="1"/>
  <c r="X257" i="173" s="1"/>
  <c r="Y257" i="173" s="1"/>
  <c r="Z257" i="173" s="1"/>
  <c r="T283" i="173"/>
  <c r="U283" i="173" s="1"/>
  <c r="V283" i="173" s="1"/>
  <c r="W283" i="173" s="1"/>
  <c r="X283" i="173" s="1"/>
  <c r="Y283" i="173" s="1"/>
  <c r="Z283" i="173" s="1"/>
  <c r="AA283" i="173" s="1"/>
  <c r="AB283" i="173" s="1"/>
  <c r="AC283" i="173" s="1"/>
  <c r="AD283" i="173" s="1"/>
  <c r="M314" i="173"/>
  <c r="N314" i="173" s="1"/>
  <c r="O314" i="173" s="1"/>
  <c r="K58" i="176"/>
  <c r="L54" i="176" s="1"/>
  <c r="K445" i="176"/>
  <c r="P284" i="173"/>
  <c r="Q284" i="173" s="1"/>
  <c r="R284" i="173" s="1"/>
  <c r="S284" i="173" s="1"/>
  <c r="T284" i="173" s="1"/>
  <c r="P230" i="173"/>
  <c r="Q230" i="173" s="1"/>
  <c r="R230" i="173" s="1"/>
  <c r="S230" i="173" s="1"/>
  <c r="T230" i="173" s="1"/>
  <c r="U230" i="173" s="1"/>
  <c r="V230" i="173" s="1"/>
  <c r="W230" i="173" s="1"/>
  <c r="X230" i="173" s="1"/>
  <c r="Y230" i="173" s="1"/>
  <c r="Z230" i="173" s="1"/>
  <c r="AA230" i="173" s="1"/>
  <c r="AB230" i="173" s="1"/>
  <c r="AC230" i="173" s="1"/>
  <c r="AD230" i="173" s="1"/>
  <c r="M377" i="176"/>
  <c r="N377" i="176" s="1"/>
  <c r="P304" i="176"/>
  <c r="Q304" i="176" s="1"/>
  <c r="R304" i="176" s="1"/>
  <c r="K413" i="176"/>
  <c r="L413" i="176" s="1"/>
  <c r="M413" i="176" s="1"/>
  <c r="Z339" i="176"/>
  <c r="I444" i="176"/>
  <c r="J444" i="176" s="1"/>
  <c r="L368" i="173"/>
  <c r="M368" i="173" s="1"/>
  <c r="N368" i="173" s="1"/>
  <c r="J57" i="176"/>
  <c r="K57" i="176"/>
  <c r="L374" i="176"/>
  <c r="L268" i="176"/>
  <c r="H412" i="173"/>
  <c r="L52" i="176"/>
  <c r="M48" i="176" s="1"/>
  <c r="M52" i="176" s="1"/>
  <c r="N48" i="176" s="1"/>
  <c r="AB172" i="173"/>
  <c r="AC168" i="173" s="1"/>
  <c r="AC170" i="173" s="1"/>
  <c r="AC171" i="173" s="1"/>
  <c r="H406" i="173"/>
  <c r="H366" i="173"/>
  <c r="H389" i="173" s="1"/>
  <c r="H80" i="173" s="1"/>
  <c r="H486" i="176"/>
  <c r="AE178" i="176"/>
  <c r="AF174" i="176" s="1"/>
  <c r="H405" i="173"/>
  <c r="H404" i="173"/>
  <c r="H437" i="173"/>
  <c r="H482" i="176"/>
  <c r="H407" i="173"/>
  <c r="H402" i="173"/>
  <c r="M51" i="176"/>
  <c r="H416" i="173"/>
  <c r="H489" i="176"/>
  <c r="H464" i="176"/>
  <c r="H401" i="173"/>
  <c r="H483" i="176"/>
  <c r="I483" i="176" s="1"/>
  <c r="H403" i="173"/>
  <c r="I398" i="173"/>
  <c r="P311" i="173"/>
  <c r="Q311" i="173" s="1"/>
  <c r="R311" i="173" s="1"/>
  <c r="S311" i="173" s="1"/>
  <c r="T311" i="173" s="1"/>
  <c r="U311" i="173" s="1"/>
  <c r="V311" i="173" s="1"/>
  <c r="W311" i="173" s="1"/>
  <c r="X311" i="173" s="1"/>
  <c r="Y311" i="173" s="1"/>
  <c r="Z311" i="173" s="1"/>
  <c r="AA311" i="173" s="1"/>
  <c r="AB311" i="173" s="1"/>
  <c r="N313" i="173"/>
  <c r="O313" i="173" s="1"/>
  <c r="P313" i="173" s="1"/>
  <c r="F485" i="176"/>
  <c r="H485" i="176" s="1"/>
  <c r="I446" i="176"/>
  <c r="J446" i="176" s="1"/>
  <c r="E520" i="176"/>
  <c r="E542" i="176"/>
  <c r="E518" i="176"/>
  <c r="F518" i="176" s="1"/>
  <c r="E535" i="176"/>
  <c r="E514" i="176"/>
  <c r="F514" i="176" s="1"/>
  <c r="E534" i="176"/>
  <c r="E528" i="176"/>
  <c r="E524" i="176"/>
  <c r="F524" i="176" s="1"/>
  <c r="E515" i="176"/>
  <c r="F515" i="176" s="1"/>
  <c r="E516" i="176"/>
  <c r="F516" i="176" s="1"/>
  <c r="E532" i="176"/>
  <c r="F532" i="176" s="1"/>
  <c r="E517" i="176"/>
  <c r="E526" i="176"/>
  <c r="E521" i="176"/>
  <c r="E529" i="176"/>
  <c r="F529" i="176" s="1"/>
  <c r="E527" i="176"/>
  <c r="E537" i="176"/>
  <c r="E541" i="176"/>
  <c r="E533" i="176"/>
  <c r="E522" i="176"/>
  <c r="E530" i="176"/>
  <c r="E519" i="176"/>
  <c r="E531" i="176"/>
  <c r="E536" i="176"/>
  <c r="C513" i="176"/>
  <c r="E539" i="176"/>
  <c r="E538" i="176"/>
  <c r="E525" i="176"/>
  <c r="F525" i="176" s="1"/>
  <c r="E540" i="176"/>
  <c r="E523" i="176"/>
  <c r="L341" i="173"/>
  <c r="M341" i="173" s="1"/>
  <c r="N341" i="173" s="1"/>
  <c r="S198" i="173"/>
  <c r="F423" i="173"/>
  <c r="H423" i="173" s="1"/>
  <c r="F425" i="173"/>
  <c r="H425" i="173" s="1"/>
  <c r="I425" i="173" s="1"/>
  <c r="Q199" i="173"/>
  <c r="O343" i="173"/>
  <c r="P343" i="173" s="1"/>
  <c r="Q343" i="173" s="1"/>
  <c r="R343" i="173" s="1"/>
  <c r="S343" i="173" s="1"/>
  <c r="T343" i="173" s="1"/>
  <c r="U343" i="173" s="1"/>
  <c r="V343" i="173" s="1"/>
  <c r="W343" i="173" s="1"/>
  <c r="X343" i="173" s="1"/>
  <c r="Y343" i="173" s="1"/>
  <c r="Z343" i="173" s="1"/>
  <c r="AA343" i="173" s="1"/>
  <c r="AB343" i="173" s="1"/>
  <c r="AC343" i="173" s="1"/>
  <c r="AD343" i="173" s="1"/>
  <c r="J369" i="173"/>
  <c r="K369" i="173" s="1"/>
  <c r="J397" i="173"/>
  <c r="F492" i="176"/>
  <c r="F490" i="176"/>
  <c r="H490" i="176" s="1"/>
  <c r="F502" i="176"/>
  <c r="H502" i="176" s="1"/>
  <c r="F481" i="176"/>
  <c r="H481" i="176" s="1"/>
  <c r="I481" i="176" s="1"/>
  <c r="F439" i="173"/>
  <c r="H439" i="173" s="1"/>
  <c r="F442" i="173"/>
  <c r="L375" i="176"/>
  <c r="M375" i="176" s="1"/>
  <c r="N375" i="176" s="1"/>
  <c r="F432" i="173"/>
  <c r="N263" i="176"/>
  <c r="N50" i="176" s="1"/>
  <c r="O233" i="176"/>
  <c r="AK580" i="176"/>
  <c r="C548" i="176" a="1"/>
  <c r="F438" i="173"/>
  <c r="O307" i="176"/>
  <c r="P307" i="176" s="1"/>
  <c r="Q307" i="176" s="1"/>
  <c r="R307" i="176" s="1"/>
  <c r="S307" i="176" s="1"/>
  <c r="T307" i="176" s="1"/>
  <c r="U307" i="176" s="1"/>
  <c r="V307" i="176" s="1"/>
  <c r="W307" i="176" s="1"/>
  <c r="X307" i="176" s="1"/>
  <c r="Y307" i="176" s="1"/>
  <c r="Z307" i="176" s="1"/>
  <c r="AA307" i="176" s="1"/>
  <c r="AB307" i="176" s="1"/>
  <c r="AC307" i="176" s="1"/>
  <c r="AD307" i="176" s="1"/>
  <c r="AE307" i="176" s="1"/>
  <c r="AF307" i="176" s="1"/>
  <c r="AG307" i="176" s="1"/>
  <c r="AH307" i="176" s="1"/>
  <c r="AI307" i="176" s="1"/>
  <c r="AJ307" i="176" s="1"/>
  <c r="AK307" i="176" s="1"/>
  <c r="I368" i="176"/>
  <c r="I68" i="176" s="1"/>
  <c r="J338" i="176"/>
  <c r="J409" i="176"/>
  <c r="M370" i="173"/>
  <c r="N370" i="173" s="1"/>
  <c r="O370" i="173" s="1"/>
  <c r="P370" i="173" s="1"/>
  <c r="Q370" i="173" s="1"/>
  <c r="R370" i="173" s="1"/>
  <c r="S370" i="173" s="1"/>
  <c r="T370" i="173" s="1"/>
  <c r="U370" i="173" s="1"/>
  <c r="V370" i="173" s="1"/>
  <c r="W370" i="173" s="1"/>
  <c r="X370" i="173" s="1"/>
  <c r="Y370" i="173" s="1"/>
  <c r="Z370" i="173" s="1"/>
  <c r="AA370" i="173" s="1"/>
  <c r="AB370" i="173" s="1"/>
  <c r="AC370" i="173" s="1"/>
  <c r="AD370" i="173" s="1"/>
  <c r="F496" i="176"/>
  <c r="M310" i="173"/>
  <c r="O340" i="176"/>
  <c r="F491" i="176"/>
  <c r="F488" i="176"/>
  <c r="H488" i="176" s="1"/>
  <c r="I488" i="176" s="1"/>
  <c r="J412" i="176"/>
  <c r="F424" i="173"/>
  <c r="H424" i="173" s="1"/>
  <c r="I424" i="173" s="1"/>
  <c r="Q254" i="173"/>
  <c r="AD147" i="176"/>
  <c r="F435" i="173"/>
  <c r="H435" i="173" s="1"/>
  <c r="I396" i="173"/>
  <c r="AC140" i="173"/>
  <c r="AC142" i="173" s="1"/>
  <c r="AD138" i="173" s="1"/>
  <c r="N308" i="176"/>
  <c r="O308" i="176" s="1"/>
  <c r="P308" i="176" s="1"/>
  <c r="J395" i="173"/>
  <c r="AE146" i="176"/>
  <c r="AE147" i="176" s="1"/>
  <c r="F431" i="173"/>
  <c r="H431" i="173" s="1"/>
  <c r="F436" i="173"/>
  <c r="H436" i="173" s="1"/>
  <c r="N342" i="176"/>
  <c r="O342" i="176" s="1"/>
  <c r="P342" i="176" s="1"/>
  <c r="Q342" i="176" s="1"/>
  <c r="R342" i="176" s="1"/>
  <c r="S342" i="176" s="1"/>
  <c r="T342" i="176" s="1"/>
  <c r="U342" i="176" s="1"/>
  <c r="V342" i="176" s="1"/>
  <c r="W342" i="176" s="1"/>
  <c r="X342" i="176" s="1"/>
  <c r="Y342" i="176" s="1"/>
  <c r="Z342" i="176" s="1"/>
  <c r="AA342" i="176" s="1"/>
  <c r="AB342" i="176" s="1"/>
  <c r="AC342" i="176" s="1"/>
  <c r="AD342" i="176" s="1"/>
  <c r="AE342" i="176" s="1"/>
  <c r="AF342" i="176" s="1"/>
  <c r="AG342" i="176" s="1"/>
  <c r="AH342" i="176" s="1"/>
  <c r="AI342" i="176" s="1"/>
  <c r="AJ342" i="176" s="1"/>
  <c r="K410" i="176"/>
  <c r="F430" i="173"/>
  <c r="H430" i="173" s="1"/>
  <c r="E417" i="173"/>
  <c r="F394" i="173"/>
  <c r="F498" i="176"/>
  <c r="AD166" i="176"/>
  <c r="AE162" i="176" s="1"/>
  <c r="J448" i="176"/>
  <c r="K448" i="176" s="1"/>
  <c r="M45" i="176"/>
  <c r="F487" i="176"/>
  <c r="AF128" i="176"/>
  <c r="AF130" i="176" s="1"/>
  <c r="AG126" i="176" s="1"/>
  <c r="AD154" i="176"/>
  <c r="AE150" i="176" s="1"/>
  <c r="F440" i="173"/>
  <c r="H440" i="173" s="1"/>
  <c r="E422" i="173"/>
  <c r="J333" i="176"/>
  <c r="J62" i="176" s="1"/>
  <c r="K303" i="176"/>
  <c r="L315" i="173"/>
  <c r="F493" i="176"/>
  <c r="H493" i="176" s="1"/>
  <c r="AE158" i="176"/>
  <c r="N228" i="176"/>
  <c r="N44" i="176" s="1"/>
  <c r="N45" i="176" s="1"/>
  <c r="O198" i="176"/>
  <c r="O231" i="173"/>
  <c r="N312" i="173"/>
  <c r="O312" i="173" s="1"/>
  <c r="L343" i="176"/>
  <c r="F433" i="173"/>
  <c r="H433" i="173" s="1"/>
  <c r="AE140" i="176"/>
  <c r="AE141" i="176" s="1"/>
  <c r="F434" i="173"/>
  <c r="H434" i="173" s="1"/>
  <c r="C478" i="173" a="1"/>
  <c r="F428" i="173"/>
  <c r="H428" i="173" s="1"/>
  <c r="E473" i="176"/>
  <c r="F443" i="176"/>
  <c r="F473" i="176" s="1"/>
  <c r="H361" i="173"/>
  <c r="H74" i="173" s="1"/>
  <c r="I338" i="173"/>
  <c r="I361" i="173" s="1"/>
  <c r="I74" i="173" s="1"/>
  <c r="F427" i="173"/>
  <c r="H427" i="173" s="1"/>
  <c r="J63" i="173"/>
  <c r="AE134" i="176"/>
  <c r="L367" i="173"/>
  <c r="F443" i="173"/>
  <c r="F503" i="176"/>
  <c r="N255" i="173"/>
  <c r="F497" i="176"/>
  <c r="H497" i="176" s="1"/>
  <c r="AC160" i="173"/>
  <c r="AD156" i="173" s="1"/>
  <c r="H403" i="176"/>
  <c r="H74" i="176" s="1"/>
  <c r="I373" i="176"/>
  <c r="AH122" i="176"/>
  <c r="E478" i="176"/>
  <c r="F441" i="173"/>
  <c r="H441" i="173" s="1"/>
  <c r="F426" i="173"/>
  <c r="H426" i="173" s="1"/>
  <c r="H69" i="176"/>
  <c r="H70" i="176"/>
  <c r="I66" i="176" s="1"/>
  <c r="AD123" i="173"/>
  <c r="F494" i="176"/>
  <c r="H494" i="176" s="1"/>
  <c r="AD124" i="173"/>
  <c r="K305" i="173"/>
  <c r="K62" i="173" s="1"/>
  <c r="L282" i="173"/>
  <c r="M282" i="173" s="1"/>
  <c r="F501" i="176"/>
  <c r="H501" i="176" s="1"/>
  <c r="AD170" i="176"/>
  <c r="AD171" i="176" s="1"/>
  <c r="AF341" i="176"/>
  <c r="AG341" i="176" s="1"/>
  <c r="AH341" i="176" s="1"/>
  <c r="AI341" i="176" s="1"/>
  <c r="AJ341" i="176" s="1"/>
  <c r="AK341" i="176" s="1"/>
  <c r="O287" i="173"/>
  <c r="P287" i="173" s="1"/>
  <c r="L376" i="176"/>
  <c r="M376" i="176" s="1"/>
  <c r="N376" i="176" s="1"/>
  <c r="H479" i="176"/>
  <c r="AD166" i="173"/>
  <c r="O378" i="176"/>
  <c r="I399" i="173"/>
  <c r="F444" i="173"/>
  <c r="H444" i="173" s="1"/>
  <c r="K339" i="173"/>
  <c r="L339" i="173" s="1"/>
  <c r="E463" i="173"/>
  <c r="E457" i="173"/>
  <c r="E465" i="173"/>
  <c r="E452" i="173"/>
  <c r="E468" i="173"/>
  <c r="E472" i="173"/>
  <c r="E471" i="173"/>
  <c r="E460" i="173"/>
  <c r="E466" i="173"/>
  <c r="E451" i="173"/>
  <c r="E454" i="173"/>
  <c r="E455" i="173"/>
  <c r="E462" i="173"/>
  <c r="E470" i="173"/>
  <c r="E464" i="173"/>
  <c r="E453" i="173"/>
  <c r="E459" i="173"/>
  <c r="E458" i="173"/>
  <c r="E467" i="173"/>
  <c r="F467" i="173" s="1"/>
  <c r="E461" i="173"/>
  <c r="F461" i="173" s="1"/>
  <c r="C450" i="173"/>
  <c r="E456" i="173"/>
  <c r="E469" i="173"/>
  <c r="AC135" i="173"/>
  <c r="M46" i="176"/>
  <c r="N42" i="176" s="1"/>
  <c r="F429" i="173"/>
  <c r="M411" i="176"/>
  <c r="H480" i="176"/>
  <c r="AC148" i="173"/>
  <c r="AD144" i="173" s="1"/>
  <c r="Q226" i="173"/>
  <c r="AC136" i="173"/>
  <c r="AD132" i="173" s="1"/>
  <c r="X244" i="176" l="1"/>
  <c r="Y244" i="176" s="1"/>
  <c r="AJ226" i="176"/>
  <c r="AK226" i="176" s="1"/>
  <c r="Z214" i="176"/>
  <c r="AA214" i="176" s="1"/>
  <c r="AB214" i="176" s="1"/>
  <c r="AD217" i="173"/>
  <c r="Q357" i="176"/>
  <c r="X220" i="173"/>
  <c r="Y220" i="173" s="1"/>
  <c r="Z220" i="173" s="1"/>
  <c r="Y244" i="173"/>
  <c r="Z244" i="173" s="1"/>
  <c r="AA244" i="173" s="1"/>
  <c r="AB244" i="173" s="1"/>
  <c r="T246" i="176"/>
  <c r="U246" i="176" s="1"/>
  <c r="V246" i="176" s="1"/>
  <c r="P325" i="173"/>
  <c r="Q325" i="173" s="1"/>
  <c r="P275" i="173"/>
  <c r="Q275" i="173" s="1"/>
  <c r="R275" i="173" s="1"/>
  <c r="O323" i="176"/>
  <c r="P323" i="176" s="1"/>
  <c r="S293" i="176"/>
  <c r="T293" i="176" s="1"/>
  <c r="AK227" i="176"/>
  <c r="P356" i="173"/>
  <c r="Q356" i="173" s="1"/>
  <c r="M52" i="173"/>
  <c r="N48" i="173" s="1"/>
  <c r="N52" i="173" s="1"/>
  <c r="O48" i="173" s="1"/>
  <c r="AJ223" i="176"/>
  <c r="AK223" i="176" s="1"/>
  <c r="AD220" i="176"/>
  <c r="AE220" i="176" s="1"/>
  <c r="AF220" i="176" s="1"/>
  <c r="AG220" i="176" s="1"/>
  <c r="V212" i="176"/>
  <c r="W212" i="176" s="1"/>
  <c r="X212" i="176" s="1"/>
  <c r="O46" i="173"/>
  <c r="P42" i="173" s="1"/>
  <c r="R350" i="176"/>
  <c r="S350" i="176" s="1"/>
  <c r="L394" i="176"/>
  <c r="M394" i="176" s="1"/>
  <c r="M429" i="176"/>
  <c r="R330" i="176"/>
  <c r="S330" i="176" s="1"/>
  <c r="O318" i="176"/>
  <c r="P318" i="176" s="1"/>
  <c r="Q217" i="176"/>
  <c r="R217" i="176" s="1"/>
  <c r="R325" i="173"/>
  <c r="S325" i="173" s="1"/>
  <c r="U295" i="176"/>
  <c r="V295" i="176" s="1"/>
  <c r="R267" i="173"/>
  <c r="S267" i="173" s="1"/>
  <c r="T267" i="173" s="1"/>
  <c r="R317" i="176"/>
  <c r="S317" i="176" s="1"/>
  <c r="N361" i="176"/>
  <c r="O361" i="176" s="1"/>
  <c r="O357" i="173"/>
  <c r="P357" i="173" s="1"/>
  <c r="Q357" i="173" s="1"/>
  <c r="N326" i="176"/>
  <c r="O326" i="176" s="1"/>
  <c r="N51" i="173"/>
  <c r="AG221" i="176"/>
  <c r="AH221" i="176" s="1"/>
  <c r="AI221" i="176" s="1"/>
  <c r="AJ221" i="176" s="1"/>
  <c r="AK221" i="176" s="1"/>
  <c r="X281" i="176"/>
  <c r="Y281" i="176" s="1"/>
  <c r="Z281" i="176" s="1"/>
  <c r="X211" i="173"/>
  <c r="Y211" i="173" s="1"/>
  <c r="Z211" i="173" s="1"/>
  <c r="X242" i="173"/>
  <c r="Y242" i="173" s="1"/>
  <c r="T319" i="176"/>
  <c r="U319" i="176" s="1"/>
  <c r="V319" i="176" s="1"/>
  <c r="L384" i="173"/>
  <c r="M384" i="173" s="1"/>
  <c r="N384" i="173" s="1"/>
  <c r="U254" i="176"/>
  <c r="V254" i="176" s="1"/>
  <c r="W254" i="176" s="1"/>
  <c r="X254" i="176" s="1"/>
  <c r="Y254" i="176" s="1"/>
  <c r="Z254" i="176" s="1"/>
  <c r="AA254" i="176" s="1"/>
  <c r="AB254" i="176" s="1"/>
  <c r="M329" i="176"/>
  <c r="J461" i="176"/>
  <c r="K461" i="176" s="1"/>
  <c r="L461" i="176" s="1"/>
  <c r="R289" i="176"/>
  <c r="S285" i="176"/>
  <c r="T285" i="176" s="1"/>
  <c r="P304" i="173"/>
  <c r="O364" i="176"/>
  <c r="O348" i="176"/>
  <c r="P348" i="176" s="1"/>
  <c r="Q320" i="176"/>
  <c r="R320" i="176" s="1"/>
  <c r="S250" i="176"/>
  <c r="T250" i="176" s="1"/>
  <c r="U250" i="176" s="1"/>
  <c r="V250" i="176" s="1"/>
  <c r="W250" i="176" s="1"/>
  <c r="X250" i="176" s="1"/>
  <c r="S275" i="173"/>
  <c r="S272" i="173"/>
  <c r="P247" i="173"/>
  <c r="Q247" i="173" s="1"/>
  <c r="R247" i="173" s="1"/>
  <c r="S247" i="173" s="1"/>
  <c r="T247" i="173" s="1"/>
  <c r="M360" i="176"/>
  <c r="N360" i="176" s="1"/>
  <c r="O360" i="176" s="1"/>
  <c r="P360" i="176" s="1"/>
  <c r="Q360" i="176" s="1"/>
  <c r="O297" i="173"/>
  <c r="J387" i="173"/>
  <c r="K387" i="173" s="1"/>
  <c r="N356" i="176"/>
  <c r="L427" i="176"/>
  <c r="M427" i="176" s="1"/>
  <c r="T325" i="173"/>
  <c r="U325" i="173" s="1"/>
  <c r="X298" i="173"/>
  <c r="Y298" i="173" s="1"/>
  <c r="Z298" i="173" s="1"/>
  <c r="M354" i="176"/>
  <c r="I506" i="176"/>
  <c r="J465" i="176"/>
  <c r="Q316" i="176"/>
  <c r="L391" i="176"/>
  <c r="M391" i="176" s="1"/>
  <c r="Q268" i="173"/>
  <c r="AF218" i="176"/>
  <c r="AG218" i="176" s="1"/>
  <c r="Q251" i="176"/>
  <c r="R251" i="176" s="1"/>
  <c r="O366" i="176"/>
  <c r="P366" i="176" s="1"/>
  <c r="Q366" i="176" s="1"/>
  <c r="N352" i="176"/>
  <c r="P241" i="173"/>
  <c r="Q241" i="173" s="1"/>
  <c r="R241" i="173" s="1"/>
  <c r="S241" i="173" s="1"/>
  <c r="T241" i="173" s="1"/>
  <c r="U241" i="173" s="1"/>
  <c r="V241" i="173" s="1"/>
  <c r="R239" i="173"/>
  <c r="S239" i="173" s="1"/>
  <c r="T239" i="173" s="1"/>
  <c r="F539" i="176"/>
  <c r="H539" i="176" s="1"/>
  <c r="N328" i="173"/>
  <c r="Q260" i="176"/>
  <c r="R260" i="176" s="1"/>
  <c r="S260" i="176" s="1"/>
  <c r="T260" i="176" s="1"/>
  <c r="U260" i="176" s="1"/>
  <c r="V260" i="176" s="1"/>
  <c r="W260" i="176" s="1"/>
  <c r="X260" i="176" s="1"/>
  <c r="Y260" i="176" s="1"/>
  <c r="Z260" i="176" s="1"/>
  <c r="AA260" i="176" s="1"/>
  <c r="R240" i="173"/>
  <c r="R357" i="176"/>
  <c r="O358" i="173"/>
  <c r="R274" i="173"/>
  <c r="K424" i="176"/>
  <c r="L395" i="176"/>
  <c r="M395" i="176" s="1"/>
  <c r="M386" i="176"/>
  <c r="Q290" i="176"/>
  <c r="L400" i="176"/>
  <c r="N327" i="176"/>
  <c r="O327" i="176" s="1"/>
  <c r="P327" i="176" s="1"/>
  <c r="Q327" i="176" s="1"/>
  <c r="T257" i="176"/>
  <c r="U257" i="176" s="1"/>
  <c r="O322" i="176"/>
  <c r="P328" i="176"/>
  <c r="Q328" i="176" s="1"/>
  <c r="O365" i="176"/>
  <c r="Q213" i="173"/>
  <c r="R213" i="173" s="1"/>
  <c r="S213" i="173" s="1"/>
  <c r="T213" i="173" s="1"/>
  <c r="U213" i="173" s="1"/>
  <c r="V213" i="173" s="1"/>
  <c r="P292" i="176"/>
  <c r="Q292" i="176" s="1"/>
  <c r="T259" i="176"/>
  <c r="S276" i="173"/>
  <c r="T276" i="173" s="1"/>
  <c r="U276" i="173" s="1"/>
  <c r="V276" i="173" s="1"/>
  <c r="W276" i="173"/>
  <c r="X276" i="173" s="1"/>
  <c r="Y276" i="173" s="1"/>
  <c r="Z276" i="173" s="1"/>
  <c r="AA276" i="173" s="1"/>
  <c r="O294" i="176"/>
  <c r="J422" i="176"/>
  <c r="K422" i="176" s="1"/>
  <c r="J462" i="176"/>
  <c r="K462" i="176" s="1"/>
  <c r="AC240" i="176"/>
  <c r="U297" i="176"/>
  <c r="O287" i="176"/>
  <c r="M305" i="173"/>
  <c r="M62" i="173" s="1"/>
  <c r="F526" i="176"/>
  <c r="H526" i="176" s="1"/>
  <c r="K421" i="176"/>
  <c r="L396" i="176"/>
  <c r="M396" i="176" s="1"/>
  <c r="N295" i="173"/>
  <c r="O295" i="173" s="1"/>
  <c r="N277" i="173"/>
  <c r="N56" i="173" s="1"/>
  <c r="O299" i="173"/>
  <c r="Q246" i="173"/>
  <c r="M402" i="176"/>
  <c r="F534" i="176"/>
  <c r="H534" i="176" s="1"/>
  <c r="I495" i="176"/>
  <c r="L382" i="173"/>
  <c r="M382" i="173" s="1"/>
  <c r="L401" i="176"/>
  <c r="O321" i="176"/>
  <c r="P321" i="176" s="1"/>
  <c r="AD218" i="173"/>
  <c r="R269" i="173"/>
  <c r="O331" i="173"/>
  <c r="O323" i="173"/>
  <c r="F540" i="176"/>
  <c r="H540" i="176" s="1"/>
  <c r="F528" i="176"/>
  <c r="H528" i="176" s="1"/>
  <c r="J386" i="173"/>
  <c r="K386" i="173" s="1"/>
  <c r="K388" i="173"/>
  <c r="Q255" i="176"/>
  <c r="F538" i="176"/>
  <c r="H538" i="176" s="1"/>
  <c r="N301" i="173"/>
  <c r="O301" i="173"/>
  <c r="AH224" i="176"/>
  <c r="AI224" i="176" s="1"/>
  <c r="AJ224" i="176" s="1"/>
  <c r="P253" i="176"/>
  <c r="P332" i="173"/>
  <c r="Q283" i="176"/>
  <c r="L397" i="176"/>
  <c r="N351" i="176"/>
  <c r="F531" i="176"/>
  <c r="H531" i="176" s="1"/>
  <c r="J469" i="176"/>
  <c r="S216" i="176"/>
  <c r="W219" i="176"/>
  <c r="N367" i="176"/>
  <c r="W207" i="176"/>
  <c r="X207" i="176" s="1"/>
  <c r="Y207" i="176" s="1"/>
  <c r="Z207" i="176" s="1"/>
  <c r="AA207" i="176" s="1"/>
  <c r="AB207" i="176" s="1"/>
  <c r="AC207" i="176" s="1"/>
  <c r="M352" i="173"/>
  <c r="N352" i="173" s="1"/>
  <c r="O352" i="173" s="1"/>
  <c r="Z249" i="176"/>
  <c r="T212" i="173"/>
  <c r="O243" i="173"/>
  <c r="O249" i="173" s="1"/>
  <c r="O50" i="173" s="1"/>
  <c r="O51" i="173" s="1"/>
  <c r="Q252" i="176"/>
  <c r="R252" i="176"/>
  <c r="S252" i="176" s="1"/>
  <c r="T252" i="176" s="1"/>
  <c r="U252" i="176" s="1"/>
  <c r="V252" i="176" s="1"/>
  <c r="W252" i="176" s="1"/>
  <c r="X252" i="176" s="1"/>
  <c r="Y252" i="176" s="1"/>
  <c r="Z252" i="176" s="1"/>
  <c r="K383" i="173"/>
  <c r="O354" i="173"/>
  <c r="M329" i="173"/>
  <c r="T211" i="176"/>
  <c r="F530" i="176"/>
  <c r="H530" i="176" s="1"/>
  <c r="K333" i="173"/>
  <c r="K68" i="173" s="1"/>
  <c r="K69" i="173" s="1"/>
  <c r="J457" i="176"/>
  <c r="T248" i="173"/>
  <c r="T215" i="176"/>
  <c r="O288" i="176"/>
  <c r="P288" i="176" s="1"/>
  <c r="Q288" i="176" s="1"/>
  <c r="R288" i="176" s="1"/>
  <c r="S288" i="176" s="1"/>
  <c r="T288" i="176" s="1"/>
  <c r="U288" i="176" s="1"/>
  <c r="L387" i="176"/>
  <c r="P324" i="176"/>
  <c r="S286" i="176"/>
  <c r="M358" i="176"/>
  <c r="Q247" i="176"/>
  <c r="Q302" i="173"/>
  <c r="M326" i="173"/>
  <c r="T214" i="173"/>
  <c r="O351" i="173"/>
  <c r="Q245" i="173"/>
  <c r="J472" i="176"/>
  <c r="O282" i="176"/>
  <c r="P282" i="176" s="1"/>
  <c r="R213" i="176"/>
  <c r="Q225" i="176"/>
  <c r="R225" i="176" s="1"/>
  <c r="S225" i="176" s="1"/>
  <c r="T225" i="176" s="1"/>
  <c r="U225" i="176" s="1"/>
  <c r="V225" i="176" s="1"/>
  <c r="W225" i="176" s="1"/>
  <c r="X225" i="176" s="1"/>
  <c r="Y225" i="176" s="1"/>
  <c r="Z225" i="176" s="1"/>
  <c r="AA225" i="176" s="1"/>
  <c r="AB225" i="176" s="1"/>
  <c r="AC225" i="176" s="1"/>
  <c r="AD225" i="176" s="1"/>
  <c r="AE225" i="176" s="1"/>
  <c r="AF225" i="176" s="1"/>
  <c r="AG225" i="176" s="1"/>
  <c r="AH225" i="176" s="1"/>
  <c r="K430" i="176"/>
  <c r="R273" i="173"/>
  <c r="M362" i="176"/>
  <c r="L392" i="176"/>
  <c r="K389" i="176"/>
  <c r="U258" i="176"/>
  <c r="V258" i="176" s="1"/>
  <c r="W258" i="176" s="1"/>
  <c r="X258" i="176" s="1"/>
  <c r="Y258" i="176" s="1"/>
  <c r="Z258" i="176" s="1"/>
  <c r="AA258" i="176" s="1"/>
  <c r="AB258" i="176" s="1"/>
  <c r="AC258" i="176" s="1"/>
  <c r="AD258" i="176" s="1"/>
  <c r="AE258" i="176" s="1"/>
  <c r="AF258" i="176" s="1"/>
  <c r="O332" i="176"/>
  <c r="N363" i="176"/>
  <c r="Q303" i="173"/>
  <c r="R303" i="173" s="1"/>
  <c r="P296" i="173"/>
  <c r="Q296" i="173" s="1"/>
  <c r="R296" i="173" s="1"/>
  <c r="M327" i="173"/>
  <c r="M390" i="176"/>
  <c r="V284" i="176"/>
  <c r="W284" i="176" s="1"/>
  <c r="Q296" i="176"/>
  <c r="R296" i="176" s="1"/>
  <c r="M355" i="176"/>
  <c r="S271" i="173"/>
  <c r="K432" i="176"/>
  <c r="S215" i="173"/>
  <c r="M353" i="176"/>
  <c r="S331" i="176"/>
  <c r="T331" i="176" s="1"/>
  <c r="Q261" i="176"/>
  <c r="Q270" i="173"/>
  <c r="S219" i="173"/>
  <c r="N324" i="173"/>
  <c r="P248" i="176"/>
  <c r="J470" i="176"/>
  <c r="M380" i="173"/>
  <c r="N380" i="173" s="1"/>
  <c r="O380" i="173" s="1"/>
  <c r="AF222" i="176"/>
  <c r="AG222" i="176" s="1"/>
  <c r="AH222" i="176" s="1"/>
  <c r="AI222" i="176" s="1"/>
  <c r="S256" i="176"/>
  <c r="N325" i="176"/>
  <c r="O325" i="176" s="1"/>
  <c r="R291" i="176"/>
  <c r="P262" i="176"/>
  <c r="O300" i="173"/>
  <c r="K431" i="176"/>
  <c r="L353" i="173"/>
  <c r="R204" i="173"/>
  <c r="S204" i="173" s="1"/>
  <c r="Q241" i="176"/>
  <c r="R241" i="176" s="1"/>
  <c r="J434" i="176"/>
  <c r="M359" i="176"/>
  <c r="N359" i="176" s="1"/>
  <c r="L393" i="176"/>
  <c r="J459" i="176"/>
  <c r="K459" i="176" s="1"/>
  <c r="L459" i="176" s="1"/>
  <c r="M355" i="173"/>
  <c r="M399" i="176"/>
  <c r="J456" i="176"/>
  <c r="L423" i="176"/>
  <c r="M423" i="176" s="1"/>
  <c r="M330" i="173"/>
  <c r="Q287" i="173"/>
  <c r="R287" i="173" s="1"/>
  <c r="S287" i="173" s="1"/>
  <c r="T287" i="173" s="1"/>
  <c r="U287" i="173" s="1"/>
  <c r="V287" i="173" s="1"/>
  <c r="W287" i="173" s="1"/>
  <c r="X287" i="173" s="1"/>
  <c r="Y287" i="173" s="1"/>
  <c r="Z287" i="173" s="1"/>
  <c r="AA287" i="173" s="1"/>
  <c r="AB287" i="173" s="1"/>
  <c r="AC287" i="173" s="1"/>
  <c r="AD287" i="173" s="1"/>
  <c r="L426" i="176"/>
  <c r="M426" i="176" s="1"/>
  <c r="L360" i="173"/>
  <c r="L359" i="173"/>
  <c r="AK276" i="176"/>
  <c r="J460" i="176"/>
  <c r="K379" i="173"/>
  <c r="I440" i="173"/>
  <c r="J440" i="173" s="1"/>
  <c r="K440" i="173" s="1"/>
  <c r="I507" i="176"/>
  <c r="L385" i="173"/>
  <c r="M385" i="173"/>
  <c r="I501" i="176"/>
  <c r="L425" i="176"/>
  <c r="M425" i="176" s="1"/>
  <c r="L388" i="176"/>
  <c r="L398" i="176"/>
  <c r="M398" i="176" s="1"/>
  <c r="L437" i="176"/>
  <c r="M437" i="176" s="1"/>
  <c r="I504" i="176"/>
  <c r="L428" i="176"/>
  <c r="M428" i="176" s="1"/>
  <c r="L381" i="173"/>
  <c r="L435" i="176"/>
  <c r="L467" i="176"/>
  <c r="K468" i="176"/>
  <c r="J413" i="173"/>
  <c r="L433" i="176"/>
  <c r="M433" i="176" s="1"/>
  <c r="K436" i="176"/>
  <c r="J458" i="176"/>
  <c r="I499" i="176"/>
  <c r="J411" i="173"/>
  <c r="I444" i="173"/>
  <c r="K409" i="173"/>
  <c r="J463" i="176"/>
  <c r="K463" i="176" s="1"/>
  <c r="I505" i="176"/>
  <c r="J466" i="176"/>
  <c r="K408" i="173"/>
  <c r="K410" i="173"/>
  <c r="K414" i="173"/>
  <c r="J415" i="173"/>
  <c r="K415" i="173"/>
  <c r="J471" i="176"/>
  <c r="K471" i="176" s="1"/>
  <c r="H518" i="176"/>
  <c r="I518" i="176" s="1"/>
  <c r="J518" i="176" s="1"/>
  <c r="H529" i="176"/>
  <c r="I497" i="176"/>
  <c r="J497" i="176" s="1"/>
  <c r="I494" i="176"/>
  <c r="I464" i="176"/>
  <c r="J464" i="176"/>
  <c r="I502" i="176"/>
  <c r="P221" i="173"/>
  <c r="P44" i="173" s="1"/>
  <c r="P45" i="173" s="1"/>
  <c r="I412" i="173"/>
  <c r="I437" i="173"/>
  <c r="J437" i="173" s="1"/>
  <c r="I416" i="173"/>
  <c r="J416" i="173" s="1"/>
  <c r="I500" i="176"/>
  <c r="I439" i="173"/>
  <c r="I435" i="173"/>
  <c r="I441" i="173"/>
  <c r="I407" i="173"/>
  <c r="J407" i="173" s="1"/>
  <c r="I493" i="176"/>
  <c r="I436" i="173"/>
  <c r="J436" i="173" s="1"/>
  <c r="AK269" i="176"/>
  <c r="R261" i="173"/>
  <c r="S261" i="173" s="1"/>
  <c r="T261" i="173" s="1"/>
  <c r="U261" i="173" s="1"/>
  <c r="V261" i="173" s="1"/>
  <c r="AA266" i="173"/>
  <c r="AB266" i="173" s="1"/>
  <c r="AC266" i="173" s="1"/>
  <c r="AD266" i="173" s="1"/>
  <c r="T275" i="176"/>
  <c r="U275" i="176" s="1"/>
  <c r="V275" i="176" s="1"/>
  <c r="W275" i="176" s="1"/>
  <c r="X275" i="176" s="1"/>
  <c r="Y275" i="176" s="1"/>
  <c r="Z275" i="176" s="1"/>
  <c r="AA275" i="176" s="1"/>
  <c r="AB275" i="176" s="1"/>
  <c r="AC275" i="176" s="1"/>
  <c r="AD275" i="176" s="1"/>
  <c r="AE275" i="176" s="1"/>
  <c r="AF275" i="176" s="1"/>
  <c r="AG275" i="176" s="1"/>
  <c r="AH275" i="176" s="1"/>
  <c r="AI275" i="176" s="1"/>
  <c r="AJ275" i="176" s="1"/>
  <c r="AK275" i="176" s="1"/>
  <c r="K419" i="176"/>
  <c r="L419" i="176" s="1"/>
  <c r="M419" i="176" s="1"/>
  <c r="U237" i="173"/>
  <c r="V237" i="173" s="1"/>
  <c r="W237" i="173" s="1"/>
  <c r="P320" i="173"/>
  <c r="Q320" i="173" s="1"/>
  <c r="Q277" i="176"/>
  <c r="R277" i="176" s="1"/>
  <c r="S277" i="176" s="1"/>
  <c r="T277" i="176" s="1"/>
  <c r="L451" i="176"/>
  <c r="M451" i="176" s="1"/>
  <c r="N451" i="176" s="1"/>
  <c r="O340" i="173"/>
  <c r="K375" i="173"/>
  <c r="L375" i="173"/>
  <c r="M375" i="173" s="1"/>
  <c r="O311" i="176"/>
  <c r="P311" i="176" s="1"/>
  <c r="Q311" i="176" s="1"/>
  <c r="K376" i="173"/>
  <c r="I484" i="176"/>
  <c r="J484" i="176" s="1"/>
  <c r="M450" i="176"/>
  <c r="N450" i="176" s="1"/>
  <c r="M380" i="176"/>
  <c r="N380" i="176" s="1"/>
  <c r="L58" i="173"/>
  <c r="M54" i="173" s="1"/>
  <c r="P288" i="173"/>
  <c r="Q288" i="173" s="1"/>
  <c r="K453" i="176"/>
  <c r="L453" i="176" s="1"/>
  <c r="M453" i="176" s="1"/>
  <c r="P314" i="176"/>
  <c r="Q314" i="176" s="1"/>
  <c r="AA242" i="176"/>
  <c r="AB242" i="176" s="1"/>
  <c r="AC242" i="176" s="1"/>
  <c r="AD242" i="176" s="1"/>
  <c r="AE242" i="176" s="1"/>
  <c r="AF242" i="176" s="1"/>
  <c r="AG242" i="176" s="1"/>
  <c r="AH242" i="176" s="1"/>
  <c r="AI242" i="176" s="1"/>
  <c r="AJ242" i="176" s="1"/>
  <c r="P292" i="173"/>
  <c r="P291" i="173"/>
  <c r="Q291" i="173" s="1"/>
  <c r="R265" i="173"/>
  <c r="S265" i="173" s="1"/>
  <c r="N345" i="176"/>
  <c r="O345" i="176" s="1"/>
  <c r="Q349" i="176"/>
  <c r="R349" i="176" s="1"/>
  <c r="M277" i="173"/>
  <c r="M56" i="173" s="1"/>
  <c r="M57" i="173" s="1"/>
  <c r="N379" i="176"/>
  <c r="O379" i="176" s="1"/>
  <c r="P379" i="176" s="1"/>
  <c r="Q379" i="176" s="1"/>
  <c r="R379" i="176" s="1"/>
  <c r="S379" i="176" s="1"/>
  <c r="T379" i="176" s="1"/>
  <c r="U379" i="176" s="1"/>
  <c r="V379" i="176" s="1"/>
  <c r="W379" i="176" s="1"/>
  <c r="X379" i="176" s="1"/>
  <c r="Y379" i="176" s="1"/>
  <c r="Z379" i="176" s="1"/>
  <c r="AA379" i="176" s="1"/>
  <c r="AB379" i="176" s="1"/>
  <c r="AC379" i="176" s="1"/>
  <c r="AD379" i="176" s="1"/>
  <c r="AE379" i="176" s="1"/>
  <c r="AF379" i="176" s="1"/>
  <c r="AG379" i="176" s="1"/>
  <c r="AH379" i="176" s="1"/>
  <c r="AI379" i="176" s="1"/>
  <c r="AJ379" i="176" s="1"/>
  <c r="AK379" i="176" s="1"/>
  <c r="J488" i="176"/>
  <c r="K488" i="176" s="1"/>
  <c r="L488" i="176" s="1"/>
  <c r="O289" i="173"/>
  <c r="P289" i="173" s="1"/>
  <c r="J400" i="173"/>
  <c r="K400" i="173" s="1"/>
  <c r="X209" i="173"/>
  <c r="Y209" i="173" s="1"/>
  <c r="K349" i="173"/>
  <c r="L349" i="173" s="1"/>
  <c r="M349" i="173" s="1"/>
  <c r="Q452" i="176"/>
  <c r="R452" i="176" s="1"/>
  <c r="J378" i="173"/>
  <c r="I404" i="173"/>
  <c r="F521" i="176"/>
  <c r="H521" i="176" s="1"/>
  <c r="I521" i="176" s="1"/>
  <c r="P290" i="173"/>
  <c r="Q290" i="173" s="1"/>
  <c r="R290" i="173" s="1"/>
  <c r="I431" i="173"/>
  <c r="J431" i="173" s="1"/>
  <c r="I490" i="176"/>
  <c r="J455" i="176"/>
  <c r="K372" i="173"/>
  <c r="L372" i="173" s="1"/>
  <c r="Q264" i="173"/>
  <c r="K377" i="173"/>
  <c r="L377" i="173" s="1"/>
  <c r="L384" i="176"/>
  <c r="M384" i="176" s="1"/>
  <c r="X233" i="173"/>
  <c r="Y233" i="173" s="1"/>
  <c r="Z233" i="173" s="1"/>
  <c r="AA233" i="173" s="1"/>
  <c r="K418" i="176"/>
  <c r="O316" i="173"/>
  <c r="P316" i="173" s="1"/>
  <c r="M449" i="176"/>
  <c r="N449" i="176" s="1"/>
  <c r="O449" i="176" s="1"/>
  <c r="P449" i="176" s="1"/>
  <c r="Q449" i="176" s="1"/>
  <c r="R449" i="176" s="1"/>
  <c r="O348" i="173"/>
  <c r="P348" i="173" s="1"/>
  <c r="I430" i="173"/>
  <c r="I405" i="173"/>
  <c r="J405" i="173" s="1"/>
  <c r="U313" i="176"/>
  <c r="V313" i="176" s="1"/>
  <c r="W313" i="176" s="1"/>
  <c r="P293" i="173"/>
  <c r="T310" i="176"/>
  <c r="U310" i="176" s="1"/>
  <c r="V310" i="176" s="1"/>
  <c r="W310" i="176" s="1"/>
  <c r="X310" i="176" s="1"/>
  <c r="Y310" i="176" s="1"/>
  <c r="Z310" i="176" s="1"/>
  <c r="AA310" i="176" s="1"/>
  <c r="AB310" i="176" s="1"/>
  <c r="AC310" i="176" s="1"/>
  <c r="AD310" i="176" s="1"/>
  <c r="AE310" i="176" s="1"/>
  <c r="AF310" i="176" s="1"/>
  <c r="AG310" i="176" s="1"/>
  <c r="AH310" i="176" s="1"/>
  <c r="AI310" i="176" s="1"/>
  <c r="AJ310" i="176" s="1"/>
  <c r="AK310" i="176" s="1"/>
  <c r="J373" i="173"/>
  <c r="K373" i="173" s="1"/>
  <c r="L414" i="176"/>
  <c r="M414" i="176" s="1"/>
  <c r="N346" i="176"/>
  <c r="I433" i="173"/>
  <c r="R263" i="173"/>
  <c r="S263" i="173" s="1"/>
  <c r="M350" i="173"/>
  <c r="N350" i="173" s="1"/>
  <c r="R278" i="176"/>
  <c r="S278" i="176" s="1"/>
  <c r="T278" i="176" s="1"/>
  <c r="U278" i="176" s="1"/>
  <c r="Q347" i="176"/>
  <c r="R347" i="176" s="1"/>
  <c r="I486" i="176"/>
  <c r="R315" i="176"/>
  <c r="J70" i="173"/>
  <c r="K66" i="173" s="1"/>
  <c r="N382" i="176"/>
  <c r="O382" i="176" s="1"/>
  <c r="P382" i="176" s="1"/>
  <c r="N381" i="176"/>
  <c r="T235" i="173"/>
  <c r="K345" i="173"/>
  <c r="L345" i="173" s="1"/>
  <c r="P279" i="176"/>
  <c r="Q279" i="176" s="1"/>
  <c r="R279" i="176" s="1"/>
  <c r="T238" i="173"/>
  <c r="U238" i="173" s="1"/>
  <c r="V238" i="173" s="1"/>
  <c r="W238" i="173" s="1"/>
  <c r="X238" i="173" s="1"/>
  <c r="Y238" i="173" s="1"/>
  <c r="Z238" i="173" s="1"/>
  <c r="AA238" i="173" s="1"/>
  <c r="AB238" i="173" s="1"/>
  <c r="AC238" i="173" s="1"/>
  <c r="AD238" i="173" s="1"/>
  <c r="I428" i="173"/>
  <c r="I402" i="173"/>
  <c r="X236" i="173"/>
  <c r="Y236" i="173" s="1"/>
  <c r="Z236" i="173" s="1"/>
  <c r="AA236" i="173" s="1"/>
  <c r="AB236" i="173" s="1"/>
  <c r="AC236" i="173" s="1"/>
  <c r="AD236" i="173" s="1"/>
  <c r="O321" i="173"/>
  <c r="O344" i="176"/>
  <c r="O346" i="173"/>
  <c r="P346" i="173" s="1"/>
  <c r="V206" i="176"/>
  <c r="W206" i="176" s="1"/>
  <c r="X206" i="176" s="1"/>
  <c r="Y206" i="176" s="1"/>
  <c r="Z206" i="176" s="1"/>
  <c r="O317" i="173"/>
  <c r="P317" i="173" s="1"/>
  <c r="N312" i="176"/>
  <c r="N322" i="173"/>
  <c r="O322" i="173" s="1"/>
  <c r="J454" i="176"/>
  <c r="M420" i="176"/>
  <c r="N420" i="176" s="1"/>
  <c r="I489" i="176"/>
  <c r="V243" i="176"/>
  <c r="W243" i="176" s="1"/>
  <c r="X243" i="176" s="1"/>
  <c r="Y243" i="176" s="1"/>
  <c r="Z243" i="176" s="1"/>
  <c r="AA243" i="176" s="1"/>
  <c r="AB243" i="176" s="1"/>
  <c r="U260" i="173"/>
  <c r="V260" i="173" s="1"/>
  <c r="W260" i="173" s="1"/>
  <c r="X260" i="173" s="1"/>
  <c r="Y260" i="173" s="1"/>
  <c r="Z260" i="173" s="1"/>
  <c r="AA260" i="173" s="1"/>
  <c r="AB260" i="173" s="1"/>
  <c r="AC260" i="173" s="1"/>
  <c r="AD260" i="173" s="1"/>
  <c r="M347" i="173"/>
  <c r="Q309" i="176"/>
  <c r="N417" i="176"/>
  <c r="O417" i="176" s="1"/>
  <c r="P417" i="176" s="1"/>
  <c r="R208" i="173"/>
  <c r="J415" i="176"/>
  <c r="K415" i="176" s="1"/>
  <c r="L415" i="176" s="1"/>
  <c r="M385" i="176"/>
  <c r="I401" i="173"/>
  <c r="J401" i="173" s="1"/>
  <c r="K401" i="173" s="1"/>
  <c r="L401" i="173" s="1"/>
  <c r="H461" i="173"/>
  <c r="U245" i="176"/>
  <c r="V245" i="176" s="1"/>
  <c r="J416" i="176"/>
  <c r="M319" i="173"/>
  <c r="N319" i="173" s="1"/>
  <c r="S210" i="173"/>
  <c r="T210" i="173" s="1"/>
  <c r="U210" i="173" s="1"/>
  <c r="V210" i="173" s="1"/>
  <c r="W210" i="173" s="1"/>
  <c r="X210" i="173" s="1"/>
  <c r="Y210" i="173" s="1"/>
  <c r="Z210" i="173" s="1"/>
  <c r="AA210" i="173" s="1"/>
  <c r="AB210" i="173" s="1"/>
  <c r="AC210" i="173" s="1"/>
  <c r="AD210" i="173" s="1"/>
  <c r="S205" i="176"/>
  <c r="T205" i="176" s="1"/>
  <c r="M383" i="176"/>
  <c r="P312" i="173"/>
  <c r="Q312" i="173" s="1"/>
  <c r="R312" i="173" s="1"/>
  <c r="S312" i="173" s="1"/>
  <c r="T312" i="173" s="1"/>
  <c r="U312" i="173" s="1"/>
  <c r="V312" i="173" s="1"/>
  <c r="W312" i="173" s="1"/>
  <c r="X312" i="173" s="1"/>
  <c r="Y312" i="173" s="1"/>
  <c r="Z312" i="173" s="1"/>
  <c r="AA312" i="173" s="1"/>
  <c r="AB312" i="173" s="1"/>
  <c r="AC312" i="173" s="1"/>
  <c r="AD312" i="173" s="1"/>
  <c r="I485" i="176"/>
  <c r="J485" i="176" s="1"/>
  <c r="K374" i="173"/>
  <c r="L374" i="173" s="1"/>
  <c r="I406" i="173"/>
  <c r="I403" i="173"/>
  <c r="P280" i="176"/>
  <c r="I434" i="173"/>
  <c r="J434" i="173" s="1"/>
  <c r="V294" i="173"/>
  <c r="M344" i="173"/>
  <c r="O262" i="173"/>
  <c r="P262" i="173" s="1"/>
  <c r="L318" i="173"/>
  <c r="L333" i="173" s="1"/>
  <c r="L68" i="173" s="1"/>
  <c r="X208" i="176"/>
  <c r="X210" i="176"/>
  <c r="AC311" i="173"/>
  <c r="AD311" i="173" s="1"/>
  <c r="I408" i="176"/>
  <c r="J408" i="176" s="1"/>
  <c r="O342" i="173"/>
  <c r="P342" i="173" s="1"/>
  <c r="AA257" i="173"/>
  <c r="AB257" i="173" s="1"/>
  <c r="AC257" i="173" s="1"/>
  <c r="AD257" i="173" s="1"/>
  <c r="I482" i="176"/>
  <c r="J482" i="176" s="1"/>
  <c r="K482" i="176" s="1"/>
  <c r="L445" i="176"/>
  <c r="I366" i="173"/>
  <c r="J366" i="173" s="1"/>
  <c r="S304" i="176"/>
  <c r="T304" i="176" s="1"/>
  <c r="U304" i="176" s="1"/>
  <c r="V304" i="176" s="1"/>
  <c r="W304" i="176" s="1"/>
  <c r="X304" i="176" s="1"/>
  <c r="Y304" i="176" s="1"/>
  <c r="Z304" i="176" s="1"/>
  <c r="AA304" i="176" s="1"/>
  <c r="AB304" i="176" s="1"/>
  <c r="AC304" i="176" s="1"/>
  <c r="AD304" i="176" s="1"/>
  <c r="AE304" i="176" s="1"/>
  <c r="AF304" i="176" s="1"/>
  <c r="AG304" i="176" s="1"/>
  <c r="AH304" i="176" s="1"/>
  <c r="AI304" i="176" s="1"/>
  <c r="AJ304" i="176" s="1"/>
  <c r="AK304" i="176" s="1"/>
  <c r="U284" i="173"/>
  <c r="V284" i="173" s="1"/>
  <c r="W284" i="173" s="1"/>
  <c r="X284" i="173" s="1"/>
  <c r="Y284" i="173" s="1"/>
  <c r="Z284" i="173" s="1"/>
  <c r="AA284" i="173" s="1"/>
  <c r="AB284" i="173" s="1"/>
  <c r="AC284" i="173" s="1"/>
  <c r="AD284" i="173" s="1"/>
  <c r="K444" i="176"/>
  <c r="Q308" i="176"/>
  <c r="R308" i="176" s="1"/>
  <c r="S308" i="176" s="1"/>
  <c r="T308" i="176" s="1"/>
  <c r="U308" i="176" s="1"/>
  <c r="V308" i="176" s="1"/>
  <c r="W308" i="176" s="1"/>
  <c r="X308" i="176" s="1"/>
  <c r="Y308" i="176" s="1"/>
  <c r="Z308" i="176" s="1"/>
  <c r="AA308" i="176" s="1"/>
  <c r="AB308" i="176" s="1"/>
  <c r="AC308" i="176" s="1"/>
  <c r="AD308" i="176" s="1"/>
  <c r="AE308" i="176" s="1"/>
  <c r="AF308" i="176" s="1"/>
  <c r="AG308" i="176" s="1"/>
  <c r="AH308" i="176" s="1"/>
  <c r="AI308" i="176" s="1"/>
  <c r="AJ308" i="176" s="1"/>
  <c r="L298" i="176"/>
  <c r="L56" i="176" s="1"/>
  <c r="M268" i="176"/>
  <c r="O377" i="176"/>
  <c r="P377" i="176" s="1"/>
  <c r="AA339" i="176"/>
  <c r="AB339" i="176" s="1"/>
  <c r="AC339" i="176" s="1"/>
  <c r="AD339" i="176" s="1"/>
  <c r="AE339" i="176" s="1"/>
  <c r="AF339" i="176" s="1"/>
  <c r="AG339" i="176" s="1"/>
  <c r="AH339" i="176" s="1"/>
  <c r="O376" i="176"/>
  <c r="P376" i="176" s="1"/>
  <c r="Q376" i="176" s="1"/>
  <c r="R376" i="176" s="1"/>
  <c r="S376" i="176" s="1"/>
  <c r="T376" i="176" s="1"/>
  <c r="U376" i="176" s="1"/>
  <c r="V376" i="176" s="1"/>
  <c r="W376" i="176" s="1"/>
  <c r="X376" i="176" s="1"/>
  <c r="Y376" i="176" s="1"/>
  <c r="Z376" i="176" s="1"/>
  <c r="AA376" i="176" s="1"/>
  <c r="AB376" i="176" s="1"/>
  <c r="AC376" i="176" s="1"/>
  <c r="AD376" i="176" s="1"/>
  <c r="AE376" i="176" s="1"/>
  <c r="AF376" i="176" s="1"/>
  <c r="AG376" i="176" s="1"/>
  <c r="AH376" i="176" s="1"/>
  <c r="AI376" i="176" s="1"/>
  <c r="AJ376" i="176" s="1"/>
  <c r="AK376" i="176" s="1"/>
  <c r="M374" i="176"/>
  <c r="N374" i="176" s="1"/>
  <c r="O341" i="173"/>
  <c r="P341" i="173" s="1"/>
  <c r="Q341" i="173" s="1"/>
  <c r="R341" i="173" s="1"/>
  <c r="S341" i="173" s="1"/>
  <c r="T341" i="173" s="1"/>
  <c r="U341" i="173" s="1"/>
  <c r="V341" i="173" s="1"/>
  <c r="W341" i="173" s="1"/>
  <c r="X341" i="173" s="1"/>
  <c r="Y341" i="173" s="1"/>
  <c r="Z341" i="173" s="1"/>
  <c r="AA341" i="173" s="1"/>
  <c r="N52" i="176"/>
  <c r="O48" i="176" s="1"/>
  <c r="AC172" i="173"/>
  <c r="AD168" i="173" s="1"/>
  <c r="AD170" i="173" s="1"/>
  <c r="AD171" i="173" s="1"/>
  <c r="Q313" i="173"/>
  <c r="R313" i="173" s="1"/>
  <c r="S313" i="173" s="1"/>
  <c r="T313" i="173" s="1"/>
  <c r="U313" i="173" s="1"/>
  <c r="V313" i="173" s="1"/>
  <c r="W313" i="173" s="1"/>
  <c r="X313" i="173" s="1"/>
  <c r="Y313" i="173" s="1"/>
  <c r="Z313" i="173" s="1"/>
  <c r="AA313" i="173" s="1"/>
  <c r="AB313" i="173" s="1"/>
  <c r="AC313" i="173" s="1"/>
  <c r="AD313" i="173" s="1"/>
  <c r="AF176" i="176"/>
  <c r="AF177" i="176" s="1"/>
  <c r="H498" i="176"/>
  <c r="H532" i="176"/>
  <c r="H524" i="176"/>
  <c r="H487" i="176"/>
  <c r="H514" i="176"/>
  <c r="I514" i="176" s="1"/>
  <c r="AD172" i="176"/>
  <c r="AE168" i="176" s="1"/>
  <c r="AE170" i="176" s="1"/>
  <c r="AE171" i="176" s="1"/>
  <c r="H492" i="176"/>
  <c r="AE142" i="176"/>
  <c r="AF138" i="176" s="1"/>
  <c r="AF140" i="176" s="1"/>
  <c r="AF141" i="176" s="1"/>
  <c r="H442" i="173"/>
  <c r="H432" i="173"/>
  <c r="H525" i="176"/>
  <c r="H496" i="176"/>
  <c r="N46" i="176"/>
  <c r="O42" i="176" s="1"/>
  <c r="H515" i="176"/>
  <c r="I515" i="176" s="1"/>
  <c r="J515" i="176" s="1"/>
  <c r="K515" i="176" s="1"/>
  <c r="H491" i="176"/>
  <c r="H438" i="173"/>
  <c r="H503" i="176"/>
  <c r="H443" i="173"/>
  <c r="H516" i="176"/>
  <c r="I516" i="176" s="1"/>
  <c r="J516" i="176" s="1"/>
  <c r="H467" i="173"/>
  <c r="I70" i="176"/>
  <c r="J66" i="176" s="1"/>
  <c r="H429" i="173"/>
  <c r="AD140" i="173"/>
  <c r="AD141" i="173" s="1"/>
  <c r="I403" i="176"/>
  <c r="I74" i="176" s="1"/>
  <c r="I75" i="176" s="1"/>
  <c r="P314" i="173"/>
  <c r="Q314" i="173" s="1"/>
  <c r="R314" i="173" s="1"/>
  <c r="S314" i="173" s="1"/>
  <c r="T314" i="173" s="1"/>
  <c r="U314" i="173" s="1"/>
  <c r="V314" i="173" s="1"/>
  <c r="W314" i="173" s="1"/>
  <c r="X314" i="173" s="1"/>
  <c r="F464" i="173"/>
  <c r="J425" i="173"/>
  <c r="AD134" i="173"/>
  <c r="F470" i="173"/>
  <c r="H470" i="173" s="1"/>
  <c r="F478" i="176"/>
  <c r="F508" i="176" s="1"/>
  <c r="E508" i="176"/>
  <c r="F472" i="173"/>
  <c r="H472" i="173" s="1"/>
  <c r="C506" i="173" a="1"/>
  <c r="H443" i="176"/>
  <c r="I426" i="173"/>
  <c r="J426" i="173" s="1"/>
  <c r="K426" i="173" s="1"/>
  <c r="AE159" i="176"/>
  <c r="AE160" i="176"/>
  <c r="AF156" i="176" s="1"/>
  <c r="L448" i="176"/>
  <c r="N310" i="173"/>
  <c r="E561" i="176"/>
  <c r="E566" i="176"/>
  <c r="E562" i="176"/>
  <c r="E552" i="176"/>
  <c r="E572" i="176"/>
  <c r="E567" i="176"/>
  <c r="E565" i="176"/>
  <c r="E571" i="176"/>
  <c r="E575" i="176"/>
  <c r="E556" i="176"/>
  <c r="E558" i="176"/>
  <c r="E553" i="176"/>
  <c r="E554" i="176"/>
  <c r="E569" i="176"/>
  <c r="E577" i="176"/>
  <c r="F577" i="176" s="1"/>
  <c r="E576" i="176"/>
  <c r="C548" i="176"/>
  <c r="E559" i="176"/>
  <c r="E574" i="176"/>
  <c r="F574" i="176" s="1"/>
  <c r="E557" i="176"/>
  <c r="F557" i="176" s="1"/>
  <c r="E555" i="176"/>
  <c r="E564" i="176"/>
  <c r="E563" i="176"/>
  <c r="E549" i="176"/>
  <c r="E570" i="176"/>
  <c r="E551" i="176"/>
  <c r="E568" i="176"/>
  <c r="E573" i="176"/>
  <c r="E560" i="176"/>
  <c r="F533" i="176"/>
  <c r="H533" i="176" s="1"/>
  <c r="F542" i="176"/>
  <c r="K333" i="176"/>
  <c r="K62" i="176" s="1"/>
  <c r="L303" i="176"/>
  <c r="F537" i="176"/>
  <c r="H537" i="176" s="1"/>
  <c r="M339" i="173"/>
  <c r="N339" i="173" s="1"/>
  <c r="O339" i="173" s="1"/>
  <c r="P339" i="173" s="1"/>
  <c r="Q339" i="173" s="1"/>
  <c r="R339" i="173" s="1"/>
  <c r="S339" i="173" s="1"/>
  <c r="T339" i="173" s="1"/>
  <c r="U339" i="173" s="1"/>
  <c r="V339" i="173" s="1"/>
  <c r="W339" i="173" s="1"/>
  <c r="X339" i="173" s="1"/>
  <c r="Y339" i="173" s="1"/>
  <c r="Z339" i="173" s="1"/>
  <c r="AA339" i="173" s="1"/>
  <c r="AB339" i="173" s="1"/>
  <c r="AC339" i="173" s="1"/>
  <c r="AD339" i="173" s="1"/>
  <c r="AE135" i="176"/>
  <c r="AE136" i="176"/>
  <c r="AF132" i="176" s="1"/>
  <c r="AK342" i="176"/>
  <c r="F527" i="176"/>
  <c r="N411" i="176"/>
  <c r="O411" i="176" s="1"/>
  <c r="P411" i="176" s="1"/>
  <c r="AG128" i="176"/>
  <c r="J481" i="176"/>
  <c r="K481" i="176" s="1"/>
  <c r="L369" i="173"/>
  <c r="J368" i="176"/>
  <c r="J68" i="176" s="1"/>
  <c r="K338" i="176"/>
  <c r="L338" i="176" s="1"/>
  <c r="L368" i="176" s="1"/>
  <c r="L68" i="176" s="1"/>
  <c r="I423" i="173"/>
  <c r="N282" i="173"/>
  <c r="AD146" i="173"/>
  <c r="O228" i="176"/>
  <c r="O44" i="176" s="1"/>
  <c r="P198" i="176"/>
  <c r="F458" i="173"/>
  <c r="H458" i="173" s="1"/>
  <c r="K395" i="173"/>
  <c r="F522" i="176"/>
  <c r="F459" i="173"/>
  <c r="H459" i="173" s="1"/>
  <c r="K446" i="176"/>
  <c r="L446" i="176" s="1"/>
  <c r="F457" i="173"/>
  <c r="F417" i="173"/>
  <c r="H394" i="173"/>
  <c r="O263" i="176"/>
  <c r="O50" i="176" s="1"/>
  <c r="P233" i="176"/>
  <c r="F541" i="176"/>
  <c r="H541" i="176" s="1"/>
  <c r="F520" i="176"/>
  <c r="E450" i="173"/>
  <c r="AD158" i="173"/>
  <c r="AD159" i="173" s="1"/>
  <c r="AE152" i="176"/>
  <c r="AE153" i="176" s="1"/>
  <c r="K397" i="173"/>
  <c r="L397" i="173" s="1"/>
  <c r="F536" i="176"/>
  <c r="AH123" i="176"/>
  <c r="J63" i="176"/>
  <c r="J64" i="176"/>
  <c r="K60" i="176" s="1"/>
  <c r="AH124" i="176"/>
  <c r="AI120" i="176" s="1"/>
  <c r="J483" i="176"/>
  <c r="K483" i="176" s="1"/>
  <c r="L483" i="176" s="1"/>
  <c r="I427" i="173"/>
  <c r="AE148" i="176"/>
  <c r="AF144" i="176" s="1"/>
  <c r="P340" i="176"/>
  <c r="Q340" i="176" s="1"/>
  <c r="R340" i="176" s="1"/>
  <c r="S340" i="176" s="1"/>
  <c r="T340" i="176" s="1"/>
  <c r="J399" i="173"/>
  <c r="F535" i="176"/>
  <c r="H535" i="176" s="1"/>
  <c r="F452" i="173"/>
  <c r="H452" i="173" s="1"/>
  <c r="F465" i="173"/>
  <c r="H465" i="173" s="1"/>
  <c r="J373" i="176"/>
  <c r="K373" i="176" s="1"/>
  <c r="I479" i="176"/>
  <c r="H81" i="173"/>
  <c r="H82" i="173"/>
  <c r="I78" i="173" s="1"/>
  <c r="N51" i="176"/>
  <c r="H75" i="176"/>
  <c r="H76" i="176"/>
  <c r="I72" i="176" s="1"/>
  <c r="R254" i="173"/>
  <c r="AC141" i="173"/>
  <c r="H76" i="173"/>
  <c r="I72" i="173" s="1"/>
  <c r="I76" i="173" s="1"/>
  <c r="J72" i="173" s="1"/>
  <c r="I75" i="173"/>
  <c r="H75" i="173"/>
  <c r="F453" i="173"/>
  <c r="H453" i="173" s="1"/>
  <c r="M447" i="176"/>
  <c r="F469" i="173"/>
  <c r="H469" i="173" s="1"/>
  <c r="F468" i="173"/>
  <c r="I69" i="176"/>
  <c r="N413" i="176"/>
  <c r="O413" i="176" s="1"/>
  <c r="M315" i="173"/>
  <c r="AE164" i="176"/>
  <c r="AE165" i="176" s="1"/>
  <c r="R199" i="173"/>
  <c r="J398" i="173"/>
  <c r="F456" i="173"/>
  <c r="F463" i="173"/>
  <c r="F523" i="176"/>
  <c r="F462" i="173"/>
  <c r="F455" i="173"/>
  <c r="H455" i="173" s="1"/>
  <c r="AF129" i="176"/>
  <c r="H81" i="176"/>
  <c r="H82" i="176"/>
  <c r="I78" i="176" s="1"/>
  <c r="I480" i="176"/>
  <c r="L305" i="173"/>
  <c r="L62" i="173" s="1"/>
  <c r="L63" i="173" s="1"/>
  <c r="F422" i="173"/>
  <c r="F445" i="173" s="1"/>
  <c r="E445" i="173"/>
  <c r="O368" i="173"/>
  <c r="K409" i="176"/>
  <c r="F517" i="176"/>
  <c r="H517" i="176" s="1"/>
  <c r="F454" i="173"/>
  <c r="H454" i="173" s="1"/>
  <c r="O375" i="176"/>
  <c r="P375" i="176" s="1"/>
  <c r="Q375" i="176" s="1"/>
  <c r="R375" i="176" s="1"/>
  <c r="S375" i="176" s="1"/>
  <c r="T375" i="176" s="1"/>
  <c r="U375" i="176" s="1"/>
  <c r="V375" i="176" s="1"/>
  <c r="W375" i="176" s="1"/>
  <c r="X375" i="176" s="1"/>
  <c r="Y375" i="176" s="1"/>
  <c r="J396" i="173"/>
  <c r="K412" i="176"/>
  <c r="T198" i="173"/>
  <c r="F451" i="173"/>
  <c r="H451" i="173" s="1"/>
  <c r="E489" i="173"/>
  <c r="E482" i="173"/>
  <c r="E499" i="173"/>
  <c r="E483" i="173"/>
  <c r="E492" i="173"/>
  <c r="E494" i="173"/>
  <c r="E493" i="173"/>
  <c r="E498" i="173"/>
  <c r="E491" i="173"/>
  <c r="E497" i="173"/>
  <c r="E495" i="173"/>
  <c r="E488" i="173"/>
  <c r="E487" i="173"/>
  <c r="E481" i="173"/>
  <c r="E484" i="173"/>
  <c r="F484" i="173" s="1"/>
  <c r="C478" i="173"/>
  <c r="E485" i="173"/>
  <c r="E479" i="173"/>
  <c r="E490" i="173"/>
  <c r="E500" i="173"/>
  <c r="E496" i="173"/>
  <c r="E486" i="173"/>
  <c r="M367" i="173"/>
  <c r="N367" i="173" s="1"/>
  <c r="O367" i="173" s="1"/>
  <c r="P367" i="173" s="1"/>
  <c r="Q367" i="173" s="1"/>
  <c r="R367" i="173" s="1"/>
  <c r="C583" i="176" a="1"/>
  <c r="R226" i="173"/>
  <c r="F466" i="173"/>
  <c r="H466" i="173" s="1"/>
  <c r="K63" i="173"/>
  <c r="F460" i="173"/>
  <c r="P378" i="176"/>
  <c r="Q378" i="176" s="1"/>
  <c r="R378" i="176" s="1"/>
  <c r="S378" i="176" s="1"/>
  <c r="T378" i="176" s="1"/>
  <c r="U378" i="176" s="1"/>
  <c r="V378" i="176" s="1"/>
  <c r="W378" i="176" s="1"/>
  <c r="X378" i="176" s="1"/>
  <c r="Y378" i="176" s="1"/>
  <c r="Z378" i="176" s="1"/>
  <c r="AA378" i="176" s="1"/>
  <c r="AB378" i="176" s="1"/>
  <c r="AC378" i="176" s="1"/>
  <c r="AD378" i="176" s="1"/>
  <c r="AE378" i="176" s="1"/>
  <c r="AF378" i="176" s="1"/>
  <c r="AG378" i="176" s="1"/>
  <c r="AH378" i="176" s="1"/>
  <c r="AI378" i="176" s="1"/>
  <c r="AJ378" i="176" s="1"/>
  <c r="AK378" i="176" s="1"/>
  <c r="K64" i="173"/>
  <c r="L60" i="173" s="1"/>
  <c r="M343" i="176"/>
  <c r="N343" i="176" s="1"/>
  <c r="O343" i="176" s="1"/>
  <c r="P343" i="176" s="1"/>
  <c r="Q343" i="176" s="1"/>
  <c r="F471" i="173"/>
  <c r="O255" i="173"/>
  <c r="O371" i="173"/>
  <c r="P371" i="173" s="1"/>
  <c r="Q371" i="173" s="1"/>
  <c r="L410" i="176"/>
  <c r="J424" i="173"/>
  <c r="E513" i="176"/>
  <c r="F519" i="176"/>
  <c r="J338" i="173"/>
  <c r="K338" i="173" s="1"/>
  <c r="P231" i="173"/>
  <c r="R327" i="176" l="1"/>
  <c r="S327" i="176" s="1"/>
  <c r="T327" i="176" s="1"/>
  <c r="R328" i="176"/>
  <c r="S328" i="176" s="1"/>
  <c r="T328" i="176" s="1"/>
  <c r="U328" i="176" s="1"/>
  <c r="V328" i="176" s="1"/>
  <c r="W328" i="176" s="1"/>
  <c r="X328" i="176" s="1"/>
  <c r="AB260" i="176"/>
  <c r="AC260" i="176" s="1"/>
  <c r="AD260" i="176" s="1"/>
  <c r="AE260" i="176" s="1"/>
  <c r="AF260" i="176" s="1"/>
  <c r="AG260" i="176" s="1"/>
  <c r="AH260" i="176" s="1"/>
  <c r="Z244" i="176"/>
  <c r="R360" i="176"/>
  <c r="S360" i="176" s="1"/>
  <c r="T360" i="176" s="1"/>
  <c r="R356" i="173"/>
  <c r="N385" i="173"/>
  <c r="O385" i="173" s="1"/>
  <c r="W246" i="176"/>
  <c r="X246" i="176" s="1"/>
  <c r="Y246" i="176" s="1"/>
  <c r="Z246" i="176" s="1"/>
  <c r="N395" i="176"/>
  <c r="O395" i="176" s="1"/>
  <c r="AA220" i="173"/>
  <c r="Y212" i="176"/>
  <c r="Z212" i="176" s="1"/>
  <c r="AA212" i="176" s="1"/>
  <c r="AB212" i="176" s="1"/>
  <c r="P326" i="176"/>
  <c r="Q326" i="176" s="1"/>
  <c r="R326" i="176" s="1"/>
  <c r="L388" i="173"/>
  <c r="M388" i="173" s="1"/>
  <c r="U331" i="176"/>
  <c r="V331" i="176" s="1"/>
  <c r="W331" i="176" s="1"/>
  <c r="X331" i="176" s="1"/>
  <c r="R292" i="176"/>
  <c r="S292" i="176" s="1"/>
  <c r="AB276" i="173"/>
  <c r="AC276" i="173" s="1"/>
  <c r="O359" i="176"/>
  <c r="P359" i="176" s="1"/>
  <c r="Q359" i="176" s="1"/>
  <c r="R359" i="176" s="1"/>
  <c r="S359" i="176" s="1"/>
  <c r="P301" i="173"/>
  <c r="Q301" i="173" s="1"/>
  <c r="M318" i="173"/>
  <c r="M333" i="173" s="1"/>
  <c r="M68" i="173" s="1"/>
  <c r="U247" i="173"/>
  <c r="V247" i="173" s="1"/>
  <c r="L422" i="176"/>
  <c r="M422" i="176"/>
  <c r="N398" i="176"/>
  <c r="O398" i="176" s="1"/>
  <c r="AH218" i="176"/>
  <c r="AI218" i="176" s="1"/>
  <c r="AJ218" i="176" s="1"/>
  <c r="AK218" i="176" s="1"/>
  <c r="AK224" i="176"/>
  <c r="W295" i="176"/>
  <c r="X295" i="176" s="1"/>
  <c r="N433" i="176"/>
  <c r="O433" i="176" s="1"/>
  <c r="X284" i="176"/>
  <c r="Y284" i="176" s="1"/>
  <c r="Z284" i="176" s="1"/>
  <c r="AD207" i="176"/>
  <c r="AE207" i="176" s="1"/>
  <c r="AF207" i="176" s="1"/>
  <c r="AG207" i="176" s="1"/>
  <c r="AH207" i="176" s="1"/>
  <c r="AI207" i="176" s="1"/>
  <c r="AJ207" i="176" s="1"/>
  <c r="AK207" i="176" s="1"/>
  <c r="U239" i="173"/>
  <c r="V239" i="173" s="1"/>
  <c r="U267" i="173"/>
  <c r="V267" i="173" s="1"/>
  <c r="AH220" i="176"/>
  <c r="AI220" i="176" s="1"/>
  <c r="AJ220" i="176" s="1"/>
  <c r="AI225" i="176"/>
  <c r="AJ225" i="176" s="1"/>
  <c r="AK225" i="176" s="1"/>
  <c r="W213" i="173"/>
  <c r="X213" i="173" s="1"/>
  <c r="S217" i="176"/>
  <c r="S296" i="176"/>
  <c r="S357" i="176"/>
  <c r="S296" i="173"/>
  <c r="T296" i="173" s="1"/>
  <c r="T350" i="176"/>
  <c r="U350" i="176" s="1"/>
  <c r="N429" i="176"/>
  <c r="O429" i="176" s="1"/>
  <c r="N394" i="176"/>
  <c r="O394" i="176" s="1"/>
  <c r="T317" i="176"/>
  <c r="P395" i="176"/>
  <c r="Q395" i="176" s="1"/>
  <c r="R395" i="176" s="1"/>
  <c r="V257" i="176"/>
  <c r="W257" i="176" s="1"/>
  <c r="T330" i="176"/>
  <c r="U330" i="176" s="1"/>
  <c r="V330" i="176" s="1"/>
  <c r="W330" i="176" s="1"/>
  <c r="P352" i="173"/>
  <c r="Q352" i="173" s="1"/>
  <c r="K70" i="173"/>
  <c r="L66" i="173" s="1"/>
  <c r="L70" i="173" s="1"/>
  <c r="M66" i="173" s="1"/>
  <c r="Q318" i="176"/>
  <c r="R318" i="176"/>
  <c r="U285" i="176"/>
  <c r="V288" i="176"/>
  <c r="W288" i="176" s="1"/>
  <c r="AA211" i="173"/>
  <c r="AB211" i="173" s="1"/>
  <c r="AC211" i="173" s="1"/>
  <c r="AD211" i="173" s="1"/>
  <c r="AA281" i="176"/>
  <c r="AB281" i="176" s="1"/>
  <c r="AC214" i="176"/>
  <c r="AD214" i="176" s="1"/>
  <c r="AE214" i="176" s="1"/>
  <c r="AF214" i="176" s="1"/>
  <c r="AG214" i="176" s="1"/>
  <c r="AH214" i="176" s="1"/>
  <c r="AI214" i="176" s="1"/>
  <c r="AJ214" i="176" s="1"/>
  <c r="AK214" i="176" s="1"/>
  <c r="L69" i="173"/>
  <c r="Z242" i="173"/>
  <c r="AA242" i="173" s="1"/>
  <c r="AB242" i="173" s="1"/>
  <c r="AI260" i="176"/>
  <c r="AJ260" i="176" s="1"/>
  <c r="AK260" i="176" s="1"/>
  <c r="W319" i="176"/>
  <c r="X319" i="176" s="1"/>
  <c r="V325" i="173"/>
  <c r="W325" i="173" s="1"/>
  <c r="S273" i="173"/>
  <c r="J499" i="176"/>
  <c r="U214" i="173"/>
  <c r="N402" i="176"/>
  <c r="U360" i="176"/>
  <c r="L387" i="173"/>
  <c r="AA249" i="176"/>
  <c r="AB249" i="176" s="1"/>
  <c r="N427" i="176"/>
  <c r="O427" i="176" s="1"/>
  <c r="Q348" i="176"/>
  <c r="P364" i="176"/>
  <c r="P322" i="176"/>
  <c r="M388" i="176"/>
  <c r="N388" i="176" s="1"/>
  <c r="O388" i="176" s="1"/>
  <c r="M360" i="173"/>
  <c r="N360" i="173"/>
  <c r="O360" i="173" s="1"/>
  <c r="M353" i="173"/>
  <c r="J495" i="176"/>
  <c r="S303" i="173"/>
  <c r="T303" i="173" s="1"/>
  <c r="N330" i="173"/>
  <c r="O330" i="173" s="1"/>
  <c r="K470" i="176"/>
  <c r="Q253" i="176"/>
  <c r="P351" i="173"/>
  <c r="T286" i="176"/>
  <c r="U211" i="176"/>
  <c r="M401" i="176"/>
  <c r="Q304" i="173"/>
  <c r="Q324" i="176"/>
  <c r="S320" i="176"/>
  <c r="AG258" i="176"/>
  <c r="AH258" i="176" s="1"/>
  <c r="AI258" i="176" s="1"/>
  <c r="O324" i="173"/>
  <c r="P324" i="173" s="1"/>
  <c r="Q324" i="173" s="1"/>
  <c r="R324" i="173" s="1"/>
  <c r="R316" i="176"/>
  <c r="S316" i="176" s="1"/>
  <c r="T316" i="176" s="1"/>
  <c r="R366" i="176"/>
  <c r="S366" i="176" s="1"/>
  <c r="N396" i="176"/>
  <c r="O396" i="176" s="1"/>
  <c r="F573" i="176"/>
  <c r="H573" i="176" s="1"/>
  <c r="J502" i="176"/>
  <c r="P332" i="176"/>
  <c r="Q332" i="176" s="1"/>
  <c r="R332" i="176" s="1"/>
  <c r="AD240" i="176"/>
  <c r="AE240" i="176" s="1"/>
  <c r="O356" i="176"/>
  <c r="F572" i="176"/>
  <c r="H572" i="176" s="1"/>
  <c r="M359" i="173"/>
  <c r="N359" i="173"/>
  <c r="R302" i="173"/>
  <c r="S302" i="173" s="1"/>
  <c r="T302" i="173" s="1"/>
  <c r="U302" i="173" s="1"/>
  <c r="V302" i="173" s="1"/>
  <c r="W302" i="173" s="1"/>
  <c r="X302" i="173" s="1"/>
  <c r="Y302" i="173" s="1"/>
  <c r="Z302" i="173" s="1"/>
  <c r="U259" i="176"/>
  <c r="P300" i="173"/>
  <c r="N355" i="176"/>
  <c r="O355" i="176" s="1"/>
  <c r="P355" i="176" s="1"/>
  <c r="Q355" i="176" s="1"/>
  <c r="P295" i="173"/>
  <c r="Q323" i="176"/>
  <c r="S274" i="173"/>
  <c r="T274" i="173" s="1"/>
  <c r="K469" i="176"/>
  <c r="L469" i="176" s="1"/>
  <c r="K457" i="176"/>
  <c r="Q321" i="176"/>
  <c r="R268" i="173"/>
  <c r="T275" i="173"/>
  <c r="J444" i="173"/>
  <c r="K434" i="176"/>
  <c r="L434" i="176" s="1"/>
  <c r="M434" i="176" s="1"/>
  <c r="S356" i="173"/>
  <c r="M387" i="176"/>
  <c r="N387" i="176" s="1"/>
  <c r="O387" i="176" s="1"/>
  <c r="P323" i="173"/>
  <c r="O384" i="173"/>
  <c r="P384" i="173" s="1"/>
  <c r="R245" i="173"/>
  <c r="N329" i="176"/>
  <c r="O329" i="176" s="1"/>
  <c r="P329" i="176" s="1"/>
  <c r="P331" i="173"/>
  <c r="Q331" i="173"/>
  <c r="N362" i="176"/>
  <c r="O362" i="176" s="1"/>
  <c r="P362" i="176" s="1"/>
  <c r="U212" i="173"/>
  <c r="S251" i="176"/>
  <c r="J506" i="176"/>
  <c r="K506" i="176" s="1"/>
  <c r="P297" i="173"/>
  <c r="J412" i="173"/>
  <c r="R261" i="176"/>
  <c r="S261" i="176" s="1"/>
  <c r="T261" i="176" s="1"/>
  <c r="U261" i="176" s="1"/>
  <c r="V261" i="176" s="1"/>
  <c r="W261" i="176" s="1"/>
  <c r="X261" i="176" s="1"/>
  <c r="Y261" i="176" s="1"/>
  <c r="Z261" i="176" s="1"/>
  <c r="AA261" i="176" s="1"/>
  <c r="AB261" i="176" s="1"/>
  <c r="AC261" i="176" s="1"/>
  <c r="AD261" i="176" s="1"/>
  <c r="AE261" i="176" s="1"/>
  <c r="AF261" i="176" s="1"/>
  <c r="AG261" i="176" s="1"/>
  <c r="AH261" i="176" s="1"/>
  <c r="AI261" i="176" s="1"/>
  <c r="N326" i="173"/>
  <c r="U215" i="176"/>
  <c r="K460" i="176"/>
  <c r="F567" i="176"/>
  <c r="H567" i="176" s="1"/>
  <c r="P299" i="173"/>
  <c r="S291" i="176"/>
  <c r="P361" i="176"/>
  <c r="L424" i="176"/>
  <c r="M424" i="176" s="1"/>
  <c r="N353" i="176"/>
  <c r="N386" i="176"/>
  <c r="N382" i="173"/>
  <c r="O382" i="173" s="1"/>
  <c r="U293" i="176"/>
  <c r="L430" i="176"/>
  <c r="J501" i="176"/>
  <c r="AA252" i="176"/>
  <c r="P365" i="176"/>
  <c r="N391" i="176"/>
  <c r="T272" i="173"/>
  <c r="U272" i="173" s="1"/>
  <c r="V272" i="173" s="1"/>
  <c r="W272" i="173" s="1"/>
  <c r="X272" i="173" s="1"/>
  <c r="Y272" i="173" s="1"/>
  <c r="Z272" i="173" s="1"/>
  <c r="Q262" i="176"/>
  <c r="T271" i="173"/>
  <c r="U271" i="173" s="1"/>
  <c r="V271" i="173" s="1"/>
  <c r="W271" i="173" s="1"/>
  <c r="X271" i="173" s="1"/>
  <c r="O363" i="176"/>
  <c r="R357" i="173"/>
  <c r="O351" i="176"/>
  <c r="O352" i="176"/>
  <c r="N423" i="176"/>
  <c r="T215" i="173"/>
  <c r="L432" i="176"/>
  <c r="Q282" i="176"/>
  <c r="Y250" i="176"/>
  <c r="M461" i="176"/>
  <c r="K456" i="176"/>
  <c r="P358" i="173"/>
  <c r="O328" i="173"/>
  <c r="N425" i="176"/>
  <c r="O425" i="176" s="1"/>
  <c r="O367" i="176"/>
  <c r="M393" i="176"/>
  <c r="N393" i="176" s="1"/>
  <c r="T256" i="176"/>
  <c r="N355" i="173"/>
  <c r="P354" i="173"/>
  <c r="N329" i="173"/>
  <c r="R283" i="176"/>
  <c r="M400" i="176"/>
  <c r="N400" i="176" s="1"/>
  <c r="N354" i="176"/>
  <c r="O354" i="176" s="1"/>
  <c r="P354" i="176" s="1"/>
  <c r="W241" i="173"/>
  <c r="S289" i="176"/>
  <c r="N428" i="176"/>
  <c r="O428" i="176"/>
  <c r="U248" i="173"/>
  <c r="P325" i="176"/>
  <c r="Q325" i="176" s="1"/>
  <c r="R325" i="176" s="1"/>
  <c r="AC254" i="176"/>
  <c r="AJ222" i="176"/>
  <c r="AK222" i="176" s="1"/>
  <c r="P294" i="176"/>
  <c r="Q294" i="176" s="1"/>
  <c r="Q221" i="173"/>
  <c r="Q44" i="173" s="1"/>
  <c r="Q45" i="173" s="1"/>
  <c r="J439" i="173"/>
  <c r="N327" i="173"/>
  <c r="O327" i="173" s="1"/>
  <c r="M392" i="176"/>
  <c r="Q332" i="173"/>
  <c r="L379" i="173"/>
  <c r="N399" i="176"/>
  <c r="O399" i="176" s="1"/>
  <c r="P399" i="176" s="1"/>
  <c r="P243" i="173"/>
  <c r="X219" i="176"/>
  <c r="L468" i="176"/>
  <c r="N437" i="176"/>
  <c r="S213" i="176"/>
  <c r="AC244" i="173"/>
  <c r="AD244" i="173" s="1"/>
  <c r="M397" i="176"/>
  <c r="V297" i="176"/>
  <c r="R290" i="176"/>
  <c r="AA298" i="173"/>
  <c r="L383" i="173"/>
  <c r="R247" i="176"/>
  <c r="J441" i="173"/>
  <c r="K441" i="173" s="1"/>
  <c r="K465" i="176"/>
  <c r="L389" i="176"/>
  <c r="R255" i="176"/>
  <c r="S255" i="176" s="1"/>
  <c r="T255" i="176" s="1"/>
  <c r="U255" i="176" s="1"/>
  <c r="V255" i="176" s="1"/>
  <c r="W255" i="176" s="1"/>
  <c r="X255" i="176" s="1"/>
  <c r="Y255" i="176" s="1"/>
  <c r="Z255" i="176" s="1"/>
  <c r="AA255" i="176" s="1"/>
  <c r="AB255" i="176" s="1"/>
  <c r="AC255" i="176" s="1"/>
  <c r="AD255" i="176" s="1"/>
  <c r="S269" i="173"/>
  <c r="K472" i="176"/>
  <c r="N358" i="176"/>
  <c r="N426" i="176"/>
  <c r="N390" i="176"/>
  <c r="O390" i="176" s="1"/>
  <c r="L421" i="176"/>
  <c r="T219" i="173"/>
  <c r="K403" i="176"/>
  <c r="K74" i="176" s="1"/>
  <c r="M467" i="176"/>
  <c r="N467" i="176" s="1"/>
  <c r="O467" i="176" s="1"/>
  <c r="L431" i="176"/>
  <c r="P380" i="173"/>
  <c r="Q248" i="176"/>
  <c r="R270" i="173"/>
  <c r="T216" i="176"/>
  <c r="R246" i="173"/>
  <c r="P287" i="176"/>
  <c r="S240" i="173"/>
  <c r="S241" i="176"/>
  <c r="T241" i="176" s="1"/>
  <c r="U241" i="176" s="1"/>
  <c r="T204" i="173"/>
  <c r="U204" i="173" s="1"/>
  <c r="V204" i="173" s="1"/>
  <c r="W204" i="173" s="1"/>
  <c r="X204" i="173" s="1"/>
  <c r="Y204" i="173" s="1"/>
  <c r="Z204" i="173" s="1"/>
  <c r="AA204" i="173" s="1"/>
  <c r="AB204" i="173" s="1"/>
  <c r="AC204" i="173" s="1"/>
  <c r="AD204" i="173" s="1"/>
  <c r="L386" i="173"/>
  <c r="J505" i="176"/>
  <c r="R320" i="173"/>
  <c r="S320" i="173" s="1"/>
  <c r="T320" i="173" s="1"/>
  <c r="J507" i="176"/>
  <c r="R288" i="173"/>
  <c r="S288" i="173" s="1"/>
  <c r="T288" i="173" s="1"/>
  <c r="K458" i="176"/>
  <c r="L458" i="176" s="1"/>
  <c r="J504" i="176"/>
  <c r="T263" i="173"/>
  <c r="U263" i="173" s="1"/>
  <c r="V263" i="173" s="1"/>
  <c r="W263" i="173" s="1"/>
  <c r="X263" i="173" s="1"/>
  <c r="Y263" i="173" s="1"/>
  <c r="Z263" i="173" s="1"/>
  <c r="AA263" i="173" s="1"/>
  <c r="AB263" i="173" s="1"/>
  <c r="AC263" i="173" s="1"/>
  <c r="AD263" i="173" s="1"/>
  <c r="L409" i="173"/>
  <c r="M409" i="173" s="1"/>
  <c r="M435" i="176"/>
  <c r="N435" i="176" s="1"/>
  <c r="L410" i="173"/>
  <c r="L408" i="173"/>
  <c r="K411" i="173"/>
  <c r="M381" i="173"/>
  <c r="K466" i="176"/>
  <c r="L414" i="173"/>
  <c r="M414" i="173"/>
  <c r="N414" i="173" s="1"/>
  <c r="L462" i="176"/>
  <c r="M462" i="176" s="1"/>
  <c r="J494" i="176"/>
  <c r="J435" i="173"/>
  <c r="K413" i="173"/>
  <c r="M459" i="176"/>
  <c r="L436" i="176"/>
  <c r="L471" i="176"/>
  <c r="L415" i="173"/>
  <c r="L463" i="176"/>
  <c r="K497" i="176"/>
  <c r="L440" i="173"/>
  <c r="I529" i="176"/>
  <c r="K436" i="173"/>
  <c r="I531" i="176"/>
  <c r="K464" i="176"/>
  <c r="K416" i="173"/>
  <c r="K407" i="173"/>
  <c r="I532" i="176"/>
  <c r="J493" i="176"/>
  <c r="K493" i="176" s="1"/>
  <c r="K437" i="173"/>
  <c r="J500" i="176"/>
  <c r="I526" i="176"/>
  <c r="J526" i="176"/>
  <c r="I443" i="173"/>
  <c r="I528" i="176"/>
  <c r="I503" i="176"/>
  <c r="J503" i="176" s="1"/>
  <c r="K503" i="176" s="1"/>
  <c r="I438" i="173"/>
  <c r="J438" i="173"/>
  <c r="I491" i="176"/>
  <c r="I530" i="176"/>
  <c r="I442" i="173"/>
  <c r="I541" i="176"/>
  <c r="I498" i="176"/>
  <c r="I469" i="173"/>
  <c r="I537" i="176"/>
  <c r="I540" i="176"/>
  <c r="I535" i="176"/>
  <c r="P46" i="173"/>
  <c r="Q42" i="173" s="1"/>
  <c r="I539" i="176"/>
  <c r="I467" i="173"/>
  <c r="I472" i="173"/>
  <c r="I534" i="176"/>
  <c r="I465" i="173"/>
  <c r="I496" i="176"/>
  <c r="I533" i="176"/>
  <c r="I492" i="176"/>
  <c r="I470" i="173"/>
  <c r="I466" i="173"/>
  <c r="J466" i="173" s="1"/>
  <c r="I538" i="176"/>
  <c r="Y314" i="173"/>
  <c r="Z314" i="173" s="1"/>
  <c r="AA314" i="173" s="1"/>
  <c r="AB314" i="173" s="1"/>
  <c r="AC314" i="173" s="1"/>
  <c r="AD314" i="173" s="1"/>
  <c r="W261" i="173"/>
  <c r="X261" i="173" s="1"/>
  <c r="Y261" i="173" s="1"/>
  <c r="Z261" i="173" s="1"/>
  <c r="AA261" i="173" s="1"/>
  <c r="AB261" i="173" s="1"/>
  <c r="AC261" i="173" s="1"/>
  <c r="AD261" i="173" s="1"/>
  <c r="AK242" i="176"/>
  <c r="U205" i="176"/>
  <c r="V205" i="176" s="1"/>
  <c r="W205" i="176" s="1"/>
  <c r="X205" i="176" s="1"/>
  <c r="Y205" i="176" s="1"/>
  <c r="Z205" i="176" s="1"/>
  <c r="AA205" i="176" s="1"/>
  <c r="N419" i="176"/>
  <c r="O419" i="176" s="1"/>
  <c r="K361" i="173"/>
  <c r="K74" i="173" s="1"/>
  <c r="M374" i="173"/>
  <c r="N374" i="173" s="1"/>
  <c r="O374" i="173" s="1"/>
  <c r="P340" i="173"/>
  <c r="Q340" i="173" s="1"/>
  <c r="R340" i="173" s="1"/>
  <c r="S340" i="173" s="1"/>
  <c r="T340" i="173" s="1"/>
  <c r="U340" i="173" s="1"/>
  <c r="V340" i="173" s="1"/>
  <c r="W340" i="173" s="1"/>
  <c r="X340" i="173" s="1"/>
  <c r="Y340" i="173" s="1"/>
  <c r="Z340" i="173" s="1"/>
  <c r="AA340" i="173" s="1"/>
  <c r="AB340" i="173" s="1"/>
  <c r="AC340" i="173" s="1"/>
  <c r="AD340" i="173" s="1"/>
  <c r="AF178" i="176"/>
  <c r="AG174" i="176" s="1"/>
  <c r="AG176" i="176" s="1"/>
  <c r="AG177" i="176" s="1"/>
  <c r="AI339" i="176"/>
  <c r="AJ339" i="176" s="1"/>
  <c r="AK339" i="176" s="1"/>
  <c r="M58" i="173"/>
  <c r="N54" i="173" s="1"/>
  <c r="N58" i="173" s="1"/>
  <c r="O54" i="173" s="1"/>
  <c r="X237" i="173"/>
  <c r="R314" i="176"/>
  <c r="S314" i="176" s="1"/>
  <c r="N384" i="176"/>
  <c r="P345" i="176"/>
  <c r="N375" i="173"/>
  <c r="Q289" i="173"/>
  <c r="Q292" i="173"/>
  <c r="R292" i="173" s="1"/>
  <c r="S292" i="173" s="1"/>
  <c r="L376" i="173"/>
  <c r="M376" i="173" s="1"/>
  <c r="K484" i="176"/>
  <c r="T265" i="173"/>
  <c r="U265" i="173" s="1"/>
  <c r="O380" i="176"/>
  <c r="P380" i="176" s="1"/>
  <c r="O450" i="176"/>
  <c r="P450" i="176" s="1"/>
  <c r="I76" i="176"/>
  <c r="J72" i="176" s="1"/>
  <c r="R311" i="176"/>
  <c r="S311" i="176" s="1"/>
  <c r="Z209" i="173"/>
  <c r="AA209" i="173" s="1"/>
  <c r="AB209" i="173" s="1"/>
  <c r="S349" i="176"/>
  <c r="T349" i="176" s="1"/>
  <c r="U349" i="176" s="1"/>
  <c r="N414" i="176"/>
  <c r="O414" i="176" s="1"/>
  <c r="Q317" i="173"/>
  <c r="R317" i="173" s="1"/>
  <c r="S317" i="173" s="1"/>
  <c r="M488" i="176"/>
  <c r="N488" i="176" s="1"/>
  <c r="O488" i="176" s="1"/>
  <c r="L400" i="173"/>
  <c r="M400" i="173" s="1"/>
  <c r="S347" i="176"/>
  <c r="T347" i="176" s="1"/>
  <c r="U347" i="176" s="1"/>
  <c r="V347" i="176" s="1"/>
  <c r="W347" i="176" s="1"/>
  <c r="X347" i="176" s="1"/>
  <c r="Y347" i="176" s="1"/>
  <c r="Z347" i="176" s="1"/>
  <c r="AA347" i="176" s="1"/>
  <c r="AB347" i="176" s="1"/>
  <c r="AC347" i="176" s="1"/>
  <c r="AD347" i="176" s="1"/>
  <c r="AE347" i="176" s="1"/>
  <c r="AF347" i="176" s="1"/>
  <c r="AG347" i="176" s="1"/>
  <c r="AH347" i="176" s="1"/>
  <c r="AI347" i="176" s="1"/>
  <c r="AJ347" i="176" s="1"/>
  <c r="AK347" i="176" s="1"/>
  <c r="W245" i="176"/>
  <c r="X245" i="176" s="1"/>
  <c r="M401" i="173"/>
  <c r="S452" i="176"/>
  <c r="T452" i="176" s="1"/>
  <c r="V278" i="176"/>
  <c r="W278" i="176" s="1"/>
  <c r="O350" i="173"/>
  <c r="K455" i="176"/>
  <c r="L455" i="176" s="1"/>
  <c r="M455" i="176" s="1"/>
  <c r="I459" i="173"/>
  <c r="I432" i="173"/>
  <c r="O420" i="176"/>
  <c r="P420" i="176" s="1"/>
  <c r="R264" i="173"/>
  <c r="I429" i="173"/>
  <c r="J429" i="173" s="1"/>
  <c r="K454" i="176"/>
  <c r="L454" i="176" s="1"/>
  <c r="K405" i="173"/>
  <c r="AB233" i="173"/>
  <c r="AC233" i="173" s="1"/>
  <c r="AD233" i="173" s="1"/>
  <c r="M377" i="173"/>
  <c r="S290" i="173"/>
  <c r="T290" i="173" s="1"/>
  <c r="J404" i="173"/>
  <c r="AC243" i="176"/>
  <c r="AD243" i="176" s="1"/>
  <c r="AE243" i="176" s="1"/>
  <c r="AF243" i="176" s="1"/>
  <c r="AG243" i="176" s="1"/>
  <c r="AH243" i="176" s="1"/>
  <c r="AI243" i="176" s="1"/>
  <c r="J486" i="176"/>
  <c r="K486" i="176" s="1"/>
  <c r="Y208" i="176"/>
  <c r="P321" i="173"/>
  <c r="Q280" i="176"/>
  <c r="K416" i="176"/>
  <c r="J428" i="173"/>
  <c r="Q348" i="173"/>
  <c r="R348" i="173" s="1"/>
  <c r="M415" i="176"/>
  <c r="N415" i="176" s="1"/>
  <c r="Q316" i="173"/>
  <c r="R316" i="173" s="1"/>
  <c r="S316" i="173" s="1"/>
  <c r="I458" i="173"/>
  <c r="K408" i="176"/>
  <c r="L408" i="176" s="1"/>
  <c r="M408" i="176" s="1"/>
  <c r="K434" i="173"/>
  <c r="U235" i="173"/>
  <c r="I487" i="176"/>
  <c r="J487" i="176" s="1"/>
  <c r="J430" i="173"/>
  <c r="K430" i="173" s="1"/>
  <c r="K485" i="176"/>
  <c r="L485" i="176" s="1"/>
  <c r="N344" i="173"/>
  <c r="O451" i="176"/>
  <c r="J489" i="176"/>
  <c r="N383" i="176"/>
  <c r="U277" i="176"/>
  <c r="V277" i="176" s="1"/>
  <c r="W277" i="176" s="1"/>
  <c r="X277" i="176" s="1"/>
  <c r="S279" i="176"/>
  <c r="T279" i="176" s="1"/>
  <c r="J433" i="173"/>
  <c r="J438" i="176"/>
  <c r="J80" i="176" s="1"/>
  <c r="L373" i="173"/>
  <c r="M373" i="173" s="1"/>
  <c r="Q411" i="176"/>
  <c r="R411" i="176" s="1"/>
  <c r="J403" i="173"/>
  <c r="K403" i="173" s="1"/>
  <c r="L403" i="173" s="1"/>
  <c r="R291" i="173"/>
  <c r="S291" i="173" s="1"/>
  <c r="T291" i="173" s="1"/>
  <c r="R309" i="176"/>
  <c r="S309" i="176" s="1"/>
  <c r="T309" i="176" s="1"/>
  <c r="U309" i="176" s="1"/>
  <c r="J389" i="173"/>
  <c r="J80" i="173" s="1"/>
  <c r="O381" i="176"/>
  <c r="K378" i="173"/>
  <c r="L378" i="173" s="1"/>
  <c r="M372" i="173"/>
  <c r="N372" i="173" s="1"/>
  <c r="O372" i="173" s="1"/>
  <c r="I525" i="176"/>
  <c r="M345" i="173"/>
  <c r="N345" i="173" s="1"/>
  <c r="O312" i="176"/>
  <c r="P312" i="176" s="1"/>
  <c r="J402" i="173"/>
  <c r="S315" i="176"/>
  <c r="Y210" i="176"/>
  <c r="O319" i="173"/>
  <c r="P319" i="173" s="1"/>
  <c r="S208" i="173"/>
  <c r="T208" i="173" s="1"/>
  <c r="U208" i="173" s="1"/>
  <c r="V208" i="173" s="1"/>
  <c r="W208" i="173" s="1"/>
  <c r="X208" i="173" s="1"/>
  <c r="Y208" i="173" s="1"/>
  <c r="I524" i="176"/>
  <c r="Q346" i="173"/>
  <c r="R346" i="173" s="1"/>
  <c r="S346" i="173" s="1"/>
  <c r="I461" i="173"/>
  <c r="Q293" i="173"/>
  <c r="N453" i="176"/>
  <c r="O453" i="176" s="1"/>
  <c r="J490" i="176"/>
  <c r="O346" i="176"/>
  <c r="P346" i="176" s="1"/>
  <c r="Q417" i="176"/>
  <c r="Q262" i="173"/>
  <c r="R262" i="173" s="1"/>
  <c r="X313" i="176"/>
  <c r="K431" i="173"/>
  <c r="J406" i="173"/>
  <c r="K406" i="173" s="1"/>
  <c r="Q382" i="176"/>
  <c r="R382" i="176" s="1"/>
  <c r="J521" i="176"/>
  <c r="K521" i="176" s="1"/>
  <c r="W294" i="173"/>
  <c r="N385" i="176"/>
  <c r="P322" i="173"/>
  <c r="L418" i="176"/>
  <c r="N349" i="173"/>
  <c r="O349" i="173" s="1"/>
  <c r="P349" i="173" s="1"/>
  <c r="Q349" i="173" s="1"/>
  <c r="R349" i="173" s="1"/>
  <c r="H557" i="176"/>
  <c r="I557" i="176" s="1"/>
  <c r="AA206" i="176"/>
  <c r="AB206" i="176" s="1"/>
  <c r="AC206" i="176" s="1"/>
  <c r="AD206" i="176" s="1"/>
  <c r="AE206" i="176" s="1"/>
  <c r="AF206" i="176" s="1"/>
  <c r="AG206" i="176" s="1"/>
  <c r="AH206" i="176" s="1"/>
  <c r="AI206" i="176" s="1"/>
  <c r="AJ206" i="176" s="1"/>
  <c r="AK206" i="176" s="1"/>
  <c r="P344" i="176"/>
  <c r="N347" i="173"/>
  <c r="K366" i="173"/>
  <c r="I438" i="176"/>
  <c r="I80" i="176" s="1"/>
  <c r="I82" i="176" s="1"/>
  <c r="J78" i="176" s="1"/>
  <c r="Q342" i="173"/>
  <c r="I389" i="173"/>
  <c r="I80" i="173" s="1"/>
  <c r="I81" i="173" s="1"/>
  <c r="O374" i="176"/>
  <c r="P374" i="176" s="1"/>
  <c r="Q374" i="176" s="1"/>
  <c r="R374" i="176" s="1"/>
  <c r="S374" i="176" s="1"/>
  <c r="P413" i="176"/>
  <c r="Q413" i="176" s="1"/>
  <c r="R413" i="176" s="1"/>
  <c r="S413" i="176" s="1"/>
  <c r="T413" i="176" s="1"/>
  <c r="U413" i="176" s="1"/>
  <c r="V413" i="176" s="1"/>
  <c r="W413" i="176" s="1"/>
  <c r="X413" i="176" s="1"/>
  <c r="Y413" i="176" s="1"/>
  <c r="Z413" i="176" s="1"/>
  <c r="AA413" i="176" s="1"/>
  <c r="AB413" i="176" s="1"/>
  <c r="AC413" i="176" s="1"/>
  <c r="AD413" i="176" s="1"/>
  <c r="AE413" i="176" s="1"/>
  <c r="AF413" i="176" s="1"/>
  <c r="AG413" i="176" s="1"/>
  <c r="AH413" i="176" s="1"/>
  <c r="AI413" i="176" s="1"/>
  <c r="AJ413" i="176" s="1"/>
  <c r="J514" i="176"/>
  <c r="K514" i="176" s="1"/>
  <c r="L514" i="176" s="1"/>
  <c r="U340" i="176"/>
  <c r="V340" i="176" s="1"/>
  <c r="W340" i="176" s="1"/>
  <c r="X340" i="176" s="1"/>
  <c r="Y340" i="176" s="1"/>
  <c r="Z340" i="176" s="1"/>
  <c r="AA340" i="176" s="1"/>
  <c r="AB340" i="176" s="1"/>
  <c r="AC340" i="176" s="1"/>
  <c r="AD340" i="176" s="1"/>
  <c r="AE340" i="176" s="1"/>
  <c r="AF340" i="176" s="1"/>
  <c r="AG340" i="176" s="1"/>
  <c r="AH340" i="176" s="1"/>
  <c r="AI340" i="176" s="1"/>
  <c r="AJ340" i="176" s="1"/>
  <c r="AK340" i="176" s="1"/>
  <c r="M63" i="173"/>
  <c r="R343" i="176"/>
  <c r="S343" i="176" s="1"/>
  <c r="T343" i="176" s="1"/>
  <c r="U343" i="176" s="1"/>
  <c r="V343" i="176" s="1"/>
  <c r="W343" i="176" s="1"/>
  <c r="X343" i="176" s="1"/>
  <c r="Y343" i="176" s="1"/>
  <c r="Z343" i="176" s="1"/>
  <c r="AA343" i="176" s="1"/>
  <c r="AB343" i="176" s="1"/>
  <c r="AC343" i="176" s="1"/>
  <c r="AD343" i="176" s="1"/>
  <c r="AE343" i="176" s="1"/>
  <c r="AF343" i="176" s="1"/>
  <c r="AG343" i="176" s="1"/>
  <c r="AH343" i="176" s="1"/>
  <c r="AI343" i="176" s="1"/>
  <c r="AJ343" i="176" s="1"/>
  <c r="AK343" i="176" s="1"/>
  <c r="M445" i="176"/>
  <c r="N445" i="176" s="1"/>
  <c r="J70" i="176"/>
  <c r="K66" i="176" s="1"/>
  <c r="L444" i="176"/>
  <c r="K518" i="176"/>
  <c r="M397" i="173"/>
  <c r="N397" i="173" s="1"/>
  <c r="Q377" i="176"/>
  <c r="AK308" i="176"/>
  <c r="K516" i="176"/>
  <c r="L516" i="176" s="1"/>
  <c r="M516" i="176" s="1"/>
  <c r="M298" i="176"/>
  <c r="M56" i="176" s="1"/>
  <c r="M57" i="176" s="1"/>
  <c r="N268" i="176"/>
  <c r="O268" i="176" s="1"/>
  <c r="O298" i="176" s="1"/>
  <c r="O56" i="176" s="1"/>
  <c r="L58" i="176"/>
  <c r="M54" i="176" s="1"/>
  <c r="L57" i="176"/>
  <c r="AB341" i="173"/>
  <c r="AC341" i="173" s="1"/>
  <c r="AD341" i="173" s="1"/>
  <c r="H422" i="173"/>
  <c r="I422" i="173" s="1"/>
  <c r="H464" i="173"/>
  <c r="H463" i="173"/>
  <c r="H457" i="173"/>
  <c r="H519" i="176"/>
  <c r="L64" i="173"/>
  <c r="M60" i="173" s="1"/>
  <c r="M64" i="173" s="1"/>
  <c r="N60" i="173" s="1"/>
  <c r="H542" i="176"/>
  <c r="H468" i="173"/>
  <c r="H520" i="176"/>
  <c r="H460" i="173"/>
  <c r="H471" i="173"/>
  <c r="H522" i="176"/>
  <c r="H523" i="176"/>
  <c r="H574" i="176"/>
  <c r="H484" i="173"/>
  <c r="I484" i="173" s="1"/>
  <c r="H550" i="176"/>
  <c r="I550" i="176" s="1"/>
  <c r="H456" i="173"/>
  <c r="H577" i="176"/>
  <c r="H462" i="173"/>
  <c r="AE172" i="176"/>
  <c r="AF168" i="176" s="1"/>
  <c r="AF170" i="176" s="1"/>
  <c r="AF171" i="176" s="1"/>
  <c r="H536" i="176"/>
  <c r="H527" i="176"/>
  <c r="I455" i="173"/>
  <c r="I453" i="173"/>
  <c r="R371" i="173"/>
  <c r="S371" i="173" s="1"/>
  <c r="T371" i="173" s="1"/>
  <c r="U371" i="173" s="1"/>
  <c r="V371" i="173" s="1"/>
  <c r="W371" i="173" s="1"/>
  <c r="X371" i="173" s="1"/>
  <c r="Y371" i="173" s="1"/>
  <c r="M410" i="176"/>
  <c r="N410" i="176" s="1"/>
  <c r="O410" i="176" s="1"/>
  <c r="P410" i="176" s="1"/>
  <c r="Q410" i="176" s="1"/>
  <c r="R410" i="176" s="1"/>
  <c r="S410" i="176" s="1"/>
  <c r="T410" i="176" s="1"/>
  <c r="U410" i="176" s="1"/>
  <c r="V410" i="176" s="1"/>
  <c r="W410" i="176" s="1"/>
  <c r="X410" i="176" s="1"/>
  <c r="Y410" i="176" s="1"/>
  <c r="Z410" i="176" s="1"/>
  <c r="AA410" i="176" s="1"/>
  <c r="AB410" i="176" s="1"/>
  <c r="AC410" i="176" s="1"/>
  <c r="AD410" i="176" s="1"/>
  <c r="AE410" i="176" s="1"/>
  <c r="AF410" i="176" s="1"/>
  <c r="AG410" i="176" s="1"/>
  <c r="AH410" i="176" s="1"/>
  <c r="AI410" i="176" s="1"/>
  <c r="AJ410" i="176" s="1"/>
  <c r="AK410" i="176" s="1"/>
  <c r="K424" i="173"/>
  <c r="O52" i="173"/>
  <c r="P48" i="173" s="1"/>
  <c r="E478" i="173"/>
  <c r="O310" i="173"/>
  <c r="F499" i="173"/>
  <c r="J427" i="173"/>
  <c r="F482" i="173"/>
  <c r="H482" i="173" s="1"/>
  <c r="L482" i="176"/>
  <c r="I452" i="173"/>
  <c r="M483" i="176"/>
  <c r="N483" i="176" s="1"/>
  <c r="P228" i="176"/>
  <c r="P44" i="176" s="1"/>
  <c r="P45" i="176" s="1"/>
  <c r="Q198" i="176"/>
  <c r="K396" i="173"/>
  <c r="L396" i="173" s="1"/>
  <c r="M396" i="173" s="1"/>
  <c r="N396" i="173" s="1"/>
  <c r="O396" i="173" s="1"/>
  <c r="P396" i="173" s="1"/>
  <c r="Q396" i="173" s="1"/>
  <c r="R396" i="173" s="1"/>
  <c r="S396" i="173" s="1"/>
  <c r="T396" i="173" s="1"/>
  <c r="U396" i="173" s="1"/>
  <c r="V396" i="173" s="1"/>
  <c r="W396" i="173" s="1"/>
  <c r="X396" i="173" s="1"/>
  <c r="AF142" i="176"/>
  <c r="AG138" i="176" s="1"/>
  <c r="O45" i="176"/>
  <c r="F487" i="173"/>
  <c r="H487" i="173" s="1"/>
  <c r="F488" i="173"/>
  <c r="H488" i="173" s="1"/>
  <c r="J403" i="176"/>
  <c r="J74" i="176" s="1"/>
  <c r="P368" i="173"/>
  <c r="Q368" i="173" s="1"/>
  <c r="R368" i="173" s="1"/>
  <c r="S368" i="173" s="1"/>
  <c r="T368" i="173" s="1"/>
  <c r="U368" i="173" s="1"/>
  <c r="V368" i="173" s="1"/>
  <c r="W368" i="173" s="1"/>
  <c r="X368" i="173" s="1"/>
  <c r="Y368" i="173" s="1"/>
  <c r="Z368" i="173" s="1"/>
  <c r="AA368" i="173" s="1"/>
  <c r="AB368" i="173" s="1"/>
  <c r="AC368" i="173" s="1"/>
  <c r="AD368" i="173" s="1"/>
  <c r="Z375" i="176"/>
  <c r="AA375" i="176" s="1"/>
  <c r="AB375" i="176" s="1"/>
  <c r="AC375" i="176" s="1"/>
  <c r="AD375" i="176" s="1"/>
  <c r="AE375" i="176" s="1"/>
  <c r="AF375" i="176" s="1"/>
  <c r="AG375" i="176" s="1"/>
  <c r="AH375" i="176" s="1"/>
  <c r="AI375" i="176" s="1"/>
  <c r="AJ375" i="176" s="1"/>
  <c r="AK375" i="176" s="1"/>
  <c r="E523" i="173"/>
  <c r="E513" i="173"/>
  <c r="F513" i="173" s="1"/>
  <c r="E518" i="173"/>
  <c r="F518" i="173" s="1"/>
  <c r="E514" i="173"/>
  <c r="F514" i="173" s="1"/>
  <c r="E527" i="173"/>
  <c r="E516" i="173"/>
  <c r="F516" i="173" s="1"/>
  <c r="E528" i="173"/>
  <c r="E519" i="173"/>
  <c r="E517" i="173"/>
  <c r="E510" i="173"/>
  <c r="E522" i="173"/>
  <c r="E515" i="173"/>
  <c r="F515" i="173" s="1"/>
  <c r="E521" i="173"/>
  <c r="E507" i="173"/>
  <c r="F507" i="173" s="1"/>
  <c r="E520" i="173"/>
  <c r="E526" i="173"/>
  <c r="E511" i="173"/>
  <c r="E524" i="173"/>
  <c r="E525" i="173"/>
  <c r="E512" i="173"/>
  <c r="E509" i="173"/>
  <c r="F509" i="173" s="1"/>
  <c r="C506" i="173"/>
  <c r="N57" i="173"/>
  <c r="F479" i="173"/>
  <c r="H479" i="173" s="1"/>
  <c r="F493" i="173"/>
  <c r="H493" i="173" s="1"/>
  <c r="U198" i="173"/>
  <c r="I454" i="173"/>
  <c r="J454" i="173" s="1"/>
  <c r="J480" i="176"/>
  <c r="K480" i="176" s="1"/>
  <c r="L395" i="173"/>
  <c r="J423" i="173"/>
  <c r="K423" i="173" s="1"/>
  <c r="I517" i="176"/>
  <c r="J517" i="176" s="1"/>
  <c r="L409" i="176"/>
  <c r="AI122" i="176"/>
  <c r="AI124" i="176" s="1"/>
  <c r="AJ120" i="176" s="1"/>
  <c r="AD160" i="173"/>
  <c r="K368" i="176"/>
  <c r="K68" i="176" s="1"/>
  <c r="L69" i="176" s="1"/>
  <c r="F552" i="176"/>
  <c r="H552" i="176" s="1"/>
  <c r="L426" i="173"/>
  <c r="M426" i="173" s="1"/>
  <c r="O46" i="176"/>
  <c r="P42" i="176" s="1"/>
  <c r="AD172" i="173"/>
  <c r="N447" i="176"/>
  <c r="O447" i="176" s="1"/>
  <c r="P447" i="176" s="1"/>
  <c r="Q447" i="176" s="1"/>
  <c r="R447" i="176" s="1"/>
  <c r="S447" i="176" s="1"/>
  <c r="T447" i="176" s="1"/>
  <c r="U447" i="176" s="1"/>
  <c r="V447" i="176" s="1"/>
  <c r="W447" i="176" s="1"/>
  <c r="X447" i="176" s="1"/>
  <c r="Y447" i="176" s="1"/>
  <c r="Z447" i="176" s="1"/>
  <c r="AA447" i="176" s="1"/>
  <c r="AB447" i="176" s="1"/>
  <c r="AC447" i="176" s="1"/>
  <c r="AD447" i="176" s="1"/>
  <c r="AE447" i="176" s="1"/>
  <c r="AF447" i="176" s="1"/>
  <c r="AG447" i="176" s="1"/>
  <c r="F562" i="176"/>
  <c r="F549" i="176"/>
  <c r="H549" i="176" s="1"/>
  <c r="I549" i="176" s="1"/>
  <c r="P255" i="173"/>
  <c r="AE166" i="176"/>
  <c r="AF162" i="176" s="1"/>
  <c r="F563" i="176"/>
  <c r="I451" i="173"/>
  <c r="J451" i="173" s="1"/>
  <c r="L481" i="176"/>
  <c r="M481" i="176" s="1"/>
  <c r="N481" i="176" s="1"/>
  <c r="F575" i="176"/>
  <c r="M448" i="176"/>
  <c r="S449" i="176"/>
  <c r="T449" i="176" s="1"/>
  <c r="S226" i="173"/>
  <c r="F491" i="173"/>
  <c r="AE154" i="176"/>
  <c r="AF150" i="176" s="1"/>
  <c r="F568" i="176"/>
  <c r="F564" i="176"/>
  <c r="H564" i="176" s="1"/>
  <c r="F571" i="176"/>
  <c r="L373" i="176"/>
  <c r="F555" i="176"/>
  <c r="F565" i="176"/>
  <c r="H565" i="176" s="1"/>
  <c r="F498" i="173"/>
  <c r="H498" i="173" s="1"/>
  <c r="K425" i="173"/>
  <c r="L425" i="173" s="1"/>
  <c r="E587" i="176"/>
  <c r="E603" i="176"/>
  <c r="E607" i="176"/>
  <c r="E604" i="176"/>
  <c r="E605" i="176"/>
  <c r="E594" i="176"/>
  <c r="E610" i="176"/>
  <c r="E597" i="176"/>
  <c r="E601" i="176"/>
  <c r="E599" i="176"/>
  <c r="E598" i="176"/>
  <c r="E608" i="176"/>
  <c r="E591" i="176"/>
  <c r="F591" i="176" s="1"/>
  <c r="E592" i="176"/>
  <c r="E590" i="176"/>
  <c r="E589" i="176"/>
  <c r="E606" i="176"/>
  <c r="E602" i="176"/>
  <c r="E586" i="176"/>
  <c r="E593" i="176"/>
  <c r="F593" i="176" s="1"/>
  <c r="E588" i="176"/>
  <c r="E609" i="176"/>
  <c r="E612" i="176"/>
  <c r="E584" i="176"/>
  <c r="E596" i="176"/>
  <c r="E611" i="176"/>
  <c r="E600" i="176"/>
  <c r="C583" i="176"/>
  <c r="E595" i="176"/>
  <c r="F595" i="176" s="1"/>
  <c r="K399" i="173"/>
  <c r="AG129" i="176"/>
  <c r="F566" i="176"/>
  <c r="H566" i="176" s="1"/>
  <c r="F513" i="176"/>
  <c r="E543" i="176"/>
  <c r="F492" i="173"/>
  <c r="F450" i="173"/>
  <c r="E473" i="173"/>
  <c r="AG130" i="176"/>
  <c r="AH126" i="176" s="1"/>
  <c r="L333" i="176"/>
  <c r="L62" i="176" s="1"/>
  <c r="M303" i="176"/>
  <c r="F551" i="176"/>
  <c r="H551" i="176" s="1"/>
  <c r="F559" i="176"/>
  <c r="F561" i="176"/>
  <c r="F560" i="176"/>
  <c r="H560" i="176" s="1"/>
  <c r="O51" i="176"/>
  <c r="S199" i="173"/>
  <c r="F558" i="176"/>
  <c r="H558" i="176" s="1"/>
  <c r="I558" i="176" s="1"/>
  <c r="F495" i="173"/>
  <c r="J479" i="176"/>
  <c r="K63" i="176"/>
  <c r="O52" i="176"/>
  <c r="P48" i="176" s="1"/>
  <c r="F500" i="173"/>
  <c r="H500" i="173" s="1"/>
  <c r="M338" i="176"/>
  <c r="F569" i="176"/>
  <c r="H569" i="176" s="1"/>
  <c r="P263" i="176"/>
  <c r="P50" i="176" s="1"/>
  <c r="P51" i="176" s="1"/>
  <c r="Q233" i="176"/>
  <c r="M369" i="173"/>
  <c r="N369" i="173" s="1"/>
  <c r="O369" i="173" s="1"/>
  <c r="F554" i="176"/>
  <c r="H554" i="176" s="1"/>
  <c r="AD147" i="173"/>
  <c r="AD148" i="173"/>
  <c r="F553" i="176"/>
  <c r="H553" i="176" s="1"/>
  <c r="S254" i="173"/>
  <c r="AD135" i="173"/>
  <c r="AD136" i="173"/>
  <c r="F556" i="176"/>
  <c r="H556" i="176" s="1"/>
  <c r="F497" i="173"/>
  <c r="H497" i="173" s="1"/>
  <c r="F483" i="173"/>
  <c r="H483" i="173" s="1"/>
  <c r="I483" i="173" s="1"/>
  <c r="Q231" i="173"/>
  <c r="S367" i="173"/>
  <c r="T367" i="173" s="1"/>
  <c r="U367" i="173" s="1"/>
  <c r="V367" i="173" s="1"/>
  <c r="W367" i="173" s="1"/>
  <c r="X367" i="173" s="1"/>
  <c r="Y367" i="173" s="1"/>
  <c r="Z367" i="173" s="1"/>
  <c r="AA367" i="173" s="1"/>
  <c r="AB367" i="173" s="1"/>
  <c r="AC367" i="173" s="1"/>
  <c r="AD367" i="173" s="1"/>
  <c r="F570" i="176"/>
  <c r="H570" i="176" s="1"/>
  <c r="AD142" i="173"/>
  <c r="F576" i="176"/>
  <c r="H576" i="176" s="1"/>
  <c r="H417" i="173"/>
  <c r="H86" i="173" s="1"/>
  <c r="I394" i="173"/>
  <c r="I417" i="173" s="1"/>
  <c r="I86" i="173" s="1"/>
  <c r="J361" i="173"/>
  <c r="J74" i="173" s="1"/>
  <c r="J76" i="173" s="1"/>
  <c r="K72" i="173" s="1"/>
  <c r="L338" i="173"/>
  <c r="L361" i="173" s="1"/>
  <c r="L74" i="173" s="1"/>
  <c r="F481" i="173"/>
  <c r="H481" i="173" s="1"/>
  <c r="L412" i="176"/>
  <c r="M412" i="176" s="1"/>
  <c r="N412" i="176" s="1"/>
  <c r="O412" i="176" s="1"/>
  <c r="P412" i="176" s="1"/>
  <c r="Q412" i="176" s="1"/>
  <c r="R412" i="176" s="1"/>
  <c r="S412" i="176" s="1"/>
  <c r="T412" i="176" s="1"/>
  <c r="U412" i="176" s="1"/>
  <c r="V412" i="176" s="1"/>
  <c r="W412" i="176" s="1"/>
  <c r="X412" i="176" s="1"/>
  <c r="Y412" i="176" s="1"/>
  <c r="Z412" i="176" s="1"/>
  <c r="AA412" i="176" s="1"/>
  <c r="AB412" i="176" s="1"/>
  <c r="AC412" i="176" s="1"/>
  <c r="AD412" i="176" s="1"/>
  <c r="AE412" i="176" s="1"/>
  <c r="AF412" i="176" s="1"/>
  <c r="AG412" i="176" s="1"/>
  <c r="AH412" i="176" s="1"/>
  <c r="AI412" i="176" s="1"/>
  <c r="AJ412" i="176" s="1"/>
  <c r="AK412" i="176" s="1"/>
  <c r="M446" i="176"/>
  <c r="N446" i="176" s="1"/>
  <c r="N305" i="173"/>
  <c r="N62" i="173" s="1"/>
  <c r="O282" i="173"/>
  <c r="L515" i="176"/>
  <c r="M515" i="176" s="1"/>
  <c r="N315" i="173"/>
  <c r="O315" i="173" s="1"/>
  <c r="P315" i="173" s="1"/>
  <c r="Q315" i="173" s="1"/>
  <c r="R315" i="173" s="1"/>
  <c r="S315" i="173" s="1"/>
  <c r="T315" i="173" s="1"/>
  <c r="U315" i="173" s="1"/>
  <c r="V315" i="173" s="1"/>
  <c r="W315" i="173" s="1"/>
  <c r="X315" i="173" s="1"/>
  <c r="Y315" i="173" s="1"/>
  <c r="Z315" i="173" s="1"/>
  <c r="AA315" i="173" s="1"/>
  <c r="AB315" i="173" s="1"/>
  <c r="AC315" i="173" s="1"/>
  <c r="AD315" i="173" s="1"/>
  <c r="H478" i="176"/>
  <c r="K64" i="176"/>
  <c r="L60" i="176" s="1"/>
  <c r="H473" i="176"/>
  <c r="H86" i="176" s="1"/>
  <c r="I443" i="176"/>
  <c r="I473" i="176" s="1"/>
  <c r="I86" i="176" s="1"/>
  <c r="F490" i="173"/>
  <c r="F489" i="173"/>
  <c r="F486" i="173"/>
  <c r="K398" i="173"/>
  <c r="L398" i="173" s="1"/>
  <c r="AF146" i="176"/>
  <c r="AF147" i="176" s="1"/>
  <c r="AF134" i="176"/>
  <c r="AF136" i="176" s="1"/>
  <c r="AG132" i="176" s="1"/>
  <c r="F496" i="173"/>
  <c r="F485" i="173"/>
  <c r="F494" i="173"/>
  <c r="J69" i="176"/>
  <c r="E548" i="176"/>
  <c r="AF158" i="176"/>
  <c r="AF159" i="176" s="1"/>
  <c r="T292" i="176" l="1"/>
  <c r="U292" i="176" s="1"/>
  <c r="V292" i="176" s="1"/>
  <c r="W292" i="176" s="1"/>
  <c r="X292" i="176" s="1"/>
  <c r="Y292" i="176" s="1"/>
  <c r="Z292" i="176" s="1"/>
  <c r="AA292" i="176" s="1"/>
  <c r="AB292" i="176" s="1"/>
  <c r="AC292" i="176" s="1"/>
  <c r="AD292" i="176" s="1"/>
  <c r="AE292" i="176" s="1"/>
  <c r="AA244" i="176"/>
  <c r="AB244" i="176" s="1"/>
  <c r="AC244" i="176" s="1"/>
  <c r="AJ261" i="176"/>
  <c r="AK261" i="176" s="1"/>
  <c r="AF240" i="176"/>
  <c r="AG240" i="176" s="1"/>
  <c r="AH240" i="176" s="1"/>
  <c r="AI240" i="176" s="1"/>
  <c r="AJ240" i="176" s="1"/>
  <c r="AK240" i="176" s="1"/>
  <c r="AA246" i="176"/>
  <c r="AB246" i="176" s="1"/>
  <c r="AC246" i="176" s="1"/>
  <c r="AD246" i="176" s="1"/>
  <c r="AE246" i="176" s="1"/>
  <c r="AF246" i="176" s="1"/>
  <c r="AG246" i="176" s="1"/>
  <c r="AH246" i="176" s="1"/>
  <c r="AI246" i="176" s="1"/>
  <c r="AJ246" i="176" s="1"/>
  <c r="AK246" i="176" s="1"/>
  <c r="P385" i="173"/>
  <c r="Q385" i="173" s="1"/>
  <c r="S332" i="176"/>
  <c r="T332" i="176" s="1"/>
  <c r="U332" i="176" s="1"/>
  <c r="V332" i="176" s="1"/>
  <c r="W332" i="176" s="1"/>
  <c r="X332" i="176" s="1"/>
  <c r="Y332" i="176" s="1"/>
  <c r="Z332" i="176" s="1"/>
  <c r="AA332" i="176" s="1"/>
  <c r="AB332" i="176" s="1"/>
  <c r="AC332" i="176" s="1"/>
  <c r="AD332" i="176" s="1"/>
  <c r="AE332" i="176" s="1"/>
  <c r="AF332" i="176" s="1"/>
  <c r="AG332" i="176" s="1"/>
  <c r="AH332" i="176" s="1"/>
  <c r="AI332" i="176" s="1"/>
  <c r="AJ332" i="176" s="1"/>
  <c r="N318" i="173"/>
  <c r="O318" i="173" s="1"/>
  <c r="P318" i="173" s="1"/>
  <c r="U327" i="176"/>
  <c r="V327" i="176" s="1"/>
  <c r="W327" i="176" s="1"/>
  <c r="X327" i="176" s="1"/>
  <c r="Y327" i="176" s="1"/>
  <c r="Z327" i="176" s="1"/>
  <c r="AA327" i="176" s="1"/>
  <c r="AB327" i="176" s="1"/>
  <c r="AC327" i="176" s="1"/>
  <c r="AD327" i="176" s="1"/>
  <c r="AE327" i="176" s="1"/>
  <c r="N422" i="176"/>
  <c r="O422" i="176" s="1"/>
  <c r="AB220" i="173"/>
  <c r="W247" i="173"/>
  <c r="X247" i="173" s="1"/>
  <c r="Y247" i="173" s="1"/>
  <c r="Z247" i="173" s="1"/>
  <c r="AA247" i="173" s="1"/>
  <c r="AB247" i="173" s="1"/>
  <c r="AD276" i="173"/>
  <c r="N388" i="173"/>
  <c r="O388" i="173" s="1"/>
  <c r="P390" i="176"/>
  <c r="Q390" i="176" s="1"/>
  <c r="AK220" i="176"/>
  <c r="T359" i="176"/>
  <c r="Q354" i="176"/>
  <c r="R354" i="176" s="1"/>
  <c r="P330" i="173"/>
  <c r="Q330" i="173" s="1"/>
  <c r="R330" i="173" s="1"/>
  <c r="U303" i="173"/>
  <c r="V303" i="173" s="1"/>
  <c r="P327" i="173"/>
  <c r="Q327" i="173" s="1"/>
  <c r="R327" i="173" s="1"/>
  <c r="S327" i="173" s="1"/>
  <c r="T327" i="173" s="1"/>
  <c r="U327" i="173" s="1"/>
  <c r="V327" i="173" s="1"/>
  <c r="R355" i="176"/>
  <c r="S355" i="176" s="1"/>
  <c r="T355" i="176" s="1"/>
  <c r="AA284" i="176"/>
  <c r="AB284" i="176" s="1"/>
  <c r="AC212" i="176"/>
  <c r="AD212" i="176" s="1"/>
  <c r="AE212" i="176" s="1"/>
  <c r="AF212" i="176" s="1"/>
  <c r="AG212" i="176" s="1"/>
  <c r="AH212" i="176" s="1"/>
  <c r="AI212" i="176" s="1"/>
  <c r="AJ212" i="176" s="1"/>
  <c r="AK212" i="176" s="1"/>
  <c r="U316" i="176"/>
  <c r="V316" i="176" s="1"/>
  <c r="W316" i="176" s="1"/>
  <c r="R221" i="173"/>
  <c r="R44" i="173" s="1"/>
  <c r="R45" i="173" s="1"/>
  <c r="O277" i="173"/>
  <c r="O56" i="173" s="1"/>
  <c r="O57" i="173" s="1"/>
  <c r="AF292" i="176"/>
  <c r="Y213" i="173"/>
  <c r="AC242" i="173"/>
  <c r="AD242" i="173" s="1"/>
  <c r="X278" i="176"/>
  <c r="Y278" i="176" s="1"/>
  <c r="Z278" i="176" s="1"/>
  <c r="AA278" i="176" s="1"/>
  <c r="AB278" i="176" s="1"/>
  <c r="AC278" i="176" s="1"/>
  <c r="AD278" i="176" s="1"/>
  <c r="AE278" i="176" s="1"/>
  <c r="AF278" i="176" s="1"/>
  <c r="AG278" i="176" s="1"/>
  <c r="AH278" i="176" s="1"/>
  <c r="AI278" i="176" s="1"/>
  <c r="AJ278" i="176" s="1"/>
  <c r="AK278" i="176" s="1"/>
  <c r="W267" i="173"/>
  <c r="W239" i="173"/>
  <c r="X239" i="173" s="1"/>
  <c r="M458" i="176"/>
  <c r="N458" i="176" s="1"/>
  <c r="O458" i="176" s="1"/>
  <c r="P458" i="176" s="1"/>
  <c r="P360" i="173"/>
  <c r="Q360" i="173" s="1"/>
  <c r="L470" i="176"/>
  <c r="V285" i="176"/>
  <c r="P394" i="176"/>
  <c r="Q394" i="176" s="1"/>
  <c r="T217" i="176"/>
  <c r="P387" i="176"/>
  <c r="Q387" i="176" s="1"/>
  <c r="U317" i="176"/>
  <c r="V317" i="176" s="1"/>
  <c r="T357" i="176"/>
  <c r="U357" i="176" s="1"/>
  <c r="V357" i="176" s="1"/>
  <c r="S326" i="176"/>
  <c r="AJ258" i="176"/>
  <c r="AK258" i="176" s="1"/>
  <c r="S325" i="176"/>
  <c r="U296" i="173"/>
  <c r="V296" i="173" s="1"/>
  <c r="T296" i="176"/>
  <c r="U296" i="176" s="1"/>
  <c r="V296" i="176" s="1"/>
  <c r="W296" i="176" s="1"/>
  <c r="X296" i="176" s="1"/>
  <c r="Y296" i="176" s="1"/>
  <c r="Z296" i="176" s="1"/>
  <c r="AA296" i="176" s="1"/>
  <c r="AB296" i="176" s="1"/>
  <c r="AC296" i="176" s="1"/>
  <c r="AD296" i="176" s="1"/>
  <c r="AE296" i="176" s="1"/>
  <c r="AF296" i="176" s="1"/>
  <c r="AG296" i="176" s="1"/>
  <c r="AH296" i="176" s="1"/>
  <c r="AI296" i="176" s="1"/>
  <c r="P429" i="176"/>
  <c r="N434" i="176"/>
  <c r="O434" i="176" s="1"/>
  <c r="P434" i="176" s="1"/>
  <c r="X330" i="176"/>
  <c r="Y330" i="176" s="1"/>
  <c r="Z330" i="176" s="1"/>
  <c r="AA330" i="176" s="1"/>
  <c r="AB330" i="176" s="1"/>
  <c r="AC330" i="176" s="1"/>
  <c r="AD330" i="176" s="1"/>
  <c r="AE330" i="176" s="1"/>
  <c r="AF330" i="176" s="1"/>
  <c r="AG330" i="176" s="1"/>
  <c r="AH330" i="176" s="1"/>
  <c r="AC281" i="176"/>
  <c r="AD281" i="176" s="1"/>
  <c r="AE281" i="176" s="1"/>
  <c r="Q429" i="176"/>
  <c r="Y331" i="176"/>
  <c r="S318" i="176"/>
  <c r="T318" i="176" s="1"/>
  <c r="U318" i="176" s="1"/>
  <c r="O359" i="173"/>
  <c r="P359" i="173" s="1"/>
  <c r="Q359" i="173" s="1"/>
  <c r="K507" i="176"/>
  <c r="L507" i="176" s="1"/>
  <c r="Q46" i="173"/>
  <c r="R42" i="173" s="1"/>
  <c r="Q329" i="176"/>
  <c r="R329" i="176" s="1"/>
  <c r="S329" i="176" s="1"/>
  <c r="T329" i="176" s="1"/>
  <c r="AA272" i="173"/>
  <c r="AB272" i="173" s="1"/>
  <c r="AC272" i="173" s="1"/>
  <c r="AD272" i="173" s="1"/>
  <c r="AA302" i="173"/>
  <c r="L436" i="173"/>
  <c r="M436" i="173"/>
  <c r="N436" i="173" s="1"/>
  <c r="J467" i="173"/>
  <c r="K467" i="173" s="1"/>
  <c r="N401" i="176"/>
  <c r="O401" i="176" s="1"/>
  <c r="R321" i="176"/>
  <c r="S321" i="176" s="1"/>
  <c r="T321" i="176" s="1"/>
  <c r="U321" i="176" s="1"/>
  <c r="V321" i="176" s="1"/>
  <c r="W321" i="176" s="1"/>
  <c r="X321" i="176" s="1"/>
  <c r="Y321" i="176" s="1"/>
  <c r="N392" i="176"/>
  <c r="O392" i="176"/>
  <c r="P392" i="176"/>
  <c r="Q392" i="176" s="1"/>
  <c r="S324" i="173"/>
  <c r="T324" i="173" s="1"/>
  <c r="U324" i="173" s="1"/>
  <c r="P328" i="173"/>
  <c r="Q328" i="173" s="1"/>
  <c r="R328" i="173" s="1"/>
  <c r="S328" i="173" s="1"/>
  <c r="T328" i="173" s="1"/>
  <c r="U328" i="173" s="1"/>
  <c r="V328" i="173" s="1"/>
  <c r="W328" i="173" s="1"/>
  <c r="X328" i="173" s="1"/>
  <c r="Y328" i="173" s="1"/>
  <c r="P433" i="176"/>
  <c r="X257" i="176"/>
  <c r="L457" i="176"/>
  <c r="Q364" i="176"/>
  <c r="M471" i="176"/>
  <c r="N471" i="176" s="1"/>
  <c r="L472" i="176"/>
  <c r="M472" i="176" s="1"/>
  <c r="T320" i="176"/>
  <c r="V360" i="176"/>
  <c r="W360" i="176" s="1"/>
  <c r="X360" i="176" s="1"/>
  <c r="Y360" i="176" s="1"/>
  <c r="Z360" i="176" s="1"/>
  <c r="AA360" i="176" s="1"/>
  <c r="AB360" i="176" s="1"/>
  <c r="AC360" i="176" s="1"/>
  <c r="O423" i="176"/>
  <c r="S395" i="176"/>
  <c r="T395" i="176" s="1"/>
  <c r="U395" i="176" s="1"/>
  <c r="K444" i="173"/>
  <c r="L444" i="173" s="1"/>
  <c r="O437" i="176"/>
  <c r="S357" i="173"/>
  <c r="T357" i="173" s="1"/>
  <c r="U357" i="173" s="1"/>
  <c r="V357" i="173" s="1"/>
  <c r="W357" i="173" s="1"/>
  <c r="R385" i="173"/>
  <c r="S385" i="173" s="1"/>
  <c r="M440" i="173"/>
  <c r="N440" i="173" s="1"/>
  <c r="L465" i="176"/>
  <c r="M465" i="176" s="1"/>
  <c r="N465" i="176" s="1"/>
  <c r="K505" i="176"/>
  <c r="L505" i="176" s="1"/>
  <c r="M505" i="176" s="1"/>
  <c r="M386" i="173"/>
  <c r="N386" i="173" s="1"/>
  <c r="Q322" i="176"/>
  <c r="T291" i="176"/>
  <c r="V212" i="173"/>
  <c r="R323" i="176"/>
  <c r="S323" i="176" s="1"/>
  <c r="T323" i="176" s="1"/>
  <c r="U323" i="176" s="1"/>
  <c r="V323" i="176" s="1"/>
  <c r="W323" i="176" s="1"/>
  <c r="X323" i="176" s="1"/>
  <c r="Y323" i="176" s="1"/>
  <c r="Z323" i="176" s="1"/>
  <c r="AA323" i="176" s="1"/>
  <c r="V211" i="176"/>
  <c r="W211" i="176" s="1"/>
  <c r="O358" i="176"/>
  <c r="P427" i="176"/>
  <c r="Q427" i="176" s="1"/>
  <c r="R427" i="176"/>
  <c r="S427" i="176" s="1"/>
  <c r="T427" i="176" s="1"/>
  <c r="Q243" i="173"/>
  <c r="Q249" i="173" s="1"/>
  <c r="Q50" i="173" s="1"/>
  <c r="M432" i="176"/>
  <c r="O386" i="176"/>
  <c r="O329" i="173"/>
  <c r="U215" i="173"/>
  <c r="V215" i="173" s="1"/>
  <c r="W215" i="173" s="1"/>
  <c r="X215" i="173" s="1"/>
  <c r="Y215" i="173" s="1"/>
  <c r="Z215" i="173" s="1"/>
  <c r="AA215" i="173" s="1"/>
  <c r="AB215" i="173" s="1"/>
  <c r="F526" i="173"/>
  <c r="H526" i="173" s="1"/>
  <c r="Y319" i="176"/>
  <c r="Z319" i="176" s="1"/>
  <c r="Q287" i="176"/>
  <c r="Q362" i="176"/>
  <c r="R362" i="176" s="1"/>
  <c r="S362" i="176" s="1"/>
  <c r="P249" i="173"/>
  <c r="P50" i="173" s="1"/>
  <c r="P51" i="173" s="1"/>
  <c r="L464" i="176"/>
  <c r="J491" i="176"/>
  <c r="Q380" i="173"/>
  <c r="AB298" i="173"/>
  <c r="AC298" i="173" s="1"/>
  <c r="AD298" i="173" s="1"/>
  <c r="F604" i="176"/>
  <c r="H604" i="176" s="1"/>
  <c r="S246" i="173"/>
  <c r="Z250" i="176"/>
  <c r="AA250" i="176" s="1"/>
  <c r="R331" i="173"/>
  <c r="Q300" i="173"/>
  <c r="R300" i="173" s="1"/>
  <c r="S300" i="173" s="1"/>
  <c r="T300" i="173" s="1"/>
  <c r="U300" i="173" s="1"/>
  <c r="V300" i="173" s="1"/>
  <c r="W300" i="173" s="1"/>
  <c r="F522" i="173"/>
  <c r="H522" i="173" s="1"/>
  <c r="N381" i="173"/>
  <c r="O381" i="173"/>
  <c r="T269" i="173"/>
  <c r="Y328" i="176"/>
  <c r="Z328" i="176" s="1"/>
  <c r="AA328" i="176" s="1"/>
  <c r="AB328" i="176" s="1"/>
  <c r="AC328" i="176" s="1"/>
  <c r="AD328" i="176" s="1"/>
  <c r="AE328" i="176" s="1"/>
  <c r="AF328" i="176" s="1"/>
  <c r="S290" i="176"/>
  <c r="T290" i="176" s="1"/>
  <c r="U290" i="176" s="1"/>
  <c r="V290" i="176" s="1"/>
  <c r="W290" i="176" s="1"/>
  <c r="X290" i="176" s="1"/>
  <c r="Y290" i="176" s="1"/>
  <c r="Z290" i="176" s="1"/>
  <c r="AA290" i="176" s="1"/>
  <c r="AB290" i="176" s="1"/>
  <c r="AC290" i="176" s="1"/>
  <c r="P425" i="176"/>
  <c r="Q425" i="176" s="1"/>
  <c r="P363" i="176"/>
  <c r="R304" i="173"/>
  <c r="Y295" i="176"/>
  <c r="Z295" i="176" s="1"/>
  <c r="AA295" i="176" s="1"/>
  <c r="AB295" i="176" s="1"/>
  <c r="AC295" i="176" s="1"/>
  <c r="AD295" i="176" s="1"/>
  <c r="AE295" i="176" s="1"/>
  <c r="AF295" i="176" s="1"/>
  <c r="AG295" i="176" s="1"/>
  <c r="AH295" i="176" s="1"/>
  <c r="AI295" i="176" s="1"/>
  <c r="Q358" i="173"/>
  <c r="F520" i="173"/>
  <c r="H520" i="173" s="1"/>
  <c r="L413" i="173"/>
  <c r="M413" i="173"/>
  <c r="M469" i="176"/>
  <c r="M408" i="173"/>
  <c r="N408" i="173"/>
  <c r="R294" i="176"/>
  <c r="S294" i="176" s="1"/>
  <c r="T294" i="176" s="1"/>
  <c r="U294" i="176" s="1"/>
  <c r="V294" i="176" s="1"/>
  <c r="W294" i="176" s="1"/>
  <c r="X294" i="176" s="1"/>
  <c r="Y294" i="176" s="1"/>
  <c r="Z294" i="176" s="1"/>
  <c r="AA294" i="176" s="1"/>
  <c r="AB294" i="176" s="1"/>
  <c r="AC294" i="176" s="1"/>
  <c r="AD294" i="176" s="1"/>
  <c r="AE294" i="176" s="1"/>
  <c r="AF294" i="176" s="1"/>
  <c r="AG294" i="176" s="1"/>
  <c r="O402" i="176"/>
  <c r="AD254" i="176"/>
  <c r="M383" i="173"/>
  <c r="N383" i="173"/>
  <c r="O383" i="173"/>
  <c r="X241" i="173"/>
  <c r="Y241" i="173" s="1"/>
  <c r="R348" i="176"/>
  <c r="S348" i="176" s="1"/>
  <c r="K499" i="176"/>
  <c r="L499" i="176" s="1"/>
  <c r="M499" i="176" s="1"/>
  <c r="P422" i="176"/>
  <c r="Q422" i="176" s="1"/>
  <c r="N462" i="176"/>
  <c r="AE255" i="176"/>
  <c r="AF255" i="176" s="1"/>
  <c r="AG255" i="176" s="1"/>
  <c r="AH255" i="176" s="1"/>
  <c r="AI255" i="176" s="1"/>
  <c r="AJ255" i="176" s="1"/>
  <c r="AK255" i="176" s="1"/>
  <c r="L456" i="176"/>
  <c r="K501" i="176"/>
  <c r="L501" i="176" s="1"/>
  <c r="T251" i="176"/>
  <c r="U251" i="176" s="1"/>
  <c r="V251" i="176" s="1"/>
  <c r="W251" i="176" s="1"/>
  <c r="X251" i="176" s="1"/>
  <c r="Y251" i="176" s="1"/>
  <c r="Z251" i="176" s="1"/>
  <c r="AA251" i="176" s="1"/>
  <c r="AB251" i="176" s="1"/>
  <c r="P356" i="176"/>
  <c r="L497" i="176"/>
  <c r="M497" i="176" s="1"/>
  <c r="N497" i="176" s="1"/>
  <c r="K500" i="176"/>
  <c r="O414" i="173"/>
  <c r="P351" i="176"/>
  <c r="Q351" i="176"/>
  <c r="K495" i="176"/>
  <c r="Q299" i="173"/>
  <c r="K412" i="173"/>
  <c r="L412" i="173" s="1"/>
  <c r="O326" i="173"/>
  <c r="P326" i="173" s="1"/>
  <c r="Q326" i="173" s="1"/>
  <c r="R326" i="173" s="1"/>
  <c r="S326" i="173" s="1"/>
  <c r="F599" i="176"/>
  <c r="H599" i="176" s="1"/>
  <c r="F525" i="173"/>
  <c r="H525" i="173" s="1"/>
  <c r="J540" i="176"/>
  <c r="N409" i="173"/>
  <c r="O409" i="173" s="1"/>
  <c r="R352" i="173"/>
  <c r="V259" i="176"/>
  <c r="W259" i="176" s="1"/>
  <c r="X259" i="176" s="1"/>
  <c r="Y259" i="176" s="1"/>
  <c r="Z259" i="176" s="1"/>
  <c r="AA259" i="176" s="1"/>
  <c r="AB259" i="176" s="1"/>
  <c r="AC259" i="176" s="1"/>
  <c r="AD259" i="176" s="1"/>
  <c r="AE259" i="176" s="1"/>
  <c r="AF259" i="176" s="1"/>
  <c r="AG259" i="176" s="1"/>
  <c r="AH259" i="176" s="1"/>
  <c r="AI259" i="176" s="1"/>
  <c r="AJ259" i="176" s="1"/>
  <c r="AK259" i="176" s="1"/>
  <c r="X288" i="176"/>
  <c r="Y288" i="176" s="1"/>
  <c r="Z288" i="176" s="1"/>
  <c r="AA288" i="176" s="1"/>
  <c r="F524" i="173"/>
  <c r="H524" i="173" s="1"/>
  <c r="S270" i="173"/>
  <c r="P396" i="176"/>
  <c r="V248" i="173"/>
  <c r="M468" i="176"/>
  <c r="N468" i="176" s="1"/>
  <c r="O468" i="176" s="1"/>
  <c r="R324" i="176"/>
  <c r="Q351" i="173"/>
  <c r="R351" i="173" s="1"/>
  <c r="S351" i="173" s="1"/>
  <c r="T351" i="173" s="1"/>
  <c r="J498" i="176"/>
  <c r="K439" i="173"/>
  <c r="O400" i="176"/>
  <c r="Q354" i="173"/>
  <c r="P367" i="176"/>
  <c r="Q367" i="176" s="1"/>
  <c r="AB252" i="176"/>
  <c r="N424" i="176"/>
  <c r="U286" i="176"/>
  <c r="F600" i="176"/>
  <c r="H600" i="176" s="1"/>
  <c r="N397" i="176"/>
  <c r="Q295" i="173"/>
  <c r="J442" i="173"/>
  <c r="K442" i="173" s="1"/>
  <c r="R262" i="176"/>
  <c r="S262" i="176" s="1"/>
  <c r="T262" i="176" s="1"/>
  <c r="U262" i="176" s="1"/>
  <c r="V262" i="176" s="1"/>
  <c r="W262" i="176" s="1"/>
  <c r="X262" i="176" s="1"/>
  <c r="Y262" i="176" s="1"/>
  <c r="Z262" i="176" s="1"/>
  <c r="AA262" i="176" s="1"/>
  <c r="AB262" i="176" s="1"/>
  <c r="AC262" i="176" s="1"/>
  <c r="AD262" i="176" s="1"/>
  <c r="AE262" i="176" s="1"/>
  <c r="AF262" i="176" s="1"/>
  <c r="AG262" i="176" s="1"/>
  <c r="AH262" i="176" s="1"/>
  <c r="AI262" i="176" s="1"/>
  <c r="AJ262" i="176" s="1"/>
  <c r="Q365" i="176"/>
  <c r="S245" i="173"/>
  <c r="M463" i="176"/>
  <c r="R301" i="173"/>
  <c r="S301" i="173" s="1"/>
  <c r="T301" i="173" s="1"/>
  <c r="U301" i="173" s="1"/>
  <c r="V301" i="173" s="1"/>
  <c r="W301" i="173" s="1"/>
  <c r="X301" i="173" s="1"/>
  <c r="Y301" i="173" s="1"/>
  <c r="Z301" i="173" s="1"/>
  <c r="R248" i="176"/>
  <c r="P467" i="176"/>
  <c r="Q467" i="176" s="1"/>
  <c r="P352" i="176"/>
  <c r="V293" i="176"/>
  <c r="W293" i="176" s="1"/>
  <c r="X293" i="176" s="1"/>
  <c r="Y293" i="176" s="1"/>
  <c r="Z293" i="176" s="1"/>
  <c r="AA293" i="176" s="1"/>
  <c r="AB293" i="176" s="1"/>
  <c r="AC293" i="176" s="1"/>
  <c r="AD293" i="176" s="1"/>
  <c r="AE293" i="176" s="1"/>
  <c r="AF293" i="176" s="1"/>
  <c r="AG293" i="176" s="1"/>
  <c r="AH293" i="176" s="1"/>
  <c r="L460" i="176"/>
  <c r="F609" i="176"/>
  <c r="H609" i="176" s="1"/>
  <c r="J492" i="176"/>
  <c r="K492" i="176" s="1"/>
  <c r="M410" i="173"/>
  <c r="U219" i="173"/>
  <c r="V219" i="173" s="1"/>
  <c r="W219" i="173" s="1"/>
  <c r="X219" i="173" s="1"/>
  <c r="Y219" i="173" s="1"/>
  <c r="Z219" i="173" s="1"/>
  <c r="AA219" i="173" s="1"/>
  <c r="AB219" i="173" s="1"/>
  <c r="P428" i="176"/>
  <c r="AC249" i="176"/>
  <c r="M421" i="176"/>
  <c r="N421" i="176" s="1"/>
  <c r="S247" i="176"/>
  <c r="P398" i="176"/>
  <c r="Q398" i="176" s="1"/>
  <c r="N461" i="176"/>
  <c r="U275" i="173"/>
  <c r="M436" i="176"/>
  <c r="N436" i="176" s="1"/>
  <c r="U216" i="176"/>
  <c r="O435" i="176"/>
  <c r="K502" i="176"/>
  <c r="J496" i="176"/>
  <c r="K496" i="176" s="1"/>
  <c r="T240" i="173"/>
  <c r="T213" i="176"/>
  <c r="T356" i="173"/>
  <c r="U356" i="173" s="1"/>
  <c r="V356" i="173" s="1"/>
  <c r="W356" i="173" s="1"/>
  <c r="X356" i="173" s="1"/>
  <c r="Y356" i="173"/>
  <c r="J465" i="173"/>
  <c r="J531" i="176"/>
  <c r="N459" i="176"/>
  <c r="S283" i="176"/>
  <c r="U256" i="176"/>
  <c r="V256" i="176" s="1"/>
  <c r="W256" i="176" s="1"/>
  <c r="X256" i="176" s="1"/>
  <c r="Y256" i="176" s="1"/>
  <c r="Z256" i="176" s="1"/>
  <c r="AA256" i="176" s="1"/>
  <c r="AB256" i="176" s="1"/>
  <c r="AC256" i="176" s="1"/>
  <c r="AD256" i="176" s="1"/>
  <c r="P382" i="173"/>
  <c r="Q382" i="173" s="1"/>
  <c r="Q361" i="176"/>
  <c r="U274" i="173"/>
  <c r="F602" i="176"/>
  <c r="H602" i="176" s="1"/>
  <c r="L506" i="176"/>
  <c r="L466" i="176"/>
  <c r="M389" i="176"/>
  <c r="N389" i="176"/>
  <c r="S268" i="173"/>
  <c r="F606" i="176"/>
  <c r="H606" i="176" s="1"/>
  <c r="J534" i="176"/>
  <c r="K534" i="176" s="1"/>
  <c r="M379" i="173"/>
  <c r="V215" i="176"/>
  <c r="Q384" i="173"/>
  <c r="R384" i="173"/>
  <c r="J472" i="173"/>
  <c r="K472" i="173" s="1"/>
  <c r="J443" i="173"/>
  <c r="O426" i="176"/>
  <c r="P426" i="176" s="1"/>
  <c r="W297" i="176"/>
  <c r="X297" i="176" s="1"/>
  <c r="Y297" i="176" s="1"/>
  <c r="Z297" i="176" s="1"/>
  <c r="AA297" i="176" s="1"/>
  <c r="AB297" i="176" s="1"/>
  <c r="AC297" i="176" s="1"/>
  <c r="AD297" i="176" s="1"/>
  <c r="AE297" i="176" s="1"/>
  <c r="AF297" i="176" s="1"/>
  <c r="AG297" i="176" s="1"/>
  <c r="AH297" i="176" s="1"/>
  <c r="AI297" i="176" s="1"/>
  <c r="AJ297" i="176" s="1"/>
  <c r="Y219" i="176"/>
  <c r="Z219" i="176" s="1"/>
  <c r="AA219" i="176" s="1"/>
  <c r="AB219" i="176" s="1"/>
  <c r="O391" i="176"/>
  <c r="P391" i="176"/>
  <c r="M430" i="176"/>
  <c r="T366" i="176"/>
  <c r="U366" i="176" s="1"/>
  <c r="V366" i="176" s="1"/>
  <c r="W366" i="176" s="1"/>
  <c r="X366" i="176" s="1"/>
  <c r="Q399" i="176"/>
  <c r="R332" i="173"/>
  <c r="O393" i="176"/>
  <c r="Y271" i="173"/>
  <c r="M387" i="173"/>
  <c r="T273" i="173"/>
  <c r="R282" i="176"/>
  <c r="R253" i="176"/>
  <c r="N353" i="173"/>
  <c r="K504" i="176"/>
  <c r="M431" i="176"/>
  <c r="N431" i="176" s="1"/>
  <c r="Q323" i="173"/>
  <c r="P388" i="176"/>
  <c r="V214" i="173"/>
  <c r="O355" i="173"/>
  <c r="Q297" i="173"/>
  <c r="X325" i="173"/>
  <c r="J538" i="176"/>
  <c r="T325" i="176"/>
  <c r="T289" i="176"/>
  <c r="O353" i="176"/>
  <c r="Z208" i="173"/>
  <c r="AA208" i="173" s="1"/>
  <c r="U288" i="173"/>
  <c r="L407" i="173"/>
  <c r="K435" i="173"/>
  <c r="L435" i="173" s="1"/>
  <c r="L441" i="173"/>
  <c r="U320" i="173"/>
  <c r="V320" i="173" s="1"/>
  <c r="W320" i="173" s="1"/>
  <c r="M415" i="173"/>
  <c r="L411" i="173"/>
  <c r="K494" i="176"/>
  <c r="J528" i="176"/>
  <c r="K528" i="176" s="1"/>
  <c r="I573" i="176"/>
  <c r="J573" i="176" s="1"/>
  <c r="J541" i="176"/>
  <c r="J537" i="176"/>
  <c r="I572" i="176"/>
  <c r="J572" i="176" s="1"/>
  <c r="L437" i="173"/>
  <c r="M437" i="173" s="1"/>
  <c r="J529" i="176"/>
  <c r="J532" i="176"/>
  <c r="J470" i="173"/>
  <c r="L416" i="173"/>
  <c r="M416" i="173" s="1"/>
  <c r="L503" i="176"/>
  <c r="K438" i="173"/>
  <c r="H591" i="176"/>
  <c r="I591" i="176" s="1"/>
  <c r="J539" i="176"/>
  <c r="J533" i="176"/>
  <c r="J535" i="176"/>
  <c r="J469" i="173"/>
  <c r="L493" i="176"/>
  <c r="M493" i="176" s="1"/>
  <c r="K526" i="176"/>
  <c r="L526" i="176" s="1"/>
  <c r="K466" i="173"/>
  <c r="I574" i="176"/>
  <c r="I567" i="176"/>
  <c r="J530" i="176"/>
  <c r="H595" i="176"/>
  <c r="I595" i="176" s="1"/>
  <c r="I569" i="176"/>
  <c r="J569" i="176"/>
  <c r="I493" i="173"/>
  <c r="I536" i="176"/>
  <c r="J536" i="176" s="1"/>
  <c r="I498" i="173"/>
  <c r="I497" i="173"/>
  <c r="I576" i="176"/>
  <c r="I500" i="173"/>
  <c r="J500" i="173" s="1"/>
  <c r="I566" i="176"/>
  <c r="J566" i="176" s="1"/>
  <c r="I565" i="176"/>
  <c r="I463" i="173"/>
  <c r="J463" i="173" s="1"/>
  <c r="I471" i="173"/>
  <c r="J471" i="173" s="1"/>
  <c r="I468" i="173"/>
  <c r="J468" i="173" s="1"/>
  <c r="I570" i="176"/>
  <c r="J570" i="176" s="1"/>
  <c r="I527" i="176"/>
  <c r="J527" i="176" s="1"/>
  <c r="I464" i="173"/>
  <c r="J464" i="173" s="1"/>
  <c r="I577" i="176"/>
  <c r="I564" i="176"/>
  <c r="I542" i="176"/>
  <c r="K76" i="173"/>
  <c r="L72" i="173" s="1"/>
  <c r="L76" i="173" s="1"/>
  <c r="M72" i="173" s="1"/>
  <c r="H513" i="173"/>
  <c r="I513" i="173" s="1"/>
  <c r="AB205" i="176"/>
  <c r="AC205" i="176" s="1"/>
  <c r="AD205" i="176" s="1"/>
  <c r="AE205" i="176" s="1"/>
  <c r="AF205" i="176" s="1"/>
  <c r="AG205" i="176" s="1"/>
  <c r="AH205" i="176" s="1"/>
  <c r="AI205" i="176" s="1"/>
  <c r="AJ205" i="176" s="1"/>
  <c r="AK205" i="176" s="1"/>
  <c r="P414" i="176"/>
  <c r="Q414" i="176" s="1"/>
  <c r="R414" i="176" s="1"/>
  <c r="AC209" i="173"/>
  <c r="AD209" i="173" s="1"/>
  <c r="T314" i="176"/>
  <c r="U314" i="176" s="1"/>
  <c r="V314" i="176" s="1"/>
  <c r="W314" i="176" s="1"/>
  <c r="X314" i="176" s="1"/>
  <c r="Y314" i="176" s="1"/>
  <c r="Z314" i="176" s="1"/>
  <c r="AA314" i="176" s="1"/>
  <c r="AB314" i="176" s="1"/>
  <c r="AC314" i="176" s="1"/>
  <c r="AD314" i="176" s="1"/>
  <c r="AE314" i="176" s="1"/>
  <c r="AF314" i="176" s="1"/>
  <c r="AG314" i="176" s="1"/>
  <c r="AH314" i="176" s="1"/>
  <c r="AI314" i="176" s="1"/>
  <c r="AJ314" i="176" s="1"/>
  <c r="AK314" i="176" s="1"/>
  <c r="J81" i="173"/>
  <c r="J484" i="173"/>
  <c r="K484" i="173" s="1"/>
  <c r="K389" i="173"/>
  <c r="K80" i="173" s="1"/>
  <c r="K81" i="173" s="1"/>
  <c r="AG178" i="176"/>
  <c r="AH174" i="176" s="1"/>
  <c r="AH176" i="176" s="1"/>
  <c r="AH177" i="176" s="1"/>
  <c r="Q345" i="176"/>
  <c r="R345" i="176" s="1"/>
  <c r="S345" i="176" s="1"/>
  <c r="T345" i="176" s="1"/>
  <c r="U345" i="176" s="1"/>
  <c r="V345" i="176" s="1"/>
  <c r="W345" i="176" s="1"/>
  <c r="X345" i="176" s="1"/>
  <c r="Y345" i="176" s="1"/>
  <c r="Z345" i="176" s="1"/>
  <c r="AA345" i="176" s="1"/>
  <c r="AB345" i="176" s="1"/>
  <c r="AC345" i="176" s="1"/>
  <c r="AD345" i="176" s="1"/>
  <c r="T374" i="176"/>
  <c r="U374" i="176" s="1"/>
  <c r="V374" i="176" s="1"/>
  <c r="W374" i="176" s="1"/>
  <c r="X374" i="176" s="1"/>
  <c r="Y374" i="176" s="1"/>
  <c r="Z374" i="176" s="1"/>
  <c r="AA374" i="176" s="1"/>
  <c r="AB374" i="176" s="1"/>
  <c r="AC374" i="176" s="1"/>
  <c r="AD374" i="176" s="1"/>
  <c r="AE374" i="176" s="1"/>
  <c r="AF374" i="176" s="1"/>
  <c r="AG374" i="176" s="1"/>
  <c r="AH374" i="176" s="1"/>
  <c r="AI374" i="176" s="1"/>
  <c r="AJ374" i="176" s="1"/>
  <c r="AK374" i="176" s="1"/>
  <c r="P419" i="176"/>
  <c r="Y237" i="173"/>
  <c r="Z237" i="173" s="1"/>
  <c r="AA237" i="173" s="1"/>
  <c r="AB237" i="173" s="1"/>
  <c r="AC237" i="173" s="1"/>
  <c r="AD237" i="173" s="1"/>
  <c r="U291" i="173"/>
  <c r="V291" i="173" s="1"/>
  <c r="W291" i="173" s="1"/>
  <c r="X291" i="173" s="1"/>
  <c r="Y291" i="173" s="1"/>
  <c r="Z291" i="173" s="1"/>
  <c r="AA291" i="173" s="1"/>
  <c r="AB291" i="173" s="1"/>
  <c r="AC291" i="173" s="1"/>
  <c r="AD291" i="173" s="1"/>
  <c r="I82" i="173"/>
  <c r="J78" i="173" s="1"/>
  <c r="J82" i="173" s="1"/>
  <c r="K78" i="173" s="1"/>
  <c r="P372" i="173"/>
  <c r="Q372" i="173" s="1"/>
  <c r="O384" i="176"/>
  <c r="T316" i="173"/>
  <c r="U316" i="173" s="1"/>
  <c r="V316" i="173" s="1"/>
  <c r="W316" i="173" s="1"/>
  <c r="X316" i="173" s="1"/>
  <c r="Y316" i="173" s="1"/>
  <c r="Z316" i="173" s="1"/>
  <c r="AA316" i="173" s="1"/>
  <c r="AB316" i="173" s="1"/>
  <c r="AC316" i="173" s="1"/>
  <c r="AD316" i="173" s="1"/>
  <c r="U452" i="176"/>
  <c r="V452" i="176" s="1"/>
  <c r="W452" i="176" s="1"/>
  <c r="X452" i="176" s="1"/>
  <c r="Y452" i="176" s="1"/>
  <c r="Z452" i="176" s="1"/>
  <c r="AA452" i="176" s="1"/>
  <c r="AB452" i="176" s="1"/>
  <c r="AC452" i="176" s="1"/>
  <c r="AD452" i="176" s="1"/>
  <c r="AE452" i="176" s="1"/>
  <c r="AF452" i="176" s="1"/>
  <c r="AG452" i="176" s="1"/>
  <c r="AH452" i="176" s="1"/>
  <c r="AI452" i="176" s="1"/>
  <c r="AJ452" i="176" s="1"/>
  <c r="AK452" i="176" s="1"/>
  <c r="P453" i="176"/>
  <c r="Q453" i="176" s="1"/>
  <c r="V265" i="173"/>
  <c r="N376" i="173"/>
  <c r="O376" i="173" s="1"/>
  <c r="V350" i="176"/>
  <c r="W350" i="176" s="1"/>
  <c r="X350" i="176" s="1"/>
  <c r="Y350" i="176" s="1"/>
  <c r="N401" i="173"/>
  <c r="O401" i="173" s="1"/>
  <c r="P401" i="173" s="1"/>
  <c r="J81" i="176"/>
  <c r="Q450" i="176"/>
  <c r="R450" i="176" s="1"/>
  <c r="S450" i="176" s="1"/>
  <c r="T450" i="176" s="1"/>
  <c r="U450" i="176" s="1"/>
  <c r="V450" i="176" s="1"/>
  <c r="W450" i="176" s="1"/>
  <c r="X450" i="176" s="1"/>
  <c r="Y450" i="176" s="1"/>
  <c r="Z450" i="176" s="1"/>
  <c r="AA450" i="176" s="1"/>
  <c r="AB450" i="176" s="1"/>
  <c r="AC450" i="176" s="1"/>
  <c r="AD450" i="176" s="1"/>
  <c r="AE450" i="176" s="1"/>
  <c r="AF450" i="176" s="1"/>
  <c r="AG450" i="176" s="1"/>
  <c r="AH450" i="176" s="1"/>
  <c r="AI450" i="176" s="1"/>
  <c r="AJ450" i="176" s="1"/>
  <c r="AK450" i="176" s="1"/>
  <c r="U279" i="176"/>
  <c r="V279" i="176" s="1"/>
  <c r="W279" i="176" s="1"/>
  <c r="K429" i="173"/>
  <c r="I81" i="176"/>
  <c r="U290" i="173"/>
  <c r="T292" i="173"/>
  <c r="V349" i="176"/>
  <c r="W349" i="176" s="1"/>
  <c r="X349" i="176" s="1"/>
  <c r="Y349" i="176" s="1"/>
  <c r="Z349" i="176" s="1"/>
  <c r="AA349" i="176" s="1"/>
  <c r="AB349" i="176" s="1"/>
  <c r="AC349" i="176" s="1"/>
  <c r="AD349" i="176" s="1"/>
  <c r="AE349" i="176" s="1"/>
  <c r="AF349" i="176" s="1"/>
  <c r="AG349" i="176" s="1"/>
  <c r="AH349" i="176" s="1"/>
  <c r="AI349" i="176" s="1"/>
  <c r="AJ349" i="176" s="1"/>
  <c r="AK349" i="176" s="1"/>
  <c r="S262" i="173"/>
  <c r="T262" i="173" s="1"/>
  <c r="O375" i="173"/>
  <c r="R289" i="173"/>
  <c r="L484" i="176"/>
  <c r="AJ243" i="176"/>
  <c r="AK243" i="176" s="1"/>
  <c r="T317" i="173"/>
  <c r="U317" i="173" s="1"/>
  <c r="V317" i="173" s="1"/>
  <c r="W317" i="173" s="1"/>
  <c r="X317" i="173" s="1"/>
  <c r="Y317" i="173" s="1"/>
  <c r="Z317" i="173" s="1"/>
  <c r="AA317" i="173" s="1"/>
  <c r="AB317" i="173" s="1"/>
  <c r="AC317" i="173" s="1"/>
  <c r="AD317" i="173" s="1"/>
  <c r="L366" i="173"/>
  <c r="M366" i="173" s="1"/>
  <c r="N366" i="173" s="1"/>
  <c r="T311" i="176"/>
  <c r="Y245" i="176"/>
  <c r="Z245" i="176" s="1"/>
  <c r="AA245" i="176" s="1"/>
  <c r="S382" i="176"/>
  <c r="T382" i="176" s="1"/>
  <c r="M454" i="176"/>
  <c r="L521" i="176"/>
  <c r="M521" i="176"/>
  <c r="O347" i="173"/>
  <c r="X294" i="173"/>
  <c r="L431" i="173"/>
  <c r="M431" i="173" s="1"/>
  <c r="J525" i="176"/>
  <c r="J524" i="176"/>
  <c r="Q321" i="173"/>
  <c r="R321" i="173" s="1"/>
  <c r="O345" i="173"/>
  <c r="I488" i="173"/>
  <c r="J488" i="173" s="1"/>
  <c r="H593" i="176"/>
  <c r="I487" i="173"/>
  <c r="J487" i="173" s="1"/>
  <c r="K70" i="176"/>
  <c r="L66" i="176" s="1"/>
  <c r="L70" i="176" s="1"/>
  <c r="M66" i="176" s="1"/>
  <c r="V241" i="176"/>
  <c r="O344" i="173"/>
  <c r="P350" i="173"/>
  <c r="J461" i="173"/>
  <c r="M403" i="173"/>
  <c r="Q420" i="176"/>
  <c r="S348" i="173"/>
  <c r="T348" i="173" s="1"/>
  <c r="I462" i="173"/>
  <c r="J462" i="173" s="1"/>
  <c r="L406" i="173"/>
  <c r="P451" i="176"/>
  <c r="L416" i="176"/>
  <c r="L438" i="176" s="1"/>
  <c r="L80" i="176" s="1"/>
  <c r="P381" i="176"/>
  <c r="N373" i="173"/>
  <c r="Q346" i="176"/>
  <c r="R346" i="176" s="1"/>
  <c r="S346" i="176" s="1"/>
  <c r="T346" i="176" s="1"/>
  <c r="U346" i="176" s="1"/>
  <c r="K402" i="173"/>
  <c r="N455" i="176"/>
  <c r="Z208" i="176"/>
  <c r="N400" i="173"/>
  <c r="O400" i="173" s="1"/>
  <c r="I460" i="173"/>
  <c r="J460" i="173" s="1"/>
  <c r="S349" i="173"/>
  <c r="J458" i="173"/>
  <c r="K458" i="173" s="1"/>
  <c r="O415" i="176"/>
  <c r="P415" i="176" s="1"/>
  <c r="I520" i="176"/>
  <c r="J520" i="176" s="1"/>
  <c r="Y313" i="176"/>
  <c r="Z313" i="176" s="1"/>
  <c r="AA313" i="176" s="1"/>
  <c r="L405" i="173"/>
  <c r="T315" i="176"/>
  <c r="U315" i="176" s="1"/>
  <c r="I519" i="176"/>
  <c r="J519" i="176" s="1"/>
  <c r="Y277" i="176"/>
  <c r="Z277" i="176" s="1"/>
  <c r="AA277" i="176" s="1"/>
  <c r="AB277" i="176" s="1"/>
  <c r="AC277" i="176" s="1"/>
  <c r="AD277" i="176" s="1"/>
  <c r="AE277" i="176" s="1"/>
  <c r="AF277" i="176" s="1"/>
  <c r="AG277" i="176" s="1"/>
  <c r="AH277" i="176" s="1"/>
  <c r="AI277" i="176" s="1"/>
  <c r="AJ277" i="176" s="1"/>
  <c r="AK277" i="176" s="1"/>
  <c r="J459" i="173"/>
  <c r="K459" i="173" s="1"/>
  <c r="I457" i="173"/>
  <c r="Q312" i="176"/>
  <c r="K490" i="176"/>
  <c r="K428" i="173"/>
  <c r="K438" i="176"/>
  <c r="K80" i="176" s="1"/>
  <c r="K81" i="176" s="1"/>
  <c r="L430" i="173"/>
  <c r="R280" i="176"/>
  <c r="R293" i="173"/>
  <c r="S293" i="173" s="1"/>
  <c r="T293" i="173" s="1"/>
  <c r="U293" i="173" s="1"/>
  <c r="V293" i="173" s="1"/>
  <c r="W293" i="173" s="1"/>
  <c r="X293" i="173" s="1"/>
  <c r="Y293" i="173" s="1"/>
  <c r="Z293" i="173" s="1"/>
  <c r="J432" i="173"/>
  <c r="M378" i="173"/>
  <c r="J558" i="176"/>
  <c r="K558" i="176" s="1"/>
  <c r="L558" i="176" s="1"/>
  <c r="Q319" i="173"/>
  <c r="R319" i="173" s="1"/>
  <c r="J82" i="176"/>
  <c r="K78" i="176" s="1"/>
  <c r="I445" i="173"/>
  <c r="I92" i="173" s="1"/>
  <c r="J557" i="176"/>
  <c r="V309" i="176"/>
  <c r="W309" i="176" s="1"/>
  <c r="X309" i="176" s="1"/>
  <c r="Y309" i="176" s="1"/>
  <c r="L486" i="176"/>
  <c r="K433" i="173"/>
  <c r="K487" i="176"/>
  <c r="I554" i="176"/>
  <c r="K404" i="173"/>
  <c r="I522" i="176"/>
  <c r="J522" i="176" s="1"/>
  <c r="P488" i="176"/>
  <c r="Q344" i="176"/>
  <c r="R417" i="176"/>
  <c r="S417" i="176" s="1"/>
  <c r="I556" i="176"/>
  <c r="J556" i="176" s="1"/>
  <c r="K556" i="176" s="1"/>
  <c r="Q380" i="176"/>
  <c r="R380" i="176" s="1"/>
  <c r="S380" i="176" s="1"/>
  <c r="M418" i="176"/>
  <c r="I560" i="176"/>
  <c r="J560" i="176" s="1"/>
  <c r="S411" i="176"/>
  <c r="T411" i="176" s="1"/>
  <c r="U411" i="176" s="1"/>
  <c r="V411" i="176" s="1"/>
  <c r="W411" i="176" s="1"/>
  <c r="X411" i="176" s="1"/>
  <c r="Y411" i="176" s="1"/>
  <c r="Z411" i="176" s="1"/>
  <c r="AA411" i="176" s="1"/>
  <c r="AB411" i="176" s="1"/>
  <c r="AC411" i="176" s="1"/>
  <c r="N377" i="173"/>
  <c r="O377" i="173" s="1"/>
  <c r="P377" i="173" s="1"/>
  <c r="Q377" i="173" s="1"/>
  <c r="Q322" i="173"/>
  <c r="R322" i="173" s="1"/>
  <c r="S322" i="173" s="1"/>
  <c r="T322" i="173" s="1"/>
  <c r="U322" i="173" s="1"/>
  <c r="V322" i="173" s="1"/>
  <c r="O383" i="176"/>
  <c r="M485" i="176"/>
  <c r="T346" i="173"/>
  <c r="U346" i="173" s="1"/>
  <c r="V235" i="173"/>
  <c r="W235" i="173" s="1"/>
  <c r="X235" i="173" s="1"/>
  <c r="L434" i="173"/>
  <c r="I456" i="173"/>
  <c r="J456" i="173" s="1"/>
  <c r="O385" i="176"/>
  <c r="Z210" i="176"/>
  <c r="AA210" i="176" s="1"/>
  <c r="AB210" i="176" s="1"/>
  <c r="AC210" i="176" s="1"/>
  <c r="AD210" i="176" s="1"/>
  <c r="AE210" i="176" s="1"/>
  <c r="AF210" i="176" s="1"/>
  <c r="AG210" i="176" s="1"/>
  <c r="AH210" i="176" s="1"/>
  <c r="AI210" i="176" s="1"/>
  <c r="AJ210" i="176" s="1"/>
  <c r="AK210" i="176" s="1"/>
  <c r="I523" i="176"/>
  <c r="J523" i="176" s="1"/>
  <c r="K489" i="176"/>
  <c r="S264" i="173"/>
  <c r="T264" i="173" s="1"/>
  <c r="U264" i="173" s="1"/>
  <c r="V264" i="173" s="1"/>
  <c r="P374" i="173"/>
  <c r="P52" i="176"/>
  <c r="Q48" i="176" s="1"/>
  <c r="R342" i="173"/>
  <c r="P369" i="173"/>
  <c r="Q369" i="173" s="1"/>
  <c r="R369" i="173" s="1"/>
  <c r="S369" i="173" s="1"/>
  <c r="T369" i="173" s="1"/>
  <c r="U369" i="173" s="1"/>
  <c r="V369" i="173" s="1"/>
  <c r="W369" i="173" s="1"/>
  <c r="X369" i="173" s="1"/>
  <c r="Y369" i="173" s="1"/>
  <c r="M444" i="176"/>
  <c r="N444" i="176" s="1"/>
  <c r="O445" i="176"/>
  <c r="P445" i="176" s="1"/>
  <c r="AK413" i="176"/>
  <c r="O397" i="173"/>
  <c r="P397" i="173" s="1"/>
  <c r="Q397" i="173" s="1"/>
  <c r="R397" i="173" s="1"/>
  <c r="S397" i="173" s="1"/>
  <c r="T397" i="173" s="1"/>
  <c r="U397" i="173" s="1"/>
  <c r="V397" i="173" s="1"/>
  <c r="W397" i="173" s="1"/>
  <c r="X397" i="173" s="1"/>
  <c r="Y397" i="173" s="1"/>
  <c r="Z397" i="173" s="1"/>
  <c r="AA397" i="173" s="1"/>
  <c r="AB397" i="173" s="1"/>
  <c r="AC397" i="173" s="1"/>
  <c r="AD397" i="173" s="1"/>
  <c r="U449" i="176"/>
  <c r="V449" i="176" s="1"/>
  <c r="W449" i="176" s="1"/>
  <c r="R377" i="176"/>
  <c r="S377" i="176" s="1"/>
  <c r="T377" i="176" s="1"/>
  <c r="N408" i="176"/>
  <c r="O408" i="176" s="1"/>
  <c r="L518" i="176"/>
  <c r="M518" i="176" s="1"/>
  <c r="Z371" i="173"/>
  <c r="AA371" i="173" s="1"/>
  <c r="AB371" i="173" s="1"/>
  <c r="AC371" i="173" s="1"/>
  <c r="AD371" i="173" s="1"/>
  <c r="P46" i="176"/>
  <c r="Q42" i="176" s="1"/>
  <c r="J443" i="176"/>
  <c r="J473" i="176" s="1"/>
  <c r="J86" i="176" s="1"/>
  <c r="J87" i="176" s="1"/>
  <c r="J422" i="173"/>
  <c r="K422" i="173" s="1"/>
  <c r="H445" i="173"/>
  <c r="H92" i="173" s="1"/>
  <c r="M58" i="176"/>
  <c r="N54" i="176" s="1"/>
  <c r="M482" i="176"/>
  <c r="N482" i="176" s="1"/>
  <c r="O482" i="176" s="1"/>
  <c r="P482" i="176" s="1"/>
  <c r="Q482" i="176" s="1"/>
  <c r="R482" i="176" s="1"/>
  <c r="S482" i="176" s="1"/>
  <c r="P268" i="176"/>
  <c r="P298" i="176" s="1"/>
  <c r="P56" i="176" s="1"/>
  <c r="N298" i="176"/>
  <c r="N56" i="176" s="1"/>
  <c r="O57" i="176" s="1"/>
  <c r="O446" i="176"/>
  <c r="P446" i="176" s="1"/>
  <c r="Q446" i="176" s="1"/>
  <c r="R446" i="176" s="1"/>
  <c r="S446" i="176" s="1"/>
  <c r="T446" i="176" s="1"/>
  <c r="U446" i="176" s="1"/>
  <c r="V446" i="176" s="1"/>
  <c r="W446" i="176" s="1"/>
  <c r="X446" i="176" s="1"/>
  <c r="Y446" i="176" s="1"/>
  <c r="Z446" i="176" s="1"/>
  <c r="AA446" i="176" s="1"/>
  <c r="AB446" i="176" s="1"/>
  <c r="AC446" i="176" s="1"/>
  <c r="AD446" i="176" s="1"/>
  <c r="AE446" i="176" s="1"/>
  <c r="AF446" i="176" s="1"/>
  <c r="AG446" i="176" s="1"/>
  <c r="AH446" i="176" s="1"/>
  <c r="AI446" i="176" s="1"/>
  <c r="AJ446" i="176" s="1"/>
  <c r="AK446" i="176" s="1"/>
  <c r="H555" i="176"/>
  <c r="AF148" i="176"/>
  <c r="AG144" i="176" s="1"/>
  <c r="AG146" i="176" s="1"/>
  <c r="AG147" i="176" s="1"/>
  <c r="H518" i="173"/>
  <c r="AF172" i="176"/>
  <c r="AG168" i="176" s="1"/>
  <c r="AG170" i="176" s="1"/>
  <c r="AG171" i="176" s="1"/>
  <c r="H575" i="176"/>
  <c r="H516" i="173"/>
  <c r="H559" i="176"/>
  <c r="H486" i="173"/>
  <c r="H495" i="173"/>
  <c r="H514" i="173"/>
  <c r="H515" i="173"/>
  <c r="I515" i="173" s="1"/>
  <c r="H491" i="173"/>
  <c r="H571" i="176"/>
  <c r="H485" i="173"/>
  <c r="H492" i="173"/>
  <c r="H499" i="173"/>
  <c r="H496" i="173"/>
  <c r="H490" i="173"/>
  <c r="H563" i="176"/>
  <c r="H568" i="176"/>
  <c r="H562" i="176"/>
  <c r="H561" i="176"/>
  <c r="H494" i="173"/>
  <c r="H489" i="173"/>
  <c r="N516" i="176"/>
  <c r="I553" i="176"/>
  <c r="AG134" i="176"/>
  <c r="I481" i="173"/>
  <c r="AJ122" i="176"/>
  <c r="T254" i="173"/>
  <c r="F588" i="176"/>
  <c r="H588" i="176" s="1"/>
  <c r="I588" i="176" s="1"/>
  <c r="F607" i="176"/>
  <c r="H607" i="176" s="1"/>
  <c r="M395" i="173"/>
  <c r="N395" i="173" s="1"/>
  <c r="O395" i="173" s="1"/>
  <c r="P395" i="173" s="1"/>
  <c r="Q395" i="173" s="1"/>
  <c r="R395" i="173" s="1"/>
  <c r="S395" i="173" s="1"/>
  <c r="T395" i="173" s="1"/>
  <c r="U395" i="173" s="1"/>
  <c r="V395" i="173" s="1"/>
  <c r="W395" i="173" s="1"/>
  <c r="X395" i="173" s="1"/>
  <c r="Y395" i="173" s="1"/>
  <c r="Z395" i="173" s="1"/>
  <c r="AA395" i="173" s="1"/>
  <c r="AB395" i="173" s="1"/>
  <c r="AC395" i="173" s="1"/>
  <c r="AD395" i="173" s="1"/>
  <c r="F511" i="173"/>
  <c r="H511" i="173" s="1"/>
  <c r="F603" i="176"/>
  <c r="N426" i="173"/>
  <c r="N63" i="173"/>
  <c r="F527" i="173"/>
  <c r="M398" i="173"/>
  <c r="N398" i="173" s="1"/>
  <c r="O398" i="173" s="1"/>
  <c r="P398" i="173" s="1"/>
  <c r="Q398" i="173" s="1"/>
  <c r="R398" i="173" s="1"/>
  <c r="S398" i="173" s="1"/>
  <c r="T398" i="173" s="1"/>
  <c r="U398" i="173" s="1"/>
  <c r="V398" i="173" s="1"/>
  <c r="W398" i="173" s="1"/>
  <c r="X398" i="173" s="1"/>
  <c r="Y398" i="173" s="1"/>
  <c r="Z398" i="173" s="1"/>
  <c r="AA398" i="173" s="1"/>
  <c r="AB398" i="173" s="1"/>
  <c r="AC398" i="173" s="1"/>
  <c r="AD398" i="173" s="1"/>
  <c r="O305" i="173"/>
  <c r="O62" i="173" s="1"/>
  <c r="O63" i="173" s="1"/>
  <c r="P282" i="173"/>
  <c r="F521" i="173"/>
  <c r="J75" i="176"/>
  <c r="K75" i="176"/>
  <c r="F611" i="176"/>
  <c r="F586" i="176"/>
  <c r="H586" i="176" s="1"/>
  <c r="Y396" i="173"/>
  <c r="Z396" i="173" s="1"/>
  <c r="AA396" i="173" s="1"/>
  <c r="AB396" i="173" s="1"/>
  <c r="AC396" i="173" s="1"/>
  <c r="AD396" i="173" s="1"/>
  <c r="K69" i="176"/>
  <c r="T226" i="173"/>
  <c r="F548" i="176"/>
  <c r="M333" i="176"/>
  <c r="M62" i="176" s="1"/>
  <c r="N303" i="176"/>
  <c r="Q255" i="173"/>
  <c r="P277" i="173"/>
  <c r="P56" i="173" s="1"/>
  <c r="L63" i="176"/>
  <c r="N64" i="173"/>
  <c r="O60" i="173" s="1"/>
  <c r="F589" i="176"/>
  <c r="H589" i="176" s="1"/>
  <c r="AF164" i="176"/>
  <c r="AF165" i="176" s="1"/>
  <c r="I479" i="173"/>
  <c r="J479" i="173" s="1"/>
  <c r="N515" i="176"/>
  <c r="F592" i="176"/>
  <c r="H592" i="176" s="1"/>
  <c r="F512" i="173"/>
  <c r="H512" i="173" s="1"/>
  <c r="K479" i="176"/>
  <c r="I482" i="173"/>
  <c r="F543" i="176"/>
  <c r="H513" i="176"/>
  <c r="J549" i="176"/>
  <c r="H509" i="173"/>
  <c r="I87" i="173"/>
  <c r="H87" i="173"/>
  <c r="H88" i="173"/>
  <c r="I84" i="173" s="1"/>
  <c r="I88" i="173" s="1"/>
  <c r="J84" i="173" s="1"/>
  <c r="F597" i="176"/>
  <c r="H597" i="176" s="1"/>
  <c r="L403" i="176"/>
  <c r="L74" i="176" s="1"/>
  <c r="F517" i="173"/>
  <c r="H517" i="173" s="1"/>
  <c r="I517" i="173" s="1"/>
  <c r="F587" i="176"/>
  <c r="H587" i="176" s="1"/>
  <c r="I587" i="176" s="1"/>
  <c r="F473" i="173"/>
  <c r="H450" i="173"/>
  <c r="V198" i="173"/>
  <c r="H507" i="173"/>
  <c r="F523" i="173"/>
  <c r="K427" i="173"/>
  <c r="L427" i="173" s="1"/>
  <c r="F596" i="176"/>
  <c r="H596" i="176" s="1"/>
  <c r="AF160" i="176"/>
  <c r="AG156" i="176" s="1"/>
  <c r="H88" i="176"/>
  <c r="I84" i="176" s="1"/>
  <c r="I88" i="176" s="1"/>
  <c r="J84" i="176" s="1"/>
  <c r="I87" i="176"/>
  <c r="H87" i="176"/>
  <c r="J394" i="173"/>
  <c r="F590" i="176"/>
  <c r="Q263" i="176"/>
  <c r="Q50" i="176" s="1"/>
  <c r="Q51" i="176" s="1"/>
  <c r="R233" i="176"/>
  <c r="J453" i="173"/>
  <c r="AG140" i="176"/>
  <c r="AG141" i="176" s="1"/>
  <c r="M514" i="176"/>
  <c r="J483" i="173"/>
  <c r="F584" i="176"/>
  <c r="H584" i="176" s="1"/>
  <c r="I584" i="176" s="1"/>
  <c r="M338" i="173"/>
  <c r="J76" i="176"/>
  <c r="K72" i="176" s="1"/>
  <c r="K76" i="176" s="1"/>
  <c r="L72" i="176" s="1"/>
  <c r="F612" i="176"/>
  <c r="H612" i="176" s="1"/>
  <c r="O481" i="176"/>
  <c r="P481" i="176" s="1"/>
  <c r="Q481" i="176" s="1"/>
  <c r="AI123" i="176"/>
  <c r="T199" i="173"/>
  <c r="S221" i="173"/>
  <c r="S44" i="173" s="1"/>
  <c r="L424" i="173"/>
  <c r="M424" i="173" s="1"/>
  <c r="N424" i="173" s="1"/>
  <c r="F610" i="176"/>
  <c r="H610" i="176" s="1"/>
  <c r="M425" i="173"/>
  <c r="AF152" i="176"/>
  <c r="AF153" i="176" s="1"/>
  <c r="N448" i="176"/>
  <c r="O448" i="176" s="1"/>
  <c r="P448" i="176" s="1"/>
  <c r="Q448" i="176" s="1"/>
  <c r="R448" i="176" s="1"/>
  <c r="S448" i="176" s="1"/>
  <c r="T448" i="176" s="1"/>
  <c r="U448" i="176" s="1"/>
  <c r="V448" i="176" s="1"/>
  <c r="W448" i="176" s="1"/>
  <c r="X448" i="176" s="1"/>
  <c r="Y448" i="176" s="1"/>
  <c r="Z448" i="176" s="1"/>
  <c r="AA448" i="176" s="1"/>
  <c r="AB448" i="176" s="1"/>
  <c r="AC448" i="176" s="1"/>
  <c r="AD448" i="176" s="1"/>
  <c r="AE448" i="176" s="1"/>
  <c r="AF448" i="176" s="1"/>
  <c r="AG448" i="176" s="1"/>
  <c r="AH448" i="176" s="1"/>
  <c r="AI448" i="176" s="1"/>
  <c r="AJ448" i="176" s="1"/>
  <c r="AK448" i="176" s="1"/>
  <c r="K451" i="173"/>
  <c r="F519" i="173"/>
  <c r="H519" i="173" s="1"/>
  <c r="K517" i="176"/>
  <c r="M373" i="176"/>
  <c r="J455" i="173"/>
  <c r="AH128" i="176"/>
  <c r="I552" i="176"/>
  <c r="J552" i="176" s="1"/>
  <c r="L399" i="173"/>
  <c r="M399" i="173" s="1"/>
  <c r="K454" i="173"/>
  <c r="I551" i="176"/>
  <c r="J551" i="176" s="1"/>
  <c r="M409" i="176"/>
  <c r="F478" i="173"/>
  <c r="AH447" i="176"/>
  <c r="AI447" i="176" s="1"/>
  <c r="AJ447" i="176" s="1"/>
  <c r="AK447" i="176" s="1"/>
  <c r="F608" i="176"/>
  <c r="H608" i="176" s="1"/>
  <c r="Q228" i="176"/>
  <c r="Q44" i="176" s="1"/>
  <c r="R198" i="176"/>
  <c r="F598" i="176"/>
  <c r="H598" i="176" s="1"/>
  <c r="L423" i="173"/>
  <c r="F510" i="173"/>
  <c r="H510" i="173" s="1"/>
  <c r="F601" i="176"/>
  <c r="H601" i="176" s="1"/>
  <c r="M69" i="173"/>
  <c r="E583" i="176"/>
  <c r="F594" i="176"/>
  <c r="M70" i="173"/>
  <c r="N66" i="173" s="1"/>
  <c r="I480" i="173"/>
  <c r="F528" i="173"/>
  <c r="J452" i="173"/>
  <c r="K452" i="173" s="1"/>
  <c r="L64" i="176"/>
  <c r="M60" i="176" s="1"/>
  <c r="AF135" i="176"/>
  <c r="R231" i="173"/>
  <c r="F605" i="176"/>
  <c r="H605" i="176" s="1"/>
  <c r="L480" i="176"/>
  <c r="M480" i="176" s="1"/>
  <c r="E506" i="173"/>
  <c r="M368" i="176"/>
  <c r="M68" i="176" s="1"/>
  <c r="M69" i="176" s="1"/>
  <c r="N338" i="176"/>
  <c r="H508" i="176"/>
  <c r="H92" i="176" s="1"/>
  <c r="I478" i="176"/>
  <c r="I508" i="176" s="1"/>
  <c r="I92" i="176" s="1"/>
  <c r="K75" i="173"/>
  <c r="J75" i="173"/>
  <c r="L75" i="173"/>
  <c r="O483" i="176"/>
  <c r="P483" i="176" s="1"/>
  <c r="P310" i="173"/>
  <c r="AD244" i="176" l="1"/>
  <c r="AE244" i="176" s="1"/>
  <c r="AI293" i="176"/>
  <c r="AJ293" i="176" s="1"/>
  <c r="AG328" i="176"/>
  <c r="AH328" i="176" s="1"/>
  <c r="AI328" i="176" s="1"/>
  <c r="AJ328" i="176" s="1"/>
  <c r="V324" i="173"/>
  <c r="W324" i="173" s="1"/>
  <c r="N333" i="173"/>
  <c r="N68" i="173" s="1"/>
  <c r="N70" i="173" s="1"/>
  <c r="O66" i="173" s="1"/>
  <c r="AK332" i="176"/>
  <c r="AC215" i="173"/>
  <c r="AD215" i="173" s="1"/>
  <c r="Q318" i="173"/>
  <c r="R318" i="173" s="1"/>
  <c r="AD290" i="176"/>
  <c r="AE290" i="176" s="1"/>
  <c r="AF290" i="176" s="1"/>
  <c r="AG290" i="176" s="1"/>
  <c r="O436" i="176"/>
  <c r="P436" i="176" s="1"/>
  <c r="AF327" i="176"/>
  <c r="AC247" i="173"/>
  <c r="AD247" i="173" s="1"/>
  <c r="X357" i="173"/>
  <c r="Y357" i="173" s="1"/>
  <c r="R390" i="176"/>
  <c r="S390" i="176" s="1"/>
  <c r="T390" i="176"/>
  <c r="AC220" i="173"/>
  <c r="P388" i="173"/>
  <c r="Q388" i="173" s="1"/>
  <c r="R388" i="173" s="1"/>
  <c r="U355" i="176"/>
  <c r="V355" i="176" s="1"/>
  <c r="W355" i="176" s="1"/>
  <c r="X355" i="176" s="1"/>
  <c r="X316" i="176"/>
  <c r="Y316" i="176" s="1"/>
  <c r="Z316" i="176" s="1"/>
  <c r="R46" i="173"/>
  <c r="S42" i="173" s="1"/>
  <c r="S46" i="173" s="1"/>
  <c r="T42" i="173" s="1"/>
  <c r="P381" i="173"/>
  <c r="Q381" i="173" s="1"/>
  <c r="N416" i="173"/>
  <c r="O416" i="173" s="1"/>
  <c r="U359" i="176"/>
  <c r="R467" i="176"/>
  <c r="S467" i="176" s="1"/>
  <c r="T467" i="176" s="1"/>
  <c r="U390" i="176"/>
  <c r="V390" i="176" s="1"/>
  <c r="W390" i="176" s="1"/>
  <c r="AB323" i="176"/>
  <c r="AC323" i="176" s="1"/>
  <c r="AD323" i="176" s="1"/>
  <c r="R429" i="176"/>
  <c r="S429" i="176" s="1"/>
  <c r="N499" i="176"/>
  <c r="O499" i="176" s="1"/>
  <c r="P499" i="176" s="1"/>
  <c r="Q499" i="176" s="1"/>
  <c r="W357" i="176"/>
  <c r="X357" i="176" s="1"/>
  <c r="M507" i="176"/>
  <c r="N507" i="176" s="1"/>
  <c r="O507" i="176" s="1"/>
  <c r="L502" i="176"/>
  <c r="M502" i="176" s="1"/>
  <c r="N502" i="176" s="1"/>
  <c r="AE256" i="176"/>
  <c r="AF256" i="176" s="1"/>
  <c r="R398" i="176"/>
  <c r="S398" i="176" s="1"/>
  <c r="T398" i="176" s="1"/>
  <c r="AC284" i="176"/>
  <c r="AD284" i="176" s="1"/>
  <c r="AE284" i="176" s="1"/>
  <c r="AF284" i="176" s="1"/>
  <c r="AG284" i="176" s="1"/>
  <c r="AH284" i="176" s="1"/>
  <c r="AI284" i="176" s="1"/>
  <c r="AJ284" i="176" s="1"/>
  <c r="X300" i="173"/>
  <c r="Y300" i="173" s="1"/>
  <c r="P57" i="173"/>
  <c r="O58" i="173"/>
  <c r="P54" i="173" s="1"/>
  <c r="P58" i="173" s="1"/>
  <c r="Q54" i="173" s="1"/>
  <c r="AH294" i="176"/>
  <c r="AI294" i="176" s="1"/>
  <c r="T326" i="176"/>
  <c r="O386" i="173"/>
  <c r="Z356" i="173"/>
  <c r="AA356" i="173" s="1"/>
  <c r="AB356" i="173" s="1"/>
  <c r="AC356" i="173" s="1"/>
  <c r="Y239" i="173"/>
  <c r="Z239" i="173" s="1"/>
  <c r="AA239" i="173" s="1"/>
  <c r="AB239" i="173" s="1"/>
  <c r="AC239" i="173" s="1"/>
  <c r="AD239" i="173" s="1"/>
  <c r="AC251" i="176"/>
  <c r="AD251" i="176" s="1"/>
  <c r="X267" i="173"/>
  <c r="Y267" i="173" s="1"/>
  <c r="AK297" i="176"/>
  <c r="Z213" i="173"/>
  <c r="W296" i="173"/>
  <c r="X296" i="173" s="1"/>
  <c r="Z241" i="173"/>
  <c r="AA241" i="173" s="1"/>
  <c r="AG292" i="176"/>
  <c r="AH292" i="176" s="1"/>
  <c r="AI292" i="176" s="1"/>
  <c r="AJ292" i="176" s="1"/>
  <c r="Y366" i="176"/>
  <c r="Z366" i="176" s="1"/>
  <c r="AA366" i="176" s="1"/>
  <c r="AB366" i="176" s="1"/>
  <c r="AC366" i="176" s="1"/>
  <c r="AD366" i="176" s="1"/>
  <c r="AE366" i="176" s="1"/>
  <c r="AF366" i="176" s="1"/>
  <c r="AG366" i="176" s="1"/>
  <c r="AH366" i="176" s="1"/>
  <c r="AI366" i="176" s="1"/>
  <c r="M470" i="176"/>
  <c r="N470" i="176" s="1"/>
  <c r="M412" i="173"/>
  <c r="N412" i="173" s="1"/>
  <c r="O412" i="173" s="1"/>
  <c r="AC219" i="176"/>
  <c r="Z331" i="176"/>
  <c r="AA331" i="176" s="1"/>
  <c r="AB331" i="176" s="1"/>
  <c r="AC331" i="176" s="1"/>
  <c r="AD331" i="176" s="1"/>
  <c r="AE331" i="176" s="1"/>
  <c r="AF331" i="176"/>
  <c r="AG331" i="176" s="1"/>
  <c r="AH331" i="176" s="1"/>
  <c r="AI331" i="176" s="1"/>
  <c r="N437" i="173"/>
  <c r="O437" i="173" s="1"/>
  <c r="R387" i="176"/>
  <c r="S387" i="176" s="1"/>
  <c r="AF281" i="176"/>
  <c r="AG281" i="176" s="1"/>
  <c r="AH281" i="176" s="1"/>
  <c r="AI281" i="176" s="1"/>
  <c r="AJ281" i="176" s="1"/>
  <c r="AK281" i="176" s="1"/>
  <c r="M441" i="173"/>
  <c r="AD360" i="176"/>
  <c r="AE360" i="176" s="1"/>
  <c r="M435" i="173"/>
  <c r="N435" i="173" s="1"/>
  <c r="O435" i="173" s="1"/>
  <c r="M526" i="176"/>
  <c r="W285" i="176"/>
  <c r="AJ296" i="176"/>
  <c r="AK296" i="176" s="1"/>
  <c r="U217" i="176"/>
  <c r="AI330" i="176"/>
  <c r="AJ330" i="176" s="1"/>
  <c r="AK330" i="176" s="1"/>
  <c r="AC219" i="173"/>
  <c r="AD219" i="173" s="1"/>
  <c r="V318" i="176"/>
  <c r="W318" i="176" s="1"/>
  <c r="X318" i="176" s="1"/>
  <c r="Y318" i="176" s="1"/>
  <c r="Z318" i="176" s="1"/>
  <c r="W317" i="176"/>
  <c r="X317" i="176" s="1"/>
  <c r="R359" i="173"/>
  <c r="AB288" i="176"/>
  <c r="AC288" i="176" s="1"/>
  <c r="AD288" i="176" s="1"/>
  <c r="AE288" i="176" s="1"/>
  <c r="AF288" i="176" s="1"/>
  <c r="AG288" i="176" s="1"/>
  <c r="AH288" i="176" s="1"/>
  <c r="AI288" i="176" s="1"/>
  <c r="AJ288" i="176" s="1"/>
  <c r="AK288" i="176" s="1"/>
  <c r="AK262" i="176"/>
  <c r="Z357" i="173"/>
  <c r="AB302" i="173"/>
  <c r="O431" i="176"/>
  <c r="P431" i="176" s="1"/>
  <c r="R365" i="176"/>
  <c r="S365" i="176" s="1"/>
  <c r="T365" i="176" s="1"/>
  <c r="U365" i="176" s="1"/>
  <c r="V365" i="176" s="1"/>
  <c r="W365" i="176" s="1"/>
  <c r="X365" i="176" s="1"/>
  <c r="Y365" i="176" s="1"/>
  <c r="Z365" i="176" s="1"/>
  <c r="AA365" i="176" s="1"/>
  <c r="AB365" i="176" s="1"/>
  <c r="AC365" i="176" s="1"/>
  <c r="AD365" i="176" s="1"/>
  <c r="AE365" i="176" s="1"/>
  <c r="AF365" i="176" s="1"/>
  <c r="AG365" i="176" s="1"/>
  <c r="AH365" i="176" s="1"/>
  <c r="N410" i="173"/>
  <c r="O410" i="173"/>
  <c r="AJ295" i="176"/>
  <c r="AK295" i="176" s="1"/>
  <c r="U240" i="173"/>
  <c r="T362" i="176"/>
  <c r="U362" i="176" s="1"/>
  <c r="V362" i="176" s="1"/>
  <c r="W362" i="176" s="1"/>
  <c r="X362" i="176" s="1"/>
  <c r="Y362" i="176" s="1"/>
  <c r="Z362" i="176" s="1"/>
  <c r="AA362" i="176" s="1"/>
  <c r="AB362" i="176" s="1"/>
  <c r="AC362" i="176" s="1"/>
  <c r="AD362" i="176" s="1"/>
  <c r="AE362" i="176" s="1"/>
  <c r="I524" i="173"/>
  <c r="J524" i="173" s="1"/>
  <c r="Y325" i="173"/>
  <c r="Z325" i="173" s="1"/>
  <c r="AA325" i="173" s="1"/>
  <c r="AB325" i="173" s="1"/>
  <c r="AC325" i="173" s="1"/>
  <c r="AD325" i="173" s="1"/>
  <c r="R425" i="176"/>
  <c r="S324" i="176"/>
  <c r="N493" i="176"/>
  <c r="O493" i="176" s="1"/>
  <c r="W212" i="173"/>
  <c r="X212" i="173" s="1"/>
  <c r="Y212" i="173" s="1"/>
  <c r="Z212" i="173" s="1"/>
  <c r="O465" i="176"/>
  <c r="Q428" i="176"/>
  <c r="M460" i="176"/>
  <c r="AC252" i="176"/>
  <c r="T326" i="173"/>
  <c r="U320" i="176"/>
  <c r="M506" i="176"/>
  <c r="N506" i="176" s="1"/>
  <c r="K529" i="176"/>
  <c r="L529" i="176" s="1"/>
  <c r="S248" i="176"/>
  <c r="P393" i="176"/>
  <c r="Q393" i="176" s="1"/>
  <c r="O497" i="176"/>
  <c r="P497" i="176" s="1"/>
  <c r="U269" i="173"/>
  <c r="Q396" i="176"/>
  <c r="R396" i="176" s="1"/>
  <c r="S396" i="176" s="1"/>
  <c r="T396" i="176" s="1"/>
  <c r="U396" i="176" s="1"/>
  <c r="V396" i="176" s="1"/>
  <c r="W396" i="176" s="1"/>
  <c r="R364" i="176"/>
  <c r="S364" i="176" s="1"/>
  <c r="T364" i="176" s="1"/>
  <c r="U364" i="176" s="1"/>
  <c r="V364" i="176" s="1"/>
  <c r="W364" i="176" s="1"/>
  <c r="X364" i="176" s="1"/>
  <c r="Y364" i="176" s="1"/>
  <c r="Z364" i="176" s="1"/>
  <c r="AA364" i="176" s="1"/>
  <c r="AB364" i="176" s="1"/>
  <c r="AC364" i="176" s="1"/>
  <c r="AD364" i="176" s="1"/>
  <c r="AE364" i="176" s="1"/>
  <c r="AF364" i="176" s="1"/>
  <c r="AG364" i="176" s="1"/>
  <c r="K573" i="176"/>
  <c r="L573" i="176" s="1"/>
  <c r="K465" i="173"/>
  <c r="V395" i="176"/>
  <c r="W395" i="176" s="1"/>
  <c r="X395" i="176" s="1"/>
  <c r="Y395" i="176" s="1"/>
  <c r="Z395" i="176" s="1"/>
  <c r="AA395" i="176" s="1"/>
  <c r="AB395" i="176" s="1"/>
  <c r="AC395" i="176" s="1"/>
  <c r="O389" i="176"/>
  <c r="V216" i="176"/>
  <c r="P401" i="176"/>
  <c r="Q433" i="176"/>
  <c r="M466" i="176"/>
  <c r="N466" i="176" s="1"/>
  <c r="P400" i="176"/>
  <c r="Q400" i="176" s="1"/>
  <c r="R400" i="176" s="1"/>
  <c r="S400" i="176" s="1"/>
  <c r="T400" i="176" s="1"/>
  <c r="U400" i="176" s="1"/>
  <c r="R392" i="176"/>
  <c r="S392" i="176" s="1"/>
  <c r="V274" i="173"/>
  <c r="W274" i="173" s="1"/>
  <c r="X274" i="173" s="1"/>
  <c r="Y274" i="173" s="1"/>
  <c r="Z274" i="173" s="1"/>
  <c r="AA274" i="173" s="1"/>
  <c r="AB274" i="173" s="1"/>
  <c r="AC274" i="173" s="1"/>
  <c r="AD274" i="173" s="1"/>
  <c r="AE254" i="176"/>
  <c r="AF254" i="176" s="1"/>
  <c r="O397" i="176"/>
  <c r="K572" i="176"/>
  <c r="L572" i="176" s="1"/>
  <c r="J542" i="176"/>
  <c r="S253" i="176"/>
  <c r="N379" i="173"/>
  <c r="O459" i="176"/>
  <c r="P459" i="176" s="1"/>
  <c r="S331" i="173"/>
  <c r="X211" i="176"/>
  <c r="Y211" i="176" s="1"/>
  <c r="V275" i="173"/>
  <c r="W275" i="173" s="1"/>
  <c r="X275" i="173" s="1"/>
  <c r="Y275" i="173" s="1"/>
  <c r="Z275" i="173" s="1"/>
  <c r="AA275" i="173" s="1"/>
  <c r="AB275" i="173" s="1"/>
  <c r="Q434" i="176"/>
  <c r="R434" i="176" s="1"/>
  <c r="AB250" i="176"/>
  <c r="AC250" i="176" s="1"/>
  <c r="AD250" i="176" s="1"/>
  <c r="AE250" i="176" s="1"/>
  <c r="AF250" i="176" s="1"/>
  <c r="AG250" i="176" s="1"/>
  <c r="AH250" i="176" s="1"/>
  <c r="AI250" i="176" s="1"/>
  <c r="AJ250" i="176" s="1"/>
  <c r="AK250" i="176" s="1"/>
  <c r="U329" i="176"/>
  <c r="V329" i="176" s="1"/>
  <c r="W329" i="176" s="1"/>
  <c r="X329" i="176" s="1"/>
  <c r="Y329" i="176" s="1"/>
  <c r="Z329" i="176" s="1"/>
  <c r="AA329" i="176" s="1"/>
  <c r="AB329" i="176" s="1"/>
  <c r="AC329" i="176" s="1"/>
  <c r="AD329" i="176" s="1"/>
  <c r="AE329" i="176" s="1"/>
  <c r="AF329" i="176" s="1"/>
  <c r="AG329" i="176" s="1"/>
  <c r="O440" i="173"/>
  <c r="O471" i="176"/>
  <c r="K469" i="173"/>
  <c r="U273" i="173"/>
  <c r="V273" i="173" s="1"/>
  <c r="W273" i="173" s="1"/>
  <c r="X273" i="173" s="1"/>
  <c r="Y273" i="173" s="1"/>
  <c r="Z273" i="173" s="1"/>
  <c r="AA273" i="173" s="1"/>
  <c r="AB273" i="173" s="1"/>
  <c r="AC273" i="173" s="1"/>
  <c r="AD273" i="173" s="1"/>
  <c r="P409" i="173"/>
  <c r="Q409" i="173" s="1"/>
  <c r="R409" i="173" s="1"/>
  <c r="S409" i="173" s="1"/>
  <c r="T409" i="173" s="1"/>
  <c r="T283" i="176"/>
  <c r="O461" i="176"/>
  <c r="N463" i="176"/>
  <c r="O463" i="176" s="1"/>
  <c r="T245" i="173"/>
  <c r="R367" i="176"/>
  <c r="P435" i="176"/>
  <c r="M457" i="176"/>
  <c r="Q356" i="176"/>
  <c r="S282" i="176"/>
  <c r="R361" i="176"/>
  <c r="S361" i="176" s="1"/>
  <c r="T361" i="176" s="1"/>
  <c r="U361" i="176" s="1"/>
  <c r="V361" i="176" s="1"/>
  <c r="W361" i="176" s="1"/>
  <c r="X361" i="176" s="1"/>
  <c r="Y361" i="176" s="1"/>
  <c r="Z361" i="176" s="1"/>
  <c r="AA361" i="176" s="1"/>
  <c r="AB361" i="176" s="1"/>
  <c r="AC361" i="176" s="1"/>
  <c r="AD361" i="176" s="1"/>
  <c r="AE361" i="176" s="1"/>
  <c r="P414" i="173"/>
  <c r="P437" i="176"/>
  <c r="U325" i="176"/>
  <c r="S352" i="173"/>
  <c r="I600" i="176"/>
  <c r="J600" i="176" s="1"/>
  <c r="R287" i="176"/>
  <c r="O333" i="173"/>
  <c r="O68" i="173" s="1"/>
  <c r="AD249" i="176"/>
  <c r="AE249" i="176" s="1"/>
  <c r="O408" i="173"/>
  <c r="P408" i="173" s="1"/>
  <c r="N505" i="176"/>
  <c r="O505" i="176" s="1"/>
  <c r="Z328" i="173"/>
  <c r="M403" i="176"/>
  <c r="M74" i="176" s="1"/>
  <c r="M75" i="176" s="1"/>
  <c r="S330" i="173"/>
  <c r="T330" i="173" s="1"/>
  <c r="U330" i="173" s="1"/>
  <c r="V330" i="173" s="1"/>
  <c r="W330" i="173" s="1"/>
  <c r="X330" i="173" s="1"/>
  <c r="M501" i="176"/>
  <c r="R422" i="176"/>
  <c r="S422" i="176" s="1"/>
  <c r="T422" i="176" s="1"/>
  <c r="U422" i="176" s="1"/>
  <c r="N469" i="176"/>
  <c r="N413" i="173"/>
  <c r="N432" i="176"/>
  <c r="Q426" i="176"/>
  <c r="S304" i="173"/>
  <c r="M464" i="176"/>
  <c r="S332" i="173"/>
  <c r="T332" i="173"/>
  <c r="U332" i="173" s="1"/>
  <c r="V332" i="173" s="1"/>
  <c r="W332" i="173" s="1"/>
  <c r="X332" i="173"/>
  <c r="Y332" i="173" s="1"/>
  <c r="Z332" i="173" s="1"/>
  <c r="AA332" i="173" s="1"/>
  <c r="AB332" i="173" s="1"/>
  <c r="AC332" i="173" s="1"/>
  <c r="T268" i="173"/>
  <c r="U291" i="176"/>
  <c r="W327" i="173"/>
  <c r="N415" i="173"/>
  <c r="O415" i="173" s="1"/>
  <c r="P415" i="173" s="1"/>
  <c r="P353" i="176"/>
  <c r="Z321" i="176"/>
  <c r="K540" i="176"/>
  <c r="L540" i="176" s="1"/>
  <c r="W248" i="173"/>
  <c r="R299" i="173"/>
  <c r="K491" i="176"/>
  <c r="K539" i="176"/>
  <c r="S354" i="176"/>
  <c r="U213" i="176"/>
  <c r="O421" i="176"/>
  <c r="R354" i="173"/>
  <c r="S354" i="173" s="1"/>
  <c r="U427" i="176"/>
  <c r="V427" i="176" s="1"/>
  <c r="W427" i="176" s="1"/>
  <c r="X427" i="176" s="1"/>
  <c r="Y427" i="176" s="1"/>
  <c r="Z427" i="176" s="1"/>
  <c r="P468" i="176"/>
  <c r="L500" i="176"/>
  <c r="R358" i="173"/>
  <c r="Q414" i="173"/>
  <c r="Y257" i="176"/>
  <c r="J564" i="176"/>
  <c r="M456" i="176"/>
  <c r="N456" i="176" s="1"/>
  <c r="O456" i="176" s="1"/>
  <c r="J493" i="173"/>
  <c r="K493" i="173" s="1"/>
  <c r="T270" i="173"/>
  <c r="J577" i="176"/>
  <c r="K577" i="176" s="1"/>
  <c r="P355" i="173"/>
  <c r="Q355" i="173" s="1"/>
  <c r="R355" i="173" s="1"/>
  <c r="S355" i="173" s="1"/>
  <c r="T355" i="173" s="1"/>
  <c r="P386" i="176"/>
  <c r="R360" i="173"/>
  <c r="S360" i="173"/>
  <c r="P358" i="176"/>
  <c r="L504" i="176"/>
  <c r="R394" i="176"/>
  <c r="N430" i="176"/>
  <c r="U351" i="173"/>
  <c r="P402" i="176"/>
  <c r="W303" i="173"/>
  <c r="P329" i="173"/>
  <c r="P333" i="173" s="1"/>
  <c r="P68" i="173" s="1"/>
  <c r="S384" i="173"/>
  <c r="M411" i="173"/>
  <c r="N472" i="176"/>
  <c r="O472" i="176" s="1"/>
  <c r="V286" i="176"/>
  <c r="T246" i="173"/>
  <c r="P383" i="173"/>
  <c r="W215" i="176"/>
  <c r="X215" i="176" s="1"/>
  <c r="R295" i="173"/>
  <c r="L494" i="176"/>
  <c r="M494" i="176" s="1"/>
  <c r="N387" i="173"/>
  <c r="Q391" i="176"/>
  <c r="K531" i="176"/>
  <c r="T247" i="176"/>
  <c r="J576" i="176"/>
  <c r="K576" i="176" s="1"/>
  <c r="R323" i="173"/>
  <c r="O353" i="173"/>
  <c r="Z271" i="173"/>
  <c r="R399" i="176"/>
  <c r="O462" i="176"/>
  <c r="P462" i="176" s="1"/>
  <c r="T348" i="176"/>
  <c r="U348" i="176" s="1"/>
  <c r="V348" i="176" s="1"/>
  <c r="W348" i="176" s="1"/>
  <c r="X348" i="176" s="1"/>
  <c r="Y348" i="176" s="1"/>
  <c r="Z348" i="176" s="1"/>
  <c r="AA348" i="176" s="1"/>
  <c r="AB348" i="176" s="1"/>
  <c r="AC348" i="176" s="1"/>
  <c r="AD348" i="176" s="1"/>
  <c r="AE348" i="176" s="1"/>
  <c r="AF348" i="176" s="1"/>
  <c r="AG348" i="176" s="1"/>
  <c r="AH348" i="176" s="1"/>
  <c r="AI348" i="176" s="1"/>
  <c r="AJ348" i="176" s="1"/>
  <c r="AK348" i="176" s="1"/>
  <c r="Q363" i="176"/>
  <c r="R363" i="176" s="1"/>
  <c r="S363" i="176" s="1"/>
  <c r="T363" i="176" s="1"/>
  <c r="U363" i="176" s="1"/>
  <c r="V363" i="176" s="1"/>
  <c r="W363" i="176" s="1"/>
  <c r="X363" i="176" s="1"/>
  <c r="Y363" i="176" s="1"/>
  <c r="Z363" i="176" s="1"/>
  <c r="AA363" i="176" s="1"/>
  <c r="AB363" i="176" s="1"/>
  <c r="AC363" i="176" s="1"/>
  <c r="AD363" i="176" s="1"/>
  <c r="AE363" i="176" s="1"/>
  <c r="AF363" i="176" s="1"/>
  <c r="R322" i="176"/>
  <c r="T385" i="173"/>
  <c r="U385" i="173" s="1"/>
  <c r="J498" i="173"/>
  <c r="P52" i="173"/>
  <c r="Q48" i="173" s="1"/>
  <c r="Q52" i="173" s="1"/>
  <c r="R48" i="173" s="1"/>
  <c r="AA301" i="173"/>
  <c r="AB301" i="173" s="1"/>
  <c r="AC301" i="173" s="1"/>
  <c r="AD301" i="173" s="1"/>
  <c r="U289" i="176"/>
  <c r="R380" i="173"/>
  <c r="R297" i="173"/>
  <c r="Q458" i="176"/>
  <c r="R458" i="176" s="1"/>
  <c r="R382" i="173"/>
  <c r="Q352" i="176"/>
  <c r="L439" i="173"/>
  <c r="L495" i="176"/>
  <c r="R243" i="173"/>
  <c r="P423" i="176"/>
  <c r="R351" i="176"/>
  <c r="S351" i="176" s="1"/>
  <c r="T351" i="176" s="1"/>
  <c r="W214" i="173"/>
  <c r="X214" i="173" s="1"/>
  <c r="M444" i="173"/>
  <c r="N444" i="173" s="1"/>
  <c r="AA319" i="176"/>
  <c r="O436" i="173"/>
  <c r="K498" i="176"/>
  <c r="Q388" i="176"/>
  <c r="R388" i="176" s="1"/>
  <c r="S388" i="176" s="1"/>
  <c r="T388" i="176" s="1"/>
  <c r="U388" i="176" s="1"/>
  <c r="V388" i="176" s="1"/>
  <c r="O424" i="176"/>
  <c r="K538" i="176"/>
  <c r="K443" i="173"/>
  <c r="K532" i="176"/>
  <c r="N411" i="173"/>
  <c r="AB208" i="173"/>
  <c r="AC208" i="173" s="1"/>
  <c r="AD208" i="173" s="1"/>
  <c r="X320" i="173"/>
  <c r="Y320" i="173" s="1"/>
  <c r="Z320" i="173" s="1"/>
  <c r="AA320" i="173" s="1"/>
  <c r="AB320" i="173" s="1"/>
  <c r="AC320" i="173" s="1"/>
  <c r="AD320" i="173" s="1"/>
  <c r="V288" i="173"/>
  <c r="W288" i="173" s="1"/>
  <c r="X288" i="173" s="1"/>
  <c r="L496" i="176"/>
  <c r="M496" i="176" s="1"/>
  <c r="L492" i="176"/>
  <c r="M492" i="176" s="1"/>
  <c r="K541" i="176"/>
  <c r="K470" i="173"/>
  <c r="M407" i="173"/>
  <c r="N407" i="173" s="1"/>
  <c r="L467" i="173"/>
  <c r="M467" i="173" s="1"/>
  <c r="L534" i="176"/>
  <c r="M534" i="176" s="1"/>
  <c r="S414" i="176"/>
  <c r="T414" i="176" s="1"/>
  <c r="U414" i="176" s="1"/>
  <c r="V414" i="176" s="1"/>
  <c r="W414" i="176" s="1"/>
  <c r="X414" i="176" s="1"/>
  <c r="Y414" i="176" s="1"/>
  <c r="L472" i="173"/>
  <c r="K530" i="176"/>
  <c r="L438" i="173"/>
  <c r="M503" i="176"/>
  <c r="J567" i="176"/>
  <c r="L491" i="176"/>
  <c r="M491" i="176"/>
  <c r="L466" i="173"/>
  <c r="L442" i="173"/>
  <c r="J497" i="173"/>
  <c r="L528" i="176"/>
  <c r="K537" i="176"/>
  <c r="K535" i="176"/>
  <c r="K566" i="176"/>
  <c r="K533" i="176"/>
  <c r="K536" i="176"/>
  <c r="L469" i="173"/>
  <c r="M469" i="173" s="1"/>
  <c r="J574" i="176"/>
  <c r="I599" i="176"/>
  <c r="I606" i="176"/>
  <c r="I604" i="176"/>
  <c r="K464" i="173"/>
  <c r="K527" i="176"/>
  <c r="K570" i="176"/>
  <c r="K569" i="176"/>
  <c r="K500" i="173"/>
  <c r="I525" i="173"/>
  <c r="K468" i="173"/>
  <c r="K463" i="173"/>
  <c r="J565" i="176"/>
  <c r="K471" i="173"/>
  <c r="J513" i="173"/>
  <c r="K513" i="173" s="1"/>
  <c r="I562" i="176"/>
  <c r="I610" i="176"/>
  <c r="I575" i="176"/>
  <c r="I563" i="176"/>
  <c r="I522" i="173"/>
  <c r="AH178" i="176"/>
  <c r="AI174" i="176" s="1"/>
  <c r="AI176" i="176" s="1"/>
  <c r="AI177" i="176" s="1"/>
  <c r="I605" i="176"/>
  <c r="I568" i="176"/>
  <c r="I597" i="176"/>
  <c r="I602" i="176"/>
  <c r="I609" i="176"/>
  <c r="I526" i="173"/>
  <c r="I601" i="176"/>
  <c r="I596" i="176"/>
  <c r="I492" i="173"/>
  <c r="I612" i="176"/>
  <c r="I494" i="173"/>
  <c r="I496" i="173"/>
  <c r="J496" i="173" s="1"/>
  <c r="I499" i="173"/>
  <c r="I519" i="173"/>
  <c r="I491" i="173"/>
  <c r="I520" i="173"/>
  <c r="I561" i="176"/>
  <c r="I571" i="176"/>
  <c r="J571" i="176" s="1"/>
  <c r="I598" i="176"/>
  <c r="I607" i="176"/>
  <c r="I608" i="176"/>
  <c r="I495" i="173"/>
  <c r="K82" i="173"/>
  <c r="L78" i="173" s="1"/>
  <c r="U262" i="173"/>
  <c r="V262" i="173" s="1"/>
  <c r="W262" i="173" s="1"/>
  <c r="X262" i="173" s="1"/>
  <c r="Y262" i="173" s="1"/>
  <c r="Z262" i="173" s="1"/>
  <c r="AA262" i="173" s="1"/>
  <c r="AB262" i="173" s="1"/>
  <c r="AC262" i="173" s="1"/>
  <c r="AD262" i="173" s="1"/>
  <c r="Q415" i="176"/>
  <c r="R415" i="176" s="1"/>
  <c r="S415" i="176" s="1"/>
  <c r="X449" i="176"/>
  <c r="Y449" i="176" s="1"/>
  <c r="Z449" i="176" s="1"/>
  <c r="AA449" i="176" s="1"/>
  <c r="R372" i="173"/>
  <c r="S372" i="173" s="1"/>
  <c r="T372" i="173" s="1"/>
  <c r="AE345" i="176"/>
  <c r="AF345" i="176" s="1"/>
  <c r="AG345" i="176" s="1"/>
  <c r="AH345" i="176" s="1"/>
  <c r="AI345" i="176" s="1"/>
  <c r="T417" i="176"/>
  <c r="U417" i="176" s="1"/>
  <c r="V417" i="176" s="1"/>
  <c r="W417" i="176" s="1"/>
  <c r="X417" i="176" s="1"/>
  <c r="Y417" i="176" s="1"/>
  <c r="Z417" i="176" s="1"/>
  <c r="AA417" i="176" s="1"/>
  <c r="AB417" i="176" s="1"/>
  <c r="AC417" i="176" s="1"/>
  <c r="AD417" i="176" s="1"/>
  <c r="AB245" i="176"/>
  <c r="AC245" i="176" s="1"/>
  <c r="AD245" i="176" s="1"/>
  <c r="AE245" i="176" s="1"/>
  <c r="AF245" i="176" s="1"/>
  <c r="AG245" i="176" s="1"/>
  <c r="AH245" i="176" s="1"/>
  <c r="AI245" i="176" s="1"/>
  <c r="AJ245" i="176" s="1"/>
  <c r="AK245" i="176" s="1"/>
  <c r="V346" i="173"/>
  <c r="W346" i="173" s="1"/>
  <c r="X346" i="173" s="1"/>
  <c r="Y346" i="173" s="1"/>
  <c r="Z346" i="173" s="1"/>
  <c r="AA346" i="173" s="1"/>
  <c r="AB346" i="173" s="1"/>
  <c r="AC346" i="173" s="1"/>
  <c r="AD346" i="173" s="1"/>
  <c r="X279" i="176"/>
  <c r="Y279" i="176" s="1"/>
  <c r="Z279" i="176" s="1"/>
  <c r="AA279" i="176" s="1"/>
  <c r="AB279" i="176" s="1"/>
  <c r="AC279" i="176" s="1"/>
  <c r="AD279" i="176" s="1"/>
  <c r="AE279" i="176" s="1"/>
  <c r="AF279" i="176" s="1"/>
  <c r="AG279" i="176" s="1"/>
  <c r="AH279" i="176" s="1"/>
  <c r="AI279" i="176" s="1"/>
  <c r="AJ279" i="176" s="1"/>
  <c r="AK279" i="176" s="1"/>
  <c r="R453" i="176"/>
  <c r="S453" i="176" s="1"/>
  <c r="T453" i="176" s="1"/>
  <c r="N431" i="173"/>
  <c r="O431" i="173" s="1"/>
  <c r="L429" i="173"/>
  <c r="M429" i="173" s="1"/>
  <c r="K456" i="173"/>
  <c r="L456" i="173" s="1"/>
  <c r="P400" i="173"/>
  <c r="Q400" i="173" s="1"/>
  <c r="Q419" i="176"/>
  <c r="Q268" i="176"/>
  <c r="Q298" i="176" s="1"/>
  <c r="Q56" i="176" s="1"/>
  <c r="Q57" i="176" s="1"/>
  <c r="N485" i="176"/>
  <c r="M484" i="176"/>
  <c r="N484" i="176" s="1"/>
  <c r="O484" i="176" s="1"/>
  <c r="S289" i="173"/>
  <c r="P375" i="173"/>
  <c r="L402" i="173"/>
  <c r="M402" i="173" s="1"/>
  <c r="J457" i="173"/>
  <c r="K457" i="173" s="1"/>
  <c r="L457" i="173" s="1"/>
  <c r="U311" i="176"/>
  <c r="V311" i="176" s="1"/>
  <c r="W311" i="176" s="1"/>
  <c r="X311" i="176" s="1"/>
  <c r="Y311" i="176" s="1"/>
  <c r="Z311" i="176" s="1"/>
  <c r="AA311" i="176" s="1"/>
  <c r="AB311" i="176" s="1"/>
  <c r="AC311" i="176" s="1"/>
  <c r="AD311" i="176" s="1"/>
  <c r="AE311" i="176" s="1"/>
  <c r="AF311" i="176" s="1"/>
  <c r="AG311" i="176" s="1"/>
  <c r="AH311" i="176" s="1"/>
  <c r="AI311" i="176" s="1"/>
  <c r="AJ311" i="176" s="1"/>
  <c r="AK311" i="176" s="1"/>
  <c r="V315" i="176"/>
  <c r="W315" i="176" s="1"/>
  <c r="X315" i="176" s="1"/>
  <c r="Y315" i="176" s="1"/>
  <c r="Z315" i="176" s="1"/>
  <c r="AA315" i="176" s="1"/>
  <c r="AB315" i="176" s="1"/>
  <c r="AC315" i="176" s="1"/>
  <c r="AD315" i="176" s="1"/>
  <c r="AE315" i="176" s="1"/>
  <c r="AF315" i="176" s="1"/>
  <c r="AG315" i="176" s="1"/>
  <c r="AH315" i="176" s="1"/>
  <c r="AI315" i="176" s="1"/>
  <c r="AJ315" i="176" s="1"/>
  <c r="AK315" i="176" s="1"/>
  <c r="J595" i="176"/>
  <c r="K595" i="176" s="1"/>
  <c r="Q401" i="173"/>
  <c r="J591" i="176"/>
  <c r="K591" i="176" s="1"/>
  <c r="M416" i="176"/>
  <c r="N416" i="176" s="1"/>
  <c r="U292" i="173"/>
  <c r="P384" i="176"/>
  <c r="Q384" i="176" s="1"/>
  <c r="V290" i="173"/>
  <c r="T380" i="176"/>
  <c r="U380" i="176" s="1"/>
  <c r="V380" i="176" s="1"/>
  <c r="W380" i="176" s="1"/>
  <c r="X380" i="176" s="1"/>
  <c r="Y380" i="176" s="1"/>
  <c r="Z380" i="176" s="1"/>
  <c r="AA380" i="176" s="1"/>
  <c r="AB380" i="176" s="1"/>
  <c r="AC380" i="176" s="1"/>
  <c r="AD380" i="176" s="1"/>
  <c r="AE380" i="176" s="1"/>
  <c r="AF380" i="176" s="1"/>
  <c r="AG380" i="176" s="1"/>
  <c r="AH380" i="176" s="1"/>
  <c r="AI380" i="176" s="1"/>
  <c r="AJ380" i="176" s="1"/>
  <c r="AK380" i="176" s="1"/>
  <c r="W265" i="173"/>
  <c r="X265" i="173" s="1"/>
  <c r="L389" i="173"/>
  <c r="L80" i="173" s="1"/>
  <c r="L81" i="173" s="1"/>
  <c r="Z350" i="176"/>
  <c r="AA350" i="176" s="1"/>
  <c r="AB350" i="176" s="1"/>
  <c r="AC350" i="176" s="1"/>
  <c r="AD350" i="176" s="1"/>
  <c r="AE350" i="176" s="1"/>
  <c r="AF350" i="176" s="1"/>
  <c r="AG350" i="176" s="1"/>
  <c r="AH350" i="176" s="1"/>
  <c r="AI350" i="176" s="1"/>
  <c r="AJ350" i="176" s="1"/>
  <c r="AK350" i="176" s="1"/>
  <c r="AD411" i="176"/>
  <c r="AE411" i="176" s="1"/>
  <c r="AF411" i="176" s="1"/>
  <c r="AG411" i="176" s="1"/>
  <c r="AH411" i="176" s="1"/>
  <c r="AI411" i="176" s="1"/>
  <c r="AJ411" i="176" s="1"/>
  <c r="AK411" i="176" s="1"/>
  <c r="R312" i="176"/>
  <c r="S312" i="176" s="1"/>
  <c r="U382" i="176"/>
  <c r="V382" i="176" s="1"/>
  <c r="W382" i="176" s="1"/>
  <c r="X382" i="176" s="1"/>
  <c r="Y382" i="176" s="1"/>
  <c r="Z382" i="176" s="1"/>
  <c r="AA382" i="176" s="1"/>
  <c r="AB382" i="176" s="1"/>
  <c r="L556" i="176"/>
  <c r="K520" i="176"/>
  <c r="J515" i="173"/>
  <c r="K515" i="173" s="1"/>
  <c r="K523" i="176"/>
  <c r="N418" i="176"/>
  <c r="O418" i="176" s="1"/>
  <c r="P418" i="176" s="1"/>
  <c r="Q418" i="176" s="1"/>
  <c r="M406" i="173"/>
  <c r="N406" i="173" s="1"/>
  <c r="O406" i="173" s="1"/>
  <c r="I514" i="173"/>
  <c r="L404" i="173"/>
  <c r="L484" i="173"/>
  <c r="U348" i="173"/>
  <c r="V348" i="173" s="1"/>
  <c r="K557" i="176"/>
  <c r="N378" i="173"/>
  <c r="O378" i="173" s="1"/>
  <c r="P378" i="173" s="1"/>
  <c r="Q378" i="173" s="1"/>
  <c r="Y235" i="173"/>
  <c r="K522" i="176"/>
  <c r="V346" i="176"/>
  <c r="W346" i="176" s="1"/>
  <c r="S319" i="173"/>
  <c r="T319" i="173" s="1"/>
  <c r="I516" i="173"/>
  <c r="L489" i="176"/>
  <c r="M489" i="176" s="1"/>
  <c r="L487" i="176"/>
  <c r="L428" i="173"/>
  <c r="K460" i="173"/>
  <c r="P385" i="176"/>
  <c r="K524" i="176"/>
  <c r="M486" i="176"/>
  <c r="I589" i="176"/>
  <c r="M558" i="176"/>
  <c r="N558" i="176" s="1"/>
  <c r="R377" i="173"/>
  <c r="S377" i="173" s="1"/>
  <c r="T377" i="173" s="1"/>
  <c r="J517" i="173"/>
  <c r="K517" i="173" s="1"/>
  <c r="Q488" i="176"/>
  <c r="K432" i="173"/>
  <c r="I489" i="173"/>
  <c r="J489" i="173" s="1"/>
  <c r="P344" i="173"/>
  <c r="Q344" i="173" s="1"/>
  <c r="W264" i="173"/>
  <c r="X264" i="173" s="1"/>
  <c r="Y264" i="173" s="1"/>
  <c r="Z264" i="173" s="1"/>
  <c r="AA264" i="173" s="1"/>
  <c r="AB264" i="173" s="1"/>
  <c r="AC264" i="173" s="1"/>
  <c r="AD264" i="173" s="1"/>
  <c r="L459" i="173"/>
  <c r="M459" i="173" s="1"/>
  <c r="L433" i="173"/>
  <c r="K519" i="176"/>
  <c r="L519" i="176" s="1"/>
  <c r="K462" i="173"/>
  <c r="L462" i="173" s="1"/>
  <c r="S321" i="173"/>
  <c r="T321" i="173" s="1"/>
  <c r="U321" i="173" s="1"/>
  <c r="O455" i="176"/>
  <c r="P455" i="176" s="1"/>
  <c r="Q455" i="176" s="1"/>
  <c r="R455" i="176" s="1"/>
  <c r="S455" i="176" s="1"/>
  <c r="Q350" i="173"/>
  <c r="I486" i="173"/>
  <c r="J486" i="173" s="1"/>
  <c r="M434" i="173"/>
  <c r="Q374" i="173"/>
  <c r="P376" i="173"/>
  <c r="W322" i="173"/>
  <c r="X322" i="173" s="1"/>
  <c r="K488" i="173"/>
  <c r="L488" i="173" s="1"/>
  <c r="K560" i="176"/>
  <c r="L560" i="176"/>
  <c r="J554" i="176"/>
  <c r="N403" i="173"/>
  <c r="L458" i="173"/>
  <c r="Q451" i="176"/>
  <c r="R451" i="176" s="1"/>
  <c r="S451" i="176" s="1"/>
  <c r="L490" i="176"/>
  <c r="T349" i="173"/>
  <c r="U349" i="173" s="1"/>
  <c r="V349" i="173" s="1"/>
  <c r="N454" i="176"/>
  <c r="O373" i="173"/>
  <c r="K487" i="173"/>
  <c r="Y294" i="173"/>
  <c r="P345" i="173"/>
  <c r="I593" i="176"/>
  <c r="J593" i="176" s="1"/>
  <c r="P383" i="176"/>
  <c r="I555" i="176"/>
  <c r="J555" i="176" s="1"/>
  <c r="I512" i="173"/>
  <c r="K82" i="176"/>
  <c r="L78" i="176" s="1"/>
  <c r="L82" i="176" s="1"/>
  <c r="M78" i="176" s="1"/>
  <c r="I485" i="173"/>
  <c r="M405" i="173"/>
  <c r="I592" i="176"/>
  <c r="Q381" i="176"/>
  <c r="P347" i="173"/>
  <c r="S280" i="176"/>
  <c r="T280" i="176" s="1"/>
  <c r="U280" i="176" s="1"/>
  <c r="V280" i="176" s="1"/>
  <c r="AA208" i="176"/>
  <c r="AB208" i="176" s="1"/>
  <c r="AC208" i="176" s="1"/>
  <c r="I559" i="176"/>
  <c r="J559" i="176" s="1"/>
  <c r="R420" i="176"/>
  <c r="S420" i="176" s="1"/>
  <c r="T420" i="176" s="1"/>
  <c r="U420" i="176" s="1"/>
  <c r="V420" i="176" s="1"/>
  <c r="W420" i="176" s="1"/>
  <c r="X420" i="176" s="1"/>
  <c r="N521" i="176"/>
  <c r="I490" i="173"/>
  <c r="J490" i="173" s="1"/>
  <c r="W241" i="176"/>
  <c r="X241" i="176" s="1"/>
  <c r="Y241" i="176" s="1"/>
  <c r="I518" i="173"/>
  <c r="J518" i="173" s="1"/>
  <c r="K518" i="173" s="1"/>
  <c r="Z309" i="176"/>
  <c r="AA309" i="176" s="1"/>
  <c r="AB309" i="176" s="1"/>
  <c r="AC309" i="176" s="1"/>
  <c r="AD309" i="176" s="1"/>
  <c r="AE309" i="176" s="1"/>
  <c r="AF309" i="176" s="1"/>
  <c r="AG309" i="176" s="1"/>
  <c r="AH309" i="176" s="1"/>
  <c r="AI309" i="176" s="1"/>
  <c r="AJ309" i="176" s="1"/>
  <c r="AK309" i="176" s="1"/>
  <c r="K525" i="176"/>
  <c r="R344" i="176"/>
  <c r="S344" i="176" s="1"/>
  <c r="T344" i="176" s="1"/>
  <c r="U344" i="176" s="1"/>
  <c r="V344" i="176" s="1"/>
  <c r="W344" i="176" s="1"/>
  <c r="X344" i="176" s="1"/>
  <c r="Y344" i="176" s="1"/>
  <c r="Z344" i="176" s="1"/>
  <c r="AA344" i="176" s="1"/>
  <c r="AB344" i="176" s="1"/>
  <c r="AC344" i="176" s="1"/>
  <c r="AD344" i="176" s="1"/>
  <c r="AE344" i="176" s="1"/>
  <c r="AF344" i="176" s="1"/>
  <c r="AG344" i="176" s="1"/>
  <c r="AH344" i="176" s="1"/>
  <c r="AI344" i="176" s="1"/>
  <c r="AJ344" i="176" s="1"/>
  <c r="AK344" i="176" s="1"/>
  <c r="K461" i="173"/>
  <c r="AA293" i="173"/>
  <c r="AB293" i="173" s="1"/>
  <c r="AC293" i="173" s="1"/>
  <c r="AD293" i="173" s="1"/>
  <c r="AB313" i="176"/>
  <c r="AC313" i="176" s="1"/>
  <c r="AD313" i="176" s="1"/>
  <c r="AE313" i="176" s="1"/>
  <c r="AF313" i="176" s="1"/>
  <c r="AG313" i="176" s="1"/>
  <c r="AH313" i="176" s="1"/>
  <c r="AI313" i="176" s="1"/>
  <c r="AJ313" i="176" s="1"/>
  <c r="AK313" i="176" s="1"/>
  <c r="M430" i="173"/>
  <c r="S342" i="173"/>
  <c r="J445" i="173"/>
  <c r="J92" i="173" s="1"/>
  <c r="J93" i="173" s="1"/>
  <c r="N57" i="176"/>
  <c r="Z369" i="173"/>
  <c r="AA369" i="173" s="1"/>
  <c r="AB369" i="173" s="1"/>
  <c r="AC369" i="173" s="1"/>
  <c r="AD369" i="173" s="1"/>
  <c r="Q445" i="176"/>
  <c r="R445" i="176" s="1"/>
  <c r="H93" i="173"/>
  <c r="Q51" i="173"/>
  <c r="T482" i="176"/>
  <c r="U482" i="176" s="1"/>
  <c r="V482" i="176" s="1"/>
  <c r="W482" i="176" s="1"/>
  <c r="O444" i="176"/>
  <c r="P444" i="176" s="1"/>
  <c r="Q444" i="176" s="1"/>
  <c r="R444" i="176" s="1"/>
  <c r="S444" i="176" s="1"/>
  <c r="T444" i="176" s="1"/>
  <c r="U444" i="176" s="1"/>
  <c r="V444" i="176" s="1"/>
  <c r="W444" i="176" s="1"/>
  <c r="X444" i="176" s="1"/>
  <c r="Y444" i="176" s="1"/>
  <c r="Z444" i="176" s="1"/>
  <c r="AA444" i="176" s="1"/>
  <c r="AB444" i="176" s="1"/>
  <c r="AC444" i="176" s="1"/>
  <c r="AD444" i="176" s="1"/>
  <c r="AE444" i="176" s="1"/>
  <c r="AF444" i="176" s="1"/>
  <c r="AG444" i="176" s="1"/>
  <c r="AH444" i="176" s="1"/>
  <c r="AI444" i="176" s="1"/>
  <c r="AJ444" i="176" s="1"/>
  <c r="AK444" i="176" s="1"/>
  <c r="P57" i="176"/>
  <c r="J588" i="176"/>
  <c r="K588" i="176" s="1"/>
  <c r="L588" i="176" s="1"/>
  <c r="N58" i="176"/>
  <c r="O54" i="176" s="1"/>
  <c r="O58" i="176" s="1"/>
  <c r="P54" i="176" s="1"/>
  <c r="P58" i="176" s="1"/>
  <c r="Q54" i="176" s="1"/>
  <c r="N518" i="176"/>
  <c r="P408" i="176"/>
  <c r="Q408" i="176" s="1"/>
  <c r="J88" i="176"/>
  <c r="K84" i="176" s="1"/>
  <c r="R481" i="176"/>
  <c r="U377" i="176"/>
  <c r="V377" i="176" s="1"/>
  <c r="W377" i="176" s="1"/>
  <c r="X377" i="176" s="1"/>
  <c r="Y377" i="176" s="1"/>
  <c r="Z377" i="176" s="1"/>
  <c r="AA377" i="176" s="1"/>
  <c r="AB377" i="176" s="1"/>
  <c r="J478" i="176"/>
  <c r="N399" i="173"/>
  <c r="O399" i="173" s="1"/>
  <c r="P399" i="173" s="1"/>
  <c r="Q399" i="173" s="1"/>
  <c r="R399" i="173" s="1"/>
  <c r="S399" i="173" s="1"/>
  <c r="T399" i="173" s="1"/>
  <c r="U399" i="173" s="1"/>
  <c r="V399" i="173" s="1"/>
  <c r="W399" i="173" s="1"/>
  <c r="X399" i="173" s="1"/>
  <c r="Y399" i="173" s="1"/>
  <c r="Z399" i="173" s="1"/>
  <c r="AA399" i="173" s="1"/>
  <c r="AB399" i="173" s="1"/>
  <c r="AC399" i="173" s="1"/>
  <c r="AD399" i="173" s="1"/>
  <c r="K443" i="176"/>
  <c r="K473" i="176" s="1"/>
  <c r="K86" i="176" s="1"/>
  <c r="H94" i="173"/>
  <c r="I90" i="173" s="1"/>
  <c r="I94" i="173" s="1"/>
  <c r="J90" i="173" s="1"/>
  <c r="Q46" i="176"/>
  <c r="R42" i="176" s="1"/>
  <c r="I93" i="173"/>
  <c r="O516" i="176"/>
  <c r="P516" i="176" s="1"/>
  <c r="Q516" i="176" s="1"/>
  <c r="H590" i="176"/>
  <c r="O64" i="173"/>
  <c r="P60" i="173" s="1"/>
  <c r="H528" i="173"/>
  <c r="M70" i="176"/>
  <c r="N66" i="176" s="1"/>
  <c r="L76" i="176"/>
  <c r="M72" i="176" s="1"/>
  <c r="H523" i="173"/>
  <c r="H594" i="176"/>
  <c r="AF166" i="176"/>
  <c r="AG162" i="176" s="1"/>
  <c r="H521" i="173"/>
  <c r="AG148" i="176"/>
  <c r="AH144" i="176" s="1"/>
  <c r="AH146" i="176" s="1"/>
  <c r="AH147" i="176" s="1"/>
  <c r="H611" i="176"/>
  <c r="H603" i="176"/>
  <c r="H527" i="173"/>
  <c r="I586" i="176"/>
  <c r="J586" i="176" s="1"/>
  <c r="K479" i="173"/>
  <c r="N480" i="176"/>
  <c r="O480" i="176" s="1"/>
  <c r="I511" i="173"/>
  <c r="J511" i="173" s="1"/>
  <c r="I510" i="173"/>
  <c r="K483" i="173"/>
  <c r="L75" i="176"/>
  <c r="K552" i="176"/>
  <c r="O366" i="173"/>
  <c r="R255" i="173"/>
  <c r="Q277" i="173"/>
  <c r="Q56" i="173" s="1"/>
  <c r="Q57" i="173" s="1"/>
  <c r="M64" i="176"/>
  <c r="N60" i="176" s="1"/>
  <c r="O424" i="173"/>
  <c r="P424" i="173" s="1"/>
  <c r="Q424" i="173" s="1"/>
  <c r="R424" i="173" s="1"/>
  <c r="S424" i="173" s="1"/>
  <c r="T424" i="173" s="1"/>
  <c r="U424" i="173" s="1"/>
  <c r="V424" i="173" s="1"/>
  <c r="W424" i="173" s="1"/>
  <c r="X424" i="173" s="1"/>
  <c r="Y424" i="173" s="1"/>
  <c r="Z424" i="173" s="1"/>
  <c r="AA424" i="173" s="1"/>
  <c r="AB424" i="173" s="1"/>
  <c r="AC424" i="173" s="1"/>
  <c r="AD424" i="173" s="1"/>
  <c r="K549" i="176"/>
  <c r="J481" i="173"/>
  <c r="L517" i="176"/>
  <c r="I508" i="173"/>
  <c r="K551" i="176"/>
  <c r="M63" i="176"/>
  <c r="H543" i="176"/>
  <c r="H98" i="176" s="1"/>
  <c r="I513" i="176"/>
  <c r="I543" i="176" s="1"/>
  <c r="I98" i="176" s="1"/>
  <c r="K455" i="173"/>
  <c r="L455" i="173" s="1"/>
  <c r="Q310" i="173"/>
  <c r="Q483" i="176"/>
  <c r="R483" i="176" s="1"/>
  <c r="S483" i="176" s="1"/>
  <c r="T483" i="176" s="1"/>
  <c r="U483" i="176" s="1"/>
  <c r="V483" i="176" s="1"/>
  <c r="W483" i="176" s="1"/>
  <c r="X483" i="176" s="1"/>
  <c r="Y483" i="176" s="1"/>
  <c r="Z483" i="176" s="1"/>
  <c r="AA483" i="176" s="1"/>
  <c r="AB483" i="176" s="1"/>
  <c r="J587" i="176"/>
  <c r="K587" i="176" s="1"/>
  <c r="L587" i="176" s="1"/>
  <c r="O515" i="176"/>
  <c r="P515" i="176" s="1"/>
  <c r="W198" i="173"/>
  <c r="H548" i="176"/>
  <c r="R228" i="176"/>
  <c r="R44" i="176" s="1"/>
  <c r="S198" i="176"/>
  <c r="S45" i="173"/>
  <c r="L454" i="173"/>
  <c r="H473" i="173"/>
  <c r="H98" i="173" s="1"/>
  <c r="I450" i="173"/>
  <c r="I473" i="173" s="1"/>
  <c r="I98" i="173" s="1"/>
  <c r="N368" i="176"/>
  <c r="N68" i="176" s="1"/>
  <c r="O338" i="176"/>
  <c r="U226" i="173"/>
  <c r="H478" i="173"/>
  <c r="L81" i="176"/>
  <c r="AF154" i="176"/>
  <c r="AG150" i="176" s="1"/>
  <c r="J482" i="173"/>
  <c r="M361" i="173"/>
  <c r="M74" i="173" s="1"/>
  <c r="N338" i="173"/>
  <c r="I93" i="176"/>
  <c r="H93" i="176"/>
  <c r="H94" i="176"/>
  <c r="I90" i="176" s="1"/>
  <c r="I94" i="176" s="1"/>
  <c r="J90" i="176" s="1"/>
  <c r="AH129" i="176"/>
  <c r="M427" i="173"/>
  <c r="AG135" i="176"/>
  <c r="J553" i="176"/>
  <c r="L452" i="173"/>
  <c r="AG142" i="176"/>
  <c r="AH138" i="176" s="1"/>
  <c r="L422" i="173"/>
  <c r="M422" i="173" s="1"/>
  <c r="AG136" i="176"/>
  <c r="AH132" i="176" s="1"/>
  <c r="U254" i="173"/>
  <c r="N333" i="176"/>
  <c r="N62" i="176" s="1"/>
  <c r="O303" i="176"/>
  <c r="N373" i="176"/>
  <c r="O426" i="173"/>
  <c r="L451" i="173"/>
  <c r="M451" i="173" s="1"/>
  <c r="F583" i="176"/>
  <c r="U199" i="173"/>
  <c r="T221" i="173"/>
  <c r="T44" i="173" s="1"/>
  <c r="AJ123" i="176"/>
  <c r="S231" i="173"/>
  <c r="AJ124" i="176"/>
  <c r="AK120" i="176" s="1"/>
  <c r="I585" i="176"/>
  <c r="M423" i="173"/>
  <c r="N423" i="173" s="1"/>
  <c r="AG172" i="176"/>
  <c r="AH168" i="176" s="1"/>
  <c r="R263" i="176"/>
  <c r="R50" i="176" s="1"/>
  <c r="R51" i="176" s="1"/>
  <c r="S233" i="176"/>
  <c r="AG158" i="176"/>
  <c r="AG159" i="176" s="1"/>
  <c r="P305" i="173"/>
  <c r="P62" i="173" s="1"/>
  <c r="Q282" i="173"/>
  <c r="F506" i="173"/>
  <c r="N514" i="176"/>
  <c r="O514" i="176" s="1"/>
  <c r="L479" i="176"/>
  <c r="M479" i="176" s="1"/>
  <c r="N479" i="176" s="1"/>
  <c r="O479" i="176" s="1"/>
  <c r="P479" i="176" s="1"/>
  <c r="Q479" i="176" s="1"/>
  <c r="R479" i="176" s="1"/>
  <c r="S479" i="176" s="1"/>
  <c r="T479" i="176" s="1"/>
  <c r="AH130" i="176"/>
  <c r="AI126" i="176" s="1"/>
  <c r="J584" i="176"/>
  <c r="J417" i="173"/>
  <c r="J86" i="173" s="1"/>
  <c r="J88" i="173" s="1"/>
  <c r="K84" i="173" s="1"/>
  <c r="Q52" i="176"/>
  <c r="R48" i="176" s="1"/>
  <c r="N425" i="173"/>
  <c r="K453" i="173"/>
  <c r="K394" i="173"/>
  <c r="N409" i="176"/>
  <c r="Q45" i="176"/>
  <c r="I509" i="173"/>
  <c r="I507" i="173"/>
  <c r="AF244" i="176" l="1"/>
  <c r="AG244" i="176" s="1"/>
  <c r="AH244" i="176" s="1"/>
  <c r="AI244" i="176" s="1"/>
  <c r="AJ244" i="176" s="1"/>
  <c r="AK244" i="176" s="1"/>
  <c r="AK293" i="176"/>
  <c r="N69" i="173"/>
  <c r="X324" i="173"/>
  <c r="Y324" i="173" s="1"/>
  <c r="Z324" i="173" s="1"/>
  <c r="O69" i="173"/>
  <c r="AK328" i="176"/>
  <c r="S318" i="173"/>
  <c r="T318" i="173" s="1"/>
  <c r="AA357" i="173"/>
  <c r="AB357" i="173" s="1"/>
  <c r="AC357" i="173" s="1"/>
  <c r="AD357" i="173" s="1"/>
  <c r="AH290" i="176"/>
  <c r="AI290" i="176" s="1"/>
  <c r="AJ290" i="176" s="1"/>
  <c r="Y215" i="176"/>
  <c r="Z215" i="176" s="1"/>
  <c r="AA215" i="176" s="1"/>
  <c r="AB215" i="176" s="1"/>
  <c r="AC215" i="176" s="1"/>
  <c r="AD215" i="176" s="1"/>
  <c r="AE215" i="176" s="1"/>
  <c r="AF215" i="176" s="1"/>
  <c r="AG215" i="176" s="1"/>
  <c r="AH215" i="176" s="1"/>
  <c r="AI215" i="176" s="1"/>
  <c r="AJ215" i="176" s="1"/>
  <c r="AK215" i="176" s="1"/>
  <c r="AF361" i="176"/>
  <c r="AG361" i="176" s="1"/>
  <c r="AH361" i="176" s="1"/>
  <c r="AI361" i="176" s="1"/>
  <c r="V400" i="176"/>
  <c r="W400" i="176" s="1"/>
  <c r="X400" i="176" s="1"/>
  <c r="Y400" i="176" s="1"/>
  <c r="Z400" i="176" s="1"/>
  <c r="AA400" i="176" s="1"/>
  <c r="AB400" i="176" s="1"/>
  <c r="AC400" i="176" s="1"/>
  <c r="AD400" i="176" s="1"/>
  <c r="AE400" i="176" s="1"/>
  <c r="AF400" i="176" s="1"/>
  <c r="AG400" i="176" s="1"/>
  <c r="AH400" i="176" s="1"/>
  <c r="AG327" i="176"/>
  <c r="AH327" i="176" s="1"/>
  <c r="AI327" i="176" s="1"/>
  <c r="AJ327" i="176" s="1"/>
  <c r="AK327" i="176" s="1"/>
  <c r="Y355" i="176"/>
  <c r="Z355" i="176" s="1"/>
  <c r="AA355" i="176" s="1"/>
  <c r="AB355" i="176" s="1"/>
  <c r="AC355" i="176" s="1"/>
  <c r="AD355" i="176" s="1"/>
  <c r="AE355" i="176" s="1"/>
  <c r="AF355" i="176" s="1"/>
  <c r="AG355" i="176" s="1"/>
  <c r="AH355" i="176" s="1"/>
  <c r="AI355" i="176" s="1"/>
  <c r="AJ355" i="176" s="1"/>
  <c r="AK355" i="176" s="1"/>
  <c r="AD220" i="173"/>
  <c r="AA316" i="176"/>
  <c r="AB316" i="176" s="1"/>
  <c r="AC316" i="176" s="1"/>
  <c r="AD316" i="176" s="1"/>
  <c r="AE316" i="176" s="1"/>
  <c r="AF316" i="176" s="1"/>
  <c r="AG316" i="176" s="1"/>
  <c r="AH316" i="176" s="1"/>
  <c r="AI316" i="176" s="1"/>
  <c r="AJ316" i="176" s="1"/>
  <c r="AK292" i="176"/>
  <c r="X390" i="176"/>
  <c r="Y390" i="176" s="1"/>
  <c r="Z390" i="176" s="1"/>
  <c r="Q431" i="176"/>
  <c r="R431" i="176" s="1"/>
  <c r="S431" i="176" s="1"/>
  <c r="AE251" i="176"/>
  <c r="AF251" i="176" s="1"/>
  <c r="AG251" i="176" s="1"/>
  <c r="AH251" i="176" s="1"/>
  <c r="AI251" i="176" s="1"/>
  <c r="AJ251" i="176" s="1"/>
  <c r="AK251" i="176" s="1"/>
  <c r="L541" i="176"/>
  <c r="M541" i="176" s="1"/>
  <c r="N541" i="176" s="1"/>
  <c r="V359" i="176"/>
  <c r="AE323" i="176"/>
  <c r="AF323" i="176" s="1"/>
  <c r="AG323" i="176" s="1"/>
  <c r="AD356" i="173"/>
  <c r="Y357" i="176"/>
  <c r="Z357" i="176" s="1"/>
  <c r="AG256" i="176"/>
  <c r="AH256" i="176" s="1"/>
  <c r="AI256" i="176" s="1"/>
  <c r="AJ256" i="176" s="1"/>
  <c r="AK256" i="176" s="1"/>
  <c r="AJ294" i="176"/>
  <c r="AK294" i="176" s="1"/>
  <c r="R393" i="176"/>
  <c r="S393" i="176" s="1"/>
  <c r="O432" i="176"/>
  <c r="P432" i="176" s="1"/>
  <c r="Q432" i="176" s="1"/>
  <c r="X396" i="176"/>
  <c r="Y396" i="176" s="1"/>
  <c r="Z396" i="176" s="1"/>
  <c r="O466" i="176"/>
  <c r="P466" i="176" s="1"/>
  <c r="Q466" i="176" s="1"/>
  <c r="L470" i="173"/>
  <c r="M470" i="173" s="1"/>
  <c r="P386" i="173"/>
  <c r="Q386" i="173" s="1"/>
  <c r="U326" i="176"/>
  <c r="V326" i="176" s="1"/>
  <c r="W326" i="176" s="1"/>
  <c r="N526" i="176"/>
  <c r="P456" i="176"/>
  <c r="Q456" i="176" s="1"/>
  <c r="M76" i="176"/>
  <c r="N72" i="176" s="1"/>
  <c r="Y296" i="173"/>
  <c r="Z296" i="173" s="1"/>
  <c r="AA296" i="173" s="1"/>
  <c r="AF249" i="176"/>
  <c r="AG249" i="176" s="1"/>
  <c r="AH249" i="176" s="1"/>
  <c r="AI249" i="176" s="1"/>
  <c r="AJ249" i="176" s="1"/>
  <c r="AK249" i="176" s="1"/>
  <c r="AH329" i="176"/>
  <c r="AA318" i="176"/>
  <c r="AB318" i="176" s="1"/>
  <c r="AJ331" i="176"/>
  <c r="AK331" i="176" s="1"/>
  <c r="AJ366" i="176"/>
  <c r="AK366" i="176" s="1"/>
  <c r="Z267" i="173"/>
  <c r="AA267" i="173" s="1"/>
  <c r="AB267" i="173" s="1"/>
  <c r="AC267" i="173" s="1"/>
  <c r="AD267" i="173" s="1"/>
  <c r="AB241" i="173"/>
  <c r="AF360" i="176"/>
  <c r="AG360" i="176" s="1"/>
  <c r="AH360" i="176" s="1"/>
  <c r="AI360" i="176" s="1"/>
  <c r="AJ360" i="176" s="1"/>
  <c r="AK360" i="176" s="1"/>
  <c r="AA213" i="173"/>
  <c r="P437" i="173"/>
  <c r="Q437" i="173" s="1"/>
  <c r="T429" i="176"/>
  <c r="U429" i="176" s="1"/>
  <c r="V429" i="176" s="1"/>
  <c r="W429" i="176" s="1"/>
  <c r="S434" i="176"/>
  <c r="T434" i="176" s="1"/>
  <c r="S359" i="173"/>
  <c r="N441" i="173"/>
  <c r="X285" i="176"/>
  <c r="Q408" i="173"/>
  <c r="R408" i="173" s="1"/>
  <c r="Y317" i="176"/>
  <c r="Z317" i="176" s="1"/>
  <c r="S458" i="176"/>
  <c r="T458" i="176" s="1"/>
  <c r="U458" i="176" s="1"/>
  <c r="V458" i="176" s="1"/>
  <c r="N492" i="176"/>
  <c r="O492" i="176" s="1"/>
  <c r="P492" i="176" s="1"/>
  <c r="O470" i="176"/>
  <c r="O70" i="173"/>
  <c r="P66" i="173" s="1"/>
  <c r="P70" i="173" s="1"/>
  <c r="Q66" i="173" s="1"/>
  <c r="AF362" i="176"/>
  <c r="AG362" i="176" s="1"/>
  <c r="AH362" i="176" s="1"/>
  <c r="V217" i="176"/>
  <c r="P412" i="173"/>
  <c r="AD219" i="176"/>
  <c r="AE219" i="176" s="1"/>
  <c r="AF219" i="176" s="1"/>
  <c r="AG219" i="176" s="1"/>
  <c r="AC275" i="173"/>
  <c r="AD275" i="173" s="1"/>
  <c r="W388" i="176"/>
  <c r="X388" i="176" s="1"/>
  <c r="Y388" i="176" s="1"/>
  <c r="Z388" i="176" s="1"/>
  <c r="AA388" i="176" s="1"/>
  <c r="AB388" i="176" s="1"/>
  <c r="AC388" i="176" s="1"/>
  <c r="AD388" i="176" s="1"/>
  <c r="AE388" i="176" s="1"/>
  <c r="AF388" i="176" s="1"/>
  <c r="AG388" i="176" s="1"/>
  <c r="AH388" i="176" s="1"/>
  <c r="AI388" i="176" s="1"/>
  <c r="AJ388" i="176" s="1"/>
  <c r="AK388" i="176" s="1"/>
  <c r="AA427" i="176"/>
  <c r="AB427" i="176" s="1"/>
  <c r="AC427" i="176" s="1"/>
  <c r="AG254" i="176"/>
  <c r="AH254" i="176" s="1"/>
  <c r="AI254" i="176" s="1"/>
  <c r="AJ254" i="176" s="1"/>
  <c r="AK254" i="176" s="1"/>
  <c r="AD395" i="176"/>
  <c r="AE395" i="176" s="1"/>
  <c r="AF395" i="176" s="1"/>
  <c r="AG395" i="176" s="1"/>
  <c r="AA212" i="173"/>
  <c r="AB212" i="173" s="1"/>
  <c r="AC212" i="173" s="1"/>
  <c r="AD212" i="173" s="1"/>
  <c r="U351" i="176"/>
  <c r="V351" i="176" s="1"/>
  <c r="W351" i="176" s="1"/>
  <c r="AK284" i="176"/>
  <c r="R428" i="176"/>
  <c r="L532" i="176"/>
  <c r="O387" i="173"/>
  <c r="N491" i="176"/>
  <c r="O491" i="176" s="1"/>
  <c r="R433" i="176"/>
  <c r="S433" i="176" s="1"/>
  <c r="T433" i="176" s="1"/>
  <c r="U433" i="176" s="1"/>
  <c r="V433" i="176" s="1"/>
  <c r="W433" i="176" s="1"/>
  <c r="X433" i="176" s="1"/>
  <c r="Y433" i="176" s="1"/>
  <c r="Z433" i="176" s="1"/>
  <c r="AA433" i="176" s="1"/>
  <c r="AB433" i="176" s="1"/>
  <c r="AC433" i="176" s="1"/>
  <c r="AD433" i="176" s="1"/>
  <c r="AE433" i="176" s="1"/>
  <c r="AF433" i="176" s="1"/>
  <c r="L530" i="176"/>
  <c r="J499" i="173"/>
  <c r="U467" i="176"/>
  <c r="V467" i="176" s="1"/>
  <c r="AA271" i="173"/>
  <c r="Q497" i="176"/>
  <c r="R497" i="176" s="1"/>
  <c r="S497" i="176" s="1"/>
  <c r="L443" i="173"/>
  <c r="M495" i="176"/>
  <c r="N495" i="176" s="1"/>
  <c r="S382" i="173"/>
  <c r="M389" i="173"/>
  <c r="M80" i="173" s="1"/>
  <c r="M81" i="173" s="1"/>
  <c r="T331" i="173"/>
  <c r="J598" i="176"/>
  <c r="K598" i="176" s="1"/>
  <c r="L538" i="176"/>
  <c r="M538" i="176" s="1"/>
  <c r="N466" i="173"/>
  <c r="P389" i="176"/>
  <c r="Q389" i="176" s="1"/>
  <c r="R389" i="176" s="1"/>
  <c r="S389" i="176" s="1"/>
  <c r="T389" i="176" s="1"/>
  <c r="U389" i="176" s="1"/>
  <c r="V389" i="176" s="1"/>
  <c r="W389" i="176" s="1"/>
  <c r="S425" i="176"/>
  <c r="N503" i="176"/>
  <c r="P421" i="176"/>
  <c r="Q421" i="176" s="1"/>
  <c r="R421" i="176" s="1"/>
  <c r="S421" i="176" s="1"/>
  <c r="T421" i="176" s="1"/>
  <c r="AA328" i="173"/>
  <c r="AB328" i="173" s="1"/>
  <c r="Q386" i="176"/>
  <c r="R381" i="173"/>
  <c r="S381" i="173" s="1"/>
  <c r="T381" i="173" s="1"/>
  <c r="U381" i="173" s="1"/>
  <c r="V381" i="173" s="1"/>
  <c r="M442" i="173"/>
  <c r="M572" i="176"/>
  <c r="N572" i="176" s="1"/>
  <c r="U355" i="173"/>
  <c r="P416" i="173"/>
  <c r="Q416" i="173" s="1"/>
  <c r="R374" i="173"/>
  <c r="S374" i="173" s="1"/>
  <c r="J568" i="176"/>
  <c r="K568" i="176" s="1"/>
  <c r="L569" i="176"/>
  <c r="O506" i="176"/>
  <c r="P506" i="176" s="1"/>
  <c r="J563" i="176"/>
  <c r="K563" i="176" s="1"/>
  <c r="L527" i="176"/>
  <c r="M527" i="176" s="1"/>
  <c r="S394" i="176"/>
  <c r="T394" i="176" s="1"/>
  <c r="U394" i="176" s="1"/>
  <c r="V394" i="176" s="1"/>
  <c r="W394" i="176" s="1"/>
  <c r="X394" i="176" s="1"/>
  <c r="Y394" i="176" s="1"/>
  <c r="Z394" i="176" s="1"/>
  <c r="AA394" i="176" s="1"/>
  <c r="AB394" i="176" s="1"/>
  <c r="T354" i="173"/>
  <c r="X327" i="173"/>
  <c r="K542" i="176"/>
  <c r="Z300" i="173"/>
  <c r="AA300" i="173" s="1"/>
  <c r="AB300" i="173" s="1"/>
  <c r="AC300" i="173" s="1"/>
  <c r="L465" i="173"/>
  <c r="S388" i="173"/>
  <c r="T388" i="173" s="1"/>
  <c r="U388" i="173" s="1"/>
  <c r="V388" i="173" s="1"/>
  <c r="W388" i="173" s="1"/>
  <c r="X388" i="173" s="1"/>
  <c r="Y388" i="173" s="1"/>
  <c r="Z388" i="173" s="1"/>
  <c r="AA388" i="173" s="1"/>
  <c r="AB388" i="173" s="1"/>
  <c r="AC388" i="173" s="1"/>
  <c r="S367" i="176"/>
  <c r="T367" i="176" s="1"/>
  <c r="U367" i="176" s="1"/>
  <c r="V367" i="176" s="1"/>
  <c r="W367" i="176" s="1"/>
  <c r="X367" i="176" s="1"/>
  <c r="Y367" i="176" s="1"/>
  <c r="Z367" i="176" s="1"/>
  <c r="AA367" i="176" s="1"/>
  <c r="AB367" i="176" s="1"/>
  <c r="AC367" i="176" s="1"/>
  <c r="AD367" i="176" s="1"/>
  <c r="AE367" i="176" s="1"/>
  <c r="AF367" i="176" s="1"/>
  <c r="AG367" i="176" s="1"/>
  <c r="AH367" i="176" s="1"/>
  <c r="AI367" i="176" s="1"/>
  <c r="AJ367" i="176" s="1"/>
  <c r="V325" i="176"/>
  <c r="M466" i="173"/>
  <c r="M439" i="173"/>
  <c r="Q402" i="176"/>
  <c r="P463" i="176"/>
  <c r="Q463" i="176" s="1"/>
  <c r="T392" i="176"/>
  <c r="O411" i="173"/>
  <c r="AD332" i="173"/>
  <c r="P440" i="173"/>
  <c r="Z211" i="176"/>
  <c r="S243" i="173"/>
  <c r="T243" i="173" s="1"/>
  <c r="U243" i="173" s="1"/>
  <c r="V243" i="173" s="1"/>
  <c r="W243" i="173" s="1"/>
  <c r="X243" i="173" s="1"/>
  <c r="Y243" i="173" s="1"/>
  <c r="Z243" i="173" s="1"/>
  <c r="AA243" i="173" s="1"/>
  <c r="R249" i="173"/>
  <c r="R50" i="173" s="1"/>
  <c r="R52" i="173" s="1"/>
  <c r="S48" i="173" s="1"/>
  <c r="U409" i="173"/>
  <c r="V409" i="173" s="1"/>
  <c r="AB319" i="176"/>
  <c r="AC319" i="176" s="1"/>
  <c r="AD319" i="176" s="1"/>
  <c r="AE319" i="176" s="1"/>
  <c r="AF319" i="176" s="1"/>
  <c r="J491" i="173"/>
  <c r="J575" i="176"/>
  <c r="K575" i="176" s="1"/>
  <c r="O502" i="176"/>
  <c r="P410" i="173"/>
  <c r="X303" i="173"/>
  <c r="L576" i="176"/>
  <c r="S297" i="173"/>
  <c r="O413" i="173"/>
  <c r="AH364" i="176"/>
  <c r="AI364" i="176" s="1"/>
  <c r="AJ364" i="176" s="1"/>
  <c r="AK364" i="176" s="1"/>
  <c r="N460" i="176"/>
  <c r="Q423" i="176"/>
  <c r="K498" i="173"/>
  <c r="L498" i="173" s="1"/>
  <c r="P472" i="176"/>
  <c r="Q472" i="176" s="1"/>
  <c r="O469" i="176"/>
  <c r="P469" i="176" s="1"/>
  <c r="R352" i="176"/>
  <c r="J597" i="176"/>
  <c r="T304" i="173"/>
  <c r="U304" i="173" s="1"/>
  <c r="V304" i="173" s="1"/>
  <c r="W304" i="173" s="1"/>
  <c r="X304" i="173" s="1"/>
  <c r="Y304" i="173" s="1"/>
  <c r="Z304" i="173" s="1"/>
  <c r="AA304" i="173" s="1"/>
  <c r="AB304" i="173" s="1"/>
  <c r="AC304" i="173" s="1"/>
  <c r="Q462" i="176"/>
  <c r="R462" i="176" s="1"/>
  <c r="J561" i="176"/>
  <c r="K561" i="176" s="1"/>
  <c r="O407" i="173"/>
  <c r="P407" i="173" s="1"/>
  <c r="P436" i="173"/>
  <c r="R426" i="176"/>
  <c r="P507" i="176"/>
  <c r="J519" i="173"/>
  <c r="L498" i="176"/>
  <c r="T354" i="176"/>
  <c r="U354" i="176" s="1"/>
  <c r="V354" i="176" s="1"/>
  <c r="W354" i="176" s="1"/>
  <c r="X354" i="176" s="1"/>
  <c r="X248" i="173"/>
  <c r="Y248" i="173" s="1"/>
  <c r="Z248" i="173" s="1"/>
  <c r="AA248" i="173" s="1"/>
  <c r="AB248" i="173" s="1"/>
  <c r="AC248" i="173" s="1"/>
  <c r="AD248" i="173" s="1"/>
  <c r="Q353" i="176"/>
  <c r="R353" i="176" s="1"/>
  <c r="S353" i="176" s="1"/>
  <c r="T353" i="176" s="1"/>
  <c r="U353" i="176" s="1"/>
  <c r="V353" i="176" s="1"/>
  <c r="Q435" i="176"/>
  <c r="R435" i="176" s="1"/>
  <c r="S435" i="176" s="1"/>
  <c r="T435" i="176" s="1"/>
  <c r="U435" i="176" s="1"/>
  <c r="V435" i="176" s="1"/>
  <c r="W435" i="176" s="1"/>
  <c r="X435" i="176" s="1"/>
  <c r="Y435" i="176" s="1"/>
  <c r="Z435" i="176" s="1"/>
  <c r="Q401" i="176"/>
  <c r="R401" i="176" s="1"/>
  <c r="S401" i="176" s="1"/>
  <c r="T401" i="176" s="1"/>
  <c r="U401" i="176" s="1"/>
  <c r="V401" i="176" s="1"/>
  <c r="W401" i="176" s="1"/>
  <c r="X401" i="176" s="1"/>
  <c r="Y401" i="176" s="1"/>
  <c r="Z401" i="176" s="1"/>
  <c r="AA401" i="176" s="1"/>
  <c r="AB401" i="176" s="1"/>
  <c r="AC401" i="176" s="1"/>
  <c r="AD401" i="176" s="1"/>
  <c r="AE401" i="176" s="1"/>
  <c r="AF401" i="176" s="1"/>
  <c r="AG401" i="176" s="1"/>
  <c r="AH401" i="176" s="1"/>
  <c r="AI401" i="176" s="1"/>
  <c r="AJ401" i="176" s="1"/>
  <c r="AK401" i="176" s="1"/>
  <c r="J495" i="173"/>
  <c r="J602" i="176"/>
  <c r="L468" i="173"/>
  <c r="M468" i="173" s="1"/>
  <c r="S295" i="173"/>
  <c r="T295" i="173" s="1"/>
  <c r="U295" i="173" s="1"/>
  <c r="V295" i="173" s="1"/>
  <c r="W295" i="173" s="1"/>
  <c r="Q468" i="176"/>
  <c r="R468" i="176" s="1"/>
  <c r="T352" i="173"/>
  <c r="J494" i="173"/>
  <c r="K494" i="173" s="1"/>
  <c r="J606" i="176"/>
  <c r="K606" i="176" s="1"/>
  <c r="P424" i="176"/>
  <c r="Q424" i="176" s="1"/>
  <c r="R424" i="176" s="1"/>
  <c r="S424" i="176" s="1"/>
  <c r="N496" i="176"/>
  <c r="AG363" i="176"/>
  <c r="AH363" i="176" s="1"/>
  <c r="AI363" i="176" s="1"/>
  <c r="P353" i="173"/>
  <c r="U247" i="176"/>
  <c r="V422" i="176"/>
  <c r="U326" i="173"/>
  <c r="V326" i="173" s="1"/>
  <c r="W326" i="173" s="1"/>
  <c r="P465" i="176"/>
  <c r="AI365" i="176"/>
  <c r="AJ365" i="176" s="1"/>
  <c r="AK365" i="176" s="1"/>
  <c r="M504" i="176"/>
  <c r="K565" i="176"/>
  <c r="M540" i="176"/>
  <c r="S380" i="173"/>
  <c r="L531" i="176"/>
  <c r="W286" i="176"/>
  <c r="X286" i="176" s="1"/>
  <c r="Y286" i="176" s="1"/>
  <c r="Z286" i="176" s="1"/>
  <c r="AA286" i="176" s="1"/>
  <c r="AB286" i="176" s="1"/>
  <c r="M500" i="176"/>
  <c r="N500" i="176"/>
  <c r="N501" i="176"/>
  <c r="O501" i="176" s="1"/>
  <c r="AD252" i="176"/>
  <c r="AE252" i="176" s="1"/>
  <c r="AF252" i="176" s="1"/>
  <c r="N534" i="176"/>
  <c r="O534" i="176" s="1"/>
  <c r="Q436" i="176"/>
  <c r="V213" i="176"/>
  <c r="W213" i="176" s="1"/>
  <c r="M529" i="176"/>
  <c r="Q459" i="176"/>
  <c r="P493" i="176"/>
  <c r="Q493" i="176" s="1"/>
  <c r="P471" i="176"/>
  <c r="T324" i="176"/>
  <c r="Y214" i="173"/>
  <c r="Z214" i="173" s="1"/>
  <c r="AA214" i="173" s="1"/>
  <c r="AB214" i="173" s="1"/>
  <c r="AC214" i="173" s="1"/>
  <c r="S323" i="173"/>
  <c r="R391" i="176"/>
  <c r="V240" i="173"/>
  <c r="N464" i="176"/>
  <c r="K564" i="176"/>
  <c r="L564" i="176" s="1"/>
  <c r="M528" i="176"/>
  <c r="U398" i="176"/>
  <c r="V398" i="176" s="1"/>
  <c r="W398" i="176" s="1"/>
  <c r="X398" i="176" s="1"/>
  <c r="Y398" i="176" s="1"/>
  <c r="S299" i="173"/>
  <c r="AC302" i="173"/>
  <c r="J562" i="176"/>
  <c r="V320" i="176"/>
  <c r="M472" i="173"/>
  <c r="N472" i="173" s="1"/>
  <c r="P461" i="176"/>
  <c r="V291" i="176"/>
  <c r="J492" i="173"/>
  <c r="K492" i="173" s="1"/>
  <c r="V269" i="173"/>
  <c r="W269" i="173" s="1"/>
  <c r="X269" i="173" s="1"/>
  <c r="P435" i="173"/>
  <c r="K497" i="173"/>
  <c r="L497" i="173" s="1"/>
  <c r="N467" i="173"/>
  <c r="R414" i="173"/>
  <c r="S414" i="173" s="1"/>
  <c r="T414" i="173" s="1"/>
  <c r="U414" i="173" s="1"/>
  <c r="V414" i="173" s="1"/>
  <c r="W414" i="173" s="1"/>
  <c r="V385" i="173"/>
  <c r="O430" i="176"/>
  <c r="P430" i="176"/>
  <c r="Z257" i="176"/>
  <c r="AA257" i="176" s="1"/>
  <c r="AB257" i="176" s="1"/>
  <c r="AC257" i="176" s="1"/>
  <c r="AD257" i="176" s="1"/>
  <c r="AE257" i="176" s="1"/>
  <c r="AF257" i="176" s="1"/>
  <c r="L539" i="176"/>
  <c r="Y330" i="173"/>
  <c r="Q329" i="173"/>
  <c r="Q333" i="173" s="1"/>
  <c r="Q68" i="173" s="1"/>
  <c r="Q69" i="173" s="1"/>
  <c r="U245" i="173"/>
  <c r="N469" i="173"/>
  <c r="R356" i="176"/>
  <c r="J605" i="176"/>
  <c r="K605" i="176" s="1"/>
  <c r="L500" i="173"/>
  <c r="M500" i="173" s="1"/>
  <c r="T384" i="173"/>
  <c r="U384" i="173" s="1"/>
  <c r="V384" i="173" s="1"/>
  <c r="W384" i="173" s="1"/>
  <c r="X384" i="173" s="1"/>
  <c r="Y384" i="173" s="1"/>
  <c r="AA321" i="176"/>
  <c r="V289" i="176"/>
  <c r="U268" i="173"/>
  <c r="O379" i="173"/>
  <c r="T253" i="176"/>
  <c r="W216" i="176"/>
  <c r="T387" i="176"/>
  <c r="V351" i="173"/>
  <c r="S358" i="173"/>
  <c r="T358" i="173" s="1"/>
  <c r="U358" i="173" s="1"/>
  <c r="V358" i="173" s="1"/>
  <c r="W358" i="173" s="1"/>
  <c r="X358" i="173" s="1"/>
  <c r="Y358" i="173" s="1"/>
  <c r="Z358" i="173" s="1"/>
  <c r="AA358" i="173" s="1"/>
  <c r="S399" i="176"/>
  <c r="T399" i="176" s="1"/>
  <c r="U399" i="176" s="1"/>
  <c r="V399" i="176" s="1"/>
  <c r="W399" i="176" s="1"/>
  <c r="U270" i="173"/>
  <c r="P505" i="176"/>
  <c r="S287" i="176"/>
  <c r="T282" i="176"/>
  <c r="J601" i="176"/>
  <c r="O444" i="173"/>
  <c r="U246" i="173"/>
  <c r="Q358" i="176"/>
  <c r="Q415" i="173"/>
  <c r="Q437" i="176"/>
  <c r="J526" i="173"/>
  <c r="K526" i="173" s="1"/>
  <c r="R499" i="176"/>
  <c r="S499" i="176" s="1"/>
  <c r="T499" i="176" s="1"/>
  <c r="S322" i="176"/>
  <c r="N457" i="176"/>
  <c r="O457" i="176" s="1"/>
  <c r="P457" i="176" s="1"/>
  <c r="P397" i="176"/>
  <c r="Q383" i="173"/>
  <c r="N494" i="176"/>
  <c r="T360" i="173"/>
  <c r="U360" i="173" s="1"/>
  <c r="V360" i="173" s="1"/>
  <c r="W360" i="173" s="1"/>
  <c r="U283" i="176"/>
  <c r="T248" i="176"/>
  <c r="Y288" i="173"/>
  <c r="Z288" i="173" s="1"/>
  <c r="AA288" i="173" s="1"/>
  <c r="AB288" i="173" s="1"/>
  <c r="AC288" i="173" s="1"/>
  <c r="AD288" i="173" s="1"/>
  <c r="L464" i="173"/>
  <c r="L535" i="176"/>
  <c r="Z414" i="176"/>
  <c r="AA414" i="176" s="1"/>
  <c r="AB414" i="176" s="1"/>
  <c r="AC414" i="176" s="1"/>
  <c r="AD414" i="176" s="1"/>
  <c r="AE414" i="176" s="1"/>
  <c r="AF414" i="176" s="1"/>
  <c r="AG414" i="176" s="1"/>
  <c r="AH414" i="176" s="1"/>
  <c r="AI414" i="176" s="1"/>
  <c r="AJ414" i="176" s="1"/>
  <c r="AK414" i="176" s="1"/>
  <c r="M573" i="176"/>
  <c r="N573" i="176" s="1"/>
  <c r="K567" i="176"/>
  <c r="J522" i="173"/>
  <c r="K522" i="173" s="1"/>
  <c r="L522" i="173" s="1"/>
  <c r="L537" i="176"/>
  <c r="L566" i="176"/>
  <c r="M438" i="173"/>
  <c r="N438" i="173" s="1"/>
  <c r="L533" i="176"/>
  <c r="L570" i="176"/>
  <c r="M570" i="176"/>
  <c r="L577" i="176"/>
  <c r="M577" i="176" s="1"/>
  <c r="J599" i="176"/>
  <c r="K574" i="176"/>
  <c r="J612" i="176"/>
  <c r="L463" i="173"/>
  <c r="M463" i="173"/>
  <c r="N463" i="173" s="1"/>
  <c r="K524" i="173"/>
  <c r="J604" i="176"/>
  <c r="L536" i="176"/>
  <c r="M536" i="176" s="1"/>
  <c r="N536" i="176" s="1"/>
  <c r="J525" i="173"/>
  <c r="J596" i="176"/>
  <c r="J610" i="176"/>
  <c r="L471" i="173"/>
  <c r="M471" i="173" s="1"/>
  <c r="L493" i="173"/>
  <c r="M493" i="173" s="1"/>
  <c r="K571" i="176"/>
  <c r="J609" i="176"/>
  <c r="K600" i="176"/>
  <c r="J607" i="176"/>
  <c r="J520" i="173"/>
  <c r="L513" i="173"/>
  <c r="M513" i="173" s="1"/>
  <c r="N513" i="173" s="1"/>
  <c r="O513" i="173" s="1"/>
  <c r="P513" i="173" s="1"/>
  <c r="K496" i="173"/>
  <c r="J608" i="176"/>
  <c r="K499" i="173"/>
  <c r="L499" i="173" s="1"/>
  <c r="K597" i="176"/>
  <c r="K491" i="173"/>
  <c r="L491" i="173" s="1"/>
  <c r="I528" i="173"/>
  <c r="I523" i="173"/>
  <c r="J523" i="173" s="1"/>
  <c r="I527" i="173"/>
  <c r="I603" i="176"/>
  <c r="I611" i="176"/>
  <c r="J611" i="176" s="1"/>
  <c r="I521" i="173"/>
  <c r="Y265" i="173"/>
  <c r="Z265" i="173" s="1"/>
  <c r="AA265" i="173" s="1"/>
  <c r="AB265" i="173" s="1"/>
  <c r="AC265" i="173" s="1"/>
  <c r="AD265" i="173" s="1"/>
  <c r="M438" i="176"/>
  <c r="M80" i="176" s="1"/>
  <c r="M81" i="176" s="1"/>
  <c r="M560" i="176"/>
  <c r="N560" i="176" s="1"/>
  <c r="L82" i="173"/>
  <c r="M78" i="173" s="1"/>
  <c r="AD208" i="176"/>
  <c r="AE208" i="176" s="1"/>
  <c r="AF208" i="176" s="1"/>
  <c r="AG208" i="176" s="1"/>
  <c r="AH208" i="176" s="1"/>
  <c r="R400" i="173"/>
  <c r="S400" i="173" s="1"/>
  <c r="R378" i="173"/>
  <c r="S378" i="173" s="1"/>
  <c r="P431" i="173"/>
  <c r="Q431" i="173" s="1"/>
  <c r="R431" i="173" s="1"/>
  <c r="S431" i="173" s="1"/>
  <c r="U377" i="173"/>
  <c r="V377" i="173" s="1"/>
  <c r="W377" i="173" s="1"/>
  <c r="R268" i="176"/>
  <c r="R298" i="176" s="1"/>
  <c r="R56" i="176" s="1"/>
  <c r="R57" i="176" s="1"/>
  <c r="N429" i="173"/>
  <c r="O429" i="173" s="1"/>
  <c r="P429" i="173" s="1"/>
  <c r="Q429" i="173" s="1"/>
  <c r="M456" i="173"/>
  <c r="N456" i="173" s="1"/>
  <c r="O485" i="176"/>
  <c r="P485" i="176" s="1"/>
  <c r="Q58" i="176"/>
  <c r="R54" i="176" s="1"/>
  <c r="U453" i="176"/>
  <c r="V453" i="176" s="1"/>
  <c r="W453" i="176" s="1"/>
  <c r="L595" i="176"/>
  <c r="M595" i="176" s="1"/>
  <c r="X346" i="176"/>
  <c r="Y346" i="176" s="1"/>
  <c r="Z346" i="176" s="1"/>
  <c r="AA346" i="176" s="1"/>
  <c r="AB346" i="176" s="1"/>
  <c r="AC346" i="176" s="1"/>
  <c r="AD346" i="176" s="1"/>
  <c r="AE346" i="176" s="1"/>
  <c r="R419" i="176"/>
  <c r="L591" i="176"/>
  <c r="M591" i="176" s="1"/>
  <c r="R384" i="176"/>
  <c r="S384" i="176" s="1"/>
  <c r="N402" i="173"/>
  <c r="O402" i="173" s="1"/>
  <c r="T312" i="176"/>
  <c r="K490" i="173"/>
  <c r="L490" i="173" s="1"/>
  <c r="J592" i="176"/>
  <c r="W290" i="173"/>
  <c r="Q375" i="173"/>
  <c r="R375" i="173" s="1"/>
  <c r="AC382" i="176"/>
  <c r="W280" i="176"/>
  <c r="X280" i="176" s="1"/>
  <c r="Y280" i="176" s="1"/>
  <c r="Z280" i="176" s="1"/>
  <c r="AA280" i="176" s="1"/>
  <c r="AB280" i="176" s="1"/>
  <c r="AC280" i="176" s="1"/>
  <c r="AD280" i="176" s="1"/>
  <c r="AE280" i="176" s="1"/>
  <c r="AF280" i="176" s="1"/>
  <c r="AG280" i="176" s="1"/>
  <c r="AH280" i="176" s="1"/>
  <c r="AI280" i="176" s="1"/>
  <c r="AJ280" i="176" s="1"/>
  <c r="AK280" i="176" s="1"/>
  <c r="AJ345" i="176"/>
  <c r="AK345" i="176" s="1"/>
  <c r="O423" i="173"/>
  <c r="P423" i="173" s="1"/>
  <c r="Q423" i="173" s="1"/>
  <c r="R423" i="173" s="1"/>
  <c r="S423" i="173" s="1"/>
  <c r="T423" i="173" s="1"/>
  <c r="U423" i="173" s="1"/>
  <c r="V423" i="173" s="1"/>
  <c r="W423" i="173" s="1"/>
  <c r="X423" i="173" s="1"/>
  <c r="Y423" i="173" s="1"/>
  <c r="Z423" i="173" s="1"/>
  <c r="AA423" i="173" s="1"/>
  <c r="AB423" i="173" s="1"/>
  <c r="AC423" i="173" s="1"/>
  <c r="AD423" i="173" s="1"/>
  <c r="U372" i="173"/>
  <c r="V372" i="173" s="1"/>
  <c r="W372" i="173" s="1"/>
  <c r="X372" i="173" s="1"/>
  <c r="Y372" i="173" s="1"/>
  <c r="Z372" i="173" s="1"/>
  <c r="AA372" i="173" s="1"/>
  <c r="AB372" i="173" s="1"/>
  <c r="AC372" i="173" s="1"/>
  <c r="AD372" i="173" s="1"/>
  <c r="V292" i="173"/>
  <c r="W292" i="173" s="1"/>
  <c r="P484" i="176"/>
  <c r="Q484" i="176" s="1"/>
  <c r="O521" i="176"/>
  <c r="P521" i="176" s="1"/>
  <c r="Q521" i="176" s="1"/>
  <c r="M458" i="173"/>
  <c r="N458" i="173" s="1"/>
  <c r="M519" i="176"/>
  <c r="N519" i="176" s="1"/>
  <c r="O519" i="176" s="1"/>
  <c r="P519" i="176" s="1"/>
  <c r="R401" i="173"/>
  <c r="T289" i="173"/>
  <c r="K486" i="173"/>
  <c r="K489" i="173"/>
  <c r="L489" i="173" s="1"/>
  <c r="Y420" i="176"/>
  <c r="Z420" i="176" s="1"/>
  <c r="AA420" i="176" s="1"/>
  <c r="AB420" i="176" s="1"/>
  <c r="AC420" i="176" s="1"/>
  <c r="AD420" i="176" s="1"/>
  <c r="AE420" i="176" s="1"/>
  <c r="AF420" i="176" s="1"/>
  <c r="AG420" i="176" s="1"/>
  <c r="AH420" i="176" s="1"/>
  <c r="AI420" i="176" s="1"/>
  <c r="AJ420" i="176" s="1"/>
  <c r="AK420" i="176" s="1"/>
  <c r="Y322" i="173"/>
  <c r="Z322" i="173" s="1"/>
  <c r="AA322" i="173" s="1"/>
  <c r="AB322" i="173" s="1"/>
  <c r="AC322" i="173" s="1"/>
  <c r="AD322" i="173" s="1"/>
  <c r="P406" i="173"/>
  <c r="Q406" i="173" s="1"/>
  <c r="R406" i="173" s="1"/>
  <c r="S406" i="173" s="1"/>
  <c r="M556" i="176"/>
  <c r="M462" i="173"/>
  <c r="J589" i="176"/>
  <c r="T455" i="176"/>
  <c r="U455" i="176" s="1"/>
  <c r="V455" i="176" s="1"/>
  <c r="L515" i="173"/>
  <c r="N459" i="173"/>
  <c r="O459" i="173" s="1"/>
  <c r="L487" i="173"/>
  <c r="M487" i="173" s="1"/>
  <c r="V321" i="173"/>
  <c r="W321" i="173" s="1"/>
  <c r="J512" i="173"/>
  <c r="K512" i="173" s="1"/>
  <c r="O454" i="176"/>
  <c r="P454" i="176" s="1"/>
  <c r="W348" i="173"/>
  <c r="X348" i="173" s="1"/>
  <c r="Y348" i="173" s="1"/>
  <c r="Z348" i="173" s="1"/>
  <c r="AA348" i="173" s="1"/>
  <c r="AB348" i="173" s="1"/>
  <c r="AC348" i="173" s="1"/>
  <c r="AD348" i="173" s="1"/>
  <c r="L518" i="173"/>
  <c r="K559" i="176"/>
  <c r="L559" i="176" s="1"/>
  <c r="L525" i="176"/>
  <c r="R381" i="176"/>
  <c r="S381" i="176" s="1"/>
  <c r="T381" i="176" s="1"/>
  <c r="U381" i="176" s="1"/>
  <c r="V381" i="176" s="1"/>
  <c r="W381" i="176" s="1"/>
  <c r="X381" i="176" s="1"/>
  <c r="Y381" i="176" s="1"/>
  <c r="Z381" i="176" s="1"/>
  <c r="AA381" i="176" s="1"/>
  <c r="AB381" i="176" s="1"/>
  <c r="AC381" i="176" s="1"/>
  <c r="AD381" i="176" s="1"/>
  <c r="AE381" i="176" s="1"/>
  <c r="AF381" i="176" s="1"/>
  <c r="AG381" i="176" s="1"/>
  <c r="AH381" i="176" s="1"/>
  <c r="AI381" i="176" s="1"/>
  <c r="AJ381" i="176" s="1"/>
  <c r="AK381" i="176" s="1"/>
  <c r="N489" i="176"/>
  <c r="P373" i="173"/>
  <c r="Q373" i="173" s="1"/>
  <c r="M490" i="176"/>
  <c r="N490" i="176" s="1"/>
  <c r="O490" i="176" s="1"/>
  <c r="P490" i="176" s="1"/>
  <c r="Q490" i="176" s="1"/>
  <c r="R490" i="176" s="1"/>
  <c r="S490" i="176" s="1"/>
  <c r="T490" i="176" s="1"/>
  <c r="U490" i="176" s="1"/>
  <c r="K593" i="176"/>
  <c r="K555" i="176"/>
  <c r="L432" i="173"/>
  <c r="R488" i="176"/>
  <c r="Q385" i="176"/>
  <c r="I594" i="176"/>
  <c r="J594" i="176" s="1"/>
  <c r="J485" i="173"/>
  <c r="Q376" i="173"/>
  <c r="R376" i="173" s="1"/>
  <c r="S376" i="173" s="1"/>
  <c r="R344" i="173"/>
  <c r="S344" i="173" s="1"/>
  <c r="T344" i="173" s="1"/>
  <c r="L460" i="173"/>
  <c r="M460" i="173" s="1"/>
  <c r="J516" i="173"/>
  <c r="M404" i="173"/>
  <c r="N404" i="173" s="1"/>
  <c r="O404" i="173" s="1"/>
  <c r="Q347" i="173"/>
  <c r="R347" i="173" s="1"/>
  <c r="S347" i="173" s="1"/>
  <c r="T347" i="173" s="1"/>
  <c r="Z241" i="176"/>
  <c r="AA241" i="176" s="1"/>
  <c r="AB241" i="176" s="1"/>
  <c r="AC241" i="176" s="1"/>
  <c r="AD241" i="176" s="1"/>
  <c r="AE241" i="176" s="1"/>
  <c r="AF241" i="176" s="1"/>
  <c r="AG241" i="176" s="1"/>
  <c r="AH241" i="176" s="1"/>
  <c r="AI241" i="176" s="1"/>
  <c r="AJ241" i="176" s="1"/>
  <c r="AK241" i="176" s="1"/>
  <c r="L523" i="176"/>
  <c r="L517" i="173"/>
  <c r="M517" i="173" s="1"/>
  <c r="N517" i="173" s="1"/>
  <c r="N430" i="173"/>
  <c r="O430" i="173" s="1"/>
  <c r="N486" i="176"/>
  <c r="O486" i="176" s="1"/>
  <c r="L520" i="176"/>
  <c r="M520" i="176" s="1"/>
  <c r="Q383" i="176"/>
  <c r="R383" i="176" s="1"/>
  <c r="S383" i="176" s="1"/>
  <c r="T383" i="176" s="1"/>
  <c r="U319" i="173"/>
  <c r="V319" i="173" s="1"/>
  <c r="W319" i="173" s="1"/>
  <c r="X319" i="173" s="1"/>
  <c r="Y319" i="173" s="1"/>
  <c r="Z319" i="173" s="1"/>
  <c r="AA319" i="173" s="1"/>
  <c r="AB319" i="173" s="1"/>
  <c r="AC319" i="173" s="1"/>
  <c r="AD319" i="173" s="1"/>
  <c r="N434" i="173"/>
  <c r="O434" i="173" s="1"/>
  <c r="P434" i="173" s="1"/>
  <c r="L524" i="176"/>
  <c r="T415" i="176"/>
  <c r="U415" i="176" s="1"/>
  <c r="V415" i="176" s="1"/>
  <c r="W415" i="176" s="1"/>
  <c r="X415" i="176" s="1"/>
  <c r="L557" i="176"/>
  <c r="M557" i="176" s="1"/>
  <c r="N557" i="176" s="1"/>
  <c r="O557" i="176" s="1"/>
  <c r="M457" i="173"/>
  <c r="N457" i="173" s="1"/>
  <c r="AE417" i="176"/>
  <c r="AF417" i="176" s="1"/>
  <c r="AG417" i="176" s="1"/>
  <c r="AH417" i="176" s="1"/>
  <c r="AI417" i="176" s="1"/>
  <c r="AJ417" i="176" s="1"/>
  <c r="AK417" i="176" s="1"/>
  <c r="Q345" i="173"/>
  <c r="R345" i="173" s="1"/>
  <c r="S345" i="173" s="1"/>
  <c r="M428" i="173"/>
  <c r="N428" i="173" s="1"/>
  <c r="O428" i="173" s="1"/>
  <c r="K554" i="176"/>
  <c r="L554" i="176" s="1"/>
  <c r="M554" i="176" s="1"/>
  <c r="M488" i="173"/>
  <c r="Z235" i="173"/>
  <c r="AA235" i="173" s="1"/>
  <c r="AB235" i="173" s="1"/>
  <c r="AC235" i="173" s="1"/>
  <c r="AD235" i="173" s="1"/>
  <c r="J514" i="173"/>
  <c r="O403" i="173"/>
  <c r="L461" i="173"/>
  <c r="T451" i="176"/>
  <c r="U451" i="176" s="1"/>
  <c r="R418" i="176"/>
  <c r="O416" i="176"/>
  <c r="P64" i="173"/>
  <c r="Q60" i="173" s="1"/>
  <c r="M433" i="173"/>
  <c r="M484" i="173"/>
  <c r="N484" i="173" s="1"/>
  <c r="O484" i="173" s="1"/>
  <c r="K445" i="173"/>
  <c r="K92" i="173" s="1"/>
  <c r="K93" i="173" s="1"/>
  <c r="W349" i="173"/>
  <c r="X349" i="173" s="1"/>
  <c r="Y349" i="173" s="1"/>
  <c r="Z349" i="173" s="1"/>
  <c r="AA349" i="173" s="1"/>
  <c r="AB349" i="173" s="1"/>
  <c r="AC349" i="173" s="1"/>
  <c r="AD349" i="173" s="1"/>
  <c r="N405" i="173"/>
  <c r="O405" i="173" s="1"/>
  <c r="L522" i="176"/>
  <c r="M487" i="176"/>
  <c r="I590" i="176"/>
  <c r="J590" i="176" s="1"/>
  <c r="K590" i="176" s="1"/>
  <c r="Z294" i="173"/>
  <c r="AA294" i="173" s="1"/>
  <c r="AB294" i="173" s="1"/>
  <c r="R350" i="173"/>
  <c r="O558" i="176"/>
  <c r="P558" i="176" s="1"/>
  <c r="Q558" i="176" s="1"/>
  <c r="R558" i="176" s="1"/>
  <c r="S558" i="176" s="1"/>
  <c r="T342" i="173"/>
  <c r="S445" i="176"/>
  <c r="T445" i="176" s="1"/>
  <c r="U445" i="176" s="1"/>
  <c r="V445" i="176" s="1"/>
  <c r="W445" i="176" s="1"/>
  <c r="X445" i="176" s="1"/>
  <c r="Y445" i="176" s="1"/>
  <c r="Z445" i="176" s="1"/>
  <c r="AA445" i="176" s="1"/>
  <c r="AB445" i="176" s="1"/>
  <c r="AC445" i="176" s="1"/>
  <c r="AD445" i="176" s="1"/>
  <c r="AE445" i="176" s="1"/>
  <c r="AF445" i="176" s="1"/>
  <c r="AG445" i="176" s="1"/>
  <c r="AH445" i="176" s="1"/>
  <c r="AI445" i="176" s="1"/>
  <c r="AJ445" i="176" s="1"/>
  <c r="AK445" i="176" s="1"/>
  <c r="J94" i="173"/>
  <c r="K90" i="173" s="1"/>
  <c r="X482" i="176"/>
  <c r="Y482" i="176" s="1"/>
  <c r="Z482" i="176" s="1"/>
  <c r="AA482" i="176" s="1"/>
  <c r="AB482" i="176" s="1"/>
  <c r="AC482" i="176" s="1"/>
  <c r="AD482" i="176" s="1"/>
  <c r="AE482" i="176" s="1"/>
  <c r="AF482" i="176" s="1"/>
  <c r="AG482" i="176" s="1"/>
  <c r="AH482" i="176" s="1"/>
  <c r="AI482" i="176" s="1"/>
  <c r="AJ482" i="176" s="1"/>
  <c r="AK482" i="176" s="1"/>
  <c r="R46" i="176"/>
  <c r="S42" i="176" s="1"/>
  <c r="N422" i="173"/>
  <c r="N427" i="173"/>
  <c r="O427" i="173" s="1"/>
  <c r="P427" i="173" s="1"/>
  <c r="Q427" i="173" s="1"/>
  <c r="R427" i="173" s="1"/>
  <c r="S427" i="173" s="1"/>
  <c r="T427" i="173" s="1"/>
  <c r="U427" i="173" s="1"/>
  <c r="V427" i="173" s="1"/>
  <c r="W427" i="173" s="1"/>
  <c r="X427" i="173" s="1"/>
  <c r="Y427" i="173" s="1"/>
  <c r="Z427" i="173" s="1"/>
  <c r="AA427" i="173" s="1"/>
  <c r="AB427" i="173" s="1"/>
  <c r="AC427" i="173" s="1"/>
  <c r="AD427" i="173" s="1"/>
  <c r="AC483" i="176"/>
  <c r="AD483" i="176" s="1"/>
  <c r="AE483" i="176" s="1"/>
  <c r="AF483" i="176" s="1"/>
  <c r="AG483" i="176" s="1"/>
  <c r="AH483" i="176" s="1"/>
  <c r="AI483" i="176" s="1"/>
  <c r="AJ483" i="176" s="1"/>
  <c r="AK483" i="176" s="1"/>
  <c r="AC377" i="176"/>
  <c r="AD377" i="176" s="1"/>
  <c r="AE377" i="176" s="1"/>
  <c r="AF377" i="176" s="1"/>
  <c r="AG377" i="176" s="1"/>
  <c r="AH377" i="176" s="1"/>
  <c r="AI377" i="176" s="1"/>
  <c r="AJ377" i="176" s="1"/>
  <c r="AK377" i="176" s="1"/>
  <c r="K88" i="176"/>
  <c r="L84" i="176" s="1"/>
  <c r="L551" i="176"/>
  <c r="M551" i="176" s="1"/>
  <c r="U479" i="176"/>
  <c r="V479" i="176" s="1"/>
  <c r="W479" i="176" s="1"/>
  <c r="X479" i="176" s="1"/>
  <c r="Y479" i="176" s="1"/>
  <c r="Z479" i="176" s="1"/>
  <c r="AA479" i="176" s="1"/>
  <c r="AB479" i="176" s="1"/>
  <c r="AC479" i="176" s="1"/>
  <c r="AD479" i="176" s="1"/>
  <c r="AE479" i="176" s="1"/>
  <c r="AF479" i="176" s="1"/>
  <c r="AG479" i="176" s="1"/>
  <c r="AH479" i="176" s="1"/>
  <c r="AI479" i="176" s="1"/>
  <c r="AJ479" i="176" s="1"/>
  <c r="AK479" i="176" s="1"/>
  <c r="R516" i="176"/>
  <c r="S516" i="176" s="1"/>
  <c r="T516" i="176" s="1"/>
  <c r="U516" i="176" s="1"/>
  <c r="V516" i="176" s="1"/>
  <c r="W516" i="176" s="1"/>
  <c r="X516" i="176" s="1"/>
  <c r="Y516" i="176" s="1"/>
  <c r="Z516" i="176" s="1"/>
  <c r="AA516" i="176" s="1"/>
  <c r="AB516" i="176" s="1"/>
  <c r="AC516" i="176" s="1"/>
  <c r="AD516" i="176" s="1"/>
  <c r="AE516" i="176" s="1"/>
  <c r="AF516" i="176" s="1"/>
  <c r="AG516" i="176" s="1"/>
  <c r="AH516" i="176" s="1"/>
  <c r="AI516" i="176" s="1"/>
  <c r="AJ516" i="176" s="1"/>
  <c r="AK516" i="176" s="1"/>
  <c r="L443" i="176"/>
  <c r="L473" i="176" s="1"/>
  <c r="L86" i="176" s="1"/>
  <c r="T46" i="173"/>
  <c r="U42" i="173" s="1"/>
  <c r="S481" i="176"/>
  <c r="T481" i="176" s="1"/>
  <c r="U481" i="176" s="1"/>
  <c r="V481" i="176" s="1"/>
  <c r="W481" i="176" s="1"/>
  <c r="X481" i="176" s="1"/>
  <c r="Y481" i="176" s="1"/>
  <c r="Z481" i="176" s="1"/>
  <c r="AA481" i="176" s="1"/>
  <c r="AB481" i="176" s="1"/>
  <c r="AC481" i="176" s="1"/>
  <c r="AD481" i="176" s="1"/>
  <c r="AE481" i="176" s="1"/>
  <c r="AF481" i="176" s="1"/>
  <c r="AG481" i="176" s="1"/>
  <c r="AH481" i="176" s="1"/>
  <c r="AI481" i="176" s="1"/>
  <c r="AJ481" i="176" s="1"/>
  <c r="AK481" i="176" s="1"/>
  <c r="O518" i="176"/>
  <c r="AB449" i="176"/>
  <c r="AC449" i="176" s="1"/>
  <c r="AD449" i="176" s="1"/>
  <c r="AE449" i="176" s="1"/>
  <c r="AF449" i="176" s="1"/>
  <c r="P480" i="176"/>
  <c r="Q480" i="176" s="1"/>
  <c r="R480" i="176" s="1"/>
  <c r="S480" i="176" s="1"/>
  <c r="T480" i="176" s="1"/>
  <c r="U480" i="176" s="1"/>
  <c r="V480" i="176" s="1"/>
  <c r="W480" i="176" s="1"/>
  <c r="X480" i="176" s="1"/>
  <c r="Y480" i="176" s="1"/>
  <c r="Z480" i="176" s="1"/>
  <c r="AA480" i="176" s="1"/>
  <c r="AB480" i="176" s="1"/>
  <c r="AC480" i="176" s="1"/>
  <c r="AD480" i="176" s="1"/>
  <c r="AE480" i="176" s="1"/>
  <c r="AF480" i="176" s="1"/>
  <c r="AG480" i="176" s="1"/>
  <c r="AH480" i="176" s="1"/>
  <c r="AI480" i="176" s="1"/>
  <c r="AJ480" i="176" s="1"/>
  <c r="AK480" i="176" s="1"/>
  <c r="K586" i="176"/>
  <c r="L586" i="176" s="1"/>
  <c r="R408" i="176"/>
  <c r="S408" i="176" s="1"/>
  <c r="J508" i="176"/>
  <c r="J92" i="176" s="1"/>
  <c r="J93" i="176" s="1"/>
  <c r="K478" i="176"/>
  <c r="P514" i="176"/>
  <c r="Q514" i="176" s="1"/>
  <c r="R514" i="176" s="1"/>
  <c r="S514" i="176" s="1"/>
  <c r="R45" i="176"/>
  <c r="AG164" i="176"/>
  <c r="AG165" i="176" s="1"/>
  <c r="AI178" i="176"/>
  <c r="AJ174" i="176" s="1"/>
  <c r="AJ176" i="176" s="1"/>
  <c r="AJ177" i="176" s="1"/>
  <c r="K584" i="176"/>
  <c r="I99" i="173"/>
  <c r="H99" i="173"/>
  <c r="H100" i="173"/>
  <c r="I96" i="173" s="1"/>
  <c r="I100" i="173" s="1"/>
  <c r="J96" i="173" s="1"/>
  <c r="M452" i="173"/>
  <c r="N452" i="173" s="1"/>
  <c r="O452" i="173" s="1"/>
  <c r="P452" i="173" s="1"/>
  <c r="AH134" i="176"/>
  <c r="J87" i="173"/>
  <c r="P426" i="173"/>
  <c r="V254" i="173"/>
  <c r="AH140" i="176"/>
  <c r="AH141" i="176" s="1"/>
  <c r="L479" i="173"/>
  <c r="M479" i="173" s="1"/>
  <c r="T231" i="173"/>
  <c r="H578" i="176"/>
  <c r="H104" i="176" s="1"/>
  <c r="I548" i="176"/>
  <c r="I578" i="176" s="1"/>
  <c r="I104" i="176" s="1"/>
  <c r="AG160" i="176"/>
  <c r="AH156" i="176" s="1"/>
  <c r="S263" i="176"/>
  <c r="S50" i="176" s="1"/>
  <c r="S51" i="176" s="1"/>
  <c r="T233" i="176"/>
  <c r="M76" i="173"/>
  <c r="N72" i="173" s="1"/>
  <c r="M75" i="173"/>
  <c r="S228" i="176"/>
  <c r="S44" i="176" s="1"/>
  <c r="T198" i="176"/>
  <c r="AI128" i="176"/>
  <c r="AI130" i="176" s="1"/>
  <c r="AJ126" i="176" s="1"/>
  <c r="O425" i="173"/>
  <c r="P425" i="173" s="1"/>
  <c r="M588" i="176"/>
  <c r="N588" i="176" s="1"/>
  <c r="O409" i="176"/>
  <c r="N438" i="176"/>
  <c r="N80" i="176" s="1"/>
  <c r="M454" i="173"/>
  <c r="N454" i="173" s="1"/>
  <c r="K482" i="173"/>
  <c r="Q515" i="176"/>
  <c r="R515" i="176" s="1"/>
  <c r="S515" i="176" s="1"/>
  <c r="T515" i="176" s="1"/>
  <c r="U515" i="176" s="1"/>
  <c r="V515" i="176" s="1"/>
  <c r="W515" i="176" s="1"/>
  <c r="X515" i="176" s="1"/>
  <c r="Y515" i="176" s="1"/>
  <c r="Z515" i="176" s="1"/>
  <c r="AA515" i="176" s="1"/>
  <c r="AB515" i="176" s="1"/>
  <c r="AC515" i="176" s="1"/>
  <c r="AD515" i="176" s="1"/>
  <c r="AE515" i="176" s="1"/>
  <c r="AF515" i="176" s="1"/>
  <c r="AG515" i="176" s="1"/>
  <c r="AH515" i="176" s="1"/>
  <c r="AI515" i="176" s="1"/>
  <c r="AJ515" i="176" s="1"/>
  <c r="AK515" i="176" s="1"/>
  <c r="M455" i="173"/>
  <c r="I478" i="173"/>
  <c r="I501" i="173" s="1"/>
  <c r="I104" i="173" s="1"/>
  <c r="N403" i="176"/>
  <c r="N74" i="176" s="1"/>
  <c r="O373" i="176"/>
  <c r="L453" i="173"/>
  <c r="M453" i="173" s="1"/>
  <c r="N453" i="173" s="1"/>
  <c r="O453" i="173" s="1"/>
  <c r="P453" i="173" s="1"/>
  <c r="Q453" i="173" s="1"/>
  <c r="R453" i="173" s="1"/>
  <c r="S453" i="173" s="1"/>
  <c r="T453" i="173" s="1"/>
  <c r="U453" i="173" s="1"/>
  <c r="V453" i="173" s="1"/>
  <c r="W453" i="173" s="1"/>
  <c r="X453" i="173" s="1"/>
  <c r="Y453" i="173" s="1"/>
  <c r="Z453" i="173" s="1"/>
  <c r="AA453" i="173" s="1"/>
  <c r="AB453" i="173" s="1"/>
  <c r="AC453" i="173" s="1"/>
  <c r="AD453" i="173" s="1"/>
  <c r="M517" i="176"/>
  <c r="N517" i="176" s="1"/>
  <c r="O517" i="176" s="1"/>
  <c r="P517" i="176" s="1"/>
  <c r="Q517" i="176" s="1"/>
  <c r="R517" i="176" s="1"/>
  <c r="S517" i="176" s="1"/>
  <c r="T517" i="176" s="1"/>
  <c r="U517" i="176" s="1"/>
  <c r="V517" i="176" s="1"/>
  <c r="W517" i="176" s="1"/>
  <c r="X517" i="176" s="1"/>
  <c r="Y517" i="176" s="1"/>
  <c r="Z517" i="176" s="1"/>
  <c r="AA517" i="176" s="1"/>
  <c r="AB517" i="176" s="1"/>
  <c r="AC517" i="176" s="1"/>
  <c r="AD517" i="176" s="1"/>
  <c r="AE517" i="176" s="1"/>
  <c r="AF517" i="176" s="1"/>
  <c r="AG517" i="176" s="1"/>
  <c r="AH517" i="176" s="1"/>
  <c r="AI517" i="176" s="1"/>
  <c r="AJ517" i="176" s="1"/>
  <c r="AK517" i="176" s="1"/>
  <c r="L549" i="176"/>
  <c r="O333" i="176"/>
  <c r="O62" i="176" s="1"/>
  <c r="P303" i="176"/>
  <c r="N361" i="173"/>
  <c r="N74" i="173" s="1"/>
  <c r="O338" i="173"/>
  <c r="R310" i="173"/>
  <c r="K481" i="173"/>
  <c r="O368" i="176"/>
  <c r="O68" i="176" s="1"/>
  <c r="O69" i="176" s="1"/>
  <c r="P338" i="176"/>
  <c r="N69" i="176"/>
  <c r="N70" i="176"/>
  <c r="O66" i="176" s="1"/>
  <c r="H100" i="176"/>
  <c r="I96" i="176" s="1"/>
  <c r="I100" i="176" s="1"/>
  <c r="J96" i="176" s="1"/>
  <c r="I99" i="176"/>
  <c r="H99" i="176"/>
  <c r="AH170" i="176"/>
  <c r="AH171" i="176" s="1"/>
  <c r="X198" i="173"/>
  <c r="Q305" i="173"/>
  <c r="Q62" i="173" s="1"/>
  <c r="Q63" i="173" s="1"/>
  <c r="R282" i="173"/>
  <c r="AK122" i="176"/>
  <c r="K553" i="176"/>
  <c r="L553" i="176" s="1"/>
  <c r="M553" i="176" s="1"/>
  <c r="N63" i="176"/>
  <c r="J450" i="173"/>
  <c r="K450" i="173" s="1"/>
  <c r="P366" i="173"/>
  <c r="J509" i="173"/>
  <c r="L483" i="173"/>
  <c r="J507" i="173"/>
  <c r="T45" i="173"/>
  <c r="H583" i="176"/>
  <c r="P69" i="173"/>
  <c r="V199" i="173"/>
  <c r="U221" i="173"/>
  <c r="U44" i="173" s="1"/>
  <c r="Q58" i="173"/>
  <c r="R54" i="173" s="1"/>
  <c r="J510" i="173"/>
  <c r="AH148" i="176"/>
  <c r="AI144" i="176" s="1"/>
  <c r="V226" i="173"/>
  <c r="S255" i="173"/>
  <c r="R277" i="173"/>
  <c r="R56" i="173" s="1"/>
  <c r="R57" i="173" s="1"/>
  <c r="P63" i="173"/>
  <c r="R52" i="176"/>
  <c r="S48" i="176" s="1"/>
  <c r="N451" i="173"/>
  <c r="K87" i="176"/>
  <c r="L552" i="176"/>
  <c r="M552" i="176" s="1"/>
  <c r="N64" i="176"/>
  <c r="O60" i="176" s="1"/>
  <c r="H506" i="173"/>
  <c r="M587" i="176"/>
  <c r="N587" i="176" s="1"/>
  <c r="O587" i="176" s="1"/>
  <c r="J513" i="176"/>
  <c r="K511" i="173"/>
  <c r="AG152" i="176"/>
  <c r="AG154" i="176" s="1"/>
  <c r="AH150" i="176" s="1"/>
  <c r="K417" i="173"/>
  <c r="K86" i="173" s="1"/>
  <c r="K88" i="173" s="1"/>
  <c r="L84" i="173" s="1"/>
  <c r="L394" i="173"/>
  <c r="S468" i="176" l="1"/>
  <c r="T468" i="176" s="1"/>
  <c r="AK124" i="176"/>
  <c r="E122" i="176"/>
  <c r="AA324" i="173"/>
  <c r="AB324" i="173" s="1"/>
  <c r="AC324" i="173" s="1"/>
  <c r="AD324" i="173" s="1"/>
  <c r="U318" i="173"/>
  <c r="V318" i="173" s="1"/>
  <c r="W318" i="173" s="1"/>
  <c r="X318" i="173" s="1"/>
  <c r="Y318" i="173" s="1"/>
  <c r="AK290" i="176"/>
  <c r="Y354" i="176"/>
  <c r="Z354" i="176" s="1"/>
  <c r="AK367" i="176"/>
  <c r="AI400" i="176"/>
  <c r="AJ400" i="176" s="1"/>
  <c r="AK400" i="176" s="1"/>
  <c r="AJ361" i="176"/>
  <c r="AK361" i="176" s="1"/>
  <c r="X295" i="173"/>
  <c r="Y295" i="173" s="1"/>
  <c r="Z295" i="173" s="1"/>
  <c r="AB358" i="173"/>
  <c r="AC358" i="173" s="1"/>
  <c r="AD358" i="173" s="1"/>
  <c r="AD427" i="176"/>
  <c r="AE427" i="176" s="1"/>
  <c r="R383" i="173"/>
  <c r="S383" i="173" s="1"/>
  <c r="X399" i="176"/>
  <c r="Y399" i="176" s="1"/>
  <c r="O466" i="173"/>
  <c r="W359" i="176"/>
  <c r="X359" i="176"/>
  <c r="AG257" i="176"/>
  <c r="AH257" i="176" s="1"/>
  <c r="AI257" i="176" s="1"/>
  <c r="AJ257" i="176" s="1"/>
  <c r="AK257" i="176" s="1"/>
  <c r="W353" i="176"/>
  <c r="X353" i="176" s="1"/>
  <c r="Y353" i="176" s="1"/>
  <c r="Z353" i="176" s="1"/>
  <c r="AA353" i="176" s="1"/>
  <c r="AB353" i="176" s="1"/>
  <c r="AC353" i="176" s="1"/>
  <c r="AD353" i="176" s="1"/>
  <c r="AE353" i="176" s="1"/>
  <c r="AF353" i="176" s="1"/>
  <c r="AG353" i="176" s="1"/>
  <c r="AH353" i="176" s="1"/>
  <c r="AI353" i="176" s="1"/>
  <c r="AJ353" i="176" s="1"/>
  <c r="AK353" i="176" s="1"/>
  <c r="N470" i="173"/>
  <c r="O470" i="173"/>
  <c r="P470" i="173" s="1"/>
  <c r="Q470" i="173" s="1"/>
  <c r="AA357" i="176"/>
  <c r="AB357" i="176" s="1"/>
  <c r="O572" i="176"/>
  <c r="P572" i="176" s="1"/>
  <c r="Q572" i="176" s="1"/>
  <c r="N528" i="176"/>
  <c r="P491" i="176"/>
  <c r="R493" i="176"/>
  <c r="S493" i="176" s="1"/>
  <c r="T493" i="176" s="1"/>
  <c r="U493" i="176" s="1"/>
  <c r="V493" i="176" s="1"/>
  <c r="AA396" i="176"/>
  <c r="AB396" i="176" s="1"/>
  <c r="O526" i="176"/>
  <c r="P526" i="176" s="1"/>
  <c r="Q526" i="176" s="1"/>
  <c r="M499" i="173"/>
  <c r="N499" i="173" s="1"/>
  <c r="R463" i="176"/>
  <c r="S463" i="176" s="1"/>
  <c r="R386" i="173"/>
  <c r="S386" i="173" s="1"/>
  <c r="AH219" i="176"/>
  <c r="AI219" i="176" s="1"/>
  <c r="AJ219" i="176" s="1"/>
  <c r="AK219" i="176" s="1"/>
  <c r="M82" i="173"/>
  <c r="N78" i="173" s="1"/>
  <c r="AG252" i="176"/>
  <c r="AH252" i="176" s="1"/>
  <c r="AI252" i="176" s="1"/>
  <c r="AJ252" i="176" s="1"/>
  <c r="AK252" i="176" s="1"/>
  <c r="AB243" i="173"/>
  <c r="AC243" i="173" s="1"/>
  <c r="AD243" i="173" s="1"/>
  <c r="AC318" i="176"/>
  <c r="AD318" i="176" s="1"/>
  <c r="AE318" i="176" s="1"/>
  <c r="AF318" i="176" s="1"/>
  <c r="AG318" i="176" s="1"/>
  <c r="AH318" i="176" s="1"/>
  <c r="AI318" i="176" s="1"/>
  <c r="AJ318" i="176" s="1"/>
  <c r="AK318" i="176" s="1"/>
  <c r="Y269" i="173"/>
  <c r="Z269" i="173" s="1"/>
  <c r="AI329" i="176"/>
  <c r="AJ329" i="176" s="1"/>
  <c r="AK329" i="176" s="1"/>
  <c r="AG433" i="176"/>
  <c r="AH433" i="176" s="1"/>
  <c r="AI433" i="176" s="1"/>
  <c r="AC241" i="173"/>
  <c r="AD241" i="173" s="1"/>
  <c r="W381" i="173"/>
  <c r="X381" i="173" s="1"/>
  <c r="Y381" i="173" s="1"/>
  <c r="X389" i="176"/>
  <c r="Y389" i="176" s="1"/>
  <c r="Z389" i="176" s="1"/>
  <c r="AI362" i="176"/>
  <c r="AJ362" i="176" s="1"/>
  <c r="AK362" i="176" s="1"/>
  <c r="AD304" i="173"/>
  <c r="AD214" i="173"/>
  <c r="AB213" i="173"/>
  <c r="AA317" i="176"/>
  <c r="Y285" i="176"/>
  <c r="Z285" i="176" s="1"/>
  <c r="Q492" i="176"/>
  <c r="R492" i="176" s="1"/>
  <c r="M491" i="173"/>
  <c r="N491" i="173" s="1"/>
  <c r="T497" i="176"/>
  <c r="U497" i="176" s="1"/>
  <c r="V497" i="176" s="1"/>
  <c r="N442" i="173"/>
  <c r="O442" i="173" s="1"/>
  <c r="P442" i="173" s="1"/>
  <c r="S462" i="176"/>
  <c r="T462" i="176" s="1"/>
  <c r="U462" i="176" s="1"/>
  <c r="V462" i="176" s="1"/>
  <c r="W462" i="176" s="1"/>
  <c r="X462" i="176" s="1"/>
  <c r="Y462" i="176" s="1"/>
  <c r="M497" i="173"/>
  <c r="N497" i="173" s="1"/>
  <c r="Q507" i="176"/>
  <c r="R507" i="176" s="1"/>
  <c r="S507" i="176" s="1"/>
  <c r="AC286" i="176"/>
  <c r="AD286" i="176" s="1"/>
  <c r="Q412" i="173"/>
  <c r="R412" i="173" s="1"/>
  <c r="P470" i="176"/>
  <c r="W217" i="176"/>
  <c r="X351" i="176"/>
  <c r="Y351" i="176" s="1"/>
  <c r="Z351" i="176" s="1"/>
  <c r="O441" i="173"/>
  <c r="R466" i="176"/>
  <c r="S466" i="176" s="1"/>
  <c r="T466" i="176" s="1"/>
  <c r="U466" i="176" s="1"/>
  <c r="V466" i="176" s="1"/>
  <c r="W466" i="176" s="1"/>
  <c r="X466" i="176" s="1"/>
  <c r="Y466" i="176" s="1"/>
  <c r="Z466" i="176" s="1"/>
  <c r="AA466" i="176" s="1"/>
  <c r="AB466" i="176" s="1"/>
  <c r="N471" i="173"/>
  <c r="O471" i="173" s="1"/>
  <c r="P471" i="173" s="1"/>
  <c r="R437" i="173"/>
  <c r="S437" i="173" s="1"/>
  <c r="T437" i="173" s="1"/>
  <c r="M576" i="176"/>
  <c r="N576" i="176" s="1"/>
  <c r="O576" i="176" s="1"/>
  <c r="T359" i="173"/>
  <c r="S249" i="173"/>
  <c r="S50" i="173" s="1"/>
  <c r="S51" i="173" s="1"/>
  <c r="T431" i="176"/>
  <c r="U431" i="176" s="1"/>
  <c r="V431" i="176" s="1"/>
  <c r="W431" i="176" s="1"/>
  <c r="X431" i="176" s="1"/>
  <c r="Y431" i="176" s="1"/>
  <c r="Z431" i="176" s="1"/>
  <c r="AA431" i="176" s="1"/>
  <c r="AB431" i="176" s="1"/>
  <c r="AC431" i="176" s="1"/>
  <c r="AD431" i="176" s="1"/>
  <c r="AH395" i="176"/>
  <c r="AI395" i="176" s="1"/>
  <c r="AJ395" i="176" s="1"/>
  <c r="K473" i="173"/>
  <c r="K98" i="173" s="1"/>
  <c r="P466" i="173"/>
  <c r="Q466" i="173" s="1"/>
  <c r="T374" i="173"/>
  <c r="U374" i="173" s="1"/>
  <c r="V374" i="173" s="1"/>
  <c r="X429" i="176"/>
  <c r="Y429" i="176" s="1"/>
  <c r="AB321" i="176"/>
  <c r="AC321" i="176" s="1"/>
  <c r="X326" i="173"/>
  <c r="Y326" i="173" s="1"/>
  <c r="AH323" i="176"/>
  <c r="AI323" i="176" s="1"/>
  <c r="X213" i="176"/>
  <c r="Y213" i="176" s="1"/>
  <c r="AJ363" i="176"/>
  <c r="AK363" i="176" s="1"/>
  <c r="AC394" i="176"/>
  <c r="AD394" i="176" s="1"/>
  <c r="AE394" i="176" s="1"/>
  <c r="O389" i="173"/>
  <c r="O80" i="173" s="1"/>
  <c r="U421" i="176"/>
  <c r="V421" i="176" s="1"/>
  <c r="W421" i="176" s="1"/>
  <c r="R416" i="173"/>
  <c r="S416" i="173" s="1"/>
  <c r="AA390" i="176"/>
  <c r="AB390" i="176" s="1"/>
  <c r="AC390" i="176" s="1"/>
  <c r="AD390" i="176" s="1"/>
  <c r="Q407" i="173"/>
  <c r="R407" i="173" s="1"/>
  <c r="S407" i="173"/>
  <c r="X414" i="173"/>
  <c r="Y414" i="173" s="1"/>
  <c r="Z414" i="173" s="1"/>
  <c r="AA414" i="173" s="1"/>
  <c r="Z398" i="176"/>
  <c r="AA398" i="176" s="1"/>
  <c r="AB398" i="176" s="1"/>
  <c r="AC398" i="176" s="1"/>
  <c r="AD398" i="176" s="1"/>
  <c r="AE398" i="176" s="1"/>
  <c r="AF398" i="176" s="1"/>
  <c r="AA435" i="176"/>
  <c r="AB435" i="176" s="1"/>
  <c r="AC435" i="176" s="1"/>
  <c r="AD435" i="176" s="1"/>
  <c r="AE435" i="176" s="1"/>
  <c r="AF435" i="176" s="1"/>
  <c r="AG435" i="176" s="1"/>
  <c r="AH435" i="176" s="1"/>
  <c r="U499" i="176"/>
  <c r="V499" i="176" s="1"/>
  <c r="W499" i="176" s="1"/>
  <c r="X499" i="176" s="1"/>
  <c r="Y499" i="176" s="1"/>
  <c r="Z499" i="176" s="1"/>
  <c r="X360" i="173"/>
  <c r="Y360" i="173" s="1"/>
  <c r="Z360" i="173" s="1"/>
  <c r="AA360" i="173" s="1"/>
  <c r="AB360" i="173" s="1"/>
  <c r="AC360" i="173" s="1"/>
  <c r="O536" i="176"/>
  <c r="M530" i="176"/>
  <c r="R402" i="176"/>
  <c r="Q457" i="176"/>
  <c r="R457" i="176" s="1"/>
  <c r="S457" i="176" s="1"/>
  <c r="T457" i="176" s="1"/>
  <c r="M522" i="173"/>
  <c r="L542" i="176"/>
  <c r="M542" i="176" s="1"/>
  <c r="M566" i="176"/>
  <c r="W289" i="176"/>
  <c r="X289" i="176" s="1"/>
  <c r="Y289" i="176" s="1"/>
  <c r="Z289" i="176" s="1"/>
  <c r="AA289" i="176" s="1"/>
  <c r="AB289" i="176" s="1"/>
  <c r="AC289" i="176" s="1"/>
  <c r="AK316" i="176"/>
  <c r="T323" i="173"/>
  <c r="U323" i="173" s="1"/>
  <c r="V323" i="173" s="1"/>
  <c r="T297" i="173"/>
  <c r="U297" i="173" s="1"/>
  <c r="V297" i="173" s="1"/>
  <c r="P444" i="173"/>
  <c r="Q444" i="173" s="1"/>
  <c r="R444" i="173" s="1"/>
  <c r="L445" i="173"/>
  <c r="L92" i="173" s="1"/>
  <c r="L93" i="173" s="1"/>
  <c r="K602" i="176"/>
  <c r="N500" i="173"/>
  <c r="O500" i="173"/>
  <c r="U324" i="176"/>
  <c r="L565" i="176"/>
  <c r="V247" i="176"/>
  <c r="W247" i="176" s="1"/>
  <c r="AA211" i="176"/>
  <c r="N527" i="176"/>
  <c r="W467" i="176"/>
  <c r="X467" i="176" s="1"/>
  <c r="Y467" i="176" s="1"/>
  <c r="Z467" i="176" s="1"/>
  <c r="AA467" i="176" s="1"/>
  <c r="Y327" i="173"/>
  <c r="Z327" i="173" s="1"/>
  <c r="R437" i="176"/>
  <c r="S437" i="176" s="1"/>
  <c r="T437" i="176" s="1"/>
  <c r="U437" i="176" s="1"/>
  <c r="V437" i="176" s="1"/>
  <c r="W437" i="176" s="1"/>
  <c r="X437" i="176" s="1"/>
  <c r="Y437" i="176" s="1"/>
  <c r="J527" i="173"/>
  <c r="K527" i="173" s="1"/>
  <c r="L527" i="173" s="1"/>
  <c r="U282" i="176"/>
  <c r="U253" i="176"/>
  <c r="L600" i="176"/>
  <c r="M600" i="176" s="1"/>
  <c r="O494" i="176"/>
  <c r="Q505" i="176"/>
  <c r="W325" i="176"/>
  <c r="X325" i="176" s="1"/>
  <c r="Y325" i="176" s="1"/>
  <c r="Z325" i="176" s="1"/>
  <c r="AA325" i="176" s="1"/>
  <c r="AB325" i="176" s="1"/>
  <c r="AC325" i="176" s="1"/>
  <c r="AD325" i="176" s="1"/>
  <c r="AE325" i="176" s="1"/>
  <c r="AF325" i="176" s="1"/>
  <c r="AG325" i="176" s="1"/>
  <c r="AH325" i="176" s="1"/>
  <c r="AI325" i="176" s="1"/>
  <c r="M569" i="176"/>
  <c r="N569" i="176" s="1"/>
  <c r="O569" i="176" s="1"/>
  <c r="K596" i="176"/>
  <c r="U352" i="173"/>
  <c r="O467" i="173"/>
  <c r="R386" i="176"/>
  <c r="S386" i="176" s="1"/>
  <c r="T386" i="176" s="1"/>
  <c r="T382" i="173"/>
  <c r="X326" i="176"/>
  <c r="Y326" i="176" s="1"/>
  <c r="Z326" i="176" s="1"/>
  <c r="AA326" i="176" s="1"/>
  <c r="AB326" i="176" s="1"/>
  <c r="AC326" i="176" s="1"/>
  <c r="AD326" i="176" s="1"/>
  <c r="AE326" i="176" s="1"/>
  <c r="L492" i="173"/>
  <c r="O469" i="173"/>
  <c r="P469" i="173" s="1"/>
  <c r="M539" i="176"/>
  <c r="N539" i="176" s="1"/>
  <c r="W385" i="173"/>
  <c r="X385" i="173" s="1"/>
  <c r="Y385" i="173" s="1"/>
  <c r="Z385" i="173" s="1"/>
  <c r="Q410" i="173"/>
  <c r="R459" i="176"/>
  <c r="U392" i="176"/>
  <c r="N389" i="173"/>
  <c r="N80" i="173" s="1"/>
  <c r="N81" i="173" s="1"/>
  <c r="V245" i="173"/>
  <c r="AD302" i="173"/>
  <c r="P413" i="173"/>
  <c r="AD300" i="173"/>
  <c r="N439" i="173"/>
  <c r="O439" i="173" s="1"/>
  <c r="P439" i="173" s="1"/>
  <c r="Q439" i="173" s="1"/>
  <c r="R439" i="173" s="1"/>
  <c r="S439" i="173" s="1"/>
  <c r="T439" i="173" s="1"/>
  <c r="J603" i="176"/>
  <c r="K603" i="176" s="1"/>
  <c r="Q397" i="176"/>
  <c r="T322" i="176"/>
  <c r="T424" i="176"/>
  <c r="U424" i="176" s="1"/>
  <c r="V424" i="176" s="1"/>
  <c r="W424" i="176" s="1"/>
  <c r="O438" i="173"/>
  <c r="N468" i="173"/>
  <c r="O468" i="173" s="1"/>
  <c r="M535" i="176"/>
  <c r="N504" i="176"/>
  <c r="O504" i="176" s="1"/>
  <c r="T425" i="176"/>
  <c r="K495" i="173"/>
  <c r="Q461" i="176"/>
  <c r="R461" i="176" s="1"/>
  <c r="S461" i="176" s="1"/>
  <c r="T461" i="176" s="1"/>
  <c r="N529" i="176"/>
  <c r="V268" i="173"/>
  <c r="W268" i="173" s="1"/>
  <c r="Q435" i="173"/>
  <c r="M498" i="173"/>
  <c r="Z330" i="173"/>
  <c r="AA330" i="173" s="1"/>
  <c r="Q465" i="176"/>
  <c r="R465" i="176" s="1"/>
  <c r="S465" i="176" s="1"/>
  <c r="T465" i="176" s="1"/>
  <c r="U465" i="176" s="1"/>
  <c r="V465" i="176" s="1"/>
  <c r="W465" i="176" s="1"/>
  <c r="X465" i="176" s="1"/>
  <c r="Y465" i="176" s="1"/>
  <c r="Z465" i="176" s="1"/>
  <c r="AA465" i="176" s="1"/>
  <c r="AB465" i="176" s="1"/>
  <c r="AC465" i="176" s="1"/>
  <c r="Q491" i="176"/>
  <c r="R491" i="176" s="1"/>
  <c r="S352" i="176"/>
  <c r="V246" i="173"/>
  <c r="W246" i="173" s="1"/>
  <c r="X246" i="173" s="1"/>
  <c r="Y246" i="173" s="1"/>
  <c r="Z246" i="173" s="1"/>
  <c r="AA246" i="173" s="1"/>
  <c r="AB246" i="173" s="1"/>
  <c r="AC246" i="173" s="1"/>
  <c r="AD246" i="173" s="1"/>
  <c r="N577" i="176"/>
  <c r="K562" i="176"/>
  <c r="N493" i="173"/>
  <c r="O541" i="176"/>
  <c r="O472" i="173"/>
  <c r="P472" i="173" s="1"/>
  <c r="S408" i="173"/>
  <c r="P501" i="176"/>
  <c r="M531" i="176"/>
  <c r="N531" i="176" s="1"/>
  <c r="X216" i="176"/>
  <c r="Y216" i="176" s="1"/>
  <c r="Z216" i="176" s="1"/>
  <c r="AA216" i="176" s="1"/>
  <c r="AB216" i="176" s="1"/>
  <c r="AC216" i="176" s="1"/>
  <c r="AD216" i="176" s="1"/>
  <c r="O503" i="176"/>
  <c r="Q469" i="176"/>
  <c r="R469" i="176" s="1"/>
  <c r="S469" i="176" s="1"/>
  <c r="J528" i="173"/>
  <c r="S356" i="176"/>
  <c r="U354" i="173"/>
  <c r="V283" i="176"/>
  <c r="W283" i="176" s="1"/>
  <c r="X283" i="176" s="1"/>
  <c r="Y283" i="176" s="1"/>
  <c r="Z283" i="176" s="1"/>
  <c r="M498" i="176"/>
  <c r="N498" i="176" s="1"/>
  <c r="O500" i="176"/>
  <c r="R415" i="173"/>
  <c r="W351" i="173"/>
  <c r="X351" i="173" s="1"/>
  <c r="Y351" i="173" s="1"/>
  <c r="V355" i="173"/>
  <c r="M443" i="173"/>
  <c r="N443" i="173" s="1"/>
  <c r="O443" i="173" s="1"/>
  <c r="P443" i="173" s="1"/>
  <c r="M532" i="176"/>
  <c r="N532" i="176" s="1"/>
  <c r="O532" i="176" s="1"/>
  <c r="AB271" i="173"/>
  <c r="AC271" i="173" s="1"/>
  <c r="AD271" i="173" s="1"/>
  <c r="Q430" i="176"/>
  <c r="N570" i="176"/>
  <c r="O570" i="176" s="1"/>
  <c r="R436" i="176"/>
  <c r="W409" i="173"/>
  <c r="K519" i="173"/>
  <c r="W320" i="176"/>
  <c r="R432" i="176"/>
  <c r="M464" i="173"/>
  <c r="R358" i="176"/>
  <c r="L567" i="176"/>
  <c r="R472" i="176"/>
  <c r="Q506" i="176"/>
  <c r="R506" i="176" s="1"/>
  <c r="S506" i="176" s="1"/>
  <c r="T506" i="176" s="1"/>
  <c r="U506" i="176" s="1"/>
  <c r="O495" i="176"/>
  <c r="O573" i="176"/>
  <c r="K601" i="176"/>
  <c r="L601" i="176" s="1"/>
  <c r="O496" i="176"/>
  <c r="R51" i="173"/>
  <c r="J521" i="173"/>
  <c r="K521" i="173" s="1"/>
  <c r="L574" i="176"/>
  <c r="U248" i="176"/>
  <c r="V248" i="176" s="1"/>
  <c r="W248" i="176" s="1"/>
  <c r="X248" i="176" s="1"/>
  <c r="Y248" i="176" s="1"/>
  <c r="Z248" i="176" s="1"/>
  <c r="AA248" i="176" s="1"/>
  <c r="AB248" i="176" s="1"/>
  <c r="AC248" i="176" s="1"/>
  <c r="AD248" i="176" s="1"/>
  <c r="AE248" i="176" s="1"/>
  <c r="V270" i="173"/>
  <c r="U387" i="176"/>
  <c r="V387" i="176" s="1"/>
  <c r="W387" i="176" s="1"/>
  <c r="Z384" i="173"/>
  <c r="AA384" i="173" s="1"/>
  <c r="AB384" i="173" s="1"/>
  <c r="AC384" i="173" s="1"/>
  <c r="AB296" i="173"/>
  <c r="W422" i="176"/>
  <c r="X422" i="176" s="1"/>
  <c r="AD388" i="173"/>
  <c r="W458" i="176"/>
  <c r="X458" i="176" s="1"/>
  <c r="P379" i="173"/>
  <c r="Q379" i="173" s="1"/>
  <c r="S391" i="176"/>
  <c r="AG319" i="176"/>
  <c r="R456" i="176"/>
  <c r="U331" i="173"/>
  <c r="S428" i="176"/>
  <c r="R329" i="173"/>
  <c r="S329" i="173" s="1"/>
  <c r="T329" i="173" s="1"/>
  <c r="U329" i="173" s="1"/>
  <c r="V329" i="173" s="1"/>
  <c r="W329" i="173" s="1"/>
  <c r="X329" i="173" s="1"/>
  <c r="Y329" i="173" s="1"/>
  <c r="Z329" i="173" s="1"/>
  <c r="AA329" i="173" s="1"/>
  <c r="AB329" i="173" s="1"/>
  <c r="T299" i="173"/>
  <c r="Y303" i="173"/>
  <c r="O463" i="173"/>
  <c r="P463" i="173" s="1"/>
  <c r="T287" i="176"/>
  <c r="M564" i="176"/>
  <c r="T380" i="173"/>
  <c r="T393" i="176"/>
  <c r="R423" i="176"/>
  <c r="S423" i="176"/>
  <c r="T423" i="176" s="1"/>
  <c r="U423" i="176" s="1"/>
  <c r="V423" i="176" s="1"/>
  <c r="P411" i="173"/>
  <c r="M465" i="173"/>
  <c r="Q353" i="173"/>
  <c r="R353" i="173" s="1"/>
  <c r="S353" i="173" s="1"/>
  <c r="T353" i="173" s="1"/>
  <c r="U353" i="173" s="1"/>
  <c r="V353" i="173" s="1"/>
  <c r="U434" i="176"/>
  <c r="P387" i="173"/>
  <c r="P534" i="176"/>
  <c r="Q471" i="176"/>
  <c r="Q436" i="173"/>
  <c r="S426" i="176"/>
  <c r="W240" i="173"/>
  <c r="X240" i="173" s="1"/>
  <c r="Y240" i="173" s="1"/>
  <c r="O460" i="176"/>
  <c r="AC328" i="173"/>
  <c r="W291" i="176"/>
  <c r="X291" i="176" s="1"/>
  <c r="Y291" i="176" s="1"/>
  <c r="Z291" i="176" s="1"/>
  <c r="AA291" i="176" s="1"/>
  <c r="AB291" i="176" s="1"/>
  <c r="AC291" i="176" s="1"/>
  <c r="AD291" i="176" s="1"/>
  <c r="AE291" i="176" s="1"/>
  <c r="AF291" i="176" s="1"/>
  <c r="AG291" i="176" s="1"/>
  <c r="AH291" i="176" s="1"/>
  <c r="AI291" i="176" s="1"/>
  <c r="AJ291" i="176" s="1"/>
  <c r="AK291" i="176" s="1"/>
  <c r="O464" i="176"/>
  <c r="N540" i="176"/>
  <c r="Q440" i="173"/>
  <c r="N538" i="176"/>
  <c r="O538" i="176" s="1"/>
  <c r="P502" i="176"/>
  <c r="T406" i="173"/>
  <c r="U406" i="173" s="1"/>
  <c r="V406" i="173" s="1"/>
  <c r="Q513" i="173"/>
  <c r="R513" i="173" s="1"/>
  <c r="L568" i="176"/>
  <c r="M568" i="176" s="1"/>
  <c r="M537" i="176"/>
  <c r="N537" i="176" s="1"/>
  <c r="R429" i="173"/>
  <c r="S429" i="173" s="1"/>
  <c r="T429" i="173" s="1"/>
  <c r="U429" i="173" s="1"/>
  <c r="V429" i="173" s="1"/>
  <c r="W429" i="173" s="1"/>
  <c r="X429" i="173" s="1"/>
  <c r="Y429" i="173" s="1"/>
  <c r="Z429" i="173" s="1"/>
  <c r="AA429" i="173" s="1"/>
  <c r="AB429" i="173" s="1"/>
  <c r="AC429" i="173" s="1"/>
  <c r="AD429" i="173" s="1"/>
  <c r="K612" i="176"/>
  <c r="L612" i="176" s="1"/>
  <c r="K520" i="173"/>
  <c r="K610" i="176"/>
  <c r="V451" i="176"/>
  <c r="W451" i="176" s="1"/>
  <c r="X451" i="176" s="1"/>
  <c r="Y451" i="176" s="1"/>
  <c r="Z451" i="176" s="1"/>
  <c r="AA451" i="176" s="1"/>
  <c r="AB451" i="176" s="1"/>
  <c r="AC451" i="176" s="1"/>
  <c r="AD451" i="176" s="1"/>
  <c r="AE451" i="176" s="1"/>
  <c r="AF451" i="176" s="1"/>
  <c r="AG451" i="176" s="1"/>
  <c r="AH451" i="176" s="1"/>
  <c r="AI451" i="176" s="1"/>
  <c r="AJ451" i="176" s="1"/>
  <c r="AK451" i="176" s="1"/>
  <c r="K599" i="176"/>
  <c r="L606" i="176"/>
  <c r="L496" i="173"/>
  <c r="K604" i="176"/>
  <c r="L604" i="176" s="1"/>
  <c r="M604" i="176" s="1"/>
  <c r="M533" i="176"/>
  <c r="K525" i="173"/>
  <c r="L525" i="173" s="1"/>
  <c r="M525" i="173" s="1"/>
  <c r="K607" i="176"/>
  <c r="L598" i="176"/>
  <c r="M598" i="176"/>
  <c r="L575" i="176"/>
  <c r="L597" i="176"/>
  <c r="L571" i="176"/>
  <c r="M571" i="176" s="1"/>
  <c r="L494" i="173"/>
  <c r="M494" i="173" s="1"/>
  <c r="L524" i="173"/>
  <c r="L561" i="176"/>
  <c r="M561" i="176" s="1"/>
  <c r="L526" i="173"/>
  <c r="L563" i="176"/>
  <c r="M563" i="176" s="1"/>
  <c r="L605" i="176"/>
  <c r="M605" i="176" s="1"/>
  <c r="R58" i="176"/>
  <c r="S54" i="176" s="1"/>
  <c r="K609" i="176"/>
  <c r="K608" i="176"/>
  <c r="K611" i="176"/>
  <c r="K523" i="173"/>
  <c r="N81" i="176"/>
  <c r="M82" i="176"/>
  <c r="N78" i="176" s="1"/>
  <c r="N82" i="176" s="1"/>
  <c r="O78" i="176" s="1"/>
  <c r="T378" i="173"/>
  <c r="U378" i="173" s="1"/>
  <c r="S268" i="176"/>
  <c r="T268" i="176" s="1"/>
  <c r="AI208" i="176"/>
  <c r="AJ208" i="176" s="1"/>
  <c r="AK208" i="176" s="1"/>
  <c r="P405" i="173"/>
  <c r="Q405" i="173" s="1"/>
  <c r="N595" i="176"/>
  <c r="O595" i="176" s="1"/>
  <c r="P595" i="176" s="1"/>
  <c r="Q595" i="176" s="1"/>
  <c r="R595" i="176" s="1"/>
  <c r="AF346" i="176"/>
  <c r="AG346" i="176" s="1"/>
  <c r="AH346" i="176" s="1"/>
  <c r="AI346" i="176" s="1"/>
  <c r="AJ346" i="176" s="1"/>
  <c r="AK346" i="176" s="1"/>
  <c r="U383" i="176"/>
  <c r="V383" i="176" s="1"/>
  <c r="W383" i="176" s="1"/>
  <c r="Q485" i="176"/>
  <c r="R485" i="176" s="1"/>
  <c r="S485" i="176" s="1"/>
  <c r="T485" i="176" s="1"/>
  <c r="U485" i="176" s="1"/>
  <c r="V485" i="176" s="1"/>
  <c r="W485" i="176" s="1"/>
  <c r="X485" i="176" s="1"/>
  <c r="Y485" i="176" s="1"/>
  <c r="Z485" i="176" s="1"/>
  <c r="AA485" i="176" s="1"/>
  <c r="AB485" i="176" s="1"/>
  <c r="AC485" i="176" s="1"/>
  <c r="AD485" i="176" s="1"/>
  <c r="AE485" i="176" s="1"/>
  <c r="AF485" i="176" s="1"/>
  <c r="AG485" i="176" s="1"/>
  <c r="AH485" i="176" s="1"/>
  <c r="AI485" i="176" s="1"/>
  <c r="AJ485" i="176" s="1"/>
  <c r="AK485" i="176" s="1"/>
  <c r="X453" i="176"/>
  <c r="Y453" i="176" s="1"/>
  <c r="Z453" i="176" s="1"/>
  <c r="AA453" i="176" s="1"/>
  <c r="AB453" i="176" s="1"/>
  <c r="AC453" i="176" s="1"/>
  <c r="AD453" i="176" s="1"/>
  <c r="AE453" i="176" s="1"/>
  <c r="AF453" i="176" s="1"/>
  <c r="AG453" i="176" s="1"/>
  <c r="AH453" i="176" s="1"/>
  <c r="AI453" i="176" s="1"/>
  <c r="AJ453" i="176" s="1"/>
  <c r="AK453" i="176" s="1"/>
  <c r="W455" i="176"/>
  <c r="O458" i="173"/>
  <c r="U344" i="173"/>
  <c r="V344" i="173" s="1"/>
  <c r="W344" i="173" s="1"/>
  <c r="X344" i="173" s="1"/>
  <c r="Y344" i="173" s="1"/>
  <c r="Z344" i="173" s="1"/>
  <c r="AA344" i="173" s="1"/>
  <c r="AB344" i="173" s="1"/>
  <c r="AC344" i="173" s="1"/>
  <c r="AD344" i="173" s="1"/>
  <c r="S419" i="176"/>
  <c r="T419" i="176" s="1"/>
  <c r="O456" i="173"/>
  <c r="P456" i="173" s="1"/>
  <c r="K514" i="173"/>
  <c r="X292" i="173"/>
  <c r="Y292" i="173" s="1"/>
  <c r="Z292" i="173" s="1"/>
  <c r="AA292" i="173" s="1"/>
  <c r="AB292" i="173" s="1"/>
  <c r="AC292" i="173" s="1"/>
  <c r="AD292" i="173" s="1"/>
  <c r="P402" i="173"/>
  <c r="Q402" i="173" s="1"/>
  <c r="S375" i="173"/>
  <c r="T375" i="173" s="1"/>
  <c r="U375" i="173" s="1"/>
  <c r="N591" i="176"/>
  <c r="O591" i="176" s="1"/>
  <c r="N462" i="173"/>
  <c r="O462" i="173" s="1"/>
  <c r="M518" i="173"/>
  <c r="N518" i="173" s="1"/>
  <c r="O518" i="173" s="1"/>
  <c r="T384" i="176"/>
  <c r="U384" i="176" s="1"/>
  <c r="V384" i="176" s="1"/>
  <c r="K592" i="176"/>
  <c r="L592" i="176" s="1"/>
  <c r="L555" i="176"/>
  <c r="M555" i="176" s="1"/>
  <c r="L486" i="173"/>
  <c r="M486" i="173" s="1"/>
  <c r="N486" i="173" s="1"/>
  <c r="O486" i="173" s="1"/>
  <c r="R484" i="176"/>
  <c r="S401" i="173"/>
  <c r="T401" i="173" s="1"/>
  <c r="U401" i="173" s="1"/>
  <c r="V401" i="173" s="1"/>
  <c r="W401" i="173" s="1"/>
  <c r="U289" i="173"/>
  <c r="V289" i="173" s="1"/>
  <c r="W289" i="173" s="1"/>
  <c r="X289" i="173" s="1"/>
  <c r="Y289" i="173" s="1"/>
  <c r="Z289" i="173" s="1"/>
  <c r="AA289" i="173" s="1"/>
  <c r="AB289" i="173" s="1"/>
  <c r="AC289" i="173" s="1"/>
  <c r="AD289" i="173" s="1"/>
  <c r="AD382" i="176"/>
  <c r="AE382" i="176" s="1"/>
  <c r="AF382" i="176" s="1"/>
  <c r="AG382" i="176" s="1"/>
  <c r="AH382" i="176" s="1"/>
  <c r="AI382" i="176" s="1"/>
  <c r="AJ382" i="176" s="1"/>
  <c r="AK382" i="176" s="1"/>
  <c r="M559" i="176"/>
  <c r="N559" i="176" s="1"/>
  <c r="L512" i="173"/>
  <c r="M512" i="173" s="1"/>
  <c r="X290" i="173"/>
  <c r="Y415" i="176"/>
  <c r="Z415" i="176" s="1"/>
  <c r="AA415" i="176" s="1"/>
  <c r="AB415" i="176" s="1"/>
  <c r="AC415" i="176" s="1"/>
  <c r="AD415" i="176" s="1"/>
  <c r="AE415" i="176" s="1"/>
  <c r="AF415" i="176" s="1"/>
  <c r="AG415" i="176" s="1"/>
  <c r="AH415" i="176" s="1"/>
  <c r="AI415" i="176" s="1"/>
  <c r="AJ415" i="176" s="1"/>
  <c r="AK415" i="176" s="1"/>
  <c r="P484" i="173"/>
  <c r="Q484" i="173" s="1"/>
  <c r="U312" i="176"/>
  <c r="V312" i="176" s="1"/>
  <c r="W312" i="176" s="1"/>
  <c r="X312" i="176" s="1"/>
  <c r="Y312" i="176" s="1"/>
  <c r="Z312" i="176" s="1"/>
  <c r="AA312" i="176" s="1"/>
  <c r="AB312" i="176" s="1"/>
  <c r="AC312" i="176" s="1"/>
  <c r="AD312" i="176" s="1"/>
  <c r="AE312" i="176" s="1"/>
  <c r="AF312" i="176" s="1"/>
  <c r="AG312" i="176" s="1"/>
  <c r="AH312" i="176" s="1"/>
  <c r="AI312" i="176" s="1"/>
  <c r="AJ312" i="176" s="1"/>
  <c r="X377" i="173"/>
  <c r="Y377" i="173" s="1"/>
  <c r="Z377" i="173" s="1"/>
  <c r="AA377" i="173" s="1"/>
  <c r="AB377" i="173" s="1"/>
  <c r="AC377" i="173" s="1"/>
  <c r="AD377" i="173" s="1"/>
  <c r="P486" i="176"/>
  <c r="Q486" i="176" s="1"/>
  <c r="K94" i="173"/>
  <c r="L90" i="173" s="1"/>
  <c r="P404" i="173"/>
  <c r="Q404" i="173" s="1"/>
  <c r="L590" i="176"/>
  <c r="T558" i="176"/>
  <c r="U558" i="176" s="1"/>
  <c r="N487" i="173"/>
  <c r="O487" i="173" s="1"/>
  <c r="P487" i="173" s="1"/>
  <c r="M524" i="176"/>
  <c r="N520" i="176"/>
  <c r="O520" i="176" s="1"/>
  <c r="P520" i="176" s="1"/>
  <c r="R385" i="176"/>
  <c r="T376" i="173"/>
  <c r="L593" i="176"/>
  <c r="T345" i="173"/>
  <c r="U345" i="173" s="1"/>
  <c r="P430" i="173"/>
  <c r="X321" i="173"/>
  <c r="T400" i="173"/>
  <c r="U400" i="173" s="1"/>
  <c r="V400" i="173" s="1"/>
  <c r="W400" i="173" s="1"/>
  <c r="X400" i="173" s="1"/>
  <c r="Y400" i="173" s="1"/>
  <c r="Z400" i="173" s="1"/>
  <c r="AA400" i="173" s="1"/>
  <c r="S350" i="173"/>
  <c r="S488" i="176"/>
  <c r="T488" i="176" s="1"/>
  <c r="T431" i="173"/>
  <c r="U431" i="173" s="1"/>
  <c r="V431" i="173" s="1"/>
  <c r="K594" i="176"/>
  <c r="R373" i="173"/>
  <c r="S373" i="173" s="1"/>
  <c r="R521" i="176"/>
  <c r="S521" i="176" s="1"/>
  <c r="P557" i="176"/>
  <c r="Q434" i="173"/>
  <c r="AC294" i="173"/>
  <c r="AD294" i="173" s="1"/>
  <c r="M522" i="176"/>
  <c r="M432" i="173"/>
  <c r="P459" i="173"/>
  <c r="Q459" i="173" s="1"/>
  <c r="R459" i="173" s="1"/>
  <c r="S459" i="173" s="1"/>
  <c r="N556" i="176"/>
  <c r="O556" i="176" s="1"/>
  <c r="M489" i="173"/>
  <c r="N489" i="173" s="1"/>
  <c r="M523" i="176"/>
  <c r="Q454" i="176"/>
  <c r="K516" i="173"/>
  <c r="M515" i="173"/>
  <c r="P403" i="173"/>
  <c r="Q403" i="173" s="1"/>
  <c r="R403" i="173" s="1"/>
  <c r="S403" i="173" s="1"/>
  <c r="T403" i="173" s="1"/>
  <c r="U403" i="173" s="1"/>
  <c r="N460" i="173"/>
  <c r="O560" i="176"/>
  <c r="P560" i="176" s="1"/>
  <c r="O457" i="173"/>
  <c r="P457" i="173" s="1"/>
  <c r="Q457" i="173" s="1"/>
  <c r="M461" i="173"/>
  <c r="S418" i="176"/>
  <c r="M490" i="173"/>
  <c r="O489" i="176"/>
  <c r="N487" i="176"/>
  <c r="O487" i="176" s="1"/>
  <c r="P487" i="176" s="1"/>
  <c r="V490" i="176"/>
  <c r="W490" i="176" s="1"/>
  <c r="N554" i="176"/>
  <c r="O554" i="176" s="1"/>
  <c r="P428" i="173"/>
  <c r="Q428" i="173" s="1"/>
  <c r="O517" i="173"/>
  <c r="P517" i="173" s="1"/>
  <c r="U347" i="173"/>
  <c r="V347" i="173" s="1"/>
  <c r="W347" i="173" s="1"/>
  <c r="X347" i="173" s="1"/>
  <c r="Y347" i="173" s="1"/>
  <c r="Z347" i="173" s="1"/>
  <c r="AA347" i="173" s="1"/>
  <c r="AB347" i="173" s="1"/>
  <c r="AC347" i="173" s="1"/>
  <c r="M525" i="176"/>
  <c r="K589" i="176"/>
  <c r="N433" i="173"/>
  <c r="O433" i="173" s="1"/>
  <c r="P416" i="176"/>
  <c r="Q416" i="176" s="1"/>
  <c r="R416" i="176" s="1"/>
  <c r="N488" i="173"/>
  <c r="O488" i="173" s="1"/>
  <c r="K485" i="173"/>
  <c r="L88" i="176"/>
  <c r="M84" i="176" s="1"/>
  <c r="K87" i="173"/>
  <c r="U342" i="173"/>
  <c r="V342" i="173" s="1"/>
  <c r="J548" i="176"/>
  <c r="N551" i="176"/>
  <c r="O551" i="176" s="1"/>
  <c r="P551" i="176" s="1"/>
  <c r="Q551" i="176" s="1"/>
  <c r="R551" i="176" s="1"/>
  <c r="S551" i="176" s="1"/>
  <c r="T551" i="176" s="1"/>
  <c r="U551" i="176" s="1"/>
  <c r="V551" i="176" s="1"/>
  <c r="W551" i="176" s="1"/>
  <c r="X551" i="176" s="1"/>
  <c r="Y551" i="176" s="1"/>
  <c r="Z551" i="176" s="1"/>
  <c r="AA551" i="176" s="1"/>
  <c r="AB551" i="176" s="1"/>
  <c r="AC551" i="176" s="1"/>
  <c r="AD551" i="176" s="1"/>
  <c r="AE551" i="176" s="1"/>
  <c r="AF551" i="176" s="1"/>
  <c r="AG551" i="176" s="1"/>
  <c r="AH551" i="176" s="1"/>
  <c r="AI551" i="176" s="1"/>
  <c r="AJ551" i="176" s="1"/>
  <c r="AK551" i="176" s="1"/>
  <c r="O422" i="173"/>
  <c r="P422" i="173" s="1"/>
  <c r="M443" i="176"/>
  <c r="M473" i="176" s="1"/>
  <c r="M86" i="176" s="1"/>
  <c r="N553" i="176"/>
  <c r="O553" i="176" s="1"/>
  <c r="AJ178" i="176"/>
  <c r="AK174" i="176" s="1"/>
  <c r="AK176" i="176" s="1"/>
  <c r="J94" i="176"/>
  <c r="K90" i="176" s="1"/>
  <c r="R58" i="173"/>
  <c r="S54" i="173" s="1"/>
  <c r="Q425" i="173"/>
  <c r="R425" i="173" s="1"/>
  <c r="S425" i="173" s="1"/>
  <c r="T425" i="173" s="1"/>
  <c r="U425" i="173" s="1"/>
  <c r="V425" i="173" s="1"/>
  <c r="W425" i="173" s="1"/>
  <c r="X425" i="173" s="1"/>
  <c r="Y425" i="173" s="1"/>
  <c r="Z425" i="173" s="1"/>
  <c r="AA425" i="173" s="1"/>
  <c r="AB425" i="173" s="1"/>
  <c r="AC425" i="173" s="1"/>
  <c r="AD425" i="173" s="1"/>
  <c r="T514" i="176"/>
  <c r="U514" i="176" s="1"/>
  <c r="V514" i="176" s="1"/>
  <c r="W514" i="176" s="1"/>
  <c r="X514" i="176" s="1"/>
  <c r="Y514" i="176" s="1"/>
  <c r="Z514" i="176" s="1"/>
  <c r="AA514" i="176" s="1"/>
  <c r="AB514" i="176" s="1"/>
  <c r="AC514" i="176" s="1"/>
  <c r="AD514" i="176" s="1"/>
  <c r="AE514" i="176" s="1"/>
  <c r="AF514" i="176" s="1"/>
  <c r="AG514" i="176" s="1"/>
  <c r="AH514" i="176" s="1"/>
  <c r="AI514" i="176" s="1"/>
  <c r="AJ514" i="176" s="1"/>
  <c r="AK514" i="176" s="1"/>
  <c r="M586" i="176"/>
  <c r="N586" i="176" s="1"/>
  <c r="O586" i="176" s="1"/>
  <c r="AG449" i="176"/>
  <c r="AH449" i="176" s="1"/>
  <c r="AI449" i="176" s="1"/>
  <c r="AJ449" i="176" s="1"/>
  <c r="AK449" i="176" s="1"/>
  <c r="P518" i="176"/>
  <c r="K508" i="176"/>
  <c r="K92" i="176" s="1"/>
  <c r="K93" i="176" s="1"/>
  <c r="L478" i="176"/>
  <c r="O454" i="173"/>
  <c r="P454" i="173" s="1"/>
  <c r="Q454" i="173" s="1"/>
  <c r="R454" i="173" s="1"/>
  <c r="S454" i="173" s="1"/>
  <c r="T454" i="173" s="1"/>
  <c r="U454" i="173" s="1"/>
  <c r="V454" i="173" s="1"/>
  <c r="W454" i="173" s="1"/>
  <c r="X454" i="173" s="1"/>
  <c r="Y454" i="173" s="1"/>
  <c r="Z454" i="173" s="1"/>
  <c r="AA454" i="173" s="1"/>
  <c r="AB454" i="173" s="1"/>
  <c r="AC454" i="173" s="1"/>
  <c r="AD454" i="173" s="1"/>
  <c r="Q519" i="176"/>
  <c r="R519" i="176" s="1"/>
  <c r="S519" i="176" s="1"/>
  <c r="T519" i="176" s="1"/>
  <c r="U519" i="176" s="1"/>
  <c r="V519" i="176" s="1"/>
  <c r="W519" i="176" s="1"/>
  <c r="X519" i="176" s="1"/>
  <c r="Y519" i="176" s="1"/>
  <c r="Z519" i="176" s="1"/>
  <c r="AA519" i="176" s="1"/>
  <c r="AB519" i="176" s="1"/>
  <c r="AC519" i="176" s="1"/>
  <c r="AD519" i="176" s="1"/>
  <c r="AE519" i="176" s="1"/>
  <c r="AF519" i="176" s="1"/>
  <c r="AG519" i="176" s="1"/>
  <c r="AH519" i="176" s="1"/>
  <c r="AI519" i="176" s="1"/>
  <c r="AJ519" i="176" s="1"/>
  <c r="AK519" i="176" s="1"/>
  <c r="U46" i="173"/>
  <c r="V42" i="173" s="1"/>
  <c r="J478" i="173"/>
  <c r="L87" i="176"/>
  <c r="Q452" i="173"/>
  <c r="R452" i="173" s="1"/>
  <c r="S452" i="173" s="1"/>
  <c r="T452" i="173" s="1"/>
  <c r="U452" i="173" s="1"/>
  <c r="V452" i="173" s="1"/>
  <c r="W452" i="173" s="1"/>
  <c r="X452" i="173" s="1"/>
  <c r="Y452" i="173" s="1"/>
  <c r="Z452" i="173" s="1"/>
  <c r="AA452" i="173" s="1"/>
  <c r="AB452" i="173" s="1"/>
  <c r="AC452" i="173" s="1"/>
  <c r="AD452" i="173" s="1"/>
  <c r="AH172" i="176"/>
  <c r="AI168" i="176" s="1"/>
  <c r="AI170" i="176" s="1"/>
  <c r="AI171" i="176" s="1"/>
  <c r="Q64" i="173"/>
  <c r="R60" i="173" s="1"/>
  <c r="AG166" i="176"/>
  <c r="AH162" i="176" s="1"/>
  <c r="AH164" i="176" s="1"/>
  <c r="AH165" i="176" s="1"/>
  <c r="P587" i="176"/>
  <c r="Q587" i="176" s="1"/>
  <c r="R587" i="176" s="1"/>
  <c r="S587" i="176" s="1"/>
  <c r="T587" i="176" s="1"/>
  <c r="U587" i="176" s="1"/>
  <c r="V587" i="176" s="1"/>
  <c r="W587" i="176" s="1"/>
  <c r="X587" i="176" s="1"/>
  <c r="Y587" i="176" s="1"/>
  <c r="Z587" i="176" s="1"/>
  <c r="AA587" i="176" s="1"/>
  <c r="AB587" i="176" s="1"/>
  <c r="AC587" i="176" s="1"/>
  <c r="AD587" i="176" s="1"/>
  <c r="AE587" i="176" s="1"/>
  <c r="AF587" i="176" s="1"/>
  <c r="AG587" i="176" s="1"/>
  <c r="AH587" i="176" s="1"/>
  <c r="AI587" i="176" s="1"/>
  <c r="AJ587" i="176" s="1"/>
  <c r="AK587" i="176" s="1"/>
  <c r="AJ128" i="176"/>
  <c r="N75" i="176"/>
  <c r="K509" i="173"/>
  <c r="L509" i="173" s="1"/>
  <c r="M509" i="173" s="1"/>
  <c r="I105" i="176"/>
  <c r="H106" i="176"/>
  <c r="I102" i="176" s="1"/>
  <c r="I106" i="176" s="1"/>
  <c r="J102" i="176" s="1"/>
  <c r="H105" i="176"/>
  <c r="O63" i="176"/>
  <c r="P409" i="176"/>
  <c r="O438" i="176"/>
  <c r="O80" i="176" s="1"/>
  <c r="O81" i="176" s="1"/>
  <c r="N76" i="176"/>
  <c r="O72" i="176" s="1"/>
  <c r="P368" i="176"/>
  <c r="P68" i="176" s="1"/>
  <c r="Q338" i="176"/>
  <c r="I506" i="173"/>
  <c r="I529" i="173" s="1"/>
  <c r="I110" i="173" s="1"/>
  <c r="N76" i="173"/>
  <c r="O72" i="173" s="1"/>
  <c r="AH142" i="176"/>
  <c r="AI138" i="176" s="1"/>
  <c r="N479" i="173"/>
  <c r="O479" i="173" s="1"/>
  <c r="P479" i="173" s="1"/>
  <c r="Q479" i="173" s="1"/>
  <c r="R479" i="173" s="1"/>
  <c r="S479" i="173" s="1"/>
  <c r="T479" i="173" s="1"/>
  <c r="U479" i="173" s="1"/>
  <c r="V479" i="173" s="1"/>
  <c r="W479" i="173" s="1"/>
  <c r="X479" i="173" s="1"/>
  <c r="Y479" i="173" s="1"/>
  <c r="Z479" i="173" s="1"/>
  <c r="AA479" i="173" s="1"/>
  <c r="AB479" i="173" s="1"/>
  <c r="AC479" i="173" s="1"/>
  <c r="AD479" i="173" s="1"/>
  <c r="S310" i="173"/>
  <c r="O403" i="176"/>
  <c r="O74" i="176" s="1"/>
  <c r="O75" i="176" s="1"/>
  <c r="P373" i="176"/>
  <c r="T263" i="176"/>
  <c r="T50" i="176" s="1"/>
  <c r="T51" i="176" s="1"/>
  <c r="U233" i="176"/>
  <c r="AI146" i="176"/>
  <c r="AI147" i="176" s="1"/>
  <c r="S52" i="176"/>
  <c r="T48" i="176" s="1"/>
  <c r="O361" i="173"/>
  <c r="O74" i="173" s="1"/>
  <c r="P338" i="173"/>
  <c r="AH158" i="176"/>
  <c r="AH159" i="176" s="1"/>
  <c r="T255" i="173"/>
  <c r="S277" i="173"/>
  <c r="S56" i="173" s="1"/>
  <c r="S57" i="173" s="1"/>
  <c r="J543" i="176"/>
  <c r="J98" i="176" s="1"/>
  <c r="J100" i="176" s="1"/>
  <c r="K96" i="176" s="1"/>
  <c r="K513" i="176"/>
  <c r="L511" i="173"/>
  <c r="K510" i="173"/>
  <c r="K507" i="173"/>
  <c r="T228" i="176"/>
  <c r="T44" i="176" s="1"/>
  <c r="U198" i="176"/>
  <c r="N75" i="173"/>
  <c r="AH135" i="176"/>
  <c r="AG153" i="176"/>
  <c r="O451" i="173"/>
  <c r="P451" i="173" s="1"/>
  <c r="Q451" i="173" s="1"/>
  <c r="R451" i="173" s="1"/>
  <c r="O70" i="176"/>
  <c r="P66" i="176" s="1"/>
  <c r="S45" i="176"/>
  <c r="Q426" i="173"/>
  <c r="R426" i="173" s="1"/>
  <c r="S426" i="173" s="1"/>
  <c r="T426" i="173" s="1"/>
  <c r="U426" i="173" s="1"/>
  <c r="V426" i="173" s="1"/>
  <c r="W426" i="173" s="1"/>
  <c r="X426" i="173" s="1"/>
  <c r="Y426" i="173" s="1"/>
  <c r="Z426" i="173" s="1"/>
  <c r="AA426" i="173" s="1"/>
  <c r="AB426" i="173" s="1"/>
  <c r="AC426" i="173" s="1"/>
  <c r="AD426" i="173" s="1"/>
  <c r="AH136" i="176"/>
  <c r="AI132" i="176" s="1"/>
  <c r="U231" i="173"/>
  <c r="T249" i="173"/>
  <c r="T50" i="173" s="1"/>
  <c r="T408" i="176"/>
  <c r="L417" i="173"/>
  <c r="L86" i="173" s="1"/>
  <c r="M394" i="173"/>
  <c r="P333" i="176"/>
  <c r="P62" i="176" s="1"/>
  <c r="Q303" i="176"/>
  <c r="AK123" i="176"/>
  <c r="O588" i="176"/>
  <c r="I583" i="176"/>
  <c r="I613" i="176" s="1"/>
  <c r="I110" i="176" s="1"/>
  <c r="I112" i="176" s="1"/>
  <c r="Y198" i="173"/>
  <c r="L450" i="173"/>
  <c r="AH152" i="176"/>
  <c r="AH153" i="176" s="1"/>
  <c r="O64" i="176"/>
  <c r="P60" i="176" s="1"/>
  <c r="N552" i="176"/>
  <c r="O552" i="176" s="1"/>
  <c r="P552" i="176" s="1"/>
  <c r="Q552" i="176" s="1"/>
  <c r="R552" i="176" s="1"/>
  <c r="S552" i="176" s="1"/>
  <c r="T552" i="176" s="1"/>
  <c r="U552" i="176" s="1"/>
  <c r="V552" i="176" s="1"/>
  <c r="W552" i="176" s="1"/>
  <c r="X552" i="176" s="1"/>
  <c r="Y552" i="176" s="1"/>
  <c r="Z552" i="176" s="1"/>
  <c r="AA552" i="176" s="1"/>
  <c r="AB552" i="176" s="1"/>
  <c r="AC552" i="176" s="1"/>
  <c r="AD552" i="176" s="1"/>
  <c r="AE552" i="176" s="1"/>
  <c r="AF552" i="176" s="1"/>
  <c r="AG552" i="176" s="1"/>
  <c r="AH552" i="176" s="1"/>
  <c r="AI552" i="176" s="1"/>
  <c r="AJ552" i="176" s="1"/>
  <c r="AK552" i="176" s="1"/>
  <c r="W226" i="173"/>
  <c r="Q70" i="173"/>
  <c r="R66" i="173" s="1"/>
  <c r="M549" i="176"/>
  <c r="N549" i="176" s="1"/>
  <c r="O549" i="176" s="1"/>
  <c r="P549" i="176" s="1"/>
  <c r="Q549" i="176" s="1"/>
  <c r="R549" i="176" s="1"/>
  <c r="S549" i="176" s="1"/>
  <c r="T549" i="176" s="1"/>
  <c r="U549" i="176" s="1"/>
  <c r="V549" i="176" s="1"/>
  <c r="W549" i="176" s="1"/>
  <c r="S46" i="176"/>
  <c r="T42" i="176" s="1"/>
  <c r="Q366" i="173"/>
  <c r="L481" i="173"/>
  <c r="M481" i="173" s="1"/>
  <c r="N481" i="173" s="1"/>
  <c r="O481" i="173" s="1"/>
  <c r="P481" i="173" s="1"/>
  <c r="Q481" i="173" s="1"/>
  <c r="R481" i="173" s="1"/>
  <c r="S481" i="173" s="1"/>
  <c r="T481" i="173" s="1"/>
  <c r="U481" i="173" s="1"/>
  <c r="V481" i="173" s="1"/>
  <c r="W481" i="173" s="1"/>
  <c r="X481" i="173" s="1"/>
  <c r="Y481" i="173" s="1"/>
  <c r="Z481" i="173" s="1"/>
  <c r="AA481" i="173" s="1"/>
  <c r="AB481" i="173" s="1"/>
  <c r="AC481" i="173" s="1"/>
  <c r="AD481" i="173" s="1"/>
  <c r="M483" i="173"/>
  <c r="N483" i="173" s="1"/>
  <c r="J473" i="173"/>
  <c r="J98" i="173" s="1"/>
  <c r="J100" i="173" s="1"/>
  <c r="K96" i="173" s="1"/>
  <c r="U45" i="173"/>
  <c r="N455" i="173"/>
  <c r="O455" i="173" s="1"/>
  <c r="P455" i="173" s="1"/>
  <c r="Q455" i="173" s="1"/>
  <c r="R455" i="173" s="1"/>
  <c r="S455" i="173" s="1"/>
  <c r="T455" i="173" s="1"/>
  <c r="U455" i="173" s="1"/>
  <c r="V455" i="173" s="1"/>
  <c r="W455" i="173" s="1"/>
  <c r="X455" i="173" s="1"/>
  <c r="W199" i="173"/>
  <c r="V221" i="173"/>
  <c r="V44" i="173" s="1"/>
  <c r="L584" i="176"/>
  <c r="AI129" i="176"/>
  <c r="W254" i="173"/>
  <c r="L482" i="173"/>
  <c r="M482" i="173" s="1"/>
  <c r="N482" i="173" s="1"/>
  <c r="O482" i="173" s="1"/>
  <c r="P482" i="173" s="1"/>
  <c r="Q482" i="173" s="1"/>
  <c r="R482" i="173" s="1"/>
  <c r="S482" i="173" s="1"/>
  <c r="T482" i="173" s="1"/>
  <c r="U482" i="173" s="1"/>
  <c r="V482" i="173" s="1"/>
  <c r="W482" i="173" s="1"/>
  <c r="X482" i="173" s="1"/>
  <c r="Y482" i="173" s="1"/>
  <c r="Z482" i="173" s="1"/>
  <c r="AA482" i="173" s="1"/>
  <c r="AB482" i="173" s="1"/>
  <c r="AC482" i="173" s="1"/>
  <c r="AD482" i="173" s="1"/>
  <c r="R305" i="173"/>
  <c r="R62" i="173" s="1"/>
  <c r="R63" i="173" s="1"/>
  <c r="S282" i="173"/>
  <c r="U468" i="176" l="1"/>
  <c r="V468" i="176" s="1"/>
  <c r="W468" i="176" s="1"/>
  <c r="X468" i="176" s="1"/>
  <c r="AK177" i="176"/>
  <c r="E176" i="176"/>
  <c r="AA354" i="176"/>
  <c r="AB354" i="176" s="1"/>
  <c r="Z318" i="173"/>
  <c r="AA318" i="173" s="1"/>
  <c r="AB318" i="173" s="1"/>
  <c r="AC318" i="173" s="1"/>
  <c r="AD318" i="173" s="1"/>
  <c r="AA295" i="173"/>
  <c r="AB295" i="173" s="1"/>
  <c r="AC295" i="173" s="1"/>
  <c r="AD295" i="173" s="1"/>
  <c r="AF427" i="176"/>
  <c r="AG427" i="176" s="1"/>
  <c r="AH427" i="176" s="1"/>
  <c r="AI427" i="176" s="1"/>
  <c r="AJ427" i="176" s="1"/>
  <c r="AK427" i="176" s="1"/>
  <c r="AJ325" i="176"/>
  <c r="AK325" i="176" s="1"/>
  <c r="AE216" i="176"/>
  <c r="AF216" i="176" s="1"/>
  <c r="AG216" i="176" s="1"/>
  <c r="AH216" i="176" s="1"/>
  <c r="AI216" i="176" s="1"/>
  <c r="AJ216" i="176" s="1"/>
  <c r="AK216" i="176" s="1"/>
  <c r="AA385" i="173"/>
  <c r="AB385" i="173" s="1"/>
  <c r="AD465" i="176"/>
  <c r="AE465" i="176" s="1"/>
  <c r="AB330" i="173"/>
  <c r="AC330" i="173" s="1"/>
  <c r="AD330" i="173" s="1"/>
  <c r="P500" i="173"/>
  <c r="Z462" i="176"/>
  <c r="AA462" i="176" s="1"/>
  <c r="AB462" i="176" s="1"/>
  <c r="P570" i="176"/>
  <c r="Q456" i="173"/>
  <c r="R456" i="173" s="1"/>
  <c r="S456" i="173" s="1"/>
  <c r="AC357" i="176"/>
  <c r="AD357" i="176" s="1"/>
  <c r="Z429" i="176"/>
  <c r="AA429" i="176" s="1"/>
  <c r="AB429" i="176" s="1"/>
  <c r="AJ433" i="176"/>
  <c r="AK433" i="176" s="1"/>
  <c r="R379" i="173"/>
  <c r="S379" i="173" s="1"/>
  <c r="T379" i="173" s="1"/>
  <c r="AA389" i="176"/>
  <c r="AB389" i="176" s="1"/>
  <c r="Y359" i="176"/>
  <c r="Z399" i="176"/>
  <c r="N522" i="173"/>
  <c r="O522" i="173" s="1"/>
  <c r="T383" i="173"/>
  <c r="Z381" i="173"/>
  <c r="AA381" i="173" s="1"/>
  <c r="AB381" i="173" s="1"/>
  <c r="AC381" i="173" s="1"/>
  <c r="AD381" i="173" s="1"/>
  <c r="AC396" i="176"/>
  <c r="AD396" i="176" s="1"/>
  <c r="O528" i="176"/>
  <c r="P528" i="176" s="1"/>
  <c r="W493" i="176"/>
  <c r="X493" i="176" s="1"/>
  <c r="T463" i="176"/>
  <c r="U463" i="176" s="1"/>
  <c r="T416" i="173"/>
  <c r="U416" i="173" s="1"/>
  <c r="V416" i="173" s="1"/>
  <c r="W416" i="173" s="1"/>
  <c r="X416" i="173" s="1"/>
  <c r="Y416" i="173" s="1"/>
  <c r="R526" i="176"/>
  <c r="T507" i="176"/>
  <c r="U507" i="176" s="1"/>
  <c r="V507" i="176" s="1"/>
  <c r="P504" i="176"/>
  <c r="S526" i="176"/>
  <c r="T526" i="176" s="1"/>
  <c r="N494" i="173"/>
  <c r="N571" i="176"/>
  <c r="O571" i="176" s="1"/>
  <c r="P571" i="176" s="1"/>
  <c r="Q571" i="176" s="1"/>
  <c r="R571" i="176" s="1"/>
  <c r="U386" i="176"/>
  <c r="V386" i="176" s="1"/>
  <c r="W386" i="176" s="1"/>
  <c r="AC329" i="173"/>
  <c r="AD329" i="173" s="1"/>
  <c r="AB414" i="173"/>
  <c r="AC414" i="173" s="1"/>
  <c r="S52" i="173"/>
  <c r="T48" i="173" s="1"/>
  <c r="T52" i="173" s="1"/>
  <c r="U48" i="173" s="1"/>
  <c r="AB317" i="176"/>
  <c r="AC317" i="176" s="1"/>
  <c r="AD317" i="176" s="1"/>
  <c r="AE317" i="176" s="1"/>
  <c r="AF317" i="176" s="1"/>
  <c r="AG317" i="176" s="1"/>
  <c r="AH317" i="176" s="1"/>
  <c r="AC213" i="173"/>
  <c r="AD213" i="173" s="1"/>
  <c r="K100" i="173"/>
  <c r="L96" i="173" s="1"/>
  <c r="AF394" i="176"/>
  <c r="AG394" i="176" s="1"/>
  <c r="AH394" i="176" s="1"/>
  <c r="AI394" i="176" s="1"/>
  <c r="AJ394" i="176" s="1"/>
  <c r="AK394" i="176" s="1"/>
  <c r="AA499" i="176"/>
  <c r="AB499" i="176" s="1"/>
  <c r="S412" i="173"/>
  <c r="T412" i="173" s="1"/>
  <c r="AA327" i="173"/>
  <c r="AB327" i="173" s="1"/>
  <c r="R572" i="176"/>
  <c r="S572" i="176" s="1"/>
  <c r="R435" i="173"/>
  <c r="S435" i="173" s="1"/>
  <c r="T435" i="173" s="1"/>
  <c r="AE286" i="176"/>
  <c r="AA351" i="176"/>
  <c r="AB351" i="176" s="1"/>
  <c r="AC351" i="176" s="1"/>
  <c r="AD351" i="176" s="1"/>
  <c r="AE351" i="176" s="1"/>
  <c r="AF351" i="176" s="1"/>
  <c r="AG351" i="176" s="1"/>
  <c r="AH351" i="176" s="1"/>
  <c r="AI351" i="176" s="1"/>
  <c r="AJ351" i="176" s="1"/>
  <c r="AK351" i="176" s="1"/>
  <c r="W497" i="176"/>
  <c r="X497" i="176" s="1"/>
  <c r="U437" i="173"/>
  <c r="V437" i="173" s="1"/>
  <c r="L599" i="176"/>
  <c r="M599" i="176" s="1"/>
  <c r="AA285" i="176"/>
  <c r="AB285" i="176" s="1"/>
  <c r="AC285" i="176" s="1"/>
  <c r="AD285" i="176" s="1"/>
  <c r="W423" i="176"/>
  <c r="X423" i="176" s="1"/>
  <c r="Y423" i="176" s="1"/>
  <c r="M527" i="173"/>
  <c r="N527" i="173" s="1"/>
  <c r="M601" i="176"/>
  <c r="P441" i="173"/>
  <c r="Q441" i="173" s="1"/>
  <c r="Q463" i="173"/>
  <c r="R463" i="173" s="1"/>
  <c r="Z326" i="173"/>
  <c r="O491" i="173"/>
  <c r="P491" i="173" s="1"/>
  <c r="Q491" i="173" s="1"/>
  <c r="R491" i="173" s="1"/>
  <c r="X217" i="176"/>
  <c r="U359" i="173"/>
  <c r="AE431" i="176"/>
  <c r="AF431" i="176" s="1"/>
  <c r="AG431" i="176" s="1"/>
  <c r="N82" i="173"/>
  <c r="O78" i="173" s="1"/>
  <c r="O82" i="173" s="1"/>
  <c r="P78" i="173" s="1"/>
  <c r="T298" i="176"/>
  <c r="T56" i="176" s="1"/>
  <c r="Q442" i="173"/>
  <c r="R442" i="173" s="1"/>
  <c r="AC466" i="176"/>
  <c r="AD466" i="176" s="1"/>
  <c r="O81" i="173"/>
  <c r="Q470" i="176"/>
  <c r="R470" i="176" s="1"/>
  <c r="X387" i="176"/>
  <c r="Y387" i="176" s="1"/>
  <c r="Z387" i="176" s="1"/>
  <c r="X421" i="176"/>
  <c r="Y421" i="176" s="1"/>
  <c r="Z421" i="176" s="1"/>
  <c r="AA421" i="176" s="1"/>
  <c r="AB421" i="176" s="1"/>
  <c r="AC421" i="176" s="1"/>
  <c r="AD421" i="176" s="1"/>
  <c r="AE421" i="176" s="1"/>
  <c r="AF421" i="176" s="1"/>
  <c r="AG421" i="176" s="1"/>
  <c r="AH421" i="176" s="1"/>
  <c r="AI421" i="176" s="1"/>
  <c r="AJ421" i="176" s="1"/>
  <c r="AK421" i="176" s="1"/>
  <c r="AJ323" i="176"/>
  <c r="AK323" i="176" s="1"/>
  <c r="Z351" i="173"/>
  <c r="AA351" i="173" s="1"/>
  <c r="AB351" i="173" s="1"/>
  <c r="AC351" i="173" s="1"/>
  <c r="AD351" i="173" s="1"/>
  <c r="X247" i="176"/>
  <c r="AI435" i="176"/>
  <c r="AJ435" i="176" s="1"/>
  <c r="AK435" i="176" s="1"/>
  <c r="Y458" i="176"/>
  <c r="Z458" i="176" s="1"/>
  <c r="Z213" i="176"/>
  <c r="AA213" i="176" s="1"/>
  <c r="AB213" i="176" s="1"/>
  <c r="AC213" i="176" s="1"/>
  <c r="AD213" i="176" s="1"/>
  <c r="AE213" i="176" s="1"/>
  <c r="AF213" i="176" s="1"/>
  <c r="AG213" i="176" s="1"/>
  <c r="AF326" i="176"/>
  <c r="AG326" i="176" s="1"/>
  <c r="AH326" i="176" s="1"/>
  <c r="AI326" i="176" s="1"/>
  <c r="AJ326" i="176" s="1"/>
  <c r="AK326" i="176" s="1"/>
  <c r="AD360" i="173"/>
  <c r="M445" i="173"/>
  <c r="M92" i="173" s="1"/>
  <c r="M93" i="173" s="1"/>
  <c r="W297" i="173"/>
  <c r="X297" i="173" s="1"/>
  <c r="AD321" i="176"/>
  <c r="AE321" i="176" s="1"/>
  <c r="L94" i="173"/>
  <c r="M90" i="173" s="1"/>
  <c r="AE390" i="176"/>
  <c r="AF390" i="176" s="1"/>
  <c r="AG390" i="176" s="1"/>
  <c r="AH390" i="176" s="1"/>
  <c r="AI390" i="176" s="1"/>
  <c r="AJ390" i="176" s="1"/>
  <c r="AK390" i="176" s="1"/>
  <c r="R333" i="173"/>
  <c r="R68" i="173" s="1"/>
  <c r="R69" i="173" s="1"/>
  <c r="M612" i="176"/>
  <c r="N612" i="176" s="1"/>
  <c r="AD289" i="176"/>
  <c r="AE289" i="176" s="1"/>
  <c r="Q443" i="173"/>
  <c r="R443" i="173" s="1"/>
  <c r="S443" i="173" s="1"/>
  <c r="T443" i="173" s="1"/>
  <c r="U443" i="173" s="1"/>
  <c r="V443" i="173" s="1"/>
  <c r="W443" i="173" s="1"/>
  <c r="Q469" i="173"/>
  <c r="U461" i="176"/>
  <c r="V461" i="176" s="1"/>
  <c r="W461" i="176" s="1"/>
  <c r="X461" i="176" s="1"/>
  <c r="Y461" i="176" s="1"/>
  <c r="T469" i="176"/>
  <c r="U469" i="176" s="1"/>
  <c r="V469" i="176" s="1"/>
  <c r="W469" i="176" s="1"/>
  <c r="X469" i="176" s="1"/>
  <c r="Y469" i="176" s="1"/>
  <c r="Z469" i="176" s="1"/>
  <c r="AA469" i="176" s="1"/>
  <c r="AB469" i="176" s="1"/>
  <c r="AC469" i="176" s="1"/>
  <c r="AD469" i="176" s="1"/>
  <c r="AE469" i="176" s="1"/>
  <c r="AF469" i="176" s="1"/>
  <c r="AG469" i="176" s="1"/>
  <c r="U457" i="176"/>
  <c r="V457" i="176" s="1"/>
  <c r="N568" i="176"/>
  <c r="O568" i="176" s="1"/>
  <c r="P568" i="176" s="1"/>
  <c r="Q568" i="176" s="1"/>
  <c r="R568" i="176" s="1"/>
  <c r="N465" i="173"/>
  <c r="O465" i="173" s="1"/>
  <c r="P576" i="176"/>
  <c r="AD384" i="173"/>
  <c r="O499" i="173"/>
  <c r="P499" i="173" s="1"/>
  <c r="P538" i="176"/>
  <c r="AG398" i="176"/>
  <c r="AH398" i="176" s="1"/>
  <c r="P494" i="176"/>
  <c r="Q494" i="176" s="1"/>
  <c r="R494" i="176" s="1"/>
  <c r="S494" i="176" s="1"/>
  <c r="T494" i="176" s="1"/>
  <c r="U494" i="176" s="1"/>
  <c r="V494" i="176" s="1"/>
  <c r="W494" i="176" s="1"/>
  <c r="X494" i="176" s="1"/>
  <c r="S415" i="173"/>
  <c r="T415" i="173" s="1"/>
  <c r="U415" i="173" s="1"/>
  <c r="V415" i="173" s="1"/>
  <c r="W415" i="173" s="1"/>
  <c r="X415" i="173" s="1"/>
  <c r="Y415" i="173" s="1"/>
  <c r="Z415" i="173" s="1"/>
  <c r="AA415" i="173" s="1"/>
  <c r="AB415" i="173" s="1"/>
  <c r="M565" i="176"/>
  <c r="N565" i="176" s="1"/>
  <c r="R471" i="176"/>
  <c r="S471" i="176" s="1"/>
  <c r="T471" i="176" s="1"/>
  <c r="U471" i="176" s="1"/>
  <c r="V471" i="176" s="1"/>
  <c r="W471" i="176" s="1"/>
  <c r="X471" i="176" s="1"/>
  <c r="Y471" i="176" s="1"/>
  <c r="N464" i="173"/>
  <c r="U425" i="176"/>
  <c r="P389" i="173"/>
  <c r="P80" i="173" s="1"/>
  <c r="P81" i="173" s="1"/>
  <c r="P500" i="176"/>
  <c r="L523" i="173"/>
  <c r="M523" i="173" s="1"/>
  <c r="W353" i="173"/>
  <c r="X353" i="173" s="1"/>
  <c r="AC296" i="173"/>
  <c r="AD296" i="173" s="1"/>
  <c r="AA283" i="176"/>
  <c r="P541" i="176"/>
  <c r="AA269" i="173"/>
  <c r="AB269" i="173" s="1"/>
  <c r="AC269" i="173" s="1"/>
  <c r="AD269" i="173" s="1"/>
  <c r="U382" i="173"/>
  <c r="V282" i="176"/>
  <c r="N530" i="176"/>
  <c r="T407" i="173"/>
  <c r="U407" i="173" s="1"/>
  <c r="V407" i="173" s="1"/>
  <c r="P460" i="176"/>
  <c r="V324" i="176"/>
  <c r="L610" i="176"/>
  <c r="M610" i="176" s="1"/>
  <c r="O540" i="176"/>
  <c r="Q387" i="173"/>
  <c r="V354" i="173"/>
  <c r="S491" i="176"/>
  <c r="T491" i="176" s="1"/>
  <c r="Q502" i="176"/>
  <c r="AB467" i="176"/>
  <c r="AC467" i="176" s="1"/>
  <c r="AD467" i="176" s="1"/>
  <c r="AE467" i="176" s="1"/>
  <c r="AH319" i="176"/>
  <c r="AI319" i="176" s="1"/>
  <c r="AJ319" i="176" s="1"/>
  <c r="AK319" i="176" s="1"/>
  <c r="Q570" i="176"/>
  <c r="R570" i="176" s="1"/>
  <c r="S570" i="176" s="1"/>
  <c r="T570" i="176" s="1"/>
  <c r="U570" i="176" s="1"/>
  <c r="V570" i="176" s="1"/>
  <c r="W570" i="176" s="1"/>
  <c r="X570" i="176" s="1"/>
  <c r="Y570" i="176" s="1"/>
  <c r="Z570" i="176" s="1"/>
  <c r="AA570" i="176" s="1"/>
  <c r="AB570" i="176" s="1"/>
  <c r="AC570" i="176" s="1"/>
  <c r="T408" i="173"/>
  <c r="W245" i="173"/>
  <c r="W323" i="173"/>
  <c r="X323" i="173" s="1"/>
  <c r="U439" i="173"/>
  <c r="V439" i="173" s="1"/>
  <c r="W439" i="173" s="1"/>
  <c r="X439" i="173" s="1"/>
  <c r="P536" i="176"/>
  <c r="R430" i="176"/>
  <c r="W270" i="173"/>
  <c r="N525" i="173"/>
  <c r="O525" i="173" s="1"/>
  <c r="O527" i="176"/>
  <c r="P527" i="176" s="1"/>
  <c r="O498" i="176"/>
  <c r="P498" i="176" s="1"/>
  <c r="Q498" i="176" s="1"/>
  <c r="X268" i="173"/>
  <c r="Y268" i="173" s="1"/>
  <c r="Z268" i="173" s="1"/>
  <c r="AA268" i="173" s="1"/>
  <c r="AB268" i="173" s="1"/>
  <c r="AC268" i="173" s="1"/>
  <c r="AD268" i="173" s="1"/>
  <c r="N432" i="173"/>
  <c r="O432" i="173" s="1"/>
  <c r="O445" i="173" s="1"/>
  <c r="O92" i="173" s="1"/>
  <c r="P573" i="176"/>
  <c r="T356" i="176"/>
  <c r="N604" i="176"/>
  <c r="V434" i="176"/>
  <c r="W434" i="176" s="1"/>
  <c r="X434" i="176" s="1"/>
  <c r="Y434" i="176" s="1"/>
  <c r="Z434" i="176" s="1"/>
  <c r="AA434" i="176" s="1"/>
  <c r="AB434" i="176" s="1"/>
  <c r="AC434" i="176" s="1"/>
  <c r="AD434" i="176" s="1"/>
  <c r="AE434" i="176" s="1"/>
  <c r="AF434" i="176" s="1"/>
  <c r="AG434" i="176" s="1"/>
  <c r="AH434" i="176" s="1"/>
  <c r="AI434" i="176" s="1"/>
  <c r="R466" i="173"/>
  <c r="O577" i="176"/>
  <c r="S459" i="176"/>
  <c r="T459" i="176"/>
  <c r="U459" i="176" s="1"/>
  <c r="V459" i="176" s="1"/>
  <c r="W459" i="176" s="1"/>
  <c r="AB211" i="176"/>
  <c r="AC211" i="176" s="1"/>
  <c r="AD211" i="176" s="1"/>
  <c r="AE211" i="176" s="1"/>
  <c r="AF211" i="176" s="1"/>
  <c r="AG211" i="176" s="1"/>
  <c r="AH211" i="176" s="1"/>
  <c r="AI211" i="176" s="1"/>
  <c r="AJ211" i="176" s="1"/>
  <c r="S444" i="173"/>
  <c r="P503" i="176"/>
  <c r="R505" i="176"/>
  <c r="S505" i="176" s="1"/>
  <c r="T505" i="176" s="1"/>
  <c r="U505" i="176" s="1"/>
  <c r="S456" i="176"/>
  <c r="R397" i="176"/>
  <c r="Q501" i="176"/>
  <c r="V253" i="176"/>
  <c r="M567" i="176"/>
  <c r="T352" i="176"/>
  <c r="S492" i="176"/>
  <c r="N598" i="176"/>
  <c r="U287" i="176"/>
  <c r="V287" i="176" s="1"/>
  <c r="W287" i="176" s="1"/>
  <c r="X287" i="176" s="1"/>
  <c r="Y287" i="176" s="1"/>
  <c r="Z287" i="176" s="1"/>
  <c r="AA287" i="176" s="1"/>
  <c r="AB287" i="176" s="1"/>
  <c r="AC287" i="176" s="1"/>
  <c r="AD287" i="176" s="1"/>
  <c r="P438" i="173"/>
  <c r="Q438" i="173" s="1"/>
  <c r="R438" i="173" s="1"/>
  <c r="S438" i="173" s="1"/>
  <c r="T438" i="173" s="1"/>
  <c r="U438" i="173" s="1"/>
  <c r="V438" i="173" s="1"/>
  <c r="W438" i="173" s="1"/>
  <c r="R436" i="173"/>
  <c r="U299" i="173"/>
  <c r="V299" i="173" s="1"/>
  <c r="W299" i="173" s="1"/>
  <c r="X299" i="173" s="1"/>
  <c r="Y299" i="173" s="1"/>
  <c r="Z299" i="173" s="1"/>
  <c r="AA299" i="173" s="1"/>
  <c r="AB299" i="173" s="1"/>
  <c r="AC299" i="173" s="1"/>
  <c r="AD299" i="173" s="1"/>
  <c r="O529" i="176"/>
  <c r="P529" i="176" s="1"/>
  <c r="Q471" i="173"/>
  <c r="Q472" i="173"/>
  <c r="R472" i="173" s="1"/>
  <c r="S472" i="173" s="1"/>
  <c r="T472" i="173" s="1"/>
  <c r="U472" i="173" s="1"/>
  <c r="V472" i="173" s="1"/>
  <c r="W472" i="173" s="1"/>
  <c r="X472" i="173" s="1"/>
  <c r="Y472" i="173" s="1"/>
  <c r="Z472" i="173" s="1"/>
  <c r="AA472" i="173" s="1"/>
  <c r="AB472" i="173" s="1"/>
  <c r="V392" i="176"/>
  <c r="K528" i="173"/>
  <c r="L528" i="173" s="1"/>
  <c r="M528" i="173" s="1"/>
  <c r="T386" i="173"/>
  <c r="O493" i="173"/>
  <c r="N563" i="176"/>
  <c r="P467" i="173"/>
  <c r="Q467" i="173" s="1"/>
  <c r="R467" i="173" s="1"/>
  <c r="N542" i="176"/>
  <c r="O542" i="176" s="1"/>
  <c r="Q500" i="173"/>
  <c r="P464" i="176"/>
  <c r="N535" i="176"/>
  <c r="O535" i="176" s="1"/>
  <c r="P535" i="176" s="1"/>
  <c r="Q535" i="176" s="1"/>
  <c r="R535" i="176" s="1"/>
  <c r="S535" i="176" s="1"/>
  <c r="T535" i="176" s="1"/>
  <c r="U535" i="176" s="1"/>
  <c r="V535" i="176" s="1"/>
  <c r="W535" i="176" s="1"/>
  <c r="X535" i="176" s="1"/>
  <c r="Y535" i="176" s="1"/>
  <c r="Z535" i="176" s="1"/>
  <c r="AA535" i="176" s="1"/>
  <c r="AB535" i="176" s="1"/>
  <c r="AC535" i="176" s="1"/>
  <c r="W406" i="173"/>
  <c r="X406" i="173" s="1"/>
  <c r="Y406" i="173" s="1"/>
  <c r="Z406" i="173" s="1"/>
  <c r="AA406" i="173" s="1"/>
  <c r="AB406" i="173" s="1"/>
  <c r="AC406" i="173" s="1"/>
  <c r="AD406" i="173" s="1"/>
  <c r="M606" i="176"/>
  <c r="N606" i="176" s="1"/>
  <c r="L519" i="173"/>
  <c r="R410" i="173"/>
  <c r="N566" i="176"/>
  <c r="S402" i="176"/>
  <c r="T402" i="176" s="1"/>
  <c r="U402" i="176" s="1"/>
  <c r="V402" i="176" s="1"/>
  <c r="W402" i="176" s="1"/>
  <c r="X402" i="176" s="1"/>
  <c r="Y402" i="176" s="1"/>
  <c r="Z402" i="176" s="1"/>
  <c r="AA402" i="176" s="1"/>
  <c r="AB402" i="176" s="1"/>
  <c r="AC402" i="176" s="1"/>
  <c r="AD402" i="176" s="1"/>
  <c r="AE402" i="176" s="1"/>
  <c r="AF402" i="176" s="1"/>
  <c r="AG402" i="176" s="1"/>
  <c r="AH402" i="176" s="1"/>
  <c r="AI402" i="176" s="1"/>
  <c r="AJ402" i="176" s="1"/>
  <c r="M492" i="173"/>
  <c r="N492" i="173" s="1"/>
  <c r="L602" i="176"/>
  <c r="M602" i="176" s="1"/>
  <c r="M575" i="176"/>
  <c r="R440" i="173"/>
  <c r="S440" i="173" s="1"/>
  <c r="T440" i="173" s="1"/>
  <c r="U440" i="173" s="1"/>
  <c r="V440" i="173" s="1"/>
  <c r="W440" i="173" s="1"/>
  <c r="X440" i="173" s="1"/>
  <c r="Y440" i="173" s="1"/>
  <c r="U393" i="176"/>
  <c r="AF248" i="176"/>
  <c r="AG248" i="176" s="1"/>
  <c r="AH248" i="176" s="1"/>
  <c r="AI248" i="176" s="1"/>
  <c r="AJ248" i="176" s="1"/>
  <c r="AK248" i="176" s="1"/>
  <c r="S472" i="176"/>
  <c r="P468" i="173"/>
  <c r="Q468" i="173" s="1"/>
  <c r="O531" i="176"/>
  <c r="L562" i="176"/>
  <c r="M562" i="176"/>
  <c r="O537" i="176"/>
  <c r="N498" i="173"/>
  <c r="V331" i="173"/>
  <c r="W331" i="173" s="1"/>
  <c r="X331" i="173" s="1"/>
  <c r="Y331" i="173" s="1"/>
  <c r="Z331" i="173" s="1"/>
  <c r="AA331" i="173" s="1"/>
  <c r="AB331" i="173" s="1"/>
  <c r="AC331" i="173" s="1"/>
  <c r="AD331" i="173" s="1"/>
  <c r="U380" i="173"/>
  <c r="V380" i="173" s="1"/>
  <c r="Q534" i="176"/>
  <c r="R534" i="176"/>
  <c r="P496" i="176"/>
  <c r="Q496" i="176" s="1"/>
  <c r="S436" i="176"/>
  <c r="T436" i="176" s="1"/>
  <c r="U436" i="176" s="1"/>
  <c r="V436" i="176" s="1"/>
  <c r="W436" i="176" s="1"/>
  <c r="X436" i="176" s="1"/>
  <c r="Y436" i="176" s="1"/>
  <c r="Z436" i="176" s="1"/>
  <c r="AA436" i="176" s="1"/>
  <c r="AB436" i="176" s="1"/>
  <c r="AC436" i="176" s="1"/>
  <c r="AD436" i="176" s="1"/>
  <c r="AE436" i="176" s="1"/>
  <c r="AF436" i="176" s="1"/>
  <c r="AG436" i="176" s="1"/>
  <c r="AH436" i="176" s="1"/>
  <c r="AI436" i="176" s="1"/>
  <c r="AD328" i="173"/>
  <c r="N564" i="176"/>
  <c r="N561" i="176"/>
  <c r="N605" i="176"/>
  <c r="O605" i="176" s="1"/>
  <c r="X424" i="176"/>
  <c r="Y424" i="176" s="1"/>
  <c r="Z424" i="176" s="1"/>
  <c r="M524" i="173"/>
  <c r="P532" i="176"/>
  <c r="Q532" i="176"/>
  <c r="T391" i="176"/>
  <c r="L495" i="173"/>
  <c r="S432" i="176"/>
  <c r="T432" i="176" s="1"/>
  <c r="U432" i="176" s="1"/>
  <c r="V432" i="176" s="1"/>
  <c r="W432" i="176" s="1"/>
  <c r="X432" i="176" s="1"/>
  <c r="Y432" i="176" s="1"/>
  <c r="Z432" i="176" s="1"/>
  <c r="AA432" i="176" s="1"/>
  <c r="AB432" i="176" s="1"/>
  <c r="AC432" i="176" s="1"/>
  <c r="AD432" i="176" s="1"/>
  <c r="AE432" i="176" s="1"/>
  <c r="L596" i="176"/>
  <c r="N533" i="176"/>
  <c r="Q411" i="173"/>
  <c r="O497" i="173"/>
  <c r="W355" i="173"/>
  <c r="Z437" i="176"/>
  <c r="M574" i="176"/>
  <c r="T426" i="176"/>
  <c r="R470" i="173"/>
  <c r="S470" i="173" s="1"/>
  <c r="P495" i="176"/>
  <c r="X320" i="176"/>
  <c r="Y320" i="176" s="1"/>
  <c r="Z320" i="176" s="1"/>
  <c r="AA320" i="176" s="1"/>
  <c r="AB320" i="176" s="1"/>
  <c r="V506" i="176"/>
  <c r="W506" i="176" s="1"/>
  <c r="X506" i="176" s="1"/>
  <c r="Y506" i="176" s="1"/>
  <c r="Z506" i="176" s="1"/>
  <c r="AA506" i="176" s="1"/>
  <c r="AB506" i="176" s="1"/>
  <c r="AC506" i="176" s="1"/>
  <c r="AD506" i="176" s="1"/>
  <c r="AE506" i="176" s="1"/>
  <c r="AF506" i="176" s="1"/>
  <c r="AG506" i="176" s="1"/>
  <c r="AH506" i="176" s="1"/>
  <c r="AI506" i="176" s="1"/>
  <c r="N600" i="176"/>
  <c r="O600" i="176" s="1"/>
  <c r="Z240" i="173"/>
  <c r="AA240" i="173" s="1"/>
  <c r="AB240" i="173" s="1"/>
  <c r="AC240" i="173" s="1"/>
  <c r="AD240" i="173" s="1"/>
  <c r="X409" i="173"/>
  <c r="Z303" i="173"/>
  <c r="O539" i="176"/>
  <c r="Q413" i="173"/>
  <c r="T428" i="176"/>
  <c r="Y422" i="176"/>
  <c r="P569" i="176"/>
  <c r="S358" i="176"/>
  <c r="T358" i="176" s="1"/>
  <c r="U358" i="176" s="1"/>
  <c r="V358" i="176" s="1"/>
  <c r="W358" i="176" s="1"/>
  <c r="X358" i="176" s="1"/>
  <c r="Y358" i="176" s="1"/>
  <c r="Z358" i="176" s="1"/>
  <c r="AA358" i="176" s="1"/>
  <c r="AB358" i="176" s="1"/>
  <c r="AC358" i="176" s="1"/>
  <c r="U322" i="176"/>
  <c r="V322" i="176" s="1"/>
  <c r="W322" i="176" s="1"/>
  <c r="X322" i="176" s="1"/>
  <c r="Y322" i="176" s="1"/>
  <c r="Z322" i="176" s="1"/>
  <c r="AA322" i="176" s="1"/>
  <c r="AK395" i="176"/>
  <c r="V352" i="173"/>
  <c r="W352" i="173" s="1"/>
  <c r="X352" i="173" s="1"/>
  <c r="S513" i="173"/>
  <c r="T513" i="173" s="1"/>
  <c r="V378" i="173"/>
  <c r="W378" i="173" s="1"/>
  <c r="U268" i="176"/>
  <c r="M597" i="176"/>
  <c r="L520" i="173"/>
  <c r="M496" i="173"/>
  <c r="L607" i="176"/>
  <c r="P554" i="176"/>
  <c r="Q554" i="176" s="1"/>
  <c r="L608" i="176"/>
  <c r="M526" i="173"/>
  <c r="V345" i="173"/>
  <c r="W345" i="173" s="1"/>
  <c r="X345" i="173" s="1"/>
  <c r="Y345" i="173" s="1"/>
  <c r="Z345" i="173" s="1"/>
  <c r="AA345" i="173" s="1"/>
  <c r="AB345" i="173" s="1"/>
  <c r="AC345" i="173" s="1"/>
  <c r="AD345" i="173" s="1"/>
  <c r="L609" i="176"/>
  <c r="L603" i="176"/>
  <c r="M603" i="176" s="1"/>
  <c r="L521" i="173"/>
  <c r="M521" i="173"/>
  <c r="L611" i="176"/>
  <c r="M611" i="176" s="1"/>
  <c r="T52" i="176"/>
  <c r="U48" i="176" s="1"/>
  <c r="S298" i="176"/>
  <c r="S56" i="176" s="1"/>
  <c r="S57" i="176" s="1"/>
  <c r="K94" i="176"/>
  <c r="L90" i="176" s="1"/>
  <c r="W342" i="173"/>
  <c r="X342" i="173" s="1"/>
  <c r="Y342" i="173" s="1"/>
  <c r="Z342" i="173" s="1"/>
  <c r="AA342" i="173" s="1"/>
  <c r="AB342" i="173" s="1"/>
  <c r="AC342" i="173" s="1"/>
  <c r="AD342" i="173" s="1"/>
  <c r="Q487" i="176"/>
  <c r="R487" i="176" s="1"/>
  <c r="S487" i="176" s="1"/>
  <c r="R405" i="173"/>
  <c r="S405" i="173" s="1"/>
  <c r="T405" i="173" s="1"/>
  <c r="X383" i="176"/>
  <c r="Y383" i="176" s="1"/>
  <c r="Z383" i="176" s="1"/>
  <c r="AA383" i="176" s="1"/>
  <c r="AB383" i="176" s="1"/>
  <c r="AC383" i="176" s="1"/>
  <c r="AD383" i="176" s="1"/>
  <c r="AE383" i="176" s="1"/>
  <c r="R484" i="173"/>
  <c r="S484" i="173" s="1"/>
  <c r="Q520" i="176"/>
  <c r="R520" i="176" s="1"/>
  <c r="S520" i="176" s="1"/>
  <c r="P458" i="173"/>
  <c r="Q458" i="173" s="1"/>
  <c r="R458" i="173" s="1"/>
  <c r="S458" i="173" s="1"/>
  <c r="L514" i="173"/>
  <c r="M514" i="173" s="1"/>
  <c r="N514" i="173" s="1"/>
  <c r="P591" i="176"/>
  <c r="Q591" i="176" s="1"/>
  <c r="X455" i="176"/>
  <c r="Y455" i="176" s="1"/>
  <c r="Z455" i="176" s="1"/>
  <c r="N512" i="173"/>
  <c r="O512" i="173" s="1"/>
  <c r="P512" i="173" s="1"/>
  <c r="U419" i="176"/>
  <c r="V419" i="176" s="1"/>
  <c r="W419" i="176" s="1"/>
  <c r="W384" i="176"/>
  <c r="X384" i="176" s="1"/>
  <c r="Y384" i="176" s="1"/>
  <c r="Z384" i="176" s="1"/>
  <c r="AA384" i="176" s="1"/>
  <c r="AB384" i="176" s="1"/>
  <c r="AC384" i="176" s="1"/>
  <c r="AD384" i="176" s="1"/>
  <c r="AE384" i="176" s="1"/>
  <c r="AF384" i="176" s="1"/>
  <c r="AG384" i="176" s="1"/>
  <c r="AH384" i="176" s="1"/>
  <c r="AI384" i="176" s="1"/>
  <c r="AJ384" i="176" s="1"/>
  <c r="AK384" i="176" s="1"/>
  <c r="P433" i="173"/>
  <c r="R404" i="173"/>
  <c r="S404" i="173" s="1"/>
  <c r="T404" i="173" s="1"/>
  <c r="U404" i="173" s="1"/>
  <c r="R402" i="173"/>
  <c r="R457" i="173"/>
  <c r="S457" i="173" s="1"/>
  <c r="AK312" i="176"/>
  <c r="N555" i="176"/>
  <c r="O555" i="176" s="1"/>
  <c r="V375" i="173"/>
  <c r="W375" i="173" s="1"/>
  <c r="X375" i="173" s="1"/>
  <c r="Y375" i="173" s="1"/>
  <c r="Z375" i="173" s="1"/>
  <c r="AA375" i="173" s="1"/>
  <c r="AB375" i="173" s="1"/>
  <c r="AC375" i="173" s="1"/>
  <c r="AD375" i="173" s="1"/>
  <c r="X401" i="173"/>
  <c r="Y401" i="173" s="1"/>
  <c r="Z401" i="173" s="1"/>
  <c r="AA401" i="173" s="1"/>
  <c r="S484" i="176"/>
  <c r="R486" i="176"/>
  <c r="S486" i="176" s="1"/>
  <c r="T486" i="176" s="1"/>
  <c r="Q422" i="173"/>
  <c r="R422" i="173" s="1"/>
  <c r="T521" i="176"/>
  <c r="M592" i="176"/>
  <c r="AB400" i="173"/>
  <c r="AC400" i="173" s="1"/>
  <c r="AD400" i="173" s="1"/>
  <c r="U488" i="176"/>
  <c r="V488" i="176" s="1"/>
  <c r="O559" i="176"/>
  <c r="P559" i="176" s="1"/>
  <c r="Q559" i="176" s="1"/>
  <c r="Y290" i="173"/>
  <c r="Z290" i="173" s="1"/>
  <c r="AA290" i="173" s="1"/>
  <c r="AB290" i="173" s="1"/>
  <c r="AC290" i="173" s="1"/>
  <c r="AD290" i="173" s="1"/>
  <c r="J506" i="173"/>
  <c r="P462" i="173"/>
  <c r="Q462" i="173" s="1"/>
  <c r="P556" i="176"/>
  <c r="V558" i="176"/>
  <c r="W558" i="176" s="1"/>
  <c r="R428" i="173"/>
  <c r="S428" i="173" s="1"/>
  <c r="T428" i="173" s="1"/>
  <c r="U428" i="173" s="1"/>
  <c r="V428" i="173" s="1"/>
  <c r="L589" i="176"/>
  <c r="M589" i="176" s="1"/>
  <c r="Y321" i="173"/>
  <c r="Z321" i="173" s="1"/>
  <c r="AA321" i="173" s="1"/>
  <c r="AB321" i="173" s="1"/>
  <c r="AC321" i="173" s="1"/>
  <c r="L516" i="173"/>
  <c r="T418" i="176"/>
  <c r="U418" i="176" s="1"/>
  <c r="U376" i="173"/>
  <c r="N524" i="176"/>
  <c r="Q430" i="173"/>
  <c r="R430" i="173" s="1"/>
  <c r="Q557" i="176"/>
  <c r="N490" i="173"/>
  <c r="O490" i="173" s="1"/>
  <c r="P490" i="173" s="1"/>
  <c r="Q517" i="173"/>
  <c r="S595" i="176"/>
  <c r="T595" i="176" s="1"/>
  <c r="U595" i="176" s="1"/>
  <c r="L594" i="176"/>
  <c r="N461" i="173"/>
  <c r="M593" i="176"/>
  <c r="X490" i="176"/>
  <c r="Y490" i="176" s="1"/>
  <c r="Z490" i="176" s="1"/>
  <c r="AA490" i="176" s="1"/>
  <c r="AB490" i="176" s="1"/>
  <c r="AC490" i="176" s="1"/>
  <c r="AD490" i="176" s="1"/>
  <c r="AE490" i="176" s="1"/>
  <c r="AF490" i="176" s="1"/>
  <c r="AG490" i="176" s="1"/>
  <c r="AH490" i="176" s="1"/>
  <c r="AI490" i="176" s="1"/>
  <c r="AJ490" i="176" s="1"/>
  <c r="AK490" i="176" s="1"/>
  <c r="M88" i="176"/>
  <c r="N84" i="176" s="1"/>
  <c r="L485" i="173"/>
  <c r="M590" i="176"/>
  <c r="N590" i="176" s="1"/>
  <c r="N522" i="176"/>
  <c r="P489" i="176"/>
  <c r="Q489" i="176" s="1"/>
  <c r="R489" i="176" s="1"/>
  <c r="Q487" i="173"/>
  <c r="S416" i="176"/>
  <c r="T416" i="176" s="1"/>
  <c r="U416" i="176" s="1"/>
  <c r="V416" i="176" s="1"/>
  <c r="W416" i="176" s="1"/>
  <c r="X416" i="176" s="1"/>
  <c r="Y416" i="176" s="1"/>
  <c r="Z416" i="176" s="1"/>
  <c r="AA416" i="176" s="1"/>
  <c r="AB416" i="176" s="1"/>
  <c r="AC416" i="176" s="1"/>
  <c r="AD416" i="176" s="1"/>
  <c r="AE416" i="176" s="1"/>
  <c r="AF416" i="176" s="1"/>
  <c r="AG416" i="176" s="1"/>
  <c r="AH416" i="176" s="1"/>
  <c r="AI416" i="176" s="1"/>
  <c r="AJ416" i="176" s="1"/>
  <c r="AK416" i="176" s="1"/>
  <c r="K548" i="176"/>
  <c r="L548" i="176" s="1"/>
  <c r="N525" i="176"/>
  <c r="T459" i="173"/>
  <c r="U459" i="173" s="1"/>
  <c r="V459" i="173" s="1"/>
  <c r="W459" i="173" s="1"/>
  <c r="X459" i="173" s="1"/>
  <c r="Y459" i="173" s="1"/>
  <c r="Z459" i="173" s="1"/>
  <c r="AA459" i="173" s="1"/>
  <c r="AB459" i="173" s="1"/>
  <c r="AC459" i="173" s="1"/>
  <c r="AD459" i="173" s="1"/>
  <c r="R434" i="173"/>
  <c r="R454" i="176"/>
  <c r="S454" i="176" s="1"/>
  <c r="T454" i="176" s="1"/>
  <c r="U454" i="176" s="1"/>
  <c r="T350" i="173"/>
  <c r="U350" i="173" s="1"/>
  <c r="V350" i="173" s="1"/>
  <c r="W350" i="173" s="1"/>
  <c r="X350" i="173" s="1"/>
  <c r="Y350" i="173" s="1"/>
  <c r="P488" i="173"/>
  <c r="T373" i="173"/>
  <c r="N515" i="173"/>
  <c r="O515" i="173" s="1"/>
  <c r="S385" i="176"/>
  <c r="T385" i="176" s="1"/>
  <c r="U385" i="176" s="1"/>
  <c r="AD347" i="173"/>
  <c r="W431" i="173"/>
  <c r="X431" i="173" s="1"/>
  <c r="Y431" i="173" s="1"/>
  <c r="Z431" i="173" s="1"/>
  <c r="AA431" i="173" s="1"/>
  <c r="AB431" i="173" s="1"/>
  <c r="AC431" i="173" s="1"/>
  <c r="AD431" i="173" s="1"/>
  <c r="O460" i="173"/>
  <c r="Q560" i="176"/>
  <c r="P486" i="173"/>
  <c r="Q486" i="173" s="1"/>
  <c r="V403" i="173"/>
  <c r="W403" i="173" s="1"/>
  <c r="P518" i="173"/>
  <c r="W374" i="173"/>
  <c r="X374" i="173" s="1"/>
  <c r="Y374" i="173" s="1"/>
  <c r="Z374" i="173" s="1"/>
  <c r="AA374" i="173" s="1"/>
  <c r="O489" i="173"/>
  <c r="P489" i="173" s="1"/>
  <c r="Q489" i="173" s="1"/>
  <c r="N523" i="176"/>
  <c r="AH166" i="176"/>
  <c r="AI162" i="176" s="1"/>
  <c r="AI164" i="176" s="1"/>
  <c r="AI165" i="176" s="1"/>
  <c r="T46" i="176"/>
  <c r="U42" i="176" s="1"/>
  <c r="N443" i="176"/>
  <c r="N473" i="176" s="1"/>
  <c r="N86" i="176" s="1"/>
  <c r="M87" i="176"/>
  <c r="P553" i="176"/>
  <c r="S58" i="173"/>
  <c r="T54" i="173" s="1"/>
  <c r="K478" i="173"/>
  <c r="L478" i="173" s="1"/>
  <c r="M478" i="173" s="1"/>
  <c r="J583" i="176"/>
  <c r="Q518" i="176"/>
  <c r="R518" i="176" s="1"/>
  <c r="M478" i="176"/>
  <c r="M508" i="176" s="1"/>
  <c r="M92" i="176" s="1"/>
  <c r="S451" i="173"/>
  <c r="T451" i="173" s="1"/>
  <c r="U451" i="173" s="1"/>
  <c r="V451" i="173" s="1"/>
  <c r="W451" i="173" s="1"/>
  <c r="X451" i="173" s="1"/>
  <c r="Y451" i="173" s="1"/>
  <c r="Z451" i="173" s="1"/>
  <c r="AA451" i="173" s="1"/>
  <c r="AB451" i="173" s="1"/>
  <c r="AC451" i="173" s="1"/>
  <c r="AD451" i="173" s="1"/>
  <c r="X549" i="176"/>
  <c r="Y549" i="176" s="1"/>
  <c r="Z549" i="176" s="1"/>
  <c r="AA549" i="176" s="1"/>
  <c r="AB549" i="176" s="1"/>
  <c r="AC549" i="176" s="1"/>
  <c r="AD549" i="176" s="1"/>
  <c r="AE549" i="176" s="1"/>
  <c r="AF549" i="176" s="1"/>
  <c r="AG549" i="176" s="1"/>
  <c r="AH549" i="176" s="1"/>
  <c r="AI549" i="176" s="1"/>
  <c r="AJ549" i="176" s="1"/>
  <c r="AK549" i="176" s="1"/>
  <c r="O82" i="176"/>
  <c r="P78" i="176" s="1"/>
  <c r="O483" i="173"/>
  <c r="P483" i="173" s="1"/>
  <c r="Q483" i="173" s="1"/>
  <c r="R483" i="173" s="1"/>
  <c r="S483" i="173" s="1"/>
  <c r="T483" i="173" s="1"/>
  <c r="U483" i="173" s="1"/>
  <c r="V483" i="173" s="1"/>
  <c r="W483" i="173" s="1"/>
  <c r="X483" i="173" s="1"/>
  <c r="Y483" i="173" s="1"/>
  <c r="Z483" i="173" s="1"/>
  <c r="AA483" i="173" s="1"/>
  <c r="AB483" i="173" s="1"/>
  <c r="AC483" i="173" s="1"/>
  <c r="AD483" i="173" s="1"/>
  <c r="L508" i="176"/>
  <c r="L92" i="176" s="1"/>
  <c r="V46" i="173"/>
  <c r="W42" i="173" s="1"/>
  <c r="Y455" i="173"/>
  <c r="Z455" i="173" s="1"/>
  <c r="AA455" i="173" s="1"/>
  <c r="AB455" i="173" s="1"/>
  <c r="AC455" i="173" s="1"/>
  <c r="AD455" i="173" s="1"/>
  <c r="O76" i="176"/>
  <c r="P72" i="176" s="1"/>
  <c r="AK178" i="176"/>
  <c r="M417" i="173"/>
  <c r="M86" i="173" s="1"/>
  <c r="M87" i="173" s="1"/>
  <c r="N394" i="173"/>
  <c r="AI148" i="176"/>
  <c r="AJ144" i="176" s="1"/>
  <c r="T51" i="173"/>
  <c r="P69" i="176"/>
  <c r="V231" i="173"/>
  <c r="U249" i="173"/>
  <c r="U50" i="173" s="1"/>
  <c r="M511" i="173"/>
  <c r="AI134" i="176"/>
  <c r="U408" i="176"/>
  <c r="P586" i="176"/>
  <c r="Q586" i="176" s="1"/>
  <c r="R586" i="176" s="1"/>
  <c r="S586" i="176" s="1"/>
  <c r="T586" i="176" s="1"/>
  <c r="U586" i="176" s="1"/>
  <c r="V586" i="176" s="1"/>
  <c r="W586" i="176" s="1"/>
  <c r="X586" i="176" s="1"/>
  <c r="Y586" i="176" s="1"/>
  <c r="Z586" i="176" s="1"/>
  <c r="AA586" i="176" s="1"/>
  <c r="AB586" i="176" s="1"/>
  <c r="AC586" i="176" s="1"/>
  <c r="AD586" i="176" s="1"/>
  <c r="AE586" i="176" s="1"/>
  <c r="AF586" i="176" s="1"/>
  <c r="AG586" i="176" s="1"/>
  <c r="AH586" i="176" s="1"/>
  <c r="AI586" i="176" s="1"/>
  <c r="AJ586" i="176" s="1"/>
  <c r="AK586" i="176" s="1"/>
  <c r="Q333" i="176"/>
  <c r="Q62" i="176" s="1"/>
  <c r="R303" i="176"/>
  <c r="K99" i="173"/>
  <c r="J99" i="173"/>
  <c r="R366" i="173"/>
  <c r="U263" i="176"/>
  <c r="U50" i="176" s="1"/>
  <c r="U51" i="176" s="1"/>
  <c r="V233" i="176"/>
  <c r="Z198" i="173"/>
  <c r="J99" i="176"/>
  <c r="P403" i="176"/>
  <c r="P74" i="176" s="1"/>
  <c r="Q373" i="176"/>
  <c r="P70" i="176"/>
  <c r="Q66" i="176" s="1"/>
  <c r="P588" i="176"/>
  <c r="Q588" i="176" s="1"/>
  <c r="R588" i="176" s="1"/>
  <c r="S588" i="176" s="1"/>
  <c r="T588" i="176" s="1"/>
  <c r="U588" i="176" s="1"/>
  <c r="V588" i="176" s="1"/>
  <c r="W588" i="176" s="1"/>
  <c r="X588" i="176" s="1"/>
  <c r="Y588" i="176" s="1"/>
  <c r="Z588" i="176" s="1"/>
  <c r="AA588" i="176" s="1"/>
  <c r="AB588" i="176" s="1"/>
  <c r="AC588" i="176" s="1"/>
  <c r="AD588" i="176" s="1"/>
  <c r="AE588" i="176" s="1"/>
  <c r="AF588" i="176" s="1"/>
  <c r="AG588" i="176" s="1"/>
  <c r="AH588" i="176" s="1"/>
  <c r="AI588" i="176" s="1"/>
  <c r="AJ588" i="176" s="1"/>
  <c r="AK588" i="176" s="1"/>
  <c r="S333" i="173"/>
  <c r="S68" i="173" s="1"/>
  <c r="T310" i="173"/>
  <c r="I114" i="173"/>
  <c r="AI172" i="176"/>
  <c r="AJ168" i="176" s="1"/>
  <c r="AH154" i="176"/>
  <c r="AI150" i="176" s="1"/>
  <c r="P361" i="173"/>
  <c r="P74" i="173" s="1"/>
  <c r="P75" i="173" s="1"/>
  <c r="Q338" i="173"/>
  <c r="AJ129" i="176"/>
  <c r="O75" i="173"/>
  <c r="L473" i="173"/>
  <c r="L98" i="173" s="1"/>
  <c r="L99" i="173" s="1"/>
  <c r="X254" i="173"/>
  <c r="X226" i="173"/>
  <c r="P63" i="176"/>
  <c r="U255" i="173"/>
  <c r="T277" i="173"/>
  <c r="T56" i="173" s="1"/>
  <c r="T57" i="173" s="1"/>
  <c r="K543" i="176"/>
  <c r="K98" i="176" s="1"/>
  <c r="K99" i="176" s="1"/>
  <c r="AH160" i="176"/>
  <c r="AI156" i="176" s="1"/>
  <c r="V45" i="173"/>
  <c r="X199" i="173"/>
  <c r="W221" i="173"/>
  <c r="W44" i="173" s="1"/>
  <c r="I114" i="176"/>
  <c r="T45" i="176"/>
  <c r="R64" i="173"/>
  <c r="S60" i="173" s="1"/>
  <c r="AI140" i="176"/>
  <c r="AI141" i="176" s="1"/>
  <c r="N509" i="173"/>
  <c r="M584" i="176"/>
  <c r="L88" i="173"/>
  <c r="M84" i="173" s="1"/>
  <c r="O76" i="173"/>
  <c r="P72" i="173" s="1"/>
  <c r="L87" i="173"/>
  <c r="AJ130" i="176"/>
  <c r="AK126" i="176" s="1"/>
  <c r="L507" i="173"/>
  <c r="M507" i="173" s="1"/>
  <c r="N507" i="173" s="1"/>
  <c r="M450" i="173"/>
  <c r="S305" i="173"/>
  <c r="S62" i="173" s="1"/>
  <c r="S63" i="173" s="1"/>
  <c r="T282" i="173"/>
  <c r="L513" i="176"/>
  <c r="U228" i="176"/>
  <c r="U44" i="176" s="1"/>
  <c r="V198" i="176"/>
  <c r="Q409" i="176"/>
  <c r="P438" i="176"/>
  <c r="P80" i="176" s="1"/>
  <c r="P64" i="176"/>
  <c r="Q60" i="176" s="1"/>
  <c r="L510" i="173"/>
  <c r="Q368" i="176"/>
  <c r="Q68" i="176" s="1"/>
  <c r="Q69" i="176" s="1"/>
  <c r="R338" i="176"/>
  <c r="Y468" i="176" l="1"/>
  <c r="Z468" i="176" s="1"/>
  <c r="AA468" i="176" s="1"/>
  <c r="AB468" i="176" s="1"/>
  <c r="AC468" i="176" s="1"/>
  <c r="AC354" i="176"/>
  <c r="AD354" i="176" s="1"/>
  <c r="AE354" i="176" s="1"/>
  <c r="AF354" i="176" s="1"/>
  <c r="AG354" i="176" s="1"/>
  <c r="AH354" i="176" s="1"/>
  <c r="AI354" i="176" s="1"/>
  <c r="AJ354" i="176" s="1"/>
  <c r="AK354" i="176" s="1"/>
  <c r="AC462" i="176"/>
  <c r="AD462" i="176" s="1"/>
  <c r="AE462" i="176" s="1"/>
  <c r="AC385" i="173"/>
  <c r="AD385" i="173" s="1"/>
  <c r="AH213" i="176"/>
  <c r="AI213" i="176" s="1"/>
  <c r="AJ213" i="176" s="1"/>
  <c r="AK213" i="176" s="1"/>
  <c r="AF465" i="176"/>
  <c r="AG465" i="176" s="1"/>
  <c r="AE357" i="176"/>
  <c r="AF357" i="176" s="1"/>
  <c r="AG357" i="176" s="1"/>
  <c r="AH357" i="176" s="1"/>
  <c r="AI357" i="176" s="1"/>
  <c r="AJ357" i="176" s="1"/>
  <c r="AK357" i="176" s="1"/>
  <c r="AC429" i="176"/>
  <c r="AD429" i="176" s="1"/>
  <c r="AE429" i="176" s="1"/>
  <c r="S442" i="173"/>
  <c r="AC389" i="176"/>
  <c r="AD389" i="176" s="1"/>
  <c r="AE389" i="176" s="1"/>
  <c r="AF389" i="176" s="1"/>
  <c r="AG389" i="176" s="1"/>
  <c r="Q527" i="176"/>
  <c r="U379" i="173"/>
  <c r="V379" i="173" s="1"/>
  <c r="W379" i="173" s="1"/>
  <c r="P522" i="173"/>
  <c r="Q522" i="173" s="1"/>
  <c r="AJ436" i="176"/>
  <c r="AK436" i="176" s="1"/>
  <c r="AA399" i="176"/>
  <c r="AB399" i="176" s="1"/>
  <c r="AC399" i="176" s="1"/>
  <c r="AD399" i="176" s="1"/>
  <c r="AE399" i="176" s="1"/>
  <c r="AF399" i="176" s="1"/>
  <c r="AG399" i="176" s="1"/>
  <c r="AC320" i="176"/>
  <c r="AD320" i="176" s="1"/>
  <c r="AE320" i="176" s="1"/>
  <c r="AF320" i="176" s="1"/>
  <c r="AG320" i="176" s="1"/>
  <c r="AH320" i="176" s="1"/>
  <c r="AI320" i="176" s="1"/>
  <c r="Z359" i="176"/>
  <c r="AA359" i="176" s="1"/>
  <c r="N611" i="176"/>
  <c r="O611" i="176" s="1"/>
  <c r="P611" i="176" s="1"/>
  <c r="Q504" i="176"/>
  <c r="R504" i="176" s="1"/>
  <c r="S504" i="176" s="1"/>
  <c r="U383" i="173"/>
  <c r="V383" i="173" s="1"/>
  <c r="W383" i="173" s="1"/>
  <c r="X383" i="173" s="1"/>
  <c r="AC415" i="173"/>
  <c r="AD415" i="173" s="1"/>
  <c r="U526" i="176"/>
  <c r="V526" i="176" s="1"/>
  <c r="S534" i="176"/>
  <c r="T534" i="176" s="1"/>
  <c r="U534" i="176" s="1"/>
  <c r="N599" i="176"/>
  <c r="O599" i="176" s="1"/>
  <c r="P599" i="176" s="1"/>
  <c r="Q599" i="176" s="1"/>
  <c r="N567" i="176"/>
  <c r="O567" i="176" s="1"/>
  <c r="P567" i="176" s="1"/>
  <c r="AE396" i="176"/>
  <c r="AF396" i="176" s="1"/>
  <c r="AG396" i="176" s="1"/>
  <c r="V463" i="176"/>
  <c r="W463" i="176" s="1"/>
  <c r="X463" i="176" s="1"/>
  <c r="Y463" i="176" s="1"/>
  <c r="Z463" i="176" s="1"/>
  <c r="AA463" i="176" s="1"/>
  <c r="Q528" i="176"/>
  <c r="R528" i="176" s="1"/>
  <c r="O494" i="173"/>
  <c r="X386" i="176"/>
  <c r="Y386" i="176" s="1"/>
  <c r="Z386" i="176" s="1"/>
  <c r="AA386" i="176" s="1"/>
  <c r="AB386" i="176" s="1"/>
  <c r="AC386" i="176" s="1"/>
  <c r="AD386" i="176" s="1"/>
  <c r="AE386" i="176" s="1"/>
  <c r="AF386" i="176" s="1"/>
  <c r="AG386" i="176" s="1"/>
  <c r="AH386" i="176" s="1"/>
  <c r="AI386" i="176" s="1"/>
  <c r="AJ386" i="176" s="1"/>
  <c r="AK386" i="176" s="1"/>
  <c r="Z416" i="173"/>
  <c r="AA416" i="173" s="1"/>
  <c r="AB416" i="173" s="1"/>
  <c r="AC416" i="173" s="1"/>
  <c r="R532" i="176"/>
  <c r="S532" i="176" s="1"/>
  <c r="T532" i="176" s="1"/>
  <c r="AD358" i="176"/>
  <c r="AE358" i="176" s="1"/>
  <c r="N601" i="176"/>
  <c r="O601" i="176" s="1"/>
  <c r="X443" i="173"/>
  <c r="Y443" i="173" s="1"/>
  <c r="Z443" i="173" s="1"/>
  <c r="AH469" i="176"/>
  <c r="AI469" i="176" s="1"/>
  <c r="AJ469" i="176" s="1"/>
  <c r="AK469" i="176" s="1"/>
  <c r="P82" i="173"/>
  <c r="Q78" i="173" s="1"/>
  <c r="AD414" i="173"/>
  <c r="AC327" i="173"/>
  <c r="AD327" i="173" s="1"/>
  <c r="AC499" i="176"/>
  <c r="AD499" i="176" s="1"/>
  <c r="AE499" i="176" s="1"/>
  <c r="AF499" i="176" s="1"/>
  <c r="AG499" i="176" s="1"/>
  <c r="AH499" i="176" s="1"/>
  <c r="AI499" i="176" s="1"/>
  <c r="AJ499" i="176" s="1"/>
  <c r="Y297" i="173"/>
  <c r="Z297" i="173" s="1"/>
  <c r="AA297" i="173" s="1"/>
  <c r="AB297" i="173" s="1"/>
  <c r="AC297" i="173" s="1"/>
  <c r="AD297" i="173" s="1"/>
  <c r="R70" i="173"/>
  <c r="S66" i="173" s="1"/>
  <c r="S70" i="173" s="1"/>
  <c r="T66" i="173" s="1"/>
  <c r="Y353" i="173"/>
  <c r="Z353" i="173" s="1"/>
  <c r="AA353" i="173" s="1"/>
  <c r="AB353" i="173" s="1"/>
  <c r="AC353" i="173" s="1"/>
  <c r="AD353" i="173" s="1"/>
  <c r="W437" i="173"/>
  <c r="X437" i="173" s="1"/>
  <c r="Y437" i="173" s="1"/>
  <c r="AF289" i="176"/>
  <c r="AG289" i="176" s="1"/>
  <c r="AH289" i="176" s="1"/>
  <c r="AI289" i="176" s="1"/>
  <c r="AJ289" i="176" s="1"/>
  <c r="AI317" i="176"/>
  <c r="AJ317" i="176" s="1"/>
  <c r="AK317" i="176" s="1"/>
  <c r="P525" i="173"/>
  <c r="AA326" i="173"/>
  <c r="AB326" i="173" s="1"/>
  <c r="AC326" i="173" s="1"/>
  <c r="AD326" i="173" s="1"/>
  <c r="AF286" i="176"/>
  <c r="AG286" i="176" s="1"/>
  <c r="AH286" i="176" s="1"/>
  <c r="AI286" i="176" s="1"/>
  <c r="R441" i="173"/>
  <c r="S441" i="173" s="1"/>
  <c r="T441" i="173" s="1"/>
  <c r="U435" i="173"/>
  <c r="W507" i="176"/>
  <c r="X507" i="176" s="1"/>
  <c r="Y507" i="176" s="1"/>
  <c r="Z507" i="176" s="1"/>
  <c r="AA507" i="176" s="1"/>
  <c r="AB507" i="176" s="1"/>
  <c r="AC507" i="176" s="1"/>
  <c r="AD507" i="176" s="1"/>
  <c r="AE507" i="176" s="1"/>
  <c r="AF507" i="176" s="1"/>
  <c r="AG507" i="176" s="1"/>
  <c r="AH507" i="176" s="1"/>
  <c r="AI507" i="176" s="1"/>
  <c r="AJ507" i="176" s="1"/>
  <c r="T442" i="173"/>
  <c r="U442" i="173" s="1"/>
  <c r="V442" i="173" s="1"/>
  <c r="W442" i="173" s="1"/>
  <c r="X442" i="173" s="1"/>
  <c r="Y442" i="173" s="1"/>
  <c r="Z442" i="173" s="1"/>
  <c r="AA442" i="173" s="1"/>
  <c r="Y217" i="176"/>
  <c r="M94" i="173"/>
  <c r="N90" i="173" s="1"/>
  <c r="S463" i="173"/>
  <c r="N521" i="173"/>
  <c r="O521" i="173" s="1"/>
  <c r="P521" i="173" s="1"/>
  <c r="P465" i="173"/>
  <c r="Q465" i="173" s="1"/>
  <c r="O492" i="173"/>
  <c r="P492" i="173" s="1"/>
  <c r="Q492" i="173" s="1"/>
  <c r="AH431" i="176"/>
  <c r="AI431" i="176" s="1"/>
  <c r="AJ431" i="176" s="1"/>
  <c r="AK431" i="176" s="1"/>
  <c r="AE285" i="176"/>
  <c r="AF285" i="176" s="1"/>
  <c r="AG285" i="176" s="1"/>
  <c r="AH285" i="176" s="1"/>
  <c r="AK211" i="176"/>
  <c r="N445" i="173"/>
  <c r="N92" i="173" s="1"/>
  <c r="N93" i="173" s="1"/>
  <c r="V359" i="173"/>
  <c r="Z471" i="176"/>
  <c r="AA471" i="176" s="1"/>
  <c r="AB471" i="176" s="1"/>
  <c r="AC471" i="176" s="1"/>
  <c r="AD471" i="176" s="1"/>
  <c r="AE471" i="176" s="1"/>
  <c r="AF471" i="176" s="1"/>
  <c r="AG471" i="176" s="1"/>
  <c r="AH471" i="176" s="1"/>
  <c r="AI471" i="176" s="1"/>
  <c r="AA387" i="176"/>
  <c r="AB387" i="176" s="1"/>
  <c r="AC387" i="176" s="1"/>
  <c r="AD387" i="176" s="1"/>
  <c r="AF321" i="176"/>
  <c r="AG321" i="176" s="1"/>
  <c r="AH321" i="176" s="1"/>
  <c r="AI321" i="176" s="1"/>
  <c r="AJ321" i="176" s="1"/>
  <c r="AK321" i="176" s="1"/>
  <c r="Z423" i="176"/>
  <c r="AA423" i="176" s="1"/>
  <c r="AB423" i="176" s="1"/>
  <c r="AC423" i="176" s="1"/>
  <c r="AD423" i="176" s="1"/>
  <c r="AE423" i="176" s="1"/>
  <c r="AF423" i="176" s="1"/>
  <c r="AG423" i="176" s="1"/>
  <c r="AH423" i="176" s="1"/>
  <c r="AI423" i="176" s="1"/>
  <c r="AJ423" i="176" s="1"/>
  <c r="AK423" i="176" s="1"/>
  <c r="R527" i="176"/>
  <c r="S527" i="176" s="1"/>
  <c r="T527" i="176" s="1"/>
  <c r="U527" i="176" s="1"/>
  <c r="AE466" i="176"/>
  <c r="AF466" i="176" s="1"/>
  <c r="AG466" i="176" s="1"/>
  <c r="AH466" i="176" s="1"/>
  <c r="P493" i="173"/>
  <c r="Q493" i="173" s="1"/>
  <c r="V505" i="176"/>
  <c r="W505" i="176" s="1"/>
  <c r="X505" i="176" s="1"/>
  <c r="Y505" i="176" s="1"/>
  <c r="S470" i="176"/>
  <c r="T470" i="176" s="1"/>
  <c r="U470" i="176" s="1"/>
  <c r="Y352" i="173"/>
  <c r="Z352" i="173" s="1"/>
  <c r="AA352" i="173" s="1"/>
  <c r="AB352" i="173" s="1"/>
  <c r="AC352" i="173" s="1"/>
  <c r="AD352" i="173" s="1"/>
  <c r="AE287" i="176"/>
  <c r="AF287" i="176" s="1"/>
  <c r="AG287" i="176" s="1"/>
  <c r="AH287" i="176" s="1"/>
  <c r="AB322" i="176"/>
  <c r="Y247" i="176"/>
  <c r="Z247" i="176" s="1"/>
  <c r="AA247" i="176" s="1"/>
  <c r="AB247" i="176" s="1"/>
  <c r="AC247" i="176" s="1"/>
  <c r="AD247" i="176" s="1"/>
  <c r="AE247" i="176" s="1"/>
  <c r="U298" i="176"/>
  <c r="U56" i="176" s="1"/>
  <c r="U57" i="176" s="1"/>
  <c r="AA458" i="176"/>
  <c r="AB458" i="176" s="1"/>
  <c r="W407" i="173"/>
  <c r="X407" i="173" s="1"/>
  <c r="Y407" i="173" s="1"/>
  <c r="U491" i="176"/>
  <c r="AD535" i="176"/>
  <c r="AE535" i="176" s="1"/>
  <c r="AF535" i="176" s="1"/>
  <c r="AG535" i="176" s="1"/>
  <c r="AH535" i="176" s="1"/>
  <c r="AI535" i="176" s="1"/>
  <c r="AJ535" i="176" s="1"/>
  <c r="AK535" i="176" s="1"/>
  <c r="R468" i="173"/>
  <c r="S468" i="173" s="1"/>
  <c r="T468" i="173" s="1"/>
  <c r="U468" i="173" s="1"/>
  <c r="V468" i="173" s="1"/>
  <c r="W468" i="173" s="1"/>
  <c r="X468" i="173" s="1"/>
  <c r="Y468" i="173" s="1"/>
  <c r="S467" i="173"/>
  <c r="T467" i="173" s="1"/>
  <c r="U467" i="173" s="1"/>
  <c r="V467" i="173" s="1"/>
  <c r="W380" i="173"/>
  <c r="X380" i="173" s="1"/>
  <c r="Y380" i="173" s="1"/>
  <c r="Z380" i="173" s="1"/>
  <c r="W457" i="176"/>
  <c r="X457" i="176" s="1"/>
  <c r="R498" i="176"/>
  <c r="S498" i="176" s="1"/>
  <c r="T498" i="176" s="1"/>
  <c r="Y439" i="173"/>
  <c r="Z439" i="173" s="1"/>
  <c r="O561" i="176"/>
  <c r="Z440" i="173"/>
  <c r="AA440" i="173" s="1"/>
  <c r="O527" i="173"/>
  <c r="P527" i="173" s="1"/>
  <c r="M596" i="176"/>
  <c r="N596" i="176" s="1"/>
  <c r="R496" i="176"/>
  <c r="N496" i="173"/>
  <c r="O496" i="173" s="1"/>
  <c r="S410" i="173"/>
  <c r="S466" i="173"/>
  <c r="N523" i="173"/>
  <c r="Y323" i="173"/>
  <c r="Z323" i="173" s="1"/>
  <c r="AA323" i="173" s="1"/>
  <c r="AB323" i="173" s="1"/>
  <c r="AC323" i="173" s="1"/>
  <c r="AD323" i="173" s="1"/>
  <c r="R411" i="173"/>
  <c r="S411" i="173" s="1"/>
  <c r="T411" i="173" s="1"/>
  <c r="U411" i="173" s="1"/>
  <c r="V411" i="173" s="1"/>
  <c r="W411" i="173" s="1"/>
  <c r="X411" i="173" s="1"/>
  <c r="S397" i="176"/>
  <c r="T397" i="176" s="1"/>
  <c r="U397" i="176" s="1"/>
  <c r="V397" i="176" s="1"/>
  <c r="W397" i="176" s="1"/>
  <c r="X397" i="176" s="1"/>
  <c r="Y397" i="176" s="1"/>
  <c r="Z397" i="176" s="1"/>
  <c r="AA397" i="176" s="1"/>
  <c r="AB397" i="176" s="1"/>
  <c r="AC397" i="176" s="1"/>
  <c r="AD397" i="176" s="1"/>
  <c r="AE397" i="176" s="1"/>
  <c r="AF397" i="176" s="1"/>
  <c r="AG397" i="176" s="1"/>
  <c r="AH397" i="176" s="1"/>
  <c r="AI397" i="176" s="1"/>
  <c r="AF432" i="176"/>
  <c r="AG432" i="176" s="1"/>
  <c r="AH432" i="176" s="1"/>
  <c r="AI432" i="176" s="1"/>
  <c r="AJ432" i="176" s="1"/>
  <c r="AK432" i="176" s="1"/>
  <c r="Y493" i="176"/>
  <c r="Z493" i="176" s="1"/>
  <c r="Q500" i="176"/>
  <c r="AA437" i="176"/>
  <c r="AB437" i="176" s="1"/>
  <c r="AC437" i="176" s="1"/>
  <c r="AD437" i="176" s="1"/>
  <c r="AE437" i="176" s="1"/>
  <c r="AF437" i="176" s="1"/>
  <c r="AG437" i="176" s="1"/>
  <c r="AH437" i="176" s="1"/>
  <c r="AI437" i="176" s="1"/>
  <c r="AJ437" i="176" s="1"/>
  <c r="S568" i="176"/>
  <c r="T568" i="176" s="1"/>
  <c r="O598" i="176"/>
  <c r="Q541" i="176"/>
  <c r="R541" i="176" s="1"/>
  <c r="S541" i="176" s="1"/>
  <c r="T541" i="176" s="1"/>
  <c r="U541" i="176" s="1"/>
  <c r="V541" i="176" s="1"/>
  <c r="W541" i="176" s="1"/>
  <c r="X541" i="176" s="1"/>
  <c r="Y541" i="176" s="1"/>
  <c r="Z541" i="176" s="1"/>
  <c r="AA541" i="176" s="1"/>
  <c r="AB541" i="176" s="1"/>
  <c r="AC541" i="176" s="1"/>
  <c r="AD541" i="176" s="1"/>
  <c r="AE541" i="176" s="1"/>
  <c r="AF541" i="176" s="1"/>
  <c r="AG541" i="176" s="1"/>
  <c r="AH541" i="176" s="1"/>
  <c r="AI541" i="176" s="1"/>
  <c r="Q569" i="176"/>
  <c r="R569" i="176" s="1"/>
  <c r="AD570" i="176"/>
  <c r="AE570" i="176" s="1"/>
  <c r="AF570" i="176" s="1"/>
  <c r="AG570" i="176" s="1"/>
  <c r="AH570" i="176" s="1"/>
  <c r="S491" i="173"/>
  <c r="T491" i="173" s="1"/>
  <c r="T572" i="176"/>
  <c r="U572" i="176" s="1"/>
  <c r="V572" i="176" s="1"/>
  <c r="W572" i="176" s="1"/>
  <c r="X572" i="176" s="1"/>
  <c r="Y572" i="176" s="1"/>
  <c r="Z572" i="176" s="1"/>
  <c r="AA572" i="176" s="1"/>
  <c r="AB572" i="176" s="1"/>
  <c r="AC572" i="176" s="1"/>
  <c r="AD572" i="176" s="1"/>
  <c r="AE572" i="176" s="1"/>
  <c r="AF572" i="176" s="1"/>
  <c r="AG572" i="176" s="1"/>
  <c r="W324" i="176"/>
  <c r="Q460" i="176"/>
  <c r="S571" i="176"/>
  <c r="O612" i="176"/>
  <c r="P612" i="176" s="1"/>
  <c r="Z422" i="176"/>
  <c r="AA422" i="176" s="1"/>
  <c r="AB422" i="176" s="1"/>
  <c r="AC422" i="176" s="1"/>
  <c r="AD422" i="176" s="1"/>
  <c r="AE422" i="176" s="1"/>
  <c r="AF422" i="176" s="1"/>
  <c r="AG422" i="176" s="1"/>
  <c r="U352" i="176"/>
  <c r="O530" i="176"/>
  <c r="P530" i="176" s="1"/>
  <c r="Q530" i="176" s="1"/>
  <c r="R530" i="176" s="1"/>
  <c r="S530" i="176" s="1"/>
  <c r="T530" i="176" s="1"/>
  <c r="U530" i="176" s="1"/>
  <c r="V530" i="176" s="1"/>
  <c r="W530" i="176" s="1"/>
  <c r="X530" i="176" s="1"/>
  <c r="N597" i="176"/>
  <c r="O597" i="176" s="1"/>
  <c r="P597" i="176" s="1"/>
  <c r="S436" i="173"/>
  <c r="T444" i="173"/>
  <c r="U444" i="173" s="1"/>
  <c r="V444" i="173" s="1"/>
  <c r="W444" i="173" s="1"/>
  <c r="X444" i="173" s="1"/>
  <c r="Y444" i="173" s="1"/>
  <c r="Z444" i="173" s="1"/>
  <c r="AA444" i="173" s="1"/>
  <c r="AB444" i="173" s="1"/>
  <c r="AC444" i="173" s="1"/>
  <c r="AB283" i="176"/>
  <c r="P540" i="176"/>
  <c r="Q540" i="176" s="1"/>
  <c r="R540" i="176" s="1"/>
  <c r="S540" i="176" s="1"/>
  <c r="T540" i="176" s="1"/>
  <c r="U540" i="176" s="1"/>
  <c r="W253" i="176"/>
  <c r="M519" i="173"/>
  <c r="N519" i="173" s="1"/>
  <c r="T456" i="176"/>
  <c r="X459" i="176"/>
  <c r="Q499" i="173"/>
  <c r="Q503" i="176"/>
  <c r="R503" i="176" s="1"/>
  <c r="S503" i="176" s="1"/>
  <c r="P605" i="176"/>
  <c r="N562" i="176"/>
  <c r="O562" i="176" s="1"/>
  <c r="T472" i="176"/>
  <c r="U472" i="176" s="1"/>
  <c r="V472" i="176" s="1"/>
  <c r="W472" i="176" s="1"/>
  <c r="X472" i="176" s="1"/>
  <c r="Y472" i="176" s="1"/>
  <c r="Z472" i="176" s="1"/>
  <c r="AA472" i="176" s="1"/>
  <c r="AB472" i="176" s="1"/>
  <c r="AC472" i="176" s="1"/>
  <c r="AD472" i="176" s="1"/>
  <c r="AE472" i="176" s="1"/>
  <c r="AF472" i="176" s="1"/>
  <c r="AG472" i="176" s="1"/>
  <c r="AH472" i="176" s="1"/>
  <c r="AI472" i="176" s="1"/>
  <c r="AJ472" i="176" s="1"/>
  <c r="R500" i="173"/>
  <c r="S500" i="173" s="1"/>
  <c r="R469" i="173"/>
  <c r="Y409" i="173"/>
  <c r="X355" i="173"/>
  <c r="U428" i="176"/>
  <c r="N602" i="176"/>
  <c r="O565" i="176"/>
  <c r="R471" i="173"/>
  <c r="M607" i="176"/>
  <c r="N607" i="176" s="1"/>
  <c r="Q464" i="176"/>
  <c r="AA303" i="173"/>
  <c r="O604" i="176"/>
  <c r="N524" i="173"/>
  <c r="O524" i="173" s="1"/>
  <c r="P524" i="173" s="1"/>
  <c r="Q524" i="173" s="1"/>
  <c r="Q389" i="173"/>
  <c r="Q80" i="173" s="1"/>
  <c r="Q81" i="173" s="1"/>
  <c r="Q538" i="176"/>
  <c r="R538" i="176" s="1"/>
  <c r="S538" i="176" s="1"/>
  <c r="O464" i="173"/>
  <c r="P464" i="173"/>
  <c r="Q464" i="173" s="1"/>
  <c r="R464" i="173" s="1"/>
  <c r="P497" i="173"/>
  <c r="N528" i="173"/>
  <c r="O528" i="173" s="1"/>
  <c r="R501" i="176"/>
  <c r="U356" i="176"/>
  <c r="W354" i="173"/>
  <c r="P531" i="176"/>
  <c r="X245" i="173"/>
  <c r="Z461" i="176"/>
  <c r="AA461" i="176" s="1"/>
  <c r="AB461" i="176" s="1"/>
  <c r="AF467" i="176"/>
  <c r="AG467" i="176" s="1"/>
  <c r="P432" i="173"/>
  <c r="P445" i="173" s="1"/>
  <c r="P92" i="173" s="1"/>
  <c r="Q495" i="176"/>
  <c r="U412" i="173"/>
  <c r="AK402" i="176"/>
  <c r="AJ434" i="176"/>
  <c r="AK434" i="176" s="1"/>
  <c r="AJ506" i="176"/>
  <c r="AK506" i="176" s="1"/>
  <c r="M495" i="173"/>
  <c r="R413" i="173"/>
  <c r="S413" i="173" s="1"/>
  <c r="T413" i="173" s="1"/>
  <c r="U413" i="173" s="1"/>
  <c r="O566" i="176"/>
  <c r="P566" i="176" s="1"/>
  <c r="Q566" i="176" s="1"/>
  <c r="U426" i="176"/>
  <c r="Y494" i="176"/>
  <c r="Z494" i="176" s="1"/>
  <c r="AA494" i="176" s="1"/>
  <c r="AB494" i="176" s="1"/>
  <c r="Y497" i="176"/>
  <c r="Q529" i="176"/>
  <c r="R502" i="176"/>
  <c r="N574" i="176"/>
  <c r="O574" i="176" s="1"/>
  <c r="W392" i="176"/>
  <c r="U391" i="176"/>
  <c r="S430" i="176"/>
  <c r="T430" i="176" s="1"/>
  <c r="U430" i="176" s="1"/>
  <c r="V430" i="176" s="1"/>
  <c r="W430" i="176" s="1"/>
  <c r="X430" i="176" s="1"/>
  <c r="Y430" i="176" s="1"/>
  <c r="Z430" i="176" s="1"/>
  <c r="AA430" i="176" s="1"/>
  <c r="AB430" i="176" s="1"/>
  <c r="AC430" i="176" s="1"/>
  <c r="AD430" i="176" s="1"/>
  <c r="AE430" i="176" s="1"/>
  <c r="U408" i="173"/>
  <c r="T470" i="173"/>
  <c r="P537" i="176"/>
  <c r="Q537" i="176" s="1"/>
  <c r="R537" i="176" s="1"/>
  <c r="S537" i="176" s="1"/>
  <c r="T537" i="176" s="1"/>
  <c r="U537" i="176" s="1"/>
  <c r="P600" i="176"/>
  <c r="Q600" i="176" s="1"/>
  <c r="R600" i="176" s="1"/>
  <c r="P539" i="176"/>
  <c r="O533" i="176"/>
  <c r="O498" i="173"/>
  <c r="U386" i="173"/>
  <c r="T492" i="176"/>
  <c r="X270" i="173"/>
  <c r="AC472" i="173"/>
  <c r="AD472" i="173" s="1"/>
  <c r="V425" i="176"/>
  <c r="M609" i="176"/>
  <c r="N609" i="176" s="1"/>
  <c r="O609" i="176" s="1"/>
  <c r="AA424" i="176"/>
  <c r="AB424" i="176" s="1"/>
  <c r="AC424" i="176" s="1"/>
  <c r="AD424" i="176" s="1"/>
  <c r="AE424" i="176" s="1"/>
  <c r="AF424" i="176" s="1"/>
  <c r="AG424" i="176" s="1"/>
  <c r="AH424" i="176" s="1"/>
  <c r="AI424" i="176" s="1"/>
  <c r="AJ424" i="176" s="1"/>
  <c r="AK424" i="176" s="1"/>
  <c r="O564" i="176"/>
  <c r="W282" i="176"/>
  <c r="X282" i="176" s="1"/>
  <c r="Y282" i="176" s="1"/>
  <c r="Z282" i="176" s="1"/>
  <c r="AA282" i="176" s="1"/>
  <c r="AB282" i="176" s="1"/>
  <c r="AC282" i="176" s="1"/>
  <c r="AD282" i="176" s="1"/>
  <c r="AE282" i="176" s="1"/>
  <c r="AF282" i="176" s="1"/>
  <c r="AG282" i="176" s="1"/>
  <c r="AH282" i="176" s="1"/>
  <c r="AI282" i="176" s="1"/>
  <c r="AJ282" i="176" s="1"/>
  <c r="AK282" i="176" s="1"/>
  <c r="N610" i="176"/>
  <c r="Q576" i="176"/>
  <c r="R576" i="176" s="1"/>
  <c r="S576" i="176" s="1"/>
  <c r="T576" i="176" s="1"/>
  <c r="N526" i="173"/>
  <c r="X438" i="173"/>
  <c r="O563" i="176"/>
  <c r="P563" i="176" s="1"/>
  <c r="Q563" i="176" s="1"/>
  <c r="R563" i="176" s="1"/>
  <c r="S563" i="176" s="1"/>
  <c r="T563" i="176" s="1"/>
  <c r="U563" i="176" s="1"/>
  <c r="V563" i="176" s="1"/>
  <c r="M520" i="173"/>
  <c r="P542" i="176"/>
  <c r="P577" i="176"/>
  <c r="Q536" i="176"/>
  <c r="M608" i="176"/>
  <c r="V393" i="176"/>
  <c r="O606" i="176"/>
  <c r="AI398" i="176"/>
  <c r="AJ398" i="176" s="1"/>
  <c r="AK398" i="176" s="1"/>
  <c r="Q573" i="176"/>
  <c r="N603" i="176"/>
  <c r="R387" i="173"/>
  <c r="V382" i="173"/>
  <c r="N575" i="176"/>
  <c r="U513" i="173"/>
  <c r="V513" i="173" s="1"/>
  <c r="W513" i="173" s="1"/>
  <c r="X513" i="173" s="1"/>
  <c r="Y513" i="173" s="1"/>
  <c r="Z513" i="173" s="1"/>
  <c r="AA513" i="173" s="1"/>
  <c r="AB513" i="173" s="1"/>
  <c r="AC513" i="173" s="1"/>
  <c r="AD513" i="173" s="1"/>
  <c r="AF383" i="176"/>
  <c r="AG383" i="176" s="1"/>
  <c r="AH383" i="176" s="1"/>
  <c r="AI383" i="176" s="1"/>
  <c r="AJ383" i="176" s="1"/>
  <c r="AK383" i="176" s="1"/>
  <c r="S58" i="176"/>
  <c r="T54" i="176" s="1"/>
  <c r="T58" i="176" s="1"/>
  <c r="U54" i="176" s="1"/>
  <c r="T57" i="176"/>
  <c r="X378" i="173"/>
  <c r="Y378" i="173" s="1"/>
  <c r="AB374" i="173"/>
  <c r="AC374" i="173" s="1"/>
  <c r="AD374" i="173" s="1"/>
  <c r="T456" i="173"/>
  <c r="U456" i="173" s="1"/>
  <c r="V456" i="173" s="1"/>
  <c r="V268" i="176"/>
  <c r="W268" i="176" s="1"/>
  <c r="R554" i="176"/>
  <c r="S554" i="176" s="1"/>
  <c r="T554" i="176" s="1"/>
  <c r="U554" i="176" s="1"/>
  <c r="V554" i="176" s="1"/>
  <c r="W554" i="176" s="1"/>
  <c r="X554" i="176" s="1"/>
  <c r="Y554" i="176" s="1"/>
  <c r="Z554" i="176" s="1"/>
  <c r="AA554" i="176" s="1"/>
  <c r="AB554" i="176" s="1"/>
  <c r="AC554" i="176" s="1"/>
  <c r="AD554" i="176" s="1"/>
  <c r="AE554" i="176" s="1"/>
  <c r="AF554" i="176" s="1"/>
  <c r="AG554" i="176" s="1"/>
  <c r="AH554" i="176" s="1"/>
  <c r="R591" i="176"/>
  <c r="S591" i="176" s="1"/>
  <c r="T591" i="176" s="1"/>
  <c r="U591" i="176" s="1"/>
  <c r="V591" i="176" s="1"/>
  <c r="W591" i="176" s="1"/>
  <c r="X591" i="176" s="1"/>
  <c r="Y591" i="176" s="1"/>
  <c r="Z591" i="176" s="1"/>
  <c r="AA591" i="176" s="1"/>
  <c r="AB591" i="176" s="1"/>
  <c r="AC591" i="176" s="1"/>
  <c r="AD591" i="176" s="1"/>
  <c r="AE591" i="176" s="1"/>
  <c r="AF591" i="176" s="1"/>
  <c r="AG591" i="176" s="1"/>
  <c r="AH591" i="176" s="1"/>
  <c r="AI591" i="176" s="1"/>
  <c r="AJ591" i="176" s="1"/>
  <c r="AK591" i="176" s="1"/>
  <c r="Z350" i="173"/>
  <c r="AA350" i="173" s="1"/>
  <c r="AB350" i="173" s="1"/>
  <c r="AC350" i="173" s="1"/>
  <c r="AD350" i="173" s="1"/>
  <c r="X403" i="173"/>
  <c r="Y403" i="173" s="1"/>
  <c r="Z403" i="173" s="1"/>
  <c r="AA403" i="173" s="1"/>
  <c r="AB403" i="173" s="1"/>
  <c r="AC403" i="173" s="1"/>
  <c r="AD403" i="173" s="1"/>
  <c r="T484" i="173"/>
  <c r="U484" i="173" s="1"/>
  <c r="V484" i="173" s="1"/>
  <c r="W484" i="173" s="1"/>
  <c r="X484" i="173" s="1"/>
  <c r="Y484" i="173" s="1"/>
  <c r="Z484" i="173" s="1"/>
  <c r="AA484" i="173" s="1"/>
  <c r="AB484" i="173" s="1"/>
  <c r="AC484" i="173" s="1"/>
  <c r="AD484" i="173" s="1"/>
  <c r="T520" i="176"/>
  <c r="U520" i="176" s="1"/>
  <c r="V520" i="176" s="1"/>
  <c r="W520" i="176" s="1"/>
  <c r="X520" i="176" s="1"/>
  <c r="Y520" i="176" s="1"/>
  <c r="Z520" i="176" s="1"/>
  <c r="AA520" i="176" s="1"/>
  <c r="AB520" i="176" s="1"/>
  <c r="AC520" i="176" s="1"/>
  <c r="AD520" i="176" s="1"/>
  <c r="AE520" i="176" s="1"/>
  <c r="AF520" i="176" s="1"/>
  <c r="AG520" i="176" s="1"/>
  <c r="AH520" i="176" s="1"/>
  <c r="AI520" i="176" s="1"/>
  <c r="AJ520" i="176" s="1"/>
  <c r="AK520" i="176" s="1"/>
  <c r="Q433" i="173"/>
  <c r="R433" i="173" s="1"/>
  <c r="N589" i="176"/>
  <c r="O589" i="176" s="1"/>
  <c r="P589" i="176" s="1"/>
  <c r="Q589" i="176" s="1"/>
  <c r="AB401" i="173"/>
  <c r="AC401" i="173" s="1"/>
  <c r="AD401" i="173" s="1"/>
  <c r="X419" i="176"/>
  <c r="Y419" i="176" s="1"/>
  <c r="Z419" i="176" s="1"/>
  <c r="AA419" i="176" s="1"/>
  <c r="AB419" i="176" s="1"/>
  <c r="T487" i="176"/>
  <c r="Q512" i="173"/>
  <c r="V404" i="173"/>
  <c r="W404" i="173" s="1"/>
  <c r="X404" i="173" s="1"/>
  <c r="Y404" i="173" s="1"/>
  <c r="Z404" i="173" s="1"/>
  <c r="AA404" i="173" s="1"/>
  <c r="AB404" i="173" s="1"/>
  <c r="AC404" i="173" s="1"/>
  <c r="AD404" i="173" s="1"/>
  <c r="P555" i="176"/>
  <c r="Q555" i="176" s="1"/>
  <c r="R555" i="176" s="1"/>
  <c r="O514" i="173"/>
  <c r="P514" i="173" s="1"/>
  <c r="AA455" i="176"/>
  <c r="U486" i="176"/>
  <c r="V486" i="176" s="1"/>
  <c r="R462" i="173"/>
  <c r="S462" i="173" s="1"/>
  <c r="Q490" i="173"/>
  <c r="R490" i="173" s="1"/>
  <c r="K506" i="173"/>
  <c r="L506" i="173" s="1"/>
  <c r="R559" i="176"/>
  <c r="S559" i="176" s="1"/>
  <c r="T559" i="176" s="1"/>
  <c r="W428" i="173"/>
  <c r="X428" i="173" s="1"/>
  <c r="Y428" i="173" s="1"/>
  <c r="Z428" i="173" s="1"/>
  <c r="AA428" i="173" s="1"/>
  <c r="AB428" i="173" s="1"/>
  <c r="AC428" i="173" s="1"/>
  <c r="AD428" i="173" s="1"/>
  <c r="U405" i="173"/>
  <c r="V405" i="173" s="1"/>
  <c r="W405" i="173" s="1"/>
  <c r="U521" i="176"/>
  <c r="V521" i="176" s="1"/>
  <c r="W521" i="176" s="1"/>
  <c r="X521" i="176" s="1"/>
  <c r="Y521" i="176" s="1"/>
  <c r="Z521" i="176" s="1"/>
  <c r="AA521" i="176" s="1"/>
  <c r="AB521" i="176" s="1"/>
  <c r="AC521" i="176" s="1"/>
  <c r="AD521" i="176" s="1"/>
  <c r="AE521" i="176" s="1"/>
  <c r="M548" i="176"/>
  <c r="N592" i="176"/>
  <c r="O592" i="176" s="1"/>
  <c r="W488" i="176"/>
  <c r="X488" i="176" s="1"/>
  <c r="Y488" i="176" s="1"/>
  <c r="Z488" i="176" s="1"/>
  <c r="AA488" i="176" s="1"/>
  <c r="AB488" i="176" s="1"/>
  <c r="T457" i="173"/>
  <c r="U457" i="173" s="1"/>
  <c r="V457" i="173" s="1"/>
  <c r="W457" i="173" s="1"/>
  <c r="X457" i="173" s="1"/>
  <c r="Y457" i="173" s="1"/>
  <c r="Z457" i="173" s="1"/>
  <c r="AA457" i="173" s="1"/>
  <c r="AB457" i="173" s="1"/>
  <c r="AC457" i="173" s="1"/>
  <c r="AD457" i="173" s="1"/>
  <c r="T458" i="173"/>
  <c r="U458" i="173" s="1"/>
  <c r="V458" i="173" s="1"/>
  <c r="W458" i="173" s="1"/>
  <c r="V454" i="176"/>
  <c r="T484" i="176"/>
  <c r="U484" i="176" s="1"/>
  <c r="V484" i="176" s="1"/>
  <c r="W484" i="176" s="1"/>
  <c r="X484" i="176" s="1"/>
  <c r="Y484" i="176" s="1"/>
  <c r="S402" i="173"/>
  <c r="T402" i="173" s="1"/>
  <c r="V385" i="176"/>
  <c r="W385" i="176" s="1"/>
  <c r="X385" i="176" s="1"/>
  <c r="Y385" i="176" s="1"/>
  <c r="Z385" i="176" s="1"/>
  <c r="AA385" i="176" s="1"/>
  <c r="AB385" i="176" s="1"/>
  <c r="AC385" i="176" s="1"/>
  <c r="AD385" i="176" s="1"/>
  <c r="AE385" i="176" s="1"/>
  <c r="AF385" i="176" s="1"/>
  <c r="AG385" i="176" s="1"/>
  <c r="AH385" i="176" s="1"/>
  <c r="AI385" i="176" s="1"/>
  <c r="AJ385" i="176" s="1"/>
  <c r="AK385" i="176" s="1"/>
  <c r="AD321" i="173"/>
  <c r="S489" i="176"/>
  <c r="T489" i="176" s="1"/>
  <c r="U489" i="176" s="1"/>
  <c r="V489" i="176" s="1"/>
  <c r="R489" i="173"/>
  <c r="S489" i="173" s="1"/>
  <c r="T489" i="173" s="1"/>
  <c r="U489" i="173" s="1"/>
  <c r="O590" i="176"/>
  <c r="P590" i="176" s="1"/>
  <c r="Q556" i="176"/>
  <c r="R556" i="176" s="1"/>
  <c r="O525" i="176"/>
  <c r="P525" i="176" s="1"/>
  <c r="Q525" i="176" s="1"/>
  <c r="R525" i="176" s="1"/>
  <c r="S525" i="176" s="1"/>
  <c r="Q488" i="173"/>
  <c r="X558" i="176"/>
  <c r="Y558" i="176" s="1"/>
  <c r="Z558" i="176" s="1"/>
  <c r="AA558" i="176" s="1"/>
  <c r="AB558" i="176" s="1"/>
  <c r="AC558" i="176" s="1"/>
  <c r="AD558" i="176" s="1"/>
  <c r="AE558" i="176" s="1"/>
  <c r="AF558" i="176" s="1"/>
  <c r="AG558" i="176" s="1"/>
  <c r="AH558" i="176" s="1"/>
  <c r="AI558" i="176" s="1"/>
  <c r="AJ558" i="176" s="1"/>
  <c r="N593" i="176"/>
  <c r="R560" i="176"/>
  <c r="S560" i="176" s="1"/>
  <c r="T560" i="176" s="1"/>
  <c r="R486" i="173"/>
  <c r="S486" i="173" s="1"/>
  <c r="M516" i="173"/>
  <c r="O522" i="176"/>
  <c r="M485" i="173"/>
  <c r="U373" i="173"/>
  <c r="V373" i="173" s="1"/>
  <c r="W373" i="173" s="1"/>
  <c r="X373" i="173" s="1"/>
  <c r="O523" i="176"/>
  <c r="P523" i="176" s="1"/>
  <c r="Q523" i="176" s="1"/>
  <c r="O524" i="176"/>
  <c r="P524" i="176" s="1"/>
  <c r="Q524" i="176" s="1"/>
  <c r="M594" i="176"/>
  <c r="N594" i="176" s="1"/>
  <c r="R557" i="176"/>
  <c r="V376" i="173"/>
  <c r="W376" i="173" s="1"/>
  <c r="X376" i="173" s="1"/>
  <c r="S430" i="173"/>
  <c r="T430" i="173" s="1"/>
  <c r="U430" i="173" s="1"/>
  <c r="S434" i="173"/>
  <c r="V418" i="176"/>
  <c r="W418" i="176" s="1"/>
  <c r="X418" i="176" s="1"/>
  <c r="Y418" i="176" s="1"/>
  <c r="Z418" i="176" s="1"/>
  <c r="AA418" i="176" s="1"/>
  <c r="AB418" i="176" s="1"/>
  <c r="AC418" i="176" s="1"/>
  <c r="AD418" i="176" s="1"/>
  <c r="AE418" i="176" s="1"/>
  <c r="AF418" i="176" s="1"/>
  <c r="AG418" i="176" s="1"/>
  <c r="AH418" i="176" s="1"/>
  <c r="AI418" i="176" s="1"/>
  <c r="AJ418" i="176" s="1"/>
  <c r="AK418" i="176" s="1"/>
  <c r="R487" i="173"/>
  <c r="O461" i="173"/>
  <c r="P515" i="173"/>
  <c r="Q515" i="173" s="1"/>
  <c r="R517" i="173"/>
  <c r="S517" i="173" s="1"/>
  <c r="T517" i="173" s="1"/>
  <c r="P460" i="173"/>
  <c r="Q460" i="173" s="1"/>
  <c r="R460" i="173" s="1"/>
  <c r="Q518" i="173"/>
  <c r="V595" i="176"/>
  <c r="O507" i="173"/>
  <c r="P507" i="173" s="1"/>
  <c r="Q507" i="173" s="1"/>
  <c r="R507" i="173" s="1"/>
  <c r="S507" i="173" s="1"/>
  <c r="T507" i="173" s="1"/>
  <c r="U507" i="173" s="1"/>
  <c r="V507" i="173" s="1"/>
  <c r="W507" i="173" s="1"/>
  <c r="X507" i="173" s="1"/>
  <c r="Y507" i="173" s="1"/>
  <c r="Z507" i="173" s="1"/>
  <c r="AA507" i="173" s="1"/>
  <c r="AB507" i="173" s="1"/>
  <c r="AC507" i="173" s="1"/>
  <c r="AD507" i="173" s="1"/>
  <c r="O443" i="176"/>
  <c r="O473" i="176" s="1"/>
  <c r="O86" i="176" s="1"/>
  <c r="O87" i="176" s="1"/>
  <c r="P76" i="176"/>
  <c r="Q72" i="176" s="1"/>
  <c r="W46" i="173"/>
  <c r="X42" i="173" s="1"/>
  <c r="Q553" i="176"/>
  <c r="R553" i="176" s="1"/>
  <c r="S553" i="176" s="1"/>
  <c r="T553" i="176" s="1"/>
  <c r="U553" i="176" s="1"/>
  <c r="V553" i="176" s="1"/>
  <c r="W553" i="176" s="1"/>
  <c r="X553" i="176" s="1"/>
  <c r="Y553" i="176" s="1"/>
  <c r="Z553" i="176" s="1"/>
  <c r="N478" i="176"/>
  <c r="N508" i="176" s="1"/>
  <c r="N92" i="176" s="1"/>
  <c r="N93" i="176" s="1"/>
  <c r="U52" i="173"/>
  <c r="V48" i="173" s="1"/>
  <c r="S64" i="173"/>
  <c r="T60" i="173" s="1"/>
  <c r="U46" i="176"/>
  <c r="V42" i="176" s="1"/>
  <c r="K583" i="176"/>
  <c r="L583" i="176" s="1"/>
  <c r="L94" i="176"/>
  <c r="M90" i="176" s="1"/>
  <c r="M94" i="176" s="1"/>
  <c r="N90" i="176" s="1"/>
  <c r="M93" i="176"/>
  <c r="L93" i="176"/>
  <c r="S518" i="176"/>
  <c r="T518" i="176" s="1"/>
  <c r="U518" i="176" s="1"/>
  <c r="V518" i="176" s="1"/>
  <c r="W518" i="176" s="1"/>
  <c r="X518" i="176" s="1"/>
  <c r="Y518" i="176" s="1"/>
  <c r="Z518" i="176" s="1"/>
  <c r="AA518" i="176" s="1"/>
  <c r="AB518" i="176" s="1"/>
  <c r="AC518" i="176" s="1"/>
  <c r="AD518" i="176" s="1"/>
  <c r="AE518" i="176" s="1"/>
  <c r="AF518" i="176" s="1"/>
  <c r="AG518" i="176" s="1"/>
  <c r="AH518" i="176" s="1"/>
  <c r="AI518" i="176" s="1"/>
  <c r="AJ518" i="176" s="1"/>
  <c r="AK518" i="176" s="1"/>
  <c r="P82" i="176"/>
  <c r="Q78" i="176" s="1"/>
  <c r="P76" i="173"/>
  <c r="Q72" i="173" s="1"/>
  <c r="M88" i="173"/>
  <c r="N84" i="173" s="1"/>
  <c r="P81" i="176"/>
  <c r="H26" i="178"/>
  <c r="G9" i="179"/>
  <c r="AI142" i="176"/>
  <c r="AJ138" i="176" s="1"/>
  <c r="M473" i="173"/>
  <c r="M98" i="173" s="1"/>
  <c r="N450" i="173"/>
  <c r="R368" i="176"/>
  <c r="R68" i="176" s="1"/>
  <c r="R69" i="176" s="1"/>
  <c r="S338" i="176"/>
  <c r="S69" i="173"/>
  <c r="V255" i="173"/>
  <c r="U277" i="173"/>
  <c r="U56" i="173" s="1"/>
  <c r="U57" i="173" s="1"/>
  <c r="Q64" i="176"/>
  <c r="R60" i="176" s="1"/>
  <c r="Q70" i="176"/>
  <c r="R66" i="176" s="1"/>
  <c r="AI166" i="176"/>
  <c r="AJ162" i="176" s="1"/>
  <c r="Y226" i="173"/>
  <c r="W231" i="173"/>
  <c r="V249" i="173"/>
  <c r="V50" i="173" s="1"/>
  <c r="V408" i="176"/>
  <c r="Y199" i="173"/>
  <c r="X221" i="173"/>
  <c r="X44" i="173" s="1"/>
  <c r="AJ170" i="176"/>
  <c r="AJ171" i="176" s="1"/>
  <c r="U52" i="176"/>
  <c r="V48" i="176" s="1"/>
  <c r="N417" i="173"/>
  <c r="N86" i="173" s="1"/>
  <c r="O394" i="173"/>
  <c r="N584" i="176"/>
  <c r="O584" i="176" s="1"/>
  <c r="P584" i="176" s="1"/>
  <c r="Q584" i="176" s="1"/>
  <c r="R584" i="176" s="1"/>
  <c r="S584" i="176" s="1"/>
  <c r="T584" i="176" s="1"/>
  <c r="U584" i="176" s="1"/>
  <c r="V584" i="176" s="1"/>
  <c r="W584" i="176" s="1"/>
  <c r="X584" i="176" s="1"/>
  <c r="Y584" i="176" s="1"/>
  <c r="Z584" i="176" s="1"/>
  <c r="AA584" i="176" s="1"/>
  <c r="AB584" i="176" s="1"/>
  <c r="AC584" i="176" s="1"/>
  <c r="AD584" i="176" s="1"/>
  <c r="AE584" i="176" s="1"/>
  <c r="AF584" i="176" s="1"/>
  <c r="AG584" i="176" s="1"/>
  <c r="AH584" i="176" s="1"/>
  <c r="AI584" i="176" s="1"/>
  <c r="AJ584" i="176" s="1"/>
  <c r="AK584" i="176" s="1"/>
  <c r="T333" i="173"/>
  <c r="T68" i="173" s="1"/>
  <c r="T69" i="173" s="1"/>
  <c r="U310" i="173"/>
  <c r="R333" i="176"/>
  <c r="R62" i="176" s="1"/>
  <c r="S303" i="176"/>
  <c r="Q63" i="176"/>
  <c r="AI158" i="176"/>
  <c r="AI159" i="176" s="1"/>
  <c r="N511" i="173"/>
  <c r="O511" i="173" s="1"/>
  <c r="P511" i="173" s="1"/>
  <c r="Q511" i="173" s="1"/>
  <c r="R511" i="173" s="1"/>
  <c r="S511" i="173" s="1"/>
  <c r="N87" i="176"/>
  <c r="N88" i="176"/>
  <c r="O84" i="176" s="1"/>
  <c r="R409" i="176"/>
  <c r="Q438" i="176"/>
  <c r="Q80" i="176" s="1"/>
  <c r="U51" i="173"/>
  <c r="N478" i="173"/>
  <c r="V228" i="176"/>
  <c r="V44" i="176" s="1"/>
  <c r="W198" i="176"/>
  <c r="S422" i="173"/>
  <c r="Y254" i="173"/>
  <c r="AK128" i="176"/>
  <c r="E128" i="176" s="1"/>
  <c r="Q361" i="173"/>
  <c r="Q74" i="173" s="1"/>
  <c r="R338" i="173"/>
  <c r="P75" i="176"/>
  <c r="AI135" i="176"/>
  <c r="T305" i="173"/>
  <c r="T62" i="173" s="1"/>
  <c r="T63" i="173" s="1"/>
  <c r="U282" i="173"/>
  <c r="AI136" i="176"/>
  <c r="AJ132" i="176" s="1"/>
  <c r="M510" i="173"/>
  <c r="N510" i="173" s="1"/>
  <c r="O510" i="173" s="1"/>
  <c r="P510" i="173" s="1"/>
  <c r="Q510" i="173" s="1"/>
  <c r="R510" i="173" s="1"/>
  <c r="S510" i="173" s="1"/>
  <c r="T510" i="173" s="1"/>
  <c r="U510" i="173" s="1"/>
  <c r="V510" i="173" s="1"/>
  <c r="W510" i="173" s="1"/>
  <c r="X510" i="173" s="1"/>
  <c r="Y510" i="173" s="1"/>
  <c r="Z510" i="173" s="1"/>
  <c r="AA510" i="173" s="1"/>
  <c r="AB510" i="173" s="1"/>
  <c r="AC510" i="173" s="1"/>
  <c r="AD510" i="173" s="1"/>
  <c r="O509" i="173"/>
  <c r="P509" i="173" s="1"/>
  <c r="Q509" i="173" s="1"/>
  <c r="R509" i="173" s="1"/>
  <c r="S509" i="173" s="1"/>
  <c r="K100" i="176"/>
  <c r="L96" i="176" s="1"/>
  <c r="L100" i="173"/>
  <c r="M96" i="173" s="1"/>
  <c r="AA198" i="173"/>
  <c r="AJ146" i="176"/>
  <c r="AJ147" i="176" s="1"/>
  <c r="U45" i="176"/>
  <c r="Q403" i="176"/>
  <c r="Q74" i="176" s="1"/>
  <c r="R373" i="176"/>
  <c r="L543" i="176"/>
  <c r="L98" i="176" s="1"/>
  <c r="M513" i="176"/>
  <c r="W45" i="173"/>
  <c r="AI152" i="176"/>
  <c r="AI153" i="176" s="1"/>
  <c r="V263" i="176"/>
  <c r="V50" i="176" s="1"/>
  <c r="V51" i="176" s="1"/>
  <c r="W233" i="176"/>
  <c r="S366" i="173"/>
  <c r="T58" i="173"/>
  <c r="U54" i="173" s="1"/>
  <c r="AD468" i="176" l="1"/>
  <c r="AE468" i="176" s="1"/>
  <c r="AF468" i="176" s="1"/>
  <c r="V540" i="176"/>
  <c r="W540" i="176" s="1"/>
  <c r="X540" i="176" s="1"/>
  <c r="Y540" i="176" s="1"/>
  <c r="Z540" i="176" s="1"/>
  <c r="AA540" i="176" s="1"/>
  <c r="AB540" i="176" s="1"/>
  <c r="AC540" i="176" s="1"/>
  <c r="AD540" i="176" s="1"/>
  <c r="AE540" i="176" s="1"/>
  <c r="AF540" i="176" s="1"/>
  <c r="AG540" i="176" s="1"/>
  <c r="AH540" i="176" s="1"/>
  <c r="AF462" i="176"/>
  <c r="AG462" i="176" s="1"/>
  <c r="AH462" i="176" s="1"/>
  <c r="AI462" i="176" s="1"/>
  <c r="AJ462" i="176" s="1"/>
  <c r="AK462" i="176" s="1"/>
  <c r="E128" i="173"/>
  <c r="AH465" i="176"/>
  <c r="AI465" i="176" s="1"/>
  <c r="AJ465" i="176" s="1"/>
  <c r="AK465" i="176" s="1"/>
  <c r="AH399" i="176"/>
  <c r="AI399" i="176" s="1"/>
  <c r="AJ399" i="176" s="1"/>
  <c r="AK399" i="176" s="1"/>
  <c r="AK472" i="176"/>
  <c r="AA493" i="176"/>
  <c r="AB493" i="176" s="1"/>
  <c r="Y383" i="173"/>
  <c r="Z383" i="173" s="1"/>
  <c r="AA383" i="173" s="1"/>
  <c r="AH389" i="176"/>
  <c r="AI389" i="176" s="1"/>
  <c r="AJ389" i="176" s="1"/>
  <c r="AK389" i="176" s="1"/>
  <c r="AF247" i="176"/>
  <c r="AG247" i="176" s="1"/>
  <c r="AH247" i="176" s="1"/>
  <c r="AI247" i="176" s="1"/>
  <c r="AJ247" i="176" s="1"/>
  <c r="X379" i="173"/>
  <c r="Y379" i="173" s="1"/>
  <c r="Z379" i="173" s="1"/>
  <c r="AA379" i="173" s="1"/>
  <c r="AB379" i="173" s="1"/>
  <c r="AC379" i="173" s="1"/>
  <c r="AD379" i="173" s="1"/>
  <c r="AH396" i="176"/>
  <c r="AI396" i="176" s="1"/>
  <c r="AJ396" i="176" s="1"/>
  <c r="AK396" i="176" s="1"/>
  <c r="Y530" i="176"/>
  <c r="Z530" i="176" s="1"/>
  <c r="AA530" i="176" s="1"/>
  <c r="V413" i="173"/>
  <c r="W413" i="173" s="1"/>
  <c r="X413" i="173" s="1"/>
  <c r="Y413" i="173" s="1"/>
  <c r="Z413" i="173" s="1"/>
  <c r="AI466" i="176"/>
  <c r="AJ466" i="176" s="1"/>
  <c r="AK466" i="176" s="1"/>
  <c r="Z505" i="176"/>
  <c r="AA505" i="176" s="1"/>
  <c r="AB505" i="176" s="1"/>
  <c r="AC505" i="176" s="1"/>
  <c r="AD505" i="176" s="1"/>
  <c r="AE505" i="176" s="1"/>
  <c r="AF505" i="176" s="1"/>
  <c r="AG505" i="176" s="1"/>
  <c r="AH505" i="176" s="1"/>
  <c r="R522" i="173"/>
  <c r="S522" i="173" s="1"/>
  <c r="T522" i="173" s="1"/>
  <c r="T504" i="176"/>
  <c r="U504" i="176" s="1"/>
  <c r="V504" i="176" s="1"/>
  <c r="W504" i="176" s="1"/>
  <c r="X504" i="176" s="1"/>
  <c r="Y504" i="176" s="1"/>
  <c r="Z504" i="176" s="1"/>
  <c r="AA504" i="176" s="1"/>
  <c r="AB504" i="176" s="1"/>
  <c r="AC504" i="176" s="1"/>
  <c r="AD504" i="176" s="1"/>
  <c r="AE504" i="176" s="1"/>
  <c r="AF504" i="176" s="1"/>
  <c r="AG504" i="176" s="1"/>
  <c r="AH504" i="176" s="1"/>
  <c r="AI504" i="176" s="1"/>
  <c r="Q567" i="176"/>
  <c r="R567" i="176" s="1"/>
  <c r="AB359" i="176"/>
  <c r="AC359" i="176" s="1"/>
  <c r="AJ471" i="176"/>
  <c r="AK471" i="176" s="1"/>
  <c r="R599" i="176"/>
  <c r="S599" i="176" s="1"/>
  <c r="T599" i="176" s="1"/>
  <c r="AJ320" i="176"/>
  <c r="AK320" i="176" s="1"/>
  <c r="AB442" i="173"/>
  <c r="AC442" i="173" s="1"/>
  <c r="W526" i="176"/>
  <c r="X526" i="176" s="1"/>
  <c r="Y526" i="176" s="1"/>
  <c r="AH467" i="176"/>
  <c r="AI467" i="176" s="1"/>
  <c r="AJ467" i="176" s="1"/>
  <c r="AK467" i="176" s="1"/>
  <c r="R493" i="173"/>
  <c r="S493" i="173" s="1"/>
  <c r="T493" i="173" s="1"/>
  <c r="U493" i="173" s="1"/>
  <c r="V493" i="173" s="1"/>
  <c r="P494" i="173"/>
  <c r="Q494" i="173" s="1"/>
  <c r="R492" i="173"/>
  <c r="S492" i="173" s="1"/>
  <c r="S464" i="173"/>
  <c r="T464" i="173" s="1"/>
  <c r="U464" i="173" s="1"/>
  <c r="V534" i="176"/>
  <c r="P598" i="176"/>
  <c r="Q598" i="176" s="1"/>
  <c r="AA443" i="173"/>
  <c r="AB443" i="173" s="1"/>
  <c r="AD416" i="173"/>
  <c r="P601" i="176"/>
  <c r="Q601" i="176" s="1"/>
  <c r="AF358" i="176"/>
  <c r="AG358" i="176" s="1"/>
  <c r="AH358" i="176" s="1"/>
  <c r="AI358" i="176" s="1"/>
  <c r="AJ358" i="176" s="1"/>
  <c r="AK358" i="176" s="1"/>
  <c r="AB463" i="176"/>
  <c r="AC463" i="176" s="1"/>
  <c r="S528" i="176"/>
  <c r="T528" i="176" s="1"/>
  <c r="Z437" i="173"/>
  <c r="AA437" i="173" s="1"/>
  <c r="AB437" i="173" s="1"/>
  <c r="AC437" i="173" s="1"/>
  <c r="AD437" i="173" s="1"/>
  <c r="AD444" i="173"/>
  <c r="AJ286" i="176"/>
  <c r="AK286" i="176" s="1"/>
  <c r="P93" i="173"/>
  <c r="AG468" i="176"/>
  <c r="AH468" i="176" s="1"/>
  <c r="AI468" i="176" s="1"/>
  <c r="AJ468" i="176" s="1"/>
  <c r="AK468" i="176" s="1"/>
  <c r="AH422" i="176"/>
  <c r="AI422" i="176" s="1"/>
  <c r="AJ422" i="176" s="1"/>
  <c r="AI287" i="176"/>
  <c r="AJ287" i="176" s="1"/>
  <c r="AK287" i="176" s="1"/>
  <c r="N94" i="173"/>
  <c r="O90" i="173" s="1"/>
  <c r="O94" i="173" s="1"/>
  <c r="P90" i="173" s="1"/>
  <c r="P94" i="173" s="1"/>
  <c r="Q90" i="173" s="1"/>
  <c r="O93" i="173"/>
  <c r="Z407" i="173"/>
  <c r="AA407" i="173" s="1"/>
  <c r="AB407" i="173" s="1"/>
  <c r="AC407" i="173" s="1"/>
  <c r="AD407" i="173" s="1"/>
  <c r="Y457" i="176"/>
  <c r="V470" i="176"/>
  <c r="W470" i="176" s="1"/>
  <c r="X470" i="176" s="1"/>
  <c r="Y470" i="176" s="1"/>
  <c r="Z470" i="176" s="1"/>
  <c r="AA470" i="176" s="1"/>
  <c r="AB470" i="176" s="1"/>
  <c r="AC470" i="176" s="1"/>
  <c r="AD470" i="176" s="1"/>
  <c r="AE470" i="176" s="1"/>
  <c r="AF470" i="176" s="1"/>
  <c r="AG470" i="176" s="1"/>
  <c r="AH470" i="176" s="1"/>
  <c r="V435" i="173"/>
  <c r="W435" i="173" s="1"/>
  <c r="Q612" i="176"/>
  <c r="R612" i="176" s="1"/>
  <c r="S612" i="176" s="1"/>
  <c r="T612" i="176" s="1"/>
  <c r="T538" i="176"/>
  <c r="U538" i="176" s="1"/>
  <c r="AK507" i="176"/>
  <c r="Z468" i="173"/>
  <c r="AA468" i="173" s="1"/>
  <c r="Z217" i="176"/>
  <c r="AA217" i="176" s="1"/>
  <c r="AB217" i="176" s="1"/>
  <c r="AC217" i="176" s="1"/>
  <c r="O610" i="176"/>
  <c r="P610" i="176" s="1"/>
  <c r="Q610" i="176" s="1"/>
  <c r="R610" i="176" s="1"/>
  <c r="Q525" i="173"/>
  <c r="R525" i="173" s="1"/>
  <c r="Y411" i="173"/>
  <c r="Z411" i="173" s="1"/>
  <c r="R465" i="173"/>
  <c r="S465" i="173" s="1"/>
  <c r="T465" i="173" s="1"/>
  <c r="U465" i="173" s="1"/>
  <c r="AA439" i="173"/>
  <c r="AB439" i="173" s="1"/>
  <c r="AC439" i="173" s="1"/>
  <c r="AD439" i="173" s="1"/>
  <c r="V537" i="176"/>
  <c r="AK437" i="176"/>
  <c r="O519" i="173"/>
  <c r="P519" i="173" s="1"/>
  <c r="W359" i="173"/>
  <c r="U441" i="173"/>
  <c r="V441" i="173" s="1"/>
  <c r="W441" i="173" s="1"/>
  <c r="X441" i="173" s="1"/>
  <c r="Y441" i="173" s="1"/>
  <c r="Z441" i="173" s="1"/>
  <c r="AF430" i="176"/>
  <c r="AG430" i="176" s="1"/>
  <c r="AH430" i="176" s="1"/>
  <c r="T463" i="173"/>
  <c r="U463" i="173" s="1"/>
  <c r="V463" i="173" s="1"/>
  <c r="Z484" i="176"/>
  <c r="AA484" i="176" s="1"/>
  <c r="AB484" i="176" s="1"/>
  <c r="AC484" i="176" s="1"/>
  <c r="AD484" i="176" s="1"/>
  <c r="AE484" i="176" s="1"/>
  <c r="AF484" i="176" s="1"/>
  <c r="AG484" i="176" s="1"/>
  <c r="AH484" i="176" s="1"/>
  <c r="AI484" i="176" s="1"/>
  <c r="AJ484" i="176" s="1"/>
  <c r="AI285" i="176"/>
  <c r="AJ285" i="176" s="1"/>
  <c r="AK285" i="176" s="1"/>
  <c r="AC322" i="176"/>
  <c r="AD322" i="176" s="1"/>
  <c r="U58" i="176"/>
  <c r="V54" i="176" s="1"/>
  <c r="AC461" i="176"/>
  <c r="AD461" i="176" s="1"/>
  <c r="AE461" i="176" s="1"/>
  <c r="AC458" i="176"/>
  <c r="AD458" i="176" s="1"/>
  <c r="V298" i="176"/>
  <c r="V56" i="176" s="1"/>
  <c r="V57" i="176" s="1"/>
  <c r="AI570" i="176"/>
  <c r="AJ570" i="176" s="1"/>
  <c r="AK570" i="176" s="1"/>
  <c r="V491" i="176"/>
  <c r="W491" i="176" s="1"/>
  <c r="X491" i="176" s="1"/>
  <c r="Y491" i="176" s="1"/>
  <c r="AK289" i="176"/>
  <c r="AJ397" i="176"/>
  <c r="AK397" i="176" s="1"/>
  <c r="Z378" i="173"/>
  <c r="AA378" i="173" s="1"/>
  <c r="AB378" i="173" s="1"/>
  <c r="AC378" i="173" s="1"/>
  <c r="AD378" i="173" s="1"/>
  <c r="Q82" i="173"/>
  <c r="R78" i="173" s="1"/>
  <c r="AC283" i="176"/>
  <c r="AD283" i="176" s="1"/>
  <c r="AE283" i="176" s="1"/>
  <c r="AF283" i="176" s="1"/>
  <c r="AG283" i="176" s="1"/>
  <c r="AH283" i="176" s="1"/>
  <c r="AI283" i="176" s="1"/>
  <c r="AJ283" i="176" s="1"/>
  <c r="S600" i="176"/>
  <c r="T600" i="176" s="1"/>
  <c r="Q527" i="173"/>
  <c r="R527" i="173" s="1"/>
  <c r="S527" i="173" s="1"/>
  <c r="T527" i="173" s="1"/>
  <c r="U527" i="173" s="1"/>
  <c r="V527" i="173" s="1"/>
  <c r="W527" i="173" s="1"/>
  <c r="X527" i="173" s="1"/>
  <c r="T503" i="176"/>
  <c r="U503" i="176" s="1"/>
  <c r="V503" i="176" s="1"/>
  <c r="W503" i="176" s="1"/>
  <c r="X503" i="176" s="1"/>
  <c r="Y503" i="176" s="1"/>
  <c r="Z503" i="176" s="1"/>
  <c r="AA503" i="176" s="1"/>
  <c r="AB503" i="176" s="1"/>
  <c r="AC503" i="176" s="1"/>
  <c r="AD503" i="176" s="1"/>
  <c r="AE503" i="176" s="1"/>
  <c r="AF503" i="176" s="1"/>
  <c r="AG503" i="176" s="1"/>
  <c r="U498" i="176"/>
  <c r="V498" i="176" s="1"/>
  <c r="W498" i="176" s="1"/>
  <c r="X498" i="176" s="1"/>
  <c r="Y498" i="176" s="1"/>
  <c r="Z498" i="176" s="1"/>
  <c r="AA498" i="176" s="1"/>
  <c r="AB498" i="176" s="1"/>
  <c r="U576" i="176"/>
  <c r="V576" i="176" s="1"/>
  <c r="W576" i="176" s="1"/>
  <c r="X576" i="176" s="1"/>
  <c r="Y576" i="176" s="1"/>
  <c r="Z576" i="176" s="1"/>
  <c r="AA576" i="176" s="1"/>
  <c r="AB576" i="176" s="1"/>
  <c r="AC576" i="176" s="1"/>
  <c r="AD576" i="176" s="1"/>
  <c r="AE576" i="176" s="1"/>
  <c r="AF576" i="176" s="1"/>
  <c r="AG576" i="176" s="1"/>
  <c r="AH576" i="176" s="1"/>
  <c r="AI576" i="176" s="1"/>
  <c r="W467" i="173"/>
  <c r="X467" i="173" s="1"/>
  <c r="R524" i="173"/>
  <c r="S524" i="173" s="1"/>
  <c r="T524" i="173" s="1"/>
  <c r="AF429" i="176"/>
  <c r="AG429" i="176" s="1"/>
  <c r="AH429" i="176" s="1"/>
  <c r="R566" i="176"/>
  <c r="S566" i="176" s="1"/>
  <c r="T566" i="176" s="1"/>
  <c r="U566" i="176" s="1"/>
  <c r="V566" i="176" s="1"/>
  <c r="W566" i="176" s="1"/>
  <c r="U532" i="176"/>
  <c r="V532" i="176" s="1"/>
  <c r="W532" i="176" s="1"/>
  <c r="X532" i="176" s="1"/>
  <c r="Y532" i="176" s="1"/>
  <c r="Z532" i="176" s="1"/>
  <c r="AA532" i="176" s="1"/>
  <c r="AA380" i="173"/>
  <c r="AB380" i="173" s="1"/>
  <c r="AC380" i="173" s="1"/>
  <c r="AD380" i="173" s="1"/>
  <c r="R495" i="176"/>
  <c r="V356" i="176"/>
  <c r="AB440" i="173"/>
  <c r="AC440" i="173" s="1"/>
  <c r="V527" i="176"/>
  <c r="W527" i="176" s="1"/>
  <c r="AC494" i="176"/>
  <c r="AD494" i="176" s="1"/>
  <c r="AE494" i="176" s="1"/>
  <c r="AF494" i="176" s="1"/>
  <c r="AG494" i="176" s="1"/>
  <c r="AH494" i="176" s="1"/>
  <c r="AI494" i="176" s="1"/>
  <c r="AJ494" i="176" s="1"/>
  <c r="AK494" i="176" s="1"/>
  <c r="AB303" i="173"/>
  <c r="AC303" i="173" s="1"/>
  <c r="AD303" i="173" s="1"/>
  <c r="Y355" i="173"/>
  <c r="Z355" i="173" s="1"/>
  <c r="AA355" i="173" s="1"/>
  <c r="AB355" i="173" s="1"/>
  <c r="AC355" i="173" s="1"/>
  <c r="AD355" i="173" s="1"/>
  <c r="U491" i="173"/>
  <c r="V491" i="173" s="1"/>
  <c r="W563" i="176"/>
  <c r="X563" i="176" s="1"/>
  <c r="Y563" i="176" s="1"/>
  <c r="Z563" i="176" s="1"/>
  <c r="AA563" i="176" s="1"/>
  <c r="AB563" i="176" s="1"/>
  <c r="AC563" i="176" s="1"/>
  <c r="AD563" i="176" s="1"/>
  <c r="AE563" i="176" s="1"/>
  <c r="AF563" i="176" s="1"/>
  <c r="AG563" i="176" s="1"/>
  <c r="AH563" i="176" s="1"/>
  <c r="AI563" i="176" s="1"/>
  <c r="T571" i="176"/>
  <c r="U456" i="176"/>
  <c r="S496" i="176"/>
  <c r="T496" i="176"/>
  <c r="U496" i="176" s="1"/>
  <c r="V496" i="176" s="1"/>
  <c r="W496" i="176"/>
  <c r="X496" i="176" s="1"/>
  <c r="Y496" i="176" s="1"/>
  <c r="Q432" i="173"/>
  <c r="R432" i="173" s="1"/>
  <c r="S432" i="173" s="1"/>
  <c r="N495" i="173"/>
  <c r="V412" i="173"/>
  <c r="O596" i="176"/>
  <c r="P596" i="176" s="1"/>
  <c r="S469" i="173"/>
  <c r="T466" i="173"/>
  <c r="Y459" i="176"/>
  <c r="Z459" i="176" s="1"/>
  <c r="AA459" i="176" s="1"/>
  <c r="Q611" i="176"/>
  <c r="P498" i="173"/>
  <c r="AI540" i="176"/>
  <c r="AJ540" i="176" s="1"/>
  <c r="AK540" i="176" s="1"/>
  <c r="Q542" i="176"/>
  <c r="P565" i="176"/>
  <c r="Q565" i="176" s="1"/>
  <c r="R565" i="176" s="1"/>
  <c r="S565" i="176" s="1"/>
  <c r="T565" i="176" s="1"/>
  <c r="AE387" i="176"/>
  <c r="AF387" i="176" s="1"/>
  <c r="AG387" i="176" s="1"/>
  <c r="AH387" i="176" s="1"/>
  <c r="AI387" i="176" s="1"/>
  <c r="AJ387" i="176" s="1"/>
  <c r="AK387" i="176" s="1"/>
  <c r="V408" i="173"/>
  <c r="Z409" i="173"/>
  <c r="Y438" i="173"/>
  <c r="Z438" i="173" s="1"/>
  <c r="AA438" i="173" s="1"/>
  <c r="AB438" i="173" s="1"/>
  <c r="AC438" i="173" s="1"/>
  <c r="AD438" i="173" s="1"/>
  <c r="W425" i="176"/>
  <c r="AH572" i="176"/>
  <c r="AI572" i="176" s="1"/>
  <c r="AJ572" i="176" s="1"/>
  <c r="W382" i="173"/>
  <c r="X382" i="173" s="1"/>
  <c r="Y382" i="173" s="1"/>
  <c r="Q531" i="176"/>
  <c r="U568" i="176"/>
  <c r="Q577" i="176"/>
  <c r="R577" i="176" s="1"/>
  <c r="S577" i="176" s="1"/>
  <c r="T577" i="176" s="1"/>
  <c r="U577" i="176" s="1"/>
  <c r="V577" i="176" s="1"/>
  <c r="W577" i="176" s="1"/>
  <c r="X577" i="176" s="1"/>
  <c r="Y577" i="176" s="1"/>
  <c r="Z577" i="176" s="1"/>
  <c r="AA577" i="176" s="1"/>
  <c r="AB577" i="176" s="1"/>
  <c r="AC577" i="176" s="1"/>
  <c r="AD577" i="176" s="1"/>
  <c r="AE577" i="176" s="1"/>
  <c r="AF577" i="176" s="1"/>
  <c r="V352" i="176"/>
  <c r="P561" i="176"/>
  <c r="Q561" i="176" s="1"/>
  <c r="R561" i="176" s="1"/>
  <c r="S561" i="176" s="1"/>
  <c r="R529" i="176"/>
  <c r="S529" i="176"/>
  <c r="T529" i="176" s="1"/>
  <c r="U529" i="176" s="1"/>
  <c r="V529" i="176" s="1"/>
  <c r="W529" i="176" s="1"/>
  <c r="S501" i="176"/>
  <c r="T501" i="176" s="1"/>
  <c r="U501" i="176" s="1"/>
  <c r="V501" i="176" s="1"/>
  <c r="W501" i="176" s="1"/>
  <c r="X501" i="176" s="1"/>
  <c r="Y501" i="176" s="1"/>
  <c r="Z501" i="176" s="1"/>
  <c r="AA501" i="176" s="1"/>
  <c r="AB501" i="176" s="1"/>
  <c r="AC501" i="176" s="1"/>
  <c r="AD501" i="176" s="1"/>
  <c r="S387" i="173"/>
  <c r="S389" i="173" s="1"/>
  <c r="S80" i="173" s="1"/>
  <c r="R389" i="173"/>
  <c r="R80" i="173" s="1"/>
  <c r="R81" i="173" s="1"/>
  <c r="O607" i="176"/>
  <c r="Q521" i="173"/>
  <c r="R521" i="173" s="1"/>
  <c r="S521" i="173" s="1"/>
  <c r="R536" i="176"/>
  <c r="O603" i="176"/>
  <c r="P609" i="176"/>
  <c r="Q609" i="176" s="1"/>
  <c r="P606" i="176"/>
  <c r="T436" i="173"/>
  <c r="U436" i="173" s="1"/>
  <c r="X253" i="176"/>
  <c r="O523" i="173"/>
  <c r="P523" i="173" s="1"/>
  <c r="W393" i="176"/>
  <c r="P574" i="176"/>
  <c r="S471" i="173"/>
  <c r="P533" i="176"/>
  <c r="AK499" i="176"/>
  <c r="R500" i="176"/>
  <c r="Q539" i="176"/>
  <c r="R539" i="176" s="1"/>
  <c r="S539" i="176" s="1"/>
  <c r="T539" i="176" s="1"/>
  <c r="U539" i="176" s="1"/>
  <c r="V539" i="176" s="1"/>
  <c r="W539" i="176" s="1"/>
  <c r="X539" i="176" s="1"/>
  <c r="Y539" i="176" s="1"/>
  <c r="Z539" i="176" s="1"/>
  <c r="AA539" i="176" s="1"/>
  <c r="AB539" i="176" s="1"/>
  <c r="AC539" i="176" s="1"/>
  <c r="AD539" i="176" s="1"/>
  <c r="AE539" i="176" s="1"/>
  <c r="AF539" i="176" s="1"/>
  <c r="AG539" i="176" s="1"/>
  <c r="O575" i="176"/>
  <c r="X324" i="176"/>
  <c r="X354" i="173"/>
  <c r="V428" i="176"/>
  <c r="Y270" i="173"/>
  <c r="Z270" i="173" s="1"/>
  <c r="AA270" i="173" s="1"/>
  <c r="AB270" i="173" s="1"/>
  <c r="AC270" i="173" s="1"/>
  <c r="AD270" i="173" s="1"/>
  <c r="R464" i="176"/>
  <c r="S502" i="176"/>
  <c r="Q497" i="173"/>
  <c r="R497" i="173" s="1"/>
  <c r="S497" i="173" s="1"/>
  <c r="T497" i="173" s="1"/>
  <c r="U497" i="173" s="1"/>
  <c r="V497" i="173" s="1"/>
  <c r="W497" i="173" s="1"/>
  <c r="X497" i="173" s="1"/>
  <c r="Y497" i="173" s="1"/>
  <c r="Z497" i="173" s="1"/>
  <c r="V391" i="176"/>
  <c r="W391" i="176" s="1"/>
  <c r="X391" i="176" s="1"/>
  <c r="Y391" i="176" s="1"/>
  <c r="Z391" i="176" s="1"/>
  <c r="T500" i="173"/>
  <c r="U500" i="173" s="1"/>
  <c r="V500" i="173" s="1"/>
  <c r="AJ541" i="176"/>
  <c r="AK541" i="176" s="1"/>
  <c r="T410" i="173"/>
  <c r="N608" i="176"/>
  <c r="O602" i="176"/>
  <c r="P602" i="176" s="1"/>
  <c r="Z497" i="176"/>
  <c r="P528" i="173"/>
  <c r="X392" i="176"/>
  <c r="Y392" i="176" s="1"/>
  <c r="Z392" i="176" s="1"/>
  <c r="AA392" i="176" s="1"/>
  <c r="AB392" i="176" s="1"/>
  <c r="AC392" i="176" s="1"/>
  <c r="P496" i="173"/>
  <c r="P562" i="176"/>
  <c r="Q562" i="176" s="1"/>
  <c r="R562" i="176" s="1"/>
  <c r="S562" i="176" s="1"/>
  <c r="Q597" i="176"/>
  <c r="R597" i="176" s="1"/>
  <c r="P604" i="176"/>
  <c r="Q605" i="176"/>
  <c r="S569" i="176"/>
  <c r="P564" i="176"/>
  <c r="V386" i="173"/>
  <c r="U470" i="173"/>
  <c r="N520" i="173"/>
  <c r="O520" i="173" s="1"/>
  <c r="P520" i="173" s="1"/>
  <c r="Q520" i="173" s="1"/>
  <c r="R520" i="173" s="1"/>
  <c r="S520" i="173" s="1"/>
  <c r="T520" i="173" s="1"/>
  <c r="U520" i="173" s="1"/>
  <c r="O526" i="173"/>
  <c r="P526" i="173" s="1"/>
  <c r="Q526" i="173" s="1"/>
  <c r="R573" i="176"/>
  <c r="S573" i="176" s="1"/>
  <c r="T573" i="176" s="1"/>
  <c r="U492" i="176"/>
  <c r="V492" i="176" s="1"/>
  <c r="W492" i="176" s="1"/>
  <c r="X492" i="176" s="1"/>
  <c r="Y492" i="176" s="1"/>
  <c r="V426" i="176"/>
  <c r="Y245" i="173"/>
  <c r="Z245" i="173" s="1"/>
  <c r="AA245" i="173" s="1"/>
  <c r="AB245" i="173" s="1"/>
  <c r="AC245" i="173" s="1"/>
  <c r="AD245" i="173" s="1"/>
  <c r="R499" i="173"/>
  <c r="R460" i="176"/>
  <c r="S460" i="176" s="1"/>
  <c r="T460" i="176" s="1"/>
  <c r="U460" i="176" s="1"/>
  <c r="V460" i="176" s="1"/>
  <c r="W460" i="176" s="1"/>
  <c r="X460" i="176" s="1"/>
  <c r="Y460" i="176" s="1"/>
  <c r="Z460" i="176" s="1"/>
  <c r="AA460" i="176" s="1"/>
  <c r="AB460" i="176" s="1"/>
  <c r="AI554" i="176"/>
  <c r="AJ554" i="176" s="1"/>
  <c r="AK554" i="176" s="1"/>
  <c r="W489" i="176"/>
  <c r="X489" i="176" s="1"/>
  <c r="Y489" i="176" s="1"/>
  <c r="Z489" i="176" s="1"/>
  <c r="AC419" i="176"/>
  <c r="AD419" i="176" s="1"/>
  <c r="AE419" i="176" s="1"/>
  <c r="AF419" i="176" s="1"/>
  <c r="AG419" i="176" s="1"/>
  <c r="AH419" i="176" s="1"/>
  <c r="AI419" i="176" s="1"/>
  <c r="AJ419" i="176" s="1"/>
  <c r="R523" i="176"/>
  <c r="AA553" i="176"/>
  <c r="AB553" i="176" s="1"/>
  <c r="AC553" i="176" s="1"/>
  <c r="AD553" i="176" s="1"/>
  <c r="AE553" i="176" s="1"/>
  <c r="AF553" i="176" s="1"/>
  <c r="AG553" i="176" s="1"/>
  <c r="AH553" i="176" s="1"/>
  <c r="AI553" i="176" s="1"/>
  <c r="AJ553" i="176" s="1"/>
  <c r="AK553" i="176" s="1"/>
  <c r="AB455" i="176"/>
  <c r="AC455" i="176" s="1"/>
  <c r="AD455" i="176" s="1"/>
  <c r="AE455" i="176" s="1"/>
  <c r="AF455" i="176" s="1"/>
  <c r="AG455" i="176" s="1"/>
  <c r="AH455" i="176" s="1"/>
  <c r="AI455" i="176" s="1"/>
  <c r="AJ455" i="176" s="1"/>
  <c r="AK455" i="176" s="1"/>
  <c r="U487" i="176"/>
  <c r="V487" i="176" s="1"/>
  <c r="W487" i="176" s="1"/>
  <c r="X487" i="176" s="1"/>
  <c r="Y487" i="176" s="1"/>
  <c r="Z487" i="176" s="1"/>
  <c r="AA487" i="176" s="1"/>
  <c r="AB487" i="176" s="1"/>
  <c r="AC487" i="176" s="1"/>
  <c r="AD487" i="176" s="1"/>
  <c r="AE487" i="176" s="1"/>
  <c r="R512" i="173"/>
  <c r="S512" i="173" s="1"/>
  <c r="T512" i="173" s="1"/>
  <c r="U512" i="173" s="1"/>
  <c r="V512" i="173" s="1"/>
  <c r="W512" i="173" s="1"/>
  <c r="X512" i="173" s="1"/>
  <c r="Y512" i="173" s="1"/>
  <c r="Z512" i="173" s="1"/>
  <c r="S555" i="176"/>
  <c r="T555" i="176" s="1"/>
  <c r="Q514" i="173"/>
  <c r="R514" i="173" s="1"/>
  <c r="Y373" i="173"/>
  <c r="Z373" i="173" s="1"/>
  <c r="AA373" i="173" s="1"/>
  <c r="AB373" i="173" s="1"/>
  <c r="AC373" i="173" s="1"/>
  <c r="AD373" i="173" s="1"/>
  <c r="W486" i="176"/>
  <c r="X486" i="176" s="1"/>
  <c r="Y486" i="176" s="1"/>
  <c r="Z486" i="176" s="1"/>
  <c r="AA486" i="176" s="1"/>
  <c r="AB486" i="176" s="1"/>
  <c r="AC486" i="176" s="1"/>
  <c r="AD486" i="176" s="1"/>
  <c r="AE486" i="176" s="1"/>
  <c r="W454" i="176"/>
  <c r="X454" i="176" s="1"/>
  <c r="U517" i="173"/>
  <c r="V517" i="173" s="1"/>
  <c r="W517" i="173" s="1"/>
  <c r="S433" i="173"/>
  <c r="T433" i="173" s="1"/>
  <c r="X458" i="173"/>
  <c r="Y458" i="173" s="1"/>
  <c r="Z458" i="173" s="1"/>
  <c r="AA458" i="173" s="1"/>
  <c r="AB458" i="173" s="1"/>
  <c r="AC458" i="173" s="1"/>
  <c r="AD458" i="173" s="1"/>
  <c r="U559" i="176"/>
  <c r="V559" i="176" s="1"/>
  <c r="W559" i="176" s="1"/>
  <c r="X559" i="176" s="1"/>
  <c r="Y559" i="176" s="1"/>
  <c r="Z559" i="176" s="1"/>
  <c r="AA559" i="176" s="1"/>
  <c r="AB559" i="176" s="1"/>
  <c r="AC559" i="176" s="1"/>
  <c r="AD559" i="176" s="1"/>
  <c r="AE559" i="176" s="1"/>
  <c r="AF559" i="176" s="1"/>
  <c r="AG559" i="176" s="1"/>
  <c r="AH559" i="176" s="1"/>
  <c r="AI559" i="176" s="1"/>
  <c r="AJ559" i="176" s="1"/>
  <c r="AK559" i="176" s="1"/>
  <c r="T462" i="173"/>
  <c r="U462" i="173" s="1"/>
  <c r="N548" i="176"/>
  <c r="P592" i="176"/>
  <c r="Q592" i="176" s="1"/>
  <c r="R592" i="176" s="1"/>
  <c r="S592" i="176" s="1"/>
  <c r="X405" i="173"/>
  <c r="AC488" i="176"/>
  <c r="AD488" i="176" s="1"/>
  <c r="AE488" i="176" s="1"/>
  <c r="AF488" i="176" s="1"/>
  <c r="AG488" i="176" s="1"/>
  <c r="AH488" i="176" s="1"/>
  <c r="AI488" i="176" s="1"/>
  <c r="AJ488" i="176" s="1"/>
  <c r="AK488" i="176" s="1"/>
  <c r="Y376" i="173"/>
  <c r="Z376" i="173" s="1"/>
  <c r="AA376" i="173" s="1"/>
  <c r="AB376" i="173" s="1"/>
  <c r="AC376" i="173" s="1"/>
  <c r="AD376" i="173" s="1"/>
  <c r="U402" i="173"/>
  <c r="V402" i="173" s="1"/>
  <c r="W402" i="173" s="1"/>
  <c r="X402" i="173" s="1"/>
  <c r="Y402" i="173" s="1"/>
  <c r="Z402" i="173" s="1"/>
  <c r="AA402" i="173" s="1"/>
  <c r="AB402" i="173" s="1"/>
  <c r="AC402" i="173" s="1"/>
  <c r="AD402" i="173" s="1"/>
  <c r="V430" i="173"/>
  <c r="W430" i="173" s="1"/>
  <c r="X430" i="173" s="1"/>
  <c r="Y430" i="173" s="1"/>
  <c r="Z430" i="173" s="1"/>
  <c r="AA430" i="173" s="1"/>
  <c r="AB430" i="173" s="1"/>
  <c r="AC430" i="173" s="1"/>
  <c r="AD430" i="173" s="1"/>
  <c r="S490" i="173"/>
  <c r="AF521" i="176"/>
  <c r="AG521" i="176" s="1"/>
  <c r="AH521" i="176" s="1"/>
  <c r="AI521" i="176" s="1"/>
  <c r="AJ521" i="176" s="1"/>
  <c r="AK521" i="176" s="1"/>
  <c r="AK558" i="176"/>
  <c r="S557" i="176"/>
  <c r="T557" i="176" s="1"/>
  <c r="P443" i="176"/>
  <c r="P473" i="176" s="1"/>
  <c r="P86" i="176" s="1"/>
  <c r="M506" i="173"/>
  <c r="N506" i="173" s="1"/>
  <c r="W456" i="173"/>
  <c r="X456" i="173" s="1"/>
  <c r="Y456" i="173" s="1"/>
  <c r="Z456" i="173" s="1"/>
  <c r="AA456" i="173" s="1"/>
  <c r="AB456" i="173" s="1"/>
  <c r="AC456" i="173" s="1"/>
  <c r="AD456" i="173" s="1"/>
  <c r="T511" i="173"/>
  <c r="U511" i="173" s="1"/>
  <c r="V511" i="173" s="1"/>
  <c r="W511" i="173" s="1"/>
  <c r="X511" i="173" s="1"/>
  <c r="Y511" i="173" s="1"/>
  <c r="Z511" i="173" s="1"/>
  <c r="AA511" i="173" s="1"/>
  <c r="AB511" i="173" s="1"/>
  <c r="AC511" i="173" s="1"/>
  <c r="AD511" i="173" s="1"/>
  <c r="V489" i="173"/>
  <c r="W489" i="173" s="1"/>
  <c r="X489" i="173" s="1"/>
  <c r="S460" i="173"/>
  <c r="T460" i="173" s="1"/>
  <c r="R524" i="176"/>
  <c r="S524" i="176" s="1"/>
  <c r="T486" i="173"/>
  <c r="U486" i="173" s="1"/>
  <c r="P522" i="176"/>
  <c r="O478" i="176"/>
  <c r="O508" i="176" s="1"/>
  <c r="O92" i="176" s="1"/>
  <c r="O93" i="176" s="1"/>
  <c r="S556" i="176"/>
  <c r="T556" i="176" s="1"/>
  <c r="O593" i="176"/>
  <c r="S487" i="173"/>
  <c r="T487" i="173" s="1"/>
  <c r="U487" i="173" s="1"/>
  <c r="V487" i="173" s="1"/>
  <c r="W487" i="173" s="1"/>
  <c r="X487" i="173" s="1"/>
  <c r="Y487" i="173" s="1"/>
  <c r="Z487" i="173" s="1"/>
  <c r="AA487" i="173" s="1"/>
  <c r="AB487" i="173" s="1"/>
  <c r="AC487" i="173" s="1"/>
  <c r="AD487" i="173" s="1"/>
  <c r="R518" i="173"/>
  <c r="R589" i="176"/>
  <c r="N485" i="173"/>
  <c r="O485" i="173" s="1"/>
  <c r="P485" i="173" s="1"/>
  <c r="Q485" i="173" s="1"/>
  <c r="R515" i="173"/>
  <c r="S515" i="173" s="1"/>
  <c r="T515" i="173" s="1"/>
  <c r="U515" i="173" s="1"/>
  <c r="T434" i="173"/>
  <c r="W595" i="176"/>
  <c r="X595" i="176" s="1"/>
  <c r="N516" i="173"/>
  <c r="O516" i="173" s="1"/>
  <c r="P516" i="173" s="1"/>
  <c r="Q516" i="173" s="1"/>
  <c r="O594" i="176"/>
  <c r="R488" i="173"/>
  <c r="S488" i="173" s="1"/>
  <c r="T488" i="173" s="1"/>
  <c r="U488" i="173" s="1"/>
  <c r="V488" i="173" s="1"/>
  <c r="W488" i="173" s="1"/>
  <c r="T525" i="176"/>
  <c r="U560" i="176"/>
  <c r="V560" i="176" s="1"/>
  <c r="W560" i="176" s="1"/>
  <c r="X560" i="176" s="1"/>
  <c r="Q590" i="176"/>
  <c r="P461" i="173"/>
  <c r="V46" i="176"/>
  <c r="W42" i="176" s="1"/>
  <c r="X46" i="173"/>
  <c r="Y42" i="173" s="1"/>
  <c r="Q76" i="173"/>
  <c r="R72" i="173" s="1"/>
  <c r="T509" i="173"/>
  <c r="U509" i="173" s="1"/>
  <c r="V509" i="173" s="1"/>
  <c r="W509" i="173" s="1"/>
  <c r="X509" i="173" s="1"/>
  <c r="Y509" i="173" s="1"/>
  <c r="Z509" i="173" s="1"/>
  <c r="AA509" i="173" s="1"/>
  <c r="AB509" i="173" s="1"/>
  <c r="AC509" i="173" s="1"/>
  <c r="AD509" i="173" s="1"/>
  <c r="N94" i="176"/>
  <c r="O90" i="176" s="1"/>
  <c r="M583" i="176"/>
  <c r="Q76" i="176"/>
  <c r="R72" i="176" s="1"/>
  <c r="R64" i="176"/>
  <c r="S60" i="176" s="1"/>
  <c r="U58" i="173"/>
  <c r="V54" i="173" s="1"/>
  <c r="N88" i="173"/>
  <c r="O84" i="173" s="1"/>
  <c r="T70" i="173"/>
  <c r="U66" i="173" s="1"/>
  <c r="T366" i="173"/>
  <c r="W408" i="176"/>
  <c r="R403" i="176"/>
  <c r="R74" i="176" s="1"/>
  <c r="R75" i="176" s="1"/>
  <c r="S373" i="176"/>
  <c r="W263" i="176"/>
  <c r="W50" i="176" s="1"/>
  <c r="W51" i="176" s="1"/>
  <c r="X233" i="176"/>
  <c r="V51" i="173"/>
  <c r="W228" i="176"/>
  <c r="W44" i="176" s="1"/>
  <c r="X198" i="176"/>
  <c r="X231" i="173"/>
  <c r="W249" i="173"/>
  <c r="W50" i="173" s="1"/>
  <c r="L100" i="176"/>
  <c r="M96" i="176" s="1"/>
  <c r="Z226" i="173"/>
  <c r="AB198" i="173"/>
  <c r="Z199" i="173"/>
  <c r="Y221" i="173"/>
  <c r="Y44" i="173" s="1"/>
  <c r="L99" i="176"/>
  <c r="AJ134" i="176"/>
  <c r="S368" i="176"/>
  <c r="S68" i="176" s="1"/>
  <c r="S69" i="176" s="1"/>
  <c r="T338" i="176"/>
  <c r="T422" i="173"/>
  <c r="W298" i="176"/>
  <c r="W56" i="176" s="1"/>
  <c r="X268" i="176"/>
  <c r="AI160" i="176"/>
  <c r="AJ156" i="176" s="1"/>
  <c r="O417" i="173"/>
  <c r="O86" i="173" s="1"/>
  <c r="O87" i="173" s="1"/>
  <c r="P394" i="173"/>
  <c r="N87" i="173"/>
  <c r="N473" i="173"/>
  <c r="N98" i="173" s="1"/>
  <c r="O450" i="173"/>
  <c r="Q81" i="176"/>
  <c r="M99" i="173"/>
  <c r="V45" i="176"/>
  <c r="S409" i="176"/>
  <c r="R438" i="176"/>
  <c r="R80" i="176" s="1"/>
  <c r="R81" i="176" s="1"/>
  <c r="AI154" i="176"/>
  <c r="AJ150" i="176" s="1"/>
  <c r="AJ148" i="176"/>
  <c r="AK144" i="176" s="1"/>
  <c r="V52" i="176"/>
  <c r="W48" i="176" s="1"/>
  <c r="Q82" i="176"/>
  <c r="R78" i="176" s="1"/>
  <c r="AJ140" i="176"/>
  <c r="AJ141" i="176" s="1"/>
  <c r="AJ164" i="176"/>
  <c r="AJ165" i="176" s="1"/>
  <c r="R70" i="176"/>
  <c r="S66" i="176" s="1"/>
  <c r="Q75" i="176"/>
  <c r="O88" i="176"/>
  <c r="P84" i="176" s="1"/>
  <c r="S333" i="176"/>
  <c r="S62" i="176" s="1"/>
  <c r="T303" i="176"/>
  <c r="W255" i="173"/>
  <c r="V277" i="173"/>
  <c r="V56" i="173" s="1"/>
  <c r="V57" i="173" s="1"/>
  <c r="M543" i="176"/>
  <c r="M98" i="176" s="1"/>
  <c r="N513" i="176"/>
  <c r="R63" i="176"/>
  <c r="M100" i="173"/>
  <c r="N96" i="173" s="1"/>
  <c r="U305" i="173"/>
  <c r="U62" i="173" s="1"/>
  <c r="V282" i="173"/>
  <c r="R361" i="173"/>
  <c r="R74" i="173" s="1"/>
  <c r="S338" i="173"/>
  <c r="U333" i="173"/>
  <c r="U68" i="173" s="1"/>
  <c r="U69" i="173" s="1"/>
  <c r="V310" i="173"/>
  <c r="Q75" i="173"/>
  <c r="O478" i="173"/>
  <c r="V52" i="173"/>
  <c r="W48" i="173" s="1"/>
  <c r="AK129" i="176"/>
  <c r="Z254" i="173"/>
  <c r="T64" i="173"/>
  <c r="U60" i="173" s="1"/>
  <c r="AJ172" i="176"/>
  <c r="AK168" i="176" s="1"/>
  <c r="AK130" i="176"/>
  <c r="X45" i="173"/>
  <c r="AC443" i="173" l="1"/>
  <c r="AD443" i="173" s="1"/>
  <c r="AC493" i="176"/>
  <c r="AD493" i="176" s="1"/>
  <c r="AE493" i="176" s="1"/>
  <c r="AF493" i="176" s="1"/>
  <c r="AG493" i="176" s="1"/>
  <c r="AH493" i="176" s="1"/>
  <c r="AI493" i="176" s="1"/>
  <c r="AJ493" i="176" s="1"/>
  <c r="AK247" i="176"/>
  <c r="AI470" i="176"/>
  <c r="AJ470" i="176" s="1"/>
  <c r="AK470" i="176" s="1"/>
  <c r="AC498" i="176"/>
  <c r="AD498" i="176" s="1"/>
  <c r="AA413" i="173"/>
  <c r="AB413" i="173" s="1"/>
  <c r="AC413" i="173" s="1"/>
  <c r="AB530" i="176"/>
  <c r="AC530" i="176" s="1"/>
  <c r="AD530" i="176" s="1"/>
  <c r="AE530" i="176" s="1"/>
  <c r="AF530" i="176" s="1"/>
  <c r="AG530" i="176" s="1"/>
  <c r="AH530" i="176" s="1"/>
  <c r="AI530" i="176" s="1"/>
  <c r="AJ530" i="176" s="1"/>
  <c r="AK530" i="176" s="1"/>
  <c r="W500" i="173"/>
  <c r="X500" i="173" s="1"/>
  <c r="Y500" i="173" s="1"/>
  <c r="Z500" i="173" s="1"/>
  <c r="AA500" i="173" s="1"/>
  <c r="AB500" i="173" s="1"/>
  <c r="AC500" i="173" s="1"/>
  <c r="U573" i="176"/>
  <c r="V573" i="176" s="1"/>
  <c r="W573" i="176" s="1"/>
  <c r="X573" i="176" s="1"/>
  <c r="Y573" i="176" s="1"/>
  <c r="Z573" i="176" s="1"/>
  <c r="AA573" i="176" s="1"/>
  <c r="AB573" i="176" s="1"/>
  <c r="AC573" i="176" s="1"/>
  <c r="AD573" i="176" s="1"/>
  <c r="AE573" i="176" s="1"/>
  <c r="AF573" i="176" s="1"/>
  <c r="V464" i="173"/>
  <c r="W464" i="173" s="1"/>
  <c r="X464" i="173" s="1"/>
  <c r="AI505" i="176"/>
  <c r="AJ505" i="176" s="1"/>
  <c r="AK505" i="176" s="1"/>
  <c r="U612" i="176"/>
  <c r="V612" i="176" s="1"/>
  <c r="W612" i="176" s="1"/>
  <c r="X612" i="176" s="1"/>
  <c r="Y612" i="176" s="1"/>
  <c r="Z612" i="176" s="1"/>
  <c r="AA612" i="176" s="1"/>
  <c r="AB383" i="173"/>
  <c r="AC383" i="173" s="1"/>
  <c r="S567" i="176"/>
  <c r="T567" i="176" s="1"/>
  <c r="U567" i="176" s="1"/>
  <c r="V567" i="176" s="1"/>
  <c r="W567" i="176" s="1"/>
  <c r="X567" i="176" s="1"/>
  <c r="Y567" i="176" s="1"/>
  <c r="Z567" i="176" s="1"/>
  <c r="U599" i="176"/>
  <c r="V599" i="176" s="1"/>
  <c r="W599" i="176" s="1"/>
  <c r="U565" i="176"/>
  <c r="V565" i="176" s="1"/>
  <c r="W565" i="176" s="1"/>
  <c r="X565" i="176" s="1"/>
  <c r="Z526" i="176"/>
  <c r="AA526" i="176" s="1"/>
  <c r="AB526" i="176" s="1"/>
  <c r="W493" i="173"/>
  <c r="X493" i="173" s="1"/>
  <c r="Y493" i="173" s="1"/>
  <c r="X566" i="176"/>
  <c r="Y566" i="176" s="1"/>
  <c r="AD359" i="176"/>
  <c r="AE359" i="176" s="1"/>
  <c r="AF359" i="176" s="1"/>
  <c r="Q596" i="176"/>
  <c r="R596" i="176" s="1"/>
  <c r="S610" i="176"/>
  <c r="T610" i="176" s="1"/>
  <c r="U610" i="176" s="1"/>
  <c r="V610" i="176" s="1"/>
  <c r="W610" i="176" s="1"/>
  <c r="X610" i="176" s="1"/>
  <c r="Y610" i="176" s="1"/>
  <c r="Z610" i="176" s="1"/>
  <c r="AA610" i="176" s="1"/>
  <c r="AB610" i="176" s="1"/>
  <c r="AC610" i="176" s="1"/>
  <c r="AD610" i="176" s="1"/>
  <c r="W534" i="176"/>
  <c r="V436" i="173"/>
  <c r="W436" i="173" s="1"/>
  <c r="X436" i="173" s="1"/>
  <c r="Y436" i="173" s="1"/>
  <c r="Z436" i="173" s="1"/>
  <c r="AA436" i="173" s="1"/>
  <c r="AB436" i="173" s="1"/>
  <c r="AC436" i="173" s="1"/>
  <c r="AD436" i="173" s="1"/>
  <c r="AD463" i="176"/>
  <c r="AE463" i="176" s="1"/>
  <c r="T492" i="173"/>
  <c r="U492" i="173" s="1"/>
  <c r="V538" i="176"/>
  <c r="W538" i="176" s="1"/>
  <c r="X538" i="176" s="1"/>
  <c r="Y538" i="176" s="1"/>
  <c r="Z538" i="176" s="1"/>
  <c r="AA538" i="176" s="1"/>
  <c r="AB538" i="176" s="1"/>
  <c r="AC538" i="176" s="1"/>
  <c r="AD538" i="176" s="1"/>
  <c r="AE538" i="176" s="1"/>
  <c r="AF538" i="176" s="1"/>
  <c r="Q602" i="176"/>
  <c r="R602" i="176" s="1"/>
  <c r="R598" i="176"/>
  <c r="S598" i="176" s="1"/>
  <c r="U528" i="176"/>
  <c r="V528" i="176" s="1"/>
  <c r="R601" i="176"/>
  <c r="R494" i="173"/>
  <c r="X529" i="176"/>
  <c r="Y529" i="176" s="1"/>
  <c r="Z529" i="176" s="1"/>
  <c r="AA529" i="176" s="1"/>
  <c r="AF461" i="176"/>
  <c r="AG461" i="176" s="1"/>
  <c r="AH461" i="176" s="1"/>
  <c r="AI461" i="176" s="1"/>
  <c r="AJ461" i="176" s="1"/>
  <c r="AK461" i="176" s="1"/>
  <c r="AJ504" i="176"/>
  <c r="AK504" i="176" s="1"/>
  <c r="AK422" i="176"/>
  <c r="X435" i="173"/>
  <c r="Y435" i="173" s="1"/>
  <c r="Z435" i="173" s="1"/>
  <c r="AA435" i="173" s="1"/>
  <c r="AB435" i="173" s="1"/>
  <c r="AC435" i="173" s="1"/>
  <c r="AD435" i="173" s="1"/>
  <c r="Z457" i="176"/>
  <c r="AA457" i="176" s="1"/>
  <c r="AB457" i="176" s="1"/>
  <c r="AC457" i="176" s="1"/>
  <c r="AD457" i="176" s="1"/>
  <c r="AE457" i="176" s="1"/>
  <c r="AF457" i="176" s="1"/>
  <c r="AG457" i="176" s="1"/>
  <c r="AH457" i="176" s="1"/>
  <c r="AI457" i="176" s="1"/>
  <c r="AJ457" i="176" s="1"/>
  <c r="AK457" i="176" s="1"/>
  <c r="AK484" i="176"/>
  <c r="W463" i="173"/>
  <c r="X463" i="173" s="1"/>
  <c r="Y463" i="173" s="1"/>
  <c r="AD440" i="173"/>
  <c r="AA441" i="173"/>
  <c r="AB441" i="173" s="1"/>
  <c r="AB468" i="173"/>
  <c r="AC468" i="173" s="1"/>
  <c r="V568" i="176"/>
  <c r="W568" i="176" s="1"/>
  <c r="X568" i="176" s="1"/>
  <c r="Y568" i="176" s="1"/>
  <c r="AC460" i="176"/>
  <c r="AD460" i="176" s="1"/>
  <c r="W537" i="176"/>
  <c r="X359" i="173"/>
  <c r="R526" i="173"/>
  <c r="S526" i="173" s="1"/>
  <c r="AE458" i="176"/>
  <c r="AF458" i="176" s="1"/>
  <c r="AA497" i="173"/>
  <c r="AB497" i="173" s="1"/>
  <c r="AG577" i="176"/>
  <c r="AH577" i="176" s="1"/>
  <c r="AI577" i="176" s="1"/>
  <c r="V465" i="173"/>
  <c r="W465" i="173" s="1"/>
  <c r="AI430" i="176"/>
  <c r="AJ430" i="176" s="1"/>
  <c r="AK430" i="176" s="1"/>
  <c r="AE501" i="176"/>
  <c r="AF501" i="176" s="1"/>
  <c r="AD217" i="176"/>
  <c r="AE217" i="176" s="1"/>
  <c r="S525" i="173"/>
  <c r="W57" i="176"/>
  <c r="AK283" i="176"/>
  <c r="R82" i="173"/>
  <c r="S78" i="173" s="1"/>
  <c r="S82" i="173" s="1"/>
  <c r="T78" i="173" s="1"/>
  <c r="AK572" i="176"/>
  <c r="AA411" i="173"/>
  <c r="AB411" i="173" s="1"/>
  <c r="V58" i="176"/>
  <c r="W54" i="176" s="1"/>
  <c r="W58" i="176" s="1"/>
  <c r="X54" i="176" s="1"/>
  <c r="AE322" i="176"/>
  <c r="AF322" i="176" s="1"/>
  <c r="AG322" i="176" s="1"/>
  <c r="AH322" i="176" s="1"/>
  <c r="AI322" i="176" s="1"/>
  <c r="AJ322" i="176" s="1"/>
  <c r="Z491" i="176"/>
  <c r="AA491" i="176" s="1"/>
  <c r="S81" i="173"/>
  <c r="S597" i="176"/>
  <c r="T597" i="176" s="1"/>
  <c r="U597" i="176" s="1"/>
  <c r="T561" i="176"/>
  <c r="U561" i="176" s="1"/>
  <c r="U524" i="173"/>
  <c r="V524" i="173" s="1"/>
  <c r="W524" i="173" s="1"/>
  <c r="X524" i="173" s="1"/>
  <c r="Y524" i="173" s="1"/>
  <c r="AB532" i="176"/>
  <c r="AC532" i="176" s="1"/>
  <c r="AD532" i="176" s="1"/>
  <c r="AD392" i="176"/>
  <c r="AE392" i="176" s="1"/>
  <c r="AF392" i="176" s="1"/>
  <c r="Y527" i="173"/>
  <c r="Z527" i="173" s="1"/>
  <c r="AA527" i="173" s="1"/>
  <c r="AB527" i="173" s="1"/>
  <c r="T562" i="176"/>
  <c r="U562" i="176"/>
  <c r="U600" i="176"/>
  <c r="V600" i="176" s="1"/>
  <c r="W600" i="176" s="1"/>
  <c r="X600" i="176" s="1"/>
  <c r="AA391" i="176"/>
  <c r="AB391" i="176" s="1"/>
  <c r="AC391" i="176" s="1"/>
  <c r="AD391" i="176" s="1"/>
  <c r="AE391" i="176" s="1"/>
  <c r="AF391" i="176" s="1"/>
  <c r="AG391" i="176" s="1"/>
  <c r="AH391" i="176" s="1"/>
  <c r="Q498" i="173"/>
  <c r="R498" i="173" s="1"/>
  <c r="S498" i="173" s="1"/>
  <c r="T498" i="173" s="1"/>
  <c r="U498" i="173" s="1"/>
  <c r="V498" i="173" s="1"/>
  <c r="W498" i="173" s="1"/>
  <c r="X498" i="173" s="1"/>
  <c r="Y498" i="173" s="1"/>
  <c r="Z498" i="173" s="1"/>
  <c r="AA498" i="173" s="1"/>
  <c r="Y354" i="173"/>
  <c r="Z354" i="173" s="1"/>
  <c r="AA354" i="173" s="1"/>
  <c r="X393" i="176"/>
  <c r="AA409" i="173"/>
  <c r="T521" i="173"/>
  <c r="U521" i="173" s="1"/>
  <c r="AD442" i="173"/>
  <c r="T569" i="176"/>
  <c r="U569" i="176" s="1"/>
  <c r="V569" i="176" s="1"/>
  <c r="W569" i="176" s="1"/>
  <c r="X569" i="176" s="1"/>
  <c r="Y569" i="176" s="1"/>
  <c r="Z569" i="176" s="1"/>
  <c r="AA569" i="176" s="1"/>
  <c r="AB569" i="176" s="1"/>
  <c r="AC569" i="176" s="1"/>
  <c r="AD569" i="176" s="1"/>
  <c r="O548" i="176"/>
  <c r="T432" i="173"/>
  <c r="U432" i="173" s="1"/>
  <c r="V432" i="173" s="1"/>
  <c r="W432" i="173" s="1"/>
  <c r="X432" i="173" s="1"/>
  <c r="R445" i="173"/>
  <c r="R92" i="173" s="1"/>
  <c r="Q496" i="173"/>
  <c r="R496" i="173" s="1"/>
  <c r="S496" i="173" s="1"/>
  <c r="Q523" i="173"/>
  <c r="R523" i="173" s="1"/>
  <c r="S523" i="173" s="1"/>
  <c r="AJ563" i="176"/>
  <c r="AK563" i="176" s="1"/>
  <c r="W428" i="176"/>
  <c r="P603" i="176"/>
  <c r="Q603" i="176"/>
  <c r="R603" i="176" s="1"/>
  <c r="S603" i="176" s="1"/>
  <c r="U466" i="173"/>
  <c r="W356" i="176"/>
  <c r="AH503" i="176"/>
  <c r="AI503" i="176" s="1"/>
  <c r="AH539" i="176"/>
  <c r="AI539" i="176" s="1"/>
  <c r="AJ539" i="176" s="1"/>
  <c r="U522" i="173"/>
  <c r="X425" i="176"/>
  <c r="Y425" i="176" s="1"/>
  <c r="Q519" i="173"/>
  <c r="R519" i="173" s="1"/>
  <c r="S519" i="173" s="1"/>
  <c r="T519" i="173" s="1"/>
  <c r="T471" i="173"/>
  <c r="W408" i="173"/>
  <c r="Q528" i="173"/>
  <c r="W386" i="173"/>
  <c r="Q604" i="176"/>
  <c r="R604" i="176" s="1"/>
  <c r="S604" i="176" s="1"/>
  <c r="T604" i="176" s="1"/>
  <c r="U604" i="176" s="1"/>
  <c r="V604" i="176" s="1"/>
  <c r="W604" i="176" s="1"/>
  <c r="X604" i="176" s="1"/>
  <c r="Y604" i="176" s="1"/>
  <c r="Z604" i="176" s="1"/>
  <c r="AA604" i="176" s="1"/>
  <c r="AB604" i="176" s="1"/>
  <c r="R609" i="176"/>
  <c r="AB459" i="176"/>
  <c r="AC459" i="176" s="1"/>
  <c r="AD459" i="176" s="1"/>
  <c r="AE459" i="176" s="1"/>
  <c r="AF459" i="176" s="1"/>
  <c r="AG459" i="176" s="1"/>
  <c r="AH459" i="176" s="1"/>
  <c r="AI459" i="176" s="1"/>
  <c r="AJ459" i="176" s="1"/>
  <c r="AK459" i="176" s="1"/>
  <c r="T469" i="173"/>
  <c r="T387" i="173"/>
  <c r="T389" i="173" s="1"/>
  <c r="T80" i="173" s="1"/>
  <c r="T81" i="173" s="1"/>
  <c r="Z492" i="176"/>
  <c r="AA492" i="176" s="1"/>
  <c r="T502" i="176"/>
  <c r="Z496" i="176"/>
  <c r="AA496" i="176" s="1"/>
  <c r="V470" i="173"/>
  <c r="W470" i="173" s="1"/>
  <c r="X470" i="173" s="1"/>
  <c r="Y470" i="173" s="1"/>
  <c r="Z470" i="173" s="1"/>
  <c r="AA470" i="173" s="1"/>
  <c r="Q564" i="176"/>
  <c r="AA497" i="176"/>
  <c r="AB497" i="176" s="1"/>
  <c r="R611" i="176"/>
  <c r="U410" i="173"/>
  <c r="Q533" i="176"/>
  <c r="W352" i="176"/>
  <c r="V520" i="173"/>
  <c r="W520" i="173" s="1"/>
  <c r="X520" i="173" s="1"/>
  <c r="Y520" i="173" s="1"/>
  <c r="Z520" i="173" s="1"/>
  <c r="AA520" i="173" s="1"/>
  <c r="S536" i="176"/>
  <c r="W412" i="173"/>
  <c r="X412" i="173" s="1"/>
  <c r="Y412" i="173" s="1"/>
  <c r="V456" i="176"/>
  <c r="W456" i="176" s="1"/>
  <c r="X456" i="176" s="1"/>
  <c r="Y456" i="176" s="1"/>
  <c r="Z456" i="176" s="1"/>
  <c r="S495" i="176"/>
  <c r="T495" i="176" s="1"/>
  <c r="U495" i="176" s="1"/>
  <c r="V495" i="176" s="1"/>
  <c r="W495" i="176" s="1"/>
  <c r="X495" i="176" s="1"/>
  <c r="S464" i="176"/>
  <c r="Y467" i="173"/>
  <c r="X527" i="176"/>
  <c r="Y527" i="176" s="1"/>
  <c r="Y324" i="176"/>
  <c r="Z382" i="173"/>
  <c r="AA382" i="173" s="1"/>
  <c r="S499" i="173"/>
  <c r="R605" i="176"/>
  <c r="Q445" i="173"/>
  <c r="Q92" i="173" s="1"/>
  <c r="Q93" i="173" s="1"/>
  <c r="W426" i="176"/>
  <c r="S500" i="176"/>
  <c r="W491" i="173"/>
  <c r="AK493" i="176"/>
  <c r="Q574" i="176"/>
  <c r="R531" i="176"/>
  <c r="R542" i="176"/>
  <c r="S542" i="176" s="1"/>
  <c r="T542" i="176" s="1"/>
  <c r="U542" i="176" s="1"/>
  <c r="V542" i="176" s="1"/>
  <c r="W542" i="176" s="1"/>
  <c r="X542" i="176" s="1"/>
  <c r="Y542" i="176" s="1"/>
  <c r="Z542" i="176" s="1"/>
  <c r="AA542" i="176" s="1"/>
  <c r="AB542" i="176" s="1"/>
  <c r="AC542" i="176" s="1"/>
  <c r="AD542" i="176" s="1"/>
  <c r="AE542" i="176" s="1"/>
  <c r="AF542" i="176" s="1"/>
  <c r="AG542" i="176" s="1"/>
  <c r="AH542" i="176" s="1"/>
  <c r="AI542" i="176" s="1"/>
  <c r="AJ542" i="176" s="1"/>
  <c r="P575" i="176"/>
  <c r="Y253" i="176"/>
  <c r="Z253" i="176" s="1"/>
  <c r="AA253" i="176" s="1"/>
  <c r="AB253" i="176" s="1"/>
  <c r="AC253" i="176" s="1"/>
  <c r="AD253" i="176" s="1"/>
  <c r="AE253" i="176" s="1"/>
  <c r="AF253" i="176" s="1"/>
  <c r="AG253" i="176" s="1"/>
  <c r="AH253" i="176" s="1"/>
  <c r="AI253" i="176" s="1"/>
  <c r="P607" i="176"/>
  <c r="O495" i="173"/>
  <c r="O608" i="176"/>
  <c r="U571" i="176"/>
  <c r="AI429" i="176"/>
  <c r="AJ429" i="176" s="1"/>
  <c r="AK429" i="176" s="1"/>
  <c r="AJ576" i="176"/>
  <c r="AK576" i="176" s="1"/>
  <c r="Q606" i="176"/>
  <c r="P478" i="176"/>
  <c r="P508" i="176" s="1"/>
  <c r="P92" i="176" s="1"/>
  <c r="P93" i="176" s="1"/>
  <c r="R485" i="173"/>
  <c r="S485" i="173" s="1"/>
  <c r="T485" i="173" s="1"/>
  <c r="U485" i="173" s="1"/>
  <c r="V485" i="173" s="1"/>
  <c r="W485" i="173" s="1"/>
  <c r="X485" i="173" s="1"/>
  <c r="Y485" i="173" s="1"/>
  <c r="Z485" i="173" s="1"/>
  <c r="AA485" i="173" s="1"/>
  <c r="AB485" i="173" s="1"/>
  <c r="AA512" i="173"/>
  <c r="AB512" i="173" s="1"/>
  <c r="AC512" i="173" s="1"/>
  <c r="U460" i="173"/>
  <c r="V460" i="173" s="1"/>
  <c r="W460" i="173" s="1"/>
  <c r="S514" i="173"/>
  <c r="T514" i="173" s="1"/>
  <c r="AK419" i="176"/>
  <c r="Q443" i="176"/>
  <c r="Q473" i="176" s="1"/>
  <c r="Q86" i="176" s="1"/>
  <c r="S523" i="176"/>
  <c r="T523" i="176" s="1"/>
  <c r="U523" i="176" s="1"/>
  <c r="V523" i="176" s="1"/>
  <c r="W523" i="176" s="1"/>
  <c r="X523" i="176" s="1"/>
  <c r="Y523" i="176" s="1"/>
  <c r="Z523" i="176" s="1"/>
  <c r="AA523" i="176" s="1"/>
  <c r="AB523" i="176" s="1"/>
  <c r="AC523" i="176" s="1"/>
  <c r="AD523" i="176" s="1"/>
  <c r="AE523" i="176" s="1"/>
  <c r="AF523" i="176" s="1"/>
  <c r="AG523" i="176" s="1"/>
  <c r="AH523" i="176" s="1"/>
  <c r="AI523" i="176" s="1"/>
  <c r="AJ523" i="176" s="1"/>
  <c r="AA489" i="176"/>
  <c r="AB489" i="176" s="1"/>
  <c r="AC489" i="176" s="1"/>
  <c r="AD489" i="176" s="1"/>
  <c r="AE489" i="176" s="1"/>
  <c r="AF489" i="176" s="1"/>
  <c r="AG489" i="176" s="1"/>
  <c r="V462" i="173"/>
  <c r="W462" i="173" s="1"/>
  <c r="X517" i="173"/>
  <c r="Y517" i="173" s="1"/>
  <c r="Z517" i="173" s="1"/>
  <c r="AA517" i="173" s="1"/>
  <c r="AB517" i="173" s="1"/>
  <c r="AC517" i="173" s="1"/>
  <c r="AD517" i="173" s="1"/>
  <c r="S445" i="173"/>
  <c r="S92" i="173" s="1"/>
  <c r="U555" i="176"/>
  <c r="V555" i="176" s="1"/>
  <c r="W555" i="176" s="1"/>
  <c r="X555" i="176" s="1"/>
  <c r="Y555" i="176" s="1"/>
  <c r="Z555" i="176" s="1"/>
  <c r="AA555" i="176" s="1"/>
  <c r="AB555" i="176" s="1"/>
  <c r="AC555" i="176" s="1"/>
  <c r="AD555" i="176" s="1"/>
  <c r="AE555" i="176" s="1"/>
  <c r="AF555" i="176" s="1"/>
  <c r="AG555" i="176" s="1"/>
  <c r="AH555" i="176" s="1"/>
  <c r="AI555" i="176" s="1"/>
  <c r="AJ555" i="176" s="1"/>
  <c r="AK555" i="176" s="1"/>
  <c r="R76" i="173"/>
  <c r="S72" i="173" s="1"/>
  <c r="Y454" i="176"/>
  <c r="Z454" i="176" s="1"/>
  <c r="AA454" i="176" s="1"/>
  <c r="AB454" i="176" s="1"/>
  <c r="AC454" i="176" s="1"/>
  <c r="AD454" i="176" s="1"/>
  <c r="AE454" i="176" s="1"/>
  <c r="U433" i="173"/>
  <c r="V433" i="173" s="1"/>
  <c r="W433" i="173" s="1"/>
  <c r="X433" i="173" s="1"/>
  <c r="AF486" i="176"/>
  <c r="AG486" i="176" s="1"/>
  <c r="AH486" i="176" s="1"/>
  <c r="AI486" i="176" s="1"/>
  <c r="AJ486" i="176" s="1"/>
  <c r="AK486" i="176" s="1"/>
  <c r="AF487" i="176"/>
  <c r="AG487" i="176" s="1"/>
  <c r="AH487" i="176" s="1"/>
  <c r="AI487" i="176" s="1"/>
  <c r="AJ487" i="176" s="1"/>
  <c r="AK487" i="176" s="1"/>
  <c r="U557" i="176"/>
  <c r="V557" i="176" s="1"/>
  <c r="W557" i="176" s="1"/>
  <c r="Y46" i="173"/>
  <c r="Z42" i="173" s="1"/>
  <c r="Y405" i="173"/>
  <c r="Z405" i="173" s="1"/>
  <c r="AA405" i="173" s="1"/>
  <c r="AB405" i="173" s="1"/>
  <c r="AC405" i="173" s="1"/>
  <c r="AD405" i="173" s="1"/>
  <c r="T592" i="176"/>
  <c r="U592" i="176" s="1"/>
  <c r="O506" i="173"/>
  <c r="W46" i="176"/>
  <c r="X42" i="176" s="1"/>
  <c r="U556" i="176"/>
  <c r="V556" i="176" s="1"/>
  <c r="W556" i="176" s="1"/>
  <c r="X556" i="176" s="1"/>
  <c r="Y556" i="176" s="1"/>
  <c r="Z556" i="176" s="1"/>
  <c r="AA556" i="176" s="1"/>
  <c r="AB556" i="176" s="1"/>
  <c r="AC556" i="176" s="1"/>
  <c r="AD556" i="176" s="1"/>
  <c r="AE556" i="176" s="1"/>
  <c r="AF556" i="176" s="1"/>
  <c r="AG556" i="176" s="1"/>
  <c r="AH556" i="176" s="1"/>
  <c r="AI556" i="176" s="1"/>
  <c r="AJ556" i="176" s="1"/>
  <c r="T490" i="173"/>
  <c r="V486" i="173"/>
  <c r="W486" i="173" s="1"/>
  <c r="X486" i="173" s="1"/>
  <c r="Y486" i="173" s="1"/>
  <c r="Z486" i="173" s="1"/>
  <c r="AA486" i="173" s="1"/>
  <c r="AB486" i="173" s="1"/>
  <c r="AC486" i="173" s="1"/>
  <c r="AD486" i="173" s="1"/>
  <c r="Y489" i="173"/>
  <c r="Z489" i="173" s="1"/>
  <c r="AA489" i="173" s="1"/>
  <c r="AB489" i="173" s="1"/>
  <c r="AC489" i="173" s="1"/>
  <c r="AD489" i="173" s="1"/>
  <c r="Y595" i="176"/>
  <c r="T524" i="176"/>
  <c r="U524" i="176" s="1"/>
  <c r="V524" i="176" s="1"/>
  <c r="R516" i="173"/>
  <c r="S516" i="173" s="1"/>
  <c r="T516" i="173" s="1"/>
  <c r="S589" i="176"/>
  <c r="S518" i="173"/>
  <c r="U525" i="176"/>
  <c r="V515" i="173"/>
  <c r="W515" i="173" s="1"/>
  <c r="X515" i="173" s="1"/>
  <c r="R590" i="176"/>
  <c r="S590" i="176" s="1"/>
  <c r="U434" i="173"/>
  <c r="Y560" i="176"/>
  <c r="Z560" i="176" s="1"/>
  <c r="AA560" i="176" s="1"/>
  <c r="AB560" i="176" s="1"/>
  <c r="AC560" i="176" s="1"/>
  <c r="AD560" i="176" s="1"/>
  <c r="AE560" i="176" s="1"/>
  <c r="AF560" i="176" s="1"/>
  <c r="AG560" i="176" s="1"/>
  <c r="AH560" i="176" s="1"/>
  <c r="AI560" i="176" s="1"/>
  <c r="AJ560" i="176" s="1"/>
  <c r="AK560" i="176" s="1"/>
  <c r="Q522" i="176"/>
  <c r="X488" i="173"/>
  <c r="Y488" i="173" s="1"/>
  <c r="Z488" i="173" s="1"/>
  <c r="AA488" i="173" s="1"/>
  <c r="AB488" i="173" s="1"/>
  <c r="AC488" i="173" s="1"/>
  <c r="AD488" i="173" s="1"/>
  <c r="Q461" i="173"/>
  <c r="R461" i="173" s="1"/>
  <c r="S461" i="173" s="1"/>
  <c r="T461" i="173" s="1"/>
  <c r="U461" i="173" s="1"/>
  <c r="V461" i="173" s="1"/>
  <c r="W461" i="173" s="1"/>
  <c r="X461" i="173" s="1"/>
  <c r="Y461" i="173" s="1"/>
  <c r="Z461" i="173" s="1"/>
  <c r="AA461" i="173" s="1"/>
  <c r="P594" i="176"/>
  <c r="P593" i="176"/>
  <c r="S64" i="176"/>
  <c r="T60" i="176" s="1"/>
  <c r="W52" i="173"/>
  <c r="X48" i="173" s="1"/>
  <c r="N583" i="176"/>
  <c r="O583" i="176" s="1"/>
  <c r="U70" i="173"/>
  <c r="V66" i="173" s="1"/>
  <c r="O94" i="176"/>
  <c r="P90" i="176" s="1"/>
  <c r="N100" i="173"/>
  <c r="O96" i="173" s="1"/>
  <c r="W52" i="176"/>
  <c r="X48" i="176" s="1"/>
  <c r="U64" i="173"/>
  <c r="V60" i="173" s="1"/>
  <c r="U422" i="173"/>
  <c r="AJ166" i="176"/>
  <c r="AK162" i="176" s="1"/>
  <c r="AC198" i="173"/>
  <c r="AA254" i="173"/>
  <c r="AJ135" i="176"/>
  <c r="U366" i="173"/>
  <c r="O473" i="173"/>
  <c r="O98" i="173" s="1"/>
  <c r="P450" i="173"/>
  <c r="V58" i="173"/>
  <c r="W54" i="173" s="1"/>
  <c r="AK170" i="176"/>
  <c r="X263" i="176"/>
  <c r="X50" i="176" s="1"/>
  <c r="X51" i="176" s="1"/>
  <c r="Y233" i="176"/>
  <c r="S403" i="176"/>
  <c r="S74" i="176" s="1"/>
  <c r="S75" i="176" s="1"/>
  <c r="T373" i="176"/>
  <c r="X255" i="173"/>
  <c r="W277" i="173"/>
  <c r="W56" i="173" s="1"/>
  <c r="W57" i="173" s="1"/>
  <c r="R76" i="176"/>
  <c r="S72" i="176" s="1"/>
  <c r="M99" i="176"/>
  <c r="S361" i="173"/>
  <c r="S74" i="173" s="1"/>
  <c r="T338" i="173"/>
  <c r="W51" i="173"/>
  <c r="P87" i="176"/>
  <c r="R75" i="173"/>
  <c r="AJ142" i="176"/>
  <c r="AK138" i="176" s="1"/>
  <c r="Y231" i="173"/>
  <c r="X249" i="173"/>
  <c r="X50" i="173" s="1"/>
  <c r="V305" i="173"/>
  <c r="V62" i="173" s="1"/>
  <c r="V63" i="173" s="1"/>
  <c r="W282" i="173"/>
  <c r="R82" i="176"/>
  <c r="S78" i="176" s="1"/>
  <c r="X228" i="176"/>
  <c r="X44" i="176" s="1"/>
  <c r="Y198" i="176"/>
  <c r="U63" i="173"/>
  <c r="S70" i="176"/>
  <c r="T66" i="176" s="1"/>
  <c r="W45" i="176"/>
  <c r="O88" i="173"/>
  <c r="P84" i="173" s="1"/>
  <c r="AK146" i="176"/>
  <c r="AJ152" i="176"/>
  <c r="AJ153" i="176" s="1"/>
  <c r="X408" i="176"/>
  <c r="N543" i="176"/>
  <c r="N98" i="176" s="1"/>
  <c r="O513" i="176"/>
  <c r="AJ136" i="176"/>
  <c r="AK132" i="176" s="1"/>
  <c r="V333" i="173"/>
  <c r="V68" i="173" s="1"/>
  <c r="V69" i="173" s="1"/>
  <c r="W310" i="173"/>
  <c r="AA226" i="173"/>
  <c r="M100" i="176"/>
  <c r="N96" i="176" s="1"/>
  <c r="Y45" i="173"/>
  <c r="T333" i="176"/>
  <c r="T62" i="176" s="1"/>
  <c r="U303" i="176"/>
  <c r="AA199" i="173"/>
  <c r="Z221" i="173"/>
  <c r="Z44" i="173" s="1"/>
  <c r="P478" i="173"/>
  <c r="S63" i="176"/>
  <c r="P88" i="176"/>
  <c r="Q84" i="176" s="1"/>
  <c r="T409" i="176"/>
  <c r="S438" i="176"/>
  <c r="S80" i="176" s="1"/>
  <c r="S81" i="176" s="1"/>
  <c r="N99" i="173"/>
  <c r="P417" i="173"/>
  <c r="P86" i="173" s="1"/>
  <c r="Q394" i="173"/>
  <c r="AJ158" i="176"/>
  <c r="AJ159" i="176" s="1"/>
  <c r="T368" i="176"/>
  <c r="T68" i="176" s="1"/>
  <c r="T69" i="176" s="1"/>
  <c r="U338" i="176"/>
  <c r="X298" i="176"/>
  <c r="X56" i="176" s="1"/>
  <c r="X57" i="176" s="1"/>
  <c r="Y268" i="176"/>
  <c r="AK171" i="176" l="1"/>
  <c r="E170" i="176"/>
  <c r="AK147" i="176"/>
  <c r="E146" i="176"/>
  <c r="AG573" i="176"/>
  <c r="AH573" i="176" s="1"/>
  <c r="Y464" i="173"/>
  <c r="Z464" i="173" s="1"/>
  <c r="AE498" i="176"/>
  <c r="AF498" i="176" s="1"/>
  <c r="AG498" i="176" s="1"/>
  <c r="AH498" i="176" s="1"/>
  <c r="AI498" i="176" s="1"/>
  <c r="AJ498" i="176" s="1"/>
  <c r="AK498" i="176" s="1"/>
  <c r="AC526" i="176"/>
  <c r="AD526" i="176" s="1"/>
  <c r="AE526" i="176" s="1"/>
  <c r="AF526" i="176" s="1"/>
  <c r="AG526" i="176" s="1"/>
  <c r="AH526" i="176" s="1"/>
  <c r="AI526" i="176" s="1"/>
  <c r="AJ526" i="176" s="1"/>
  <c r="AK526" i="176" s="1"/>
  <c r="AD500" i="173"/>
  <c r="Y565" i="176"/>
  <c r="Z565" i="176" s="1"/>
  <c r="X599" i="176"/>
  <c r="Y599" i="176" s="1"/>
  <c r="AK542" i="176"/>
  <c r="AD383" i="173"/>
  <c r="Y495" i="176"/>
  <c r="Z495" i="176" s="1"/>
  <c r="AA495" i="176" s="1"/>
  <c r="AB495" i="176" s="1"/>
  <c r="AC495" i="176" s="1"/>
  <c r="AD495" i="176" s="1"/>
  <c r="AE495" i="176" s="1"/>
  <c r="AF495" i="176" s="1"/>
  <c r="AG495" i="176" s="1"/>
  <c r="AD413" i="173"/>
  <c r="Z493" i="173"/>
  <c r="AA493" i="173" s="1"/>
  <c r="AB493" i="173" s="1"/>
  <c r="AC493" i="173" s="1"/>
  <c r="AD493" i="173" s="1"/>
  <c r="AB612" i="176"/>
  <c r="AC612" i="176" s="1"/>
  <c r="AD612" i="176" s="1"/>
  <c r="AE612" i="176" s="1"/>
  <c r="AF612" i="176" s="1"/>
  <c r="AG612" i="176" s="1"/>
  <c r="AH612" i="176" s="1"/>
  <c r="AI612" i="176" s="1"/>
  <c r="AJ612" i="176" s="1"/>
  <c r="AF217" i="176"/>
  <c r="AG217" i="176" s="1"/>
  <c r="AH217" i="176" s="1"/>
  <c r="AI217" i="176" s="1"/>
  <c r="AJ217" i="176" s="1"/>
  <c r="AC497" i="173"/>
  <c r="AD497" i="173" s="1"/>
  <c r="Z566" i="176"/>
  <c r="AA566" i="176" s="1"/>
  <c r="AB566" i="176" s="1"/>
  <c r="AC566" i="176" s="1"/>
  <c r="AB529" i="176"/>
  <c r="AC529" i="176" s="1"/>
  <c r="AD529" i="176" s="1"/>
  <c r="AE529" i="176" s="1"/>
  <c r="AF529" i="176" s="1"/>
  <c r="AG529" i="176" s="1"/>
  <c r="AH529" i="176" s="1"/>
  <c r="AI529" i="176" s="1"/>
  <c r="AJ529" i="176" s="1"/>
  <c r="AK529" i="176" s="1"/>
  <c r="Z425" i="176"/>
  <c r="AA425" i="176" s="1"/>
  <c r="AB425" i="176" s="1"/>
  <c r="V597" i="176"/>
  <c r="W597" i="176" s="1"/>
  <c r="X597" i="176" s="1"/>
  <c r="Y597" i="176" s="1"/>
  <c r="AA567" i="176"/>
  <c r="AJ253" i="176"/>
  <c r="AK253" i="176" s="1"/>
  <c r="AG359" i="176"/>
  <c r="AH359" i="176" s="1"/>
  <c r="AI359" i="176" s="1"/>
  <c r="AJ359" i="176" s="1"/>
  <c r="AK359" i="176" s="1"/>
  <c r="AE610" i="176"/>
  <c r="AF610" i="176" s="1"/>
  <c r="AG610" i="176" s="1"/>
  <c r="AH610" i="176" s="1"/>
  <c r="S596" i="176"/>
  <c r="T596" i="176" s="1"/>
  <c r="S601" i="176"/>
  <c r="W528" i="176"/>
  <c r="X528" i="176" s="1"/>
  <c r="Y528" i="176" s="1"/>
  <c r="X534" i="176"/>
  <c r="AB492" i="176"/>
  <c r="AC492" i="176" s="1"/>
  <c r="AD492" i="176" s="1"/>
  <c r="AE492" i="176" s="1"/>
  <c r="AF492" i="176" s="1"/>
  <c r="AG492" i="176" s="1"/>
  <c r="AH492" i="176" s="1"/>
  <c r="AI492" i="176" s="1"/>
  <c r="AJ492" i="176" s="1"/>
  <c r="AK492" i="176" s="1"/>
  <c r="Z568" i="176"/>
  <c r="AA568" i="176" s="1"/>
  <c r="T598" i="176"/>
  <c r="U598" i="176" s="1"/>
  <c r="V598" i="176" s="1"/>
  <c r="AF463" i="176"/>
  <c r="AG463" i="176" s="1"/>
  <c r="AH463" i="176" s="1"/>
  <c r="AI463" i="176" s="1"/>
  <c r="AJ463" i="176" s="1"/>
  <c r="AJ577" i="176"/>
  <c r="AK577" i="176" s="1"/>
  <c r="AG538" i="176"/>
  <c r="AH538" i="176" s="1"/>
  <c r="AI538" i="176" s="1"/>
  <c r="AJ538" i="176" s="1"/>
  <c r="AK538" i="176" s="1"/>
  <c r="S609" i="176"/>
  <c r="S494" i="173"/>
  <c r="Z463" i="173"/>
  <c r="AA463" i="173" s="1"/>
  <c r="AB463" i="173" s="1"/>
  <c r="AC463" i="173" s="1"/>
  <c r="AD463" i="173" s="1"/>
  <c r="X462" i="173"/>
  <c r="Y462" i="173" s="1"/>
  <c r="AG392" i="176"/>
  <c r="AH392" i="176" s="1"/>
  <c r="AI392" i="176" s="1"/>
  <c r="AJ392" i="176" s="1"/>
  <c r="AK392" i="176" s="1"/>
  <c r="Z412" i="173"/>
  <c r="AA412" i="173" s="1"/>
  <c r="AB412" i="173" s="1"/>
  <c r="AC412" i="173" s="1"/>
  <c r="AB382" i="173"/>
  <c r="AC382" i="173" s="1"/>
  <c r="AD382" i="173" s="1"/>
  <c r="AE532" i="176"/>
  <c r="AF532" i="176" s="1"/>
  <c r="AG532" i="176" s="1"/>
  <c r="AH532" i="176" s="1"/>
  <c r="AI532" i="176" s="1"/>
  <c r="AJ532" i="176" s="1"/>
  <c r="AK532" i="176" s="1"/>
  <c r="AD468" i="173"/>
  <c r="AE569" i="176"/>
  <c r="AF569" i="176" s="1"/>
  <c r="AG458" i="176"/>
  <c r="AH458" i="176" s="1"/>
  <c r="AI458" i="176" s="1"/>
  <c r="AJ458" i="176" s="1"/>
  <c r="AK458" i="176" s="1"/>
  <c r="AC441" i="173"/>
  <c r="AD441" i="173" s="1"/>
  <c r="T445" i="173"/>
  <c r="T92" i="173" s="1"/>
  <c r="T93" i="173" s="1"/>
  <c r="V521" i="173"/>
  <c r="W521" i="173" s="1"/>
  <c r="Q478" i="176"/>
  <c r="Q508" i="176" s="1"/>
  <c r="Q92" i="176" s="1"/>
  <c r="Q93" i="176" s="1"/>
  <c r="AA456" i="176"/>
  <c r="AB456" i="176" s="1"/>
  <c r="AC456" i="176" s="1"/>
  <c r="AD456" i="176" s="1"/>
  <c r="T526" i="173"/>
  <c r="U526" i="173" s="1"/>
  <c r="Y359" i="173"/>
  <c r="V562" i="176"/>
  <c r="W562" i="176" s="1"/>
  <c r="AB491" i="176"/>
  <c r="AC491" i="176" s="1"/>
  <c r="AD491" i="176" s="1"/>
  <c r="AE491" i="176" s="1"/>
  <c r="AF491" i="176" s="1"/>
  <c r="AG491" i="176" s="1"/>
  <c r="AH491" i="176" s="1"/>
  <c r="AI491" i="176" s="1"/>
  <c r="AJ491" i="176" s="1"/>
  <c r="AK491" i="176" s="1"/>
  <c r="AE460" i="176"/>
  <c r="P94" i="176"/>
  <c r="Q90" i="176" s="1"/>
  <c r="Y432" i="173"/>
  <c r="Z432" i="173" s="1"/>
  <c r="AA432" i="173" s="1"/>
  <c r="AB432" i="173" s="1"/>
  <c r="AC432" i="173" s="1"/>
  <c r="AD432" i="173" s="1"/>
  <c r="X537" i="176"/>
  <c r="AG501" i="176"/>
  <c r="AH501" i="176" s="1"/>
  <c r="AI501" i="176" s="1"/>
  <c r="AJ501" i="176" s="1"/>
  <c r="AK501" i="176" s="1"/>
  <c r="P548" i="176"/>
  <c r="X465" i="173"/>
  <c r="Y465" i="173" s="1"/>
  <c r="Z465" i="173" s="1"/>
  <c r="AA465" i="173" s="1"/>
  <c r="T525" i="173"/>
  <c r="U525" i="173" s="1"/>
  <c r="V525" i="173" s="1"/>
  <c r="AI391" i="176"/>
  <c r="AJ391" i="176" s="1"/>
  <c r="AK391" i="176" s="1"/>
  <c r="AC411" i="173"/>
  <c r="AD411" i="173" s="1"/>
  <c r="V561" i="176"/>
  <c r="W561" i="176" s="1"/>
  <c r="X561" i="176" s="1"/>
  <c r="Y561" i="176" s="1"/>
  <c r="AB354" i="173"/>
  <c r="Y600" i="176"/>
  <c r="Z600" i="176" s="1"/>
  <c r="AA600" i="176" s="1"/>
  <c r="AB496" i="176"/>
  <c r="AC496" i="176" s="1"/>
  <c r="AD496" i="176" s="1"/>
  <c r="AE496" i="176" s="1"/>
  <c r="AF496" i="176" s="1"/>
  <c r="U519" i="173"/>
  <c r="V519" i="173" s="1"/>
  <c r="Z527" i="176"/>
  <c r="AA527" i="176" s="1"/>
  <c r="AK322" i="176"/>
  <c r="AB470" i="173"/>
  <c r="AC470" i="173" s="1"/>
  <c r="AD470" i="173" s="1"/>
  <c r="T523" i="173"/>
  <c r="U523" i="173" s="1"/>
  <c r="V523" i="173" s="1"/>
  <c r="T496" i="173"/>
  <c r="U496" i="173" s="1"/>
  <c r="V496" i="173" s="1"/>
  <c r="W496" i="173" s="1"/>
  <c r="X496" i="173" s="1"/>
  <c r="Y496" i="173" s="1"/>
  <c r="S93" i="173"/>
  <c r="X491" i="173"/>
  <c r="Y491" i="173" s="1"/>
  <c r="Z491" i="173" s="1"/>
  <c r="AA491" i="173" s="1"/>
  <c r="AB491" i="173" s="1"/>
  <c r="T464" i="176"/>
  <c r="S611" i="176"/>
  <c r="T611" i="176" s="1"/>
  <c r="U611" i="176" s="1"/>
  <c r="V611" i="176" s="1"/>
  <c r="W611" i="176" s="1"/>
  <c r="X611" i="176" s="1"/>
  <c r="AB498" i="173"/>
  <c r="AC498" i="173" s="1"/>
  <c r="X426" i="176"/>
  <c r="R93" i="173"/>
  <c r="AC527" i="173"/>
  <c r="AD527" i="173" s="1"/>
  <c r="X352" i="176"/>
  <c r="V522" i="173"/>
  <c r="S605" i="176"/>
  <c r="T605" i="176" s="1"/>
  <c r="U605" i="176" s="1"/>
  <c r="V605" i="176" s="1"/>
  <c r="W605" i="176" s="1"/>
  <c r="X605" i="176" s="1"/>
  <c r="Y605" i="176" s="1"/>
  <c r="Z605" i="176" s="1"/>
  <c r="AA605" i="176" s="1"/>
  <c r="AB605" i="176" s="1"/>
  <c r="AC605" i="176" s="1"/>
  <c r="V571" i="176"/>
  <c r="W571" i="176" s="1"/>
  <c r="X571" i="176" s="1"/>
  <c r="Y571" i="176" s="1"/>
  <c r="Z571" i="176" s="1"/>
  <c r="AA571" i="176" s="1"/>
  <c r="AB571" i="176" s="1"/>
  <c r="AC571" i="176" s="1"/>
  <c r="AD571" i="176" s="1"/>
  <c r="U471" i="173"/>
  <c r="V471" i="173" s="1"/>
  <c r="W471" i="173" s="1"/>
  <c r="X471" i="173" s="1"/>
  <c r="Y471" i="173" s="1"/>
  <c r="Z471" i="173" s="1"/>
  <c r="AA471" i="173" s="1"/>
  <c r="AB471" i="173" s="1"/>
  <c r="P495" i="173"/>
  <c r="Q607" i="176"/>
  <c r="T500" i="176"/>
  <c r="Z524" i="173"/>
  <c r="T499" i="173"/>
  <c r="U499" i="173" s="1"/>
  <c r="V499" i="173" s="1"/>
  <c r="W499" i="173" s="1"/>
  <c r="X499" i="173" s="1"/>
  <c r="Y499" i="173" s="1"/>
  <c r="Z499" i="173" s="1"/>
  <c r="AA499" i="173" s="1"/>
  <c r="AB499" i="173" s="1"/>
  <c r="AC499" i="173" s="1"/>
  <c r="AD499" i="173" s="1"/>
  <c r="T536" i="176"/>
  <c r="U536" i="176" s="1"/>
  <c r="V536" i="176" s="1"/>
  <c r="W536" i="176" s="1"/>
  <c r="X536" i="176" s="1"/>
  <c r="Y536" i="176" s="1"/>
  <c r="Z536" i="176" s="1"/>
  <c r="AA536" i="176" s="1"/>
  <c r="AB536" i="176" s="1"/>
  <c r="AC536" i="176" s="1"/>
  <c r="AD536" i="176" s="1"/>
  <c r="S531" i="176"/>
  <c r="T531" i="176" s="1"/>
  <c r="U531" i="176" s="1"/>
  <c r="V531" i="176" s="1"/>
  <c r="W531" i="176" s="1"/>
  <c r="X531" i="176" s="1"/>
  <c r="Y531" i="176" s="1"/>
  <c r="Z531" i="176" s="1"/>
  <c r="AA531" i="176" s="1"/>
  <c r="X428" i="176"/>
  <c r="Y428" i="176" s="1"/>
  <c r="Z428" i="176" s="1"/>
  <c r="AA428" i="176" s="1"/>
  <c r="AB428" i="176" s="1"/>
  <c r="AC428" i="176" s="1"/>
  <c r="AD428" i="176" s="1"/>
  <c r="AE428" i="176" s="1"/>
  <c r="Q575" i="176"/>
  <c r="R574" i="176"/>
  <c r="S574" i="176" s="1"/>
  <c r="T574" i="176" s="1"/>
  <c r="U574" i="176" s="1"/>
  <c r="V574" i="176" s="1"/>
  <c r="W574" i="176" s="1"/>
  <c r="X574" i="176" s="1"/>
  <c r="Y574" i="176" s="1"/>
  <c r="Z574" i="176" s="1"/>
  <c r="AA574" i="176" s="1"/>
  <c r="AB574" i="176" s="1"/>
  <c r="AC574" i="176" s="1"/>
  <c r="AD574" i="176" s="1"/>
  <c r="AE574" i="176" s="1"/>
  <c r="AF574" i="176" s="1"/>
  <c r="AG574" i="176" s="1"/>
  <c r="X356" i="176"/>
  <c r="Y356" i="176" s="1"/>
  <c r="Z356" i="176" s="1"/>
  <c r="AB520" i="173"/>
  <c r="AC520" i="173" s="1"/>
  <c r="R533" i="176"/>
  <c r="U502" i="176"/>
  <c r="Z467" i="173"/>
  <c r="V410" i="173"/>
  <c r="R564" i="176"/>
  <c r="R528" i="173"/>
  <c r="V466" i="173"/>
  <c r="Y393" i="176"/>
  <c r="X408" i="173"/>
  <c r="Y408" i="173" s="1"/>
  <c r="Z408" i="173" s="1"/>
  <c r="AA408" i="173" s="1"/>
  <c r="AB408" i="173" s="1"/>
  <c r="AC408" i="173" s="1"/>
  <c r="AD408" i="173" s="1"/>
  <c r="T603" i="176"/>
  <c r="U603" i="176" s="1"/>
  <c r="U387" i="173"/>
  <c r="U389" i="173" s="1"/>
  <c r="U80" i="173" s="1"/>
  <c r="U81" i="173" s="1"/>
  <c r="S602" i="176"/>
  <c r="AK539" i="176"/>
  <c r="P608" i="176"/>
  <c r="V492" i="173"/>
  <c r="W492" i="173" s="1"/>
  <c r="X492" i="173" s="1"/>
  <c r="Z324" i="176"/>
  <c r="AA324" i="176" s="1"/>
  <c r="AB324" i="176" s="1"/>
  <c r="AC324" i="176" s="1"/>
  <c r="AD324" i="176" s="1"/>
  <c r="AE324" i="176" s="1"/>
  <c r="AF324" i="176" s="1"/>
  <c r="AG324" i="176" s="1"/>
  <c r="X386" i="173"/>
  <c r="Y386" i="173" s="1"/>
  <c r="Z386" i="173" s="1"/>
  <c r="AA386" i="173" s="1"/>
  <c r="AB386" i="173" s="1"/>
  <c r="AC386" i="173" s="1"/>
  <c r="AD386" i="173" s="1"/>
  <c r="U469" i="173"/>
  <c r="AC604" i="176"/>
  <c r="AB409" i="173"/>
  <c r="Q94" i="173"/>
  <c r="R90" i="173" s="1"/>
  <c r="R94" i="173" s="1"/>
  <c r="S90" i="173" s="1"/>
  <c r="S94" i="173" s="1"/>
  <c r="T90" i="173" s="1"/>
  <c r="R606" i="176"/>
  <c r="AJ503" i="176"/>
  <c r="AK503" i="176" s="1"/>
  <c r="AC497" i="176"/>
  <c r="R443" i="176"/>
  <c r="R473" i="176" s="1"/>
  <c r="R86" i="176" s="1"/>
  <c r="X460" i="173"/>
  <c r="Y460" i="173" s="1"/>
  <c r="Z460" i="173" s="1"/>
  <c r="AA460" i="173" s="1"/>
  <c r="AB460" i="173" s="1"/>
  <c r="AC460" i="173" s="1"/>
  <c r="AD460" i="173" s="1"/>
  <c r="AD512" i="173"/>
  <c r="AH489" i="176"/>
  <c r="AI489" i="176" s="1"/>
  <c r="AJ489" i="176" s="1"/>
  <c r="AK489" i="176" s="1"/>
  <c r="AK523" i="176"/>
  <c r="T64" i="176"/>
  <c r="U60" i="176" s="1"/>
  <c r="AF454" i="176"/>
  <c r="AG454" i="176" s="1"/>
  <c r="AH454" i="176" s="1"/>
  <c r="AI454" i="176" s="1"/>
  <c r="AJ454" i="176" s="1"/>
  <c r="AK454" i="176" s="1"/>
  <c r="Y433" i="173"/>
  <c r="Z433" i="173" s="1"/>
  <c r="AA433" i="173" s="1"/>
  <c r="O100" i="173"/>
  <c r="P96" i="173" s="1"/>
  <c r="Z46" i="173"/>
  <c r="AA42" i="173" s="1"/>
  <c r="X557" i="176"/>
  <c r="Y557" i="176" s="1"/>
  <c r="Z557" i="176" s="1"/>
  <c r="AA557" i="176" s="1"/>
  <c r="AB557" i="176" s="1"/>
  <c r="AC557" i="176" s="1"/>
  <c r="AD557" i="176" s="1"/>
  <c r="AE557" i="176" s="1"/>
  <c r="AF557" i="176" s="1"/>
  <c r="AG557" i="176" s="1"/>
  <c r="AH557" i="176" s="1"/>
  <c r="AI557" i="176" s="1"/>
  <c r="AJ557" i="176" s="1"/>
  <c r="AK557" i="176" s="1"/>
  <c r="AC485" i="173"/>
  <c r="W524" i="176"/>
  <c r="Y515" i="173"/>
  <c r="Z515" i="173" s="1"/>
  <c r="AA515" i="173" s="1"/>
  <c r="AB515" i="173" s="1"/>
  <c r="AC515" i="173" s="1"/>
  <c r="AD515" i="173" s="1"/>
  <c r="U490" i="173"/>
  <c r="V490" i="173" s="1"/>
  <c r="P506" i="173"/>
  <c r="AK556" i="176"/>
  <c r="X52" i="173"/>
  <c r="Y48" i="173" s="1"/>
  <c r="U516" i="173"/>
  <c r="V516" i="173" s="1"/>
  <c r="W516" i="173" s="1"/>
  <c r="P583" i="176"/>
  <c r="Q593" i="176"/>
  <c r="U514" i="173"/>
  <c r="V514" i="173" s="1"/>
  <c r="W514" i="173" s="1"/>
  <c r="X514" i="173" s="1"/>
  <c r="Y514" i="173" s="1"/>
  <c r="Z514" i="173" s="1"/>
  <c r="AA514" i="173" s="1"/>
  <c r="AB514" i="173" s="1"/>
  <c r="AC514" i="173" s="1"/>
  <c r="AB461" i="173"/>
  <c r="AC461" i="173" s="1"/>
  <c r="AD461" i="173" s="1"/>
  <c r="V525" i="176"/>
  <c r="Z595" i="176"/>
  <c r="V592" i="176"/>
  <c r="W592" i="176" s="1"/>
  <c r="T518" i="173"/>
  <c r="U518" i="173" s="1"/>
  <c r="V518" i="173" s="1"/>
  <c r="W518" i="173" s="1"/>
  <c r="R522" i="176"/>
  <c r="S522" i="176" s="1"/>
  <c r="T590" i="176"/>
  <c r="U590" i="176" s="1"/>
  <c r="V590" i="176" s="1"/>
  <c r="W590" i="176" s="1"/>
  <c r="X590" i="176" s="1"/>
  <c r="Y590" i="176" s="1"/>
  <c r="Z590" i="176" s="1"/>
  <c r="AA590" i="176" s="1"/>
  <c r="AB590" i="176" s="1"/>
  <c r="AC590" i="176" s="1"/>
  <c r="AD590" i="176" s="1"/>
  <c r="AE590" i="176" s="1"/>
  <c r="AF590" i="176" s="1"/>
  <c r="AG590" i="176" s="1"/>
  <c r="AH590" i="176" s="1"/>
  <c r="AI590" i="176" s="1"/>
  <c r="AJ590" i="176" s="1"/>
  <c r="Q594" i="176"/>
  <c r="R594" i="176" s="1"/>
  <c r="T589" i="176"/>
  <c r="U589" i="176" s="1"/>
  <c r="V589" i="176" s="1"/>
  <c r="W589" i="176" s="1"/>
  <c r="X589" i="176" s="1"/>
  <c r="Y589" i="176" s="1"/>
  <c r="Z589" i="176" s="1"/>
  <c r="AA589" i="176" s="1"/>
  <c r="AB589" i="176" s="1"/>
  <c r="AC589" i="176" s="1"/>
  <c r="AD589" i="176" s="1"/>
  <c r="AE589" i="176" s="1"/>
  <c r="AF589" i="176" s="1"/>
  <c r="AG589" i="176" s="1"/>
  <c r="AH589" i="176" s="1"/>
  <c r="AI589" i="176" s="1"/>
  <c r="AJ589" i="176" s="1"/>
  <c r="V434" i="173"/>
  <c r="AJ154" i="176"/>
  <c r="AK150" i="176" s="1"/>
  <c r="AK152" i="176" s="1"/>
  <c r="X58" i="176"/>
  <c r="Y54" i="176" s="1"/>
  <c r="N100" i="176"/>
  <c r="O96" i="176" s="1"/>
  <c r="Q88" i="176"/>
  <c r="R84" i="176" s="1"/>
  <c r="E122" i="173"/>
  <c r="AK134" i="176"/>
  <c r="E134" i="176" s="1"/>
  <c r="S76" i="176"/>
  <c r="T72" i="176" s="1"/>
  <c r="P87" i="173"/>
  <c r="AK140" i="176"/>
  <c r="P473" i="173"/>
  <c r="P98" i="173" s="1"/>
  <c r="Q450" i="173"/>
  <c r="AK148" i="176"/>
  <c r="O99" i="173"/>
  <c r="U368" i="176"/>
  <c r="U68" i="176" s="1"/>
  <c r="U69" i="176" s="1"/>
  <c r="V338" i="176"/>
  <c r="T403" i="176"/>
  <c r="T74" i="176" s="1"/>
  <c r="T75" i="176" s="1"/>
  <c r="U373" i="176"/>
  <c r="Q87" i="176"/>
  <c r="Q478" i="173"/>
  <c r="Z45" i="173"/>
  <c r="T82" i="173"/>
  <c r="U78" i="173" s="1"/>
  <c r="Y228" i="176"/>
  <c r="Y44" i="176" s="1"/>
  <c r="Z198" i="176"/>
  <c r="AK172" i="176"/>
  <c r="X45" i="176"/>
  <c r="S82" i="176"/>
  <c r="T78" i="176" s="1"/>
  <c r="U333" i="176"/>
  <c r="U62" i="176" s="1"/>
  <c r="V303" i="176"/>
  <c r="AK164" i="176"/>
  <c r="T361" i="173"/>
  <c r="T74" i="173" s="1"/>
  <c r="U338" i="173"/>
  <c r="Y298" i="176"/>
  <c r="Y56" i="176" s="1"/>
  <c r="Y57" i="176" s="1"/>
  <c r="Z268" i="176"/>
  <c r="Y408" i="176"/>
  <c r="T70" i="176"/>
  <c r="U66" i="176" s="1"/>
  <c r="AJ160" i="176"/>
  <c r="AK156" i="176" s="1"/>
  <c r="AB254" i="173"/>
  <c r="AD198" i="173"/>
  <c r="AB226" i="173"/>
  <c r="V366" i="173"/>
  <c r="S75" i="173"/>
  <c r="N99" i="176"/>
  <c r="AB199" i="173"/>
  <c r="AA221" i="173"/>
  <c r="AA44" i="173" s="1"/>
  <c r="X52" i="176"/>
  <c r="Y48" i="176" s="1"/>
  <c r="S76" i="173"/>
  <c r="T72" i="173" s="1"/>
  <c r="Y255" i="173"/>
  <c r="X277" i="173"/>
  <c r="X56" i="173" s="1"/>
  <c r="X57" i="173" s="1"/>
  <c r="W58" i="173"/>
  <c r="X54" i="173" s="1"/>
  <c r="V70" i="173"/>
  <c r="W66" i="173" s="1"/>
  <c r="T63" i="176"/>
  <c r="W305" i="173"/>
  <c r="W62" i="173" s="1"/>
  <c r="X282" i="173"/>
  <c r="X46" i="176"/>
  <c r="Y42" i="176" s="1"/>
  <c r="X51" i="173"/>
  <c r="V64" i="173"/>
  <c r="W60" i="173" s="1"/>
  <c r="W333" i="173"/>
  <c r="W68" i="173" s="1"/>
  <c r="W69" i="173" s="1"/>
  <c r="X310" i="173"/>
  <c r="U409" i="176"/>
  <c r="T438" i="176"/>
  <c r="T80" i="176" s="1"/>
  <c r="T81" i="176" s="1"/>
  <c r="U445" i="173"/>
  <c r="U92" i="173" s="1"/>
  <c r="V422" i="173"/>
  <c r="O543" i="176"/>
  <c r="O98" i="176" s="1"/>
  <c r="P513" i="176"/>
  <c r="Y263" i="176"/>
  <c r="Y50" i="176" s="1"/>
  <c r="Y51" i="176" s="1"/>
  <c r="Z233" i="176"/>
  <c r="Q417" i="173"/>
  <c r="Q86" i="173" s="1"/>
  <c r="R394" i="173"/>
  <c r="P88" i="173"/>
  <c r="Q84" i="173" s="1"/>
  <c r="Z231" i="173"/>
  <c r="Y249" i="173"/>
  <c r="Y50" i="173" s="1"/>
  <c r="Y611" i="176" l="1"/>
  <c r="Z611" i="176" s="1"/>
  <c r="AA611" i="176" s="1"/>
  <c r="AK165" i="176"/>
  <c r="E164" i="176"/>
  <c r="AK153" i="176"/>
  <c r="E152" i="176"/>
  <c r="AK141" i="176"/>
  <c r="E140" i="176"/>
  <c r="AA464" i="173"/>
  <c r="AB464" i="173" s="1"/>
  <c r="AC464" i="173" s="1"/>
  <c r="AD464" i="173" s="1"/>
  <c r="E176" i="173"/>
  <c r="E152" i="173"/>
  <c r="AI573" i="176"/>
  <c r="AJ573" i="176" s="1"/>
  <c r="AK573" i="176" s="1"/>
  <c r="AA565" i="176"/>
  <c r="AB565" i="176" s="1"/>
  <c r="AC425" i="176"/>
  <c r="AD425" i="176" s="1"/>
  <c r="AE425" i="176" s="1"/>
  <c r="AF425" i="176" s="1"/>
  <c r="AG425" i="176" s="1"/>
  <c r="AH425" i="176" s="1"/>
  <c r="AI425" i="176" s="1"/>
  <c r="AJ425" i="176" s="1"/>
  <c r="AK425" i="176" s="1"/>
  <c r="AH495" i="176"/>
  <c r="AI495" i="176" s="1"/>
  <c r="AJ495" i="176" s="1"/>
  <c r="AK495" i="176" s="1"/>
  <c r="AC471" i="173"/>
  <c r="AD471" i="173" s="1"/>
  <c r="AK612" i="176"/>
  <c r="U596" i="176"/>
  <c r="V596" i="176" s="1"/>
  <c r="W596" i="176" s="1"/>
  <c r="X596" i="176" s="1"/>
  <c r="T522" i="176"/>
  <c r="U522" i="176" s="1"/>
  <c r="V522" i="176" s="1"/>
  <c r="W522" i="176" s="1"/>
  <c r="X522" i="176" s="1"/>
  <c r="Y522" i="176" s="1"/>
  <c r="Z522" i="176" s="1"/>
  <c r="AA522" i="176" s="1"/>
  <c r="AB522" i="176" s="1"/>
  <c r="AC522" i="176" s="1"/>
  <c r="AD522" i="176" s="1"/>
  <c r="AE522" i="176" s="1"/>
  <c r="AF522" i="176" s="1"/>
  <c r="AG522" i="176" s="1"/>
  <c r="AH522" i="176" s="1"/>
  <c r="AI522" i="176" s="1"/>
  <c r="AJ522" i="176" s="1"/>
  <c r="AK522" i="176" s="1"/>
  <c r="AD412" i="173"/>
  <c r="W598" i="176"/>
  <c r="X598" i="176" s="1"/>
  <c r="X58" i="173"/>
  <c r="Y54" i="173" s="1"/>
  <c r="AK217" i="176"/>
  <c r="AA356" i="176"/>
  <c r="AB356" i="176" s="1"/>
  <c r="AC356" i="176" s="1"/>
  <c r="AD356" i="176" s="1"/>
  <c r="AE356" i="176" s="1"/>
  <c r="AF356" i="176" s="1"/>
  <c r="AG356" i="176" s="1"/>
  <c r="AH356" i="176" s="1"/>
  <c r="AI356" i="176" s="1"/>
  <c r="AJ356" i="176" s="1"/>
  <c r="AK356" i="176" s="1"/>
  <c r="AB567" i="176"/>
  <c r="AC567" i="176" s="1"/>
  <c r="AD567" i="176" s="1"/>
  <c r="AE567" i="176" s="1"/>
  <c r="AF567" i="176" s="1"/>
  <c r="AG567" i="176" s="1"/>
  <c r="AH567" i="176" s="1"/>
  <c r="AI567" i="176" s="1"/>
  <c r="AJ567" i="176" s="1"/>
  <c r="AK567" i="176" s="1"/>
  <c r="AH324" i="176"/>
  <c r="AI324" i="176" s="1"/>
  <c r="AJ324" i="176" s="1"/>
  <c r="Z528" i="176"/>
  <c r="AA528" i="176" s="1"/>
  <c r="AI610" i="176"/>
  <c r="AJ610" i="176" s="1"/>
  <c r="AK610" i="176" s="1"/>
  <c r="T494" i="173"/>
  <c r="Y534" i="176"/>
  <c r="T609" i="176"/>
  <c r="U609" i="176" s="1"/>
  <c r="V609" i="176" s="1"/>
  <c r="W609" i="176" s="1"/>
  <c r="X609" i="176" s="1"/>
  <c r="Y609" i="176" s="1"/>
  <c r="Z609" i="176" s="1"/>
  <c r="AA609" i="176" s="1"/>
  <c r="AB609" i="176" s="1"/>
  <c r="AC609" i="176" s="1"/>
  <c r="AD609" i="176" s="1"/>
  <c r="AE609" i="176" s="1"/>
  <c r="AF609" i="176" s="1"/>
  <c r="AG609" i="176" s="1"/>
  <c r="AB568" i="176"/>
  <c r="AC568" i="176" s="1"/>
  <c r="T601" i="176"/>
  <c r="AK463" i="176"/>
  <c r="U494" i="173"/>
  <c r="Z462" i="173"/>
  <c r="AA462" i="173" s="1"/>
  <c r="AB462" i="173" s="1"/>
  <c r="AC462" i="173" s="1"/>
  <c r="AD462" i="173" s="1"/>
  <c r="AE456" i="176"/>
  <c r="AF456" i="176" s="1"/>
  <c r="AG456" i="176" s="1"/>
  <c r="AH456" i="176" s="1"/>
  <c r="AI456" i="176" s="1"/>
  <c r="AJ456" i="176" s="1"/>
  <c r="AK456" i="176" s="1"/>
  <c r="AE571" i="176"/>
  <c r="AF571" i="176" s="1"/>
  <c r="AG571" i="176" s="1"/>
  <c r="Z496" i="173"/>
  <c r="AA496" i="173" s="1"/>
  <c r="Z597" i="176"/>
  <c r="AA597" i="176" s="1"/>
  <c r="AB597" i="176" s="1"/>
  <c r="AC597" i="176" s="1"/>
  <c r="AD597" i="176" s="1"/>
  <c r="AE597" i="176" s="1"/>
  <c r="AF597" i="176" s="1"/>
  <c r="AG597" i="176" s="1"/>
  <c r="AH597" i="176" s="1"/>
  <c r="AI597" i="176" s="1"/>
  <c r="AJ597" i="176" s="1"/>
  <c r="AK597" i="176" s="1"/>
  <c r="AG569" i="176"/>
  <c r="T94" i="173"/>
  <c r="U90" i="173" s="1"/>
  <c r="U94" i="173" s="1"/>
  <c r="V90" i="173" s="1"/>
  <c r="S443" i="176"/>
  <c r="S473" i="176" s="1"/>
  <c r="S86" i="176" s="1"/>
  <c r="AB527" i="176"/>
  <c r="AC527" i="176" s="1"/>
  <c r="AD527" i="176" s="1"/>
  <c r="AE527" i="176" s="1"/>
  <c r="AF527" i="176" s="1"/>
  <c r="AG527" i="176" s="1"/>
  <c r="AH527" i="176" s="1"/>
  <c r="AI527" i="176" s="1"/>
  <c r="AJ527" i="176" s="1"/>
  <c r="AK527" i="176" s="1"/>
  <c r="U93" i="173"/>
  <c r="AF428" i="176"/>
  <c r="AG428" i="176" s="1"/>
  <c r="AH428" i="176" s="1"/>
  <c r="AI428" i="176" s="1"/>
  <c r="AJ428" i="176" s="1"/>
  <c r="X521" i="173"/>
  <c r="Y521" i="173" s="1"/>
  <c r="Q94" i="176"/>
  <c r="R90" i="176" s="1"/>
  <c r="AB465" i="173"/>
  <c r="AC465" i="173" s="1"/>
  <c r="AD465" i="173" s="1"/>
  <c r="Q548" i="176"/>
  <c r="X562" i="176"/>
  <c r="Y562" i="176" s="1"/>
  <c r="Z562" i="176" s="1"/>
  <c r="AA562" i="176" s="1"/>
  <c r="AB562" i="176" s="1"/>
  <c r="AC562" i="176" s="1"/>
  <c r="AD562" i="176" s="1"/>
  <c r="AE562" i="176" s="1"/>
  <c r="AF562" i="176" s="1"/>
  <c r="AG562" i="176" s="1"/>
  <c r="AH562" i="176" s="1"/>
  <c r="AI562" i="176" s="1"/>
  <c r="AJ562" i="176" s="1"/>
  <c r="AK562" i="176" s="1"/>
  <c r="Z359" i="173"/>
  <c r="Y537" i="176"/>
  <c r="Z537" i="176" s="1"/>
  <c r="AA537" i="176" s="1"/>
  <c r="AB537" i="176" s="1"/>
  <c r="AC537" i="176" s="1"/>
  <c r="AD537" i="176" s="1"/>
  <c r="AE537" i="176" s="1"/>
  <c r="AF460" i="176"/>
  <c r="AG460" i="176" s="1"/>
  <c r="AH460" i="176" s="1"/>
  <c r="AI460" i="176" s="1"/>
  <c r="AJ460" i="176" s="1"/>
  <c r="AK460" i="176" s="1"/>
  <c r="R478" i="176"/>
  <c r="S478" i="176" s="1"/>
  <c r="W525" i="173"/>
  <c r="X525" i="173" s="1"/>
  <c r="Y525" i="173" s="1"/>
  <c r="Z525" i="173" s="1"/>
  <c r="Y492" i="173"/>
  <c r="Z492" i="173" s="1"/>
  <c r="AD605" i="176"/>
  <c r="AE605" i="176" s="1"/>
  <c r="AF605" i="176" s="1"/>
  <c r="AG605" i="176" s="1"/>
  <c r="AH605" i="176" s="1"/>
  <c r="AI605" i="176" s="1"/>
  <c r="AJ605" i="176" s="1"/>
  <c r="AC354" i="173"/>
  <c r="AD354" i="173" s="1"/>
  <c r="AD520" i="173"/>
  <c r="W519" i="173"/>
  <c r="X519" i="173" s="1"/>
  <c r="AG496" i="176"/>
  <c r="AH496" i="176" s="1"/>
  <c r="AI496" i="176" s="1"/>
  <c r="AJ496" i="176" s="1"/>
  <c r="AK496" i="176" s="1"/>
  <c r="W523" i="173"/>
  <c r="X523" i="173" s="1"/>
  <c r="V603" i="176"/>
  <c r="W603" i="176" s="1"/>
  <c r="X603" i="176" s="1"/>
  <c r="Y603" i="176" s="1"/>
  <c r="Z603" i="176" s="1"/>
  <c r="AA603" i="176" s="1"/>
  <c r="AB531" i="176"/>
  <c r="AC531" i="176" s="1"/>
  <c r="AD531" i="176" s="1"/>
  <c r="Y426" i="176"/>
  <c r="Z426" i="176" s="1"/>
  <c r="R607" i="176"/>
  <c r="AD604" i="176"/>
  <c r="AE604" i="176" s="1"/>
  <c r="AF604" i="176" s="1"/>
  <c r="AG604" i="176" s="1"/>
  <c r="AH604" i="176" s="1"/>
  <c r="AI604" i="176" s="1"/>
  <c r="AJ604" i="176" s="1"/>
  <c r="AK604" i="176" s="1"/>
  <c r="W522" i="173"/>
  <c r="X522" i="173" s="1"/>
  <c r="Y522" i="173" s="1"/>
  <c r="U500" i="176"/>
  <c r="V526" i="173"/>
  <c r="W526" i="173" s="1"/>
  <c r="X526" i="173" s="1"/>
  <c r="Y526" i="173" s="1"/>
  <c r="Z526" i="173" s="1"/>
  <c r="AA526" i="173" s="1"/>
  <c r="S533" i="176"/>
  <c r="T533" i="176" s="1"/>
  <c r="U533" i="176" s="1"/>
  <c r="V533" i="176" s="1"/>
  <c r="W533" i="176" s="1"/>
  <c r="X533" i="176" s="1"/>
  <c r="Y533" i="176" s="1"/>
  <c r="Z533" i="176" s="1"/>
  <c r="AA533" i="176" s="1"/>
  <c r="AC409" i="173"/>
  <c r="AD409" i="173" s="1"/>
  <c r="R575" i="176"/>
  <c r="S575" i="176" s="1"/>
  <c r="T575" i="176" s="1"/>
  <c r="U575" i="176" s="1"/>
  <c r="V575" i="176" s="1"/>
  <c r="W575" i="176" s="1"/>
  <c r="X575" i="176" s="1"/>
  <c r="Y575" i="176" s="1"/>
  <c r="Z575" i="176" s="1"/>
  <c r="AA575" i="176" s="1"/>
  <c r="AB575" i="176" s="1"/>
  <c r="AC575" i="176" s="1"/>
  <c r="AD575" i="176" s="1"/>
  <c r="AE575" i="176" s="1"/>
  <c r="AF575" i="176" s="1"/>
  <c r="AG575" i="176" s="1"/>
  <c r="AH575" i="176" s="1"/>
  <c r="Z393" i="176"/>
  <c r="V502" i="176"/>
  <c r="Q495" i="173"/>
  <c r="S528" i="173"/>
  <c r="T528" i="173" s="1"/>
  <c r="U528" i="173" s="1"/>
  <c r="V528" i="173" s="1"/>
  <c r="W528" i="173" s="1"/>
  <c r="X528" i="173" s="1"/>
  <c r="Y528" i="173" s="1"/>
  <c r="Z528" i="173" s="1"/>
  <c r="AA528" i="173" s="1"/>
  <c r="AB528" i="173" s="1"/>
  <c r="AC528" i="173" s="1"/>
  <c r="Z599" i="176"/>
  <c r="AA599" i="176" s="1"/>
  <c r="AB599" i="176" s="1"/>
  <c r="AC599" i="176" s="1"/>
  <c r="AD599" i="176" s="1"/>
  <c r="AE599" i="176" s="1"/>
  <c r="AH574" i="176"/>
  <c r="S564" i="176"/>
  <c r="U464" i="176"/>
  <c r="AD566" i="176"/>
  <c r="W410" i="173"/>
  <c r="X410" i="173" s="1"/>
  <c r="Y410" i="173" s="1"/>
  <c r="Z410" i="173" s="1"/>
  <c r="AA410" i="173" s="1"/>
  <c r="AB410" i="173" s="1"/>
  <c r="AC410" i="173" s="1"/>
  <c r="AA467" i="173"/>
  <c r="S606" i="176"/>
  <c r="V387" i="173"/>
  <c r="W387" i="173" s="1"/>
  <c r="X387" i="173" s="1"/>
  <c r="Y387" i="173" s="1"/>
  <c r="Z387" i="173" s="1"/>
  <c r="AA387" i="173" s="1"/>
  <c r="AB387" i="173" s="1"/>
  <c r="Y352" i="176"/>
  <c r="Z352" i="176" s="1"/>
  <c r="AA352" i="176" s="1"/>
  <c r="AB352" i="176" s="1"/>
  <c r="AC352" i="176" s="1"/>
  <c r="AD352" i="176" s="1"/>
  <c r="AE352" i="176" s="1"/>
  <c r="AF352" i="176" s="1"/>
  <c r="AG352" i="176" s="1"/>
  <c r="AH352" i="176" s="1"/>
  <c r="AI352" i="176" s="1"/>
  <c r="AJ352" i="176" s="1"/>
  <c r="AK352" i="176" s="1"/>
  <c r="W466" i="173"/>
  <c r="Q608" i="176"/>
  <c r="R608" i="176" s="1"/>
  <c r="S608" i="176" s="1"/>
  <c r="T608" i="176" s="1"/>
  <c r="U608" i="176" s="1"/>
  <c r="V608" i="176" s="1"/>
  <c r="W608" i="176" s="1"/>
  <c r="X608" i="176" s="1"/>
  <c r="Y608" i="176" s="1"/>
  <c r="Z608" i="176" s="1"/>
  <c r="AA608" i="176" s="1"/>
  <c r="AB608" i="176" s="1"/>
  <c r="AC608" i="176" s="1"/>
  <c r="AD608" i="176" s="1"/>
  <c r="AE608" i="176" s="1"/>
  <c r="AF608" i="176" s="1"/>
  <c r="AG608" i="176" s="1"/>
  <c r="AD497" i="176"/>
  <c r="AE497" i="176" s="1"/>
  <c r="V469" i="173"/>
  <c r="AB600" i="176"/>
  <c r="AE536" i="176"/>
  <c r="T602" i="176"/>
  <c r="AA524" i="173"/>
  <c r="AD498" i="173"/>
  <c r="AC491" i="173"/>
  <c r="AD491" i="173" s="1"/>
  <c r="Y52" i="173"/>
  <c r="Z48" i="173" s="1"/>
  <c r="Z561" i="176"/>
  <c r="AA561" i="176" s="1"/>
  <c r="AA46" i="173"/>
  <c r="AB42" i="173" s="1"/>
  <c r="S594" i="176"/>
  <c r="T594" i="176" s="1"/>
  <c r="U594" i="176" s="1"/>
  <c r="V594" i="176" s="1"/>
  <c r="W594" i="176" s="1"/>
  <c r="P100" i="173"/>
  <c r="Q96" i="173" s="1"/>
  <c r="AB433" i="173"/>
  <c r="AC433" i="173" s="1"/>
  <c r="AD433" i="173" s="1"/>
  <c r="X524" i="176"/>
  <c r="Y524" i="176" s="1"/>
  <c r="X516" i="173"/>
  <c r="Y516" i="173" s="1"/>
  <c r="Q506" i="173"/>
  <c r="R506" i="173" s="1"/>
  <c r="AD485" i="173"/>
  <c r="W490" i="173"/>
  <c r="X490" i="173" s="1"/>
  <c r="Y490" i="173" s="1"/>
  <c r="Z490" i="173" s="1"/>
  <c r="AA490" i="173" s="1"/>
  <c r="AB490" i="173" s="1"/>
  <c r="AC490" i="173" s="1"/>
  <c r="AD490" i="173" s="1"/>
  <c r="X592" i="176"/>
  <c r="Y592" i="176" s="1"/>
  <c r="Z592" i="176" s="1"/>
  <c r="AA592" i="176" s="1"/>
  <c r="AB592" i="176" s="1"/>
  <c r="AC592" i="176" s="1"/>
  <c r="AD592" i="176" s="1"/>
  <c r="AE592" i="176" s="1"/>
  <c r="AF592" i="176" s="1"/>
  <c r="AG592" i="176" s="1"/>
  <c r="AH592" i="176" s="1"/>
  <c r="AI592" i="176" s="1"/>
  <c r="AJ592" i="176" s="1"/>
  <c r="AK589" i="176"/>
  <c r="AD514" i="173"/>
  <c r="Q583" i="176"/>
  <c r="R583" i="176" s="1"/>
  <c r="X518" i="173"/>
  <c r="Y518" i="173" s="1"/>
  <c r="W434" i="173"/>
  <c r="R593" i="176"/>
  <c r="AA595" i="176"/>
  <c r="AB595" i="176" s="1"/>
  <c r="AK590" i="176"/>
  <c r="W525" i="176"/>
  <c r="X525" i="176" s="1"/>
  <c r="Y525" i="176" s="1"/>
  <c r="Z525" i="176" s="1"/>
  <c r="AA525" i="176" s="1"/>
  <c r="U70" i="176"/>
  <c r="V66" i="176" s="1"/>
  <c r="R88" i="176"/>
  <c r="S84" i="176" s="1"/>
  <c r="T76" i="173"/>
  <c r="U72" i="173" s="1"/>
  <c r="Y46" i="176"/>
  <c r="Z42" i="176" s="1"/>
  <c r="W70" i="173"/>
  <c r="X66" i="173" s="1"/>
  <c r="O100" i="176"/>
  <c r="P96" i="176" s="1"/>
  <c r="AK154" i="176"/>
  <c r="Y58" i="176"/>
  <c r="Z54" i="176" s="1"/>
  <c r="AK166" i="176"/>
  <c r="W366" i="173"/>
  <c r="V333" i="176"/>
  <c r="V62" i="176" s="1"/>
  <c r="W303" i="176"/>
  <c r="R417" i="173"/>
  <c r="R86" i="173" s="1"/>
  <c r="S394" i="173"/>
  <c r="Y52" i="176"/>
  <c r="Z48" i="176" s="1"/>
  <c r="U63" i="176"/>
  <c r="Z228" i="176"/>
  <c r="Z44" i="176" s="1"/>
  <c r="AA198" i="176"/>
  <c r="AA231" i="173"/>
  <c r="Z249" i="173"/>
  <c r="Z50" i="173" s="1"/>
  <c r="P99" i="173"/>
  <c r="AK142" i="176"/>
  <c r="Z263" i="176"/>
  <c r="Z50" i="176" s="1"/>
  <c r="Z51" i="176" s="1"/>
  <c r="AA233" i="176"/>
  <c r="R478" i="173"/>
  <c r="R87" i="176"/>
  <c r="AK135" i="176"/>
  <c r="AK136" i="176"/>
  <c r="W63" i="173"/>
  <c r="W64" i="173"/>
  <c r="X60" i="173" s="1"/>
  <c r="Q87" i="173"/>
  <c r="Q473" i="173"/>
  <c r="Q98" i="173" s="1"/>
  <c r="R450" i="173"/>
  <c r="Y45" i="176"/>
  <c r="Z255" i="173"/>
  <c r="Y277" i="173"/>
  <c r="Y56" i="173" s="1"/>
  <c r="Y57" i="173" s="1"/>
  <c r="Q88" i="173"/>
  <c r="R84" i="173" s="1"/>
  <c r="U361" i="173"/>
  <c r="U74" i="173" s="1"/>
  <c r="V338" i="173"/>
  <c r="U82" i="173"/>
  <c r="V78" i="173" s="1"/>
  <c r="T76" i="176"/>
  <c r="U72" i="176" s="1"/>
  <c r="Z408" i="176"/>
  <c r="O99" i="176"/>
  <c r="AC199" i="173"/>
  <c r="AB221" i="173"/>
  <c r="AB44" i="173" s="1"/>
  <c r="AC254" i="173"/>
  <c r="T82" i="176"/>
  <c r="U78" i="176" s="1"/>
  <c r="U64" i="176"/>
  <c r="V60" i="176" s="1"/>
  <c r="V368" i="176"/>
  <c r="V68" i="176" s="1"/>
  <c r="V69" i="176" s="1"/>
  <c r="W338" i="176"/>
  <c r="AC226" i="173"/>
  <c r="Y51" i="173"/>
  <c r="Z298" i="176"/>
  <c r="Z56" i="176" s="1"/>
  <c r="Z57" i="176" s="1"/>
  <c r="AA268" i="176"/>
  <c r="AK158" i="176"/>
  <c r="T75" i="173"/>
  <c r="P543" i="176"/>
  <c r="P98" i="176" s="1"/>
  <c r="Q513" i="176"/>
  <c r="X305" i="173"/>
  <c r="X62" i="173" s="1"/>
  <c r="Y282" i="173"/>
  <c r="V445" i="173"/>
  <c r="V92" i="173" s="1"/>
  <c r="V93" i="173" s="1"/>
  <c r="W422" i="173"/>
  <c r="AA45" i="173"/>
  <c r="V409" i="176"/>
  <c r="U438" i="176"/>
  <c r="U80" i="176" s="1"/>
  <c r="U81" i="176" s="1"/>
  <c r="U403" i="176"/>
  <c r="U74" i="176" s="1"/>
  <c r="U75" i="176" s="1"/>
  <c r="V373" i="176"/>
  <c r="X333" i="173"/>
  <c r="X68" i="173" s="1"/>
  <c r="X69" i="173" s="1"/>
  <c r="Y310" i="173"/>
  <c r="AB611" i="176" l="1"/>
  <c r="AC611" i="176" s="1"/>
  <c r="AD611" i="176" s="1"/>
  <c r="AE611" i="176" s="1"/>
  <c r="AF611" i="176" s="1"/>
  <c r="AG611" i="176" s="1"/>
  <c r="AH611" i="176" s="1"/>
  <c r="AI611" i="176" s="1"/>
  <c r="AK159" i="176"/>
  <c r="E158" i="176"/>
  <c r="AC565" i="176"/>
  <c r="AD565" i="176" s="1"/>
  <c r="AE565" i="176" s="1"/>
  <c r="AF565" i="176" s="1"/>
  <c r="AG565" i="176" s="1"/>
  <c r="AH565" i="176" s="1"/>
  <c r="AI565" i="176" s="1"/>
  <c r="AJ565" i="176" s="1"/>
  <c r="AK565" i="176" s="1"/>
  <c r="AB603" i="176"/>
  <c r="AC603" i="176" s="1"/>
  <c r="AD603" i="176" s="1"/>
  <c r="AB528" i="176"/>
  <c r="AC528" i="176" s="1"/>
  <c r="AD528" i="176" s="1"/>
  <c r="AE528" i="176" s="1"/>
  <c r="AF528" i="176" s="1"/>
  <c r="AG528" i="176" s="1"/>
  <c r="AH528" i="176" s="1"/>
  <c r="Y596" i="176"/>
  <c r="Z596" i="176" s="1"/>
  <c r="AA596" i="176" s="1"/>
  <c r="AB596" i="176" s="1"/>
  <c r="AC596" i="176" s="1"/>
  <c r="AD596" i="176" s="1"/>
  <c r="AE596" i="176" s="1"/>
  <c r="AF596" i="176" s="1"/>
  <c r="AG596" i="176" s="1"/>
  <c r="AH596" i="176" s="1"/>
  <c r="AI596" i="176" s="1"/>
  <c r="AJ596" i="176" s="1"/>
  <c r="AK596" i="176" s="1"/>
  <c r="T443" i="176"/>
  <c r="T473" i="176" s="1"/>
  <c r="T86" i="176" s="1"/>
  <c r="Y598" i="176"/>
  <c r="Z598" i="176" s="1"/>
  <c r="AA598" i="176" s="1"/>
  <c r="AB598" i="176" s="1"/>
  <c r="AC598" i="176" s="1"/>
  <c r="AD598" i="176" s="1"/>
  <c r="AD410" i="173"/>
  <c r="AB533" i="176"/>
  <c r="AC533" i="176" s="1"/>
  <c r="AK324" i="176"/>
  <c r="AD568" i="176"/>
  <c r="AE568" i="176" s="1"/>
  <c r="AF568" i="176" s="1"/>
  <c r="AG568" i="176" s="1"/>
  <c r="U601" i="176"/>
  <c r="AA525" i="173"/>
  <c r="AB525" i="173" s="1"/>
  <c r="AC525" i="173" s="1"/>
  <c r="AH571" i="176"/>
  <c r="AI571" i="176" s="1"/>
  <c r="AJ571" i="176" s="1"/>
  <c r="AB496" i="173"/>
  <c r="AC496" i="173" s="1"/>
  <c r="AD496" i="173" s="1"/>
  <c r="Z534" i="176"/>
  <c r="V494" i="173"/>
  <c r="AH609" i="176"/>
  <c r="AI609" i="176" s="1"/>
  <c r="AJ609" i="176" s="1"/>
  <c r="AK428" i="176"/>
  <c r="AH569" i="176"/>
  <c r="AI569" i="176" s="1"/>
  <c r="Z521" i="173"/>
  <c r="AA521" i="173" s="1"/>
  <c r="AB521" i="173" s="1"/>
  <c r="AC521" i="173" s="1"/>
  <c r="AD521" i="173" s="1"/>
  <c r="AI575" i="176"/>
  <c r="AJ575" i="176" s="1"/>
  <c r="AK575" i="176" s="1"/>
  <c r="AF497" i="176"/>
  <c r="AG497" i="176" s="1"/>
  <c r="AH497" i="176" s="1"/>
  <c r="AI497" i="176" s="1"/>
  <c r="AJ497" i="176" s="1"/>
  <c r="AK497" i="176" s="1"/>
  <c r="R508" i="176"/>
  <c r="R92" i="176" s="1"/>
  <c r="R93" i="176" s="1"/>
  <c r="AD528" i="173"/>
  <c r="AA426" i="176"/>
  <c r="AB426" i="176" s="1"/>
  <c r="AC426" i="176" s="1"/>
  <c r="AD426" i="176" s="1"/>
  <c r="AA359" i="173"/>
  <c r="R548" i="176"/>
  <c r="AF537" i="176"/>
  <c r="AG537" i="176" s="1"/>
  <c r="AH537" i="176" s="1"/>
  <c r="AI537" i="176" s="1"/>
  <c r="AJ537" i="176" s="1"/>
  <c r="AK537" i="176" s="1"/>
  <c r="AE531" i="176"/>
  <c r="AF531" i="176" s="1"/>
  <c r="AC387" i="173"/>
  <c r="AD387" i="173" s="1"/>
  <c r="AA492" i="173"/>
  <c r="AB492" i="173" s="1"/>
  <c r="AC492" i="173" s="1"/>
  <c r="AD492" i="173" s="1"/>
  <c r="AJ611" i="176"/>
  <c r="AK611" i="176" s="1"/>
  <c r="Y523" i="173"/>
  <c r="Z523" i="173" s="1"/>
  <c r="AF599" i="176"/>
  <c r="Y519" i="173"/>
  <c r="Z519" i="173" s="1"/>
  <c r="AB526" i="173"/>
  <c r="AC526" i="173" s="1"/>
  <c r="AD526" i="173" s="1"/>
  <c r="AH608" i="176"/>
  <c r="AI608" i="176" s="1"/>
  <c r="AK605" i="176"/>
  <c r="V464" i="176"/>
  <c r="W464" i="176" s="1"/>
  <c r="X464" i="176" s="1"/>
  <c r="Y464" i="176" s="1"/>
  <c r="Z464" i="176" s="1"/>
  <c r="AA464" i="176" s="1"/>
  <c r="AB464" i="176" s="1"/>
  <c r="R495" i="173"/>
  <c r="S495" i="173" s="1"/>
  <c r="T495" i="173" s="1"/>
  <c r="U495" i="173" s="1"/>
  <c r="V495" i="173" s="1"/>
  <c r="W495" i="173" s="1"/>
  <c r="X495" i="173" s="1"/>
  <c r="V500" i="176"/>
  <c r="U602" i="176"/>
  <c r="V389" i="173"/>
  <c r="V80" i="173" s="1"/>
  <c r="V81" i="173" s="1"/>
  <c r="S607" i="176"/>
  <c r="T564" i="176"/>
  <c r="AI574" i="176"/>
  <c r="AJ574" i="176" s="1"/>
  <c r="AK574" i="176" s="1"/>
  <c r="W502" i="176"/>
  <c r="AA393" i="176"/>
  <c r="AB393" i="176" s="1"/>
  <c r="AC393" i="176" s="1"/>
  <c r="AD393" i="176" s="1"/>
  <c r="AE393" i="176" s="1"/>
  <c r="AF393" i="176" s="1"/>
  <c r="AG393" i="176" s="1"/>
  <c r="W469" i="173"/>
  <c r="X469" i="173" s="1"/>
  <c r="Y469" i="173" s="1"/>
  <c r="Z469" i="173" s="1"/>
  <c r="AA469" i="173" s="1"/>
  <c r="AB524" i="173"/>
  <c r="AC524" i="173" s="1"/>
  <c r="AD524" i="173" s="1"/>
  <c r="T606" i="176"/>
  <c r="AB467" i="173"/>
  <c r="Z522" i="173"/>
  <c r="AA522" i="173" s="1"/>
  <c r="AB522" i="173" s="1"/>
  <c r="AF536" i="176"/>
  <c r="AG536" i="176" s="1"/>
  <c r="AC600" i="176"/>
  <c r="AE566" i="176"/>
  <c r="AF566" i="176" s="1"/>
  <c r="AG566" i="176" s="1"/>
  <c r="AH566" i="176" s="1"/>
  <c r="AI566" i="176" s="1"/>
  <c r="AJ566" i="176" s="1"/>
  <c r="AK566" i="176" s="1"/>
  <c r="X466" i="173"/>
  <c r="Z52" i="173"/>
  <c r="AA48" i="173" s="1"/>
  <c r="AB561" i="176"/>
  <c r="AC561" i="176" s="1"/>
  <c r="AD561" i="176" s="1"/>
  <c r="Z516" i="173"/>
  <c r="AA516" i="173" s="1"/>
  <c r="AB516" i="173" s="1"/>
  <c r="AC516" i="173" s="1"/>
  <c r="AD516" i="173" s="1"/>
  <c r="X594" i="176"/>
  <c r="Y594" i="176" s="1"/>
  <c r="Z594" i="176" s="1"/>
  <c r="AA594" i="176" s="1"/>
  <c r="AB594" i="176" s="1"/>
  <c r="AC594" i="176" s="1"/>
  <c r="AD594" i="176" s="1"/>
  <c r="AE594" i="176" s="1"/>
  <c r="AF594" i="176" s="1"/>
  <c r="AG594" i="176" s="1"/>
  <c r="AH594" i="176" s="1"/>
  <c r="AI594" i="176" s="1"/>
  <c r="AJ594" i="176" s="1"/>
  <c r="AK594" i="176" s="1"/>
  <c r="Q100" i="173"/>
  <c r="R96" i="173" s="1"/>
  <c r="AB46" i="173"/>
  <c r="AC42" i="173" s="1"/>
  <c r="AK592" i="176"/>
  <c r="AC595" i="176"/>
  <c r="S506" i="173"/>
  <c r="V64" i="176"/>
  <c r="W60" i="176" s="1"/>
  <c r="Z524" i="176"/>
  <c r="AA524" i="176" s="1"/>
  <c r="AB524" i="176" s="1"/>
  <c r="AC524" i="176" s="1"/>
  <c r="AD524" i="176" s="1"/>
  <c r="AE524" i="176" s="1"/>
  <c r="AF524" i="176" s="1"/>
  <c r="AG524" i="176" s="1"/>
  <c r="AH524" i="176" s="1"/>
  <c r="AI524" i="176" s="1"/>
  <c r="AJ524" i="176" s="1"/>
  <c r="AK524" i="176" s="1"/>
  <c r="S593" i="176"/>
  <c r="T593" i="176" s="1"/>
  <c r="U593" i="176" s="1"/>
  <c r="V593" i="176" s="1"/>
  <c r="AB525" i="176"/>
  <c r="AC525" i="176" s="1"/>
  <c r="AD525" i="176" s="1"/>
  <c r="AE525" i="176" s="1"/>
  <c r="AF525" i="176" s="1"/>
  <c r="AG525" i="176" s="1"/>
  <c r="AH525" i="176" s="1"/>
  <c r="AI525" i="176" s="1"/>
  <c r="AJ525" i="176" s="1"/>
  <c r="AK525" i="176" s="1"/>
  <c r="X434" i="173"/>
  <c r="Z518" i="173"/>
  <c r="AA518" i="173" s="1"/>
  <c r="AB518" i="173" s="1"/>
  <c r="AC518" i="173" s="1"/>
  <c r="AD518" i="173" s="1"/>
  <c r="Z52" i="176"/>
  <c r="AA48" i="176" s="1"/>
  <c r="U76" i="176"/>
  <c r="V72" i="176" s="1"/>
  <c r="S508" i="176"/>
  <c r="S92" i="176" s="1"/>
  <c r="T478" i="176"/>
  <c r="T508" i="176" s="1"/>
  <c r="T92" i="176" s="1"/>
  <c r="U76" i="173"/>
  <c r="V72" i="173" s="1"/>
  <c r="S583" i="176"/>
  <c r="V94" i="173"/>
  <c r="W90" i="173" s="1"/>
  <c r="Z45" i="176"/>
  <c r="Q99" i="173"/>
  <c r="X63" i="173"/>
  <c r="V70" i="176"/>
  <c r="W66" i="176" s="1"/>
  <c r="S478" i="173"/>
  <c r="R473" i="173"/>
  <c r="R98" i="173" s="1"/>
  <c r="R99" i="173" s="1"/>
  <c r="S450" i="173"/>
  <c r="Y305" i="173"/>
  <c r="Y62" i="173" s="1"/>
  <c r="Y63" i="173" s="1"/>
  <c r="Z282" i="173"/>
  <c r="X64" i="173"/>
  <c r="Y60" i="173" s="1"/>
  <c r="Q543" i="176"/>
  <c r="Q98" i="176" s="1"/>
  <c r="R513" i="176"/>
  <c r="V361" i="173"/>
  <c r="V74" i="173" s="1"/>
  <c r="W338" i="173"/>
  <c r="U75" i="173"/>
  <c r="AD199" i="173"/>
  <c r="AC221" i="173"/>
  <c r="AC44" i="173" s="1"/>
  <c r="AA228" i="176"/>
  <c r="AA44" i="176" s="1"/>
  <c r="AB198" i="176"/>
  <c r="W409" i="176"/>
  <c r="V438" i="176"/>
  <c r="V80" i="176" s="1"/>
  <c r="V81" i="176" s="1"/>
  <c r="AA255" i="173"/>
  <c r="Z277" i="173"/>
  <c r="Z56" i="173" s="1"/>
  <c r="Z57" i="173" s="1"/>
  <c r="W368" i="176"/>
  <c r="W68" i="176" s="1"/>
  <c r="W69" i="176" s="1"/>
  <c r="X338" i="176"/>
  <c r="W445" i="173"/>
  <c r="W92" i="173" s="1"/>
  <c r="W93" i="173" s="1"/>
  <c r="X422" i="173"/>
  <c r="S417" i="173"/>
  <c r="S86" i="173" s="1"/>
  <c r="T394" i="173"/>
  <c r="R87" i="173"/>
  <c r="P99" i="176"/>
  <c r="AD254" i="173"/>
  <c r="Z58" i="176"/>
  <c r="AA54" i="176" s="1"/>
  <c r="Y333" i="173"/>
  <c r="Y68" i="173" s="1"/>
  <c r="Y69" i="173" s="1"/>
  <c r="Z310" i="173"/>
  <c r="Z51" i="173"/>
  <c r="AD226" i="173"/>
  <c r="X70" i="173"/>
  <c r="Y66" i="173" s="1"/>
  <c r="AB231" i="173"/>
  <c r="AA249" i="173"/>
  <c r="AA50" i="173" s="1"/>
  <c r="V63" i="176"/>
  <c r="Z46" i="176"/>
  <c r="AA42" i="176" s="1"/>
  <c r="Y58" i="173"/>
  <c r="Z54" i="173" s="1"/>
  <c r="AA298" i="176"/>
  <c r="AA56" i="176" s="1"/>
  <c r="AA57" i="176" s="1"/>
  <c r="AB268" i="176"/>
  <c r="S87" i="176"/>
  <c r="AA408" i="176"/>
  <c r="E134" i="173"/>
  <c r="U82" i="176"/>
  <c r="V78" i="176" s="1"/>
  <c r="P100" i="176"/>
  <c r="Q96" i="176" s="1"/>
  <c r="W333" i="176"/>
  <c r="W62" i="176" s="1"/>
  <c r="X303" i="176"/>
  <c r="V403" i="176"/>
  <c r="V74" i="176" s="1"/>
  <c r="V75" i="176" s="1"/>
  <c r="W373" i="176"/>
  <c r="W389" i="173"/>
  <c r="W80" i="173" s="1"/>
  <c r="X366" i="173"/>
  <c r="S88" i="176"/>
  <c r="T84" i="176" s="1"/>
  <c r="AK160" i="176"/>
  <c r="AA263" i="176"/>
  <c r="AA50" i="176" s="1"/>
  <c r="AA51" i="176" s="1"/>
  <c r="AB233" i="176"/>
  <c r="AB45" i="173"/>
  <c r="R88" i="173"/>
  <c r="S84" i="173" s="1"/>
  <c r="E164" i="173" l="1"/>
  <c r="E158" i="173"/>
  <c r="E146" i="173"/>
  <c r="AE603" i="176"/>
  <c r="AF603" i="176" s="1"/>
  <c r="AG603" i="176" s="1"/>
  <c r="AH603" i="176" s="1"/>
  <c r="AI603" i="176" s="1"/>
  <c r="AJ603" i="176" s="1"/>
  <c r="AK603" i="176" s="1"/>
  <c r="U443" i="176"/>
  <c r="U473" i="176" s="1"/>
  <c r="U86" i="176" s="1"/>
  <c r="AI528" i="176"/>
  <c r="AJ528" i="176" s="1"/>
  <c r="AK528" i="176" s="1"/>
  <c r="AD533" i="176"/>
  <c r="AE533" i="176" s="1"/>
  <c r="AF533" i="176" s="1"/>
  <c r="AG533" i="176" s="1"/>
  <c r="AH533" i="176" s="1"/>
  <c r="AI533" i="176" s="1"/>
  <c r="AJ533" i="176" s="1"/>
  <c r="AK533" i="176" s="1"/>
  <c r="AE598" i="176"/>
  <c r="AF598" i="176" s="1"/>
  <c r="AG598" i="176" s="1"/>
  <c r="AH598" i="176" s="1"/>
  <c r="AI598" i="176" s="1"/>
  <c r="AJ598" i="176" s="1"/>
  <c r="AK598" i="176" s="1"/>
  <c r="AH568" i="176"/>
  <c r="AI568" i="176" s="1"/>
  <c r="AJ568" i="176" s="1"/>
  <c r="AK568" i="176" s="1"/>
  <c r="AK609" i="176"/>
  <c r="AK571" i="176"/>
  <c r="V601" i="176"/>
  <c r="W601" i="176"/>
  <c r="X601" i="176" s="1"/>
  <c r="Y601" i="176" s="1"/>
  <c r="W494" i="173"/>
  <c r="X494" i="173" s="1"/>
  <c r="AA534" i="176"/>
  <c r="S93" i="176"/>
  <c r="AJ569" i="176"/>
  <c r="AK569" i="176" s="1"/>
  <c r="R94" i="176"/>
  <c r="S90" i="176" s="1"/>
  <c r="S94" i="176" s="1"/>
  <c r="T90" i="176" s="1"/>
  <c r="T94" i="176" s="1"/>
  <c r="U90" i="176" s="1"/>
  <c r="AE426" i="176"/>
  <c r="AF426" i="176" s="1"/>
  <c r="AG426" i="176" s="1"/>
  <c r="AH426" i="176" s="1"/>
  <c r="AI426" i="176" s="1"/>
  <c r="AJ426" i="176" s="1"/>
  <c r="AC522" i="173"/>
  <c r="AD522" i="173" s="1"/>
  <c r="Y495" i="173"/>
  <c r="Z495" i="173" s="1"/>
  <c r="AA495" i="173" s="1"/>
  <c r="AB495" i="173" s="1"/>
  <c r="AC495" i="173" s="1"/>
  <c r="AD495" i="173" s="1"/>
  <c r="AG531" i="176"/>
  <c r="AH531" i="176" s="1"/>
  <c r="AI531" i="176" s="1"/>
  <c r="AJ531" i="176" s="1"/>
  <c r="AK531" i="176" s="1"/>
  <c r="AD525" i="173"/>
  <c r="AA523" i="173"/>
  <c r="AB359" i="173"/>
  <c r="AC359" i="173" s="1"/>
  <c r="AD359" i="173" s="1"/>
  <c r="S548" i="176"/>
  <c r="T548" i="176" s="1"/>
  <c r="AH393" i="176"/>
  <c r="AI393" i="176" s="1"/>
  <c r="AJ393" i="176" s="1"/>
  <c r="AK393" i="176" s="1"/>
  <c r="AC464" i="176"/>
  <c r="AD464" i="176" s="1"/>
  <c r="AE464" i="176" s="1"/>
  <c r="AF464" i="176" s="1"/>
  <c r="AG599" i="176"/>
  <c r="AH599" i="176" s="1"/>
  <c r="AI599" i="176" s="1"/>
  <c r="AJ599" i="176" s="1"/>
  <c r="AK599" i="176" s="1"/>
  <c r="AC46" i="173"/>
  <c r="AD42" i="173" s="1"/>
  <c r="AB469" i="173"/>
  <c r="AC469" i="173" s="1"/>
  <c r="AD469" i="173" s="1"/>
  <c r="AH536" i="176"/>
  <c r="AD600" i="176"/>
  <c r="AE600" i="176" s="1"/>
  <c r="W81" i="173"/>
  <c r="AC467" i="173"/>
  <c r="AA519" i="173"/>
  <c r="V602" i="176"/>
  <c r="X502" i="176"/>
  <c r="Y502" i="176" s="1"/>
  <c r="Z502" i="176" s="1"/>
  <c r="AA502" i="176" s="1"/>
  <c r="AB502" i="176" s="1"/>
  <c r="AC502" i="176" s="1"/>
  <c r="AD502" i="176" s="1"/>
  <c r="AE502" i="176" s="1"/>
  <c r="AF502" i="176" s="1"/>
  <c r="AG502" i="176" s="1"/>
  <c r="V82" i="173"/>
  <c r="W78" i="173" s="1"/>
  <c r="W82" i="173" s="1"/>
  <c r="X78" i="173" s="1"/>
  <c r="T607" i="176"/>
  <c r="W500" i="176"/>
  <c r="X500" i="176" s="1"/>
  <c r="Y500" i="176" s="1"/>
  <c r="Z500" i="176" s="1"/>
  <c r="AA500" i="176" s="1"/>
  <c r="AB500" i="176" s="1"/>
  <c r="AC500" i="176" s="1"/>
  <c r="AD500" i="176" s="1"/>
  <c r="AE500" i="176" s="1"/>
  <c r="AF500" i="176" s="1"/>
  <c r="AG500" i="176" s="1"/>
  <c r="AH500" i="176" s="1"/>
  <c r="AI500" i="176" s="1"/>
  <c r="AJ500" i="176" s="1"/>
  <c r="AK500" i="176" s="1"/>
  <c r="U564" i="176"/>
  <c r="Y466" i="173"/>
  <c r="AJ608" i="176"/>
  <c r="AK608" i="176" s="1"/>
  <c r="U606" i="176"/>
  <c r="V606" i="176" s="1"/>
  <c r="W606" i="176" s="1"/>
  <c r="X606" i="176" s="1"/>
  <c r="Y606" i="176" s="1"/>
  <c r="Z606" i="176" s="1"/>
  <c r="AA606" i="176" s="1"/>
  <c r="AB606" i="176" s="1"/>
  <c r="AC606" i="176" s="1"/>
  <c r="AD606" i="176" s="1"/>
  <c r="AE561" i="176"/>
  <c r="AF561" i="176" s="1"/>
  <c r="AG561" i="176" s="1"/>
  <c r="AH561" i="176" s="1"/>
  <c r="AI561" i="176" s="1"/>
  <c r="AJ561" i="176" s="1"/>
  <c r="AK561" i="176" s="1"/>
  <c r="W593" i="176"/>
  <c r="X593" i="176" s="1"/>
  <c r="T88" i="176"/>
  <c r="U84" i="176" s="1"/>
  <c r="W64" i="176"/>
  <c r="X60" i="176" s="1"/>
  <c r="T93" i="176"/>
  <c r="AD595" i="176"/>
  <c r="AE595" i="176" s="1"/>
  <c r="AF595" i="176" s="1"/>
  <c r="AG595" i="176" s="1"/>
  <c r="AH595" i="176" s="1"/>
  <c r="AI595" i="176" s="1"/>
  <c r="AJ595" i="176" s="1"/>
  <c r="T506" i="173"/>
  <c r="Y434" i="173"/>
  <c r="Z434" i="173" s="1"/>
  <c r="AA434" i="173" s="1"/>
  <c r="AB434" i="173" s="1"/>
  <c r="AC434" i="173" s="1"/>
  <c r="AD434" i="173" s="1"/>
  <c r="W94" i="173"/>
  <c r="X90" i="173" s="1"/>
  <c r="T583" i="176"/>
  <c r="V76" i="173"/>
  <c r="W72" i="173" s="1"/>
  <c r="W70" i="176"/>
  <c r="X66" i="176" s="1"/>
  <c r="U478" i="176"/>
  <c r="Y64" i="173"/>
  <c r="Z60" i="173" s="1"/>
  <c r="Y70" i="173"/>
  <c r="Z66" i="173" s="1"/>
  <c r="AA46" i="176"/>
  <c r="AB42" i="176" s="1"/>
  <c r="V76" i="176"/>
  <c r="W72" i="176" s="1"/>
  <c r="R543" i="176"/>
  <c r="R98" i="176" s="1"/>
  <c r="S513" i="176"/>
  <c r="Q99" i="176"/>
  <c r="AB408" i="176"/>
  <c r="AB255" i="173"/>
  <c r="AA277" i="173"/>
  <c r="AA56" i="173" s="1"/>
  <c r="AA57" i="173" s="1"/>
  <c r="R100" i="173"/>
  <c r="S96" i="173" s="1"/>
  <c r="AD221" i="173"/>
  <c r="AD44" i="173" s="1"/>
  <c r="T87" i="176"/>
  <c r="S87" i="173"/>
  <c r="S88" i="173"/>
  <c r="T84" i="173" s="1"/>
  <c r="W403" i="176"/>
  <c r="W74" i="176" s="1"/>
  <c r="W75" i="176" s="1"/>
  <c r="X373" i="176"/>
  <c r="S473" i="173"/>
  <c r="S98" i="173" s="1"/>
  <c r="S99" i="173" s="1"/>
  <c r="T450" i="173"/>
  <c r="X333" i="176"/>
  <c r="X62" i="176" s="1"/>
  <c r="Y303" i="176"/>
  <c r="AB228" i="176"/>
  <c r="AB44" i="176" s="1"/>
  <c r="AC198" i="176"/>
  <c r="AA45" i="176"/>
  <c r="T478" i="173"/>
  <c r="V82" i="176"/>
  <c r="W78" i="176" s="1"/>
  <c r="X368" i="176"/>
  <c r="X68" i="176" s="1"/>
  <c r="X69" i="176" s="1"/>
  <c r="Y338" i="176"/>
  <c r="T417" i="173"/>
  <c r="T86" i="173" s="1"/>
  <c r="U394" i="173"/>
  <c r="X389" i="173"/>
  <c r="X80" i="173" s="1"/>
  <c r="X81" i="173" s="1"/>
  <c r="Y366" i="173"/>
  <c r="AC231" i="173"/>
  <c r="AB249" i="173"/>
  <c r="AB50" i="173" s="1"/>
  <c r="AB298" i="176"/>
  <c r="AB56" i="176" s="1"/>
  <c r="AB57" i="176" s="1"/>
  <c r="AC268" i="176"/>
  <c r="X409" i="176"/>
  <c r="W438" i="176"/>
  <c r="W80" i="176" s="1"/>
  <c r="W81" i="176" s="1"/>
  <c r="W63" i="176"/>
  <c r="X445" i="173"/>
  <c r="X92" i="173" s="1"/>
  <c r="X93" i="173" s="1"/>
  <c r="Y422" i="173"/>
  <c r="AC45" i="173"/>
  <c r="Z333" i="173"/>
  <c r="Z68" i="173" s="1"/>
  <c r="Z69" i="173" s="1"/>
  <c r="AA310" i="173"/>
  <c r="Q100" i="176"/>
  <c r="R96" i="176" s="1"/>
  <c r="AB263" i="176"/>
  <c r="AB50" i="176" s="1"/>
  <c r="AB51" i="176" s="1"/>
  <c r="AC233" i="176"/>
  <c r="AA58" i="176"/>
  <c r="AB54" i="176" s="1"/>
  <c r="AA52" i="176"/>
  <c r="AB48" i="176" s="1"/>
  <c r="Z58" i="173"/>
  <c r="AA54" i="173" s="1"/>
  <c r="W361" i="173"/>
  <c r="W74" i="173" s="1"/>
  <c r="X338" i="173"/>
  <c r="AA51" i="173"/>
  <c r="AA52" i="173"/>
  <c r="AB48" i="173" s="1"/>
  <c r="Z305" i="173"/>
  <c r="Z62" i="173" s="1"/>
  <c r="Z63" i="173" s="1"/>
  <c r="AA282" i="173"/>
  <c r="V75" i="173"/>
  <c r="E170" i="173" l="1"/>
  <c r="E140" i="173"/>
  <c r="V443" i="176"/>
  <c r="V473" i="176" s="1"/>
  <c r="V86" i="176" s="1"/>
  <c r="Z601" i="176"/>
  <c r="AA601" i="176" s="1"/>
  <c r="AB601" i="176" s="1"/>
  <c r="AC601" i="176" s="1"/>
  <c r="AD601" i="176" s="1"/>
  <c r="AE601" i="176" s="1"/>
  <c r="AF601" i="176" s="1"/>
  <c r="AG601" i="176" s="1"/>
  <c r="AH601" i="176" s="1"/>
  <c r="AI601" i="176" s="1"/>
  <c r="AB534" i="176"/>
  <c r="AC534" i="176" s="1"/>
  <c r="AD534" i="176" s="1"/>
  <c r="AE534" i="176" s="1"/>
  <c r="AF534" i="176" s="1"/>
  <c r="Y494" i="173"/>
  <c r="Z494" i="173" s="1"/>
  <c r="AK426" i="176"/>
  <c r="AE606" i="176"/>
  <c r="AF606" i="176" s="1"/>
  <c r="AG606" i="176" s="1"/>
  <c r="AG464" i="176"/>
  <c r="AH464" i="176" s="1"/>
  <c r="AI464" i="176" s="1"/>
  <c r="AB523" i="173"/>
  <c r="AC523" i="173" s="1"/>
  <c r="AD523" i="173" s="1"/>
  <c r="AH502" i="176"/>
  <c r="AI502" i="176" s="1"/>
  <c r="AJ502" i="176" s="1"/>
  <c r="AK502" i="176" s="1"/>
  <c r="AD46" i="173"/>
  <c r="AI536" i="176"/>
  <c r="AJ536" i="176" s="1"/>
  <c r="AB519" i="173"/>
  <c r="AC519" i="173" s="1"/>
  <c r="AD519" i="173" s="1"/>
  <c r="U607" i="176"/>
  <c r="AF600" i="176"/>
  <c r="Z466" i="173"/>
  <c r="W602" i="176"/>
  <c r="AD467" i="173"/>
  <c r="V564" i="176"/>
  <c r="W564" i="176" s="1"/>
  <c r="X564" i="176" s="1"/>
  <c r="Y564" i="176" s="1"/>
  <c r="Z564" i="176" s="1"/>
  <c r="AA564" i="176" s="1"/>
  <c r="Y593" i="176"/>
  <c r="Z593" i="176" s="1"/>
  <c r="AA593" i="176" s="1"/>
  <c r="AB593" i="176" s="1"/>
  <c r="AC593" i="176" s="1"/>
  <c r="AD593" i="176" s="1"/>
  <c r="AE593" i="176" s="1"/>
  <c r="AF593" i="176" s="1"/>
  <c r="AG593" i="176" s="1"/>
  <c r="AH593" i="176" s="1"/>
  <c r="AI593" i="176" s="1"/>
  <c r="AJ593" i="176" s="1"/>
  <c r="AK593" i="176" s="1"/>
  <c r="X64" i="176"/>
  <c r="Y60" i="176" s="1"/>
  <c r="AK595" i="176"/>
  <c r="U506" i="173"/>
  <c r="W82" i="176"/>
  <c r="X78" i="176" s="1"/>
  <c r="W76" i="173"/>
  <c r="X72" i="173" s="1"/>
  <c r="Z70" i="173"/>
  <c r="AA66" i="173" s="1"/>
  <c r="U508" i="176"/>
  <c r="U92" i="176" s="1"/>
  <c r="V478" i="176"/>
  <c r="R100" i="176"/>
  <c r="S96" i="176" s="1"/>
  <c r="U583" i="176"/>
  <c r="AB52" i="173"/>
  <c r="AC48" i="173" s="1"/>
  <c r="AA58" i="173"/>
  <c r="AB54" i="173" s="1"/>
  <c r="T88" i="173"/>
  <c r="U84" i="173" s="1"/>
  <c r="X82" i="173"/>
  <c r="Y78" i="173" s="1"/>
  <c r="X70" i="176"/>
  <c r="Y66" i="176" s="1"/>
  <c r="X403" i="176"/>
  <c r="X74" i="176" s="1"/>
  <c r="X75" i="176" s="1"/>
  <c r="Y373" i="176"/>
  <c r="Y445" i="173"/>
  <c r="Y92" i="173" s="1"/>
  <c r="Y93" i="173" s="1"/>
  <c r="Z422" i="173"/>
  <c r="AA333" i="173"/>
  <c r="AA68" i="173" s="1"/>
  <c r="AA69" i="173" s="1"/>
  <c r="AB310" i="173"/>
  <c r="U478" i="173"/>
  <c r="AD45" i="173"/>
  <c r="X361" i="173"/>
  <c r="X74" i="173" s="1"/>
  <c r="Y338" i="173"/>
  <c r="U87" i="176"/>
  <c r="W75" i="173"/>
  <c r="U417" i="173"/>
  <c r="U86" i="173" s="1"/>
  <c r="V394" i="173"/>
  <c r="T87" i="173"/>
  <c r="AC255" i="173"/>
  <c r="AB277" i="173"/>
  <c r="AB56" i="173" s="1"/>
  <c r="AB57" i="173" s="1"/>
  <c r="Y409" i="176"/>
  <c r="X438" i="176"/>
  <c r="X80" i="176" s="1"/>
  <c r="X81" i="176" s="1"/>
  <c r="S543" i="176"/>
  <c r="S98" i="176" s="1"/>
  <c r="T513" i="176"/>
  <c r="AC298" i="176"/>
  <c r="AC56" i="176" s="1"/>
  <c r="AC57" i="176" s="1"/>
  <c r="AD268" i="176"/>
  <c r="X94" i="173"/>
  <c r="Y90" i="173" s="1"/>
  <c r="R99" i="176"/>
  <c r="AB45" i="176"/>
  <c r="AB58" i="176"/>
  <c r="AC54" i="176" s="1"/>
  <c r="Y368" i="176"/>
  <c r="Y68" i="176" s="1"/>
  <c r="Y69" i="176" s="1"/>
  <c r="Z338" i="176"/>
  <c r="Y333" i="176"/>
  <c r="Y62" i="176" s="1"/>
  <c r="Z303" i="176"/>
  <c r="Z64" i="173"/>
  <c r="AA60" i="173" s="1"/>
  <c r="U548" i="176"/>
  <c r="AB51" i="173"/>
  <c r="AD231" i="173"/>
  <c r="AC249" i="173"/>
  <c r="AC50" i="173" s="1"/>
  <c r="S100" i="173"/>
  <c r="T96" i="173" s="1"/>
  <c r="Y389" i="173"/>
  <c r="Y80" i="173" s="1"/>
  <c r="Y81" i="173" s="1"/>
  <c r="Z366" i="173"/>
  <c r="W76" i="176"/>
  <c r="X72" i="176" s="1"/>
  <c r="AB52" i="176"/>
  <c r="AC48" i="176" s="1"/>
  <c r="U88" i="176"/>
  <c r="V84" i="176" s="1"/>
  <c r="AC228" i="176"/>
  <c r="AC44" i="176" s="1"/>
  <c r="AD198" i="176"/>
  <c r="AB46" i="176"/>
  <c r="AC42" i="176" s="1"/>
  <c r="AC263" i="176"/>
  <c r="AC50" i="176" s="1"/>
  <c r="AC51" i="176" s="1"/>
  <c r="AD233" i="176"/>
  <c r="X63" i="176"/>
  <c r="AC408" i="176"/>
  <c r="AA305" i="173"/>
  <c r="AA62" i="173" s="1"/>
  <c r="AB282" i="173"/>
  <c r="T473" i="173"/>
  <c r="T98" i="173" s="1"/>
  <c r="T99" i="173" s="1"/>
  <c r="U450" i="173"/>
  <c r="W443" i="176" l="1"/>
  <c r="W473" i="176" s="1"/>
  <c r="W86" i="176" s="1"/>
  <c r="AG534" i="176"/>
  <c r="AH534" i="176" s="1"/>
  <c r="AI534" i="176" s="1"/>
  <c r="AJ534" i="176" s="1"/>
  <c r="AK534" i="176" s="1"/>
  <c r="AJ464" i="176"/>
  <c r="AK464" i="176" s="1"/>
  <c r="AJ601" i="176"/>
  <c r="AK601" i="176" s="1"/>
  <c r="AA494" i="173"/>
  <c r="AH606" i="176"/>
  <c r="AI606" i="176" s="1"/>
  <c r="AJ606" i="176" s="1"/>
  <c r="AK606" i="176" s="1"/>
  <c r="Y82" i="173"/>
  <c r="Z78" i="173" s="1"/>
  <c r="X602" i="176"/>
  <c r="Y602" i="176" s="1"/>
  <c r="Z602" i="176" s="1"/>
  <c r="AA602" i="176" s="1"/>
  <c r="AB602" i="176" s="1"/>
  <c r="AK536" i="176"/>
  <c r="V607" i="176"/>
  <c r="W607" i="176" s="1"/>
  <c r="X607" i="176" s="1"/>
  <c r="Y607" i="176" s="1"/>
  <c r="Z607" i="176" s="1"/>
  <c r="AA607" i="176" s="1"/>
  <c r="AB607" i="176" s="1"/>
  <c r="AC607" i="176" s="1"/>
  <c r="AD607" i="176" s="1"/>
  <c r="AE607" i="176" s="1"/>
  <c r="AF607" i="176" s="1"/>
  <c r="AG607" i="176" s="1"/>
  <c r="AH607" i="176" s="1"/>
  <c r="AI607" i="176" s="1"/>
  <c r="AG600" i="176"/>
  <c r="AH600" i="176" s="1"/>
  <c r="AB564" i="176"/>
  <c r="AC564" i="176" s="1"/>
  <c r="AD564" i="176" s="1"/>
  <c r="AE564" i="176" s="1"/>
  <c r="AF564" i="176" s="1"/>
  <c r="AG564" i="176" s="1"/>
  <c r="AH564" i="176" s="1"/>
  <c r="AI564" i="176" s="1"/>
  <c r="AJ564" i="176" s="1"/>
  <c r="AK564" i="176" s="1"/>
  <c r="AA466" i="173"/>
  <c r="AB466" i="173" s="1"/>
  <c r="AC466" i="173" s="1"/>
  <c r="AC52" i="173"/>
  <c r="AD48" i="173" s="1"/>
  <c r="S100" i="176"/>
  <c r="T96" i="176" s="1"/>
  <c r="V506" i="173"/>
  <c r="AA70" i="173"/>
  <c r="AB66" i="173" s="1"/>
  <c r="AC46" i="176"/>
  <c r="AD42" i="176" s="1"/>
  <c r="V88" i="176"/>
  <c r="W84" i="176" s="1"/>
  <c r="AA64" i="173"/>
  <c r="AB60" i="173" s="1"/>
  <c r="V583" i="176"/>
  <c r="V508" i="176"/>
  <c r="V92" i="176" s="1"/>
  <c r="V93" i="176" s="1"/>
  <c r="W478" i="176"/>
  <c r="U93" i="176"/>
  <c r="U94" i="176"/>
  <c r="V90" i="176" s="1"/>
  <c r="X76" i="176"/>
  <c r="Y72" i="176" s="1"/>
  <c r="AB58" i="173"/>
  <c r="AC54" i="173" s="1"/>
  <c r="Y94" i="173"/>
  <c r="Z90" i="173" s="1"/>
  <c r="AD228" i="176"/>
  <c r="AD44" i="176" s="1"/>
  <c r="AE198" i="176"/>
  <c r="U473" i="173"/>
  <c r="U98" i="173" s="1"/>
  <c r="U99" i="173" s="1"/>
  <c r="V450" i="173"/>
  <c r="AD298" i="176"/>
  <c r="AD56" i="176" s="1"/>
  <c r="AD57" i="176" s="1"/>
  <c r="AE268" i="176"/>
  <c r="AC45" i="176"/>
  <c r="T543" i="176"/>
  <c r="T98" i="176" s="1"/>
  <c r="U513" i="176"/>
  <c r="AC52" i="176"/>
  <c r="AD48" i="176" s="1"/>
  <c r="Z389" i="173"/>
  <c r="Z80" i="173" s="1"/>
  <c r="Z81" i="173" s="1"/>
  <c r="AA366" i="173"/>
  <c r="U87" i="173"/>
  <c r="T100" i="173"/>
  <c r="U96" i="173" s="1"/>
  <c r="AC58" i="176"/>
  <c r="AD54" i="176" s="1"/>
  <c r="U88" i="173"/>
  <c r="V84" i="173" s="1"/>
  <c r="S99" i="176"/>
  <c r="AD255" i="173"/>
  <c r="AC277" i="173"/>
  <c r="AC56" i="173" s="1"/>
  <c r="AC57" i="173" s="1"/>
  <c r="V417" i="173"/>
  <c r="V86" i="173" s="1"/>
  <c r="W394" i="173"/>
  <c r="X75" i="173"/>
  <c r="Y63" i="176"/>
  <c r="Z445" i="173"/>
  <c r="Z92" i="173" s="1"/>
  <c r="Z93" i="173" s="1"/>
  <c r="AA422" i="173"/>
  <c r="AD249" i="173"/>
  <c r="AD50" i="173" s="1"/>
  <c r="V548" i="176"/>
  <c r="AA63" i="173"/>
  <c r="Y64" i="176"/>
  <c r="Z60" i="176" s="1"/>
  <c r="Y403" i="176"/>
  <c r="Y74" i="176" s="1"/>
  <c r="Y75" i="176" s="1"/>
  <c r="Z373" i="176"/>
  <c r="AB333" i="173"/>
  <c r="AB68" i="173" s="1"/>
  <c r="AB69" i="173" s="1"/>
  <c r="AC310" i="173"/>
  <c r="Z409" i="176"/>
  <c r="Y438" i="176"/>
  <c r="Y80" i="176" s="1"/>
  <c r="Y81" i="176" s="1"/>
  <c r="AB305" i="173"/>
  <c r="AB62" i="173" s="1"/>
  <c r="AC282" i="173"/>
  <c r="Y361" i="173"/>
  <c r="Y74" i="173" s="1"/>
  <c r="Z338" i="173"/>
  <c r="Z333" i="176"/>
  <c r="Z62" i="176" s="1"/>
  <c r="AA303" i="176"/>
  <c r="X82" i="176"/>
  <c r="Y78" i="176" s="1"/>
  <c r="X76" i="173"/>
  <c r="Y72" i="173" s="1"/>
  <c r="Z368" i="176"/>
  <c r="Z68" i="176" s="1"/>
  <c r="Z69" i="176" s="1"/>
  <c r="AA338" i="176"/>
  <c r="AD408" i="176"/>
  <c r="V87" i="176"/>
  <c r="Y70" i="176"/>
  <c r="Z66" i="176" s="1"/>
  <c r="AD263" i="176"/>
  <c r="AD50" i="176" s="1"/>
  <c r="AD51" i="176" s="1"/>
  <c r="AE233" i="176"/>
  <c r="AC51" i="173"/>
  <c r="V478" i="173"/>
  <c r="X443" i="176" l="1"/>
  <c r="Y443" i="176" s="1"/>
  <c r="AB64" i="173"/>
  <c r="AC60" i="173" s="1"/>
  <c r="Y76" i="176"/>
  <c r="Z72" i="176" s="1"/>
  <c r="AB494" i="173"/>
  <c r="AC494" i="173" s="1"/>
  <c r="AD494" i="173" s="1"/>
  <c r="AI600" i="176"/>
  <c r="AJ600" i="176" s="1"/>
  <c r="AK600" i="176" s="1"/>
  <c r="AJ607" i="176"/>
  <c r="AK607" i="176" s="1"/>
  <c r="Z70" i="176"/>
  <c r="AA66" i="176" s="1"/>
  <c r="AC602" i="176"/>
  <c r="AD602" i="176" s="1"/>
  <c r="AE602" i="176" s="1"/>
  <c r="AF602" i="176" s="1"/>
  <c r="AG602" i="176" s="1"/>
  <c r="AH602" i="176" s="1"/>
  <c r="AD466" i="173"/>
  <c r="Z94" i="173"/>
  <c r="AA90" i="173" s="1"/>
  <c r="V94" i="176"/>
  <c r="W90" i="176" s="1"/>
  <c r="W88" i="176"/>
  <c r="X84" i="176" s="1"/>
  <c r="W506" i="173"/>
  <c r="W508" i="176"/>
  <c r="W92" i="176" s="1"/>
  <c r="X478" i="176"/>
  <c r="W583" i="176"/>
  <c r="V88" i="173"/>
  <c r="W84" i="173" s="1"/>
  <c r="Z82" i="173"/>
  <c r="AA78" i="173" s="1"/>
  <c r="AD58" i="176"/>
  <c r="AE54" i="176" s="1"/>
  <c r="U100" i="173"/>
  <c r="V96" i="173" s="1"/>
  <c r="W87" i="176"/>
  <c r="T99" i="176"/>
  <c r="W417" i="173"/>
  <c r="W86" i="173" s="1"/>
  <c r="X394" i="173"/>
  <c r="Y75" i="173"/>
  <c r="AC305" i="173"/>
  <c r="AC62" i="173" s="1"/>
  <c r="AD282" i="173"/>
  <c r="AE298" i="176"/>
  <c r="AE56" i="176" s="1"/>
  <c r="AE57" i="176" s="1"/>
  <c r="AF268" i="176"/>
  <c r="V473" i="173"/>
  <c r="V98" i="173" s="1"/>
  <c r="V99" i="173" s="1"/>
  <c r="W450" i="173"/>
  <c r="AC58" i="173"/>
  <c r="AD54" i="173" s="1"/>
  <c r="AD45" i="176"/>
  <c r="AE408" i="176"/>
  <c r="AA368" i="176"/>
  <c r="AA68" i="176" s="1"/>
  <c r="AA69" i="176" s="1"/>
  <c r="AB338" i="176"/>
  <c r="AA389" i="173"/>
  <c r="AA80" i="173" s="1"/>
  <c r="AA81" i="173" s="1"/>
  <c r="AB366" i="173"/>
  <c r="AD51" i="173"/>
  <c r="Z64" i="176"/>
  <c r="AA60" i="176" s="1"/>
  <c r="AA445" i="173"/>
  <c r="AA92" i="173" s="1"/>
  <c r="AA93" i="173" s="1"/>
  <c r="AB422" i="173"/>
  <c r="AB63" i="173"/>
  <c r="AE263" i="176"/>
  <c r="AE50" i="176" s="1"/>
  <c r="AE51" i="176" s="1"/>
  <c r="AF233" i="176"/>
  <c r="AC333" i="173"/>
  <c r="AC68" i="173" s="1"/>
  <c r="AC69" i="173" s="1"/>
  <c r="AD310" i="173"/>
  <c r="AD277" i="173"/>
  <c r="AD56" i="173" s="1"/>
  <c r="AD57" i="173" s="1"/>
  <c r="Z403" i="176"/>
  <c r="Z74" i="176" s="1"/>
  <c r="Z75" i="176" s="1"/>
  <c r="AA373" i="176"/>
  <c r="AD46" i="176"/>
  <c r="AE42" i="176" s="1"/>
  <c r="AD52" i="173"/>
  <c r="Y76" i="173"/>
  <c r="Z72" i="173" s="1"/>
  <c r="W548" i="176"/>
  <c r="AB70" i="173"/>
  <c r="AC66" i="173" s="1"/>
  <c r="T100" i="176"/>
  <c r="U96" i="176" s="1"/>
  <c r="Z63" i="176"/>
  <c r="Z361" i="173"/>
  <c r="Z74" i="173" s="1"/>
  <c r="AA338" i="173"/>
  <c r="W478" i="173"/>
  <c r="U543" i="176"/>
  <c r="U98" i="176" s="1"/>
  <c r="V513" i="176"/>
  <c r="AA409" i="176"/>
  <c r="Z438" i="176"/>
  <c r="Z80" i="176" s="1"/>
  <c r="Z81" i="176" s="1"/>
  <c r="V87" i="173"/>
  <c r="AE228" i="176"/>
  <c r="AE44" i="176" s="1"/>
  <c r="AF198" i="176"/>
  <c r="Y82" i="176"/>
  <c r="Z78" i="176" s="1"/>
  <c r="AA333" i="176"/>
  <c r="AA62" i="176" s="1"/>
  <c r="AB303" i="176"/>
  <c r="AD52" i="176"/>
  <c r="AE48" i="176" s="1"/>
  <c r="X473" i="176" l="1"/>
  <c r="X86" i="176" s="1"/>
  <c r="X88" i="176" s="1"/>
  <c r="Y84" i="176" s="1"/>
  <c r="AI602" i="176"/>
  <c r="AJ602" i="176" s="1"/>
  <c r="AK602" i="176" s="1"/>
  <c r="X506" i="173"/>
  <c r="W88" i="173"/>
  <c r="X84" i="173" s="1"/>
  <c r="X583" i="176"/>
  <c r="X508" i="176"/>
  <c r="X92" i="176" s="1"/>
  <c r="X93" i="176" s="1"/>
  <c r="Y478" i="176"/>
  <c r="W93" i="176"/>
  <c r="W94" i="176"/>
  <c r="X90" i="176" s="1"/>
  <c r="Z76" i="176"/>
  <c r="AA72" i="176" s="1"/>
  <c r="AD58" i="173"/>
  <c r="V100" i="173"/>
  <c r="W96" i="173" s="1"/>
  <c r="U100" i="176"/>
  <c r="V96" i="176" s="1"/>
  <c r="Z82" i="176"/>
  <c r="AA78" i="176" s="1"/>
  <c r="AA63" i="176"/>
  <c r="AC63" i="173"/>
  <c r="AD333" i="173"/>
  <c r="AD68" i="173" s="1"/>
  <c r="AD69" i="173" s="1"/>
  <c r="AF408" i="176"/>
  <c r="AF263" i="176"/>
  <c r="AF50" i="176" s="1"/>
  <c r="AF51" i="176" s="1"/>
  <c r="AG233" i="176"/>
  <c r="AA70" i="176"/>
  <c r="AB66" i="176" s="1"/>
  <c r="V543" i="176"/>
  <c r="V98" i="176" s="1"/>
  <c r="W513" i="176"/>
  <c r="AB445" i="173"/>
  <c r="AB92" i="173" s="1"/>
  <c r="AB93" i="173" s="1"/>
  <c r="AC422" i="173"/>
  <c r="AA361" i="173"/>
  <c r="AA74" i="173" s="1"/>
  <c r="AB338" i="173"/>
  <c r="AC70" i="173"/>
  <c r="AD66" i="173" s="1"/>
  <c r="X417" i="173"/>
  <c r="X86" i="173" s="1"/>
  <c r="Y394" i="173"/>
  <c r="AF228" i="176"/>
  <c r="AF44" i="176" s="1"/>
  <c r="AG198" i="176"/>
  <c r="AE45" i="176"/>
  <c r="AA82" i="173"/>
  <c r="AB78" i="173" s="1"/>
  <c r="W473" i="173"/>
  <c r="W98" i="173" s="1"/>
  <c r="W99" i="173" s="1"/>
  <c r="X450" i="173"/>
  <c r="AE52" i="176"/>
  <c r="AF48" i="176" s="1"/>
  <c r="AE58" i="176"/>
  <c r="AF54" i="176" s="1"/>
  <c r="Z75" i="173"/>
  <c r="AB389" i="173"/>
  <c r="AB80" i="173" s="1"/>
  <c r="AB81" i="173" s="1"/>
  <c r="AC366" i="173"/>
  <c r="AB368" i="176"/>
  <c r="AB68" i="176" s="1"/>
  <c r="AB69" i="176" s="1"/>
  <c r="AC338" i="176"/>
  <c r="X548" i="176"/>
  <c r="W87" i="173"/>
  <c r="Z76" i="173"/>
  <c r="AA72" i="173" s="1"/>
  <c r="AB409" i="176"/>
  <c r="AA438" i="176"/>
  <c r="AA80" i="176" s="1"/>
  <c r="AA81" i="176" s="1"/>
  <c r="AC64" i="173"/>
  <c r="AD60" i="173" s="1"/>
  <c r="U99" i="176"/>
  <c r="Y473" i="176"/>
  <c r="Y86" i="176" s="1"/>
  <c r="Z443" i="176"/>
  <c r="AF298" i="176"/>
  <c r="AF56" i="176" s="1"/>
  <c r="AF57" i="176" s="1"/>
  <c r="AG268" i="176"/>
  <c r="X478" i="173"/>
  <c r="AE46" i="176"/>
  <c r="AF42" i="176" s="1"/>
  <c r="AA64" i="176"/>
  <c r="AB60" i="176" s="1"/>
  <c r="AA403" i="176"/>
  <c r="AA74" i="176" s="1"/>
  <c r="AA75" i="176" s="1"/>
  <c r="AB373" i="176"/>
  <c r="AB333" i="176"/>
  <c r="AB62" i="176" s="1"/>
  <c r="AC303" i="176"/>
  <c r="AA94" i="173"/>
  <c r="AB90" i="173" s="1"/>
  <c r="AD305" i="173"/>
  <c r="AD62" i="173" s="1"/>
  <c r="X87" i="176" l="1"/>
  <c r="X94" i="176"/>
  <c r="Y90" i="176" s="1"/>
  <c r="X88" i="173"/>
  <c r="Y84" i="173" s="1"/>
  <c r="V100" i="176"/>
  <c r="W96" i="176" s="1"/>
  <c r="Y506" i="173"/>
  <c r="Y583" i="176"/>
  <c r="Z478" i="176"/>
  <c r="Y508" i="176"/>
  <c r="Y92" i="176" s="1"/>
  <c r="AB64" i="176"/>
  <c r="AC60" i="176" s="1"/>
  <c r="W100" i="173"/>
  <c r="X96" i="173" s="1"/>
  <c r="AD70" i="173"/>
  <c r="AF58" i="176"/>
  <c r="AG54" i="176" s="1"/>
  <c r="AF52" i="176"/>
  <c r="AG48" i="176" s="1"/>
  <c r="AF46" i="176"/>
  <c r="AG42" i="176" s="1"/>
  <c r="AD64" i="173"/>
  <c r="AB82" i="173"/>
  <c r="AC78" i="173" s="1"/>
  <c r="AC409" i="176"/>
  <c r="AB438" i="176"/>
  <c r="AB80" i="176" s="1"/>
  <c r="AB81" i="176" s="1"/>
  <c r="AB361" i="173"/>
  <c r="AB74" i="173" s="1"/>
  <c r="AC338" i="173"/>
  <c r="X473" i="173"/>
  <c r="X98" i="173" s="1"/>
  <c r="X99" i="173" s="1"/>
  <c r="Y450" i="173"/>
  <c r="AA75" i="173"/>
  <c r="AA76" i="173"/>
  <c r="AB72" i="173" s="1"/>
  <c r="Y548" i="176"/>
  <c r="AC445" i="173"/>
  <c r="AC92" i="173" s="1"/>
  <c r="AC93" i="173" s="1"/>
  <c r="AD422" i="173"/>
  <c r="AC368" i="176"/>
  <c r="AC68" i="176" s="1"/>
  <c r="AC69" i="176" s="1"/>
  <c r="AD338" i="176"/>
  <c r="W543" i="176"/>
  <c r="W98" i="176" s="1"/>
  <c r="X513" i="176"/>
  <c r="Y478" i="173"/>
  <c r="V99" i="176"/>
  <c r="AC389" i="173"/>
  <c r="AC80" i="173" s="1"/>
  <c r="AC81" i="173" s="1"/>
  <c r="AD366" i="173"/>
  <c r="AB70" i="176"/>
  <c r="AC66" i="176" s="1"/>
  <c r="AG298" i="176"/>
  <c r="AG56" i="176" s="1"/>
  <c r="AG57" i="176" s="1"/>
  <c r="AH268" i="176"/>
  <c r="AG263" i="176"/>
  <c r="AG50" i="176" s="1"/>
  <c r="AG51" i="176" s="1"/>
  <c r="AH233" i="176"/>
  <c r="AD63" i="173"/>
  <c r="AA76" i="176"/>
  <c r="AB72" i="176" s="1"/>
  <c r="AG408" i="176"/>
  <c r="Z473" i="176"/>
  <c r="Z86" i="176" s="1"/>
  <c r="AA443" i="176"/>
  <c r="AA82" i="176"/>
  <c r="AB78" i="176" s="1"/>
  <c r="AG228" i="176"/>
  <c r="AG44" i="176" s="1"/>
  <c r="AH198" i="176"/>
  <c r="AB94" i="173"/>
  <c r="AC90" i="173" s="1"/>
  <c r="Y87" i="176"/>
  <c r="AF45" i="176"/>
  <c r="Y88" i="176"/>
  <c r="Z84" i="176" s="1"/>
  <c r="AC333" i="176"/>
  <c r="AC62" i="176" s="1"/>
  <c r="AD303" i="176"/>
  <c r="Y417" i="173"/>
  <c r="Y86" i="173" s="1"/>
  <c r="Z394" i="173"/>
  <c r="X87" i="173"/>
  <c r="AB403" i="176"/>
  <c r="AB74" i="176" s="1"/>
  <c r="AB75" i="176" s="1"/>
  <c r="AC373" i="176"/>
  <c r="AB63" i="176"/>
  <c r="W100" i="176" l="1"/>
  <c r="X96" i="176" s="1"/>
  <c r="Z506" i="173"/>
  <c r="AC82" i="173"/>
  <c r="AD78" i="173" s="1"/>
  <c r="AG46" i="176"/>
  <c r="AH42" i="176" s="1"/>
  <c r="AB76" i="176"/>
  <c r="AC72" i="176" s="1"/>
  <c r="Z583" i="176"/>
  <c r="Y93" i="176"/>
  <c r="Y94" i="176"/>
  <c r="Z90" i="176" s="1"/>
  <c r="Z508" i="176"/>
  <c r="Z92" i="176" s="1"/>
  <c r="Z93" i="176" s="1"/>
  <c r="AA478" i="176"/>
  <c r="AC64" i="176"/>
  <c r="AD60" i="176" s="1"/>
  <c r="Z88" i="176"/>
  <c r="AA84" i="176" s="1"/>
  <c r="AG52" i="176"/>
  <c r="AH48" i="176" s="1"/>
  <c r="AB76" i="173"/>
  <c r="AC72" i="173" s="1"/>
  <c r="AC94" i="173"/>
  <c r="AD90" i="173" s="1"/>
  <c r="AG58" i="176"/>
  <c r="AH54" i="176" s="1"/>
  <c r="Z417" i="173"/>
  <c r="Z86" i="173" s="1"/>
  <c r="AA394" i="173"/>
  <c r="Z478" i="173"/>
  <c r="X543" i="176"/>
  <c r="X98" i="176" s="1"/>
  <c r="Y513" i="176"/>
  <c r="AB82" i="176"/>
  <c r="AC78" i="176" s="1"/>
  <c r="AD389" i="173"/>
  <c r="AD80" i="173" s="1"/>
  <c r="AD81" i="173" s="1"/>
  <c r="AB75" i="173"/>
  <c r="AC403" i="176"/>
  <c r="AC74" i="176" s="1"/>
  <c r="AC75" i="176" s="1"/>
  <c r="AD373" i="176"/>
  <c r="AA473" i="176"/>
  <c r="AA86" i="176" s="1"/>
  <c r="AB443" i="176"/>
  <c r="Z87" i="176"/>
  <c r="AH408" i="176"/>
  <c r="AD409" i="176"/>
  <c r="AC438" i="176"/>
  <c r="AC80" i="176" s="1"/>
  <c r="AC81" i="176" s="1"/>
  <c r="W99" i="176"/>
  <c r="AH263" i="176"/>
  <c r="AH50" i="176" s="1"/>
  <c r="AH51" i="176" s="1"/>
  <c r="AI233" i="176"/>
  <c r="AD368" i="176"/>
  <c r="AD68" i="176" s="1"/>
  <c r="AD69" i="176" s="1"/>
  <c r="AE338" i="176"/>
  <c r="Y473" i="173"/>
  <c r="Y98" i="173" s="1"/>
  <c r="Y99" i="173" s="1"/>
  <c r="Z450" i="173"/>
  <c r="AH298" i="176"/>
  <c r="AH56" i="176" s="1"/>
  <c r="AH57" i="176" s="1"/>
  <c r="AI268" i="176"/>
  <c r="X100" i="173"/>
  <c r="Y96" i="173" s="1"/>
  <c r="AH228" i="176"/>
  <c r="AH44" i="176" s="1"/>
  <c r="AI198" i="176"/>
  <c r="AD445" i="173"/>
  <c r="AD92" i="173" s="1"/>
  <c r="AD93" i="173" s="1"/>
  <c r="AG45" i="176"/>
  <c r="AC70" i="176"/>
  <c r="AD66" i="176" s="1"/>
  <c r="AC361" i="173"/>
  <c r="AC74" i="173" s="1"/>
  <c r="AD338" i="173"/>
  <c r="Y87" i="173"/>
  <c r="AD333" i="176"/>
  <c r="AD62" i="176" s="1"/>
  <c r="AE303" i="176"/>
  <c r="AC63" i="176"/>
  <c r="Z548" i="176"/>
  <c r="Y88" i="173"/>
  <c r="Z84" i="173" s="1"/>
  <c r="AA88" i="176" l="1"/>
  <c r="AB84" i="176" s="1"/>
  <c r="AA506" i="173"/>
  <c r="AA508" i="176"/>
  <c r="AA92" i="176" s="1"/>
  <c r="AA93" i="176" s="1"/>
  <c r="AB478" i="176"/>
  <c r="Z94" i="176"/>
  <c r="AA90" i="176" s="1"/>
  <c r="AC76" i="176"/>
  <c r="AD72" i="176" s="1"/>
  <c r="AC76" i="173"/>
  <c r="AD72" i="173" s="1"/>
  <c r="AA583" i="176"/>
  <c r="Z88" i="173"/>
  <c r="AA84" i="173" s="1"/>
  <c r="AH58" i="176"/>
  <c r="AI54" i="176" s="1"/>
  <c r="AC82" i="176"/>
  <c r="AD78" i="176" s="1"/>
  <c r="Z473" i="173"/>
  <c r="Z98" i="173" s="1"/>
  <c r="Z99" i="173" s="1"/>
  <c r="AA450" i="173"/>
  <c r="AE368" i="176"/>
  <c r="AE68" i="176" s="1"/>
  <c r="AE69" i="176" s="1"/>
  <c r="AF338" i="176"/>
  <c r="Y543" i="176"/>
  <c r="Y98" i="176" s="1"/>
  <c r="Z513" i="176"/>
  <c r="X99" i="176"/>
  <c r="E44" i="173"/>
  <c r="AI228" i="176"/>
  <c r="AI44" i="176" s="1"/>
  <c r="AJ198" i="176"/>
  <c r="AA478" i="173"/>
  <c r="AH45" i="176"/>
  <c r="AH52" i="176"/>
  <c r="AI48" i="176" s="1"/>
  <c r="AA548" i="176"/>
  <c r="Y100" i="173"/>
  <c r="Z96" i="173" s="1"/>
  <c r="AD361" i="173"/>
  <c r="AD74" i="173" s="1"/>
  <c r="AA417" i="173"/>
  <c r="AA86" i="173" s="1"/>
  <c r="AB394" i="173"/>
  <c r="AD94" i="173"/>
  <c r="AA87" i="176"/>
  <c r="AD63" i="176"/>
  <c r="AI263" i="176"/>
  <c r="AI50" i="176" s="1"/>
  <c r="AI51" i="176" s="1"/>
  <c r="AJ233" i="176"/>
  <c r="AI408" i="176"/>
  <c r="AD82" i="173"/>
  <c r="AB473" i="176"/>
  <c r="AB86" i="176" s="1"/>
  <c r="AC443" i="176"/>
  <c r="AC75" i="173"/>
  <c r="Z87" i="173"/>
  <c r="AD70" i="176"/>
  <c r="AE66" i="176" s="1"/>
  <c r="AI298" i="176"/>
  <c r="AI56" i="176" s="1"/>
  <c r="AI57" i="176" s="1"/>
  <c r="AJ268" i="176"/>
  <c r="AD403" i="176"/>
  <c r="AD74" i="176" s="1"/>
  <c r="AD75" i="176" s="1"/>
  <c r="AE373" i="176"/>
  <c r="AH46" i="176"/>
  <c r="AI42" i="176" s="1"/>
  <c r="AD64" i="176"/>
  <c r="AE60" i="176" s="1"/>
  <c r="AE409" i="176"/>
  <c r="AD438" i="176"/>
  <c r="AD80" i="176" s="1"/>
  <c r="AD81" i="176" s="1"/>
  <c r="AE333" i="176"/>
  <c r="AE62" i="176" s="1"/>
  <c r="AF303" i="176"/>
  <c r="X100" i="176"/>
  <c r="Y96" i="176" s="1"/>
  <c r="AA94" i="176" l="1"/>
  <c r="AB90" i="176" s="1"/>
  <c r="AD76" i="173"/>
  <c r="AB88" i="176"/>
  <c r="AC84" i="176" s="1"/>
  <c r="AI52" i="176"/>
  <c r="AJ48" i="176" s="1"/>
  <c r="AB506" i="173"/>
  <c r="AD76" i="176"/>
  <c r="AE72" i="176" s="1"/>
  <c r="AB583" i="176"/>
  <c r="AC478" i="176"/>
  <c r="AB508" i="176"/>
  <c r="AB92" i="176" s="1"/>
  <c r="AI46" i="176"/>
  <c r="AJ42" i="176" s="1"/>
  <c r="AA88" i="173"/>
  <c r="AB84" i="173" s="1"/>
  <c r="Z100" i="173"/>
  <c r="AA96" i="173" s="1"/>
  <c r="AB548" i="176"/>
  <c r="AE63" i="176"/>
  <c r="AJ263" i="176"/>
  <c r="AJ50" i="176" s="1"/>
  <c r="AJ51" i="176" s="1"/>
  <c r="AK233" i="176"/>
  <c r="AK263" i="176" s="1"/>
  <c r="AK50" i="176" s="1"/>
  <c r="Z543" i="176"/>
  <c r="Z98" i="176" s="1"/>
  <c r="AA513" i="176"/>
  <c r="Y99" i="176"/>
  <c r="AJ298" i="176"/>
  <c r="AJ56" i="176" s="1"/>
  <c r="AJ57" i="176" s="1"/>
  <c r="AK268" i="176"/>
  <c r="AK298" i="176" s="1"/>
  <c r="AK56" i="176" s="1"/>
  <c r="Y100" i="176"/>
  <c r="Z96" i="176" s="1"/>
  <c r="AB478" i="173"/>
  <c r="AI58" i="176"/>
  <c r="AJ54" i="176" s="1"/>
  <c r="AJ228" i="176"/>
  <c r="AJ44" i="176" s="1"/>
  <c r="AK198" i="176"/>
  <c r="AK228" i="176" s="1"/>
  <c r="AK44" i="176" s="1"/>
  <c r="AA87" i="173"/>
  <c r="AI45" i="176"/>
  <c r="AC473" i="176"/>
  <c r="AC86" i="176" s="1"/>
  <c r="AD443" i="176"/>
  <c r="AF333" i="176"/>
  <c r="AF62" i="176" s="1"/>
  <c r="AG303" i="176"/>
  <c r="AF409" i="176"/>
  <c r="AE438" i="176"/>
  <c r="AE80" i="176" s="1"/>
  <c r="AE81" i="176" s="1"/>
  <c r="AE64" i="176"/>
  <c r="AF60" i="176" s="1"/>
  <c r="AE403" i="176"/>
  <c r="AE74" i="176" s="1"/>
  <c r="AE75" i="176" s="1"/>
  <c r="AF373" i="176"/>
  <c r="AF368" i="176"/>
  <c r="AF68" i="176" s="1"/>
  <c r="AF69" i="176" s="1"/>
  <c r="AG338" i="176"/>
  <c r="AE70" i="176"/>
  <c r="AF66" i="176" s="1"/>
  <c r="AB417" i="173"/>
  <c r="AB86" i="173" s="1"/>
  <c r="AC394" i="173"/>
  <c r="AD82" i="176"/>
  <c r="AE78" i="176" s="1"/>
  <c r="AB87" i="176"/>
  <c r="AD75" i="173"/>
  <c r="AA473" i="173"/>
  <c r="AA98" i="173" s="1"/>
  <c r="AA99" i="173" s="1"/>
  <c r="AB450" i="173"/>
  <c r="AJ408" i="176"/>
  <c r="AC583" i="176" l="1"/>
  <c r="AC506" i="173"/>
  <c r="AF70" i="176"/>
  <c r="AG66" i="176" s="1"/>
  <c r="AC88" i="176"/>
  <c r="AD84" i="176" s="1"/>
  <c r="AJ52" i="176"/>
  <c r="AK48" i="176" s="1"/>
  <c r="AK52" i="176" s="1"/>
  <c r="AJ46" i="176"/>
  <c r="AK42" i="176" s="1"/>
  <c r="AK46" i="176" s="1"/>
  <c r="AF64" i="176"/>
  <c r="AG60" i="176" s="1"/>
  <c r="AB93" i="176"/>
  <c r="AB94" i="176"/>
  <c r="AC90" i="176" s="1"/>
  <c r="AB88" i="173"/>
  <c r="AC84" i="173" s="1"/>
  <c r="AE76" i="176"/>
  <c r="AF72" i="176" s="1"/>
  <c r="AD478" i="176"/>
  <c r="AC508" i="176"/>
  <c r="AC92" i="176" s="1"/>
  <c r="AC93" i="176" s="1"/>
  <c r="AA100" i="173"/>
  <c r="AB96" i="173" s="1"/>
  <c r="AE82" i="176"/>
  <c r="AF78" i="176" s="1"/>
  <c r="AC87" i="176"/>
  <c r="AK57" i="176"/>
  <c r="E56" i="176"/>
  <c r="AK45" i="176"/>
  <c r="E44" i="176"/>
  <c r="AC548" i="176"/>
  <c r="AC417" i="173"/>
  <c r="AC86" i="173" s="1"/>
  <c r="AD394" i="173"/>
  <c r="AB87" i="173"/>
  <c r="AG409" i="176"/>
  <c r="AF438" i="176"/>
  <c r="AF80" i="176" s="1"/>
  <c r="AF81" i="176" s="1"/>
  <c r="AA543" i="176"/>
  <c r="AA98" i="176" s="1"/>
  <c r="AB513" i="176"/>
  <c r="AJ45" i="176"/>
  <c r="Z99" i="176"/>
  <c r="AJ58" i="176"/>
  <c r="AK54" i="176" s="1"/>
  <c r="AK58" i="176" s="1"/>
  <c r="AC478" i="173"/>
  <c r="AG333" i="176"/>
  <c r="AG62" i="176" s="1"/>
  <c r="AH303" i="176"/>
  <c r="AF63" i="176"/>
  <c r="E50" i="173"/>
  <c r="Z100" i="176"/>
  <c r="AA96" i="176" s="1"/>
  <c r="AK408" i="176"/>
  <c r="AG368" i="176"/>
  <c r="AG68" i="176" s="1"/>
  <c r="AG69" i="176" s="1"/>
  <c r="AH338" i="176"/>
  <c r="AB473" i="173"/>
  <c r="AB98" i="173" s="1"/>
  <c r="AB99" i="173" s="1"/>
  <c r="AC450" i="173"/>
  <c r="AF403" i="176"/>
  <c r="AF74" i="176" s="1"/>
  <c r="AF75" i="176" s="1"/>
  <c r="AG373" i="176"/>
  <c r="AD473" i="176"/>
  <c r="AD86" i="176" s="1"/>
  <c r="AE443" i="176"/>
  <c r="E50" i="176"/>
  <c r="AK51" i="176"/>
  <c r="AD583" i="176" l="1"/>
  <c r="AD506" i="173"/>
  <c r="AB100" i="173"/>
  <c r="AC96" i="173" s="1"/>
  <c r="AE478" i="176"/>
  <c r="AD508" i="176"/>
  <c r="AD92" i="176" s="1"/>
  <c r="AD93" i="176" s="1"/>
  <c r="AC94" i="176"/>
  <c r="AD90" i="176" s="1"/>
  <c r="AG70" i="176"/>
  <c r="AH66" i="176" s="1"/>
  <c r="AB543" i="176"/>
  <c r="AB98" i="176" s="1"/>
  <c r="AC513" i="176"/>
  <c r="AG63" i="176"/>
  <c r="AH409" i="176"/>
  <c r="AG438" i="176"/>
  <c r="AG80" i="176" s="1"/>
  <c r="AG81" i="176" s="1"/>
  <c r="AH368" i="176"/>
  <c r="AH68" i="176" s="1"/>
  <c r="AH69" i="176" s="1"/>
  <c r="AI338" i="176"/>
  <c r="AE473" i="176"/>
  <c r="AE86" i="176" s="1"/>
  <c r="AF443" i="176"/>
  <c r="AD87" i="176"/>
  <c r="E56" i="173"/>
  <c r="AD417" i="173"/>
  <c r="AD86" i="173" s="1"/>
  <c r="AD478" i="173"/>
  <c r="AH333" i="176"/>
  <c r="AH62" i="176" s="1"/>
  <c r="AI303" i="176"/>
  <c r="AA99" i="176"/>
  <c r="AC87" i="173"/>
  <c r="AD88" i="176"/>
  <c r="AE84" i="176" s="1"/>
  <c r="AA100" i="176"/>
  <c r="AB96" i="176" s="1"/>
  <c r="AF82" i="176"/>
  <c r="AG78" i="176" s="1"/>
  <c r="AD548" i="176"/>
  <c r="AG403" i="176"/>
  <c r="AG74" i="176" s="1"/>
  <c r="AG75" i="176" s="1"/>
  <c r="AH373" i="176"/>
  <c r="AF76" i="176"/>
  <c r="AG72" i="176" s="1"/>
  <c r="AG64" i="176"/>
  <c r="AH60" i="176" s="1"/>
  <c r="AC473" i="173"/>
  <c r="AC98" i="173" s="1"/>
  <c r="AC99" i="173" s="1"/>
  <c r="AD450" i="173"/>
  <c r="AC88" i="173"/>
  <c r="AD84" i="173" s="1"/>
  <c r="AE583" i="176" l="1"/>
  <c r="AF583" i="176" s="1"/>
  <c r="AB100" i="176"/>
  <c r="AC96" i="176" s="1"/>
  <c r="AH70" i="176"/>
  <c r="AI66" i="176" s="1"/>
  <c r="AD94" i="176"/>
  <c r="AE90" i="176" s="1"/>
  <c r="AG82" i="176"/>
  <c r="AH78" i="176" s="1"/>
  <c r="AG76" i="176"/>
  <c r="AH72" i="176" s="1"/>
  <c r="AE508" i="176"/>
  <c r="AE92" i="176" s="1"/>
  <c r="AF478" i="176"/>
  <c r="AD88" i="173"/>
  <c r="AE88" i="176"/>
  <c r="AF84" i="176" s="1"/>
  <c r="AH64" i="176"/>
  <c r="AI60" i="176" s="1"/>
  <c r="E62" i="173"/>
  <c r="AE87" i="176"/>
  <c r="AH63" i="176"/>
  <c r="AC100" i="173"/>
  <c r="AD96" i="173" s="1"/>
  <c r="AD473" i="173"/>
  <c r="AD98" i="173" s="1"/>
  <c r="AD99" i="173" s="1"/>
  <c r="AI333" i="176"/>
  <c r="AI62" i="176" s="1"/>
  <c r="AJ303" i="176"/>
  <c r="AH403" i="176"/>
  <c r="AH74" i="176" s="1"/>
  <c r="AH75" i="176" s="1"/>
  <c r="AI373" i="176"/>
  <c r="AI409" i="176"/>
  <c r="AH438" i="176"/>
  <c r="AH80" i="176" s="1"/>
  <c r="AH81" i="176" s="1"/>
  <c r="AC543" i="176"/>
  <c r="AC98" i="176" s="1"/>
  <c r="AD513" i="176"/>
  <c r="AB99" i="176"/>
  <c r="E68" i="173"/>
  <c r="AF473" i="176"/>
  <c r="AF86" i="176" s="1"/>
  <c r="AG443" i="176"/>
  <c r="AI368" i="176"/>
  <c r="AI68" i="176" s="1"/>
  <c r="AI69" i="176" s="1"/>
  <c r="AJ338" i="176"/>
  <c r="AE548" i="176"/>
  <c r="AD87" i="173"/>
  <c r="AG583" i="176" l="1"/>
  <c r="AH583" i="176" s="1"/>
  <c r="AG478" i="176"/>
  <c r="AF508" i="176"/>
  <c r="AF92" i="176" s="1"/>
  <c r="AF93" i="176" s="1"/>
  <c r="AE93" i="176"/>
  <c r="AE94" i="176"/>
  <c r="AF90" i="176" s="1"/>
  <c r="AH76" i="176"/>
  <c r="AI72" i="176" s="1"/>
  <c r="AD100" i="173"/>
  <c r="AD543" i="176"/>
  <c r="AD98" i="176" s="1"/>
  <c r="AE513" i="176"/>
  <c r="AC99" i="176"/>
  <c r="AJ409" i="176"/>
  <c r="AI438" i="176"/>
  <c r="AI80" i="176" s="1"/>
  <c r="AI81" i="176" s="1"/>
  <c r="AG473" i="176"/>
  <c r="AG86" i="176" s="1"/>
  <c r="AH443" i="176"/>
  <c r="AI403" i="176"/>
  <c r="AI74" i="176" s="1"/>
  <c r="AI75" i="176" s="1"/>
  <c r="AJ373" i="176"/>
  <c r="AI70" i="176"/>
  <c r="AJ66" i="176" s="1"/>
  <c r="AF87" i="176"/>
  <c r="AF548" i="176"/>
  <c r="AJ368" i="176"/>
  <c r="AJ68" i="176" s="1"/>
  <c r="AJ69" i="176" s="1"/>
  <c r="AK338" i="176"/>
  <c r="AK368" i="176" s="1"/>
  <c r="AK68" i="176" s="1"/>
  <c r="AH82" i="176"/>
  <c r="AI78" i="176" s="1"/>
  <c r="AJ333" i="176"/>
  <c r="AJ62" i="176" s="1"/>
  <c r="AK303" i="176"/>
  <c r="AK333" i="176" s="1"/>
  <c r="AK62" i="176" s="1"/>
  <c r="AI63" i="176"/>
  <c r="AI64" i="176"/>
  <c r="AJ60" i="176" s="1"/>
  <c r="AF88" i="176"/>
  <c r="AG84" i="176" s="1"/>
  <c r="AC100" i="176"/>
  <c r="AD96" i="176" s="1"/>
  <c r="AI82" i="176" l="1"/>
  <c r="AJ78" i="176" s="1"/>
  <c r="AF94" i="176"/>
  <c r="AG90" i="176" s="1"/>
  <c r="AG508" i="176"/>
  <c r="AG92" i="176" s="1"/>
  <c r="AH478" i="176"/>
  <c r="AG88" i="176"/>
  <c r="AH84" i="176" s="1"/>
  <c r="AJ64" i="176"/>
  <c r="AK60" i="176" s="1"/>
  <c r="AK64" i="176" s="1"/>
  <c r="AI76" i="176"/>
  <c r="AJ72" i="176" s="1"/>
  <c r="AE543" i="176"/>
  <c r="AE98" i="176" s="1"/>
  <c r="AF513" i="176"/>
  <c r="AJ403" i="176"/>
  <c r="AJ74" i="176" s="1"/>
  <c r="AJ75" i="176" s="1"/>
  <c r="AK373" i="176"/>
  <c r="AK403" i="176" s="1"/>
  <c r="AK74" i="176" s="1"/>
  <c r="AD99" i="176"/>
  <c r="AD100" i="176"/>
  <c r="AE96" i="176" s="1"/>
  <c r="AK69" i="176"/>
  <c r="E68" i="176"/>
  <c r="AJ70" i="176"/>
  <c r="AK66" i="176" s="1"/>
  <c r="AK70" i="176" s="1"/>
  <c r="AG548" i="176"/>
  <c r="AG87" i="176"/>
  <c r="AK409" i="176"/>
  <c r="AK438" i="176" s="1"/>
  <c r="AK80" i="176" s="1"/>
  <c r="AJ438" i="176"/>
  <c r="AJ80" i="176" s="1"/>
  <c r="AJ81" i="176" s="1"/>
  <c r="E80" i="173"/>
  <c r="AI583" i="176"/>
  <c r="E92" i="173"/>
  <c r="AK63" i="176"/>
  <c r="E62" i="176"/>
  <c r="AH473" i="176"/>
  <c r="AH86" i="176" s="1"/>
  <c r="AI443" i="176"/>
  <c r="AJ63" i="176"/>
  <c r="AH88" i="176" l="1"/>
  <c r="AI84" i="176" s="1"/>
  <c r="AH508" i="176"/>
  <c r="AH92" i="176" s="1"/>
  <c r="AH93" i="176" s="1"/>
  <c r="AI478" i="176"/>
  <c r="AG93" i="176"/>
  <c r="AG94" i="176"/>
  <c r="AH90" i="176" s="1"/>
  <c r="AJ76" i="176"/>
  <c r="AK72" i="176" s="1"/>
  <c r="AK76" i="176" s="1"/>
  <c r="AE100" i="176"/>
  <c r="AF96" i="176" s="1"/>
  <c r="AH548" i="176"/>
  <c r="E74" i="173"/>
  <c r="E74" i="176"/>
  <c r="AK75" i="176"/>
  <c r="AJ82" i="176"/>
  <c r="AK78" i="176" s="1"/>
  <c r="AK82" i="176" s="1"/>
  <c r="AK81" i="176"/>
  <c r="E80" i="176"/>
  <c r="AI473" i="176"/>
  <c r="AI86" i="176" s="1"/>
  <c r="AJ443" i="176"/>
  <c r="AH87" i="176"/>
  <c r="AF543" i="176"/>
  <c r="AF98" i="176" s="1"/>
  <c r="AG513" i="176"/>
  <c r="AE99" i="176"/>
  <c r="AJ583" i="176"/>
  <c r="AF100" i="176" l="1"/>
  <c r="AG96" i="176" s="1"/>
  <c r="AH94" i="176"/>
  <c r="AI90" i="176" s="1"/>
  <c r="AJ478" i="176"/>
  <c r="AI508" i="176"/>
  <c r="AI92" i="176" s="1"/>
  <c r="AI93" i="176" s="1"/>
  <c r="AJ473" i="176"/>
  <c r="AJ86" i="176" s="1"/>
  <c r="AK443" i="176"/>
  <c r="AK473" i="176" s="1"/>
  <c r="AK86" i="176" s="1"/>
  <c r="AI548" i="176"/>
  <c r="AF99" i="176"/>
  <c r="AI87" i="176"/>
  <c r="AK583" i="176"/>
  <c r="AI88" i="176"/>
  <c r="AJ84" i="176" s="1"/>
  <c r="AG543" i="176"/>
  <c r="AG98" i="176" s="1"/>
  <c r="AH513" i="176"/>
  <c r="AG100" i="176" l="1"/>
  <c r="AH96" i="176" s="1"/>
  <c r="AJ88" i="176"/>
  <c r="AK84" i="176" s="1"/>
  <c r="AK88" i="176" s="1"/>
  <c r="AJ508" i="176"/>
  <c r="AJ92" i="176" s="1"/>
  <c r="AK478" i="176"/>
  <c r="AK508" i="176" s="1"/>
  <c r="AK92" i="176" s="1"/>
  <c r="AI94" i="176"/>
  <c r="AJ90" i="176" s="1"/>
  <c r="AJ548" i="176"/>
  <c r="AK87" i="176"/>
  <c r="E86" i="176"/>
  <c r="AJ87" i="176"/>
  <c r="AH543" i="176"/>
  <c r="AH98" i="176" s="1"/>
  <c r="AI513" i="176"/>
  <c r="AG99" i="176"/>
  <c r="AJ94" i="176" l="1"/>
  <c r="AK90" i="176" s="1"/>
  <c r="AK94" i="176" s="1"/>
  <c r="AJ93" i="176"/>
  <c r="E92" i="176"/>
  <c r="AK93" i="176"/>
  <c r="AI543" i="176"/>
  <c r="AI98" i="176" s="1"/>
  <c r="AJ513" i="176"/>
  <c r="AH99" i="176"/>
  <c r="AH100" i="176"/>
  <c r="AI96" i="176" s="1"/>
  <c r="E86" i="173"/>
  <c r="AK548" i="176"/>
  <c r="AI100" i="176" l="1"/>
  <c r="AJ96" i="176" s="1"/>
  <c r="E98" i="173"/>
  <c r="AJ543" i="176"/>
  <c r="AJ98" i="176" s="1"/>
  <c r="AK513" i="176"/>
  <c r="AK543" i="176" s="1"/>
  <c r="AK98" i="176" s="1"/>
  <c r="AI99" i="176"/>
  <c r="AJ99" i="176" l="1"/>
  <c r="AK99" i="176"/>
  <c r="E98" i="176"/>
  <c r="AJ100" i="176"/>
  <c r="AK96" i="176" s="1"/>
  <c r="AK100" i="176" s="1"/>
  <c r="G12" i="136" l="1"/>
  <c r="H12" i="136" l="1"/>
  <c r="J8" i="154" l="1"/>
  <c r="J20" i="154" l="1"/>
  <c r="P28" i="154" l="1"/>
  <c r="Q28" i="154"/>
  <c r="M28" i="154"/>
  <c r="L28" i="154"/>
  <c r="N28" i="154"/>
  <c r="O28" i="154"/>
  <c r="K28" i="154"/>
  <c r="J23" i="154"/>
  <c r="J19" i="154"/>
  <c r="E28" i="154" l="1"/>
  <c r="I12" i="136" l="1"/>
  <c r="I26" i="146" l="1"/>
  <c r="I41" i="146" s="1"/>
  <c r="J30" i="180" s="1"/>
  <c r="K8" i="154" l="1"/>
  <c r="K20" i="154" l="1"/>
  <c r="P29" i="154" l="1"/>
  <c r="Q29" i="154"/>
  <c r="N29" i="154"/>
  <c r="L29" i="154"/>
  <c r="R29" i="154"/>
  <c r="K23" i="154"/>
  <c r="M29" i="154"/>
  <c r="O29" i="154"/>
  <c r="K19" i="154"/>
  <c r="E29" i="154" l="1"/>
  <c r="L12" i="136" l="1"/>
  <c r="L26" i="136" s="1"/>
  <c r="L41" i="136" s="1"/>
  <c r="N8" i="154"/>
  <c r="M12" i="136"/>
  <c r="M26" i="146"/>
  <c r="M41" i="146" s="1"/>
  <c r="N30" i="180" s="1"/>
  <c r="O8" i="154"/>
  <c r="K12" i="136"/>
  <c r="K26" i="136" s="1"/>
  <c r="K41" i="136" s="1"/>
  <c r="J12" i="136"/>
  <c r="D16" i="153" l="1"/>
  <c r="M26" i="136"/>
  <c r="M41" i="136" s="1"/>
  <c r="L8" i="154"/>
  <c r="D12" i="136"/>
  <c r="J26" i="136"/>
  <c r="J41" i="136" s="1"/>
  <c r="K26" i="146"/>
  <c r="K41" i="146" s="1"/>
  <c r="L30" i="180" s="1"/>
  <c r="M8" i="154"/>
  <c r="O20" i="154"/>
  <c r="O19" i="154" s="1"/>
  <c r="J26" i="146"/>
  <c r="J41" i="146" s="1"/>
  <c r="K30" i="180" s="1"/>
  <c r="D12" i="146"/>
  <c r="M16" i="21" s="1"/>
  <c r="L79" i="21" s="1"/>
  <c r="L26" i="146"/>
  <c r="N20" i="154"/>
  <c r="N19" i="154" s="1"/>
  <c r="I16" i="153" l="1"/>
  <c r="L41" i="146"/>
  <c r="M30" i="180" s="1"/>
  <c r="D63" i="183"/>
  <c r="E63" i="183" s="1"/>
  <c r="E74" i="183" s="1"/>
  <c r="U32" i="154"/>
  <c r="O32" i="154"/>
  <c r="Q32" i="154"/>
  <c r="P32" i="154"/>
  <c r="R32" i="154"/>
  <c r="T32" i="154"/>
  <c r="N23" i="154"/>
  <c r="S32" i="154"/>
  <c r="O23" i="154"/>
  <c r="P33" i="154"/>
  <c r="Q33" i="154"/>
  <c r="V33" i="154"/>
  <c r="V24" i="154" s="1"/>
  <c r="R33" i="154"/>
  <c r="U33" i="154"/>
  <c r="T33" i="154"/>
  <c r="S33" i="154"/>
  <c r="M20" i="154"/>
  <c r="L20" i="154"/>
  <c r="I17" i="153" l="1"/>
  <c r="I18" i="153" s="1"/>
  <c r="J16" i="153"/>
  <c r="K16" i="153" s="1"/>
  <c r="K17" i="153" s="1"/>
  <c r="K18" i="153" s="1"/>
  <c r="D74" i="183"/>
  <c r="E79" i="183" s="1"/>
  <c r="U24" i="154"/>
  <c r="L19" i="154"/>
  <c r="S31" i="154"/>
  <c r="O31" i="154"/>
  <c r="Q31" i="154"/>
  <c r="T31" i="154"/>
  <c r="T24" i="154" s="1"/>
  <c r="M23" i="154"/>
  <c r="N31" i="154"/>
  <c r="P31" i="154"/>
  <c r="R31" i="154"/>
  <c r="E33" i="154"/>
  <c r="E32" i="154"/>
  <c r="M19" i="154"/>
  <c r="J17" i="153"/>
  <c r="J18" i="153" s="1"/>
  <c r="P30" i="154"/>
  <c r="R30" i="154"/>
  <c r="O30" i="154"/>
  <c r="S30" i="154"/>
  <c r="Q30" i="154"/>
  <c r="N30" i="154"/>
  <c r="M30" i="154"/>
  <c r="L23" i="154"/>
  <c r="I19" i="153" l="1"/>
  <c r="I77" i="145" s="1"/>
  <c r="I34" i="145" s="1"/>
  <c r="I76" i="145"/>
  <c r="E88" i="183"/>
  <c r="E85" i="183"/>
  <c r="E84" i="183"/>
  <c r="E87" i="183"/>
  <c r="E82" i="183"/>
  <c r="E86" i="183"/>
  <c r="E81" i="183"/>
  <c r="E80" i="183"/>
  <c r="E83" i="183"/>
  <c r="E78" i="183"/>
  <c r="L16" i="153"/>
  <c r="L17" i="153" s="1"/>
  <c r="L18" i="153" s="1"/>
  <c r="L76" i="145" s="1"/>
  <c r="R24" i="154"/>
  <c r="S24" i="154"/>
  <c r="K76" i="145"/>
  <c r="K33" i="145" s="1"/>
  <c r="K19" i="153"/>
  <c r="K77" i="145" s="1"/>
  <c r="K34" i="145" s="1"/>
  <c r="I33" i="145"/>
  <c r="I85" i="145"/>
  <c r="I83" i="137"/>
  <c r="I37" i="137" s="1"/>
  <c r="I31" i="153"/>
  <c r="E31" i="154"/>
  <c r="J19" i="153"/>
  <c r="J77" i="145" s="1"/>
  <c r="J76" i="145"/>
  <c r="I84" i="137"/>
  <c r="E30" i="154"/>
  <c r="L19" i="153" l="1"/>
  <c r="L77" i="145" s="1"/>
  <c r="M16" i="153"/>
  <c r="N16" i="153" s="1"/>
  <c r="N17" i="153" s="1"/>
  <c r="N18" i="153" s="1"/>
  <c r="N76" i="145" s="1"/>
  <c r="E89" i="183"/>
  <c r="K83" i="137"/>
  <c r="K37" i="137" s="1"/>
  <c r="K84" i="137"/>
  <c r="K38" i="137" s="1"/>
  <c r="K31" i="153"/>
  <c r="K85" i="145"/>
  <c r="K42" i="145" s="1"/>
  <c r="J31" i="153"/>
  <c r="N19" i="153"/>
  <c r="N77" i="145" s="1"/>
  <c r="J84" i="137"/>
  <c r="J38" i="137" s="1"/>
  <c r="J34" i="145"/>
  <c r="I38" i="137"/>
  <c r="I92" i="137"/>
  <c r="I46" i="137" s="1"/>
  <c r="M17" i="153"/>
  <c r="M18" i="153" s="1"/>
  <c r="I42" i="145"/>
  <c r="L33" i="145"/>
  <c r="L85" i="145"/>
  <c r="L83" i="137"/>
  <c r="O16" i="153"/>
  <c r="L34" i="145"/>
  <c r="L84" i="137"/>
  <c r="L38" i="137" s="1"/>
  <c r="L31" i="153"/>
  <c r="J33" i="145"/>
  <c r="J83" i="137"/>
  <c r="J85" i="145"/>
  <c r="K92" i="137" l="1"/>
  <c r="K46" i="137" s="1"/>
  <c r="N31" i="153"/>
  <c r="M76" i="145"/>
  <c r="M19" i="153"/>
  <c r="M77" i="145" s="1"/>
  <c r="J37" i="137"/>
  <c r="J92" i="137"/>
  <c r="J42" i="145"/>
  <c r="L42" i="145"/>
  <c r="N84" i="137"/>
  <c r="N38" i="137" s="1"/>
  <c r="N34" i="145"/>
  <c r="N83" i="137"/>
  <c r="N85" i="145"/>
  <c r="N33" i="145"/>
  <c r="O17" i="153"/>
  <c r="O18" i="153" s="1"/>
  <c r="P16" i="153"/>
  <c r="L37" i="137"/>
  <c r="L92" i="137"/>
  <c r="N42" i="145" l="1"/>
  <c r="N37" i="137"/>
  <c r="N92" i="137"/>
  <c r="P17" i="153"/>
  <c r="P18" i="153" s="1"/>
  <c r="Q16" i="153"/>
  <c r="R16" i="153" s="1"/>
  <c r="M33" i="145"/>
  <c r="M85" i="145"/>
  <c r="M83" i="137"/>
  <c r="O19" i="153"/>
  <c r="O77" i="145" s="1"/>
  <c r="O76" i="145"/>
  <c r="M31" i="153"/>
  <c r="J46" i="137"/>
  <c r="M84" i="137"/>
  <c r="M34" i="145"/>
  <c r="L46" i="137"/>
  <c r="O31" i="153" l="1"/>
  <c r="Q17" i="153"/>
  <c r="Q18" i="153" s="1"/>
  <c r="P19" i="153"/>
  <c r="P77" i="145" s="1"/>
  <c r="P76" i="145"/>
  <c r="N46" i="137"/>
  <c r="O33" i="145"/>
  <c r="O83" i="137"/>
  <c r="O85" i="145"/>
  <c r="M37" i="137"/>
  <c r="M92" i="137"/>
  <c r="M38" i="137"/>
  <c r="M42" i="145"/>
  <c r="R17" i="153"/>
  <c r="R18" i="153" s="1"/>
  <c r="S16" i="153"/>
  <c r="O84" i="137"/>
  <c r="O38" i="137" s="1"/>
  <c r="O34" i="145"/>
  <c r="O42" i="145" l="1"/>
  <c r="O37" i="137"/>
  <c r="O92" i="137"/>
  <c r="P34" i="145"/>
  <c r="P84" i="137"/>
  <c r="P85" i="145"/>
  <c r="P33" i="145"/>
  <c r="P83" i="137"/>
  <c r="S17" i="153"/>
  <c r="S18" i="153" s="1"/>
  <c r="T16" i="153"/>
  <c r="P31" i="153"/>
  <c r="Q19" i="153"/>
  <c r="Q77" i="145" s="1"/>
  <c r="Q76" i="145"/>
  <c r="M46" i="137"/>
  <c r="R19" i="153"/>
  <c r="R77" i="145" s="1"/>
  <c r="R76" i="145"/>
  <c r="Q31" i="153" l="1"/>
  <c r="O46" i="137"/>
  <c r="Q85" i="145"/>
  <c r="Q33" i="145"/>
  <c r="Q83" i="137"/>
  <c r="R31" i="153"/>
  <c r="T17" i="153"/>
  <c r="T18" i="153" s="1"/>
  <c r="U16" i="153"/>
  <c r="P38" i="137"/>
  <c r="R84" i="137"/>
  <c r="R38" i="137" s="1"/>
  <c r="R34" i="145"/>
  <c r="Q34" i="145"/>
  <c r="Q84" i="137"/>
  <c r="Q38" i="137" s="1"/>
  <c r="P37" i="137"/>
  <c r="P92" i="137"/>
  <c r="R33" i="145"/>
  <c r="R83" i="137"/>
  <c r="R85" i="145"/>
  <c r="S19" i="153"/>
  <c r="S77" i="145" s="1"/>
  <c r="S76" i="145"/>
  <c r="P42" i="145"/>
  <c r="S31" i="153" l="1"/>
  <c r="Q42" i="145"/>
  <c r="T76" i="145"/>
  <c r="T19" i="153"/>
  <c r="T77" i="145" s="1"/>
  <c r="S84" i="137"/>
  <c r="S38" i="137" s="1"/>
  <c r="S34" i="145"/>
  <c r="P46" i="137"/>
  <c r="U17" i="153"/>
  <c r="U18" i="153" s="1"/>
  <c r="V16" i="153"/>
  <c r="S33" i="145"/>
  <c r="S85" i="145"/>
  <c r="S83" i="137"/>
  <c r="R42" i="145"/>
  <c r="R37" i="137"/>
  <c r="R92" i="137"/>
  <c r="Q37" i="137"/>
  <c r="Q92" i="137"/>
  <c r="R46" i="137" l="1"/>
  <c r="Q46" i="137"/>
  <c r="T84" i="137"/>
  <c r="T34" i="145"/>
  <c r="S37" i="137"/>
  <c r="S92" i="137"/>
  <c r="S42" i="145"/>
  <c r="T85" i="145"/>
  <c r="T83" i="137"/>
  <c r="T33" i="145"/>
  <c r="V17" i="153"/>
  <c r="V18" i="153" s="1"/>
  <c r="W16" i="153"/>
  <c r="U19" i="153"/>
  <c r="U77" i="145" s="1"/>
  <c r="U76" i="145"/>
  <c r="T31" i="153"/>
  <c r="U31" i="153" l="1"/>
  <c r="T42" i="145"/>
  <c r="T37" i="137"/>
  <c r="T92" i="137"/>
  <c r="U34" i="145"/>
  <c r="U84" i="137"/>
  <c r="U38" i="137" s="1"/>
  <c r="V19" i="153"/>
  <c r="V77" i="145" s="1"/>
  <c r="V76" i="145"/>
  <c r="S46" i="137"/>
  <c r="W17" i="153"/>
  <c r="W18" i="153" s="1"/>
  <c r="X16" i="153"/>
  <c r="T38" i="137"/>
  <c r="U85" i="145"/>
  <c r="U33" i="145"/>
  <c r="U83" i="137"/>
  <c r="V31" i="153" l="1"/>
  <c r="U42" i="145"/>
  <c r="V85" i="145"/>
  <c r="V83" i="137"/>
  <c r="V33" i="145"/>
  <c r="V34" i="145"/>
  <c r="V84" i="137"/>
  <c r="V38" i="137" s="1"/>
  <c r="T46" i="137"/>
  <c r="X17" i="153"/>
  <c r="X18" i="153" s="1"/>
  <c r="Y16" i="153"/>
  <c r="U37" i="137"/>
  <c r="U92" i="137"/>
  <c r="W19" i="153"/>
  <c r="W77" i="145" s="1"/>
  <c r="W76" i="145"/>
  <c r="W31" i="153" l="1"/>
  <c r="W84" i="137"/>
  <c r="W38" i="137" s="1"/>
  <c r="W34" i="145"/>
  <c r="U46" i="137"/>
  <c r="Y17" i="153"/>
  <c r="Y18" i="153" s="1"/>
  <c r="Z16" i="153"/>
  <c r="V37" i="137"/>
  <c r="V92" i="137"/>
  <c r="W33" i="145"/>
  <c r="W83" i="137"/>
  <c r="W85" i="145"/>
  <c r="X19" i="153"/>
  <c r="X77" i="145" s="1"/>
  <c r="X76" i="145"/>
  <c r="V42" i="145"/>
  <c r="Z17" i="153" l="1"/>
  <c r="Z18" i="153" s="1"/>
  <c r="AA16" i="153"/>
  <c r="V46" i="137"/>
  <c r="Y19" i="153"/>
  <c r="Y77" i="145" s="1"/>
  <c r="Y76" i="145"/>
  <c r="X84" i="137"/>
  <c r="X38" i="137" s="1"/>
  <c r="X34" i="145"/>
  <c r="X31" i="153"/>
  <c r="W92" i="137"/>
  <c r="W37" i="137"/>
  <c r="X85" i="145"/>
  <c r="X83" i="137"/>
  <c r="X33" i="145"/>
  <c r="W42" i="145"/>
  <c r="Y84" i="137" l="1"/>
  <c r="Y38" i="137" s="1"/>
  <c r="Y34" i="145"/>
  <c r="Y85" i="145"/>
  <c r="Y83" i="137"/>
  <c r="Y33" i="145"/>
  <c r="Y31" i="153"/>
  <c r="W46" i="137"/>
  <c r="AA17" i="153"/>
  <c r="AA18" i="153" s="1"/>
  <c r="Z19" i="153"/>
  <c r="Z77" i="145" s="1"/>
  <c r="Z76" i="145"/>
  <c r="X42" i="145"/>
  <c r="X37" i="137"/>
  <c r="X92" i="137"/>
  <c r="Z31" i="153" l="1"/>
  <c r="Y42" i="145"/>
  <c r="Z83" i="137"/>
  <c r="Z85" i="145"/>
  <c r="Z33" i="145"/>
  <c r="Z34" i="145"/>
  <c r="Z84" i="137"/>
  <c r="Z38" i="137" s="1"/>
  <c r="AA76" i="145"/>
  <c r="AA19" i="153"/>
  <c r="AA77" i="145" s="1"/>
  <c r="X46" i="137"/>
  <c r="Y37" i="137"/>
  <c r="Y92" i="137"/>
  <c r="AA31" i="153" l="1"/>
  <c r="AA34" i="145"/>
  <c r="AA84" i="137"/>
  <c r="AA38" i="137" s="1"/>
  <c r="Y46" i="137"/>
  <c r="AA83" i="137"/>
  <c r="AA85" i="145"/>
  <c r="AA33" i="145"/>
  <c r="Z92" i="137"/>
  <c r="Z37" i="137"/>
  <c r="Z42" i="145"/>
  <c r="AA42" i="145" l="1"/>
  <c r="Z46" i="137"/>
  <c r="AA37" i="137"/>
  <c r="AA92" i="137"/>
  <c r="AA46" i="137" l="1"/>
  <c r="D34" i="145" l="1"/>
  <c r="D76" i="145"/>
  <c r="D33" i="145"/>
  <c r="D77" i="145" l="1"/>
  <c r="D37" i="137" l="1"/>
  <c r="S23" i="21" s="1"/>
  <c r="L122" i="21" s="1"/>
  <c r="D83" i="137"/>
  <c r="D38" i="137"/>
  <c r="S24" i="21" s="1"/>
  <c r="L123" i="21" s="1"/>
  <c r="D84" i="137"/>
  <c r="D42" i="145"/>
  <c r="D85" i="145"/>
  <c r="S32" i="21" l="1"/>
  <c r="D46" i="137"/>
  <c r="D92" i="137"/>
  <c r="L111" i="21" l="1"/>
  <c r="U67" i="21" s="1"/>
  <c r="E65" i="161"/>
  <c r="E76" i="167" l="1"/>
  <c r="G79" i="167"/>
  <c r="E79" i="167" s="1"/>
  <c r="G80" i="167" l="1"/>
  <c r="G81" i="167" s="1"/>
  <c r="H80" i="167"/>
  <c r="H81" i="167" s="1"/>
  <c r="H82" i="167" s="1"/>
  <c r="G82" i="167"/>
  <c r="E80" i="167"/>
  <c r="J21" i="173" l="1"/>
  <c r="G24" i="146"/>
  <c r="D23" i="146"/>
  <c r="M27" i="21" s="1"/>
  <c r="L97" i="21" s="1"/>
  <c r="E81" i="167"/>
  <c r="E82" i="167"/>
  <c r="J22" i="173" l="1"/>
  <c r="J23" i="173" s="1"/>
  <c r="D24" i="146"/>
  <c r="M28" i="21" s="1"/>
  <c r="L85" i="21" s="1"/>
  <c r="J103" i="173"/>
  <c r="E21" i="173"/>
  <c r="G23" i="136"/>
  <c r="D23" i="136" s="1"/>
  <c r="D17" i="149"/>
  <c r="J21" i="176"/>
  <c r="J181" i="173" l="1"/>
  <c r="E103" i="173"/>
  <c r="E480" i="173"/>
  <c r="J109" i="173"/>
  <c r="E22" i="173"/>
  <c r="J35" i="173"/>
  <c r="I6" i="154"/>
  <c r="E23" i="173"/>
  <c r="I75" i="137"/>
  <c r="I80" i="137" s="1"/>
  <c r="U75" i="137"/>
  <c r="U80" i="137" s="1"/>
  <c r="J103" i="176"/>
  <c r="E21" i="176"/>
  <c r="P75" i="137"/>
  <c r="P80" i="137" s="1"/>
  <c r="T75" i="137"/>
  <c r="T80" i="137" s="1"/>
  <c r="AA75" i="137"/>
  <c r="AA80" i="137" s="1"/>
  <c r="X75" i="137"/>
  <c r="X80" i="137" s="1"/>
  <c r="Y75" i="137"/>
  <c r="Y80" i="137" s="1"/>
  <c r="V75" i="137"/>
  <c r="V80" i="137" s="1"/>
  <c r="R75" i="137"/>
  <c r="R80" i="137" s="1"/>
  <c r="M75" i="137"/>
  <c r="M80" i="137" s="1"/>
  <c r="K75" i="137"/>
  <c r="K80" i="137" s="1"/>
  <c r="J22" i="176"/>
  <c r="G24" i="136"/>
  <c r="D24" i="136" s="1"/>
  <c r="D18" i="149"/>
  <c r="S75" i="137"/>
  <c r="S80" i="137" s="1"/>
  <c r="Z75" i="137"/>
  <c r="Z80" i="137" s="1"/>
  <c r="W75" i="137"/>
  <c r="W80" i="137" s="1"/>
  <c r="J75" i="137"/>
  <c r="J80" i="137" s="1"/>
  <c r="L75" i="137"/>
  <c r="L80" i="137" s="1"/>
  <c r="Q75" i="137"/>
  <c r="Q80" i="137" s="1"/>
  <c r="N75" i="137"/>
  <c r="N80" i="137" s="1"/>
  <c r="O75" i="137"/>
  <c r="O80" i="137" s="1"/>
  <c r="E35" i="173" l="1"/>
  <c r="H10" i="180"/>
  <c r="J187" i="173"/>
  <c r="E109" i="173"/>
  <c r="F114" i="173" s="1"/>
  <c r="E508" i="173"/>
  <c r="F480" i="173"/>
  <c r="E501" i="173"/>
  <c r="I8" i="154"/>
  <c r="E6" i="154"/>
  <c r="E181" i="173"/>
  <c r="J182" i="173"/>
  <c r="J184" i="173" s="1"/>
  <c r="K180" i="173" s="1"/>
  <c r="X25" i="145"/>
  <c r="X73" i="145"/>
  <c r="J109" i="176"/>
  <c r="E22" i="176"/>
  <c r="O25" i="145"/>
  <c r="O73" i="145"/>
  <c r="P25" i="145"/>
  <c r="P73" i="145"/>
  <c r="P74" i="145" s="1"/>
  <c r="J23" i="176"/>
  <c r="T25" i="145"/>
  <c r="T73" i="145"/>
  <c r="T74" i="145" s="1"/>
  <c r="U25" i="145"/>
  <c r="U73" i="145"/>
  <c r="Z25" i="145"/>
  <c r="Z73" i="145"/>
  <c r="Z74" i="145" s="1"/>
  <c r="S25" i="145"/>
  <c r="S73" i="145"/>
  <c r="S74" i="145" s="1"/>
  <c r="M25" i="145"/>
  <c r="M73" i="145"/>
  <c r="M74" i="145" s="1"/>
  <c r="Q25" i="145"/>
  <c r="Q73" i="145"/>
  <c r="Q74" i="145" s="1"/>
  <c r="I73" i="145"/>
  <c r="I25" i="145"/>
  <c r="D68" i="145"/>
  <c r="L25" i="145"/>
  <c r="L73" i="145"/>
  <c r="J25" i="145"/>
  <c r="J73" i="145"/>
  <c r="J74" i="145" s="1"/>
  <c r="K25" i="145"/>
  <c r="K73" i="145"/>
  <c r="N25" i="145"/>
  <c r="N73" i="145"/>
  <c r="N74" i="145" s="1"/>
  <c r="R25" i="145"/>
  <c r="R73" i="145"/>
  <c r="R74" i="145" s="1"/>
  <c r="AA25" i="145"/>
  <c r="AA73" i="145"/>
  <c r="AA74" i="145" s="1"/>
  <c r="J181" i="176"/>
  <c r="E103" i="176"/>
  <c r="E550" i="176"/>
  <c r="V25" i="145"/>
  <c r="V73" i="145"/>
  <c r="Y25" i="145"/>
  <c r="Y73" i="145"/>
  <c r="Y74" i="145" s="1"/>
  <c r="W25" i="145"/>
  <c r="W73" i="145"/>
  <c r="W74" i="145" s="1"/>
  <c r="G114" i="173" l="1"/>
  <c r="K182" i="173"/>
  <c r="K184" i="173" s="1"/>
  <c r="L180" i="173" s="1"/>
  <c r="H480" i="173"/>
  <c r="F501" i="173"/>
  <c r="F508" i="173"/>
  <c r="E529" i="173"/>
  <c r="J183" i="173"/>
  <c r="E187" i="173"/>
  <c r="F192" i="173" s="1"/>
  <c r="G192" i="173" s="1"/>
  <c r="J188" i="173"/>
  <c r="J190" i="173" s="1"/>
  <c r="K186" i="173" s="1"/>
  <c r="I20" i="154"/>
  <c r="E8" i="154"/>
  <c r="D25" i="145"/>
  <c r="F550" i="176"/>
  <c r="F578" i="176" s="1"/>
  <c r="E578" i="176"/>
  <c r="K29" i="137"/>
  <c r="Q29" i="137"/>
  <c r="J34" i="137"/>
  <c r="J30" i="145"/>
  <c r="T29" i="137"/>
  <c r="AA30" i="145"/>
  <c r="AA34" i="137"/>
  <c r="P31" i="145"/>
  <c r="P50" i="145" s="1"/>
  <c r="P51" i="145" s="1"/>
  <c r="P92" i="145"/>
  <c r="P30" i="145"/>
  <c r="P34" i="137"/>
  <c r="O34" i="137"/>
  <c r="O30" i="145"/>
  <c r="R31" i="145"/>
  <c r="R50" i="145" s="1"/>
  <c r="R51" i="145" s="1"/>
  <c r="R92" i="145"/>
  <c r="Y30" i="145"/>
  <c r="Y34" i="137"/>
  <c r="K34" i="137"/>
  <c r="K30" i="145"/>
  <c r="J31" i="145"/>
  <c r="J50" i="145" s="1"/>
  <c r="J51" i="145" s="1"/>
  <c r="J92" i="145"/>
  <c r="J35" i="176"/>
  <c r="E35" i="176" s="1"/>
  <c r="I6" i="167"/>
  <c r="E23" i="176"/>
  <c r="P29" i="137"/>
  <c r="L30" i="145"/>
  <c r="L34" i="137"/>
  <c r="R30" i="145"/>
  <c r="R34" i="137"/>
  <c r="T31" i="145"/>
  <c r="T50" i="145" s="1"/>
  <c r="T51" i="145" s="1"/>
  <c r="T92" i="145"/>
  <c r="W29" i="137"/>
  <c r="Y29" i="137"/>
  <c r="S31" i="145"/>
  <c r="S50" i="145" s="1"/>
  <c r="S51" i="145" s="1"/>
  <c r="S92" i="145"/>
  <c r="J187" i="176"/>
  <c r="E109" i="176"/>
  <c r="F114" i="176" s="1"/>
  <c r="E585" i="176"/>
  <c r="I74" i="145"/>
  <c r="I92" i="145" s="1"/>
  <c r="I30" i="145"/>
  <c r="I81" i="137"/>
  <c r="D73" i="145"/>
  <c r="Q34" i="137"/>
  <c r="Q30" i="145"/>
  <c r="AA31" i="145"/>
  <c r="AA50" i="145" s="1"/>
  <c r="AA51" i="145" s="1"/>
  <c r="AA92" i="145"/>
  <c r="M34" i="137"/>
  <c r="M30" i="145"/>
  <c r="L29" i="137"/>
  <c r="N31" i="145"/>
  <c r="N50" i="145" s="1"/>
  <c r="N51" i="145" s="1"/>
  <c r="N92" i="145"/>
  <c r="N34" i="137"/>
  <c r="N30" i="145"/>
  <c r="X30" i="145"/>
  <c r="X34" i="137"/>
  <c r="E181" i="176"/>
  <c r="J182" i="176"/>
  <c r="J184" i="176" s="1"/>
  <c r="K180" i="176" s="1"/>
  <c r="T30" i="145"/>
  <c r="T34" i="137"/>
  <c r="J29" i="137"/>
  <c r="W31" i="145"/>
  <c r="W50" i="145" s="1"/>
  <c r="W51" i="145" s="1"/>
  <c r="W92" i="145"/>
  <c r="Y31" i="145"/>
  <c r="Y50" i="145" s="1"/>
  <c r="Y51" i="145" s="1"/>
  <c r="Y92" i="145"/>
  <c r="S34" i="137"/>
  <c r="S30" i="145"/>
  <c r="L74" i="145"/>
  <c r="S29" i="137"/>
  <c r="Z30" i="145"/>
  <c r="Z34" i="137"/>
  <c r="N29" i="137"/>
  <c r="X74" i="145"/>
  <c r="U34" i="137"/>
  <c r="U30" i="145"/>
  <c r="Q31" i="145"/>
  <c r="Q50" i="145" s="1"/>
  <c r="Q51" i="145" s="1"/>
  <c r="Q92" i="145"/>
  <c r="M29" i="137"/>
  <c r="W34" i="137"/>
  <c r="W30" i="145"/>
  <c r="O74" i="145"/>
  <c r="R29" i="137"/>
  <c r="V30" i="145"/>
  <c r="V34" i="137"/>
  <c r="Z31" i="145"/>
  <c r="Z50" i="145" s="1"/>
  <c r="Z51" i="145" s="1"/>
  <c r="Z92" i="145"/>
  <c r="V74" i="145"/>
  <c r="V29" i="137"/>
  <c r="Z29" i="137"/>
  <c r="X29" i="137"/>
  <c r="U29" i="137"/>
  <c r="M31" i="145"/>
  <c r="M50" i="145" s="1"/>
  <c r="M51" i="145" s="1"/>
  <c r="M92" i="145"/>
  <c r="AA29" i="137"/>
  <c r="O29" i="137"/>
  <c r="K74" i="145"/>
  <c r="I29" i="137"/>
  <c r="D75" i="137"/>
  <c r="U74" i="145"/>
  <c r="I35" i="137" l="1"/>
  <c r="K183" i="173"/>
  <c r="J189" i="173"/>
  <c r="J192" i="173"/>
  <c r="H508" i="173"/>
  <c r="F529" i="173"/>
  <c r="Q27" i="154"/>
  <c r="Q24" i="154" s="1"/>
  <c r="P27" i="154"/>
  <c r="P24" i="154" s="1"/>
  <c r="M27" i="154"/>
  <c r="M24" i="154" s="1"/>
  <c r="O27" i="154"/>
  <c r="O24" i="154" s="1"/>
  <c r="K27" i="154"/>
  <c r="L27" i="154"/>
  <c r="L24" i="154" s="1"/>
  <c r="N27" i="154"/>
  <c r="N24" i="154" s="1"/>
  <c r="I23" i="154"/>
  <c r="E20" i="154"/>
  <c r="E13" i="154" s="1"/>
  <c r="E84" i="154" s="1"/>
  <c r="I19" i="154"/>
  <c r="E19" i="154" s="1"/>
  <c r="K188" i="173"/>
  <c r="K190" i="173" s="1"/>
  <c r="L186" i="173" s="1"/>
  <c r="H501" i="173"/>
  <c r="H104" i="173" s="1"/>
  <c r="J480" i="173"/>
  <c r="J501" i="173" s="1"/>
  <c r="J104" i="173" s="1"/>
  <c r="L182" i="173"/>
  <c r="L184" i="173" s="1"/>
  <c r="M180" i="173" s="1"/>
  <c r="J550" i="176"/>
  <c r="V81" i="137"/>
  <c r="G114" i="176"/>
  <c r="L81" i="137"/>
  <c r="L100" i="137" s="1"/>
  <c r="Q81" i="137"/>
  <c r="S81" i="137"/>
  <c r="M81" i="137"/>
  <c r="O81" i="137"/>
  <c r="Y81" i="137"/>
  <c r="P81" i="137"/>
  <c r="T81" i="137"/>
  <c r="U81" i="137"/>
  <c r="AA81" i="137"/>
  <c r="Z81" i="137"/>
  <c r="K81" i="137"/>
  <c r="N81" i="137"/>
  <c r="X81" i="137"/>
  <c r="I34" i="137"/>
  <c r="D34" i="137" s="1"/>
  <c r="S20" i="21" s="1"/>
  <c r="L120" i="21" s="1"/>
  <c r="L110" i="21" s="1"/>
  <c r="Q67" i="21" s="1"/>
  <c r="D80" i="137"/>
  <c r="D81" i="137" s="1"/>
  <c r="L31" i="145"/>
  <c r="L50" i="145" s="1"/>
  <c r="L51" i="145" s="1"/>
  <c r="L92" i="145"/>
  <c r="O31" i="145"/>
  <c r="O50" i="145" s="1"/>
  <c r="O51" i="145" s="1"/>
  <c r="O92" i="145"/>
  <c r="X31" i="145"/>
  <c r="X50" i="145" s="1"/>
  <c r="X51" i="145" s="1"/>
  <c r="X92" i="145"/>
  <c r="U31" i="145"/>
  <c r="U50" i="145" s="1"/>
  <c r="U51" i="145" s="1"/>
  <c r="U92" i="145"/>
  <c r="V31" i="145"/>
  <c r="V50" i="145" s="1"/>
  <c r="V51" i="145" s="1"/>
  <c r="V92" i="145"/>
  <c r="D29" i="137"/>
  <c r="I31" i="145"/>
  <c r="D74" i="145"/>
  <c r="K31" i="145"/>
  <c r="K50" i="145" s="1"/>
  <c r="K51" i="145" s="1"/>
  <c r="K92" i="145"/>
  <c r="F585" i="176"/>
  <c r="E613" i="176"/>
  <c r="D30" i="145"/>
  <c r="K182" i="176"/>
  <c r="K184" i="176" s="1"/>
  <c r="L180" i="176" s="1"/>
  <c r="I8" i="167"/>
  <c r="E6" i="167"/>
  <c r="W81" i="137"/>
  <c r="J81" i="137"/>
  <c r="R81" i="137"/>
  <c r="J183" i="176"/>
  <c r="E187" i="176"/>
  <c r="F192" i="176" s="1"/>
  <c r="G192" i="176" s="1"/>
  <c r="J188" i="176"/>
  <c r="D19" i="183" l="1"/>
  <c r="S15" i="21"/>
  <c r="S21" i="21" s="1"/>
  <c r="S35" i="137"/>
  <c r="L35" i="137"/>
  <c r="V35" i="137"/>
  <c r="J35" i="137"/>
  <c r="M35" i="137"/>
  <c r="AA35" i="137"/>
  <c r="Q35" i="137"/>
  <c r="W35" i="137"/>
  <c r="T35" i="137"/>
  <c r="Z35" i="137"/>
  <c r="P35" i="137"/>
  <c r="Y35" i="137"/>
  <c r="R35" i="137"/>
  <c r="X35" i="137"/>
  <c r="N35" i="137"/>
  <c r="K35" i="137"/>
  <c r="U35" i="137"/>
  <c r="O35" i="137"/>
  <c r="K192" i="173"/>
  <c r="K480" i="173"/>
  <c r="K501" i="173" s="1"/>
  <c r="K104" i="173" s="1"/>
  <c r="K105" i="173" s="1"/>
  <c r="M182" i="173"/>
  <c r="M184" i="173" s="1"/>
  <c r="N180" i="173" s="1"/>
  <c r="G84" i="154"/>
  <c r="E85" i="154"/>
  <c r="G85" i="154" s="1"/>
  <c r="H85" i="154" s="1"/>
  <c r="I85" i="154" s="1"/>
  <c r="J85" i="154" s="1"/>
  <c r="K85" i="154" s="1"/>
  <c r="L85" i="154" s="1"/>
  <c r="M85" i="154" s="1"/>
  <c r="N85" i="154" s="1"/>
  <c r="O85" i="154" s="1"/>
  <c r="P85" i="154" s="1"/>
  <c r="Q85" i="154" s="1"/>
  <c r="R85" i="154" s="1"/>
  <c r="S85" i="154" s="1"/>
  <c r="T85" i="154" s="1"/>
  <c r="U85" i="154" s="1"/>
  <c r="V85" i="154" s="1"/>
  <c r="W85" i="154" s="1"/>
  <c r="X85" i="154" s="1"/>
  <c r="Y85" i="154" s="1"/>
  <c r="Z85" i="154" s="1"/>
  <c r="AA85" i="154" s="1"/>
  <c r="AB85" i="154" s="1"/>
  <c r="AC85" i="154" s="1"/>
  <c r="I61" i="154"/>
  <c r="E23" i="154"/>
  <c r="J105" i="173"/>
  <c r="L188" i="173"/>
  <c r="L189" i="173" s="1"/>
  <c r="F20" i="154"/>
  <c r="E14" i="154"/>
  <c r="E27" i="154"/>
  <c r="K24" i="154"/>
  <c r="H106" i="173"/>
  <c r="I102" i="173" s="1"/>
  <c r="I106" i="173" s="1"/>
  <c r="J102" i="173" s="1"/>
  <c r="J106" i="173" s="1"/>
  <c r="K102" i="173" s="1"/>
  <c r="H105" i="173"/>
  <c r="I105" i="173"/>
  <c r="H529" i="173"/>
  <c r="H110" i="173" s="1"/>
  <c r="J508" i="173"/>
  <c r="J529" i="173" s="1"/>
  <c r="J110" i="173" s="1"/>
  <c r="K189" i="173"/>
  <c r="L183" i="173"/>
  <c r="J578" i="176"/>
  <c r="J104" i="176" s="1"/>
  <c r="K550" i="176"/>
  <c r="L182" i="176"/>
  <c r="L184" i="176" s="1"/>
  <c r="M180" i="176" s="1"/>
  <c r="D92" i="145"/>
  <c r="G19" i="183"/>
  <c r="F20" i="183" s="1"/>
  <c r="D52" i="183"/>
  <c r="J189" i="176"/>
  <c r="J192" i="176"/>
  <c r="I20" i="167"/>
  <c r="E8" i="167"/>
  <c r="K183" i="176"/>
  <c r="D31" i="145"/>
  <c r="D50" i="145" s="1"/>
  <c r="D51" i="145" s="1"/>
  <c r="I50" i="145"/>
  <c r="I51" i="145" s="1"/>
  <c r="H585" i="176"/>
  <c r="F613" i="176"/>
  <c r="J190" i="176"/>
  <c r="K186" i="176" s="1"/>
  <c r="D35" i="137" l="1"/>
  <c r="M183" i="173"/>
  <c r="L480" i="173"/>
  <c r="L501" i="173" s="1"/>
  <c r="L104" i="173" s="1"/>
  <c r="J114" i="173"/>
  <c r="H9" i="179" s="1"/>
  <c r="E24" i="154"/>
  <c r="L190" i="173"/>
  <c r="M186" i="173" s="1"/>
  <c r="M188" i="173" s="1"/>
  <c r="M189" i="173" s="1"/>
  <c r="I62" i="154"/>
  <c r="I63" i="154" s="1"/>
  <c r="J22" i="154" s="1"/>
  <c r="L192" i="173"/>
  <c r="H84" i="154"/>
  <c r="G88" i="154"/>
  <c r="K508" i="173"/>
  <c r="H114" i="173"/>
  <c r="H112" i="173"/>
  <c r="I108" i="173" s="1"/>
  <c r="I112" i="173" s="1"/>
  <c r="J108" i="173" s="1"/>
  <c r="J112" i="173" s="1"/>
  <c r="K108" i="173" s="1"/>
  <c r="I111" i="173"/>
  <c r="H111" i="173"/>
  <c r="J111" i="173"/>
  <c r="K106" i="173"/>
  <c r="L102" i="173" s="1"/>
  <c r="N182" i="173"/>
  <c r="L183" i="176"/>
  <c r="K578" i="176"/>
  <c r="K104" i="176" s="1"/>
  <c r="K105" i="176" s="1"/>
  <c r="L550" i="176"/>
  <c r="L578" i="176" s="1"/>
  <c r="L104" i="176" s="1"/>
  <c r="J106" i="176"/>
  <c r="K102" i="176" s="1"/>
  <c r="J105" i="176"/>
  <c r="M182" i="176"/>
  <c r="M184" i="176" s="1"/>
  <c r="N180" i="176" s="1"/>
  <c r="I19" i="167"/>
  <c r="E19" i="167" s="1"/>
  <c r="E14" i="167" s="1"/>
  <c r="K27" i="167"/>
  <c r="P27" i="167"/>
  <c r="P24" i="167" s="1"/>
  <c r="M27" i="167"/>
  <c r="M24" i="167" s="1"/>
  <c r="N27" i="167"/>
  <c r="N24" i="167" s="1"/>
  <c r="Q27" i="167"/>
  <c r="Q24" i="167" s="1"/>
  <c r="O27" i="167"/>
  <c r="O24" i="167" s="1"/>
  <c r="I23" i="167"/>
  <c r="L27" i="167"/>
  <c r="L24" i="167" s="1"/>
  <c r="E20" i="167"/>
  <c r="E13" i="167" s="1"/>
  <c r="E84" i="167" s="1"/>
  <c r="H613" i="176"/>
  <c r="H110" i="176" s="1"/>
  <c r="J585" i="176"/>
  <c r="J613" i="176" s="1"/>
  <c r="J110" i="176" s="1"/>
  <c r="K188" i="176"/>
  <c r="M480" i="173" l="1"/>
  <c r="N480" i="173" s="1"/>
  <c r="N501" i="173" s="1"/>
  <c r="N104" i="173" s="1"/>
  <c r="M192" i="173"/>
  <c r="I26" i="178"/>
  <c r="H88" i="154"/>
  <c r="I84" i="154"/>
  <c r="L105" i="173"/>
  <c r="N183" i="173"/>
  <c r="L106" i="173"/>
  <c r="M102" i="173" s="1"/>
  <c r="F9" i="179"/>
  <c r="G26" i="178"/>
  <c r="H89" i="154"/>
  <c r="G33" i="180" s="1"/>
  <c r="F26" i="180"/>
  <c r="G90" i="154"/>
  <c r="N184" i="173"/>
  <c r="O180" i="173" s="1"/>
  <c r="K529" i="173"/>
  <c r="K110" i="173" s="1"/>
  <c r="L508" i="173"/>
  <c r="L529" i="173" s="1"/>
  <c r="L110" i="173" s="1"/>
  <c r="M190" i="173"/>
  <c r="N186" i="173" s="1"/>
  <c r="J61" i="154"/>
  <c r="L105" i="176"/>
  <c r="M550" i="176"/>
  <c r="N550" i="176" s="1"/>
  <c r="N578" i="176" s="1"/>
  <c r="N104" i="176" s="1"/>
  <c r="K106" i="176"/>
  <c r="L102" i="176" s="1"/>
  <c r="L106" i="176" s="1"/>
  <c r="M102" i="176" s="1"/>
  <c r="N182" i="176"/>
  <c r="N184" i="176" s="1"/>
  <c r="O180" i="176" s="1"/>
  <c r="H111" i="176"/>
  <c r="H112" i="176"/>
  <c r="I111" i="176"/>
  <c r="H114" i="176"/>
  <c r="J111" i="176"/>
  <c r="G84" i="167"/>
  <c r="E85" i="167"/>
  <c r="G85" i="167" s="1"/>
  <c r="H85" i="167" s="1"/>
  <c r="I85" i="167" s="1"/>
  <c r="J85" i="167" s="1"/>
  <c r="K85" i="167" s="1"/>
  <c r="L85" i="167" s="1"/>
  <c r="M85" i="167" s="1"/>
  <c r="N85" i="167" s="1"/>
  <c r="O85" i="167" s="1"/>
  <c r="P85" i="167" s="1"/>
  <c r="Q85" i="167" s="1"/>
  <c r="R85" i="167" s="1"/>
  <c r="S85" i="167" s="1"/>
  <c r="T85" i="167" s="1"/>
  <c r="U85" i="167" s="1"/>
  <c r="V85" i="167" s="1"/>
  <c r="W85" i="167" s="1"/>
  <c r="X85" i="167" s="1"/>
  <c r="Y85" i="167" s="1"/>
  <c r="Z85" i="167" s="1"/>
  <c r="AA85" i="167" s="1"/>
  <c r="AB85" i="167" s="1"/>
  <c r="AC85" i="167" s="1"/>
  <c r="AD85" i="167" s="1"/>
  <c r="AE85" i="167" s="1"/>
  <c r="AF85" i="167" s="1"/>
  <c r="AG85" i="167" s="1"/>
  <c r="AH85" i="167" s="1"/>
  <c r="AI85" i="167" s="1"/>
  <c r="AJ85" i="167" s="1"/>
  <c r="K585" i="176"/>
  <c r="K189" i="176"/>
  <c r="K192" i="176"/>
  <c r="J112" i="176"/>
  <c r="J114" i="176"/>
  <c r="E27" i="167"/>
  <c r="K24" i="167"/>
  <c r="E24" i="167" s="1"/>
  <c r="F20" i="167"/>
  <c r="E23" i="167"/>
  <c r="I61" i="167"/>
  <c r="K190" i="176"/>
  <c r="L186" i="176" s="1"/>
  <c r="M183" i="176"/>
  <c r="M501" i="173" l="1"/>
  <c r="M104" i="173" s="1"/>
  <c r="M106" i="173" s="1"/>
  <c r="N102" i="173" s="1"/>
  <c r="N106" i="173" s="1"/>
  <c r="O102" i="173" s="1"/>
  <c r="K112" i="173"/>
  <c r="L108" i="173" s="1"/>
  <c r="L112" i="173" s="1"/>
  <c r="M108" i="173" s="1"/>
  <c r="K114" i="173"/>
  <c r="L111" i="173"/>
  <c r="K111" i="173"/>
  <c r="F27" i="180"/>
  <c r="N188" i="173"/>
  <c r="N190" i="173" s="1"/>
  <c r="O186" i="173" s="1"/>
  <c r="G91" i="154"/>
  <c r="L114" i="173"/>
  <c r="J62" i="154"/>
  <c r="I88" i="154"/>
  <c r="J84" i="154"/>
  <c r="O480" i="173"/>
  <c r="O182" i="173"/>
  <c r="O184" i="173" s="1"/>
  <c r="P180" i="173" s="1"/>
  <c r="M508" i="173"/>
  <c r="I89" i="154"/>
  <c r="H33" i="180" s="1"/>
  <c r="G26" i="180"/>
  <c r="G27" i="180" s="1"/>
  <c r="O550" i="176"/>
  <c r="O578" i="176" s="1"/>
  <c r="O104" i="176" s="1"/>
  <c r="M578" i="176"/>
  <c r="M104" i="176" s="1"/>
  <c r="M105" i="176" s="1"/>
  <c r="H84" i="167"/>
  <c r="G88" i="167"/>
  <c r="I62" i="167"/>
  <c r="L188" i="176"/>
  <c r="L190" i="176" s="1"/>
  <c r="M186" i="176" s="1"/>
  <c r="L585" i="176"/>
  <c r="K613" i="176"/>
  <c r="K110" i="176" s="1"/>
  <c r="O182" i="176"/>
  <c r="N183" i="176"/>
  <c r="N105" i="173" l="1"/>
  <c r="M105" i="173"/>
  <c r="P480" i="173"/>
  <c r="O501" i="173"/>
  <c r="O104" i="173" s="1"/>
  <c r="O106" i="173" s="1"/>
  <c r="P102" i="173" s="1"/>
  <c r="J89" i="154"/>
  <c r="I33" i="180" s="1"/>
  <c r="H26" i="180"/>
  <c r="H27" i="180" s="1"/>
  <c r="J63" i="154"/>
  <c r="K22" i="154" s="1"/>
  <c r="J26" i="178"/>
  <c r="I9" i="179"/>
  <c r="J9" i="179"/>
  <c r="K26" i="178"/>
  <c r="P182" i="173"/>
  <c r="P184" i="173" s="1"/>
  <c r="Q180" i="173" s="1"/>
  <c r="O188" i="173"/>
  <c r="O192" i="173" s="1"/>
  <c r="N508" i="173"/>
  <c r="M529" i="173"/>
  <c r="M110" i="173" s="1"/>
  <c r="O183" i="173"/>
  <c r="J88" i="154"/>
  <c r="K84" i="154"/>
  <c r="G92" i="154"/>
  <c r="H87" i="154" s="1"/>
  <c r="G96" i="154"/>
  <c r="N189" i="173"/>
  <c r="N192" i="173"/>
  <c r="P550" i="176"/>
  <c r="P578" i="176" s="1"/>
  <c r="P104" i="176" s="1"/>
  <c r="O105" i="176"/>
  <c r="M106" i="176"/>
  <c r="N102" i="176" s="1"/>
  <c r="N106" i="176" s="1"/>
  <c r="O102" i="176" s="1"/>
  <c r="O106" i="176" s="1"/>
  <c r="P102" i="176" s="1"/>
  <c r="N105" i="176"/>
  <c r="M188" i="176"/>
  <c r="M192" i="176" s="1"/>
  <c r="K114" i="176"/>
  <c r="K112" i="176"/>
  <c r="K111" i="176"/>
  <c r="O183" i="176"/>
  <c r="H89" i="167"/>
  <c r="G90" i="167"/>
  <c r="G91" i="167" s="1"/>
  <c r="O184" i="176"/>
  <c r="P180" i="176" s="1"/>
  <c r="L192" i="176"/>
  <c r="L189" i="176"/>
  <c r="I63" i="167"/>
  <c r="J22" i="167" s="1"/>
  <c r="I84" i="167"/>
  <c r="H88" i="167"/>
  <c r="I89" i="167" s="1"/>
  <c r="L613" i="176"/>
  <c r="L110" i="176" s="1"/>
  <c r="L111" i="176" s="1"/>
  <c r="M585" i="176"/>
  <c r="M189" i="176" l="1"/>
  <c r="O190" i="173"/>
  <c r="P186" i="173" s="1"/>
  <c r="Q182" i="173"/>
  <c r="Q184" i="173" s="1"/>
  <c r="R180" i="173" s="1"/>
  <c r="P183" i="173"/>
  <c r="G31" i="178"/>
  <c r="E25" i="146"/>
  <c r="G97" i="154"/>
  <c r="H90" i="154"/>
  <c r="K88" i="154"/>
  <c r="L84" i="154"/>
  <c r="I26" i="180"/>
  <c r="K89" i="154"/>
  <c r="J33" i="180" s="1"/>
  <c r="K61" i="154"/>
  <c r="O508" i="173"/>
  <c r="N529" i="173"/>
  <c r="N110" i="173" s="1"/>
  <c r="M111" i="173"/>
  <c r="M112" i="173"/>
  <c r="N108" i="173" s="1"/>
  <c r="M114" i="173"/>
  <c r="O189" i="173"/>
  <c r="O105" i="173"/>
  <c r="Q480" i="173"/>
  <c r="P501" i="173"/>
  <c r="P104" i="173" s="1"/>
  <c r="P106" i="173" s="1"/>
  <c r="Q102" i="173" s="1"/>
  <c r="Q550" i="176"/>
  <c r="Q578" i="176" s="1"/>
  <c r="Q104" i="176" s="1"/>
  <c r="Q105" i="176" s="1"/>
  <c r="P106" i="176"/>
  <c r="Q102" i="176" s="1"/>
  <c r="P105" i="176"/>
  <c r="M190" i="176"/>
  <c r="N186" i="176" s="1"/>
  <c r="N188" i="176" s="1"/>
  <c r="N189" i="176" s="1"/>
  <c r="P182" i="176"/>
  <c r="P184" i="176" s="1"/>
  <c r="Q180" i="176" s="1"/>
  <c r="L112" i="176"/>
  <c r="L114" i="176"/>
  <c r="I88" i="167"/>
  <c r="J84" i="167"/>
  <c r="N585" i="176"/>
  <c r="M613" i="176"/>
  <c r="M110" i="176" s="1"/>
  <c r="G92" i="167"/>
  <c r="H87" i="167" s="1"/>
  <c r="H90" i="167" s="1"/>
  <c r="H91" i="167" s="1"/>
  <c r="G96" i="167"/>
  <c r="J61" i="167"/>
  <c r="N192" i="176" l="1"/>
  <c r="N190" i="176"/>
  <c r="O186" i="176" s="1"/>
  <c r="O188" i="176" s="1"/>
  <c r="O190" i="176" s="1"/>
  <c r="P186" i="176" s="1"/>
  <c r="P105" i="173"/>
  <c r="N112" i="173"/>
  <c r="O108" i="173" s="1"/>
  <c r="N114" i="173"/>
  <c r="K9" i="179"/>
  <c r="L26" i="178"/>
  <c r="R480" i="173"/>
  <c r="Q501" i="173"/>
  <c r="Q104" i="173" s="1"/>
  <c r="K62" i="154"/>
  <c r="L89" i="154"/>
  <c r="K33" i="180" s="1"/>
  <c r="J26" i="180"/>
  <c r="J27" i="180" s="1"/>
  <c r="R182" i="173"/>
  <c r="I27" i="180"/>
  <c r="H91" i="154"/>
  <c r="N111" i="173"/>
  <c r="Q183" i="173"/>
  <c r="P508" i="173"/>
  <c r="O529" i="173"/>
  <c r="O110" i="173" s="1"/>
  <c r="P188" i="173"/>
  <c r="M84" i="154"/>
  <c r="L88" i="154"/>
  <c r="E26" i="146"/>
  <c r="E41" i="146" s="1"/>
  <c r="F32" i="180"/>
  <c r="F10" i="179"/>
  <c r="R550" i="176"/>
  <c r="S550" i="176" s="1"/>
  <c r="Q106" i="176"/>
  <c r="R102" i="176" s="1"/>
  <c r="M112" i="176"/>
  <c r="M114" i="176"/>
  <c r="J62" i="167"/>
  <c r="J63" i="167" s="1"/>
  <c r="K22" i="167" s="1"/>
  <c r="N613" i="176"/>
  <c r="N110" i="176" s="1"/>
  <c r="O585" i="176"/>
  <c r="J88" i="167"/>
  <c r="K89" i="167" s="1"/>
  <c r="K84" i="167"/>
  <c r="E19" i="149"/>
  <c r="G97" i="167"/>
  <c r="J89" i="167"/>
  <c r="H92" i="167"/>
  <c r="I87" i="167" s="1"/>
  <c r="H96" i="167"/>
  <c r="Q182" i="176"/>
  <c r="Q184" i="176" s="1"/>
  <c r="R180" i="176" s="1"/>
  <c r="P183" i="176"/>
  <c r="M111" i="176"/>
  <c r="R578" i="176" l="1"/>
  <c r="R104" i="176" s="1"/>
  <c r="R105" i="176" s="1"/>
  <c r="R183" i="173"/>
  <c r="H96" i="154"/>
  <c r="H92" i="154"/>
  <c r="I87" i="154" s="1"/>
  <c r="Q105" i="173"/>
  <c r="P192" i="173"/>
  <c r="P189" i="173"/>
  <c r="Q508" i="173"/>
  <c r="P529" i="173"/>
  <c r="P110" i="173" s="1"/>
  <c r="L9" i="179"/>
  <c r="M26" i="178"/>
  <c r="K63" i="154"/>
  <c r="L22" i="154" s="1"/>
  <c r="L61" i="154" s="1"/>
  <c r="S480" i="173"/>
  <c r="R501" i="173"/>
  <c r="R104" i="173" s="1"/>
  <c r="N84" i="154"/>
  <c r="M88" i="154"/>
  <c r="O114" i="173"/>
  <c r="O112" i="173"/>
  <c r="P108" i="173" s="1"/>
  <c r="O111" i="173"/>
  <c r="M89" i="154"/>
  <c r="L33" i="180" s="1"/>
  <c r="K26" i="180"/>
  <c r="R184" i="173"/>
  <c r="S180" i="173" s="1"/>
  <c r="P190" i="173"/>
  <c r="Q186" i="173" s="1"/>
  <c r="Q106" i="173"/>
  <c r="R102" i="173" s="1"/>
  <c r="S578" i="176"/>
  <c r="S104" i="176" s="1"/>
  <c r="T550" i="176"/>
  <c r="P188" i="176"/>
  <c r="P190" i="176" s="1"/>
  <c r="Q186" i="176" s="1"/>
  <c r="K61" i="167"/>
  <c r="F19" i="149"/>
  <c r="H97" i="167"/>
  <c r="N112" i="176"/>
  <c r="N114" i="176"/>
  <c r="N111" i="176"/>
  <c r="P585" i="176"/>
  <c r="O613" i="176"/>
  <c r="O110" i="176" s="1"/>
  <c r="I90" i="167"/>
  <c r="I91" i="167" s="1"/>
  <c r="I96" i="167" s="1"/>
  <c r="E20" i="149"/>
  <c r="E34" i="149" s="1"/>
  <c r="E25" i="136"/>
  <c r="E26" i="136" s="1"/>
  <c r="E41" i="136" s="1"/>
  <c r="R182" i="176"/>
  <c r="Q183" i="176"/>
  <c r="L84" i="167"/>
  <c r="K88" i="167"/>
  <c r="O189" i="176"/>
  <c r="O192" i="176"/>
  <c r="S105" i="176" l="1"/>
  <c r="R106" i="176"/>
  <c r="S102" i="176" s="1"/>
  <c r="S106" i="176" s="1"/>
  <c r="T102" i="176" s="1"/>
  <c r="R105" i="173"/>
  <c r="T480" i="173"/>
  <c r="S501" i="173"/>
  <c r="S104" i="173" s="1"/>
  <c r="R106" i="173"/>
  <c r="S102" i="173" s="1"/>
  <c r="L62" i="154"/>
  <c r="R508" i="173"/>
  <c r="Q529" i="173"/>
  <c r="Q110" i="173" s="1"/>
  <c r="S182" i="173"/>
  <c r="S184" i="173" s="1"/>
  <c r="T180" i="173" s="1"/>
  <c r="K27" i="180"/>
  <c r="F25" i="146"/>
  <c r="F25" i="136" s="1"/>
  <c r="F26" i="136" s="1"/>
  <c r="F41" i="136" s="1"/>
  <c r="H31" i="178"/>
  <c r="H97" i="154"/>
  <c r="N88" i="154"/>
  <c r="O84" i="154"/>
  <c r="I90" i="154"/>
  <c r="N89" i="154"/>
  <c r="M33" i="180" s="1"/>
  <c r="L26" i="180"/>
  <c r="L27" i="180" s="1"/>
  <c r="P114" i="173"/>
  <c r="P112" i="173"/>
  <c r="Q108" i="173" s="1"/>
  <c r="P111" i="173"/>
  <c r="Q188" i="173"/>
  <c r="M9" i="179"/>
  <c r="N26" i="178"/>
  <c r="U550" i="176"/>
  <c r="T578" i="176"/>
  <c r="T104" i="176" s="1"/>
  <c r="T105" i="176" s="1"/>
  <c r="M84" i="167"/>
  <c r="L88" i="167"/>
  <c r="M89" i="167" s="1"/>
  <c r="I97" i="167"/>
  <c r="G19" i="149"/>
  <c r="R183" i="176"/>
  <c r="P613" i="176"/>
  <c r="P110" i="176" s="1"/>
  <c r="Q585" i="176"/>
  <c r="R184" i="176"/>
  <c r="S180" i="176" s="1"/>
  <c r="F20" i="149"/>
  <c r="F34" i="149" s="1"/>
  <c r="K62" i="167"/>
  <c r="I92" i="167"/>
  <c r="J87" i="167" s="1"/>
  <c r="Q188" i="176"/>
  <c r="L89" i="167"/>
  <c r="O112" i="176"/>
  <c r="O114" i="176"/>
  <c r="O111" i="176"/>
  <c r="P189" i="176"/>
  <c r="P192" i="176"/>
  <c r="O26" i="178" l="1"/>
  <c r="N9" i="179"/>
  <c r="O88" i="154"/>
  <c r="P84" i="154"/>
  <c r="I91" i="154"/>
  <c r="I92" i="154" s="1"/>
  <c r="J87" i="154" s="1"/>
  <c r="F26" i="146"/>
  <c r="F41" i="146" s="1"/>
  <c r="Q189" i="173"/>
  <c r="Q192" i="173"/>
  <c r="T182" i="173"/>
  <c r="T184" i="173" s="1"/>
  <c r="U180" i="173" s="1"/>
  <c r="S508" i="173"/>
  <c r="R529" i="173"/>
  <c r="R110" i="173" s="1"/>
  <c r="O89" i="154"/>
  <c r="N33" i="180" s="1"/>
  <c r="M26" i="180"/>
  <c r="M27" i="180" s="1"/>
  <c r="G32" i="180"/>
  <c r="G10" i="179"/>
  <c r="S105" i="173"/>
  <c r="U480" i="173"/>
  <c r="T501" i="173"/>
  <c r="T104" i="173" s="1"/>
  <c r="S183" i="173"/>
  <c r="Q190" i="173"/>
  <c r="R186" i="173" s="1"/>
  <c r="L63" i="154"/>
  <c r="M22" i="154" s="1"/>
  <c r="Q112" i="173"/>
  <c r="R108" i="173" s="1"/>
  <c r="Q114" i="173"/>
  <c r="S106" i="173"/>
  <c r="T102" i="173" s="1"/>
  <c r="Q111" i="173"/>
  <c r="T106" i="176"/>
  <c r="U102" i="176" s="1"/>
  <c r="U578" i="176"/>
  <c r="U104" i="176" s="1"/>
  <c r="U105" i="176" s="1"/>
  <c r="V550" i="176"/>
  <c r="K63" i="167"/>
  <c r="L22" i="167" s="1"/>
  <c r="J90" i="167"/>
  <c r="J91" i="167" s="1"/>
  <c r="J96" i="167" s="1"/>
  <c r="P112" i="176"/>
  <c r="P114" i="176"/>
  <c r="P111" i="176"/>
  <c r="Q189" i="176"/>
  <c r="Q192" i="176"/>
  <c r="S182" i="176"/>
  <c r="S184" i="176" s="1"/>
  <c r="T180" i="176" s="1"/>
  <c r="G20" i="149"/>
  <c r="G34" i="149" s="1"/>
  <c r="R585" i="176"/>
  <c r="Q613" i="176"/>
  <c r="Q110" i="176" s="1"/>
  <c r="Q190" i="176"/>
  <c r="R186" i="176" s="1"/>
  <c r="M88" i="167"/>
  <c r="N84" i="167"/>
  <c r="T105" i="173" l="1"/>
  <c r="T106" i="173"/>
  <c r="U102" i="173" s="1"/>
  <c r="V480" i="173"/>
  <c r="U501" i="173"/>
  <c r="U104" i="173" s="1"/>
  <c r="R112" i="173"/>
  <c r="S108" i="173" s="1"/>
  <c r="R114" i="173"/>
  <c r="I96" i="154"/>
  <c r="P26" i="178"/>
  <c r="O9" i="179"/>
  <c r="Q84" i="154"/>
  <c r="P88" i="154"/>
  <c r="T183" i="173"/>
  <c r="R111" i="173"/>
  <c r="P89" i="154"/>
  <c r="O33" i="180" s="1"/>
  <c r="N26" i="180"/>
  <c r="N27" i="180" s="1"/>
  <c r="J90" i="154"/>
  <c r="R188" i="173"/>
  <c r="R190" i="173" s="1"/>
  <c r="S186" i="173" s="1"/>
  <c r="U182" i="173"/>
  <c r="U184" i="173" s="1"/>
  <c r="V180" i="173" s="1"/>
  <c r="T508" i="173"/>
  <c r="S529" i="173"/>
  <c r="S110" i="173" s="1"/>
  <c r="M61" i="154"/>
  <c r="E100" i="137"/>
  <c r="G17" i="178" s="1"/>
  <c r="G15" i="178" s="1"/>
  <c r="E53" i="137"/>
  <c r="E54" i="137" s="1"/>
  <c r="W550" i="176"/>
  <c r="V578" i="176"/>
  <c r="V104" i="176" s="1"/>
  <c r="U106" i="176"/>
  <c r="V102" i="176" s="1"/>
  <c r="S183" i="176"/>
  <c r="T182" i="176"/>
  <c r="T184" i="176" s="1"/>
  <c r="U180" i="176" s="1"/>
  <c r="J97" i="167"/>
  <c r="H19" i="149"/>
  <c r="O84" i="167"/>
  <c r="N88" i="167"/>
  <c r="O89" i="167" s="1"/>
  <c r="J92" i="167"/>
  <c r="K87" i="167" s="1"/>
  <c r="K90" i="167" s="1"/>
  <c r="K91" i="167" s="1"/>
  <c r="K92" i="167" s="1"/>
  <c r="L61" i="167"/>
  <c r="N89" i="167"/>
  <c r="R188" i="176"/>
  <c r="R190" i="176" s="1"/>
  <c r="S186" i="176" s="1"/>
  <c r="S585" i="176"/>
  <c r="R613" i="176"/>
  <c r="R110" i="176" s="1"/>
  <c r="Q111" i="176"/>
  <c r="Q112" i="176"/>
  <c r="Q114" i="176"/>
  <c r="F9" i="180" l="1"/>
  <c r="G21" i="178"/>
  <c r="M62" i="154"/>
  <c r="M63" i="154" s="1"/>
  <c r="N22" i="154" s="1"/>
  <c r="N61" i="154" s="1"/>
  <c r="N62" i="154" s="1"/>
  <c r="N63" i="154" s="1"/>
  <c r="O22" i="154" s="1"/>
  <c r="G30" i="180"/>
  <c r="R189" i="173"/>
  <c r="R192" i="173"/>
  <c r="S188" i="173"/>
  <c r="S190" i="173" s="1"/>
  <c r="T186" i="173" s="1"/>
  <c r="O26" i="180"/>
  <c r="O27" i="180" s="1"/>
  <c r="Q89" i="154"/>
  <c r="P33" i="180" s="1"/>
  <c r="J91" i="154"/>
  <c r="U508" i="173"/>
  <c r="T529" i="173"/>
  <c r="T110" i="173" s="1"/>
  <c r="U183" i="173"/>
  <c r="V182" i="173"/>
  <c r="Q26" i="178"/>
  <c r="P9" i="179"/>
  <c r="U106" i="173"/>
  <c r="V102" i="173" s="1"/>
  <c r="S112" i="173"/>
  <c r="T108" i="173" s="1"/>
  <c r="S114" i="173"/>
  <c r="S111" i="173"/>
  <c r="R84" i="154"/>
  <c r="Q88" i="154"/>
  <c r="I31" i="178"/>
  <c r="G25" i="146"/>
  <c r="I97" i="154"/>
  <c r="U105" i="173"/>
  <c r="W480" i="173"/>
  <c r="V501" i="173"/>
  <c r="V104" i="173" s="1"/>
  <c r="F100" i="137"/>
  <c r="H17" i="178" s="1"/>
  <c r="F13" i="137"/>
  <c r="V106" i="176"/>
  <c r="W102" i="176" s="1"/>
  <c r="V105" i="176"/>
  <c r="W578" i="176"/>
  <c r="W104" i="176" s="1"/>
  <c r="W105" i="176" s="1"/>
  <c r="X550" i="176"/>
  <c r="S188" i="176"/>
  <c r="S190" i="176" s="1"/>
  <c r="T186" i="176" s="1"/>
  <c r="L62" i="167"/>
  <c r="L63" i="167" s="1"/>
  <c r="M22" i="167" s="1"/>
  <c r="S613" i="176"/>
  <c r="S110" i="176" s="1"/>
  <c r="T585" i="176"/>
  <c r="R189" i="176"/>
  <c r="R192" i="176"/>
  <c r="T183" i="176"/>
  <c r="H20" i="149"/>
  <c r="H34" i="149" s="1"/>
  <c r="R112" i="176"/>
  <c r="R114" i="176"/>
  <c r="R111" i="176"/>
  <c r="P84" i="167"/>
  <c r="O88" i="167"/>
  <c r="U182" i="176"/>
  <c r="U184" i="176" s="1"/>
  <c r="V180" i="176" s="1"/>
  <c r="K96" i="167"/>
  <c r="L87" i="167"/>
  <c r="F53" i="137" l="1"/>
  <c r="F54" i="137" s="1"/>
  <c r="H15" i="178"/>
  <c r="F29" i="180"/>
  <c r="G23" i="178"/>
  <c r="F8" i="179" s="1"/>
  <c r="F11" i="179" s="1"/>
  <c r="V106" i="173"/>
  <c r="W102" i="173" s="1"/>
  <c r="O61" i="154"/>
  <c r="O62" i="154" s="1"/>
  <c r="P26" i="180"/>
  <c r="P27" i="180" s="1"/>
  <c r="R89" i="154"/>
  <c r="Q33" i="180" s="1"/>
  <c r="S189" i="173"/>
  <c r="S192" i="173"/>
  <c r="G26" i="146"/>
  <c r="G41" i="146" s="1"/>
  <c r="G25" i="136"/>
  <c r="G26" i="136" s="1"/>
  <c r="G41" i="136" s="1"/>
  <c r="Q9" i="179"/>
  <c r="R26" i="178"/>
  <c r="V183" i="173"/>
  <c r="T188" i="173"/>
  <c r="V105" i="173"/>
  <c r="S84" i="154"/>
  <c r="R88" i="154"/>
  <c r="V184" i="173"/>
  <c r="W180" i="173" s="1"/>
  <c r="T112" i="173"/>
  <c r="U108" i="173" s="1"/>
  <c r="T111" i="173"/>
  <c r="T114" i="173"/>
  <c r="X480" i="173"/>
  <c r="W501" i="173"/>
  <c r="W104" i="173" s="1"/>
  <c r="H32" i="180"/>
  <c r="H10" i="179"/>
  <c r="V508" i="173"/>
  <c r="U529" i="173"/>
  <c r="U110" i="173" s="1"/>
  <c r="J96" i="154"/>
  <c r="J92" i="154"/>
  <c r="K87" i="154" s="1"/>
  <c r="G100" i="137"/>
  <c r="I17" i="178" s="1"/>
  <c r="G13" i="137"/>
  <c r="G53" i="137" s="1"/>
  <c r="G54" i="137" s="1"/>
  <c r="X578" i="176"/>
  <c r="X104" i="176" s="1"/>
  <c r="X105" i="176" s="1"/>
  <c r="Y550" i="176"/>
  <c r="W106" i="176"/>
  <c r="X102" i="176" s="1"/>
  <c r="M61" i="167"/>
  <c r="V182" i="176"/>
  <c r="V184" i="176" s="1"/>
  <c r="W180" i="176" s="1"/>
  <c r="S112" i="176"/>
  <c r="S114" i="176"/>
  <c r="S111" i="176"/>
  <c r="U183" i="176"/>
  <c r="P89" i="167"/>
  <c r="T188" i="176"/>
  <c r="U585" i="176"/>
  <c r="T613" i="176"/>
  <c r="T110" i="176" s="1"/>
  <c r="Q84" i="167"/>
  <c r="P88" i="167"/>
  <c r="Q89" i="167" s="1"/>
  <c r="S189" i="176"/>
  <c r="S192" i="176"/>
  <c r="L90" i="167"/>
  <c r="L91" i="167" s="1"/>
  <c r="L96" i="167" s="1"/>
  <c r="K97" i="167"/>
  <c r="I19" i="149"/>
  <c r="H21" i="178" l="1"/>
  <c r="H23" i="178" s="1"/>
  <c r="G9" i="180"/>
  <c r="G29" i="180" s="1"/>
  <c r="G29" i="178"/>
  <c r="G33" i="178" s="1"/>
  <c r="G24" i="178"/>
  <c r="I15" i="178"/>
  <c r="F14" i="179"/>
  <c r="G35" i="178" s="1"/>
  <c r="O63" i="154"/>
  <c r="P22" i="154" s="1"/>
  <c r="P61" i="154" s="1"/>
  <c r="P62" i="154" s="1"/>
  <c r="W508" i="173"/>
  <c r="V529" i="173"/>
  <c r="V110" i="173" s="1"/>
  <c r="Y480" i="173"/>
  <c r="X501" i="173"/>
  <c r="X104" i="173" s="1"/>
  <c r="W105" i="173"/>
  <c r="S26" i="178"/>
  <c r="R9" i="179"/>
  <c r="W182" i="173"/>
  <c r="T189" i="173"/>
  <c r="T192" i="173"/>
  <c r="S88" i="154"/>
  <c r="T84" i="154"/>
  <c r="K90" i="154"/>
  <c r="W106" i="173"/>
  <c r="X102" i="173" s="1"/>
  <c r="U112" i="173"/>
  <c r="V108" i="173" s="1"/>
  <c r="U111" i="173"/>
  <c r="U114" i="173"/>
  <c r="S89" i="154"/>
  <c r="R33" i="180" s="1"/>
  <c r="Q26" i="180"/>
  <c r="Q27" i="180" s="1"/>
  <c r="T190" i="173"/>
  <c r="U186" i="173" s="1"/>
  <c r="J31" i="178"/>
  <c r="H25" i="146"/>
  <c r="J97" i="154"/>
  <c r="X106" i="176"/>
  <c r="Y102" i="176" s="1"/>
  <c r="Z550" i="176"/>
  <c r="Y578" i="176"/>
  <c r="Y104" i="176" s="1"/>
  <c r="W182" i="176"/>
  <c r="W184" i="176" s="1"/>
  <c r="X180" i="176" s="1"/>
  <c r="T189" i="176"/>
  <c r="T192" i="176"/>
  <c r="T112" i="176"/>
  <c r="T111" i="176"/>
  <c r="T114" i="176"/>
  <c r="T190" i="176"/>
  <c r="U186" i="176" s="1"/>
  <c r="M62" i="167"/>
  <c r="M63" i="167" s="1"/>
  <c r="N22" i="167" s="1"/>
  <c r="N61" i="167" s="1"/>
  <c r="N62" i="167" s="1"/>
  <c r="N63" i="167" s="1"/>
  <c r="O22" i="167" s="1"/>
  <c r="V585" i="176"/>
  <c r="U613" i="176"/>
  <c r="U110" i="176" s="1"/>
  <c r="V183" i="176"/>
  <c r="R84" i="167"/>
  <c r="Q88" i="167"/>
  <c r="R89" i="167" s="1"/>
  <c r="L92" i="167"/>
  <c r="M87" i="167" s="1"/>
  <c r="M90" i="167" s="1"/>
  <c r="M91" i="167" s="1"/>
  <c r="I25" i="136"/>
  <c r="I20" i="149"/>
  <c r="I34" i="149" s="1"/>
  <c r="D34" i="149" s="1"/>
  <c r="D19" i="149"/>
  <c r="L97" i="167"/>
  <c r="G8" i="179" l="1"/>
  <c r="G11" i="179" s="1"/>
  <c r="H29" i="178"/>
  <c r="H33" i="178" s="1"/>
  <c r="H34" i="178" s="1"/>
  <c r="H24" i="178"/>
  <c r="F31" i="180"/>
  <c r="F34" i="180" s="1"/>
  <c r="F36" i="180" s="1"/>
  <c r="F11" i="180"/>
  <c r="F12" i="180" s="1"/>
  <c r="F14" i="180" s="1"/>
  <c r="G37" i="178"/>
  <c r="G39" i="178" s="1"/>
  <c r="G41" i="178" s="1"/>
  <c r="H9" i="180"/>
  <c r="H29" i="180" s="1"/>
  <c r="I21" i="178"/>
  <c r="I23" i="178" s="1"/>
  <c r="H8" i="179" s="1"/>
  <c r="H11" i="179" s="1"/>
  <c r="H14" i="179" s="1"/>
  <c r="G14" i="179"/>
  <c r="H35" i="178" s="1"/>
  <c r="X106" i="173"/>
  <c r="Y102" i="173" s="1"/>
  <c r="W183" i="173"/>
  <c r="I32" i="180"/>
  <c r="I10" i="179"/>
  <c r="P63" i="154"/>
  <c r="Q22" i="154" s="1"/>
  <c r="U84" i="154"/>
  <c r="T88" i="154"/>
  <c r="W184" i="173"/>
  <c r="X180" i="173" s="1"/>
  <c r="X105" i="173"/>
  <c r="K91" i="154"/>
  <c r="T89" i="154"/>
  <c r="S33" i="180" s="1"/>
  <c r="R26" i="180"/>
  <c r="R27" i="180" s="1"/>
  <c r="Z480" i="173"/>
  <c r="Y501" i="173"/>
  <c r="Y104" i="173" s="1"/>
  <c r="H26" i="146"/>
  <c r="H41" i="146" s="1"/>
  <c r="H25" i="136"/>
  <c r="D25" i="146"/>
  <c r="H30" i="180"/>
  <c r="S9" i="179"/>
  <c r="T26" i="178"/>
  <c r="V112" i="173"/>
  <c r="W108" i="173" s="1"/>
  <c r="V111" i="173"/>
  <c r="V114" i="173"/>
  <c r="U188" i="173"/>
  <c r="X508" i="173"/>
  <c r="W529" i="173"/>
  <c r="W110" i="173" s="1"/>
  <c r="D20" i="149"/>
  <c r="H100" i="137"/>
  <c r="J17" i="178" s="1"/>
  <c r="M96" i="167"/>
  <c r="M97" i="167" s="1"/>
  <c r="Y106" i="176"/>
  <c r="Z102" i="176" s="1"/>
  <c r="Y105" i="176"/>
  <c r="AA550" i="176"/>
  <c r="Z578" i="176"/>
  <c r="Z104" i="176" s="1"/>
  <c r="Z105" i="176" s="1"/>
  <c r="U112" i="176"/>
  <c r="U111" i="176"/>
  <c r="U114" i="176"/>
  <c r="U188" i="176"/>
  <c r="U190" i="176" s="1"/>
  <c r="V186" i="176" s="1"/>
  <c r="W585" i="176"/>
  <c r="V613" i="176"/>
  <c r="V110" i="176" s="1"/>
  <c r="O61" i="167"/>
  <c r="O62" i="167" s="1"/>
  <c r="X182" i="176"/>
  <c r="X184" i="176" s="1"/>
  <c r="Y180" i="176" s="1"/>
  <c r="R88" i="167"/>
  <c r="S89" i="167" s="1"/>
  <c r="S84" i="167"/>
  <c r="W183" i="176"/>
  <c r="F35" i="176"/>
  <c r="M92" i="167"/>
  <c r="N87" i="167" s="1"/>
  <c r="I26" i="136"/>
  <c r="I41" i="136" s="1"/>
  <c r="H37" i="178" l="1"/>
  <c r="H39" i="178" s="1"/>
  <c r="H41" i="178" s="1"/>
  <c r="F21" i="180"/>
  <c r="F15" i="180"/>
  <c r="F37" i="180"/>
  <c r="I29" i="178"/>
  <c r="I33" i="178" s="1"/>
  <c r="I34" i="178" s="1"/>
  <c r="I24" i="178"/>
  <c r="G11" i="180"/>
  <c r="G12" i="180" s="1"/>
  <c r="G14" i="180" s="1"/>
  <c r="G31" i="180"/>
  <c r="G34" i="180" s="1"/>
  <c r="G36" i="180" s="1"/>
  <c r="H26" i="136"/>
  <c r="H41" i="136" s="1"/>
  <c r="D41" i="136" s="1"/>
  <c r="D26" i="146"/>
  <c r="M29" i="21"/>
  <c r="Y106" i="173"/>
  <c r="Z102" i="173" s="1"/>
  <c r="T9" i="179"/>
  <c r="U26" i="178"/>
  <c r="U89" i="154"/>
  <c r="T33" i="180" s="1"/>
  <c r="S26" i="180"/>
  <c r="S27" i="180" s="1"/>
  <c r="D41" i="146"/>
  <c r="V84" i="154"/>
  <c r="U88" i="154"/>
  <c r="U189" i="173"/>
  <c r="U192" i="173"/>
  <c r="Q61" i="154"/>
  <c r="Q62" i="154" s="1"/>
  <c r="AA480" i="173"/>
  <c r="Z501" i="173"/>
  <c r="Z104" i="173" s="1"/>
  <c r="K96" i="154"/>
  <c r="K92" i="154"/>
  <c r="L87" i="154" s="1"/>
  <c r="X182" i="173"/>
  <c r="X184" i="173" s="1"/>
  <c r="Y180" i="173" s="1"/>
  <c r="Y508" i="173"/>
  <c r="X529" i="173"/>
  <c r="X110" i="173" s="1"/>
  <c r="U190" i="173"/>
  <c r="V186" i="173" s="1"/>
  <c r="W112" i="173"/>
  <c r="X108" i="173" s="1"/>
  <c r="W111" i="173"/>
  <c r="W114" i="173"/>
  <c r="Y105" i="173"/>
  <c r="D25" i="136"/>
  <c r="D26" i="136" s="1"/>
  <c r="H53" i="137"/>
  <c r="H54" i="137" s="1"/>
  <c r="AB550" i="176"/>
  <c r="AA578" i="176"/>
  <c r="AA104" i="176" s="1"/>
  <c r="AA105" i="176" s="1"/>
  <c r="Z106" i="176"/>
  <c r="AA102" i="176" s="1"/>
  <c r="Y182" i="176"/>
  <c r="Y184" i="176" s="1"/>
  <c r="Z180" i="176" s="1"/>
  <c r="O63" i="167"/>
  <c r="P22" i="167" s="1"/>
  <c r="S88" i="167"/>
  <c r="T89" i="167" s="1"/>
  <c r="T84" i="167"/>
  <c r="X183" i="176"/>
  <c r="V112" i="176"/>
  <c r="V111" i="176"/>
  <c r="V114" i="176"/>
  <c r="X585" i="176"/>
  <c r="W613" i="176"/>
  <c r="W110" i="176" s="1"/>
  <c r="V188" i="176"/>
  <c r="V190" i="176" s="1"/>
  <c r="W186" i="176" s="1"/>
  <c r="U189" i="176"/>
  <c r="U192" i="176"/>
  <c r="I35" i="178"/>
  <c r="I102" i="137"/>
  <c r="N90" i="167"/>
  <c r="N91" i="167" s="1"/>
  <c r="N96" i="167" s="1"/>
  <c r="J15" i="178"/>
  <c r="I9" i="180" l="1"/>
  <c r="J21" i="178"/>
  <c r="L84" i="21"/>
  <c r="L90" i="21" s="1"/>
  <c r="L98" i="21"/>
  <c r="M30" i="21"/>
  <c r="G24" i="21" s="1"/>
  <c r="D43" i="136"/>
  <c r="Y182" i="173"/>
  <c r="Y184" i="173" s="1"/>
  <c r="Z180" i="173" s="1"/>
  <c r="Z105" i="173"/>
  <c r="W84" i="154"/>
  <c r="V88" i="154"/>
  <c r="V188" i="173"/>
  <c r="V190" i="173" s="1"/>
  <c r="W186" i="173" s="1"/>
  <c r="K97" i="154"/>
  <c r="K31" i="178"/>
  <c r="Q63" i="154"/>
  <c r="R22" i="154" s="1"/>
  <c r="V26" i="178"/>
  <c r="U9" i="179"/>
  <c r="X112" i="173"/>
  <c r="Y108" i="173" s="1"/>
  <c r="X111" i="173"/>
  <c r="X114" i="173"/>
  <c r="I30" i="180"/>
  <c r="E30" i="180" s="1"/>
  <c r="E10" i="180"/>
  <c r="AB480" i="173"/>
  <c r="AA501" i="173"/>
  <c r="AA104" i="173" s="1"/>
  <c r="E36" i="173"/>
  <c r="Z508" i="173"/>
  <c r="Y529" i="173"/>
  <c r="Y110" i="173" s="1"/>
  <c r="X183" i="173"/>
  <c r="L90" i="154"/>
  <c r="L91" i="154" s="1"/>
  <c r="L96" i="154" s="1"/>
  <c r="V89" i="154"/>
  <c r="U33" i="180" s="1"/>
  <c r="T26" i="180"/>
  <c r="T27" i="180" s="1"/>
  <c r="Z106" i="173"/>
  <c r="AA102" i="173" s="1"/>
  <c r="AA106" i="176"/>
  <c r="AB102" i="176" s="1"/>
  <c r="AB578" i="176"/>
  <c r="AB104" i="176" s="1"/>
  <c r="AB105" i="176" s="1"/>
  <c r="AC550" i="176"/>
  <c r="W188" i="176"/>
  <c r="W190" i="176" s="1"/>
  <c r="X186" i="176" s="1"/>
  <c r="Y585" i="176"/>
  <c r="X613" i="176"/>
  <c r="X110" i="176" s="1"/>
  <c r="W112" i="176"/>
  <c r="W111" i="176"/>
  <c r="W114" i="176"/>
  <c r="P61" i="167"/>
  <c r="P62" i="167" s="1"/>
  <c r="V189" i="176"/>
  <c r="V192" i="176"/>
  <c r="T88" i="167"/>
  <c r="U89" i="167" s="1"/>
  <c r="U84" i="167"/>
  <c r="Z182" i="176"/>
  <c r="Y183" i="176"/>
  <c r="N92" i="167"/>
  <c r="O87" i="167" s="1"/>
  <c r="O90" i="167" s="1"/>
  <c r="O91" i="167" s="1"/>
  <c r="O96" i="167" s="1"/>
  <c r="H11" i="180"/>
  <c r="H31" i="180"/>
  <c r="G21" i="180"/>
  <c r="G15" i="180"/>
  <c r="N97" i="167"/>
  <c r="G37" i="180"/>
  <c r="N29" i="21" l="1"/>
  <c r="N21" i="21"/>
  <c r="N23" i="21"/>
  <c r="N17" i="21"/>
  <c r="N26" i="21"/>
  <c r="N25" i="21"/>
  <c r="N24" i="21"/>
  <c r="N22" i="21"/>
  <c r="N20" i="21"/>
  <c r="N18" i="21"/>
  <c r="N19" i="21"/>
  <c r="N15" i="21"/>
  <c r="N16" i="21"/>
  <c r="N27" i="21"/>
  <c r="N28" i="21"/>
  <c r="L92" i="154"/>
  <c r="M87" i="154" s="1"/>
  <c r="M90" i="154" s="1"/>
  <c r="M91" i="154" s="1"/>
  <c r="M96" i="154" s="1"/>
  <c r="W188" i="173"/>
  <c r="W190" i="173" s="1"/>
  <c r="X186" i="173" s="1"/>
  <c r="L31" i="178"/>
  <c r="L97" i="154"/>
  <c r="V9" i="179"/>
  <c r="W26" i="178"/>
  <c r="Y112" i="173"/>
  <c r="Z108" i="173" s="1"/>
  <c r="Y111" i="173"/>
  <c r="Y114" i="173"/>
  <c r="AA105" i="173"/>
  <c r="R61" i="154"/>
  <c r="R62" i="154" s="1"/>
  <c r="AA508" i="173"/>
  <c r="Z529" i="173"/>
  <c r="Z110" i="173" s="1"/>
  <c r="AC480" i="173"/>
  <c r="AB501" i="173"/>
  <c r="AB104" i="173" s="1"/>
  <c r="V189" i="173"/>
  <c r="V192" i="173"/>
  <c r="J10" i="179"/>
  <c r="J32" i="180"/>
  <c r="Z182" i="173"/>
  <c r="Z184" i="173" s="1"/>
  <c r="AA180" i="173" s="1"/>
  <c r="U26" i="180"/>
  <c r="U27" i="180" s="1"/>
  <c r="W89" i="154"/>
  <c r="V33" i="180" s="1"/>
  <c r="X84" i="154"/>
  <c r="W88" i="154"/>
  <c r="AA106" i="173"/>
  <c r="AB102" i="173" s="1"/>
  <c r="Y183" i="173"/>
  <c r="P63" i="167"/>
  <c r="Q22" i="167" s="1"/>
  <c r="Q61" i="167" s="1"/>
  <c r="Q62" i="167" s="1"/>
  <c r="Q63" i="167" s="1"/>
  <c r="R22" i="167" s="1"/>
  <c r="AD550" i="176"/>
  <c r="AC578" i="176"/>
  <c r="AC104" i="176" s="1"/>
  <c r="AB106" i="176"/>
  <c r="AC102" i="176" s="1"/>
  <c r="Z183" i="176"/>
  <c r="Z184" i="176"/>
  <c r="AA180" i="176" s="1"/>
  <c r="V84" i="167"/>
  <c r="U88" i="167"/>
  <c r="V89" i="167" s="1"/>
  <c r="X188" i="176"/>
  <c r="X112" i="176"/>
  <c r="X111" i="176"/>
  <c r="X114" i="176"/>
  <c r="Z585" i="176"/>
  <c r="Y613" i="176"/>
  <c r="Y110" i="176" s="1"/>
  <c r="W189" i="176"/>
  <c r="W192" i="176"/>
  <c r="H34" i="180"/>
  <c r="O92" i="167"/>
  <c r="P87" i="167" s="1"/>
  <c r="H12" i="180"/>
  <c r="I37" i="178"/>
  <c r="O97" i="167"/>
  <c r="I100" i="137"/>
  <c r="I29" i="180"/>
  <c r="J23" i="178"/>
  <c r="K102" i="137"/>
  <c r="J100" i="137" l="1"/>
  <c r="L17" i="178" s="1"/>
  <c r="J102" i="137"/>
  <c r="J13" i="137"/>
  <c r="M92" i="154"/>
  <c r="N87" i="154" s="1"/>
  <c r="N90" i="154" s="1"/>
  <c r="N91" i="154" s="1"/>
  <c r="N96" i="154" s="1"/>
  <c r="Z183" i="173"/>
  <c r="AA182" i="173"/>
  <c r="AA184" i="173" s="1"/>
  <c r="AB180" i="173" s="1"/>
  <c r="AB105" i="173"/>
  <c r="AB508" i="173"/>
  <c r="AA529" i="173"/>
  <c r="AA110" i="173" s="1"/>
  <c r="R63" i="154"/>
  <c r="S22" i="154" s="1"/>
  <c r="X26" i="178"/>
  <c r="W9" i="179"/>
  <c r="AB106" i="173"/>
  <c r="AC102" i="173" s="1"/>
  <c r="X89" i="154"/>
  <c r="W33" i="180" s="1"/>
  <c r="V26" i="180"/>
  <c r="V27" i="180" s="1"/>
  <c r="Z112" i="173"/>
  <c r="AA108" i="173" s="1"/>
  <c r="Z111" i="173"/>
  <c r="Z114" i="173"/>
  <c r="X88" i="154"/>
  <c r="Y84" i="154"/>
  <c r="K10" i="179"/>
  <c r="K32" i="180"/>
  <c r="X188" i="173"/>
  <c r="X190" i="173" s="1"/>
  <c r="Y186" i="173" s="1"/>
  <c r="M97" i="154"/>
  <c r="M31" i="178"/>
  <c r="AD480" i="173"/>
  <c r="AC501" i="173"/>
  <c r="AC104" i="173" s="1"/>
  <c r="W189" i="173"/>
  <c r="W192" i="173"/>
  <c r="AC106" i="176"/>
  <c r="AD102" i="176" s="1"/>
  <c r="AC105" i="176"/>
  <c r="AD578" i="176"/>
  <c r="AD104" i="176" s="1"/>
  <c r="AE550" i="176"/>
  <c r="R61" i="167"/>
  <c r="R62" i="167" s="1"/>
  <c r="AA585" i="176"/>
  <c r="Z613" i="176"/>
  <c r="Z110" i="176" s="1"/>
  <c r="X189" i="176"/>
  <c r="X192" i="176"/>
  <c r="Y112" i="176"/>
  <c r="Y111" i="176"/>
  <c r="Y114" i="176"/>
  <c r="X190" i="176"/>
  <c r="Y186" i="176" s="1"/>
  <c r="V88" i="167"/>
  <c r="W89" i="167" s="1"/>
  <c r="W84" i="167"/>
  <c r="AA182" i="176"/>
  <c r="K13" i="137"/>
  <c r="K53" i="137" s="1"/>
  <c r="K54" i="137" s="1"/>
  <c r="K100" i="137"/>
  <c r="M17" i="178" s="1"/>
  <c r="I53" i="137"/>
  <c r="I54" i="137" s="1"/>
  <c r="I8" i="179"/>
  <c r="J24" i="178"/>
  <c r="J29" i="178"/>
  <c r="K17" i="178"/>
  <c r="I39" i="178"/>
  <c r="I41" i="178" s="1"/>
  <c r="H14" i="180"/>
  <c r="H36" i="180"/>
  <c r="P90" i="167"/>
  <c r="P91" i="167" s="1"/>
  <c r="P96" i="167" s="1"/>
  <c r="J53" i="137" l="1"/>
  <c r="J54" i="137" s="1"/>
  <c r="K15" i="178"/>
  <c r="M15" i="178"/>
  <c r="L15" i="178"/>
  <c r="AB182" i="173"/>
  <c r="AB184" i="173" s="1"/>
  <c r="AC180" i="173" s="1"/>
  <c r="AD501" i="173"/>
  <c r="AD104" i="173" s="1"/>
  <c r="Y188" i="173"/>
  <c r="Y190" i="173" s="1"/>
  <c r="Z186" i="173" s="1"/>
  <c r="N31" i="178"/>
  <c r="N97" i="154"/>
  <c r="AA112" i="173"/>
  <c r="AB108" i="173" s="1"/>
  <c r="AA111" i="173"/>
  <c r="AA114" i="173"/>
  <c r="AC105" i="173"/>
  <c r="AC106" i="173"/>
  <c r="AD102" i="173" s="1"/>
  <c r="X189" i="173"/>
  <c r="X192" i="173"/>
  <c r="Z84" i="154"/>
  <c r="Y88" i="154"/>
  <c r="S61" i="154"/>
  <c r="S62" i="154" s="1"/>
  <c r="AA183" i="173"/>
  <c r="Y26" i="178"/>
  <c r="X9" i="179"/>
  <c r="N92" i="154"/>
  <c r="O87" i="154" s="1"/>
  <c r="AC508" i="173"/>
  <c r="AB529" i="173"/>
  <c r="AB110" i="173" s="1"/>
  <c r="L10" i="179"/>
  <c r="L32" i="180"/>
  <c r="Y89" i="154"/>
  <c r="X33" i="180" s="1"/>
  <c r="W26" i="180"/>
  <c r="W27" i="180" s="1"/>
  <c r="AE578" i="176"/>
  <c r="AE104" i="176" s="1"/>
  <c r="AE105" i="176" s="1"/>
  <c r="AF550" i="176"/>
  <c r="AD106" i="176"/>
  <c r="AE102" i="176" s="1"/>
  <c r="AD105" i="176"/>
  <c r="AA183" i="176"/>
  <c r="X84" i="167"/>
  <c r="W88" i="167"/>
  <c r="X89" i="167" s="1"/>
  <c r="Y188" i="176"/>
  <c r="Y190" i="176" s="1"/>
  <c r="Z186" i="176" s="1"/>
  <c r="Z112" i="176"/>
  <c r="Z111" i="176"/>
  <c r="Z114" i="176"/>
  <c r="AB585" i="176"/>
  <c r="AA613" i="176"/>
  <c r="AA110" i="176" s="1"/>
  <c r="AA184" i="176"/>
  <c r="AB180" i="176" s="1"/>
  <c r="R63" i="167"/>
  <c r="S22" i="167" s="1"/>
  <c r="H21" i="180"/>
  <c r="H15" i="180"/>
  <c r="P97" i="167"/>
  <c r="P92" i="167"/>
  <c r="Q87" i="167" s="1"/>
  <c r="J33" i="178"/>
  <c r="I11" i="179"/>
  <c r="I14" i="179" s="1"/>
  <c r="H37" i="180"/>
  <c r="M21" i="178" l="1"/>
  <c r="M23" i="178" s="1"/>
  <c r="L9" i="180"/>
  <c r="L29" i="180" s="1"/>
  <c r="L21" i="178"/>
  <c r="L23" i="178" s="1"/>
  <c r="K9" i="180"/>
  <c r="K29" i="180" s="1"/>
  <c r="K21" i="178"/>
  <c r="J9" i="180"/>
  <c r="AD106" i="173"/>
  <c r="AB112" i="173"/>
  <c r="AC108" i="173" s="1"/>
  <c r="AB111" i="173"/>
  <c r="AB114" i="173"/>
  <c r="O90" i="154"/>
  <c r="O91" i="154" s="1"/>
  <c r="O96" i="154" s="1"/>
  <c r="Z88" i="154"/>
  <c r="AA84" i="154"/>
  <c r="Z89" i="154"/>
  <c r="Y33" i="180" s="1"/>
  <c r="X26" i="180"/>
  <c r="X27" i="180" s="1"/>
  <c r="Z188" i="173"/>
  <c r="Z190" i="173" s="1"/>
  <c r="AA186" i="173" s="1"/>
  <c r="Z26" i="178"/>
  <c r="Y9" i="179"/>
  <c r="Y189" i="173"/>
  <c r="Y192" i="173"/>
  <c r="S63" i="154"/>
  <c r="T22" i="154" s="1"/>
  <c r="AD105" i="173"/>
  <c r="AC182" i="173"/>
  <c r="AC184" i="173" s="1"/>
  <c r="AD180" i="173" s="1"/>
  <c r="AD508" i="173"/>
  <c r="AC529" i="173"/>
  <c r="AC110" i="173" s="1"/>
  <c r="M10" i="179"/>
  <c r="M32" i="180"/>
  <c r="AB183" i="173"/>
  <c r="AE106" i="176"/>
  <c r="AF102" i="176" s="1"/>
  <c r="AG550" i="176"/>
  <c r="AF578" i="176"/>
  <c r="AF104" i="176" s="1"/>
  <c r="AF105" i="176" s="1"/>
  <c r="AC585" i="176"/>
  <c r="AB613" i="176"/>
  <c r="AB110" i="176" s="1"/>
  <c r="AA112" i="176"/>
  <c r="AA111" i="176"/>
  <c r="AA114" i="176"/>
  <c r="S61" i="167"/>
  <c r="S62" i="167" s="1"/>
  <c r="AB182" i="176"/>
  <c r="AB184" i="176" s="1"/>
  <c r="AC180" i="176" s="1"/>
  <c r="Z188" i="176"/>
  <c r="Z190" i="176" s="1"/>
  <c r="AA186" i="176" s="1"/>
  <c r="Y189" i="176"/>
  <c r="Y192" i="176"/>
  <c r="X88" i="167"/>
  <c r="Y89" i="167" s="1"/>
  <c r="Y84" i="167"/>
  <c r="J35" i="178"/>
  <c r="J34" i="178"/>
  <c r="M102" i="137"/>
  <c r="Q90" i="167"/>
  <c r="Q91" i="167" s="1"/>
  <c r="Q96" i="167" s="1"/>
  <c r="M29" i="178" l="1"/>
  <c r="M33" i="178" s="1"/>
  <c r="L8" i="179"/>
  <c r="L11" i="179" s="1"/>
  <c r="M24" i="178"/>
  <c r="L24" i="178"/>
  <c r="L29" i="178"/>
  <c r="L33" i="178" s="1"/>
  <c r="K8" i="179"/>
  <c r="K11" i="179" s="1"/>
  <c r="K14" i="179" s="1"/>
  <c r="L35" i="178" s="1"/>
  <c r="L14" i="179"/>
  <c r="M35" i="178" s="1"/>
  <c r="N17" i="178"/>
  <c r="L102" i="137"/>
  <c r="O92" i="154"/>
  <c r="P87" i="154" s="1"/>
  <c r="P90" i="154" s="1"/>
  <c r="P91" i="154" s="1"/>
  <c r="P96" i="154" s="1"/>
  <c r="AD529" i="173"/>
  <c r="AD110" i="173" s="1"/>
  <c r="AC112" i="173"/>
  <c r="AD108" i="173" s="1"/>
  <c r="AC111" i="173"/>
  <c r="AC114" i="173"/>
  <c r="AD182" i="173"/>
  <c r="AD184" i="173" s="1"/>
  <c r="L13" i="137"/>
  <c r="L53" i="137" s="1"/>
  <c r="L54" i="137" s="1"/>
  <c r="O97" i="154"/>
  <c r="O31" i="178"/>
  <c r="AC183" i="173"/>
  <c r="Z9" i="179"/>
  <c r="AA26" i="178"/>
  <c r="T61" i="154"/>
  <c r="T62" i="154" s="1"/>
  <c r="AA188" i="173"/>
  <c r="Z189" i="173"/>
  <c r="Z192" i="173"/>
  <c r="AB84" i="154"/>
  <c r="AA88" i="154"/>
  <c r="AA89" i="154"/>
  <c r="Z33" i="180" s="1"/>
  <c r="Y26" i="180"/>
  <c r="Y27" i="180" s="1"/>
  <c r="AH550" i="176"/>
  <c r="AG578" i="176"/>
  <c r="AG104" i="176" s="1"/>
  <c r="AF106" i="176"/>
  <c r="AG102" i="176" s="1"/>
  <c r="AC182" i="176"/>
  <c r="AC184" i="176" s="1"/>
  <c r="AD180" i="176" s="1"/>
  <c r="AD182" i="176" s="1"/>
  <c r="AA188" i="176"/>
  <c r="AA190" i="176" s="1"/>
  <c r="AB186" i="176" s="1"/>
  <c r="S63" i="167"/>
  <c r="T22" i="167" s="1"/>
  <c r="AB183" i="176"/>
  <c r="Y88" i="167"/>
  <c r="Z89" i="167" s="1"/>
  <c r="Z84" i="167"/>
  <c r="Z189" i="176"/>
  <c r="Z192" i="176"/>
  <c r="AB112" i="176"/>
  <c r="AB111" i="176"/>
  <c r="AB114" i="176"/>
  <c r="AD585" i="176"/>
  <c r="AC613" i="176"/>
  <c r="AC110" i="176" s="1"/>
  <c r="Q92" i="167"/>
  <c r="R87" i="167" s="1"/>
  <c r="K23" i="178"/>
  <c r="J29" i="180"/>
  <c r="Q97" i="167"/>
  <c r="M100" i="137"/>
  <c r="O17" i="178" s="1"/>
  <c r="M13" i="137"/>
  <c r="M53" i="137" s="1"/>
  <c r="M54" i="137" s="1"/>
  <c r="I11" i="180"/>
  <c r="I31" i="180"/>
  <c r="L11" i="180"/>
  <c r="L12" i="180" s="1"/>
  <c r="L14" i="180" s="1"/>
  <c r="L31" i="180"/>
  <c r="L34" i="180" s="1"/>
  <c r="L36" i="180" s="1"/>
  <c r="M37" i="178" l="1"/>
  <c r="M39" i="178" s="1"/>
  <c r="M41" i="178" s="1"/>
  <c r="K31" i="180"/>
  <c r="K34" i="180" s="1"/>
  <c r="K36" i="180" s="1"/>
  <c r="L37" i="178"/>
  <c r="L39" i="178" s="1"/>
  <c r="L41" i="178" s="1"/>
  <c r="K11" i="180"/>
  <c r="K12" i="180" s="1"/>
  <c r="K14" i="180" s="1"/>
  <c r="N15" i="178"/>
  <c r="O15" i="178"/>
  <c r="T63" i="154"/>
  <c r="U22" i="154" s="1"/>
  <c r="U61" i="154" s="1"/>
  <c r="U62" i="154" s="1"/>
  <c r="P97" i="154"/>
  <c r="P31" i="178"/>
  <c r="AB89" i="154"/>
  <c r="AA33" i="180" s="1"/>
  <c r="Z26" i="180"/>
  <c r="Z27" i="180" s="1"/>
  <c r="AA189" i="173"/>
  <c r="AA192" i="173"/>
  <c r="P92" i="154"/>
  <c r="Q87" i="154" s="1"/>
  <c r="AB88" i="154"/>
  <c r="AC84" i="154"/>
  <c r="AA190" i="173"/>
  <c r="AB186" i="173" s="1"/>
  <c r="AA9" i="179"/>
  <c r="AB26" i="178"/>
  <c r="AD112" i="173"/>
  <c r="AC27" i="178" s="1"/>
  <c r="AD111" i="173"/>
  <c r="AD114" i="173"/>
  <c r="N10" i="179"/>
  <c r="N32" i="180"/>
  <c r="AD183" i="173"/>
  <c r="AG106" i="176"/>
  <c r="AH102" i="176" s="1"/>
  <c r="AG105" i="176"/>
  <c r="AI550" i="176"/>
  <c r="AH578" i="176"/>
  <c r="AH104" i="176" s="1"/>
  <c r="AH105" i="176" s="1"/>
  <c r="AB188" i="176"/>
  <c r="AB190" i="176" s="1"/>
  <c r="AC186" i="176" s="1"/>
  <c r="AD184" i="176"/>
  <c r="AE180" i="176" s="1"/>
  <c r="AD183" i="176"/>
  <c r="AC112" i="176"/>
  <c r="AC111" i="176"/>
  <c r="AC114" i="176"/>
  <c r="Z88" i="167"/>
  <c r="AA89" i="167" s="1"/>
  <c r="AA84" i="167"/>
  <c r="AE585" i="176"/>
  <c r="AD613" i="176"/>
  <c r="AD110" i="176" s="1"/>
  <c r="AA189" i="176"/>
  <c r="AA192" i="176"/>
  <c r="T61" i="167"/>
  <c r="T62" i="167" s="1"/>
  <c r="AC183" i="176"/>
  <c r="J37" i="178"/>
  <c r="J39" i="178" s="1"/>
  <c r="I34" i="180"/>
  <c r="J8" i="179"/>
  <c r="K24" i="178"/>
  <c r="K29" i="178"/>
  <c r="I12" i="180"/>
  <c r="N102" i="137"/>
  <c r="R90" i="167"/>
  <c r="R91" i="167" s="1"/>
  <c r="R96" i="167" s="1"/>
  <c r="O21" i="178" l="1"/>
  <c r="O23" i="178" s="1"/>
  <c r="N9" i="180"/>
  <c r="N29" i="180" s="1"/>
  <c r="N21" i="178"/>
  <c r="N23" i="178" s="1"/>
  <c r="N24" i="178" s="1"/>
  <c r="M9" i="180"/>
  <c r="M29" i="180" s="1"/>
  <c r="U63" i="154"/>
  <c r="V22" i="154" s="1"/>
  <c r="V61" i="154" s="1"/>
  <c r="V62" i="154" s="1"/>
  <c r="AC88" i="154"/>
  <c r="AB9" i="179"/>
  <c r="AC26" i="178"/>
  <c r="AB188" i="173"/>
  <c r="AB190" i="173" s="1"/>
  <c r="AC186" i="173" s="1"/>
  <c r="AA26" i="180"/>
  <c r="AA27" i="180" s="1"/>
  <c r="AC89" i="154"/>
  <c r="AB33" i="180" s="1"/>
  <c r="Q90" i="154"/>
  <c r="Q91" i="154" s="1"/>
  <c r="Q96" i="154" s="1"/>
  <c r="O32" i="180"/>
  <c r="O10" i="179"/>
  <c r="AJ550" i="176"/>
  <c r="AI578" i="176"/>
  <c r="AI104" i="176" s="1"/>
  <c r="AI105" i="176" s="1"/>
  <c r="AH106" i="176"/>
  <c r="AI102" i="176" s="1"/>
  <c r="AF585" i="176"/>
  <c r="AE613" i="176"/>
  <c r="AE110" i="176" s="1"/>
  <c r="AD111" i="176"/>
  <c r="AD112" i="176"/>
  <c r="AD114" i="176"/>
  <c r="T63" i="167"/>
  <c r="U22" i="167" s="1"/>
  <c r="AB84" i="167"/>
  <c r="AA88" i="167"/>
  <c r="AB89" i="167" s="1"/>
  <c r="AC188" i="176"/>
  <c r="AC190" i="176" s="1"/>
  <c r="AD186" i="176" s="1"/>
  <c r="AE182" i="176"/>
  <c r="AB189" i="176"/>
  <c r="AB192" i="176"/>
  <c r="R97" i="167"/>
  <c r="J11" i="179"/>
  <c r="J14" i="179" s="1"/>
  <c r="K33" i="178"/>
  <c r="I36" i="180"/>
  <c r="R92" i="167"/>
  <c r="S87" i="167" s="1"/>
  <c r="I14" i="180"/>
  <c r="N13" i="137"/>
  <c r="N53" i="137" s="1"/>
  <c r="N54" i="137" s="1"/>
  <c r="N100" i="137"/>
  <c r="P17" i="178" s="1"/>
  <c r="J41" i="178"/>
  <c r="O29" i="178" l="1"/>
  <c r="O33" i="178" s="1"/>
  <c r="O24" i="178"/>
  <c r="N8" i="179"/>
  <c r="N11" i="179" s="1"/>
  <c r="M8" i="179"/>
  <c r="M11" i="179" s="1"/>
  <c r="N29" i="178"/>
  <c r="N33" i="178" s="1"/>
  <c r="P15" i="178"/>
  <c r="N14" i="179"/>
  <c r="O35" i="178" s="1"/>
  <c r="M14" i="179"/>
  <c r="N35" i="178" s="1"/>
  <c r="V63" i="154"/>
  <c r="W22" i="154" s="1"/>
  <c r="W61" i="154" s="1"/>
  <c r="W62" i="154" s="1"/>
  <c r="AC9" i="179"/>
  <c r="AB189" i="173"/>
  <c r="AB192" i="173"/>
  <c r="Q97" i="154"/>
  <c r="Q31" i="178"/>
  <c r="AC188" i="173"/>
  <c r="AB26" i="180"/>
  <c r="AB27" i="180" s="1"/>
  <c r="Q92" i="154"/>
  <c r="R87" i="154" s="1"/>
  <c r="AI106" i="176"/>
  <c r="AJ102" i="176" s="1"/>
  <c r="AK550" i="176"/>
  <c r="AK578" i="176" s="1"/>
  <c r="AK104" i="176" s="1"/>
  <c r="AJ578" i="176"/>
  <c r="AJ104" i="176" s="1"/>
  <c r="AE183" i="176"/>
  <c r="AD188" i="176"/>
  <c r="AD190" i="176" s="1"/>
  <c r="AE186" i="176" s="1"/>
  <c r="AE184" i="176"/>
  <c r="AF180" i="176" s="1"/>
  <c r="AB88" i="167"/>
  <c r="AC89" i="167" s="1"/>
  <c r="AC84" i="167"/>
  <c r="AE112" i="176"/>
  <c r="AE111" i="176"/>
  <c r="AE114" i="176"/>
  <c r="AC189" i="176"/>
  <c r="AC192" i="176"/>
  <c r="U61" i="167"/>
  <c r="U62" i="167" s="1"/>
  <c r="AG585" i="176"/>
  <c r="AF613" i="176"/>
  <c r="AF110" i="176" s="1"/>
  <c r="S90" i="167"/>
  <c r="S91" i="167" s="1"/>
  <c r="S96" i="167" s="1"/>
  <c r="O102" i="137"/>
  <c r="I15" i="180"/>
  <c r="I21" i="180" s="1"/>
  <c r="I37" i="180"/>
  <c r="K35" i="178"/>
  <c r="O37" i="178" l="1"/>
  <c r="O39" i="178" s="1"/>
  <c r="O41" i="178" s="1"/>
  <c r="N37" i="178"/>
  <c r="P21" i="178"/>
  <c r="P23" i="178" s="1"/>
  <c r="P29" i="178" s="1"/>
  <c r="P33" i="178" s="1"/>
  <c r="O9" i="180"/>
  <c r="O29" i="180" s="1"/>
  <c r="M31" i="180"/>
  <c r="M34" i="180" s="1"/>
  <c r="M36" i="180" s="1"/>
  <c r="N11" i="180"/>
  <c r="N12" i="180" s="1"/>
  <c r="N14" i="180" s="1"/>
  <c r="N31" i="180"/>
  <c r="N34" i="180" s="1"/>
  <c r="N36" i="180" s="1"/>
  <c r="M11" i="180"/>
  <c r="M12" i="180" s="1"/>
  <c r="M14" i="180" s="1"/>
  <c r="W63" i="154"/>
  <c r="X22" i="154" s="1"/>
  <c r="X61" i="154" s="1"/>
  <c r="X62" i="154" s="1"/>
  <c r="X63" i="154" s="1"/>
  <c r="Y22" i="154" s="1"/>
  <c r="P32" i="180"/>
  <c r="P10" i="179"/>
  <c r="R90" i="154"/>
  <c r="R91" i="154" s="1"/>
  <c r="R96" i="154" s="1"/>
  <c r="AC189" i="173"/>
  <c r="AC192" i="173"/>
  <c r="AD9" i="179"/>
  <c r="AC190" i="173"/>
  <c r="AD186" i="173" s="1"/>
  <c r="AJ105" i="176"/>
  <c r="AK105" i="176"/>
  <c r="E104" i="176"/>
  <c r="AJ106" i="176"/>
  <c r="AK102" i="176" s="1"/>
  <c r="AK106" i="176" s="1"/>
  <c r="AE188" i="176"/>
  <c r="AE190" i="176" s="1"/>
  <c r="AF186" i="176" s="1"/>
  <c r="AF182" i="176"/>
  <c r="AF184" i="176" s="1"/>
  <c r="AG180" i="176" s="1"/>
  <c r="AH585" i="176"/>
  <c r="AG613" i="176"/>
  <c r="AG110" i="176" s="1"/>
  <c r="AF112" i="176"/>
  <c r="AF111" i="176"/>
  <c r="AF114" i="176"/>
  <c r="U63" i="167"/>
  <c r="V22" i="167" s="1"/>
  <c r="AC88" i="167"/>
  <c r="AD89" i="167" s="1"/>
  <c r="AD84" i="167"/>
  <c r="AD189" i="176"/>
  <c r="AD192" i="176"/>
  <c r="S92" i="167"/>
  <c r="T87" i="167" s="1"/>
  <c r="T90" i="167" s="1"/>
  <c r="T91" i="167" s="1"/>
  <c r="T96" i="167" s="1"/>
  <c r="J31" i="180"/>
  <c r="J11" i="180"/>
  <c r="S97" i="167"/>
  <c r="O13" i="137"/>
  <c r="O53" i="137" s="1"/>
  <c r="O54" i="137" s="1"/>
  <c r="O100" i="137"/>
  <c r="Q17" i="178" s="1"/>
  <c r="N39" i="178" l="1"/>
  <c r="N41" i="178" s="1"/>
  <c r="P24" i="178"/>
  <c r="O8" i="179"/>
  <c r="O11" i="179" s="1"/>
  <c r="O14" i="179" s="1"/>
  <c r="P35" i="178" s="1"/>
  <c r="Q15" i="178"/>
  <c r="R92" i="154"/>
  <c r="S87" i="154" s="1"/>
  <c r="S90" i="154" s="1"/>
  <c r="S91" i="154" s="1"/>
  <c r="S96" i="154" s="1"/>
  <c r="Y61" i="154"/>
  <c r="Y62" i="154" s="1"/>
  <c r="R31" i="178"/>
  <c r="R97" i="154"/>
  <c r="AD188" i="173"/>
  <c r="AD190" i="173" s="1"/>
  <c r="AE9" i="179"/>
  <c r="E104" i="173"/>
  <c r="V61" i="167"/>
  <c r="V62" i="167" s="1"/>
  <c r="V63" i="167" s="1"/>
  <c r="W22" i="167" s="1"/>
  <c r="AD88" i="167"/>
  <c r="AE89" i="167" s="1"/>
  <c r="AE84" i="167"/>
  <c r="AI585" i="176"/>
  <c r="AH613" i="176"/>
  <c r="AH110" i="176" s="1"/>
  <c r="AF188" i="176"/>
  <c r="AF189" i="176" s="1"/>
  <c r="AG112" i="176"/>
  <c r="AG111" i="176"/>
  <c r="AG114" i="176"/>
  <c r="AG182" i="176"/>
  <c r="AF183" i="176"/>
  <c r="AE189" i="176"/>
  <c r="AE192" i="176"/>
  <c r="T92" i="167"/>
  <c r="U87" i="167" s="1"/>
  <c r="U90" i="167" s="1"/>
  <c r="U91" i="167" s="1"/>
  <c r="U96" i="167" s="1"/>
  <c r="K37" i="178"/>
  <c r="K39" i="178" s="1"/>
  <c r="T97" i="167"/>
  <c r="J12" i="180"/>
  <c r="J34" i="180"/>
  <c r="P102" i="137"/>
  <c r="Q21" i="178" l="1"/>
  <c r="Q23" i="178" s="1"/>
  <c r="P9" i="180"/>
  <c r="P29" i="180" s="1"/>
  <c r="S92" i="154"/>
  <c r="T87" i="154" s="1"/>
  <c r="T90" i="154" s="1"/>
  <c r="T91" i="154" s="1"/>
  <c r="T96" i="154" s="1"/>
  <c r="AD189" i="173"/>
  <c r="AD192" i="173"/>
  <c r="S31" i="178"/>
  <c r="S97" i="154"/>
  <c r="Q32" i="180"/>
  <c r="Q10" i="179"/>
  <c r="Y63" i="154"/>
  <c r="Z22" i="154" s="1"/>
  <c r="AF9" i="179"/>
  <c r="O31" i="180"/>
  <c r="O34" i="180" s="1"/>
  <c r="O36" i="180" s="1"/>
  <c r="AG183" i="176"/>
  <c r="AF192" i="176"/>
  <c r="AG184" i="176"/>
  <c r="AH180" i="176" s="1"/>
  <c r="AJ585" i="176"/>
  <c r="AI613" i="176"/>
  <c r="AI110" i="176" s="1"/>
  <c r="AF190" i="176"/>
  <c r="AG186" i="176" s="1"/>
  <c r="AH112" i="176"/>
  <c r="AH111" i="176"/>
  <c r="AH114" i="176"/>
  <c r="W61" i="167"/>
  <c r="W62" i="167" s="1"/>
  <c r="AF84" i="167"/>
  <c r="AE88" i="167"/>
  <c r="AF89" i="167" s="1"/>
  <c r="P37" i="178"/>
  <c r="P39" i="178" s="1"/>
  <c r="P41" i="178" s="1"/>
  <c r="O11" i="180"/>
  <c r="O12" i="180" s="1"/>
  <c r="O14" i="180" s="1"/>
  <c r="U92" i="167"/>
  <c r="V87" i="167" s="1"/>
  <c r="V90" i="167" s="1"/>
  <c r="V91" i="167" s="1"/>
  <c r="V96" i="167" s="1"/>
  <c r="P100" i="137"/>
  <c r="R17" i="178" s="1"/>
  <c r="P13" i="137"/>
  <c r="P53" i="137" s="1"/>
  <c r="P54" i="137" s="1"/>
  <c r="J36" i="180"/>
  <c r="J14" i="180"/>
  <c r="K41" i="178"/>
  <c r="U97" i="167"/>
  <c r="P8" i="179" l="1"/>
  <c r="P11" i="179" s="1"/>
  <c r="P14" i="179" s="1"/>
  <c r="Q24" i="178"/>
  <c r="Q29" i="178"/>
  <c r="Q33" i="178" s="1"/>
  <c r="R15" i="178"/>
  <c r="T92" i="154"/>
  <c r="U87" i="154" s="1"/>
  <c r="U90" i="154" s="1"/>
  <c r="U91" i="154" s="1"/>
  <c r="U96" i="154" s="1"/>
  <c r="T97" i="154"/>
  <c r="T31" i="178"/>
  <c r="Z61" i="154"/>
  <c r="Z62" i="154" s="1"/>
  <c r="AG9" i="179"/>
  <c r="E110" i="173"/>
  <c r="R32" i="180"/>
  <c r="R10" i="179"/>
  <c r="W63" i="167"/>
  <c r="X22" i="167" s="1"/>
  <c r="X61" i="167" s="1"/>
  <c r="X62" i="167" s="1"/>
  <c r="X63" i="167" s="1"/>
  <c r="Y22" i="167" s="1"/>
  <c r="Y61" i="167" s="1"/>
  <c r="Y62" i="167" s="1"/>
  <c r="AF88" i="167"/>
  <c r="AG89" i="167" s="1"/>
  <c r="AG84" i="167"/>
  <c r="AG188" i="176"/>
  <c r="AG190" i="176" s="1"/>
  <c r="AH186" i="176" s="1"/>
  <c r="AK585" i="176"/>
  <c r="AK613" i="176" s="1"/>
  <c r="AK110" i="176" s="1"/>
  <c r="AJ613" i="176"/>
  <c r="AJ110" i="176" s="1"/>
  <c r="AI112" i="176"/>
  <c r="AI111" i="176"/>
  <c r="AI114" i="176"/>
  <c r="AH182" i="176"/>
  <c r="Q35" i="178"/>
  <c r="V92" i="167"/>
  <c r="W87" i="167" s="1"/>
  <c r="J15" i="180"/>
  <c r="J21" i="180" s="1"/>
  <c r="V97" i="167"/>
  <c r="J37" i="180"/>
  <c r="K37" i="180" s="1"/>
  <c r="L37" i="180" s="1"/>
  <c r="M37" i="180" s="1"/>
  <c r="N37" i="180" s="1"/>
  <c r="O37" i="180" s="1"/>
  <c r="Q102" i="137"/>
  <c r="R21" i="178" l="1"/>
  <c r="R23" i="178" s="1"/>
  <c r="Q8" i="179" s="1"/>
  <c r="Q11" i="179" s="1"/>
  <c r="Q14" i="179" s="1"/>
  <c r="Q9" i="180"/>
  <c r="Q29" i="180" s="1"/>
  <c r="U92" i="154"/>
  <c r="V87" i="154" s="1"/>
  <c r="V90" i="154" s="1"/>
  <c r="V91" i="154" s="1"/>
  <c r="V96" i="154" s="1"/>
  <c r="Z63" i="154"/>
  <c r="AA22" i="154" s="1"/>
  <c r="AA61" i="154" s="1"/>
  <c r="AA62" i="154" s="1"/>
  <c r="U31" i="178"/>
  <c r="U97" i="154"/>
  <c r="AI9" i="179"/>
  <c r="E114" i="173"/>
  <c r="F115" i="173" s="1"/>
  <c r="S10" i="179"/>
  <c r="S32" i="180"/>
  <c r="AH9" i="179"/>
  <c r="P31" i="180"/>
  <c r="P34" i="180" s="1"/>
  <c r="P36" i="180" s="1"/>
  <c r="Q37" i="178"/>
  <c r="Q39" i="178" s="1"/>
  <c r="Q41" i="178" s="1"/>
  <c r="Y63" i="167"/>
  <c r="Z22" i="167" s="1"/>
  <c r="Z61" i="167" s="1"/>
  <c r="Z62" i="167" s="1"/>
  <c r="AH188" i="176"/>
  <c r="AH189" i="176" s="1"/>
  <c r="AK112" i="176"/>
  <c r="E110" i="176"/>
  <c r="AK111" i="176"/>
  <c r="AK114" i="176"/>
  <c r="AH183" i="176"/>
  <c r="AH84" i="167"/>
  <c r="AG88" i="167"/>
  <c r="AH89" i="167" s="1"/>
  <c r="AH184" i="176"/>
  <c r="AI180" i="176" s="1"/>
  <c r="AJ112" i="176"/>
  <c r="AJ111" i="176"/>
  <c r="AJ114" i="176"/>
  <c r="AG189" i="176"/>
  <c r="AG192" i="176"/>
  <c r="P11" i="180"/>
  <c r="P12" i="180" s="1"/>
  <c r="P14" i="180" s="1"/>
  <c r="K15" i="180"/>
  <c r="W90" i="167"/>
  <c r="W91" i="167" s="1"/>
  <c r="W96" i="167" s="1"/>
  <c r="Q13" i="137"/>
  <c r="Q53" i="137" s="1"/>
  <c r="Q54" i="137" s="1"/>
  <c r="Q100" i="137"/>
  <c r="S17" i="178" s="1"/>
  <c r="R29" i="178" l="1"/>
  <c r="R33" i="178" s="1"/>
  <c r="R24" i="178"/>
  <c r="S15" i="178"/>
  <c r="P37" i="180"/>
  <c r="V92" i="154"/>
  <c r="W87" i="154" s="1"/>
  <c r="W90" i="154" s="1"/>
  <c r="W91" i="154" s="1"/>
  <c r="W96" i="154" s="1"/>
  <c r="E182" i="173"/>
  <c r="E27" i="178"/>
  <c r="F27" i="178" s="1"/>
  <c r="E115" i="173"/>
  <c r="AA63" i="154"/>
  <c r="AB22" i="154" s="1"/>
  <c r="E88" i="154"/>
  <c r="E9" i="179"/>
  <c r="T32" i="180"/>
  <c r="T10" i="179"/>
  <c r="E26" i="178"/>
  <c r="F26" i="178" s="1"/>
  <c r="V97" i="154"/>
  <c r="V31" i="178"/>
  <c r="AH192" i="176"/>
  <c r="AH190" i="176"/>
  <c r="AI186" i="176" s="1"/>
  <c r="AI188" i="176" s="1"/>
  <c r="AI189" i="176" s="1"/>
  <c r="Z63" i="167"/>
  <c r="AA22" i="167" s="1"/>
  <c r="AA61" i="167" s="1"/>
  <c r="AA62" i="167" s="1"/>
  <c r="AA63" i="167" s="1"/>
  <c r="AB22" i="167" s="1"/>
  <c r="AB61" i="167" s="1"/>
  <c r="AI182" i="176"/>
  <c r="AI184" i="176" s="1"/>
  <c r="AJ180" i="176" s="1"/>
  <c r="E114" i="176"/>
  <c r="E115" i="176" s="1"/>
  <c r="AI84" i="167"/>
  <c r="AH88" i="167"/>
  <c r="AI89" i="167" s="1"/>
  <c r="R35" i="178"/>
  <c r="L15" i="180"/>
  <c r="M15" i="180" s="1"/>
  <c r="K21" i="180"/>
  <c r="W92" i="167"/>
  <c r="X87" i="167" s="1"/>
  <c r="X90" i="167" s="1"/>
  <c r="X91" i="167" s="1"/>
  <c r="X96" i="167" s="1"/>
  <c r="S102" i="137"/>
  <c r="W97" i="167"/>
  <c r="S21" i="178" l="1"/>
  <c r="S23" i="178" s="1"/>
  <c r="S29" i="178" s="1"/>
  <c r="S33" i="178" s="1"/>
  <c r="R9" i="180"/>
  <c r="R29" i="180" s="1"/>
  <c r="R13" i="137"/>
  <c r="R53" i="137" s="1"/>
  <c r="R54" i="137" s="1"/>
  <c r="R102" i="137"/>
  <c r="U10" i="179"/>
  <c r="U32" i="180"/>
  <c r="E33" i="180"/>
  <c r="E89" i="154"/>
  <c r="W92" i="154"/>
  <c r="X87" i="154" s="1"/>
  <c r="W31" i="178"/>
  <c r="W97" i="154"/>
  <c r="AB61" i="154"/>
  <c r="AB62" i="154" s="1"/>
  <c r="E27" i="180"/>
  <c r="E26" i="180"/>
  <c r="Q31" i="180"/>
  <c r="Q34" i="180" s="1"/>
  <c r="Q36" i="180" s="1"/>
  <c r="R100" i="137"/>
  <c r="T17" i="178" s="1"/>
  <c r="AB62" i="167"/>
  <c r="AB63" i="167" s="1"/>
  <c r="AC22" i="167" s="1"/>
  <c r="AC61" i="167" s="1"/>
  <c r="AC62" i="167" s="1"/>
  <c r="AC63" i="167" s="1"/>
  <c r="AD22" i="167" s="1"/>
  <c r="AJ182" i="176"/>
  <c r="AJ184" i="176" s="1"/>
  <c r="AK180" i="176" s="1"/>
  <c r="AI88" i="167"/>
  <c r="AJ89" i="167" s="1"/>
  <c r="E89" i="167" s="1"/>
  <c r="AJ84" i="167"/>
  <c r="AJ88" i="167" s="1"/>
  <c r="AI190" i="176"/>
  <c r="AJ186" i="176" s="1"/>
  <c r="AI183" i="176"/>
  <c r="AI192" i="176"/>
  <c r="Q11" i="180"/>
  <c r="Q12" i="180" s="1"/>
  <c r="Q14" i="180" s="1"/>
  <c r="R37" i="178"/>
  <c r="R39" i="178" s="1"/>
  <c r="R41" i="178" s="1"/>
  <c r="L21" i="180"/>
  <c r="X92" i="167"/>
  <c r="Y87" i="167" s="1"/>
  <c r="Y90" i="167" s="1"/>
  <c r="Y91" i="167" s="1"/>
  <c r="Y96" i="167" s="1"/>
  <c r="X97" i="167"/>
  <c r="N15" i="180"/>
  <c r="M21" i="180"/>
  <c r="T102" i="137"/>
  <c r="S100" i="137"/>
  <c r="U17" i="178" s="1"/>
  <c r="S13" i="137"/>
  <c r="S53" i="137" s="1"/>
  <c r="S54" i="137" s="1"/>
  <c r="R8" i="179" l="1"/>
  <c r="R11" i="179" s="1"/>
  <c r="R14" i="179" s="1"/>
  <c r="S35" i="178" s="1"/>
  <c r="S37" i="178" s="1"/>
  <c r="S24" i="178"/>
  <c r="T15" i="178"/>
  <c r="U15" i="178"/>
  <c r="Q37" i="180"/>
  <c r="AB63" i="154"/>
  <c r="AC22" i="154" s="1"/>
  <c r="AC61" i="154" s="1"/>
  <c r="AC62" i="154" s="1"/>
  <c r="X90" i="154"/>
  <c r="X91" i="154" s="1"/>
  <c r="X96" i="154" s="1"/>
  <c r="V10" i="179"/>
  <c r="V32" i="180"/>
  <c r="E88" i="167"/>
  <c r="AK182" i="176"/>
  <c r="AK184" i="176" s="1"/>
  <c r="AJ188" i="176"/>
  <c r="AJ189" i="176" s="1"/>
  <c r="AD61" i="167"/>
  <c r="AD62" i="167" s="1"/>
  <c r="AJ183" i="176"/>
  <c r="T13" i="137"/>
  <c r="T53" i="137" s="1"/>
  <c r="T54" i="137" s="1"/>
  <c r="T100" i="137"/>
  <c r="V17" i="178" s="1"/>
  <c r="O15" i="180"/>
  <c r="N21" i="180"/>
  <c r="Y92" i="167"/>
  <c r="Z87" i="167" s="1"/>
  <c r="Y97" i="167"/>
  <c r="U21" i="178" l="1"/>
  <c r="U23" i="178" s="1"/>
  <c r="T9" i="180"/>
  <c r="T29" i="180" s="1"/>
  <c r="T21" i="178"/>
  <c r="T23" i="178" s="1"/>
  <c r="S9" i="180"/>
  <c r="S29" i="180" s="1"/>
  <c r="V15" i="178"/>
  <c r="R31" i="180"/>
  <c r="R34" i="180" s="1"/>
  <c r="R36" i="180" s="1"/>
  <c r="R37" i="180" s="1"/>
  <c r="R11" i="180"/>
  <c r="R12" i="180" s="1"/>
  <c r="R14" i="180" s="1"/>
  <c r="AC63" i="154"/>
  <c r="X92" i="154"/>
  <c r="Y87" i="154" s="1"/>
  <c r="Y90" i="154" s="1"/>
  <c r="Y91" i="154" s="1"/>
  <c r="Y96" i="154" s="1"/>
  <c r="X97" i="154"/>
  <c r="X31" i="178"/>
  <c r="AJ192" i="176"/>
  <c r="AJ190" i="176"/>
  <c r="AK186" i="176" s="1"/>
  <c r="AK188" i="176" s="1"/>
  <c r="AK190" i="176" s="1"/>
  <c r="AD63" i="167"/>
  <c r="AE22" i="167" s="1"/>
  <c r="AE61" i="167" s="1"/>
  <c r="AE62" i="167" s="1"/>
  <c r="E182" i="176"/>
  <c r="AK183" i="176"/>
  <c r="S39" i="178"/>
  <c r="S41" i="178" s="1"/>
  <c r="Z90" i="167"/>
  <c r="Z91" i="167" s="1"/>
  <c r="Z96" i="167" s="1"/>
  <c r="P15" i="180"/>
  <c r="O21" i="180"/>
  <c r="U102" i="137"/>
  <c r="U24" i="178" l="1"/>
  <c r="U29" i="178"/>
  <c r="U33" i="178" s="1"/>
  <c r="T8" i="179"/>
  <c r="T11" i="179" s="1"/>
  <c r="V21" i="178"/>
  <c r="V23" i="178" s="1"/>
  <c r="U9" i="180"/>
  <c r="U29" i="180" s="1"/>
  <c r="T29" i="178"/>
  <c r="T33" i="178" s="1"/>
  <c r="S8" i="179"/>
  <c r="S11" i="179" s="1"/>
  <c r="S14" i="179" s="1"/>
  <c r="T24" i="178"/>
  <c r="T14" i="179"/>
  <c r="U35" i="178" s="1"/>
  <c r="Y92" i="154"/>
  <c r="Z87" i="154" s="1"/>
  <c r="Z90" i="154" s="1"/>
  <c r="Z91" i="154" s="1"/>
  <c r="Z96" i="154" s="1"/>
  <c r="W10" i="179"/>
  <c r="W32" i="180"/>
  <c r="Y31" i="178"/>
  <c r="Y97" i="154"/>
  <c r="AK192" i="176"/>
  <c r="E192" i="176" s="1"/>
  <c r="E193" i="176" s="1"/>
  <c r="AE63" i="167"/>
  <c r="AF22" i="167" s="1"/>
  <c r="AF61" i="167" s="1"/>
  <c r="AF62" i="167" s="1"/>
  <c r="AF63" i="167" s="1"/>
  <c r="AG22" i="167" s="1"/>
  <c r="AG61" i="167" s="1"/>
  <c r="AK189" i="176"/>
  <c r="E188" i="176"/>
  <c r="Z92" i="167"/>
  <c r="AA87" i="167" s="1"/>
  <c r="AA90" i="167" s="1"/>
  <c r="AA91" i="167" s="1"/>
  <c r="AA96" i="167" s="1"/>
  <c r="Q15" i="180"/>
  <c r="P21" i="180"/>
  <c r="U100" i="137"/>
  <c r="W17" i="178" s="1"/>
  <c r="U13" i="137"/>
  <c r="U53" i="137" s="1"/>
  <c r="U54" i="137" s="1"/>
  <c r="V102" i="137"/>
  <c r="Z97" i="167"/>
  <c r="U37" i="178" l="1"/>
  <c r="U39" i="178" s="1"/>
  <c r="U41" i="178" s="1"/>
  <c r="V29" i="178"/>
  <c r="V33" i="178" s="1"/>
  <c r="U8" i="179"/>
  <c r="U11" i="179" s="1"/>
  <c r="V24" i="178"/>
  <c r="T31" i="180"/>
  <c r="T34" i="180" s="1"/>
  <c r="T36" i="180" s="1"/>
  <c r="T11" i="180"/>
  <c r="T12" i="180" s="1"/>
  <c r="T14" i="180" s="1"/>
  <c r="T35" i="178"/>
  <c r="S11" i="180"/>
  <c r="S12" i="180" s="1"/>
  <c r="S14" i="180" s="1"/>
  <c r="S31" i="180"/>
  <c r="S34" i="180" s="1"/>
  <c r="S36" i="180" s="1"/>
  <c r="S37" i="180" s="1"/>
  <c r="T37" i="178"/>
  <c r="T39" i="178" s="1"/>
  <c r="T41" i="178" s="1"/>
  <c r="W15" i="178"/>
  <c r="U14" i="179"/>
  <c r="V35" i="178" s="1"/>
  <c r="Z92" i="154"/>
  <c r="AA87" i="154" s="1"/>
  <c r="AA90" i="154" s="1"/>
  <c r="AA91" i="154" s="1"/>
  <c r="AA96" i="154" s="1"/>
  <c r="X32" i="180"/>
  <c r="X10" i="179"/>
  <c r="Z31" i="178"/>
  <c r="Z97" i="154"/>
  <c r="E188" i="173"/>
  <c r="E192" i="173"/>
  <c r="E193" i="173" s="1"/>
  <c r="AG62" i="167"/>
  <c r="AG63" i="167" s="1"/>
  <c r="AH22" i="167" s="1"/>
  <c r="AH61" i="167" s="1"/>
  <c r="AH62" i="167" s="1"/>
  <c r="W102" i="137"/>
  <c r="AA97" i="167"/>
  <c r="AA92" i="167"/>
  <c r="AB87" i="167" s="1"/>
  <c r="V13" i="137"/>
  <c r="V53" i="137" s="1"/>
  <c r="V54" i="137" s="1"/>
  <c r="V100" i="137"/>
  <c r="X17" i="178" s="1"/>
  <c r="R15" i="180"/>
  <c r="Q21" i="180"/>
  <c r="V37" i="178" l="1"/>
  <c r="V39" i="178" s="1"/>
  <c r="V41" i="178" s="1"/>
  <c r="T37" i="180"/>
  <c r="U31" i="180"/>
  <c r="U34" i="180" s="1"/>
  <c r="U36" i="180" s="1"/>
  <c r="U11" i="180"/>
  <c r="U12" i="180" s="1"/>
  <c r="U14" i="180" s="1"/>
  <c r="W21" i="178"/>
  <c r="W23" i="178" s="1"/>
  <c r="W24" i="178" s="1"/>
  <c r="V9" i="180"/>
  <c r="V29" i="180" s="1"/>
  <c r="X15" i="178"/>
  <c r="AA92" i="154"/>
  <c r="AB87" i="154" s="1"/>
  <c r="AB90" i="154" s="1"/>
  <c r="AB91" i="154" s="1"/>
  <c r="AB96" i="154" s="1"/>
  <c r="Y10" i="179"/>
  <c r="Y32" i="180"/>
  <c r="AA97" i="154"/>
  <c r="AA31" i="178"/>
  <c r="W100" i="137"/>
  <c r="Y17" i="178" s="1"/>
  <c r="AH63" i="167"/>
  <c r="AI22" i="167" s="1"/>
  <c r="AI61" i="167" s="1"/>
  <c r="AI62" i="167" s="1"/>
  <c r="W13" i="137"/>
  <c r="W53" i="137" s="1"/>
  <c r="W54" i="137" s="1"/>
  <c r="S15" i="180"/>
  <c r="R21" i="180"/>
  <c r="AB90" i="167"/>
  <c r="AB91" i="167" s="1"/>
  <c r="AB96" i="167" s="1"/>
  <c r="U37" i="180" l="1"/>
  <c r="V8" i="179"/>
  <c r="V11" i="179" s="1"/>
  <c r="V14" i="179" s="1"/>
  <c r="W35" i="178" s="1"/>
  <c r="W29" i="178"/>
  <c r="W33" i="178" s="1"/>
  <c r="X21" i="178"/>
  <c r="X23" i="178" s="1"/>
  <c r="X29" i="178" s="1"/>
  <c r="X33" i="178" s="1"/>
  <c r="W9" i="180"/>
  <c r="W29" i="180" s="1"/>
  <c r="Y15" i="178"/>
  <c r="AB92" i="154"/>
  <c r="AC87" i="154" s="1"/>
  <c r="AC90" i="154" s="1"/>
  <c r="AC91" i="154" s="1"/>
  <c r="AC96" i="154" s="1"/>
  <c r="Z10" i="179"/>
  <c r="Z32" i="180"/>
  <c r="AB97" i="154"/>
  <c r="AB31" i="178"/>
  <c r="AI63" i="167"/>
  <c r="AJ22" i="167" s="1"/>
  <c r="AJ61" i="167" s="1"/>
  <c r="AB92" i="167"/>
  <c r="AC87" i="167" s="1"/>
  <c r="AC90" i="167" s="1"/>
  <c r="AC91" i="167" s="1"/>
  <c r="AC96" i="167" s="1"/>
  <c r="X102" i="137"/>
  <c r="AB97" i="167"/>
  <c r="T15" i="180"/>
  <c r="S21" i="180"/>
  <c r="X24" i="178" l="1"/>
  <c r="W8" i="179"/>
  <c r="W11" i="179" s="1"/>
  <c r="W37" i="178"/>
  <c r="W39" i="178" s="1"/>
  <c r="W41" i="178" s="1"/>
  <c r="Y21" i="178"/>
  <c r="Y23" i="178" s="1"/>
  <c r="Y29" i="178" s="1"/>
  <c r="Y33" i="178" s="1"/>
  <c r="X9" i="180"/>
  <c r="X29" i="180" s="1"/>
  <c r="V11" i="180"/>
  <c r="V12" i="180" s="1"/>
  <c r="V14" i="180" s="1"/>
  <c r="V31" i="180"/>
  <c r="V34" i="180" s="1"/>
  <c r="V36" i="180" s="1"/>
  <c r="V37" i="180" s="1"/>
  <c r="W14" i="179"/>
  <c r="X35" i="178" s="1"/>
  <c r="X37" i="178" s="1"/>
  <c r="AC31" i="178"/>
  <c r="AC97" i="154"/>
  <c r="AA10" i="179"/>
  <c r="AA32" i="180"/>
  <c r="AC92" i="154"/>
  <c r="X100" i="137"/>
  <c r="Z17" i="178" s="1"/>
  <c r="AJ62" i="167"/>
  <c r="E61" i="167"/>
  <c r="X13" i="137"/>
  <c r="X53" i="137" s="1"/>
  <c r="X54" i="137" s="1"/>
  <c r="U15" i="180"/>
  <c r="T21" i="180"/>
  <c r="AC97" i="167"/>
  <c r="AC92" i="167"/>
  <c r="AD87" i="167" s="1"/>
  <c r="X8" i="179" l="1"/>
  <c r="X11" i="179" s="1"/>
  <c r="X14" i="179" s="1"/>
  <c r="Y24" i="178"/>
  <c r="W31" i="180"/>
  <c r="W34" i="180" s="1"/>
  <c r="W36" i="180" s="1"/>
  <c r="W37" i="180" s="1"/>
  <c r="Z15" i="178"/>
  <c r="W11" i="180"/>
  <c r="W12" i="180" s="1"/>
  <c r="W14" i="180" s="1"/>
  <c r="Y35" i="178"/>
  <c r="Y37" i="178" s="1"/>
  <c r="Y39" i="178" s="1"/>
  <c r="Y41" i="178" s="1"/>
  <c r="X11" i="180"/>
  <c r="X12" i="180" s="1"/>
  <c r="X14" i="180" s="1"/>
  <c r="X31" i="180"/>
  <c r="X34" i="180" s="1"/>
  <c r="X36" i="180" s="1"/>
  <c r="AB32" i="180"/>
  <c r="AB10" i="179"/>
  <c r="E62" i="167"/>
  <c r="AJ63" i="167"/>
  <c r="X39" i="178"/>
  <c r="X41" i="178" s="1"/>
  <c r="V15" i="180"/>
  <c r="U21" i="180"/>
  <c r="AD90" i="167"/>
  <c r="AD91" i="167" s="1"/>
  <c r="AD96" i="167" s="1"/>
  <c r="Z21" i="178" l="1"/>
  <c r="Z23" i="178" s="1"/>
  <c r="Y9" i="180"/>
  <c r="Y29" i="180" s="1"/>
  <c r="X37" i="180"/>
  <c r="Y13" i="137"/>
  <c r="Y53" i="137" s="1"/>
  <c r="Y54" i="137" s="1"/>
  <c r="Y102" i="137"/>
  <c r="E61" i="154"/>
  <c r="E62" i="154"/>
  <c r="Y100" i="137"/>
  <c r="AA17" i="178" s="1"/>
  <c r="AD92" i="167"/>
  <c r="AE87" i="167" s="1"/>
  <c r="AE90" i="167" s="1"/>
  <c r="AE91" i="167" s="1"/>
  <c r="AE96" i="167" s="1"/>
  <c r="AD97" i="167"/>
  <c r="W15" i="180"/>
  <c r="V21" i="180"/>
  <c r="AA15" i="178" l="1"/>
  <c r="Y8" i="179"/>
  <c r="Y11" i="179" s="1"/>
  <c r="Y14" i="179" s="1"/>
  <c r="Z35" i="178" s="1"/>
  <c r="Z24" i="178"/>
  <c r="Z29" i="178"/>
  <c r="Z33" i="178" s="1"/>
  <c r="AC10" i="179"/>
  <c r="AE97" i="167"/>
  <c r="AE92" i="167"/>
  <c r="AF87" i="167" s="1"/>
  <c r="X15" i="180"/>
  <c r="W21" i="180"/>
  <c r="Y11" i="180" l="1"/>
  <c r="Y12" i="180" s="1"/>
  <c r="Y14" i="180" s="1"/>
  <c r="Y15" i="180" s="1"/>
  <c r="Y31" i="180"/>
  <c r="Y34" i="180" s="1"/>
  <c r="Y36" i="180" s="1"/>
  <c r="Y37" i="180" s="1"/>
  <c r="Z37" i="178"/>
  <c r="Z39" i="178" s="1"/>
  <c r="Z41" i="178" s="1"/>
  <c r="AA21" i="178"/>
  <c r="AA23" i="178" s="1"/>
  <c r="AA24" i="178" s="1"/>
  <c r="Z9" i="180"/>
  <c r="Z29" i="180" s="1"/>
  <c r="Z100" i="137"/>
  <c r="AB17" i="178" s="1"/>
  <c r="Z102" i="137"/>
  <c r="AD10" i="179"/>
  <c r="Z13" i="137"/>
  <c r="Z53" i="137" s="1"/>
  <c r="Z54" i="137" s="1"/>
  <c r="X21" i="180"/>
  <c r="AF90" i="167"/>
  <c r="AF91" i="167" s="1"/>
  <c r="AF96" i="167" s="1"/>
  <c r="Z8" i="179" l="1"/>
  <c r="Z11" i="179" s="1"/>
  <c r="Z14" i="179" s="1"/>
  <c r="AA35" i="178" s="1"/>
  <c r="AA29" i="178"/>
  <c r="AA33" i="178" s="1"/>
  <c r="AB15" i="178"/>
  <c r="AA13" i="137"/>
  <c r="AA102" i="137"/>
  <c r="AE10" i="179"/>
  <c r="AA100" i="137"/>
  <c r="AC17" i="178" s="1"/>
  <c r="AF92" i="167"/>
  <c r="AG87" i="167" s="1"/>
  <c r="AG90" i="167" s="1"/>
  <c r="AG91" i="167" s="1"/>
  <c r="AG96" i="167" s="1"/>
  <c r="AF97" i="167"/>
  <c r="Y21" i="180"/>
  <c r="AA53" i="137" l="1"/>
  <c r="AA54" i="137" s="1"/>
  <c r="D13" i="137"/>
  <c r="AA37" i="178"/>
  <c r="AA39" i="178" s="1"/>
  <c r="AA41" i="178" s="1"/>
  <c r="AB21" i="178"/>
  <c r="AB23" i="178" s="1"/>
  <c r="AA9" i="180"/>
  <c r="AC15" i="178"/>
  <c r="Z11" i="180"/>
  <c r="Z12" i="180" s="1"/>
  <c r="Z14" i="180" s="1"/>
  <c r="Z15" i="180" s="1"/>
  <c r="Z31" i="180"/>
  <c r="Z34" i="180" s="1"/>
  <c r="Z36" i="180" s="1"/>
  <c r="Z37" i="180" s="1"/>
  <c r="AF10" i="179"/>
  <c r="AG97" i="167"/>
  <c r="AG92" i="167"/>
  <c r="AH87" i="167" s="1"/>
  <c r="AC21" i="178" l="1"/>
  <c r="AC23" i="178" s="1"/>
  <c r="AB8" i="179" s="1"/>
  <c r="AB11" i="179" s="1"/>
  <c r="AB14" i="179" s="1"/>
  <c r="AC35" i="178" s="1"/>
  <c r="AB9" i="180"/>
  <c r="AB29" i="180" s="1"/>
  <c r="AA29" i="180"/>
  <c r="AB29" i="178"/>
  <c r="AB33" i="178" s="1"/>
  <c r="AA8" i="179"/>
  <c r="AA11" i="179" s="1"/>
  <c r="AA14" i="179" s="1"/>
  <c r="AB24" i="178"/>
  <c r="Z21" i="180"/>
  <c r="AH90" i="167"/>
  <c r="AH91" i="167" s="1"/>
  <c r="AH96" i="167" s="1"/>
  <c r="AC24" i="178" l="1"/>
  <c r="AC29" i="178"/>
  <c r="AC33" i="178" s="1"/>
  <c r="AC37" i="178" s="1"/>
  <c r="AC39" i="178" s="1"/>
  <c r="AC41" i="178" s="1"/>
  <c r="AA11" i="180"/>
  <c r="AA12" i="180" s="1"/>
  <c r="AA14" i="180" s="1"/>
  <c r="AA15" i="180" s="1"/>
  <c r="AA21" i="180" s="1"/>
  <c r="AB35" i="178"/>
  <c r="AB37" i="178" s="1"/>
  <c r="AB39" i="178" s="1"/>
  <c r="AB41" i="178" s="1"/>
  <c r="AA31" i="180"/>
  <c r="AA34" i="180" s="1"/>
  <c r="AA36" i="180" s="1"/>
  <c r="AA37" i="180" s="1"/>
  <c r="AB11" i="180"/>
  <c r="AB12" i="180" s="1"/>
  <c r="AB14" i="180" s="1"/>
  <c r="AB31" i="180"/>
  <c r="AB34" i="180" s="1"/>
  <c r="AB36" i="180" s="1"/>
  <c r="AG10" i="179"/>
  <c r="AH10" i="179"/>
  <c r="AC8" i="179"/>
  <c r="AC11" i="179" s="1"/>
  <c r="AC14" i="179" s="1"/>
  <c r="AH92" i="167"/>
  <c r="AI87" i="167" s="1"/>
  <c r="AI90" i="167" s="1"/>
  <c r="AI91" i="167" s="1"/>
  <c r="AI96" i="167" s="1"/>
  <c r="AH97" i="167"/>
  <c r="D18" i="180" l="1"/>
  <c r="M36" i="21" s="1"/>
  <c r="D40" i="180"/>
  <c r="D19" i="180"/>
  <c r="D41" i="180"/>
  <c r="AB15" i="180"/>
  <c r="AB37" i="180"/>
  <c r="E87" i="154"/>
  <c r="AI92" i="167"/>
  <c r="AJ87" i="167" s="1"/>
  <c r="AJ90" i="167" s="1"/>
  <c r="AD8" i="179"/>
  <c r="AD11" i="179" s="1"/>
  <c r="AD14" i="179" s="1"/>
  <c r="AI97" i="167"/>
  <c r="AB21" i="180" l="1"/>
  <c r="D21" i="180"/>
  <c r="E90" i="154"/>
  <c r="E87" i="167"/>
  <c r="AJ91" i="167"/>
  <c r="E90" i="167"/>
  <c r="E92" i="154" l="1"/>
  <c r="E91" i="154"/>
  <c r="AJ96" i="167"/>
  <c r="E91" i="167"/>
  <c r="AJ92" i="167"/>
  <c r="E92" i="167" s="1"/>
  <c r="AE8" i="179"/>
  <c r="AE11" i="179" s="1"/>
  <c r="AE14" i="179" s="1"/>
  <c r="E96" i="154" l="1"/>
  <c r="E97" i="154" s="1"/>
  <c r="AF8" i="179"/>
  <c r="AF11" i="179" s="1"/>
  <c r="AF14" i="179" s="1"/>
  <c r="AJ97" i="167"/>
  <c r="E96" i="167"/>
  <c r="E97" i="167" s="1"/>
  <c r="E32" i="180" l="1"/>
  <c r="AI10" i="179"/>
  <c r="E10" i="179" s="1"/>
  <c r="E31" i="178"/>
  <c r="F31" i="178" s="1"/>
  <c r="AG8" i="179" l="1"/>
  <c r="AG11" i="179" s="1"/>
  <c r="AG14" i="179" s="1"/>
  <c r="AH8" i="179" l="1"/>
  <c r="AH11" i="179" s="1"/>
  <c r="AH14" i="179" s="1"/>
  <c r="D100" i="137" l="1"/>
  <c r="S4" i="21"/>
  <c r="S33" i="21" l="1"/>
  <c r="L109" i="21"/>
  <c r="D53" i="137"/>
  <c r="D5" i="183"/>
  <c r="E17" i="178"/>
  <c r="F17" i="178" s="1"/>
  <c r="L115" i="21" l="1"/>
  <c r="L112" i="21"/>
  <c r="K67" i="21" s="1"/>
  <c r="D50" i="183"/>
  <c r="D57" i="183" s="1"/>
  <c r="D24" i="183"/>
  <c r="E15" i="178"/>
  <c r="F15" i="178" s="1"/>
  <c r="D54" i="137"/>
  <c r="S34" i="21" s="1"/>
  <c r="D27" i="183" l="1"/>
  <c r="D30" i="183"/>
  <c r="E21" i="178"/>
  <c r="F21" i="178" s="1"/>
  <c r="E57" i="183"/>
  <c r="E9" i="180"/>
  <c r="D34" i="183"/>
  <c r="D45" i="183"/>
  <c r="D42" i="183"/>
  <c r="D38" i="183"/>
  <c r="D32" i="183"/>
  <c r="D28" i="183"/>
  <c r="D40" i="183"/>
  <c r="D37" i="183"/>
  <c r="D36" i="183"/>
  <c r="E24" i="183"/>
  <c r="D33" i="183"/>
  <c r="D31" i="183"/>
  <c r="D29" i="183"/>
  <c r="D44" i="183"/>
  <c r="D35" i="183"/>
  <c r="D43" i="183"/>
  <c r="D41" i="183"/>
  <c r="D39" i="183"/>
  <c r="E29" i="180" l="1"/>
  <c r="D46" i="183"/>
  <c r="AI8" i="179"/>
  <c r="E23" i="178"/>
  <c r="E29" i="178" l="1"/>
  <c r="F29" i="178" s="1"/>
  <c r="F23" i="178"/>
  <c r="E24" i="178"/>
  <c r="AI11" i="179"/>
  <c r="AI14" i="179" s="1"/>
  <c r="E8" i="179"/>
  <c r="E11" i="179" l="1"/>
  <c r="E33" i="178"/>
  <c r="F33" i="178" s="1"/>
  <c r="E14" i="179" l="1"/>
  <c r="E35" i="178"/>
  <c r="F35" i="178" s="1"/>
  <c r="E11" i="180"/>
  <c r="E31" i="180"/>
  <c r="E39" i="178" l="1"/>
  <c r="F39" i="178" s="1"/>
  <c r="M33" i="21" l="1"/>
  <c r="M34" i="21"/>
  <c r="E12" i="180"/>
  <c r="E34" i="180"/>
  <c r="E41" i="178"/>
  <c r="F41" i="178" s="1"/>
  <c r="E37" i="178"/>
  <c r="F37" i="178" s="1"/>
  <c r="E36" i="180"/>
  <c r="E14" i="180"/>
  <c r="M37" i="21"/>
  <c r="D20" i="180" l="1"/>
  <c r="L106" i="21"/>
  <c r="G53"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Mrinal Sarkar</author>
  </authors>
  <commentList>
    <comment ref="F10" authorId="0" shapeId="0" xr:uid="{871E83DC-FE5E-404A-958D-2883DD97B6DD}">
      <text>
        <r>
          <rPr>
            <b/>
            <sz val="9"/>
            <color indexed="81"/>
            <rFont val="Tahoma"/>
            <family val="2"/>
          </rPr>
          <t>Mrinal Sarkar:</t>
        </r>
        <r>
          <rPr>
            <sz val="9"/>
            <color indexed="81"/>
            <rFont val="Tahoma"/>
            <family val="2"/>
          </rPr>
          <t xml:space="preserve">
IDC adjusted.</t>
        </r>
      </text>
    </comment>
    <comment ref="G10" authorId="0" shapeId="0" xr:uid="{521A5AEF-7AC8-4133-8DB5-FD89D9256228}">
      <text>
        <r>
          <rPr>
            <b/>
            <sz val="9"/>
            <color indexed="81"/>
            <rFont val="Tahoma"/>
            <family val="2"/>
          </rPr>
          <t>Mrinal Sarkar:</t>
        </r>
        <r>
          <rPr>
            <sz val="9"/>
            <color indexed="81"/>
            <rFont val="Tahoma"/>
            <family val="2"/>
          </rPr>
          <t xml:space="preserve">
IDC adjusted.</t>
        </r>
      </text>
    </comment>
    <comment ref="H10" authorId="0" shapeId="0" xr:uid="{16664272-38F5-472B-8D8F-6332BFF250EF}">
      <text>
        <r>
          <rPr>
            <b/>
            <sz val="9"/>
            <color indexed="81"/>
            <rFont val="Tahoma"/>
            <family val="2"/>
          </rPr>
          <t>Mrinal Sarkar:</t>
        </r>
        <r>
          <rPr>
            <sz val="9"/>
            <color indexed="81"/>
            <rFont val="Tahoma"/>
            <family val="2"/>
          </rPr>
          <t xml:space="preserve">
IDC adjusted.</t>
        </r>
      </text>
    </comment>
    <comment ref="I10" authorId="0" shapeId="0" xr:uid="{69944968-E0CC-4381-838B-6D5BDBE4116D}">
      <text>
        <r>
          <rPr>
            <b/>
            <sz val="9"/>
            <color indexed="81"/>
            <rFont val="Tahoma"/>
            <family val="2"/>
          </rPr>
          <t>Mrinal Sarkar:</t>
        </r>
        <r>
          <rPr>
            <sz val="9"/>
            <color indexed="81"/>
            <rFont val="Tahoma"/>
            <family val="2"/>
          </rPr>
          <t xml:space="preserve">
IDC adjusted.</t>
        </r>
      </text>
    </comment>
    <comment ref="J10" authorId="0" shapeId="0" xr:uid="{59FD3DA8-F089-4DC0-AF8F-7FB13B419E48}">
      <text>
        <r>
          <rPr>
            <b/>
            <sz val="9"/>
            <color indexed="81"/>
            <rFont val="Tahoma"/>
            <family val="2"/>
          </rPr>
          <t>Mrinal Sarkar:</t>
        </r>
        <r>
          <rPr>
            <sz val="9"/>
            <color indexed="81"/>
            <rFont val="Tahoma"/>
            <family val="2"/>
          </rPr>
          <t xml:space="preserve">
IDC adjusted.</t>
        </r>
      </text>
    </comment>
    <comment ref="K10" authorId="0" shapeId="0" xr:uid="{350D5880-24FE-4B42-874E-5B4AEEBBD5DD}">
      <text>
        <r>
          <rPr>
            <b/>
            <sz val="9"/>
            <color indexed="81"/>
            <rFont val="Tahoma"/>
            <family val="2"/>
          </rPr>
          <t>Mrinal Sarkar:</t>
        </r>
        <r>
          <rPr>
            <sz val="9"/>
            <color indexed="81"/>
            <rFont val="Tahoma"/>
            <family val="2"/>
          </rPr>
          <t xml:space="preserve">
IDC adjusted.</t>
        </r>
      </text>
    </comment>
    <comment ref="L10" authorId="0" shapeId="0" xr:uid="{7D4CF358-DA28-4D28-91CD-878DF74CA53D}">
      <text>
        <r>
          <rPr>
            <b/>
            <sz val="9"/>
            <color indexed="81"/>
            <rFont val="Tahoma"/>
            <family val="2"/>
          </rPr>
          <t>Mrinal Sarkar:</t>
        </r>
        <r>
          <rPr>
            <sz val="9"/>
            <color indexed="81"/>
            <rFont val="Tahoma"/>
            <family val="2"/>
          </rPr>
          <t xml:space="preserve">
IDC adjusted.</t>
        </r>
      </text>
    </comment>
    <comment ref="M10" authorId="0" shapeId="0" xr:uid="{05D7F8AC-5E4A-400D-A4E2-B6991D988D00}">
      <text>
        <r>
          <rPr>
            <b/>
            <sz val="9"/>
            <color indexed="81"/>
            <rFont val="Tahoma"/>
            <family val="2"/>
          </rPr>
          <t>Mrinal Sarkar:</t>
        </r>
        <r>
          <rPr>
            <sz val="9"/>
            <color indexed="81"/>
            <rFont val="Tahoma"/>
            <family val="2"/>
          </rPr>
          <t xml:space="preserve">
IDC adjusted.</t>
        </r>
      </text>
    </comment>
    <comment ref="N10" authorId="0" shapeId="0" xr:uid="{0BF6C9E5-A77E-4570-9FD8-8E5804B2E27E}">
      <text>
        <r>
          <rPr>
            <b/>
            <sz val="9"/>
            <color indexed="81"/>
            <rFont val="Tahoma"/>
            <family val="2"/>
          </rPr>
          <t>Mrinal Sarkar:</t>
        </r>
        <r>
          <rPr>
            <sz val="9"/>
            <color indexed="81"/>
            <rFont val="Tahoma"/>
            <family val="2"/>
          </rPr>
          <t xml:space="preserve">
IDC adjusted.</t>
        </r>
      </text>
    </comment>
    <comment ref="O10" authorId="0" shapeId="0" xr:uid="{2166F9CC-DA7E-4373-9BE5-95EF4845F8B1}">
      <text>
        <r>
          <rPr>
            <b/>
            <sz val="9"/>
            <color indexed="81"/>
            <rFont val="Tahoma"/>
            <family val="2"/>
          </rPr>
          <t>Mrinal Sarkar:</t>
        </r>
        <r>
          <rPr>
            <sz val="9"/>
            <color indexed="81"/>
            <rFont val="Tahoma"/>
            <family val="2"/>
          </rPr>
          <t xml:space="preserve">
IDC adjusted.</t>
        </r>
      </text>
    </comment>
    <comment ref="P10" authorId="0" shapeId="0" xr:uid="{72CB4064-51BE-4F23-94E8-148132B6D972}">
      <text>
        <r>
          <rPr>
            <b/>
            <sz val="9"/>
            <color indexed="81"/>
            <rFont val="Tahoma"/>
            <family val="2"/>
          </rPr>
          <t>Mrinal Sarkar:</t>
        </r>
        <r>
          <rPr>
            <sz val="9"/>
            <color indexed="81"/>
            <rFont val="Tahoma"/>
            <family val="2"/>
          </rPr>
          <t xml:space="preserve">
IDC adjusted.</t>
        </r>
      </text>
    </comment>
    <comment ref="Q10" authorId="0" shapeId="0" xr:uid="{ADCE1FA5-38CD-46D1-B541-5713997DA89B}">
      <text>
        <r>
          <rPr>
            <b/>
            <sz val="9"/>
            <color indexed="81"/>
            <rFont val="Tahoma"/>
            <family val="2"/>
          </rPr>
          <t>Mrinal Sarkar:</t>
        </r>
        <r>
          <rPr>
            <sz val="9"/>
            <color indexed="81"/>
            <rFont val="Tahoma"/>
            <family val="2"/>
          </rPr>
          <t xml:space="preserve">
IDC adjusted.</t>
        </r>
      </text>
    </comment>
    <comment ref="R10" authorId="0" shapeId="0" xr:uid="{90DFEB4F-B0B1-46FD-BADB-BCF26C035920}">
      <text>
        <r>
          <rPr>
            <b/>
            <sz val="9"/>
            <color indexed="81"/>
            <rFont val="Tahoma"/>
            <family val="2"/>
          </rPr>
          <t>Mrinal Sarkar:</t>
        </r>
        <r>
          <rPr>
            <sz val="9"/>
            <color indexed="81"/>
            <rFont val="Tahoma"/>
            <family val="2"/>
          </rPr>
          <t xml:space="preserve">
IDC adjusted.</t>
        </r>
      </text>
    </comment>
    <comment ref="S10" authorId="0" shapeId="0" xr:uid="{44BDDBB3-06CC-413C-AE51-DF9518134BB1}">
      <text>
        <r>
          <rPr>
            <b/>
            <sz val="9"/>
            <color indexed="81"/>
            <rFont val="Tahoma"/>
            <family val="2"/>
          </rPr>
          <t>Mrinal Sarkar:</t>
        </r>
        <r>
          <rPr>
            <sz val="9"/>
            <color indexed="81"/>
            <rFont val="Tahoma"/>
            <family val="2"/>
          </rPr>
          <t xml:space="preserve">
IDC adjusted.</t>
        </r>
      </text>
    </comment>
    <comment ref="T10" authorId="0" shapeId="0" xr:uid="{8CA576E3-F056-4976-8404-DF568C2BF7A6}">
      <text>
        <r>
          <rPr>
            <b/>
            <sz val="9"/>
            <color indexed="81"/>
            <rFont val="Tahoma"/>
            <family val="2"/>
          </rPr>
          <t>Mrinal Sarkar:</t>
        </r>
        <r>
          <rPr>
            <sz val="9"/>
            <color indexed="81"/>
            <rFont val="Tahoma"/>
            <family val="2"/>
          </rPr>
          <t xml:space="preserve">
IDC adjusted.</t>
        </r>
      </text>
    </comment>
    <comment ref="U10" authorId="0" shapeId="0" xr:uid="{227DB390-FD48-441E-AEE6-74311DCE3AEB}">
      <text>
        <r>
          <rPr>
            <b/>
            <sz val="9"/>
            <color indexed="81"/>
            <rFont val="Tahoma"/>
            <family val="2"/>
          </rPr>
          <t>Mrinal Sarkar:</t>
        </r>
        <r>
          <rPr>
            <sz val="9"/>
            <color indexed="81"/>
            <rFont val="Tahoma"/>
            <family val="2"/>
          </rPr>
          <t xml:space="preserve">
IDC adjusted.</t>
        </r>
      </text>
    </comment>
    <comment ref="V10" authorId="0" shapeId="0" xr:uid="{B64980C0-5738-4B0E-9620-FCDF65DAB668}">
      <text>
        <r>
          <rPr>
            <b/>
            <sz val="9"/>
            <color indexed="81"/>
            <rFont val="Tahoma"/>
            <family val="2"/>
          </rPr>
          <t>Mrinal Sarkar:</t>
        </r>
        <r>
          <rPr>
            <sz val="9"/>
            <color indexed="81"/>
            <rFont val="Tahoma"/>
            <family val="2"/>
          </rPr>
          <t xml:space="preserve">
IDC adjusted.</t>
        </r>
      </text>
    </comment>
    <comment ref="W10" authorId="0" shapeId="0" xr:uid="{E10D74D8-A25B-4E4A-9260-EB118C1FDE1D}">
      <text>
        <r>
          <rPr>
            <b/>
            <sz val="9"/>
            <color indexed="81"/>
            <rFont val="Tahoma"/>
            <family val="2"/>
          </rPr>
          <t>Mrinal Sarkar:</t>
        </r>
        <r>
          <rPr>
            <sz val="9"/>
            <color indexed="81"/>
            <rFont val="Tahoma"/>
            <family val="2"/>
          </rPr>
          <t xml:space="preserve">
IDC adjusted.</t>
        </r>
      </text>
    </comment>
    <comment ref="X10" authorId="0" shapeId="0" xr:uid="{91BF7951-C46E-4023-826A-4D2E4DD18B68}">
      <text>
        <r>
          <rPr>
            <b/>
            <sz val="9"/>
            <color indexed="81"/>
            <rFont val="Tahoma"/>
            <family val="2"/>
          </rPr>
          <t>Mrinal Sarkar:</t>
        </r>
        <r>
          <rPr>
            <sz val="9"/>
            <color indexed="81"/>
            <rFont val="Tahoma"/>
            <family val="2"/>
          </rPr>
          <t xml:space="preserve">
IDC adjusted.</t>
        </r>
      </text>
    </comment>
    <comment ref="Y10" authorId="0" shapeId="0" xr:uid="{6B78B16F-9891-45EA-A8A6-D712D0A595F9}">
      <text>
        <r>
          <rPr>
            <b/>
            <sz val="9"/>
            <color indexed="81"/>
            <rFont val="Tahoma"/>
            <family val="2"/>
          </rPr>
          <t>Mrinal Sarkar:</t>
        </r>
        <r>
          <rPr>
            <sz val="9"/>
            <color indexed="81"/>
            <rFont val="Tahoma"/>
            <family val="2"/>
          </rPr>
          <t xml:space="preserve">
IDC adjusted.</t>
        </r>
      </text>
    </comment>
    <comment ref="Z10" authorId="0" shapeId="0" xr:uid="{A7F4FFAE-668C-4B6B-86E0-AADC075BC4FA}">
      <text>
        <r>
          <rPr>
            <b/>
            <sz val="9"/>
            <color indexed="81"/>
            <rFont val="Tahoma"/>
            <family val="2"/>
          </rPr>
          <t>Mrinal Sarkar:</t>
        </r>
        <r>
          <rPr>
            <sz val="9"/>
            <color indexed="81"/>
            <rFont val="Tahoma"/>
            <family val="2"/>
          </rPr>
          <t xml:space="preserve">
IDC adjusted.</t>
        </r>
      </text>
    </comment>
    <comment ref="AA10" authorId="0" shapeId="0" xr:uid="{860FBF1D-E231-440D-B9EA-3EBB25A91F41}">
      <text>
        <r>
          <rPr>
            <b/>
            <sz val="9"/>
            <color indexed="81"/>
            <rFont val="Tahoma"/>
            <family val="2"/>
          </rPr>
          <t>Mrinal Sarkar:</t>
        </r>
        <r>
          <rPr>
            <sz val="9"/>
            <color indexed="81"/>
            <rFont val="Tahoma"/>
            <family val="2"/>
          </rPr>
          <t xml:space="preserve">
IDC adjusted.</t>
        </r>
      </text>
    </comment>
    <comment ref="AB10" authorId="0" shapeId="0" xr:uid="{089E870A-A102-4477-8683-4E20E07B2924}">
      <text>
        <r>
          <rPr>
            <b/>
            <sz val="9"/>
            <color indexed="81"/>
            <rFont val="Tahoma"/>
            <family val="2"/>
          </rPr>
          <t>Mrinal Sarkar:</t>
        </r>
        <r>
          <rPr>
            <sz val="9"/>
            <color indexed="81"/>
            <rFont val="Tahoma"/>
            <family val="2"/>
          </rPr>
          <t xml:space="preserve">
IDC adjusted.</t>
        </r>
      </text>
    </comment>
    <comment ref="AC10" authorId="0" shapeId="0" xr:uid="{3395286F-24BC-4DEF-8993-32ABD4D55828}">
      <text>
        <r>
          <rPr>
            <b/>
            <sz val="9"/>
            <color indexed="81"/>
            <rFont val="Tahoma"/>
            <family val="2"/>
          </rPr>
          <t>Mrinal Sarkar:</t>
        </r>
        <r>
          <rPr>
            <sz val="9"/>
            <color indexed="81"/>
            <rFont val="Tahoma"/>
            <family val="2"/>
          </rPr>
          <t xml:space="preserve">
IDC adjusted.</t>
        </r>
      </text>
    </comment>
    <comment ref="AD10" authorId="0" shapeId="0" xr:uid="{B1399BE3-1E25-4508-80D0-6721B01CBE46}">
      <text>
        <r>
          <rPr>
            <b/>
            <sz val="9"/>
            <color indexed="81"/>
            <rFont val="Tahoma"/>
            <family val="2"/>
          </rPr>
          <t>Mrinal Sarkar:</t>
        </r>
        <r>
          <rPr>
            <sz val="9"/>
            <color indexed="81"/>
            <rFont val="Tahoma"/>
            <family val="2"/>
          </rPr>
          <t xml:space="preserve">
IDC adjusted.</t>
        </r>
      </text>
    </comment>
    <comment ref="AE10" authorId="0" shapeId="0" xr:uid="{4A7F5825-4A65-460D-A0C2-15A675704915}">
      <text>
        <r>
          <rPr>
            <b/>
            <sz val="9"/>
            <color indexed="81"/>
            <rFont val="Tahoma"/>
            <family val="2"/>
          </rPr>
          <t>Mrinal Sarkar:</t>
        </r>
        <r>
          <rPr>
            <sz val="9"/>
            <color indexed="81"/>
            <rFont val="Tahoma"/>
            <family val="2"/>
          </rPr>
          <t xml:space="preserve">
IDC adjusted.</t>
        </r>
      </text>
    </comment>
    <comment ref="AF10" authorId="0" shapeId="0" xr:uid="{D6D46A0A-7B16-42A1-B74C-BA5F0F9FFDAA}">
      <text>
        <r>
          <rPr>
            <b/>
            <sz val="9"/>
            <color indexed="81"/>
            <rFont val="Tahoma"/>
            <family val="2"/>
          </rPr>
          <t>Mrinal Sarkar:</t>
        </r>
        <r>
          <rPr>
            <sz val="9"/>
            <color indexed="81"/>
            <rFont val="Tahoma"/>
            <family val="2"/>
          </rPr>
          <t xml:space="preserve">
IDC adjusted.</t>
        </r>
      </text>
    </comment>
    <comment ref="AG10" authorId="0" shapeId="0" xr:uid="{AF1B178D-A185-47B4-8261-658C6EDDB6C0}">
      <text>
        <r>
          <rPr>
            <b/>
            <sz val="9"/>
            <color indexed="81"/>
            <rFont val="Tahoma"/>
            <family val="2"/>
          </rPr>
          <t>Mrinal Sarkar:</t>
        </r>
        <r>
          <rPr>
            <sz val="9"/>
            <color indexed="81"/>
            <rFont val="Tahoma"/>
            <family val="2"/>
          </rPr>
          <t xml:space="preserve">
IDC adjusted.</t>
        </r>
      </text>
    </comment>
    <comment ref="AH10" authorId="0" shapeId="0" xr:uid="{90C74274-1CB4-4838-B496-02256ABB2249}">
      <text>
        <r>
          <rPr>
            <b/>
            <sz val="9"/>
            <color indexed="81"/>
            <rFont val="Tahoma"/>
            <family val="2"/>
          </rPr>
          <t>Mrinal Sarkar:</t>
        </r>
        <r>
          <rPr>
            <sz val="9"/>
            <color indexed="81"/>
            <rFont val="Tahoma"/>
            <family val="2"/>
          </rPr>
          <t xml:space="preserve">
IDC adjusted.</t>
        </r>
      </text>
    </comment>
    <comment ref="AI10" authorId="0" shapeId="0" xr:uid="{712A13C5-BA4A-4C9B-B043-0AC2B71CFAD6}">
      <text>
        <r>
          <rPr>
            <b/>
            <sz val="9"/>
            <color indexed="81"/>
            <rFont val="Tahoma"/>
            <family val="2"/>
          </rPr>
          <t>Mrinal Sarkar:</t>
        </r>
        <r>
          <rPr>
            <sz val="9"/>
            <color indexed="81"/>
            <rFont val="Tahoma"/>
            <family val="2"/>
          </rPr>
          <t xml:space="preserve">
IDC adjusted.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Mrinal Sarkar</author>
  </authors>
  <commentList>
    <comment ref="E45" authorId="0" shapeId="0" xr:uid="{6A87B8BA-4A57-4EEA-8D89-62A8586C0D2D}">
      <text>
        <r>
          <rPr>
            <sz val="9"/>
            <color indexed="81"/>
            <rFont val="Tahoma"/>
            <family val="2"/>
          </rPr>
          <t xml:space="preserve">GCV as per I 30 estimate.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7619DB-1728-496E-BC5A-08A50B5B4C2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<sst xmlns="http://schemas.openxmlformats.org/spreadsheetml/2006/main" count="6943" uniqueCount="1673">
  <si>
    <t>Project Name:</t>
  </si>
  <si>
    <t>Conceptual Trade-off Study for Radhikapur West</t>
  </si>
  <si>
    <t>Block Name:</t>
  </si>
  <si>
    <t>Radhikapur West</t>
  </si>
  <si>
    <t>Project No:</t>
  </si>
  <si>
    <t>IN1411</t>
  </si>
  <si>
    <t>Client:</t>
  </si>
  <si>
    <t>VEDANTA LIMITED</t>
  </si>
  <si>
    <t>Operations:</t>
  </si>
  <si>
    <t>Opencast Coal Mine</t>
  </si>
  <si>
    <t>Purpose:</t>
  </si>
  <si>
    <t xml:space="preserve">High level Economic Assessment </t>
  </si>
  <si>
    <t xml:space="preserve">Included Scenarios: </t>
  </si>
  <si>
    <t>Option 1- 15 Mtpa; Departmental/ MDO Operation; Coal - Surface Miner; Waste - Truck &amp; Shovel</t>
  </si>
  <si>
    <t>File:</t>
  </si>
  <si>
    <t>Project Manager:</t>
  </si>
  <si>
    <t>Mrinal Kanti Sarkar</t>
  </si>
  <si>
    <t>Economic Assessment by:</t>
  </si>
  <si>
    <t>Mrinal Kanti Sarkar; Aniket Banerjee</t>
  </si>
  <si>
    <t>Reviewer</t>
  </si>
  <si>
    <t>Somnath Gain; Sudipta De</t>
  </si>
  <si>
    <t xml:space="preserve"> </t>
  </si>
  <si>
    <t>Revision History</t>
  </si>
  <si>
    <t>Name</t>
  </si>
  <si>
    <t>Date</t>
  </si>
  <si>
    <t>Scenario</t>
  </si>
  <si>
    <t>Comments</t>
  </si>
  <si>
    <t>16.04.2026</t>
  </si>
  <si>
    <t>Scenario 1</t>
  </si>
  <si>
    <t>Scenario Matrix</t>
  </si>
  <si>
    <t>Scenario ID</t>
  </si>
  <si>
    <t>Mode of Operation</t>
  </si>
  <si>
    <t>Peak Rated Capacity (Mtpa)</t>
  </si>
  <si>
    <t>Mining Method</t>
  </si>
  <si>
    <t>Description</t>
  </si>
  <si>
    <t>Departmental</t>
  </si>
  <si>
    <t>Coal - Surface Miner. Waste - Drilling &amp; Blasting</t>
  </si>
  <si>
    <t>Option 1 - Base Case: Conventional pit progression from in-crop and movement towards dip side</t>
  </si>
  <si>
    <t>Scenario 2</t>
  </si>
  <si>
    <t>MDO/Outsourcing</t>
  </si>
  <si>
    <t>Option 2 - Pit progression following optimizer guided push-backs</t>
  </si>
  <si>
    <t>Scenario 3</t>
  </si>
  <si>
    <t>Option 3 - Two pit strategy; following Grade Distribution of deciding Seam IX – balancing low grade and comparatively high grade</t>
  </si>
  <si>
    <t>Scenario 4</t>
  </si>
  <si>
    <t>Sub variant of Option 2 - Modified for MDO Tender as requested by Vedanta</t>
  </si>
  <si>
    <t>Scenario 5</t>
  </si>
  <si>
    <t>Scenario 6</t>
  </si>
  <si>
    <t>Scenario 7</t>
  </si>
  <si>
    <t>Scenario 8</t>
  </si>
  <si>
    <t>Scenario 9</t>
  </si>
  <si>
    <t>Scenario 10</t>
  </si>
  <si>
    <t>Scenario 11</t>
  </si>
  <si>
    <t>Scenario 12</t>
  </si>
  <si>
    <t>Scenario 13</t>
  </si>
  <si>
    <t>Scenario 14</t>
  </si>
  <si>
    <t>Scenario 15</t>
  </si>
  <si>
    <t>Drilling &amp; Blasting only</t>
  </si>
  <si>
    <t>Scenario 16</t>
  </si>
  <si>
    <t>Disclaimer &amp; Notice to Reader</t>
  </si>
  <si>
    <t>The opinions expressed in this Report have been based on the information supplied to SRK Mining Services (India) Pvt. Ltd. (SRK) by Vedanta Limited. The opinions in this Report are provided in response to a specific request from Vedanta to do so. SRK has exercised all due care in reviewing the supplied information. Whilst SRK has compared key supplied data with expected values, the accuracy of the results and conclusions from the review are entirely reliant on the accuracy and completeness of the supplied data. SRK does not accept responsibility for any errors or omissions in the supplied information and does not accept any consequential liability arising from commercial decisions or actions resulting from them. Opinions presented in this report apply to the site conditions and features as they existed at the time of SRK’s investigations, and those reasonably foreseeable. These opinions do not necessarily apply to conditions and features that may arise after the date of this Report, about which SRK had no prior knowledge nor had the opportunity to evaluate.
Opinions expressed in this document can significantly vary based on specific site conditions, project technicalities and engineering designs, decided through an appropriate technical works.
If this document is disclosed or distributed to any third party, no such third party shall be entitled to place reliance upon any information, warranties or representations which may be contained within this document and the Recipients of this document shall indemnify SRK against all and any claims, losses and costs which may be incurred by SRK relating to such third parties
There is a wide range of modifying factors – including increasingly important social and environmental impacts – that mining projects had to explore and mitigate before a mine’s viability could be fully assessed. 
Given the nature of the mandate, multiple best guess assumptions are taken, in most cases in consultation with the company, to assess impact which undoubtedly needs to be validated in future and through a full feasibility study before any production decisions are made.</t>
  </si>
  <si>
    <t>Status</t>
  </si>
  <si>
    <t>Tab Colors</t>
  </si>
  <si>
    <t>Yellow</t>
  </si>
  <si>
    <t>Title, Revision History, Disclaimer and Guide</t>
  </si>
  <si>
    <t>Purple</t>
  </si>
  <si>
    <t>Charts</t>
  </si>
  <si>
    <t>Red</t>
  </si>
  <si>
    <t>Summary</t>
  </si>
  <si>
    <t>Green</t>
  </si>
  <si>
    <t>Inputs/Quotes</t>
  </si>
  <si>
    <t>Blue</t>
  </si>
  <si>
    <t>Calculation Sheets (do not type in these tabs)</t>
  </si>
  <si>
    <t>Cell Colors</t>
  </si>
  <si>
    <t>Links to another tab</t>
  </si>
  <si>
    <t>Hard Input</t>
  </si>
  <si>
    <t>Black</t>
  </si>
  <si>
    <t>Calculation using links from current tab</t>
  </si>
  <si>
    <t>Pink</t>
  </si>
  <si>
    <t>Links to external file</t>
  </si>
  <si>
    <t>Calculation using Named Values/Arrays</t>
  </si>
  <si>
    <t>Drop down Cell</t>
  </si>
  <si>
    <t>Grey</t>
  </si>
  <si>
    <t>Not required/No data</t>
  </si>
  <si>
    <t>Basic Considerations</t>
  </si>
  <si>
    <t>Coal Mining Machinery</t>
  </si>
  <si>
    <t>Surface Miner</t>
  </si>
  <si>
    <t>LOM Opex</t>
  </si>
  <si>
    <t>General considerations</t>
  </si>
  <si>
    <t>Unit</t>
  </si>
  <si>
    <t>Value</t>
  </si>
  <si>
    <t>Basis</t>
  </si>
  <si>
    <t>P-IRR</t>
  </si>
  <si>
    <t>Shovel &amp; Dumper</t>
  </si>
  <si>
    <t>Sl No</t>
  </si>
  <si>
    <t xml:space="preserve">List </t>
  </si>
  <si>
    <t xml:space="preserve">Unit </t>
  </si>
  <si>
    <t xml:space="preserve">Total </t>
  </si>
  <si>
    <t>Project Start Date</t>
  </si>
  <si>
    <t>date</t>
  </si>
  <si>
    <t>Standard Assumption based on Vesting Order</t>
  </si>
  <si>
    <t>Mining Operation</t>
  </si>
  <si>
    <t>MDO</t>
  </si>
  <si>
    <t>Effective Start Date for Model</t>
  </si>
  <si>
    <t>Pit Head cost</t>
  </si>
  <si>
    <t>Production Start Date</t>
  </si>
  <si>
    <t>Standard Assumption based on CMDPA</t>
  </si>
  <si>
    <t>Pre Tax &amp; Pre Finance Basis</t>
  </si>
  <si>
    <t>Yes</t>
  </si>
  <si>
    <t>HEMM Consumable</t>
  </si>
  <si>
    <t xml:space="preserve">INR/t </t>
  </si>
  <si>
    <t>Production Starting Year</t>
  </si>
  <si>
    <t>No.</t>
  </si>
  <si>
    <t>Total Coal</t>
  </si>
  <si>
    <t>Mt</t>
  </si>
  <si>
    <t>Estimated from Design</t>
  </si>
  <si>
    <t>Coal Price</t>
  </si>
  <si>
    <t>Commercial</t>
  </si>
  <si>
    <t>Total Waste</t>
  </si>
  <si>
    <t>Mbcm</t>
  </si>
  <si>
    <t>Rated Capacity</t>
  </si>
  <si>
    <t>Mtpa</t>
  </si>
  <si>
    <t>Mutual Discussion with Company</t>
  </si>
  <si>
    <t>Price co-relation factor (NCI to Commercial)</t>
  </si>
  <si>
    <t>Production in 1st year</t>
  </si>
  <si>
    <t>Life of Mine</t>
  </si>
  <si>
    <t>Year</t>
  </si>
  <si>
    <t>Block Area</t>
  </si>
  <si>
    <t>ha</t>
  </si>
  <si>
    <t>As per Tender</t>
  </si>
  <si>
    <t>Initial Capital Costs (Owner)</t>
  </si>
  <si>
    <t>Working Regime</t>
  </si>
  <si>
    <t>%</t>
  </si>
  <si>
    <t>Units</t>
  </si>
  <si>
    <t>Values</t>
  </si>
  <si>
    <t>INR Cr</t>
  </si>
  <si>
    <t>Number of Shifts/day</t>
  </si>
  <si>
    <t>Nos.</t>
  </si>
  <si>
    <t>Standard Assumption</t>
  </si>
  <si>
    <t>Hours/ Shift</t>
  </si>
  <si>
    <t>hrs</t>
  </si>
  <si>
    <t>Delays &amp; Refreshment</t>
  </si>
  <si>
    <t>Considered in Utilization %</t>
  </si>
  <si>
    <t>Actual Hours/ Shift</t>
  </si>
  <si>
    <t>Calendar Days</t>
  </si>
  <si>
    <t>Days</t>
  </si>
  <si>
    <t>National Holidays</t>
  </si>
  <si>
    <t>Subtotal</t>
  </si>
  <si>
    <t>Festival Impact</t>
  </si>
  <si>
    <t>Impacted attendence due to festival</t>
  </si>
  <si>
    <t>Government Fees &amp; Charges</t>
  </si>
  <si>
    <t>Available Days</t>
  </si>
  <si>
    <t>Derived</t>
  </si>
  <si>
    <t xml:space="preserve">Extreme Summer Impact </t>
  </si>
  <si>
    <t>30days of extreme heat consider with no work of 4 hours in day (11am to 3pm)</t>
  </si>
  <si>
    <t>Number of Moonsoon Month having heavy rainfall</t>
  </si>
  <si>
    <t>Months</t>
  </si>
  <si>
    <t>Hours loss per day in Moonsoon Month</t>
  </si>
  <si>
    <t>hrs/day</t>
  </si>
  <si>
    <t>Days loss due to rain</t>
  </si>
  <si>
    <t>Working days</t>
  </si>
  <si>
    <t>Total available Hours</t>
  </si>
  <si>
    <t>Density &amp; Swell Factor</t>
  </si>
  <si>
    <t xml:space="preserve">Total Initial Capital Expenditure </t>
  </si>
  <si>
    <t>Average density of Coal</t>
  </si>
  <si>
    <t>t/cum</t>
  </si>
  <si>
    <t>In-situ Density</t>
  </si>
  <si>
    <t>List</t>
  </si>
  <si>
    <t>Average density of Waste</t>
  </si>
  <si>
    <t>Swell factor for Coal</t>
  </si>
  <si>
    <t>INR CR</t>
  </si>
  <si>
    <t>INR/kcal</t>
  </si>
  <si>
    <t>Swell factor for Waste</t>
  </si>
  <si>
    <t>Salary &amp; Wages</t>
  </si>
  <si>
    <t xml:space="preserve">Category wise Executives wage details </t>
  </si>
  <si>
    <t>Category</t>
  </si>
  <si>
    <t>Annual CTC</t>
  </si>
  <si>
    <t xml:space="preserve">Project Head/ Vice-President </t>
  </si>
  <si>
    <t>E9</t>
  </si>
  <si>
    <t>SRK Assumption</t>
  </si>
  <si>
    <t>Vice-President/Chief General Manager</t>
  </si>
  <si>
    <t>E8</t>
  </si>
  <si>
    <t xml:space="preserve">General Manager </t>
  </si>
  <si>
    <t>E7</t>
  </si>
  <si>
    <t>Deputy General Manager</t>
  </si>
  <si>
    <t>E6</t>
  </si>
  <si>
    <t xml:space="preserve">Assistant General Manager </t>
  </si>
  <si>
    <t>E5</t>
  </si>
  <si>
    <t xml:space="preserve">Senior Manager </t>
  </si>
  <si>
    <t>E4</t>
  </si>
  <si>
    <t xml:space="preserve">Manager </t>
  </si>
  <si>
    <t>E3</t>
  </si>
  <si>
    <t xml:space="preserve">Assistant Manager </t>
  </si>
  <si>
    <t>E2</t>
  </si>
  <si>
    <t>Deputy Manager</t>
  </si>
  <si>
    <t>E1</t>
  </si>
  <si>
    <t xml:space="preserve">GET/ Junior Engineer </t>
  </si>
  <si>
    <t>E0</t>
  </si>
  <si>
    <t>M9</t>
  </si>
  <si>
    <t>MDO Salary, Industry Standards</t>
  </si>
  <si>
    <t>M8</t>
  </si>
  <si>
    <t>M7</t>
  </si>
  <si>
    <t>M6</t>
  </si>
  <si>
    <t>M5</t>
  </si>
  <si>
    <t>M4</t>
  </si>
  <si>
    <t>M3</t>
  </si>
  <si>
    <t>M2</t>
  </si>
  <si>
    <t>M1</t>
  </si>
  <si>
    <t>M0</t>
  </si>
  <si>
    <t>Statutory Staffs &amp; Operator wage details</t>
  </si>
  <si>
    <t>Staff</t>
  </si>
  <si>
    <t>S10</t>
  </si>
  <si>
    <t>S9</t>
  </si>
  <si>
    <t>S8</t>
  </si>
  <si>
    <t>S7</t>
  </si>
  <si>
    <t>Industry Standard</t>
  </si>
  <si>
    <t>Operator - Senior</t>
  </si>
  <si>
    <t>S6</t>
  </si>
  <si>
    <t>Operator - Mid Senior</t>
  </si>
  <si>
    <t>S5</t>
  </si>
  <si>
    <t>Operator - Junior</t>
  </si>
  <si>
    <t>S4</t>
  </si>
  <si>
    <t>Staff Wage System as per norms</t>
  </si>
  <si>
    <t>Highly skilled</t>
  </si>
  <si>
    <t>S3</t>
  </si>
  <si>
    <t>Central Wage Rule/ SRK in-house database</t>
  </si>
  <si>
    <t>Skilled /Clerical</t>
  </si>
  <si>
    <t>S2</t>
  </si>
  <si>
    <t>Semi Skilled/unskilled supervisory</t>
  </si>
  <si>
    <t>S1</t>
  </si>
  <si>
    <t>Unskilled</t>
  </si>
  <si>
    <t>S0</t>
  </si>
  <si>
    <t>Security - Armed</t>
  </si>
  <si>
    <t>O1</t>
  </si>
  <si>
    <t>Security - Unarmed</t>
  </si>
  <si>
    <t>O2</t>
  </si>
  <si>
    <t>S3a</t>
  </si>
  <si>
    <t>HPC Wage/ SRK In-house databasr</t>
  </si>
  <si>
    <t>Skilled</t>
  </si>
  <si>
    <t>S2a</t>
  </si>
  <si>
    <t>S1a</t>
  </si>
  <si>
    <t>S0a</t>
  </si>
  <si>
    <t xml:space="preserve">Explosives </t>
  </si>
  <si>
    <t>Pre-operative</t>
  </si>
  <si>
    <t>Blasting Requirement 100% for how many years</t>
  </si>
  <si>
    <t>Land and R&amp;R</t>
  </si>
  <si>
    <t>Blasting Requirement in coal through out life</t>
  </si>
  <si>
    <t>HEMM</t>
  </si>
  <si>
    <t>Density of explosives</t>
  </si>
  <si>
    <t>CHP and Infrastructure</t>
  </si>
  <si>
    <t>Boosters required in a hole/ 250mm</t>
  </si>
  <si>
    <t>gm</t>
  </si>
  <si>
    <t>Railway Siding</t>
  </si>
  <si>
    <t>Boosters required in a hole/ 160mm</t>
  </si>
  <si>
    <t>Others</t>
  </si>
  <si>
    <t>Boosters required in a hole/ 115mm</t>
  </si>
  <si>
    <t>Contingency</t>
  </si>
  <si>
    <t>Booster costs</t>
  </si>
  <si>
    <t>INR/ 100g</t>
  </si>
  <si>
    <t>Nonel (downhole and surface delay) costs</t>
  </si>
  <si>
    <t>INR/m</t>
  </si>
  <si>
    <t>Bulk explosives costs - Basic rate</t>
  </si>
  <si>
    <t>INR/kg</t>
  </si>
  <si>
    <t>R&amp;R</t>
  </si>
  <si>
    <t>Name of the Village</t>
  </si>
  <si>
    <t>PDF
(to be R&amp;R)</t>
  </si>
  <si>
    <t>PAF
(to be R&amp;R)</t>
  </si>
  <si>
    <t>PAF/PAP 
(R&amp;R done)</t>
  </si>
  <si>
    <t>Total</t>
  </si>
  <si>
    <t>All</t>
  </si>
  <si>
    <t>R&amp;R Contingency</t>
  </si>
  <si>
    <t>Cost assumptions</t>
  </si>
  <si>
    <t>Unit Rates and Operating Costs</t>
  </si>
  <si>
    <t>Base Rate</t>
  </si>
  <si>
    <t xml:space="preserve">Electrical </t>
  </si>
  <si>
    <t>Administrative Cost</t>
  </si>
  <si>
    <t>INR/t</t>
  </si>
  <si>
    <t>Mine Dewatering System</t>
  </si>
  <si>
    <t xml:space="preserve">Environment Management Cost </t>
  </si>
  <si>
    <t>INR Cr.</t>
  </si>
  <si>
    <t>Digitalisation</t>
  </si>
  <si>
    <t xml:space="preserve">Environment Management &amp; OHS Cost </t>
  </si>
  <si>
    <t>IDC</t>
  </si>
  <si>
    <t>Operating cost contingency</t>
  </si>
  <si>
    <t>Capital cost contingency</t>
  </si>
  <si>
    <t>Base diesel cost (5% Discount on Bulk Purchase)</t>
  </si>
  <si>
    <t>INR/lit</t>
  </si>
  <si>
    <t>As per circle rate</t>
  </si>
  <si>
    <t xml:space="preserve">Power Charge </t>
  </si>
  <si>
    <t>INR/KVAh</t>
  </si>
  <si>
    <t>As per state electric board charges</t>
  </si>
  <si>
    <t>Owner - Number of person to avail the facility</t>
  </si>
  <si>
    <t>Owner - Per Person Cost</t>
  </si>
  <si>
    <t>INR</t>
  </si>
  <si>
    <t>Industrial Standards</t>
  </si>
  <si>
    <t>MDO - Number of person to avail the facility</t>
  </si>
  <si>
    <t>MDO - Per Person Cost</t>
  </si>
  <si>
    <t>Maintenance Rate</t>
  </si>
  <si>
    <t>Civil Infrastructure Maintenance Charge</t>
  </si>
  <si>
    <t>Electricals Maintenance Charge</t>
  </si>
  <si>
    <t>MDO/ Contractor Cost</t>
  </si>
  <si>
    <t>Mechanical Maintenance Charge</t>
  </si>
  <si>
    <t>Owner's Mining cost</t>
  </si>
  <si>
    <t>AMC for Digitalization Setup for Owner</t>
  </si>
  <si>
    <t>Operational Parameters</t>
  </si>
  <si>
    <t xml:space="preserve">Additional equipment capacity </t>
  </si>
  <si>
    <t>7 days working Reserves</t>
  </si>
  <si>
    <t>Leave and Sick Reserves</t>
  </si>
  <si>
    <t xml:space="preserve">FY - Start date of Mining operations </t>
  </si>
  <si>
    <t>CHP Sustaining Capital</t>
  </si>
  <si>
    <t>Majority for Belt replacement after every 8 year</t>
  </si>
  <si>
    <t>Owner Wage</t>
  </si>
  <si>
    <t>Civil Infra Sustaining Capital</t>
  </si>
  <si>
    <t>Majority for reconstruction of Coal Depo during 10th Year of operation</t>
  </si>
  <si>
    <t>Explosives</t>
  </si>
  <si>
    <t>Government Fees and charges</t>
  </si>
  <si>
    <t>Bid Premium/ Revenue Sharing</t>
  </si>
  <si>
    <t>% of price</t>
  </si>
  <si>
    <t>Revenue Sharing of NCI Price or Commercial Sale Price</t>
  </si>
  <si>
    <t>Commercial Sale Price</t>
  </si>
  <si>
    <t>Royalty</t>
  </si>
  <si>
    <t>% of CIL notified price</t>
  </si>
  <si>
    <t>Revenue Sharing</t>
  </si>
  <si>
    <t>District Mineral Foundation (DMF)</t>
  </si>
  <si>
    <t>% of Royalty</t>
  </si>
  <si>
    <t>GST on Revenue Sharing</t>
  </si>
  <si>
    <t>National Mineral Exploration Trust (NMET)</t>
  </si>
  <si>
    <t>As per Latest Guideline</t>
  </si>
  <si>
    <t>GST on Product</t>
  </si>
  <si>
    <t>% of Sale Price</t>
  </si>
  <si>
    <t>DMF, NMET etc.</t>
  </si>
  <si>
    <t>GST on Royalty etc.</t>
  </si>
  <si>
    <t>GST on Royalty+DMF+Cess/Services</t>
  </si>
  <si>
    <t>Progressive Mine Closure</t>
  </si>
  <si>
    <t>Corporate Tax</t>
  </si>
  <si>
    <t>MAT</t>
  </si>
  <si>
    <t>Compensation Cess</t>
  </si>
  <si>
    <t>Omitted</t>
  </si>
  <si>
    <t>Stamp Duty &amp; Registration Charges</t>
  </si>
  <si>
    <t>Corporate Social Responsibility Fund</t>
  </si>
  <si>
    <t>Of Profit</t>
  </si>
  <si>
    <t>Upfront Amount</t>
  </si>
  <si>
    <t>Tender document</t>
  </si>
  <si>
    <t>Surface Rent</t>
  </si>
  <si>
    <t>INR/ha</t>
  </si>
  <si>
    <t xml:space="preserve">Dead rent is paid once  minining lease is approved till production start, the Surface rent is paid </t>
  </si>
  <si>
    <t>ML area</t>
  </si>
  <si>
    <t>Payment related assumption</t>
  </si>
  <si>
    <t>Accounts Receivable Days</t>
  </si>
  <si>
    <t>Inventory Days</t>
  </si>
  <si>
    <t>Accounts Payable Days</t>
  </si>
  <si>
    <t>Corporate Loan Interest</t>
  </si>
  <si>
    <t>Working Capital Loan Interest</t>
  </si>
  <si>
    <t>Moratorium Period</t>
  </si>
  <si>
    <t>Years</t>
  </si>
  <si>
    <t>Payback period</t>
  </si>
  <si>
    <t>Portion of Debt Finance</t>
  </si>
  <si>
    <t>MDO Assumption</t>
  </si>
  <si>
    <t>MDO Margin</t>
  </si>
  <si>
    <t>Debt % for MDO</t>
  </si>
  <si>
    <t>MDO Rate</t>
  </si>
  <si>
    <t>Top Soil Removal, Transportation &amp; Stacking within 3.0km lead</t>
  </si>
  <si>
    <t>INR/bcm</t>
  </si>
  <si>
    <t>MDO Material OB/IB Drillin, Blasting, Explosive, Removal, Transportation &amp; Stacking within 3.0km</t>
  </si>
  <si>
    <t>Coal Drilling, Blasting/Surface Miner/Explosive, Removal, Trasnportaion &amp; Stacking within 3.0km</t>
  </si>
  <si>
    <t>OB Rehandling Cost</t>
  </si>
  <si>
    <t>Safety - slope stability monitoring</t>
  </si>
  <si>
    <t>Supply, Commissioning, Installation, Training, Maintenance - (1st year - warranty period)</t>
  </si>
  <si>
    <t>MSR250 System</t>
  </si>
  <si>
    <t>Comprehensive Annual Maintenance Contract 2nd year</t>
  </si>
  <si>
    <t>Annual Increment</t>
  </si>
  <si>
    <t>Fixed Cost</t>
  </si>
  <si>
    <t>GR and CMPDIL Cost</t>
  </si>
  <si>
    <t>Vedanta</t>
  </si>
  <si>
    <t>Bid Security</t>
  </si>
  <si>
    <t>Performance Security</t>
  </si>
  <si>
    <t>Stamp Duty</t>
  </si>
  <si>
    <t>Closure Cost</t>
  </si>
  <si>
    <t xml:space="preserve">Closure Cost </t>
  </si>
  <si>
    <t>Lakh INR per hectare</t>
  </si>
  <si>
    <t xml:space="preserve">MOC Guideline 31st January 2025. </t>
  </si>
  <si>
    <t>WPI of as on Jan 2025</t>
  </si>
  <si>
    <t>#</t>
  </si>
  <si>
    <t>Latest WPI of March 2026</t>
  </si>
  <si>
    <t>Closure Cost as on March 2026</t>
  </si>
  <si>
    <t>Disturbed Area</t>
  </si>
  <si>
    <t>Hectare</t>
  </si>
  <si>
    <t>Total Closure Cost</t>
  </si>
  <si>
    <t>Lakh INR</t>
  </si>
  <si>
    <t>Annual Closure</t>
  </si>
  <si>
    <t>Cr. INR</t>
  </si>
  <si>
    <t>Annual Interest</t>
  </si>
  <si>
    <t>Performance Security - Assumption</t>
  </si>
  <si>
    <t>Grade</t>
  </si>
  <si>
    <t>G11</t>
  </si>
  <si>
    <t>Mpta</t>
  </si>
  <si>
    <t>Tender Document</t>
  </si>
  <si>
    <t>Representative Price</t>
  </si>
  <si>
    <t>NCI Dec 2021</t>
  </si>
  <si>
    <t>FPO</t>
  </si>
  <si>
    <t>Performance Bank Guarantee</t>
  </si>
  <si>
    <t>Product of 65% PRC and aggregate of royalty and revenue share</t>
  </si>
  <si>
    <t>1. Working Hours</t>
  </si>
  <si>
    <t>Total/ Average</t>
  </si>
  <si>
    <t>Total available Hours excavation</t>
  </si>
  <si>
    <t>Production Coal/Ore</t>
  </si>
  <si>
    <t>Blasted Coal/Ore</t>
  </si>
  <si>
    <t>Surface Miner Coal/Ore</t>
  </si>
  <si>
    <t>Waste (Topsoil + Overburden + Interburden)</t>
  </si>
  <si>
    <t>Top Soil</t>
  </si>
  <si>
    <t>OB</t>
  </si>
  <si>
    <t>Partings</t>
  </si>
  <si>
    <t>Rehandling at CHP</t>
  </si>
  <si>
    <t>Waste - Rehandle</t>
  </si>
  <si>
    <t>GCV (ADB)</t>
  </si>
  <si>
    <t>kcal/kg</t>
  </si>
  <si>
    <t>Relaive Density (RD)</t>
  </si>
  <si>
    <t>g/cm²</t>
  </si>
  <si>
    <t>Raw ash</t>
  </si>
  <si>
    <t>Moisture</t>
  </si>
  <si>
    <t>Stripping Ratio</t>
  </si>
  <si>
    <t>YoY</t>
  </si>
  <si>
    <t>cum/t</t>
  </si>
  <si>
    <t>Cumulative</t>
  </si>
  <si>
    <t>Haul Distance</t>
  </si>
  <si>
    <t>ROM</t>
  </si>
  <si>
    <t>km</t>
  </si>
  <si>
    <t>Waste</t>
  </si>
  <si>
    <t>In-Pit</t>
  </si>
  <si>
    <t>Ex-Pit</t>
  </si>
  <si>
    <t>Rehandling</t>
  </si>
  <si>
    <t>Bench Specification</t>
  </si>
  <si>
    <t>Bench Height - Coal</t>
  </si>
  <si>
    <t>m</t>
  </si>
  <si>
    <t>Bench Width - Coal</t>
  </si>
  <si>
    <t>Bench Height - OB/IB</t>
  </si>
  <si>
    <t>Bench Width - OB/IB</t>
  </si>
  <si>
    <t>Rehandling cost</t>
  </si>
  <si>
    <t>Diluted</t>
  </si>
  <si>
    <t>Rounded</t>
  </si>
  <si>
    <t>Coal (Mt)</t>
  </si>
  <si>
    <t>GCV Dil (Kcal/Kg)</t>
  </si>
  <si>
    <t>Waste (Mcum)</t>
  </si>
  <si>
    <t>Sensitivity</t>
  </si>
  <si>
    <t>Parameters</t>
  </si>
  <si>
    <t>% Change</t>
  </si>
  <si>
    <t>%Change in Coal Selling Price</t>
  </si>
  <si>
    <t>Equity IRR</t>
  </si>
  <si>
    <t>Project IRR</t>
  </si>
  <si>
    <t>Project NPV</t>
  </si>
  <si>
    <t>Equity NPV</t>
  </si>
  <si>
    <t>Capex</t>
  </si>
  <si>
    <t>Opex</t>
  </si>
  <si>
    <t>E-IRR</t>
  </si>
  <si>
    <t>No</t>
  </si>
  <si>
    <t>Project IRR Sensitivity</t>
  </si>
  <si>
    <t>%Change in Capex</t>
  </si>
  <si>
    <t>Selling Price (INR/t)</t>
  </si>
  <si>
    <t>Refund of GST Credit</t>
  </si>
  <si>
    <t>Capital  
(INR Cr)</t>
  </si>
  <si>
    <t>%Change in Operating Cost</t>
  </si>
  <si>
    <t>Operating Cost 
(INR/t)</t>
  </si>
  <si>
    <t>MDO rate Provided</t>
  </si>
  <si>
    <t>FMIPCC</t>
  </si>
  <si>
    <t>Year No.</t>
  </si>
  <si>
    <t>Sales Products</t>
  </si>
  <si>
    <t>assuming 100% sold</t>
  </si>
  <si>
    <t>Total Product</t>
  </si>
  <si>
    <t>(Mt)</t>
  </si>
  <si>
    <t>Revenue</t>
  </si>
  <si>
    <t>Gross Revenue</t>
  </si>
  <si>
    <t>(INR Cr)</t>
  </si>
  <si>
    <t>Profit &amp; Loss Statement</t>
  </si>
  <si>
    <t>Realisation</t>
  </si>
  <si>
    <t>Less : Cost</t>
  </si>
  <si>
    <t>Operating Cost</t>
  </si>
  <si>
    <t xml:space="preserve">Total Cost </t>
  </si>
  <si>
    <t>EBIDTA</t>
  </si>
  <si>
    <t>EBIDTA %</t>
  </si>
  <si>
    <t>Less : Depreciation (Straight Line)</t>
  </si>
  <si>
    <t xml:space="preserve">Add: Salvage Value </t>
  </si>
  <si>
    <t>EBIT</t>
  </si>
  <si>
    <t>Less : Interest</t>
  </si>
  <si>
    <t>EBT</t>
  </si>
  <si>
    <t>Less : Tax</t>
  </si>
  <si>
    <t>PAT</t>
  </si>
  <si>
    <t>CSR Spend per Companies Act</t>
  </si>
  <si>
    <t>PAT after CSR spent</t>
  </si>
  <si>
    <t>Project Cash Inflow</t>
  </si>
  <si>
    <t>Total Cash In-Flow</t>
  </si>
  <si>
    <t>Project Cash Outflow</t>
  </si>
  <si>
    <t>Taxes</t>
  </si>
  <si>
    <t>Total Cash Out-Flow</t>
  </si>
  <si>
    <t>Free Cash flow for Project</t>
  </si>
  <si>
    <t>Project Cashflow</t>
  </si>
  <si>
    <t>Cummulative Cashflow</t>
  </si>
  <si>
    <t>Payback</t>
  </si>
  <si>
    <t>from Now</t>
  </si>
  <si>
    <t>from Start of Production</t>
  </si>
  <si>
    <t>Equity Cash Inflow</t>
  </si>
  <si>
    <t>Borrowing</t>
  </si>
  <si>
    <t>Equity Cash Outflow</t>
  </si>
  <si>
    <t>Interest</t>
  </si>
  <si>
    <t>Repayment</t>
  </si>
  <si>
    <t>Free Cash flow for Equity Shareholder</t>
  </si>
  <si>
    <t>Equity Shareholder Cashflow</t>
  </si>
  <si>
    <t>Normal Tax</t>
  </si>
  <si>
    <t>Less : Depreciation</t>
  </si>
  <si>
    <t>EBT for normal tax</t>
  </si>
  <si>
    <t>Technical Drivers</t>
  </si>
  <si>
    <t>Production</t>
  </si>
  <si>
    <t>Capital Borrowing</t>
  </si>
  <si>
    <t>Non Funded Capex</t>
  </si>
  <si>
    <t>Sustaining Capital</t>
  </si>
  <si>
    <t>Funded Capex</t>
  </si>
  <si>
    <t>Debt : Equity</t>
  </si>
  <si>
    <t xml:space="preserve">- Debt  </t>
  </si>
  <si>
    <t>(%)</t>
  </si>
  <si>
    <t>- Equity</t>
  </si>
  <si>
    <t>Interest Rate</t>
  </si>
  <si>
    <t>Non Funded Capital Borrowing</t>
  </si>
  <si>
    <t>Equity Capital</t>
  </si>
  <si>
    <t>Debt Schedule</t>
  </si>
  <si>
    <t>Opening Borrowings</t>
  </si>
  <si>
    <t>Add : Further Borrowings</t>
  </si>
  <si>
    <t>Less : Repayments</t>
  </si>
  <si>
    <t>Add : Interest Cost</t>
  </si>
  <si>
    <t>Less : Interest Paid</t>
  </si>
  <si>
    <t>Closing Borrowings</t>
  </si>
  <si>
    <t>Funded Capital Borrowing</t>
  </si>
  <si>
    <t>Working Capital Borrowing</t>
  </si>
  <si>
    <t>Accounts Receivable</t>
  </si>
  <si>
    <t>Inventory</t>
  </si>
  <si>
    <t>Accounts Payable</t>
  </si>
  <si>
    <t>Total Working Capital</t>
  </si>
  <si>
    <t>Change in Working Capital</t>
  </si>
  <si>
    <t>Working Capital</t>
  </si>
  <si>
    <t>Total Interest Cost</t>
  </si>
  <si>
    <t>(INR/t)</t>
  </si>
  <si>
    <t>Depreciation Estimation</t>
  </si>
  <si>
    <t>Waste Removal</t>
  </si>
  <si>
    <t>Waste Rehandle</t>
  </si>
  <si>
    <t>Average Material Handling (AMH)</t>
  </si>
  <si>
    <t>Capital Expenditure</t>
  </si>
  <si>
    <t>Sub-Total</t>
  </si>
  <si>
    <t>Sustainable Expenditure</t>
  </si>
  <si>
    <t>Total Capital Expenditure</t>
  </si>
  <si>
    <t>Depreciation- As pere books (Straight Line Method)</t>
  </si>
  <si>
    <t>Opening Balance</t>
  </si>
  <si>
    <t>Addition during year</t>
  </si>
  <si>
    <t>Book Depreciation</t>
  </si>
  <si>
    <t>Accumulated Depreciation</t>
  </si>
  <si>
    <t>Net Fixed Assets</t>
  </si>
  <si>
    <t>Total Depreciation (As per Book)</t>
  </si>
  <si>
    <t>Depreciation- As pere IT Act (Reducing Balance Method)</t>
  </si>
  <si>
    <t>Total Depreciation (As per IT Act)</t>
  </si>
  <si>
    <t>Addition</t>
  </si>
  <si>
    <t>Depreciation Rate</t>
  </si>
  <si>
    <t>Depreciation Rate Reference Link</t>
  </si>
  <si>
    <t>https://incometaxindia.gov.in/charts%20%20tables/depreciation%20rates.htm?utm</t>
  </si>
  <si>
    <t>https://upload.indiacode.nic.in/schedulefile?aid=AC_CEN_22_29_00008_201318_1517807327856&amp;rid=9&amp;utm</t>
  </si>
  <si>
    <t>https://incometaxmanagement.com/Pages/KnowledgeBASE/11/Rates-of-Depreciation-under-Companies-Act-2013.html?utm</t>
  </si>
  <si>
    <t>Capital Costs</t>
  </si>
  <si>
    <t xml:space="preserve">Production Details </t>
  </si>
  <si>
    <t xml:space="preserve">Coal Production </t>
  </si>
  <si>
    <t xml:space="preserve">Waste Removal </t>
  </si>
  <si>
    <t>Overall SR</t>
  </si>
  <si>
    <t>bcm:t</t>
  </si>
  <si>
    <t>Initial Capital Costs</t>
  </si>
  <si>
    <t xml:space="preserve">Pre-operative costs </t>
  </si>
  <si>
    <t>Land Cost</t>
  </si>
  <si>
    <t>R&amp;R Cost</t>
  </si>
  <si>
    <t xml:space="preserve">HEMM Equipment </t>
  </si>
  <si>
    <t>CHP</t>
  </si>
  <si>
    <t>Civil Infrastructure</t>
  </si>
  <si>
    <t>Fire Fighting &amp; Dust Suppression</t>
  </si>
  <si>
    <t>Workshop and Store</t>
  </si>
  <si>
    <t>Digitalization</t>
  </si>
  <si>
    <t xml:space="preserve">Contingency </t>
  </si>
  <si>
    <t>Sustaining Capital Costs</t>
  </si>
  <si>
    <t>Mining Equipment Replacement</t>
  </si>
  <si>
    <t xml:space="preserve">Total Sustaining Capital Expenditure </t>
  </si>
  <si>
    <t xml:space="preserve">Total Capital Expenditure </t>
  </si>
  <si>
    <t xml:space="preserve">Total sustaining Capital Expenditure </t>
  </si>
  <si>
    <t>Item</t>
  </si>
  <si>
    <t>Capex (INR Cr)</t>
  </si>
  <si>
    <t>Civil Infrastructure, Roads, Water Supply etc.</t>
  </si>
  <si>
    <t xml:space="preserve">Fire Fighting/Dust Suppression/Cleaning system etc. </t>
  </si>
  <si>
    <t>Workshop and Store (E&amp;M)</t>
  </si>
  <si>
    <t>Electrical</t>
  </si>
  <si>
    <t>1a. CHP (Semi Mobile Crusher for initial 2 years)</t>
  </si>
  <si>
    <t>Sl.No.</t>
  </si>
  <si>
    <t>Facilities</t>
  </si>
  <si>
    <t>Investment for P&amp;M/other (Rs. in Lakhs)</t>
  </si>
  <si>
    <t>P&amp;M (Mech &amp; Elect.)</t>
  </si>
  <si>
    <t>Civil Cost</t>
  </si>
  <si>
    <t>Others (e&amp;c,d&amp;e etc)</t>
  </si>
  <si>
    <t>Total:</t>
  </si>
  <si>
    <t>Total (INR Cr)</t>
  </si>
  <si>
    <t>1b. CHP (Main)</t>
  </si>
  <si>
    <t>P&amp;M (Mech &amp; Elect.) including Plant control system.</t>
  </si>
  <si>
    <t>2. Railway Siding</t>
  </si>
  <si>
    <t>Sl.no</t>
  </si>
  <si>
    <t>Particulars</t>
  </si>
  <si>
    <t>Approx. Budget (INR Cr)</t>
  </si>
  <si>
    <t>A</t>
  </si>
  <si>
    <t>Civil &amp; Structural Works</t>
  </si>
  <si>
    <t>B</t>
  </si>
  <si>
    <t>Track &amp; P-Way Works</t>
  </si>
  <si>
    <t>C</t>
  </si>
  <si>
    <t>Electrical &amp; Power Systems</t>
  </si>
  <si>
    <t>D</t>
  </si>
  <si>
    <t>Signaling &amp; Telecom (S&amp;T)</t>
  </si>
  <si>
    <t>E</t>
  </si>
  <si>
    <t>Specialized Equipment</t>
  </si>
  <si>
    <t>Grand Total</t>
  </si>
  <si>
    <t>3a. Civil Infrastructure (Non Residential)</t>
  </si>
  <si>
    <t xml:space="preserve">E&amp;M WORKSHOP </t>
  </si>
  <si>
    <t>STORE COMPLEX</t>
  </si>
  <si>
    <t>COMMON FACILITIES</t>
  </si>
  <si>
    <t>EXCAVATION  WORKSHOP</t>
  </si>
  <si>
    <t>Service Building</t>
  </si>
  <si>
    <t>F</t>
  </si>
  <si>
    <t>Substation</t>
  </si>
  <si>
    <t>G</t>
  </si>
  <si>
    <t>Magazine</t>
  </si>
  <si>
    <t>H</t>
  </si>
  <si>
    <t>ETP</t>
  </si>
  <si>
    <t>I</t>
  </si>
  <si>
    <t>STP</t>
  </si>
  <si>
    <t>J</t>
  </si>
  <si>
    <t>Survey and soil testing</t>
  </si>
  <si>
    <t>3b. Civil Infrastructure (Residential)</t>
  </si>
  <si>
    <t>Guest House, 2/3 BHK Flats</t>
  </si>
  <si>
    <t>Common Facilities like Club house, Small marketing complex, park, play ground, Temple, Service road etc.</t>
  </si>
  <si>
    <t>3c. Roads, Water Supply etc.</t>
  </si>
  <si>
    <t>Diversion of State Highway along North West Boundary (25 M Wide). 2.17 km long. Brief Specification GBS 300 mm. WMM 250 mm, DBM 80mm, BC 30 mm.
RCC Culverts
Hume pipes</t>
  </si>
  <si>
    <t>Approach roads and infrastructure</t>
  </si>
  <si>
    <t>Haul Roads including Dozer Tracks and Culverts</t>
  </si>
  <si>
    <t>Potable Water Supply</t>
  </si>
  <si>
    <t>Industrial Water Supply</t>
  </si>
  <si>
    <t>Nala Diversion</t>
  </si>
  <si>
    <t>Coal Depo</t>
  </si>
  <si>
    <t>4. Fire fighting and Dust suppression</t>
  </si>
  <si>
    <t>5. Workshop and Store (E&amp;M)</t>
  </si>
  <si>
    <t>Area  (m2)</t>
  </si>
  <si>
    <t>Investment for P&amp;M (Rs. in Lakhs)</t>
  </si>
  <si>
    <t>Excavation w/s</t>
  </si>
  <si>
    <t>E &amp; M  w/s</t>
  </si>
  <si>
    <t>Project Store</t>
  </si>
  <si>
    <t>6. Electricals - Power Supply, illumination etc.</t>
  </si>
  <si>
    <t xml:space="preserve"> Sl.No.</t>
  </si>
  <si>
    <t>Investment for P&amp; M /Others (Rs. in Lakhs)</t>
  </si>
  <si>
    <t>Out door Switch Yard &amp;
Indoor Substation/Control Room</t>
  </si>
  <si>
    <t>3850/300</t>
  </si>
  <si>
    <t>Communication Equipment</t>
  </si>
  <si>
    <t>NA</t>
  </si>
  <si>
    <t>Others ( e&amp;c, contingency, testing and other equipment)</t>
  </si>
  <si>
    <t>7. Mine dewatering</t>
  </si>
  <si>
    <t>P&amp;M (Pump Sets)</t>
  </si>
  <si>
    <t>Pipes and fittings</t>
  </si>
  <si>
    <t>8. Mine Digitalization</t>
  </si>
  <si>
    <t>Operating Costs</t>
  </si>
  <si>
    <t>kg/kcal</t>
  </si>
  <si>
    <t>Mlcm</t>
  </si>
  <si>
    <t xml:space="preserve">Operating Costs </t>
  </si>
  <si>
    <t xml:space="preserve">Grand Total </t>
  </si>
  <si>
    <t xml:space="preserve">Diesel </t>
  </si>
  <si>
    <t>Lubrication</t>
  </si>
  <si>
    <t>HEMM Spares (including drill consumables)</t>
  </si>
  <si>
    <t>Tyres</t>
  </si>
  <si>
    <t>Power</t>
  </si>
  <si>
    <t xml:space="preserve">Sub Total </t>
  </si>
  <si>
    <t>Civil Infrastructure Maintenance</t>
  </si>
  <si>
    <t>Railway Track &amp; Siding Repair &amp; Maintenance</t>
  </si>
  <si>
    <t xml:space="preserve">Fire Fighting &amp; Dust Suppression </t>
  </si>
  <si>
    <t>Digitalization (AMC)</t>
  </si>
  <si>
    <t>Environment Management &amp; OHS  costs</t>
  </si>
  <si>
    <t>Canteen, Accommodation, Laundry, Vehicle etc. Cost</t>
  </si>
  <si>
    <t xml:space="preserve">Admin and Overhead </t>
  </si>
  <si>
    <t>R&amp;R (Resettlement &amp; Rehabilitation)</t>
  </si>
  <si>
    <t>Govt. Fees and charges</t>
  </si>
  <si>
    <t>Royalty (% of NCI notified Price)</t>
  </si>
  <si>
    <t>DMF (District Mineral Foundation)</t>
  </si>
  <si>
    <t>NMET (National Mineral Exploration Trust)</t>
  </si>
  <si>
    <t>GST on Royalty, DMF, NMET, etc</t>
  </si>
  <si>
    <t>Progressive Mine Closure Costs</t>
  </si>
  <si>
    <t>Bank Fee on PBG</t>
  </si>
  <si>
    <t>Transporation</t>
  </si>
  <si>
    <t>Coal Transport (Railway)</t>
  </si>
  <si>
    <t>Coal Transport (Road)</t>
  </si>
  <si>
    <t>Contigency</t>
  </si>
  <si>
    <t>Sub Total</t>
  </si>
  <si>
    <t xml:space="preserve">HEMM Consumables </t>
  </si>
  <si>
    <t>Railway Track &amp; Siding</t>
  </si>
  <si>
    <t>Digitalisation (AMC)</t>
  </si>
  <si>
    <t>Other Misc.</t>
  </si>
  <si>
    <t>Waste Rehandling</t>
  </si>
  <si>
    <t>Overburden</t>
  </si>
  <si>
    <t>Coal</t>
  </si>
  <si>
    <t>Contractor's Opex</t>
  </si>
  <si>
    <t>Pre-operative cost Estimation</t>
  </si>
  <si>
    <t>INR Crore</t>
  </si>
  <si>
    <t>In INR Crore</t>
  </si>
  <si>
    <t>Factor/
Constant/
Constraint</t>
  </si>
  <si>
    <t>Remarks</t>
  </si>
  <si>
    <t>Studies</t>
  </si>
  <si>
    <t>DGPS Survey</t>
  </si>
  <si>
    <t>SRK Input</t>
  </si>
  <si>
    <t>Drone Survey</t>
  </si>
  <si>
    <t>Mine Plan with MCP</t>
  </si>
  <si>
    <t>DPR / Technical Study (Mining)</t>
  </si>
  <si>
    <t>Environmental Clearance (EC) related studies</t>
  </si>
  <si>
    <t>Preparation of Maps</t>
  </si>
  <si>
    <t xml:space="preserve">Statutory approvals </t>
  </si>
  <si>
    <t xml:space="preserve">Environmental Clearence </t>
  </si>
  <si>
    <t>CTE fees</t>
  </si>
  <si>
    <t>CTO fees</t>
  </si>
  <si>
    <t>Dead Rent (Till the production starts)</t>
  </si>
  <si>
    <t>Pre Operative CSR</t>
  </si>
  <si>
    <t>Client</t>
  </si>
  <si>
    <t>Environmental Management Cost</t>
  </si>
  <si>
    <t>EIA (2.5 escalation facor wrt recussring cost)</t>
  </si>
  <si>
    <t>Survey Instruments</t>
  </si>
  <si>
    <t>Tender/ Agreement Related</t>
  </si>
  <si>
    <t>Fixed Cost to Government</t>
  </si>
  <si>
    <t>Bank fee &amp; Processing Charges on BG</t>
  </si>
  <si>
    <t>Initial Site Preparation Work</t>
  </si>
  <si>
    <t>Tree Cutting &amp; Cleaning</t>
  </si>
  <si>
    <t>Temporary Construction</t>
  </si>
  <si>
    <t>Initial Office &amp; Admin Expenditure</t>
  </si>
  <si>
    <t>Admin expenses</t>
  </si>
  <si>
    <t>Office &amp; Admin Expenditure</t>
  </si>
  <si>
    <t>IT and Communation</t>
  </si>
  <si>
    <t>Wages</t>
  </si>
  <si>
    <t>Miscelleneous</t>
  </si>
  <si>
    <t>Pre-operative Cost (including tender related cost)</t>
  </si>
  <si>
    <t>Pre-operative Cost (excluding tender related cost)</t>
  </si>
  <si>
    <t>Site Preparation work</t>
  </si>
  <si>
    <t xml:space="preserve">Tree cutting </t>
  </si>
  <si>
    <t>Dozers</t>
  </si>
  <si>
    <t>nos</t>
  </si>
  <si>
    <t xml:space="preserve">Excavators -1.5cum </t>
  </si>
  <si>
    <t xml:space="preserve">Equipment hiring charges </t>
  </si>
  <si>
    <t>INR/hr</t>
  </si>
  <si>
    <t xml:space="preserve">Days required for working </t>
  </si>
  <si>
    <t>days</t>
  </si>
  <si>
    <t>Hours per day</t>
  </si>
  <si>
    <t>houINR</t>
  </si>
  <si>
    <t>Fuel consumption - dozer</t>
  </si>
  <si>
    <t>ltr/hr</t>
  </si>
  <si>
    <t>Fuel consumption - excavator</t>
  </si>
  <si>
    <t xml:space="preserve">Total Fuel consumption </t>
  </si>
  <si>
    <t>INR/ hr</t>
  </si>
  <si>
    <t xml:space="preserve">Labour charges </t>
  </si>
  <si>
    <t>Barbed wire fencing</t>
  </si>
  <si>
    <t xml:space="preserve">Sub Total for Site preparation costs </t>
  </si>
  <si>
    <t>EIA Study as per ToR</t>
  </si>
  <si>
    <t xml:space="preserve">Environment Clearance </t>
  </si>
  <si>
    <t>CTE Fees</t>
  </si>
  <si>
    <t>CTO Fees</t>
  </si>
  <si>
    <t>Annual Water Audit</t>
  </si>
  <si>
    <t>Stamp Duty calculation (Mining Lease of any term)</t>
  </si>
  <si>
    <t>UoM</t>
  </si>
  <si>
    <t>Calculation</t>
  </si>
  <si>
    <t>Extractable Resource as per Mine Plan</t>
  </si>
  <si>
    <t>Mine Life as per MP</t>
  </si>
  <si>
    <t>Yrs</t>
  </si>
  <si>
    <t>Period of Lease</t>
  </si>
  <si>
    <t>Avg. Grade of Extractable reserve (as per MP)</t>
  </si>
  <si>
    <t>G12</t>
  </si>
  <si>
    <t>Notional Price for G12</t>
  </si>
  <si>
    <t>INR/ton</t>
  </si>
  <si>
    <t>Royalty on Coal</t>
  </si>
  <si>
    <t>Total Royalty</t>
  </si>
  <si>
    <t>Stamp Duty @2%</t>
  </si>
  <si>
    <t>Registration @75% of Stamp Duty</t>
  </si>
  <si>
    <t xml:space="preserve">Upkar Tax @10% of Stamp Duty (30 Years or More Lease term) </t>
  </si>
  <si>
    <t>Total Stamp duty</t>
  </si>
  <si>
    <t>Total Stamp duty  (in INR Cr)</t>
  </si>
  <si>
    <t>Surface Lease Rent Charges</t>
  </si>
  <si>
    <t>Rs.1000/ha/year</t>
  </si>
  <si>
    <t>Surface Lease Rent Charges (in Crs.)</t>
  </si>
  <si>
    <t>Land Costs, (INR Crore)</t>
  </si>
  <si>
    <t>Land Area in Ha</t>
  </si>
  <si>
    <t>SI.No</t>
  </si>
  <si>
    <t>Village</t>
  </si>
  <si>
    <t>Govt Land In Ha</t>
  </si>
  <si>
    <t xml:space="preserve"> Forest Land in Ha Total</t>
  </si>
  <si>
    <t>Total Govt.</t>
  </si>
  <si>
    <t>Total in Ha</t>
  </si>
  <si>
    <t>Communal</t>
  </si>
  <si>
    <t>Leasabl</t>
  </si>
  <si>
    <t xml:space="preserve"> Gochar</t>
  </si>
  <si>
    <t>Revenue Forest</t>
  </si>
  <si>
    <t>Reserve Forest</t>
  </si>
  <si>
    <t>Forest as per sabik record</t>
  </si>
  <si>
    <t>DLC</t>
  </si>
  <si>
    <t>Total Forest</t>
  </si>
  <si>
    <t>Barapada</t>
  </si>
  <si>
    <t>Kusakila</t>
  </si>
  <si>
    <t>Naupada</t>
  </si>
  <si>
    <t>Kusakila jangle Bar</t>
  </si>
  <si>
    <t>Jhintipal</t>
  </si>
  <si>
    <t>Outagadia</t>
  </si>
  <si>
    <t>Balipata</t>
  </si>
  <si>
    <t>Kosala</t>
  </si>
  <si>
    <t xml:space="preserve">Land Cost in Lakh </t>
  </si>
  <si>
    <t>Pvt.Land In Lakh</t>
  </si>
  <si>
    <t>Total (INR Lakh)</t>
  </si>
  <si>
    <t>Market Price (INR Lakh)</t>
  </si>
  <si>
    <t>Multiplied Factor - 1.8</t>
  </si>
  <si>
    <t>Solatioum</t>
  </si>
  <si>
    <t xml:space="preserve">CA Land Proposed Rate </t>
  </si>
  <si>
    <t>Land Type</t>
  </si>
  <si>
    <t>Private land</t>
  </si>
  <si>
    <t>Ha</t>
  </si>
  <si>
    <t>Government</t>
  </si>
  <si>
    <t>Forest Land</t>
  </si>
  <si>
    <t>Government Land</t>
  </si>
  <si>
    <t>CA Land/ Others</t>
  </si>
  <si>
    <t>Forest Diversion Cost</t>
  </si>
  <si>
    <t>Parameter</t>
  </si>
  <si>
    <t>Ecosystem Service Losses</t>
  </si>
  <si>
    <t>Cr</t>
  </si>
  <si>
    <t>Loss of Animal Husbandary Productivity, including loss of Fodder (10% of NPV)</t>
  </si>
  <si>
    <t>Cost of Human Settlement</t>
  </si>
  <si>
    <t>Loss of Public Facilities and
administrative infrastructure (Roads,
Buildings, Schools, dipensaries,
Electric Lines, Railways etc.,) on forest
land, which would require forest land
if these facilities were diverted due to
the project</t>
  </si>
  <si>
    <t>Possession value of forest land
diverted</t>
  </si>
  <si>
    <t>Cost of Suffering to oustees</t>
  </si>
  <si>
    <t>Habitat Fragmentation cost</t>
  </si>
  <si>
    <t>Compensatory Afforestation and Soil
&amp; moisture conservation cost</t>
  </si>
  <si>
    <t>HEMM Calculations</t>
  </si>
  <si>
    <t>List of Equipment</t>
  </si>
  <si>
    <t>Factor/
Constraint</t>
  </si>
  <si>
    <t>Drill Machine</t>
  </si>
  <si>
    <t>Excavator/Shovel</t>
  </si>
  <si>
    <t>Front End Loader</t>
  </si>
  <si>
    <t>Dumper/ Truck</t>
  </si>
  <si>
    <t>Dozer</t>
  </si>
  <si>
    <t>Grader</t>
  </si>
  <si>
    <t>Crane</t>
  </si>
  <si>
    <t>Anxilliary</t>
  </si>
  <si>
    <t>Drill Machine/ 250mm diameter</t>
  </si>
  <si>
    <t>Electric Rope Shovel/ 38.3 cum</t>
  </si>
  <si>
    <t>Surface Miner/ 2200 SM</t>
  </si>
  <si>
    <t>Front End Loader/ 10.0 cum</t>
  </si>
  <si>
    <t>Dumper/ 240t</t>
  </si>
  <si>
    <t>Track Dozer/ 850 HP</t>
  </si>
  <si>
    <t>Motor Grader/ 290 - 348 HP</t>
  </si>
  <si>
    <t>Crane/ 120t</t>
  </si>
  <si>
    <t>SMIPCC</t>
  </si>
  <si>
    <t>Coal/Ore</t>
  </si>
  <si>
    <t>Drill Machine/ 160mm diameter</t>
  </si>
  <si>
    <t>Electric Rope Shovel/ 26.7 cum</t>
  </si>
  <si>
    <t>Surface Miner/ 3800 SM</t>
  </si>
  <si>
    <t>Front End Loader/ 10.7~12.3 cum</t>
  </si>
  <si>
    <t>Dumper/ 220t</t>
  </si>
  <si>
    <t>Track Dozer/ 722 HP</t>
  </si>
  <si>
    <t>Motor Grader/ 259 - 275 HP</t>
  </si>
  <si>
    <t>Crane/ 100t</t>
  </si>
  <si>
    <t>Tipper Car</t>
  </si>
  <si>
    <t xml:space="preserve">Waste (IB Thin Parting) </t>
  </si>
  <si>
    <t>Drill Machine/ 115mm diameter</t>
  </si>
  <si>
    <t xml:space="preserve">Electric Rope Shovel/ 22 cum </t>
  </si>
  <si>
    <t>Front End Loader/ 8.6~10 cum</t>
  </si>
  <si>
    <t>Dumper/ 191t</t>
  </si>
  <si>
    <t>Track Dozer/ 525 HP</t>
  </si>
  <si>
    <t>Motor Grader/ 145 HP</t>
  </si>
  <si>
    <t>Crane/ 60t</t>
  </si>
  <si>
    <t>Spreader</t>
  </si>
  <si>
    <t>Waste (IB Thick Parting)</t>
  </si>
  <si>
    <t>Quantity require for Drilling</t>
  </si>
  <si>
    <t>Electro Hydraulic Shovel/ 22 cum</t>
  </si>
  <si>
    <t>Front End Loader/ 6.4 cum</t>
  </si>
  <si>
    <t>Dumper/ 140t</t>
  </si>
  <si>
    <t>Track Dozer/ 405 HP</t>
  </si>
  <si>
    <t>Crane/ 40t</t>
  </si>
  <si>
    <t>BC-1</t>
  </si>
  <si>
    <t>Waste (OB)</t>
  </si>
  <si>
    <t>Electric Rope Shovel/ 20 cum</t>
  </si>
  <si>
    <t>Front End Loader/ 2.5 cum</t>
  </si>
  <si>
    <t>Dumper/ 100t</t>
  </si>
  <si>
    <t>Track Dozer/ 320 HP</t>
  </si>
  <si>
    <t>Crane/ 30t</t>
  </si>
  <si>
    <t>PDC-1</t>
  </si>
  <si>
    <t>Waste Thick Parting (Ob/IB)</t>
  </si>
  <si>
    <t>Peak</t>
  </si>
  <si>
    <t xml:space="preserve">Electric Rope Shovel/ 17 cum </t>
  </si>
  <si>
    <t>Front End Loader/ 1.7cum</t>
  </si>
  <si>
    <t>Crane/ 20t</t>
  </si>
  <si>
    <t>DC-1</t>
  </si>
  <si>
    <t>Electric Rope Shovel/12 cum (CAT)</t>
  </si>
  <si>
    <t>Track Dozer/ 192 HP</t>
  </si>
  <si>
    <t>Crane/ 12t</t>
  </si>
  <si>
    <t>BC-2</t>
  </si>
  <si>
    <t>No. of Drill Machine Required</t>
  </si>
  <si>
    <t>nos.</t>
  </si>
  <si>
    <t>Diesel hydraulic shovel/ 10 cum</t>
  </si>
  <si>
    <t>Dumper/ 60t</t>
  </si>
  <si>
    <t>Track Dozer/ 165 HP</t>
  </si>
  <si>
    <t>Crane/ 8t</t>
  </si>
  <si>
    <t>PDC-2</t>
  </si>
  <si>
    <t>Drill Fleet Actually Required</t>
  </si>
  <si>
    <t>Diesel hydraulic shovel/ 10 cum (I)</t>
  </si>
  <si>
    <t>Wheel Dozer</t>
  </si>
  <si>
    <t>DC-2</t>
  </si>
  <si>
    <t>Diesel hydraulic shovel/ 12 cum (Komatsu)</t>
  </si>
  <si>
    <t>Dumper/ 50t</t>
  </si>
  <si>
    <t>Ripper Dozer/ 450TPH</t>
  </si>
  <si>
    <t xml:space="preserve">IPCC - Transport Crawler </t>
  </si>
  <si>
    <t>Diesel hydraulic shovel/ 12 cum (CAT)</t>
  </si>
  <si>
    <t>Dumper/ 40t</t>
  </si>
  <si>
    <t>Ripper Dozer/600TPH</t>
  </si>
  <si>
    <t>Water Sprinkler/ 28KL</t>
  </si>
  <si>
    <t xml:space="preserve">Diesel hydraulic shovel/ 8.1 cum </t>
  </si>
  <si>
    <t>Tipper/ 35t</t>
  </si>
  <si>
    <t>Diesel Bowser/ 9KL</t>
  </si>
  <si>
    <t xml:space="preserve">Diesel hydraulic shovel/ 6.5 cum </t>
  </si>
  <si>
    <t>Tipper/ 20t</t>
  </si>
  <si>
    <t xml:space="preserve">Explosive Van </t>
  </si>
  <si>
    <t xml:space="preserve">Diesel hydraulic shovel/ 6.0 cum </t>
  </si>
  <si>
    <t>Truck/ 7-8t</t>
  </si>
  <si>
    <t>Maintenance Van</t>
  </si>
  <si>
    <t>Diesel hydraulic Shovel/ 4.6 cum</t>
  </si>
  <si>
    <t>Diesel Hydraulic backhoe/ 1.5cum (Komatsu)</t>
  </si>
  <si>
    <t>Diesel hydraulic Shovel/ 3.4 cum</t>
  </si>
  <si>
    <t>Diesel Hydraulic backhoe/ 1.5cum (Hitachi)</t>
  </si>
  <si>
    <t>Diesel hydraulic Shovel with Xcentric Ripper/ 3.4 cum</t>
  </si>
  <si>
    <t xml:space="preserve">Boom Truck </t>
  </si>
  <si>
    <t>Diesel hydraulic Shovel/ 3.0 cum</t>
  </si>
  <si>
    <t xml:space="preserve">Heavy duty tow truck </t>
  </si>
  <si>
    <t>Shovel/Excavator</t>
  </si>
  <si>
    <t>Diesel hydraulic Shovel/ 1.0 cum</t>
  </si>
  <si>
    <t>Tipping Truck/ 8t</t>
  </si>
  <si>
    <t>Fork lift/ 8t</t>
  </si>
  <si>
    <t>Top Soil Volume</t>
  </si>
  <si>
    <t>Tyre handler/ 20t</t>
  </si>
  <si>
    <t>No. of machine Required</t>
  </si>
  <si>
    <t>Tyre handler/ 12t</t>
  </si>
  <si>
    <t>Shovel /Excavator Fleet Actually Required</t>
  </si>
  <si>
    <t xml:space="preserve">Farm tractor </t>
  </si>
  <si>
    <t>Fire Tender</t>
  </si>
  <si>
    <t>Thin Parting, Topsoil &amp; Coal (From Drill &amp; Blast)</t>
  </si>
  <si>
    <t xml:space="preserve">Ambulance </t>
  </si>
  <si>
    <t>Material Volume</t>
  </si>
  <si>
    <t>Worker Transportation bus</t>
  </si>
  <si>
    <t>School bus</t>
  </si>
  <si>
    <t xml:space="preserve">Pickup Van </t>
  </si>
  <si>
    <t>Waste - OB &amp; Thick Parting</t>
  </si>
  <si>
    <t>Cars</t>
  </si>
  <si>
    <t>Waste Volume</t>
  </si>
  <si>
    <t>Rehandling by Own Trucks and Excavators</t>
  </si>
  <si>
    <t>Drop-Down
No - Rehandling excluded
Yes - Rehandling included</t>
  </si>
  <si>
    <t>Surface Miner/Ripper</t>
  </si>
  <si>
    <t>No. of SM required</t>
  </si>
  <si>
    <t>SM Fleet Actually Required</t>
  </si>
  <si>
    <t>Front-End Loader</t>
  </si>
  <si>
    <t>With SM/Ripper</t>
  </si>
  <si>
    <t>No. of FEL required</t>
  </si>
  <si>
    <t>FEL Fleet Actually Required</t>
  </si>
  <si>
    <t>Dumper</t>
  </si>
  <si>
    <t>Topsoil</t>
  </si>
  <si>
    <t>No. of Dumper/Truck required</t>
  </si>
  <si>
    <t>Dumper/Truck Fleet Actually Required</t>
  </si>
  <si>
    <t>Thin  Parting + Rehandling</t>
  </si>
  <si>
    <t>Drop-Down
No - Mean rehandling excluded
Yes - Rehandling included</t>
  </si>
  <si>
    <t>Coal Volume</t>
  </si>
  <si>
    <t>Mention the Purpose Below</t>
  </si>
  <si>
    <t>No. of Dozer Required</t>
  </si>
  <si>
    <t>Ancilliary</t>
  </si>
  <si>
    <t>Final Fleet Size</t>
  </si>
  <si>
    <t>Mention Purpose</t>
  </si>
  <si>
    <t>Equipment List</t>
  </si>
  <si>
    <t>Equipment Phasing</t>
  </si>
  <si>
    <t xml:space="preserve">Equipment Actual Requirement </t>
  </si>
  <si>
    <t>Equipment Replacement</t>
  </si>
  <si>
    <t>Life in Yr</t>
  </si>
  <si>
    <t>Equipment Initial Capital Cost</t>
  </si>
  <si>
    <t>Unit Cost</t>
  </si>
  <si>
    <t>Total Initial Capital Requirement - Equipment</t>
  </si>
  <si>
    <t>Equipment Replacement Capital Cost</t>
  </si>
  <si>
    <t>Total Replacement Capital Requirement - Equipment</t>
  </si>
  <si>
    <t>Estimation of R&amp;R Cost</t>
  </si>
  <si>
    <t>Calculation Excluding  Nuapada Village</t>
  </si>
  <si>
    <t xml:space="preserve">R&amp;R Project Planning Assumption </t>
  </si>
  <si>
    <t>S.No</t>
  </si>
  <si>
    <t xml:space="preserve">Unit Value </t>
  </si>
  <si>
    <t>No of PAF</t>
  </si>
  <si>
    <t>Activity</t>
  </si>
  <si>
    <t>R&amp;R %</t>
  </si>
  <si>
    <t>Reasonal Justificatin</t>
  </si>
  <si>
    <t xml:space="preserve">One time Annuity 5 Lakh Rs. per PAFs </t>
  </si>
  <si>
    <t>Survey, SIA &amp; Statutory Approvals</t>
  </si>
  <si>
    <t>Baseline data collection, socio-economic surveys</t>
  </si>
  <si>
    <t>Subsistence grant for per displaced families for a period of one-year  Rs. 3000 (Per Month)</t>
  </si>
  <si>
    <t>Pre-construction (CHP &amp; Railway Siding – Critical Areas)</t>
  </si>
  <si>
    <t>Clearing critical logistics corridors (Rail/CHP) to prevent contractor idle-time</t>
  </si>
  <si>
    <t xml:space="preserve">Transportation cost Rs 50000 for per displaced families
(Onetime) </t>
  </si>
  <si>
    <t>Major Construction Phase</t>
  </si>
  <si>
    <t>Peak relocation to provide unencumbered land for full-scale infrastructure works</t>
  </si>
  <si>
    <t xml:space="preserve">One time Resettlement allowance 50000 rs. per PAFs
</t>
  </si>
  <si>
    <t>Balance Construction &amp; Commissioning</t>
  </si>
  <si>
    <t>Residual handover of ancillary areas</t>
  </si>
  <si>
    <t>Additional Market value on cost of land @12 % per year for
a period of 2 years (cut-off date being the date of
preliminary date of notification, from
11(1) to 19(1) one year and from 19(1) to Award Maximum
one year (At the Rate of 12 % of the Land Value)</t>
  </si>
  <si>
    <t>Operational Stabilization</t>
  </si>
  <si>
    <t>Addressing title disputes, left-out cases</t>
  </si>
  <si>
    <t>Budget for Resettlement Colony</t>
  </si>
  <si>
    <t>Cost of Structures &amp;
Trees etc.</t>
  </si>
  <si>
    <t>Monitoring &amp; Evaluation</t>
  </si>
  <si>
    <t>Total Budget for Resettlement Colony</t>
  </si>
  <si>
    <t>Project Affeted Families</t>
  </si>
  <si>
    <t>SI No.</t>
  </si>
  <si>
    <t>Category of PDFs &amp; PAFs</t>
  </si>
  <si>
    <t>Barpada</t>
  </si>
  <si>
    <t>Kushakila</t>
  </si>
  <si>
    <t>Jhintipala</t>
  </si>
  <si>
    <t>Putagadia</t>
  </si>
  <si>
    <t>Kushakila Jungle (Bada)</t>
  </si>
  <si>
    <t>Families Loosing all land and homesead land</t>
  </si>
  <si>
    <t/>
  </si>
  <si>
    <t>DF Loosing &gt;2/3 AL and HL</t>
  </si>
  <si>
    <t>Families loosing all AL &amp; not HL</t>
  </si>
  <si>
    <t>Families Loosing &gt; 1/3 AL and HL</t>
  </si>
  <si>
    <t>Families Loosing HL but not AL</t>
  </si>
  <si>
    <t>Families Loosing part of Agri land not HL</t>
  </si>
  <si>
    <t>Total PFAs</t>
  </si>
  <si>
    <t>Total PDFs</t>
  </si>
  <si>
    <t>Nuapada Village - Loosing Land but not loosing House</t>
  </si>
  <si>
    <t>Nuapada -Loosing land and  Loosing Houses</t>
  </si>
  <si>
    <t>Calculation Including all village ( Kushikila, Barapada, Nuapada)</t>
  </si>
  <si>
    <t>One time Annuity 5 Lakh Rs. per PAFs (Nos. 4647)</t>
  </si>
  <si>
    <t>Subsistence grant for per displaced families for a period of one-year (3629 PAFs) Rs. 3000 (Per Month)</t>
  </si>
  <si>
    <t>Transportation cost Rs 50000 for per displaced families
(Onetime) (3629 Nos.)</t>
  </si>
  <si>
    <t>One time Resettlement allowance 50000 rs. per PAFs
(Nos. 4647)</t>
  </si>
  <si>
    <t xml:space="preserve">Equipment Details </t>
  </si>
  <si>
    <t xml:space="preserve">Fuel </t>
  </si>
  <si>
    <t xml:space="preserve">Make </t>
  </si>
  <si>
    <t xml:space="preserve">Model </t>
  </si>
  <si>
    <t>Cost (Incl GST)</t>
  </si>
  <si>
    <t xml:space="preserve">Engine </t>
  </si>
  <si>
    <t>Capacity</t>
  </si>
  <si>
    <t>Heaped Vol</t>
  </si>
  <si>
    <t xml:space="preserve">Availability </t>
  </si>
  <si>
    <t xml:space="preserve">Utilization </t>
  </si>
  <si>
    <t>Working hours</t>
  </si>
  <si>
    <t xml:space="preserve">Life </t>
  </si>
  <si>
    <t>Spares</t>
  </si>
  <si>
    <t>Tyres (Incl GST of 28%)</t>
  </si>
  <si>
    <t xml:space="preserve">INR </t>
  </si>
  <si>
    <t>HP</t>
  </si>
  <si>
    <t>mm,cum,t</t>
  </si>
  <si>
    <t>cum</t>
  </si>
  <si>
    <t>hours/ year</t>
  </si>
  <si>
    <t xml:space="preserve">hours/day </t>
  </si>
  <si>
    <t>hours</t>
  </si>
  <si>
    <t>Ltr/hr</t>
  </si>
  <si>
    <t>kW</t>
  </si>
  <si>
    <t>no</t>
  </si>
  <si>
    <t>Mining Equipment Operating Costs</t>
  </si>
  <si>
    <t>Diesel Cost</t>
  </si>
  <si>
    <t>INR/ Equipment</t>
  </si>
  <si>
    <t>Lubrication Costs</t>
  </si>
  <si>
    <t>Spares Costs</t>
  </si>
  <si>
    <t>Tyres Costs</t>
  </si>
  <si>
    <t>Other Consumables</t>
  </si>
  <si>
    <t>Equipment Operating Cost</t>
  </si>
  <si>
    <t>Assumptions</t>
  </si>
  <si>
    <t>Equipment Parameter</t>
  </si>
  <si>
    <t xml:space="preserve">Bucket fill factor </t>
  </si>
  <si>
    <t xml:space="preserve">Bucket cycle time </t>
  </si>
  <si>
    <t>seconds</t>
  </si>
  <si>
    <t xml:space="preserve">Shovel and Dumper positioning time </t>
  </si>
  <si>
    <t xml:space="preserve">Truck Fill Factor </t>
  </si>
  <si>
    <t xml:space="preserve">Truck waiting time at shovel </t>
  </si>
  <si>
    <t>Seconds</t>
  </si>
  <si>
    <t xml:space="preserve">Speed of Loaded dumper </t>
  </si>
  <si>
    <t>Kmph</t>
  </si>
  <si>
    <t>Speed of Empty dumper</t>
  </si>
  <si>
    <t>Calculations</t>
  </si>
  <si>
    <t>Drill Machine Productivity</t>
  </si>
  <si>
    <t xml:space="preserve">Waste IB (Thin Parting) </t>
  </si>
  <si>
    <t>Bench Height</t>
  </si>
  <si>
    <t>Drill Diameter</t>
  </si>
  <si>
    <t>mm</t>
  </si>
  <si>
    <t>Burden</t>
  </si>
  <si>
    <t>Spacing</t>
  </si>
  <si>
    <t>Sub-grade drilling</t>
  </si>
  <si>
    <t>Effective drilling rate</t>
  </si>
  <si>
    <t>m/hr</t>
  </si>
  <si>
    <t>Drill Yield</t>
  </si>
  <si>
    <t>cum/m</t>
  </si>
  <si>
    <t>Working hours per day</t>
  </si>
  <si>
    <t>Drilling per day</t>
  </si>
  <si>
    <t>m/day</t>
  </si>
  <si>
    <t>ROM per day</t>
  </si>
  <si>
    <t>cum/yr/drill</t>
  </si>
  <si>
    <t>Surface Miner Productivity</t>
  </si>
  <si>
    <t>Coal Production</t>
  </si>
  <si>
    <t>tph</t>
  </si>
  <si>
    <t>Working hours in a year</t>
  </si>
  <si>
    <t>Availability</t>
  </si>
  <si>
    <t>Utilisation</t>
  </si>
  <si>
    <t>Annual Effective working hours</t>
  </si>
  <si>
    <t>Annual production</t>
  </si>
  <si>
    <t>t/yr</t>
  </si>
  <si>
    <t>Shovel/ Dumper Productivity</t>
  </si>
  <si>
    <t>Diesel hydraulic shovel</t>
  </si>
  <si>
    <t xml:space="preserve">Thin Parting(IB) </t>
  </si>
  <si>
    <t>Miscelleneous (01)</t>
  </si>
  <si>
    <t>Miscelleneous (02)</t>
  </si>
  <si>
    <t>Bucket capacity</t>
  </si>
  <si>
    <t>Bucket fill factor</t>
  </si>
  <si>
    <t>Effective bucket capacity</t>
  </si>
  <si>
    <t>bcm</t>
  </si>
  <si>
    <t>tonnes</t>
  </si>
  <si>
    <t>Bucket cycle time</t>
  </si>
  <si>
    <t>Shovel and Dumper positioning time</t>
  </si>
  <si>
    <t>No of passes required to fill dumpers</t>
  </si>
  <si>
    <t>Total Loading and Spotting time</t>
  </si>
  <si>
    <t>minutes</t>
  </si>
  <si>
    <t>Total trucks that can be loaded in a day</t>
  </si>
  <si>
    <t xml:space="preserve">Total quantity shovel can load in a year </t>
  </si>
  <si>
    <t>bcm/yr/shovel</t>
  </si>
  <si>
    <t xml:space="preserve">Truck Capacity </t>
  </si>
  <si>
    <t>Tonnes</t>
  </si>
  <si>
    <t xml:space="preserve">Heaped Capacity </t>
  </si>
  <si>
    <t>Cum</t>
  </si>
  <si>
    <t xml:space="preserve">Fill Factor </t>
  </si>
  <si>
    <t xml:space="preserve">Effective body capacity </t>
  </si>
  <si>
    <t xml:space="preserve">Actual carrying capacity </t>
  </si>
  <si>
    <t xml:space="preserve">Truck waiting time at unloading point </t>
  </si>
  <si>
    <t>Hauling distance (one way)</t>
  </si>
  <si>
    <t xml:space="preserve">Total travel time </t>
  </si>
  <si>
    <t xml:space="preserve">Total Cycle time </t>
  </si>
  <si>
    <t xml:space="preserve">Total no of trips possible in a day </t>
  </si>
  <si>
    <t>Total coal quantity that dumper can carry in a year</t>
  </si>
  <si>
    <t>bcm/yr/dumper</t>
  </si>
  <si>
    <t>Coal- Rehandle</t>
  </si>
  <si>
    <t>Total waste quantity that dumper can carry in a year</t>
  </si>
  <si>
    <t xml:space="preserve">Waste - Rehandle </t>
  </si>
  <si>
    <t>SURFACE MINER PRODUCTIVITY</t>
  </si>
  <si>
    <t>A. MACHINE PARAMETERS</t>
  </si>
  <si>
    <t>Cutting Width</t>
  </si>
  <si>
    <t>HIL input</t>
  </si>
  <si>
    <t>Cutting Depth</t>
  </si>
  <si>
    <t>Length of Cut</t>
  </si>
  <si>
    <t>SRK assumption</t>
  </si>
  <si>
    <t>Cutting Speed</t>
  </si>
  <si>
    <t>km/hr</t>
  </si>
  <si>
    <t>B. MATERIAL PARAMETERS</t>
  </si>
  <si>
    <t>Specific Gravity of Coal</t>
  </si>
  <si>
    <t>t/m³</t>
  </si>
  <si>
    <t>C. OPERATIONAL PARAMETERS</t>
  </si>
  <si>
    <t>Operating Hours per Day</t>
  </si>
  <si>
    <t>Operating Days per Year</t>
  </si>
  <si>
    <t>D. CYCLE TIME ANALYSIS</t>
  </si>
  <si>
    <t>Component</t>
  </si>
  <si>
    <t>Time to Cut</t>
  </si>
  <si>
    <t>min</t>
  </si>
  <si>
    <t>Time to Reverse for next cut</t>
  </si>
  <si>
    <t>Time to Reposition to start next cut</t>
  </si>
  <si>
    <t>Total Cycle Time</t>
  </si>
  <si>
    <t>Cycles per Hour</t>
  </si>
  <si>
    <t>cycles</t>
  </si>
  <si>
    <t>E. Volume Calculation</t>
  </si>
  <si>
    <t>Volume per Pass</t>
  </si>
  <si>
    <t>m³</t>
  </si>
  <si>
    <t>F. PRODUCTION CALCULATIONS</t>
  </si>
  <si>
    <t>Hourly Production (Volume)</t>
  </si>
  <si>
    <t>m³/hr</t>
  </si>
  <si>
    <t>Hourly Production (Tonnes)</t>
  </si>
  <si>
    <t>t/hr</t>
  </si>
  <si>
    <t>Daily Production (Volume)</t>
  </si>
  <si>
    <t>m³/day</t>
  </si>
  <si>
    <t>Daily Production (Tonnes)</t>
  </si>
  <si>
    <t>t/day</t>
  </si>
  <si>
    <t>Annual Production (Volume)</t>
  </si>
  <si>
    <t>m³/year</t>
  </si>
  <si>
    <t>Mcum/year</t>
  </si>
  <si>
    <t>Annual Production (Tonnes)</t>
  </si>
  <si>
    <t>tonnes/year</t>
  </si>
  <si>
    <t>Annual Production</t>
  </si>
  <si>
    <t>Mt/year</t>
  </si>
  <si>
    <t>Database Date</t>
  </si>
  <si>
    <t>Revathi</t>
  </si>
  <si>
    <t>C750E</t>
  </si>
  <si>
    <t>Atlas</t>
  </si>
  <si>
    <t>IDM30</t>
  </si>
  <si>
    <t>ICM260</t>
  </si>
  <si>
    <t>Import</t>
  </si>
  <si>
    <t>CAT</t>
  </si>
  <si>
    <t>6040 FS</t>
  </si>
  <si>
    <t>TZ</t>
  </si>
  <si>
    <t>WK-20</t>
  </si>
  <si>
    <t>6030 FS</t>
  </si>
  <si>
    <t>6020B</t>
  </si>
  <si>
    <t>6018 AC FS</t>
  </si>
  <si>
    <t>6018 FS</t>
  </si>
  <si>
    <t xml:space="preserve">Komatsu </t>
  </si>
  <si>
    <t>PC 2000-8</t>
  </si>
  <si>
    <t>6015B</t>
  </si>
  <si>
    <t>390FL</t>
  </si>
  <si>
    <t>374FL</t>
  </si>
  <si>
    <t>Indigenous</t>
  </si>
  <si>
    <t>349D2L</t>
  </si>
  <si>
    <t>CAT + Xcentric</t>
  </si>
  <si>
    <t>L&amp;T</t>
  </si>
  <si>
    <t>300 CKD-II</t>
  </si>
  <si>
    <t>320D2L</t>
  </si>
  <si>
    <t xml:space="preserve">Writgen </t>
  </si>
  <si>
    <t>2200SM</t>
  </si>
  <si>
    <t>KSM 403</t>
  </si>
  <si>
    <t>WA 800-3EO</t>
  </si>
  <si>
    <t>992K</t>
  </si>
  <si>
    <t>990K</t>
  </si>
  <si>
    <t>988K</t>
  </si>
  <si>
    <t>Unknown</t>
  </si>
  <si>
    <t>thyssenkrup</t>
  </si>
  <si>
    <t>793D</t>
  </si>
  <si>
    <t>BEML</t>
  </si>
  <si>
    <t>789D</t>
  </si>
  <si>
    <t>785D</t>
  </si>
  <si>
    <t>777D</t>
  </si>
  <si>
    <t>Komatsu</t>
  </si>
  <si>
    <t>HD785-7</t>
  </si>
  <si>
    <t>BH100</t>
  </si>
  <si>
    <t>773D</t>
  </si>
  <si>
    <t>BH60M</t>
  </si>
  <si>
    <t>772D</t>
  </si>
  <si>
    <t>770G</t>
  </si>
  <si>
    <t>VOLVO</t>
  </si>
  <si>
    <t>FM400</t>
  </si>
  <si>
    <t>HINO</t>
  </si>
  <si>
    <t>500FM8J</t>
  </si>
  <si>
    <t>EICHER</t>
  </si>
  <si>
    <t>Pro2095XP</t>
  </si>
  <si>
    <t>D11T</t>
  </si>
  <si>
    <t>D10T2</t>
  </si>
  <si>
    <t>D 375A-6</t>
  </si>
  <si>
    <t>D9R</t>
  </si>
  <si>
    <t>BD 125</t>
  </si>
  <si>
    <t>D8R</t>
  </si>
  <si>
    <t>D6R</t>
  </si>
  <si>
    <t>D85Ess-2A</t>
  </si>
  <si>
    <t>834K</t>
  </si>
  <si>
    <t>475A (510 HP)</t>
  </si>
  <si>
    <t>D475A-8</t>
  </si>
  <si>
    <t>16M3</t>
  </si>
  <si>
    <t>14M</t>
  </si>
  <si>
    <t>120K2</t>
  </si>
  <si>
    <t>Manitowoc (USA)</t>
  </si>
  <si>
    <t>Escorts</t>
  </si>
  <si>
    <t>RT30</t>
  </si>
  <si>
    <t>Imdigenous</t>
  </si>
  <si>
    <t>A1 HED</t>
  </si>
  <si>
    <t>VH12C</t>
  </si>
  <si>
    <t>Hydra8</t>
  </si>
  <si>
    <t>WS 28-2</t>
  </si>
  <si>
    <t>PC 210-8MO</t>
  </si>
  <si>
    <t>Tata Hitachi</t>
  </si>
  <si>
    <t>ZX37LCH</t>
  </si>
  <si>
    <t>ACE</t>
  </si>
  <si>
    <t>AF50D</t>
  </si>
  <si>
    <t>MANITOU</t>
  </si>
  <si>
    <t>ST3A</t>
  </si>
  <si>
    <t>20t</t>
  </si>
  <si>
    <t>BL14TH</t>
  </si>
  <si>
    <t>12t</t>
  </si>
  <si>
    <t>Pumps and fittings</t>
  </si>
  <si>
    <t xml:space="preserve">Description </t>
  </si>
  <si>
    <t>Hole diameter</t>
  </si>
  <si>
    <t xml:space="preserve">Hole length </t>
  </si>
  <si>
    <t xml:space="preserve">Volume blasted per hole </t>
  </si>
  <si>
    <t>Bcm</t>
  </si>
  <si>
    <t>Charge Column requirement</t>
  </si>
  <si>
    <t xml:space="preserve">Charge Column length </t>
  </si>
  <si>
    <t xml:space="preserve">Explosive density </t>
  </si>
  <si>
    <t xml:space="preserve">Explosive quantity </t>
  </si>
  <si>
    <t>kg</t>
  </si>
  <si>
    <t xml:space="preserve">Powder factor </t>
  </si>
  <si>
    <t>kg/T</t>
  </si>
  <si>
    <t>T/kg</t>
  </si>
  <si>
    <t xml:space="preserve">Peak </t>
  </si>
  <si>
    <t xml:space="preserve">Drilling Length Requirement </t>
  </si>
  <si>
    <t>m/yr</t>
  </si>
  <si>
    <t xml:space="preserve">Blastholes Requirement </t>
  </si>
  <si>
    <t>holes/yr</t>
  </si>
  <si>
    <t xml:space="preserve">Explosives Requirement </t>
  </si>
  <si>
    <t>Boosters</t>
  </si>
  <si>
    <t>Nonel</t>
  </si>
  <si>
    <t>Bulk Explosives</t>
  </si>
  <si>
    <t>Explosives Cost</t>
  </si>
  <si>
    <t>Total cost of boosters</t>
  </si>
  <si>
    <t xml:space="preserve">Cr INR </t>
  </si>
  <si>
    <t>Total cost of Nonel and surface delays</t>
  </si>
  <si>
    <t>Total cost of Bulk Explosives</t>
  </si>
  <si>
    <t>Total Explosive Costs</t>
  </si>
  <si>
    <t>Explosive cost</t>
  </si>
  <si>
    <t>Per Day Requirement</t>
  </si>
  <si>
    <t>tonnes/day</t>
  </si>
  <si>
    <t>Manpower Estimation Sheet</t>
  </si>
  <si>
    <t>Factor/
Contraint</t>
  </si>
  <si>
    <t>Total Material Handling (TMH)</t>
  </si>
  <si>
    <t>Manpower Details</t>
  </si>
  <si>
    <t>Role</t>
  </si>
  <si>
    <t>Level</t>
  </si>
  <si>
    <t>Norms</t>
  </si>
  <si>
    <t>Salary</t>
  </si>
  <si>
    <t>HOP</t>
  </si>
  <si>
    <t xml:space="preserve">Project Head </t>
  </si>
  <si>
    <t>PA to Project Head</t>
  </si>
  <si>
    <t>Departmental Head</t>
  </si>
  <si>
    <t>Agent (Mining)</t>
  </si>
  <si>
    <t>DH</t>
  </si>
  <si>
    <t>Civil -Head</t>
  </si>
  <si>
    <t>SH</t>
  </si>
  <si>
    <t>Electrical - Head</t>
  </si>
  <si>
    <t>Mechanical - Head</t>
  </si>
  <si>
    <t xml:space="preserve">Mechanical </t>
  </si>
  <si>
    <t>Mining Technical &amp; Project Plannning - Head</t>
  </si>
  <si>
    <t>Survey - Head</t>
  </si>
  <si>
    <t>Geology/Geotechnical/Hydrogeology - Head</t>
  </si>
  <si>
    <t>Environment - Head</t>
  </si>
  <si>
    <t>Land &amp; Liasoning Officer - Head</t>
  </si>
  <si>
    <t>IT Officer - Head</t>
  </si>
  <si>
    <t>HR - Head</t>
  </si>
  <si>
    <t>Finance cum Commerical - Head</t>
  </si>
  <si>
    <t>Logistic - Head</t>
  </si>
  <si>
    <t>VTO - Head</t>
  </si>
  <si>
    <t>Medical Officer</t>
  </si>
  <si>
    <t>Store Incharge</t>
  </si>
  <si>
    <t>Local community welfare Officer (CSR)- Head</t>
  </si>
  <si>
    <t>Supporting Member</t>
  </si>
  <si>
    <t>Finance cum Commercial Team</t>
  </si>
  <si>
    <t xml:space="preserve">Senior Finance &amp; Accountant </t>
  </si>
  <si>
    <t>Finance &amp; Accountant's</t>
  </si>
  <si>
    <t>AH</t>
  </si>
  <si>
    <t>Senior Commercial Officer</t>
  </si>
  <si>
    <t>Commercial Officer's</t>
  </si>
  <si>
    <t>HR Team</t>
  </si>
  <si>
    <t xml:space="preserve">Personnel- HR- Officer </t>
  </si>
  <si>
    <t>HR Team Member's</t>
  </si>
  <si>
    <t>Local community welfare Officer (CSR)</t>
  </si>
  <si>
    <t>CSR Team Member's</t>
  </si>
  <si>
    <t>VTO Team</t>
  </si>
  <si>
    <t>VT Staff's</t>
  </si>
  <si>
    <t>General</t>
  </si>
  <si>
    <t>Clerk</t>
  </si>
  <si>
    <t xml:space="preserve">Peon </t>
  </si>
  <si>
    <t xml:space="preserve">Store </t>
  </si>
  <si>
    <t xml:space="preserve">Store Keeper </t>
  </si>
  <si>
    <t xml:space="preserve">Magazine Clerk </t>
  </si>
  <si>
    <t>Helpers/ Mazdoors</t>
  </si>
  <si>
    <t xml:space="preserve">Residential Camp </t>
  </si>
  <si>
    <t xml:space="preserve">Civil Overseer </t>
  </si>
  <si>
    <t>Civil Support</t>
  </si>
  <si>
    <t xml:space="preserve">Electrician </t>
  </si>
  <si>
    <t xml:space="preserve">Plumber </t>
  </si>
  <si>
    <t>Carpenter</t>
  </si>
  <si>
    <t xml:space="preserve">Pump operator </t>
  </si>
  <si>
    <t>Club attendants</t>
  </si>
  <si>
    <t>Cleaners and Sweepers</t>
  </si>
  <si>
    <t xml:space="preserve">Security </t>
  </si>
  <si>
    <t xml:space="preserve">HOD, Security </t>
  </si>
  <si>
    <t xml:space="preserve">Security Inspector </t>
  </si>
  <si>
    <t xml:space="preserve">Security Guards </t>
  </si>
  <si>
    <t xml:space="preserve">Environment </t>
  </si>
  <si>
    <t>Environment Personnel</t>
  </si>
  <si>
    <t>Horticulture and gardeners</t>
  </si>
  <si>
    <t>Samplers</t>
  </si>
  <si>
    <t>Helpers</t>
  </si>
  <si>
    <t>Land &amp; Liasoning</t>
  </si>
  <si>
    <t>Land &amp; Liasoning Officer</t>
  </si>
  <si>
    <t>Land &amp; Liasoning Officer - Team Member</t>
  </si>
  <si>
    <t>Railway</t>
  </si>
  <si>
    <t>Railway &amp; Siding In-charge</t>
  </si>
  <si>
    <t>Railway &amp; Siding</t>
  </si>
  <si>
    <t xml:space="preserve">Medical and Santitation </t>
  </si>
  <si>
    <t>Nurse</t>
  </si>
  <si>
    <t>Dressers</t>
  </si>
  <si>
    <t>Compounder</t>
  </si>
  <si>
    <t xml:space="preserve">Sweeper </t>
  </si>
  <si>
    <t xml:space="preserve">Canteen </t>
  </si>
  <si>
    <t>Guest House &amp; Canteen Manager</t>
  </si>
  <si>
    <t>Plant and Loading area</t>
  </si>
  <si>
    <t xml:space="preserve">Coal Handling </t>
  </si>
  <si>
    <t>Manager-Processing and Logistics</t>
  </si>
  <si>
    <t>Assistant Manager-Processing and logistics</t>
  </si>
  <si>
    <t>Foreman(Mining)</t>
  </si>
  <si>
    <t>Plant operator</t>
  </si>
  <si>
    <t>Engineer (E&amp;M)</t>
  </si>
  <si>
    <t>Foreman (E&amp;M)</t>
  </si>
  <si>
    <t xml:space="preserve">Electric fitter </t>
  </si>
  <si>
    <t xml:space="preserve">Mechanical fitter </t>
  </si>
  <si>
    <t>Fitter helper</t>
  </si>
  <si>
    <t>Maintenance Crew</t>
  </si>
  <si>
    <t>Electronics crew</t>
  </si>
  <si>
    <t xml:space="preserve">S/s attendant </t>
  </si>
  <si>
    <t>Majdoors</t>
  </si>
  <si>
    <t>Quality Control In-charge</t>
  </si>
  <si>
    <t>Lab Incharge</t>
  </si>
  <si>
    <t>Sample mazdoor</t>
  </si>
  <si>
    <t>Lab assistants</t>
  </si>
  <si>
    <t>Chemist</t>
  </si>
  <si>
    <t>Bulk handling</t>
  </si>
  <si>
    <t>Stacking supervisor</t>
  </si>
  <si>
    <t>Assitant manager</t>
  </si>
  <si>
    <t>Foreman E&amp;M</t>
  </si>
  <si>
    <t>RF Operators</t>
  </si>
  <si>
    <t>Stacker reclaimer operators</t>
  </si>
  <si>
    <t>RLS operator</t>
  </si>
  <si>
    <t>Electrician</t>
  </si>
  <si>
    <t>Wagon shunting man</t>
  </si>
  <si>
    <t>Automation Incharge</t>
  </si>
  <si>
    <t>Electric helper</t>
  </si>
  <si>
    <t>Weigh Bridge operator</t>
  </si>
  <si>
    <t>Despatch clerck</t>
  </si>
  <si>
    <t>Workshop &amp; Maintenance</t>
  </si>
  <si>
    <t>Workshop cum Maintenance In-charge</t>
  </si>
  <si>
    <t>Excavation Engineer</t>
  </si>
  <si>
    <t xml:space="preserve">Mechanical Engineer </t>
  </si>
  <si>
    <t>HEMM Foreman/Supervisor</t>
  </si>
  <si>
    <t>Mechanics - Grade I</t>
  </si>
  <si>
    <t>Mechanics - Grade II</t>
  </si>
  <si>
    <t>Electrician - Grade I</t>
  </si>
  <si>
    <t>Electrician - Grade II</t>
  </si>
  <si>
    <t>Welder - Grade I</t>
  </si>
  <si>
    <t>Welder - Grade II</t>
  </si>
  <si>
    <t>Machinist - Grade I</t>
  </si>
  <si>
    <t>Machinist - Grade II</t>
  </si>
  <si>
    <t>Turner - Grade I</t>
  </si>
  <si>
    <t>Turner - Grade II</t>
  </si>
  <si>
    <t xml:space="preserve">Hammerman </t>
  </si>
  <si>
    <t xml:space="preserve">Blacksmith </t>
  </si>
  <si>
    <t xml:space="preserve">Carpenter </t>
  </si>
  <si>
    <t>Greaser</t>
  </si>
  <si>
    <t>E&amp;M Maintenance</t>
  </si>
  <si>
    <t>E&amp;M In-charge</t>
  </si>
  <si>
    <t xml:space="preserve">Mechanical Fitter </t>
  </si>
  <si>
    <t>E&amp;M Helper</t>
  </si>
  <si>
    <t xml:space="preserve">Filter M/c attendant </t>
  </si>
  <si>
    <t>Welder</t>
  </si>
  <si>
    <t xml:space="preserve">Turner </t>
  </si>
  <si>
    <t xml:space="preserve">Machinist </t>
  </si>
  <si>
    <t>Pumping Operators</t>
  </si>
  <si>
    <t>Pump Khalasi</t>
  </si>
  <si>
    <t>Mazdoors</t>
  </si>
  <si>
    <t>Mining Operations</t>
  </si>
  <si>
    <t>Mine Manager</t>
  </si>
  <si>
    <t xml:space="preserve">Mines Manager </t>
  </si>
  <si>
    <t>Assistant Manager  (General shift)</t>
  </si>
  <si>
    <t xml:space="preserve">Overall In-charge </t>
  </si>
  <si>
    <t>Mine Planning &amp; Technical Service Department Engineer's</t>
  </si>
  <si>
    <t>Coal Working</t>
  </si>
  <si>
    <t>Overburden Working</t>
  </si>
  <si>
    <t>Overburden Dump</t>
  </si>
  <si>
    <t>Drilling &amp; Blasting (D&amp;B)</t>
  </si>
  <si>
    <t>Mine Safety Officer</t>
  </si>
  <si>
    <t>Maintenance of Haul road/Dump/LMV Road/Dump &amp; Pit Stability</t>
  </si>
  <si>
    <t>Maintenance of illumination</t>
  </si>
  <si>
    <t>Maintenance of Dust Suppression &amp; Work Environment</t>
  </si>
  <si>
    <t>Loading/Unloading in Mine Stock Yard &amp; Dispatch</t>
  </si>
  <si>
    <t>Siding/CHP</t>
  </si>
  <si>
    <t>Assistant Manager (Other Shift)</t>
  </si>
  <si>
    <t xml:space="preserve">Dispatch, Siding </t>
  </si>
  <si>
    <t xml:space="preserve">Mining Overman/ Foreman </t>
  </si>
  <si>
    <t>Blasting Foreman</t>
  </si>
  <si>
    <t xml:space="preserve">Mining Sirdar </t>
  </si>
  <si>
    <t>Survey Helper</t>
  </si>
  <si>
    <t xml:space="preserve">Draftsman </t>
  </si>
  <si>
    <t>Geologist Helpers</t>
  </si>
  <si>
    <t>Geotech Helpers</t>
  </si>
  <si>
    <t xml:space="preserve">Blaster </t>
  </si>
  <si>
    <t xml:space="preserve">Blast Crew </t>
  </si>
  <si>
    <t xml:space="preserve">Clerks </t>
  </si>
  <si>
    <t xml:space="preserve">Time Keeper </t>
  </si>
  <si>
    <t>Mining Operators</t>
  </si>
  <si>
    <t>Rank Wise Employees</t>
  </si>
  <si>
    <t>Year on Year C to C</t>
  </si>
  <si>
    <t>Report Purpose</t>
  </si>
  <si>
    <t>5 year</t>
  </si>
  <si>
    <t xml:space="preserve">General Administration </t>
  </si>
  <si>
    <t xml:space="preserve">Mining Executives </t>
  </si>
  <si>
    <t>Mining Services</t>
  </si>
  <si>
    <t xml:space="preserve">HEMM/ Workshop Maintenance Crew </t>
  </si>
  <si>
    <t>Coal Handling Plant, RLS, Stockpile, Weigh Bridge</t>
  </si>
  <si>
    <t>Quality laboratory</t>
  </si>
  <si>
    <t>Vocational Training Center</t>
  </si>
  <si>
    <t>Survey, Geology, Geotech &amp; Hydrogeology</t>
  </si>
  <si>
    <t>IT</t>
  </si>
  <si>
    <t>Security</t>
  </si>
  <si>
    <t>Un-Armed</t>
  </si>
  <si>
    <t>Armed</t>
  </si>
  <si>
    <t>Camp</t>
  </si>
  <si>
    <t>Canteen</t>
  </si>
  <si>
    <t>Guest House</t>
  </si>
  <si>
    <t>Admin Building</t>
  </si>
  <si>
    <t>Pit top office</t>
  </si>
  <si>
    <t>Excavatipn Workshop</t>
  </si>
  <si>
    <t>E&amp;M Workshop</t>
  </si>
  <si>
    <t>Store</t>
  </si>
  <si>
    <t>Laboratory</t>
  </si>
  <si>
    <t>RLS</t>
  </si>
  <si>
    <t>Stockpile</t>
  </si>
  <si>
    <t>Intermediate Check Point</t>
  </si>
  <si>
    <t>Remarks/
Constant/
Factors</t>
  </si>
  <si>
    <t>Kcal/kg</t>
  </si>
  <si>
    <t>Price-NCI</t>
  </si>
  <si>
    <t>Price-Commercial</t>
  </si>
  <si>
    <t>Revenue-NCI</t>
  </si>
  <si>
    <t>Revenue-Commercial</t>
  </si>
  <si>
    <t>Project Specific</t>
  </si>
  <si>
    <t>Government Fees and Charges</t>
  </si>
  <si>
    <t>Upfront Payment Paid</t>
  </si>
  <si>
    <t>Upfront Cummulative Paid (eligible for refund)</t>
  </si>
  <si>
    <t>Upfront payment that can be adjusted (eligible for refund)</t>
  </si>
  <si>
    <t>Adjusted Revenue Sharing</t>
  </si>
  <si>
    <t>Final Revenue Sharing</t>
  </si>
  <si>
    <t>Vayapar Kar</t>
  </si>
  <si>
    <t>Public Works and Road Cess (Paryavahan Kar)</t>
  </si>
  <si>
    <t>Space for additional</t>
  </si>
  <si>
    <t>Mine Closure Fund</t>
  </si>
  <si>
    <t>Mine Closure Fund Cost</t>
  </si>
  <si>
    <t>Descriptions</t>
  </si>
  <si>
    <t>Grade as per GR/Tender  Document</t>
  </si>
  <si>
    <t>GCV as per Mine Design</t>
  </si>
  <si>
    <t>Kcal/kg (ARB)</t>
  </si>
  <si>
    <t>Grade as per Mine Design</t>
  </si>
  <si>
    <t>NCI Price as per Mine Design Grade</t>
  </si>
  <si>
    <t>Market Price/Commercial Price of Coal</t>
  </si>
  <si>
    <t>Representative Prices of different Grades of Coal based on NCI</t>
  </si>
  <si>
    <t>Coal Grade</t>
  </si>
  <si>
    <t>GCV (kcal/kg)</t>
  </si>
  <si>
    <t>Representative Prices (INR/t)</t>
  </si>
  <si>
    <t>INR/kcal/kg</t>
  </si>
  <si>
    <t>Min</t>
  </si>
  <si>
    <t>Max</t>
  </si>
  <si>
    <t>G1</t>
  </si>
  <si>
    <t>G2</t>
  </si>
  <si>
    <t>G3</t>
  </si>
  <si>
    <t>G4</t>
  </si>
  <si>
    <t>G5</t>
  </si>
  <si>
    <t>G6</t>
  </si>
  <si>
    <t>G7</t>
  </si>
  <si>
    <t>G8</t>
  </si>
  <si>
    <t>G9</t>
  </si>
  <si>
    <t>G10</t>
  </si>
  <si>
    <t>G13</t>
  </si>
  <si>
    <t>G14</t>
  </si>
  <si>
    <t>G15</t>
  </si>
  <si>
    <t>G16</t>
  </si>
  <si>
    <t>G17</t>
  </si>
  <si>
    <t>ST-I</t>
  </si>
  <si>
    <t>ST-II</t>
  </si>
  <si>
    <t>W-I</t>
  </si>
  <si>
    <t>W-II</t>
  </si>
  <si>
    <t>W-III</t>
  </si>
  <si>
    <t>W-IV</t>
  </si>
  <si>
    <t>Period (Years)</t>
  </si>
  <si>
    <t>GCV in Kcal/Kg(ADB)</t>
  </si>
  <si>
    <t>Inharrent Moist (%)</t>
  </si>
  <si>
    <t>Expected Moisture addition in coal (%)</t>
  </si>
  <si>
    <t>Estimated reduction in GCV (ARB)</t>
  </si>
  <si>
    <t>Estimated GCV in ARB</t>
  </si>
  <si>
    <t>Y1</t>
  </si>
  <si>
    <t>Y2</t>
  </si>
  <si>
    <t>Y3</t>
  </si>
  <si>
    <t>Y4</t>
  </si>
  <si>
    <t>Y5</t>
  </si>
  <si>
    <t>Y6</t>
  </si>
  <si>
    <t>Y7</t>
  </si>
  <si>
    <t>Y8</t>
  </si>
  <si>
    <t>Y9</t>
  </si>
  <si>
    <t>Y10</t>
  </si>
  <si>
    <t>Y11</t>
  </si>
  <si>
    <t>Y12</t>
  </si>
  <si>
    <t>Y13</t>
  </si>
  <si>
    <t>Y14</t>
  </si>
  <si>
    <t>Y15</t>
  </si>
  <si>
    <t>Y16</t>
  </si>
  <si>
    <t>Y17</t>
  </si>
  <si>
    <t>Y18</t>
  </si>
  <si>
    <t>Y19</t>
  </si>
  <si>
    <t>A. Operating cost (per tonne of Coal)</t>
  </si>
  <si>
    <t>Sl. No.</t>
  </si>
  <si>
    <t>LOM Cost 
(INR/t of Coal)</t>
  </si>
  <si>
    <t>Cash Operating Cost</t>
  </si>
  <si>
    <t>LOM Cost (INR/t)</t>
  </si>
  <si>
    <t>LOM Cost 
(INR/t of Ore)</t>
  </si>
  <si>
    <t xml:space="preserve">Mining Cost </t>
  </si>
  <si>
    <t>Coal handling, Loading and Power</t>
  </si>
  <si>
    <t xml:space="preserve">Infrastructure Maintenance Costs, Admin </t>
  </si>
  <si>
    <t>Mine Closure, Env Costs, R&amp;R</t>
  </si>
  <si>
    <t>Bid Premium</t>
  </si>
  <si>
    <t>Govt Taxes &amp; GST</t>
  </si>
  <si>
    <t>B. Initial Capital Investment</t>
  </si>
  <si>
    <t>LOM Cost
(Cr INR)</t>
  </si>
  <si>
    <t>Capital Cost
(INR/t)</t>
  </si>
  <si>
    <t>LOM Cost</t>
  </si>
  <si>
    <t>C. Fleet of major equipment</t>
  </si>
  <si>
    <t>Ore</t>
  </si>
  <si>
    <t>MP</t>
  </si>
  <si>
    <t>Haul Distance - Coal</t>
  </si>
  <si>
    <t>Haul Distance - Waste</t>
  </si>
  <si>
    <t>Truck Cycle Time - Coal</t>
  </si>
  <si>
    <t>Truck Cycle Time - Waste</t>
  </si>
  <si>
    <t>Drill machine for Coal &amp; Thin Partings</t>
  </si>
  <si>
    <t>Drill machine for OB &amp; Thick Partings</t>
  </si>
  <si>
    <t>Surface Miner for Coal</t>
  </si>
  <si>
    <t>Excavators for OB &amp; Thick Partings</t>
  </si>
  <si>
    <t>Excavators for Thin Partings</t>
  </si>
  <si>
    <t>Mining Truck for Coal</t>
  </si>
  <si>
    <t>Mining Truck for OB &amp; Thick Partings</t>
  </si>
  <si>
    <t>Mining Truck for Thin Partings</t>
  </si>
  <si>
    <t>Year 1*</t>
  </si>
  <si>
    <t>Year 2</t>
  </si>
  <si>
    <t>Year 3</t>
  </si>
  <si>
    <t>Year 4</t>
  </si>
  <si>
    <t>Year 5</t>
  </si>
  <si>
    <t>Auxiliary Machines</t>
  </si>
  <si>
    <t>Pit and Dump Phase Wise Cumulative Area (Ha)</t>
  </si>
  <si>
    <t>Year Wise Land Possession Plan in Ha</t>
  </si>
  <si>
    <t>Pit</t>
  </si>
  <si>
    <t>Dump</t>
  </si>
  <si>
    <t>Total (Ha)</t>
  </si>
  <si>
    <t>Year Wise Land Possession Plan in%</t>
  </si>
  <si>
    <t>`6-10</t>
  </si>
  <si>
    <t>`11-15</t>
  </si>
  <si>
    <t>`16-19</t>
  </si>
  <si>
    <t>Pit and Dump Phase Wise Incrementa Area (Ha)</t>
  </si>
  <si>
    <t>Total Mine Lease Area</t>
  </si>
  <si>
    <t>Total Excavation Area</t>
  </si>
  <si>
    <t>Development Period Land Possession</t>
  </si>
  <si>
    <t>Option-3</t>
  </si>
  <si>
    <t>G-10</t>
  </si>
  <si>
    <t>G-11</t>
  </si>
  <si>
    <t>G-12</t>
  </si>
  <si>
    <t>G-13</t>
  </si>
  <si>
    <t>Base price</t>
  </si>
  <si>
    <t>14% of the Notified price</t>
  </si>
  <si>
    <t>DMF</t>
  </si>
  <si>
    <t>10% of royalty</t>
  </si>
  <si>
    <t>NMET</t>
  </si>
  <si>
    <t>3% of royalty</t>
  </si>
  <si>
    <t>GST of product</t>
  </si>
  <si>
    <t>18% of base price</t>
  </si>
  <si>
    <t>GST on Royalty, DMF and NMET</t>
  </si>
  <si>
    <t>18% of the components</t>
  </si>
  <si>
    <t>Sub total</t>
  </si>
  <si>
    <t>5% of subtotal</t>
  </si>
  <si>
    <t>Transportation cost</t>
  </si>
  <si>
    <t>Total (Rounded)</t>
  </si>
  <si>
    <t xml:space="preserve">INR/t (~85 - 90 km) </t>
  </si>
  <si>
    <t>Vedanta Input</t>
  </si>
  <si>
    <t>GCV (Kcal/kg)</t>
  </si>
  <si>
    <t>Purchased Coal (Mt) from MCL to get minimum 3000 Kcal/kg ARB GCV</t>
  </si>
  <si>
    <t>Cost of Purchased Coal</t>
  </si>
  <si>
    <t>Quantity of Purchased Coal</t>
  </si>
  <si>
    <t>Coal Price from MCL (INR/t)</t>
  </si>
  <si>
    <t>Blending Grade</t>
  </si>
  <si>
    <t>Grade of Blended Coal</t>
  </si>
  <si>
    <t>Price of Blended Coal</t>
  </si>
  <si>
    <t>Power Cost (INR Cr)</t>
  </si>
  <si>
    <t>Total in Lacs</t>
  </si>
  <si>
    <t>Pvt.Land In Ha</t>
  </si>
  <si>
    <t>Total Cost</t>
  </si>
  <si>
    <t>Other Category</t>
  </si>
  <si>
    <t>To be adjusted with Performance Security (From Auction Document)</t>
  </si>
  <si>
    <t>Performance Security &amp; Fixed amount</t>
  </si>
  <si>
    <t>Upfront amount and Bid Security</t>
  </si>
  <si>
    <t>Environment management cost</t>
  </si>
  <si>
    <t>SRK Assumption (2.5 escalation factor wrt capital cost),considered in pre operative.</t>
  </si>
  <si>
    <t>SRK Assumption (2.5 escalation factor wrt capital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</si>
</sst>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4">
    <numFmt numFmtId="41" formatCode="_(* #,##0_);_(* \(#,##0\);_(* &quot;-&quot;_);_(@_)"/>
    <numFmt numFmtId="43" formatCode="_(* #,##0.00_);_(* \(#,##0.00\);_(* &quot;-&quot;??_);_(@_)"/>
    <numFmt numFmtId="164" formatCode="_ * #,##0.00_ ;_ * \-#,##0.00_ ;_ * &quot;-&quot;??_ ;_ @_ "/>
    <numFmt numFmtId="165" formatCode="&quot;$&quot;#,##0_);\(&quot;$&quot;#,##0\)"/>
    <numFmt numFmtId="166" formatCode="&quot;$&quot;#,##0_);[Red]\(&quot;$&quot;#,##0\)"/>
    <numFmt numFmtId="167" formatCode="&quot;$&quot;#,##0.00_);\(&quot;$&quot;#,##0.00\)"/>
    <numFmt numFmtId="168" formatCode="&quot;$&quot;#,##0.00_);[Red]\(&quot;$&quot;#,##0.00\)"/>
    <numFmt numFmtId="169" formatCode="_(&quot;$&quot;* #,##0_);_(&quot;$&quot;* \(#,##0\);_(&quot;$&quot;* &quot;-&quot;_);_(@_)"/>
    <numFmt numFmtId="170" formatCode="_(&quot;$&quot;* #,##0.00_);_(&quot;$&quot;* \(#,##0.00\);_(&quot;$&quot;* &quot;-&quot;??_);_(@_)"/>
    <numFmt numFmtId="171" formatCode="0.0"/>
    <numFmt numFmtId="172" formatCode=";;;"/>
    <numFmt numFmtId="173" formatCode="_(* #,##0_);_(* \(#,##0\);_(* &quot;-&quot;??_);_(@_)"/>
    <numFmt numFmtId="174" formatCode="#,##0.00;\-#,##0.00;\-"/>
    <numFmt numFmtId="175" formatCode="#,##0;\-#,##0;\-"/>
    <numFmt numFmtId="176" formatCode="#,##0.0;\-#,##0.0;\-"/>
    <numFmt numFmtId="177" formatCode="#,##0.0"/>
    <numFmt numFmtId="178" formatCode="_-* #,##0.00_-;\-* #,##0.00_-;_-* &quot;-&quot;??_-;_-@_-"/>
    <numFmt numFmtId="179" formatCode="_-* #,##0_-;\-* #,##0_-;_-* &quot;-&quot;??_-;_-@_-"/>
    <numFmt numFmtId="180" formatCode="#,"/>
    <numFmt numFmtId="181" formatCode="#,##0.0\x_);\(#,##0.0\x\);#,##0.0\x_);@_)"/>
    <numFmt numFmtId="182" formatCode="_-* #,##0_-;\-* #,##0_-;_-* &quot;-&quot;_-;_-@_-"/>
    <numFmt numFmtId="183" formatCode="#,##0.0_);\(#,##0.0\)"/>
    <numFmt numFmtId="184" formatCode="&quot;£&quot;_(#,##0.00_);&quot;£&quot;\(#,##0.00\)"/>
    <numFmt numFmtId="185" formatCode="&quot;$&quot;_(#,##0.00_);&quot;$&quot;\(#,##0.00\)"/>
    <numFmt numFmtId="186" formatCode="0.0%_);\(0.0%\);\ \-\-\ "/>
    <numFmt numFmtId="187" formatCode="&quot;€&quot;_(#,##0.00_);&quot;€&quot;\(#,##0.00\);&quot;€&quot;_(0.00_);@_)"/>
    <numFmt numFmtId="188" formatCode="0.00\x\ \ _)"/>
    <numFmt numFmtId="189" formatCode="_-* #,##0\ _D_M_-;\-* #,##0\ _D_M_-;_-* &quot;-&quot;\ _D_M_-;_-@_-"/>
    <numFmt numFmtId="190" formatCode="_-* #,##0_-;_-* #,##0\-;_-* &quot;-&quot;_-;_-@_-"/>
    <numFmt numFmtId="191" formatCode="0.00%;[Red]\(0.00%\)"/>
    <numFmt numFmtId="192" formatCode="#,##0.0_)\x;\(#,##0.0\)\x"/>
    <numFmt numFmtId="193" formatCode="#,##0.00_)\x;\(#,##0.00\)\x"/>
    <numFmt numFmtId="194" formatCode="#,##0.0000;\-#,##0.0000"/>
    <numFmt numFmtId="195" formatCode="\ \ _•&quot;–&quot;\ \ \ \ @"/>
    <numFmt numFmtId="196" formatCode="_(* #,##0.000_)\ \ ;_(* \(#,##0.000\)\ \ ;_(* &quot;-&quot;??_)\ \ ;_(@_)"/>
    <numFmt numFmtId="197" formatCode="#,##0.00;\(#,##0.00\);\-"/>
    <numFmt numFmtId="198" formatCode="\ \ _•\–\ \ \ \ @"/>
    <numFmt numFmtId="199" formatCode="###0&quot;A&quot;"/>
    <numFmt numFmtId="200" formatCode="#,##0.0_)_x;\(#,##0.0\)_x"/>
    <numFmt numFmtId="201" formatCode="#,##0.00000;\-#,##0.00000"/>
    <numFmt numFmtId="202" formatCode="#,##0.0;\(#,##0.0\)"/>
    <numFmt numFmtId="203" formatCode="0.0&quot;x&quot;\ \ \ \ "/>
    <numFmt numFmtId="204" formatCode="#,##0\ _F;\(#,##0\)\ _F;\-\ _F"/>
    <numFmt numFmtId="205" formatCode="#,##0;\(###0\);\-"/>
    <numFmt numFmtId="206" formatCode="0.0_)\%;\(0.0\)\%"/>
    <numFmt numFmtId="207" formatCode="0.0_)%;\(0.0\)%"/>
    <numFmt numFmtId="208" formatCode="#,##0\ &quot;F&quot;;\-#,##0\ &quot;F&quot;"/>
    <numFmt numFmtId="209" formatCode="_(* #,##0.0_)\ \ ;_(* \(#,##0.0\)\ \ ;_(* &quot;-&quot;??_)\ \ ;_(@_)"/>
    <numFmt numFmtId="210" formatCode="#,##0\ _F;\(#,##0\)\ _F"/>
    <numFmt numFmtId="211" formatCode="0%_);\(0%\);\ \-\-\ "/>
    <numFmt numFmtId="212" formatCode="#,##0.0_)_%;\(#,##0.0\)_%"/>
    <numFmt numFmtId="213" formatCode="#,##0\ &quot;F&quot;;[Red]\-#,##0\ &quot;F&quot;"/>
    <numFmt numFmtId="214" formatCode="#,##0.00;\(#,##0.00\)"/>
    <numFmt numFmtId="215" formatCode="&quot;F&quot;#,##0_);\(&quot;F&quot;#,##0\)"/>
    <numFmt numFmtId="216" formatCode="#,##0_)"/>
    <numFmt numFmtId="217" formatCode="\£\ #,##0_);[Red]\(\£\ #,##0\)"/>
    <numFmt numFmtId="218" formatCode="\¥\ #,##0_);[Red]\(\¥\ #,##0\)"/>
    <numFmt numFmtId="219" formatCode="#,##0.00;[Red]\(#,##0.00\)"/>
    <numFmt numFmtId="220" formatCode="0_)"/>
    <numFmt numFmtId="221" formatCode="0.0%"/>
    <numFmt numFmtId="222" formatCode="[$-409]d\-mmm;@"/>
    <numFmt numFmtId="223" formatCode="[$-409]mmmm\ d\,\ yyyy;@"/>
    <numFmt numFmtId="224" formatCode="[$-C09]d\ mmmm\ yyyy;@"/>
    <numFmt numFmtId="225" formatCode="#,##0.0##;[Red]\-#,##0.0##"/>
    <numFmt numFmtId="226" formatCode="&quot;$&quot;#,##0.000_);\(&quot;$&quot;#,##0.000\)"/>
    <numFmt numFmtId="227" formatCode="&quot;$&quot;#,##0.0_);\(&quot;$&quot;#,##0.0\)"/>
    <numFmt numFmtId="228" formatCode="_(* #,##0_);_(* \(#,##0\);\-??_);_(* @_)_)"/>
    <numFmt numFmtId="229" formatCode="_(* #,##0.0_);_(* \(#,##0.0\);\-??_);_(* @_)_)"/>
    <numFmt numFmtId="230" formatCode="_(* #,##0.00_);_(* \(#,##0.00\);\-??_);_(* @_)_)"/>
    <numFmt numFmtId="231" formatCode="_(* #,##0.000_);_(* \(#,##0.000\);\-??_);_(* @_)_)"/>
    <numFmt numFmtId="232" formatCode="_(* #,##0.0_);_(* \(#,##0.0\);_(* &quot;-&quot;?_);_(@_)"/>
    <numFmt numFmtId="233" formatCode="0.00_)"/>
    <numFmt numFmtId="234" formatCode="&quot;£&quot;#,##0.00;\-&quot;£&quot;#,##0.00"/>
    <numFmt numFmtId="235" formatCode="dd\-mmm\-yy_)"/>
    <numFmt numFmtId="236" formatCode="&quot;£&quot;#,##0.00;[Red]\-&quot;£&quot;#,##0.00"/>
    <numFmt numFmtId="237" formatCode="#,##0.0;[Red]\(#,##0.0\)"/>
    <numFmt numFmtId="238" formatCode="General_)"/>
    <numFmt numFmtId="239" formatCode="[Red][&gt;0]_(* #,##0.00_);[Red][&lt;0]_(* \(#,##0.00\);\-??_)"/>
    <numFmt numFmtId="240" formatCode="#,##0;\(#,##0\)"/>
    <numFmt numFmtId="241" formatCode="0.00%;\(0.00%\)"/>
    <numFmt numFmtId="242" formatCode="&quot;$&quot;#,##0_);\(&quot;$&quot;#,##0\);&quot;- &quot;"/>
    <numFmt numFmtId="243" formatCode="#,##0_);\(#,##0\);&quot;- &quot;"/>
    <numFmt numFmtId="244" formatCode="&quot;$&quot;#,##0.0_);\(&quot;$&quot;#,##0.0\);&quot;- &quot;"/>
    <numFmt numFmtId="245" formatCode="0.0%;\(0.0%\);&quot;- &quot;"/>
    <numFmt numFmtId="246" formatCode="#,##0.0_);\(#,##0.0\);&quot;- &quot;"/>
    <numFmt numFmtId="247" formatCode="&quot;$&quot;#,##0.00_);\(&quot;$&quot;#,##0.00\);&quot;- &quot;"/>
    <numFmt numFmtId="248" formatCode="0.00%;\(0.00%\);&quot;- &quot;"/>
    <numFmt numFmtId="249" formatCode="#,##0.00_);\(#,##0.00\);&quot;- &quot;"/>
    <numFmt numFmtId="250" formatCode="&quot;$&quot;#,##0.000_);\(&quot;$&quot;#,##0.000\);&quot;- &quot;"/>
    <numFmt numFmtId="251" formatCode="#,##0.000_);\(#,##0.000\);&quot;- &quot;"/>
    <numFmt numFmtId="252" formatCode="&quot;$&quot;#,##0.0_);[Red]\(&quot;$&quot;#,##0.0\)"/>
    <numFmt numFmtId="253" formatCode="mm/dd/yy_)"/>
    <numFmt numFmtId="254" formatCode="[Blue]0.0%;[Blue]\-0.0%"/>
    <numFmt numFmtId="255" formatCode="\£#,##0_);\(\£#,##0\)"/>
    <numFmt numFmtId="256" formatCode="#,##0.0_);[Red]\(#,##0.00_)"/>
    <numFmt numFmtId="257" formatCode="#,##0.00\ %"/>
    <numFmt numFmtId="258" formatCode="[$£-809]#,##0.0_);\-[$£-809]#,##0.0"/>
    <numFmt numFmtId="259" formatCode="\•\ \ @"/>
    <numFmt numFmtId="260" formatCode="0.0%;\ \(0.0%\)"/>
    <numFmt numFmtId="261" formatCode="&quot;               &quot;@"/>
    <numFmt numFmtId="262" formatCode="&quot;                    &quot;@"/>
    <numFmt numFmtId="263" formatCode="&quot;                  &quot;@"/>
    <numFmt numFmtId="264" formatCode="#,##0,_);[Red]\(#,##0,\)"/>
    <numFmt numFmtId="265" formatCode="&quot;             &quot;@"/>
    <numFmt numFmtId="266" formatCode="#,##0.0_);[Red]\(#,##0.0\)"/>
    <numFmt numFmtId="267" formatCode="#,##0.0\%_);\(#,##0.0\%\);#,##0.0\%_);@_)"/>
    <numFmt numFmtId="268" formatCode="* #,##0.0\ \x_);&quot;NM&quot;_)"/>
    <numFmt numFmtId="269" formatCode="* #,##0.0\ \x_);&quot;NM&quot;"/>
    <numFmt numFmtId="270" formatCode="#,##0_%_);\(#,##0\)_%;#,##0_%_);@_%_)"/>
    <numFmt numFmtId="271" formatCode="0.00\ %"/>
    <numFmt numFmtId="272" formatCode="#,##0.0\x_);[Red]\(#,##0.0\)"/>
    <numFmt numFmtId="273" formatCode="[$$]#,##0.0_);\([$$]#,##0.0\);[$$]#,##0.0_);@_)"/>
    <numFmt numFmtId="274" formatCode="&quot;$&quot;#,##0.00;[Red]\-&quot;$&quot;#,##0.00"/>
    <numFmt numFmtId="275" formatCode="&quot;$&quot;#,##0_%_);\(&quot;$&quot;#,##0\)_%;&quot;$&quot;#,##0_%_);@_%_)"/>
    <numFmt numFmtId="276" formatCode="_-&quot;$&quot;* #,##0.00_-;\-&quot;$&quot;* #,##0.00_-;_-&quot;$&quot;* &quot;-&quot;??_-;_-@_-"/>
    <numFmt numFmtId="277" formatCode="&quot;$&quot;#,##0;[Red]&quot;$&quot;#,##0;&quot;-&quot;"/>
    <numFmt numFmtId="278" formatCode="&quot;$&quot;#,##0.0\ ;\(&quot;$&quot;#,##0.0\)"/>
    <numFmt numFmtId="279" formatCode="&quot;$&quot;#,##0.00\ \ \ ;\(&quot;$&quot;#,##0.00\)\ \ "/>
    <numFmt numFmtId="280" formatCode="0.0%_);\(0.0%\);0.0%_);@_)"/>
    <numFmt numFmtId="281" formatCode="#,###"/>
    <numFmt numFmtId="282" formatCode="mmm\-d\-yy"/>
    <numFmt numFmtId="283" formatCode="mmm\-d\-yyyy"/>
    <numFmt numFmtId="284" formatCode="m/d/yy_%_)"/>
    <numFmt numFmtId="285" formatCode="###0.0_);\(###0.0\)"/>
    <numFmt numFmtId="286" formatCode="#,##0.0\ \x"/>
    <numFmt numFmtId="287" formatCode="0_%_);\(0\)_%;0_%_);@_%_)"/>
    <numFmt numFmtId="288" formatCode="&quot;$&quot;#,##0.0"/>
    <numFmt numFmtId="289" formatCode="&quot;$&quot;#,##0.00"/>
    <numFmt numFmtId="290" formatCode="0.00\x"/>
    <numFmt numFmtId="291" formatCode="\ \ #,##0.00_);\(\ \ #,##0.00\)"/>
    <numFmt numFmtId="292" formatCode="_([$€]* #,##0.00_);_([$€]* \(#,##0.00\);_([$€]* &quot;-&quot;??_);_(@_)"/>
    <numFmt numFmtId="293" formatCode="d\.m\.yy"/>
    <numFmt numFmtId="294" formatCode="###0_);\(###0\)"/>
    <numFmt numFmtId="295" formatCode="#,##0.000_);\(#,##0.000\)"/>
    <numFmt numFmtId="296" formatCode="0.0\%_);\(0.0\%\);0.0\%_);@_%_)"/>
    <numFmt numFmtId="297" formatCode=";;;\ \ \ @"/>
    <numFmt numFmtId="298" formatCode="0.0%;[Red]\(0.0%\)"/>
    <numFmt numFmtId="299" formatCode="#,##0\ \ \ ;\(#,##0\)\ \ "/>
    <numFmt numFmtId="300" formatCode="&quot;$&quot;#,##0"/>
    <numFmt numFmtId="301" formatCode="&quot;$&quot;#,##0\ \ \ ;\(&quot;$&quot;#,##0\)\ \ "/>
    <numFmt numFmtId="302" formatCode="0.0%_);\(0.0%\)"/>
    <numFmt numFmtId="303" formatCode="_-* #,##0.0_-;\-* #,##0.0_-;_-* &quot;-&quot;??_-;_-@_-"/>
    <numFmt numFmtId="304" formatCode="[$-809]mmm\ yy;@"/>
    <numFmt numFmtId="305" formatCode="&quot;$&quot;#,##0.0_);&quot;$&quot;\(#,##0.0\)"/>
    <numFmt numFmtId="306" formatCode="#,##0_);\(#,##0\);#,##0_);@_)"/>
    <numFmt numFmtId="307" formatCode="dd\-mmm_)"/>
    <numFmt numFmtId="308" formatCode="#,##0.000_);[Red]\(#,##0.000\)"/>
    <numFmt numFmtId="309" formatCode="&quot;$&quot;#,##0.0\ \ \ \ \_\)"/>
    <numFmt numFmtId="310" formatCode="0.0_)_x;\(0.0\)_x"/>
    <numFmt numFmtId="311" formatCode="0.00000_)"/>
    <numFmt numFmtId="312" formatCode="0.0\x_)_);&quot;NM&quot;_x_)_);0.0\x_)_);@_%_)"/>
    <numFmt numFmtId="313" formatCode="#,##0.0\ \ _);&quot;NM&quot;_)"/>
    <numFmt numFmtId="314" formatCode=";;;\ \ \ \ \ @"/>
    <numFmt numFmtId="315" formatCode="#,##0.0\x_);\(#,##0.0\x\);&quot;- &quot;"/>
    <numFmt numFmtId="316" formatCode="#,##0.00\x_);\(#,##0.00\x\);&quot;- &quot;"/>
    <numFmt numFmtId="317" formatCode="0.0\ \x__"/>
    <numFmt numFmtId="318" formatCode="0.0\ \x\ ;&quot;NM   &quot;;0.0\ \x"/>
    <numFmt numFmtId="319" formatCode="#,##0.0_);[Red]\(#,##0.0\);&quot;N/A &quot;"/>
    <numFmt numFmtId="320" formatCode="#,##0.0_)_x;\(#,##0.0\)_x;#,##0.0_)_x;@_)"/>
    <numFmt numFmtId="321" formatCode="_(* #,##0,,_);_(* \(#,##0,,\);_(* &quot;-&quot;_)"/>
    <numFmt numFmtId="322" formatCode="#,##0.0_)\ ;[Red]\(#,##0.0\)\ "/>
    <numFmt numFmtId="323" formatCode="0.0\ _x\ ;&quot;NM   &quot;;0.0\ \x"/>
    <numFmt numFmtId="324" formatCode="#,##0.00\ \ \ ;\(#,##0.00\)\ \ "/>
    <numFmt numFmtId="325" formatCode="0.0%;\(0.0%\)"/>
    <numFmt numFmtId="326" formatCode="#,##0.0000_);\(#,##0.0000\)"/>
    <numFmt numFmtId="327" formatCode="#,##0.000;\(#,##0.000\)"/>
    <numFmt numFmtId="328" formatCode="#,##0.0\x;\(#,##0.0\)\x"/>
    <numFmt numFmtId="329" formatCode="#,##0.0\ \ \ ;\(#,##0.0\)\ \ "/>
    <numFmt numFmtId="330" formatCode="#,##0.0\x_)_);\(#,##0.0\x\)_);#,##0.0\x_)_);@_%_)"/>
    <numFmt numFmtId="331" formatCode="\¥#,##0_);\(\¥#,##0\)"/>
    <numFmt numFmtId="332" formatCode="0.000%"/>
    <numFmt numFmtId="333" formatCode="0%;\(0%\)"/>
    <numFmt numFmtId="334" formatCode="#,##0.0\%_);\(#,##0.0\%\);#,##0.0\%_);@_%_)"/>
    <numFmt numFmtId="335" formatCode="#,##0.0\ \ "/>
    <numFmt numFmtId="336" formatCode="0.0%&quot;Sales&quot;"/>
    <numFmt numFmtId="337" formatCode="\£0.0\ ;\(\£0.0_)"/>
    <numFmt numFmtId="338" formatCode="0.0000"/>
    <numFmt numFmtId="339" formatCode="&quot;$&quot;####.0,;[Red]\(&quot;$&quot;####.0,\)"/>
    <numFmt numFmtId="340" formatCode="mm/dd/yy"/>
    <numFmt numFmtId="341" formatCode="0.0\x"/>
    <numFmt numFmtId="342" formatCode="&quot;          &quot;@"/>
    <numFmt numFmtId="343" formatCode="#,##0\ &quot;m&quot;;[Red]\(#,##0\)\ &quot;m&quot;;&quot;- &quot;"/>
    <numFmt numFmtId="344" formatCode="&quot;$&quot;#,##0.0;\(&quot;$&quot;#,##0.0\)"/>
    <numFmt numFmtId="345" formatCode="&quot;$&quot;\ #,##0_);\(&quot;$&quot;\ #,##0\)"/>
    <numFmt numFmtId="346" formatCode="0\ \ ;\(0\)\ \ \ "/>
    <numFmt numFmtId="347" formatCode="&quot;Yes&quot;;;&quot;No&quot;"/>
    <numFmt numFmtId="348" formatCode="&quot;$&quot;#,##0.0_);[Red]\(&quot;$&quot;#,##0.00\)"/>
    <numFmt numFmtId="349" formatCode="yyyy"/>
    <numFmt numFmtId="350" formatCode="#,##0;[Red]\(#,##0\);\-"/>
    <numFmt numFmtId="351" formatCode="dd\-mmm\-yy;\-;\-"/>
    <numFmt numFmtId="352" formatCode="#,##0.00;[Red]\(#,##0.00\);\-"/>
    <numFmt numFmtId="353" formatCode="_(* #,##0.0_);_(* \(#,##0.0\);_(* &quot;-&quot;??_);_(@_)"/>
    <numFmt numFmtId="354" formatCode="[$-409]d\-mmm\-yy;@"/>
    <numFmt numFmtId="355" formatCode="d\-mmm\-yyyy"/>
    <numFmt numFmtId="356" formatCode="_ * #,##0_ ;_ * \-#,##0_ ;_ * &quot;-&quot;??_ ;_ @_ "/>
    <numFmt numFmtId="357" formatCode="0.000"/>
    <numFmt numFmtId="358" formatCode="_ * #,##0.0_ ;_ * \-#,##0.0_ ;_ * &quot;-&quot;?_ ;_ @_ "/>
    <numFmt numFmtId="359" formatCode="#,##0.0;[Red]\(#,##0.0\);\-"/>
    <numFmt numFmtId="360" formatCode="_ * #,##0.0_ ;_ * \-#,##0.0_ ;_ * &quot;-&quot;??_ ;_ @_ "/>
    <numFmt numFmtId="361" formatCode="#,##0;\-"/>
    <numFmt numFmtId="362" formatCode="#,##0.0000;\-#,##0.0000;\-"/>
    <numFmt numFmtId="363" formatCode="0.0_)"/>
    <numFmt numFmtId="364" formatCode="&quot;₹&quot;\ #,##0"/>
    <numFmt numFmtId="365" formatCode="d/mm/yyyy;@"/>
  </numFmts>
  <fonts count="425">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10"/>
      <name val="Arial"/>
      <family val="2"/>
    </font>
    <font>
      <b/>
      <sz val="10"/>
      <name val="Arial"/>
      <family val="2"/>
    </font>
    <font>
      <sz val="12"/>
      <name val="Arial"/>
      <family val="2"/>
    </font>
    <font>
      <sz val="10"/>
      <name val="Arial"/>
      <family val="2"/>
    </font>
    <font>
      <sz val="11"/>
      <color theme="0"/>
      <name val="Calibri"/>
      <family val="2"/>
      <scheme val="minor"/>
    </font>
    <font>
      <sz val="10"/>
      <color rgb="FFFF0000"/>
      <name val="Arial"/>
      <family val="2"/>
    </font>
    <font>
      <sz val="8"/>
      <color rgb="FF3F3F76"/>
      <name val="Calibri"/>
      <family val="2"/>
    </font>
    <font>
      <b/>
      <sz val="10"/>
      <color theme="1"/>
      <name val="Arial"/>
      <family val="2"/>
    </font>
    <font>
      <b/>
      <sz val="8"/>
      <color indexed="8"/>
      <name val="Calibri"/>
      <family val="2"/>
    </font>
    <font>
      <b/>
      <sz val="10"/>
      <color indexed="8"/>
      <name val="Arial"/>
      <family val="2"/>
    </font>
    <font>
      <sz val="8"/>
      <name val="Calibri"/>
      <family val="2"/>
    </font>
    <font>
      <b/>
      <sz val="10"/>
      <name val="MS Sans Serif"/>
      <family val="2"/>
    </font>
    <font>
      <sz val="10"/>
      <name val="Geneva"/>
      <family val="2"/>
    </font>
    <font>
      <sz val="8"/>
      <name val="MS Serif"/>
      <family val="1"/>
    </font>
    <font>
      <sz val="8"/>
      <name val="Times New Roman"/>
      <family val="1"/>
    </font>
    <font>
      <sz val="11"/>
      <color indexed="8"/>
      <name val="Times New Roman"/>
      <family val="1"/>
    </font>
    <font>
      <sz val="10"/>
      <name val="Times New Roman"/>
      <family val="1"/>
    </font>
    <font>
      <sz val="11"/>
      <name val="MS ??"/>
      <family val="1"/>
      <charset val="128"/>
    </font>
    <font>
      <u/>
      <sz val="8.4"/>
      <color indexed="12"/>
      <name val="Arial"/>
      <family val="2"/>
    </font>
    <font>
      <sz val="12"/>
      <name val="???"/>
      <family val="1"/>
      <charset val="129"/>
    </font>
    <font>
      <sz val="12"/>
      <name val="Century Schoolbook"/>
      <family val="1"/>
    </font>
    <font>
      <b/>
      <sz val="9"/>
      <name val="Arial"/>
      <family val="2"/>
    </font>
    <font>
      <sz val="10"/>
      <color indexed="8"/>
      <name val="MS Sans Serif"/>
      <family val="2"/>
    </font>
    <font>
      <sz val="9"/>
      <name val="Arial"/>
      <family val="2"/>
    </font>
    <font>
      <sz val="11"/>
      <name val="Arial"/>
      <family val="2"/>
    </font>
    <font>
      <sz val="10"/>
      <name val="MS Sans Serif"/>
      <family val="2"/>
    </font>
    <font>
      <sz val="8"/>
      <name val="Times"/>
      <family val="1"/>
    </font>
    <font>
      <b/>
      <sz val="22"/>
      <color indexed="18"/>
      <name val="Arial"/>
      <family val="2"/>
    </font>
    <font>
      <b/>
      <sz val="14"/>
      <color indexed="18"/>
      <name val="Arial"/>
      <family val="2"/>
    </font>
    <font>
      <sz val="9"/>
      <color indexed="8"/>
      <name val="Arial"/>
      <family val="2"/>
    </font>
    <font>
      <sz val="9"/>
      <color indexed="12"/>
      <name val="Arial"/>
      <family val="2"/>
    </font>
    <font>
      <b/>
      <sz val="10"/>
      <color indexed="18"/>
      <name val="Arial"/>
      <family val="2"/>
    </font>
    <font>
      <b/>
      <u val="singleAccounting"/>
      <sz val="10"/>
      <color indexed="18"/>
      <name val="Arial"/>
      <family val="2"/>
    </font>
    <font>
      <sz val="12"/>
      <name val="Times New Roman"/>
      <family val="1"/>
    </font>
    <font>
      <sz val="8"/>
      <name val="Tms Rmn"/>
      <family val="1"/>
    </font>
    <font>
      <sz val="8"/>
      <name val="Tms Rmn"/>
    </font>
    <font>
      <u/>
      <sz val="10"/>
      <name val="Arial"/>
      <family val="2"/>
    </font>
    <font>
      <b/>
      <sz val="8"/>
      <name val="Calibri"/>
      <family val="2"/>
    </font>
    <font>
      <i/>
      <sz val="8"/>
      <name val="Calibri"/>
      <family val="2"/>
    </font>
    <font>
      <b/>
      <sz val="8"/>
      <color theme="1"/>
      <name val="Calibri"/>
      <family val="2"/>
    </font>
    <font>
      <sz val="12"/>
      <name val="¹ÙÅÁÃ¼"/>
      <charset val="129"/>
    </font>
    <font>
      <b/>
      <i/>
      <sz val="12"/>
      <name val="Arial"/>
      <family val="2"/>
    </font>
    <font>
      <b/>
      <sz val="12"/>
      <color indexed="9"/>
      <name val="Arial"/>
      <family val="2"/>
    </font>
    <font>
      <b/>
      <sz val="14"/>
      <color indexed="9"/>
      <name val="Arial"/>
      <family val="2"/>
    </font>
    <font>
      <b/>
      <i/>
      <sz val="14"/>
      <name val="Arial"/>
      <family val="2"/>
    </font>
    <font>
      <b/>
      <i/>
      <sz val="20"/>
      <name val="Arial"/>
      <family val="2"/>
    </font>
    <font>
      <b/>
      <sz val="16"/>
      <color indexed="9"/>
      <name val="Arial"/>
      <family val="2"/>
    </font>
    <font>
      <b/>
      <sz val="14"/>
      <name val="Arial"/>
      <family val="2"/>
    </font>
    <font>
      <b/>
      <i/>
      <sz val="22"/>
      <name val="Arial"/>
      <family val="2"/>
    </font>
    <font>
      <sz val="11"/>
      <color indexed="8"/>
      <name val="Calibri"/>
      <family val="2"/>
    </font>
    <font>
      <sz val="11"/>
      <color indexed="8"/>
      <name val="ＭＳ Ｐゴシック"/>
      <family val="3"/>
      <charset val="128"/>
    </font>
    <font>
      <sz val="9"/>
      <name val="Times New Roman"/>
      <family val="1"/>
    </font>
    <font>
      <sz val="7"/>
      <color indexed="12"/>
      <name val="Times New Roman"/>
      <family val="1"/>
    </font>
    <font>
      <sz val="11"/>
      <color indexed="9"/>
      <name val="Calibri"/>
      <family val="2"/>
    </font>
    <font>
      <sz val="11"/>
      <color indexed="9"/>
      <name val="ＭＳ Ｐゴシック"/>
      <family val="3"/>
      <charset val="128"/>
    </font>
    <font>
      <sz val="14"/>
      <name val="AngsanaUPC"/>
      <family val="1"/>
    </font>
    <font>
      <sz val="8"/>
      <color indexed="16"/>
      <name val="Times New Roman"/>
      <family val="1"/>
    </font>
    <font>
      <sz val="12"/>
      <name val="Helv"/>
      <family val="2"/>
    </font>
    <font>
      <sz val="8"/>
      <name val="Arial"/>
      <family val="2"/>
    </font>
    <font>
      <sz val="8"/>
      <color indexed="12"/>
      <name val="Times New Roman"/>
      <family val="1"/>
    </font>
    <font>
      <b/>
      <sz val="12"/>
      <name val="Tms Rmn"/>
      <family val="1"/>
    </font>
    <font>
      <b/>
      <sz val="8"/>
      <name val="Arial"/>
      <family val="2"/>
    </font>
    <font>
      <i/>
      <sz val="8"/>
      <name val="Arial"/>
      <family val="2"/>
    </font>
    <font>
      <sz val="12"/>
      <color indexed="12"/>
      <name val="Times New Roman"/>
      <family val="1"/>
    </font>
    <font>
      <sz val="10"/>
      <color indexed="12"/>
      <name val="Arial"/>
      <family val="2"/>
    </font>
    <font>
      <sz val="11"/>
      <color indexed="20"/>
      <name val="Calibri"/>
      <family val="2"/>
    </font>
    <font>
      <b/>
      <i/>
      <sz val="8"/>
      <color indexed="8"/>
      <name val="Times New Roman"/>
      <family val="1"/>
    </font>
    <font>
      <sz val="10"/>
      <name val="Palatino"/>
      <family val="1"/>
    </font>
    <font>
      <sz val="10"/>
      <color indexed="8"/>
      <name val="Tms Rmn"/>
    </font>
    <font>
      <strike/>
      <sz val="8"/>
      <name val="Arial"/>
      <family val="2"/>
    </font>
    <font>
      <sz val="8"/>
      <color indexed="8"/>
      <name val="Arial"/>
      <family val="2"/>
    </font>
    <font>
      <sz val="9"/>
      <color indexed="8"/>
      <name val="Times New Roman"/>
      <family val="1"/>
    </font>
    <font>
      <b/>
      <sz val="10"/>
      <color indexed="9"/>
      <name val="Arial"/>
      <family val="2"/>
    </font>
    <font>
      <sz val="10"/>
      <color indexed="12"/>
      <name val="times new roman"/>
      <family val="1"/>
    </font>
    <font>
      <sz val="8"/>
      <color indexed="12"/>
      <name val="Tms Rmn"/>
      <family val="1"/>
    </font>
    <font>
      <sz val="8"/>
      <name val="Helv"/>
    </font>
    <font>
      <sz val="12"/>
      <name val="Tms Rmn"/>
    </font>
    <font>
      <b/>
      <sz val="8"/>
      <name val="Times New Roman"/>
      <family val="1"/>
    </font>
    <font>
      <b/>
      <sz val="12"/>
      <name val="Times New Roman"/>
      <family val="1"/>
    </font>
    <font>
      <b/>
      <sz val="10"/>
      <name val="Times New Roman"/>
      <family val="1"/>
    </font>
    <font>
      <b/>
      <sz val="8"/>
      <color indexed="8"/>
      <name val="Arial"/>
      <family val="2"/>
    </font>
    <font>
      <sz val="11"/>
      <name val="Arial Narrow"/>
      <family val="2"/>
    </font>
    <font>
      <b/>
      <sz val="7"/>
      <name val="Arial"/>
      <family val="2"/>
    </font>
    <font>
      <b/>
      <sz val="14"/>
      <color indexed="8"/>
      <name val="Times New Roman"/>
      <family val="1"/>
    </font>
    <font>
      <u val="singleAccounting"/>
      <sz val="10"/>
      <name val="Arial"/>
      <family val="2"/>
    </font>
    <font>
      <sz val="32"/>
      <name val="Times New Roman"/>
      <family val="1"/>
    </font>
    <font>
      <b/>
      <i/>
      <sz val="9"/>
      <name val="Arial"/>
      <family val="2"/>
    </font>
    <font>
      <b/>
      <sz val="10"/>
      <color indexed="8"/>
      <name val="Times New Roman"/>
      <family val="1"/>
    </font>
    <font>
      <sz val="10"/>
      <color indexed="8"/>
      <name val="Arial"/>
      <family val="2"/>
    </font>
    <font>
      <b/>
      <sz val="11"/>
      <color indexed="52"/>
      <name val="Calibri"/>
      <family val="2"/>
    </font>
    <font>
      <b/>
      <sz val="10"/>
      <name val="MS Serif"/>
      <family val="1"/>
    </font>
    <font>
      <sz val="8"/>
      <name val="Tahoma"/>
      <family val="2"/>
    </font>
    <font>
      <sz val="10"/>
      <color indexed="18"/>
      <name val="Times New Roman"/>
      <family val="1"/>
    </font>
    <font>
      <sz val="6"/>
      <color indexed="10"/>
      <name val="Times New Roman"/>
      <family val="1"/>
    </font>
    <font>
      <b/>
      <sz val="11"/>
      <color indexed="9"/>
      <name val="Calibri"/>
      <family val="2"/>
    </font>
    <font>
      <sz val="12"/>
      <name val="NewCenturySchlbk"/>
      <family val="1"/>
    </font>
    <font>
      <b/>
      <i/>
      <sz val="8"/>
      <name val="Arial"/>
      <family val="2"/>
    </font>
    <font>
      <b/>
      <sz val="8"/>
      <name val="Switzerland"/>
    </font>
    <font>
      <b/>
      <sz val="7"/>
      <name val="Helvetica-Narrow"/>
      <family val="2"/>
    </font>
    <font>
      <b/>
      <sz val="7"/>
      <name val="GillSans"/>
    </font>
    <font>
      <u/>
      <sz val="8"/>
      <color indexed="12"/>
      <name val="Times New Roman"/>
      <family val="1"/>
    </font>
    <font>
      <sz val="8"/>
      <color indexed="17"/>
      <name val="Times New Roman"/>
      <family val="1"/>
    </font>
    <font>
      <b/>
      <sz val="7.5"/>
      <name val="Switzerland"/>
    </font>
    <font>
      <sz val="11"/>
      <color indexed="8"/>
      <name val="Calibri"/>
      <family val="2"/>
      <charset val="1"/>
    </font>
    <font>
      <sz val="8"/>
      <name val="Palatino"/>
      <family val="1"/>
    </font>
    <font>
      <sz val="10"/>
      <color theme="1"/>
      <name val="Calibri"/>
      <family val="2"/>
      <scheme val="minor"/>
    </font>
    <font>
      <sz val="10"/>
      <color indexed="24"/>
      <name val="Courier New"/>
      <family val="3"/>
    </font>
    <font>
      <sz val="12"/>
      <name val="Helv"/>
    </font>
    <font>
      <sz val="12"/>
      <color indexed="24"/>
      <name val="Arial"/>
      <family val="2"/>
    </font>
    <font>
      <sz val="10"/>
      <color indexed="8"/>
      <name val="Times New Roman"/>
      <family val="1"/>
    </font>
    <font>
      <sz val="7"/>
      <name val="Small Fonts"/>
      <family val="2"/>
    </font>
    <font>
      <sz val="10"/>
      <name val="MS Serif"/>
      <family val="1"/>
    </font>
    <font>
      <sz val="16"/>
      <name val="Palatino"/>
      <family val="1"/>
    </font>
    <font>
      <sz val="11"/>
      <color indexed="12"/>
      <name val="Book Antiqua"/>
      <family val="1"/>
    </font>
    <font>
      <sz val="8"/>
      <color indexed="16"/>
      <name val="Palatino"/>
      <family val="1"/>
    </font>
    <font>
      <sz val="10"/>
      <name val="Geneva"/>
      <family val="2"/>
    </font>
    <font>
      <sz val="12"/>
      <name val="Palatino"/>
      <family val="1"/>
    </font>
    <font>
      <b/>
      <sz val="14"/>
      <color indexed="10"/>
      <name val="Times New Roman"/>
      <family val="1"/>
    </font>
    <font>
      <sz val="10"/>
      <name val="Book Antiqua"/>
      <family val="1"/>
    </font>
    <font>
      <sz val="7.5"/>
      <name val="Switzerland"/>
    </font>
    <font>
      <sz val="8"/>
      <color indexed="18"/>
      <name val="Times New Roman"/>
      <family val="1"/>
    </font>
    <font>
      <sz val="8"/>
      <color indexed="12"/>
      <name val="Arial"/>
      <family val="2"/>
    </font>
    <font>
      <b/>
      <sz val="10"/>
      <color indexed="12"/>
      <name val="Times New Roman"/>
      <family val="1"/>
    </font>
    <font>
      <sz val="10"/>
      <color indexed="17"/>
      <name val="Times New Roman"/>
      <family val="1"/>
    </font>
    <font>
      <sz val="10"/>
      <name val="Tms Rmn"/>
      <family val="1"/>
    </font>
    <font>
      <sz val="9"/>
      <color indexed="12"/>
      <name val="Times New Roman"/>
      <family val="1"/>
    </font>
    <font>
      <sz val="12"/>
      <name val="SWISS"/>
    </font>
    <font>
      <sz val="9"/>
      <name val="Helv"/>
      <family val="2"/>
    </font>
    <font>
      <sz val="10"/>
      <name val="Helv"/>
    </font>
    <font>
      <sz val="8"/>
      <color indexed="8"/>
      <name val="Times New Roman"/>
      <family val="1"/>
    </font>
    <font>
      <u val="doubleAccounting"/>
      <sz val="10"/>
      <name val="Arial"/>
      <family val="2"/>
    </font>
    <font>
      <sz val="10"/>
      <name val="Courier New"/>
      <family val="3"/>
    </font>
    <font>
      <sz val="14"/>
      <color indexed="8"/>
      <name val="Times New Roman"/>
      <family val="1"/>
    </font>
    <font>
      <sz val="14"/>
      <name val="Times New Roman"/>
      <family val="1"/>
    </font>
    <font>
      <i/>
      <sz val="9"/>
      <name val="Times New Roman"/>
      <family val="1"/>
    </font>
    <font>
      <i/>
      <sz val="10"/>
      <name val="Times New Roman"/>
      <family val="1"/>
    </font>
    <font>
      <i/>
      <sz val="9"/>
      <color indexed="8"/>
      <name val="Times New Roman"/>
      <family val="1"/>
    </font>
    <font>
      <b/>
      <sz val="9"/>
      <name val="Times New Roman"/>
      <family val="1"/>
    </font>
    <font>
      <sz val="22"/>
      <name val="Times New Roman"/>
      <family val="1"/>
    </font>
    <font>
      <b/>
      <i/>
      <sz val="8"/>
      <color indexed="12"/>
      <name val="Arial"/>
      <family val="2"/>
    </font>
    <font>
      <b/>
      <sz val="8"/>
      <name val="Arial Narrow"/>
      <family val="2"/>
    </font>
    <font>
      <sz val="24"/>
      <color indexed="13"/>
      <name val="SWISS"/>
    </font>
    <font>
      <sz val="10"/>
      <color indexed="16"/>
      <name val="MS Serif"/>
      <family val="1"/>
    </font>
    <font>
      <b/>
      <u/>
      <sz val="12"/>
      <name val="Arial Narrow"/>
      <family val="2"/>
    </font>
    <font>
      <i/>
      <sz val="11"/>
      <color indexed="23"/>
      <name val="Calibri"/>
      <family val="2"/>
    </font>
    <font>
      <b/>
      <sz val="7"/>
      <color indexed="12"/>
      <name val="Arial"/>
      <family val="2"/>
    </font>
    <font>
      <b/>
      <i/>
      <sz val="14"/>
      <name val="Tms Rmn"/>
      <family val="1"/>
    </font>
    <font>
      <sz val="7"/>
      <name val="Palatino"/>
      <family val="1"/>
    </font>
    <font>
      <b/>
      <sz val="10"/>
      <name val="Book Antiqua"/>
      <family val="1"/>
    </font>
    <font>
      <sz val="7"/>
      <name val="Arial"/>
      <family val="2"/>
    </font>
    <font>
      <sz val="12"/>
      <color indexed="10"/>
      <name val="Palatino"/>
      <family val="1"/>
    </font>
    <font>
      <sz val="9"/>
      <name val="Arial Narrow"/>
      <family val="2"/>
    </font>
    <font>
      <sz val="11"/>
      <color indexed="17"/>
      <name val="Calibri"/>
      <family val="2"/>
    </font>
    <font>
      <sz val="12"/>
      <color indexed="9"/>
      <name val="Times New Roman"/>
      <family val="1"/>
    </font>
    <font>
      <b/>
      <sz val="12"/>
      <color indexed="9"/>
      <name val="Tms Rmn"/>
    </font>
    <font>
      <b/>
      <sz val="18"/>
      <color indexed="12"/>
      <name val="MS Sans Serif"/>
      <family val="2"/>
    </font>
    <font>
      <b/>
      <sz val="10"/>
      <color indexed="8"/>
      <name val="GillSans"/>
    </font>
    <font>
      <b/>
      <sz val="16"/>
      <name val="Times New Roman"/>
      <family val="1"/>
    </font>
    <font>
      <sz val="6"/>
      <name val="Palatino"/>
      <family val="1"/>
    </font>
    <font>
      <sz val="6"/>
      <color indexed="16"/>
      <name val="Palatino"/>
      <family val="1"/>
    </font>
    <font>
      <b/>
      <sz val="11"/>
      <color indexed="41"/>
      <name val="Times New Roman"/>
      <family val="1"/>
    </font>
    <font>
      <b/>
      <sz val="11"/>
      <name val="Switzerland"/>
    </font>
    <font>
      <b/>
      <sz val="15"/>
      <color indexed="56"/>
      <name val="Calibri"/>
      <family val="2"/>
    </font>
    <font>
      <b/>
      <sz val="15"/>
      <color indexed="62"/>
      <name val="Calibri"/>
      <family val="2"/>
    </font>
    <font>
      <sz val="10"/>
      <name val="Helvetica-Black"/>
    </font>
    <font>
      <b/>
      <sz val="13"/>
      <color indexed="56"/>
      <name val="Calibri"/>
      <family val="2"/>
    </font>
    <font>
      <b/>
      <sz val="13"/>
      <color indexed="62"/>
      <name val="Calibri"/>
      <family val="2"/>
    </font>
    <font>
      <b/>
      <sz val="11"/>
      <color indexed="56"/>
      <name val="Calibri"/>
      <family val="2"/>
    </font>
    <font>
      <b/>
      <sz val="11"/>
      <color indexed="62"/>
      <name val="Calibri"/>
      <family val="2"/>
    </font>
    <font>
      <i/>
      <sz val="14"/>
      <name val="Palatino"/>
      <family val="1"/>
    </font>
    <font>
      <b/>
      <u/>
      <sz val="12"/>
      <name val="Geneva"/>
      <family val="2"/>
    </font>
    <font>
      <b/>
      <sz val="12"/>
      <name val="Geneva"/>
      <family val="2"/>
    </font>
    <font>
      <b/>
      <u/>
      <sz val="9"/>
      <name val="Times New Roman"/>
      <family val="1"/>
    </font>
    <font>
      <b/>
      <i/>
      <sz val="22"/>
      <name val="Times New Roman"/>
      <family val="1"/>
    </font>
    <font>
      <b/>
      <sz val="8"/>
      <name val="MS Sans Serif"/>
      <family val="2"/>
    </font>
    <font>
      <b/>
      <sz val="9"/>
      <name val="Helv"/>
      <family val="2"/>
    </font>
    <font>
      <sz val="8"/>
      <color indexed="9"/>
      <name val="Arial"/>
      <family val="2"/>
    </font>
    <font>
      <sz val="10"/>
      <color indexed="9"/>
      <name val="Times New Roman"/>
      <family val="1"/>
    </font>
    <font>
      <u/>
      <sz val="10"/>
      <color indexed="12"/>
      <name val="MS Sans Serif"/>
      <family val="2"/>
    </font>
    <font>
      <u/>
      <sz val="10"/>
      <color theme="10"/>
      <name val="Calibri"/>
      <family val="2"/>
    </font>
    <font>
      <sz val="9"/>
      <color indexed="39"/>
      <name val="Helv"/>
      <family val="2"/>
    </font>
    <font>
      <sz val="11"/>
      <color indexed="62"/>
      <name val="Calibri"/>
      <family val="2"/>
    </font>
    <font>
      <sz val="10"/>
      <name val="Courier"/>
      <family val="3"/>
    </font>
    <font>
      <sz val="8"/>
      <color indexed="39"/>
      <name val="Arial"/>
      <family val="2"/>
    </font>
    <font>
      <sz val="8"/>
      <color indexed="12"/>
      <name val="Helv"/>
    </font>
    <font>
      <sz val="10"/>
      <color indexed="39"/>
      <name val="Times New Roman"/>
      <family val="1"/>
    </font>
    <font>
      <sz val="10"/>
      <color indexed="10"/>
      <name val="Times New Roman"/>
      <family val="1"/>
    </font>
    <font>
      <sz val="10"/>
      <color indexed="17"/>
      <name val="Arial"/>
      <family val="2"/>
    </font>
    <font>
      <b/>
      <sz val="8"/>
      <color indexed="12"/>
      <name val="Times New Roman"/>
      <family val="1"/>
    </font>
    <font>
      <b/>
      <sz val="8"/>
      <color indexed="8"/>
      <name val="Times New Roman"/>
      <family val="1"/>
    </font>
    <font>
      <sz val="7"/>
      <name val="Helvetica-Narrow"/>
      <family val="2"/>
    </font>
    <font>
      <b/>
      <i/>
      <sz val="8"/>
      <name val="Times New Roman"/>
      <family val="1"/>
    </font>
    <font>
      <sz val="8"/>
      <color indexed="10"/>
      <name val="Helv"/>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b/>
      <sz val="14"/>
      <name val="Helv"/>
    </font>
    <font>
      <b/>
      <i/>
      <sz val="12"/>
      <color indexed="9"/>
      <name val="Arial Narrow"/>
      <family val="2"/>
    </font>
    <font>
      <b/>
      <sz val="10"/>
      <name val="palatino"/>
      <family val="1"/>
    </font>
    <font>
      <sz val="10"/>
      <color indexed="16"/>
      <name val="MS Sans Serif"/>
      <family val="2"/>
    </font>
    <font>
      <sz val="11"/>
      <color indexed="52"/>
      <name val="Calibri"/>
      <family val="2"/>
    </font>
    <font>
      <b/>
      <sz val="36"/>
      <name val="Times New Roman"/>
      <family val="1"/>
    </font>
    <font>
      <sz val="11"/>
      <name val="?? ?????"/>
      <family val="3"/>
      <charset val="128"/>
    </font>
    <font>
      <sz val="8"/>
      <name val="Helv"/>
      <family val="2"/>
    </font>
    <font>
      <sz val="14"/>
      <name val="Architecture"/>
      <family val="2"/>
    </font>
    <font>
      <sz val="26"/>
      <name val="Times New Roman"/>
      <family val="1"/>
    </font>
    <font>
      <sz val="11"/>
      <color indexed="60"/>
      <name val="Calibri"/>
      <family val="2"/>
    </font>
    <font>
      <sz val="10"/>
      <name val="CG Times (WN)"/>
      <family val="1"/>
    </font>
    <font>
      <sz val="6"/>
      <name val="Helv"/>
    </font>
    <font>
      <sz val="6"/>
      <name val="Helv"/>
      <family val="2"/>
    </font>
    <font>
      <sz val="10"/>
      <name val="Tahoma"/>
      <family val="2"/>
    </font>
    <font>
      <sz val="11"/>
      <color theme="1"/>
      <name val="Calibri"/>
      <family val="2"/>
      <charset val="1"/>
      <scheme val="minor"/>
    </font>
    <font>
      <b/>
      <i/>
      <sz val="8"/>
      <name val="Book Antiqua"/>
      <family val="1"/>
    </font>
    <font>
      <b/>
      <sz val="8"/>
      <name val="Book Antiqua"/>
      <family val="1"/>
    </font>
    <font>
      <sz val="8"/>
      <color indexed="8"/>
      <name val="Helv"/>
      <family val="2"/>
    </font>
    <font>
      <sz val="8"/>
      <name val="Helvetica"/>
      <family val="2"/>
    </font>
    <font>
      <b/>
      <i/>
      <sz val="24"/>
      <color indexed="8"/>
      <name val="Times New Roman"/>
      <family val="1"/>
    </font>
    <font>
      <sz val="7"/>
      <color indexed="12"/>
      <name val="Arial"/>
      <family val="2"/>
    </font>
    <font>
      <sz val="8"/>
      <name val="Book Antiqua"/>
      <family val="1"/>
    </font>
    <font>
      <i/>
      <sz val="10"/>
      <name val="Helv"/>
      <family val="2"/>
    </font>
    <font>
      <b/>
      <sz val="10"/>
      <color indexed="17"/>
      <name val="Times New Roman"/>
      <family val="1"/>
    </font>
    <font>
      <b/>
      <sz val="8"/>
      <color indexed="72"/>
      <name val="Arial"/>
      <family val="2"/>
    </font>
    <font>
      <b/>
      <sz val="11"/>
      <color indexed="63"/>
      <name val="Calibri"/>
      <family val="2"/>
    </font>
    <font>
      <sz val="10"/>
      <color indexed="39"/>
      <name val="Arial"/>
      <family val="2"/>
    </font>
    <font>
      <b/>
      <sz val="26"/>
      <name val="Times New Roman"/>
      <family val="1"/>
    </font>
    <font>
      <b/>
      <sz val="18"/>
      <name val="Times New Roman"/>
      <family val="1"/>
    </font>
    <font>
      <sz val="10"/>
      <color indexed="16"/>
      <name val="Helvetica-Black"/>
    </font>
    <font>
      <b/>
      <u/>
      <sz val="10"/>
      <name val="Helv"/>
    </font>
    <font>
      <b/>
      <sz val="12"/>
      <name val="Palatino"/>
      <family val="1"/>
    </font>
    <font>
      <sz val="16"/>
      <name val="Times New Roman"/>
      <family val="1"/>
    </font>
    <font>
      <sz val="8"/>
      <color indexed="10"/>
      <name val="Arial"/>
      <family val="2"/>
    </font>
    <font>
      <sz val="9"/>
      <color indexed="20"/>
      <name val="Helv"/>
      <family val="2"/>
    </font>
    <font>
      <sz val="9"/>
      <color indexed="36"/>
      <name val="Helv"/>
      <family val="2"/>
    </font>
    <font>
      <sz val="8"/>
      <name val="Wingdings"/>
      <charset val="2"/>
    </font>
    <font>
      <sz val="10"/>
      <name val="GillSans Light"/>
    </font>
    <font>
      <sz val="8"/>
      <name val="COUR"/>
      <family val="2"/>
    </font>
    <font>
      <b/>
      <sz val="8.5"/>
      <name val="Times New Roman"/>
      <family val="1"/>
    </font>
    <font>
      <u/>
      <sz val="9.5"/>
      <name val="Times New Roman"/>
      <family val="1"/>
    </font>
    <font>
      <sz val="9.5"/>
      <color indexed="23"/>
      <name val="Helvetica-Black"/>
      <family val="2"/>
    </font>
    <font>
      <sz val="10"/>
      <name val="Tms Rmn"/>
    </font>
    <font>
      <sz val="10"/>
      <name val="Futura UBS Bk"/>
      <family val="2"/>
    </font>
    <font>
      <b/>
      <sz val="10"/>
      <name val="Bookman Old Style"/>
      <family val="1"/>
    </font>
    <font>
      <sz val="9"/>
      <color rgb="FF0033CC"/>
      <name val="Calibri"/>
      <family val="2"/>
    </font>
    <font>
      <sz val="8"/>
      <name val="MS Sans Serif"/>
      <family val="2"/>
    </font>
    <font>
      <sz val="10"/>
      <color indexed="9"/>
      <name val="Arial"/>
      <family val="2"/>
    </font>
    <font>
      <i/>
      <sz val="8"/>
      <name val="Times New Roman"/>
      <family val="1"/>
    </font>
    <font>
      <sz val="12"/>
      <name val="Univers (WN)"/>
    </font>
    <font>
      <b/>
      <sz val="10"/>
      <name val="GillSans"/>
    </font>
    <font>
      <b/>
      <sz val="7"/>
      <color indexed="14"/>
      <name val="Helv"/>
    </font>
    <font>
      <b/>
      <sz val="8"/>
      <color indexed="16"/>
      <name val="Times New Roman"/>
      <family val="1"/>
    </font>
    <font>
      <b/>
      <i/>
      <sz val="10"/>
      <name val="Arial"/>
      <family val="2"/>
    </font>
    <font>
      <b/>
      <sz val="8"/>
      <color indexed="8"/>
      <name val="Helv"/>
    </font>
    <font>
      <b/>
      <sz val="8"/>
      <name val="Tms Rmn"/>
      <family val="1"/>
    </font>
    <font>
      <sz val="7.5"/>
      <name val="Times New Roman"/>
      <family val="1"/>
    </font>
    <font>
      <b/>
      <sz val="9"/>
      <name val="Palatino"/>
      <family val="1"/>
    </font>
    <font>
      <sz val="9"/>
      <color indexed="21"/>
      <name val="Helvetica-Black"/>
    </font>
    <font>
      <sz val="9"/>
      <name val="Helvetica-Black"/>
    </font>
    <font>
      <b/>
      <u val="singleAccounting"/>
      <sz val="14"/>
      <name val="Times New Roman"/>
      <family val="1"/>
    </font>
    <font>
      <i/>
      <sz val="14"/>
      <name val="Times New Roman"/>
      <family val="1"/>
    </font>
    <font>
      <sz val="10"/>
      <name val="Sabon"/>
      <family val="2"/>
    </font>
    <font>
      <sz val="12"/>
      <color indexed="8"/>
      <name val="Palatino"/>
      <family val="1"/>
    </font>
    <font>
      <sz val="11"/>
      <color indexed="8"/>
      <name val="Helvetica-Black"/>
      <family val="2"/>
    </font>
    <font>
      <b/>
      <sz val="14"/>
      <name val="Book Antiqua"/>
      <family val="1"/>
    </font>
    <font>
      <b/>
      <sz val="12"/>
      <name val="Book Antiqua"/>
      <family val="1"/>
    </font>
    <font>
      <b/>
      <sz val="11"/>
      <name val="Times New Roman"/>
      <family val="1"/>
    </font>
    <font>
      <sz val="24"/>
      <color indexed="13"/>
      <name val="Helv"/>
    </font>
    <font>
      <sz val="12"/>
      <color indexed="13"/>
      <name val="Helv"/>
    </font>
    <font>
      <b/>
      <u/>
      <sz val="9"/>
      <name val="Arial"/>
      <family val="2"/>
    </font>
    <font>
      <b/>
      <sz val="18"/>
      <color indexed="56"/>
      <name val="Cambria"/>
      <family val="2"/>
    </font>
    <font>
      <b/>
      <sz val="18"/>
      <color indexed="62"/>
      <name val="Cambria"/>
      <family val="2"/>
    </font>
    <font>
      <b/>
      <sz val="8"/>
      <name val="Helv"/>
    </font>
    <font>
      <b/>
      <sz val="8"/>
      <color indexed="18"/>
      <name val="Times New Roman"/>
      <family val="1"/>
    </font>
    <font>
      <b/>
      <sz val="8"/>
      <name val="Helv"/>
      <family val="2"/>
    </font>
    <font>
      <b/>
      <i/>
      <sz val="24"/>
      <name val="Arial"/>
      <family val="2"/>
    </font>
    <font>
      <b/>
      <sz val="11"/>
      <color indexed="8"/>
      <name val="Calibri"/>
      <family val="2"/>
    </font>
    <font>
      <sz val="7"/>
      <color indexed="10"/>
      <name val="Arial"/>
      <family val="2"/>
    </font>
    <font>
      <sz val="11"/>
      <color indexed="10"/>
      <name val="Calibri"/>
      <family val="2"/>
    </font>
    <font>
      <sz val="7"/>
      <name val="Times New Roman"/>
      <family val="1"/>
    </font>
    <font>
      <b/>
      <i/>
      <sz val="8"/>
      <name val="Helv"/>
    </font>
    <font>
      <b/>
      <u/>
      <sz val="8"/>
      <name val="Times New Roman"/>
      <family val="1"/>
    </font>
    <font>
      <b/>
      <sz val="10"/>
      <color indexed="18"/>
      <name val="CG Times (WN)"/>
      <family val="1"/>
    </font>
    <font>
      <b/>
      <i/>
      <sz val="8"/>
      <color indexed="12"/>
      <name val="Times New Roman"/>
      <family val="1"/>
    </font>
    <font>
      <b/>
      <sz val="18"/>
      <color indexed="57"/>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name val="돋움"/>
      <family val="3"/>
      <charset val="129"/>
    </font>
    <font>
      <sz val="12"/>
      <name val="바탕체"/>
      <family val="1"/>
      <charset val="129"/>
    </font>
    <font>
      <u/>
      <sz val="10"/>
      <color indexed="12"/>
      <name val="Arial"/>
      <family val="2"/>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1"/>
      <color indexed="58"/>
      <name val="ＭＳ Ｐゴシック"/>
      <family val="3"/>
      <charset val="128"/>
    </font>
    <font>
      <b/>
      <sz val="15"/>
      <color indexed="57"/>
      <name val="ＭＳ Ｐゴシック"/>
      <family val="3"/>
      <charset val="128"/>
    </font>
    <font>
      <b/>
      <sz val="13"/>
      <color indexed="57"/>
      <name val="ＭＳ Ｐゴシック"/>
      <family val="3"/>
      <charset val="128"/>
    </font>
    <font>
      <b/>
      <sz val="11"/>
      <color indexed="57"/>
      <name val="ＭＳ Ｐゴシック"/>
      <family val="3"/>
      <charset val="128"/>
    </font>
    <font>
      <b/>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0"/>
      <color rgb="FF0000FF"/>
      <name val="Arial"/>
      <family val="2"/>
    </font>
    <font>
      <b/>
      <sz val="10"/>
      <color theme="0"/>
      <name val="Arial"/>
      <family val="2"/>
    </font>
    <font>
      <sz val="10"/>
      <color theme="0"/>
      <name val="Arial"/>
      <family val="2"/>
    </font>
    <font>
      <sz val="11"/>
      <color theme="1"/>
      <name val="Calibri"/>
      <family val="2"/>
      <scheme val="minor"/>
    </font>
    <font>
      <sz val="11"/>
      <color theme="1"/>
      <name val="Garamond"/>
      <family val="2"/>
    </font>
    <font>
      <sz val="11"/>
      <color theme="1"/>
      <name val="Arial"/>
      <family val="2"/>
    </font>
    <font>
      <b/>
      <sz val="16"/>
      <color theme="1"/>
      <name val="Arial"/>
      <family val="2"/>
    </font>
    <font>
      <sz val="9"/>
      <color theme="1"/>
      <name val="Arial"/>
      <family val="2"/>
    </font>
    <font>
      <b/>
      <sz val="9"/>
      <color theme="1"/>
      <name val="Arial"/>
      <family val="2"/>
    </font>
    <font>
      <sz val="7"/>
      <color theme="1"/>
      <name val="Arial"/>
      <family val="2"/>
    </font>
    <font>
      <u/>
      <sz val="10"/>
      <color theme="10"/>
      <name val="Arial"/>
      <family val="2"/>
    </font>
    <font>
      <sz val="9"/>
      <color theme="0"/>
      <name val="Arial"/>
      <family val="2"/>
    </font>
    <font>
      <sz val="9"/>
      <color rgb="FF0033CC"/>
      <name val="Arial"/>
      <family val="2"/>
    </font>
    <font>
      <sz val="9"/>
      <color rgb="FFFF0000"/>
      <name val="Arial"/>
      <family val="2"/>
    </font>
    <font>
      <sz val="9"/>
      <color rgb="FFFF3399"/>
      <name val="Arial"/>
      <family val="2"/>
    </font>
    <font>
      <sz val="9"/>
      <color rgb="FF009900"/>
      <name val="Arial"/>
      <family val="2"/>
    </font>
    <font>
      <sz val="9"/>
      <color theme="0" tint="-0.499984740745262"/>
      <name val="Arial"/>
      <family val="2"/>
    </font>
    <font>
      <b/>
      <sz val="16"/>
      <name val="Univers 45 Light"/>
    </font>
    <font>
      <u/>
      <sz val="11"/>
      <color theme="10"/>
      <name val="Calibri"/>
      <family val="2"/>
    </font>
    <font>
      <sz val="12"/>
      <name val="Arial MT"/>
      <charset val="134"/>
    </font>
    <font>
      <sz val="11"/>
      <color theme="1"/>
      <name val="Calibri"/>
      <family val="2"/>
      <scheme val="minor"/>
    </font>
    <font>
      <sz val="12"/>
      <name val="Arial"/>
      <family val="2"/>
    </font>
    <font>
      <u/>
      <sz val="9"/>
      <color indexed="12"/>
      <name val="Arial"/>
      <family val="2"/>
    </font>
    <font>
      <sz val="10"/>
      <color rgb="FFC00000"/>
      <name val="Arial"/>
      <family val="2"/>
    </font>
    <font>
      <b/>
      <u/>
      <sz val="10"/>
      <name val="Arial"/>
      <family val="2"/>
    </font>
    <font>
      <sz val="8"/>
      <color rgb="FF002060"/>
      <name val="Arial"/>
      <family val="2"/>
    </font>
    <font>
      <b/>
      <sz val="8"/>
      <color rgb="FF002060"/>
      <name val="Arial"/>
      <family val="2"/>
    </font>
    <font>
      <b/>
      <sz val="8"/>
      <color theme="0" tint="-0.499984740745262"/>
      <name val="Arial"/>
      <family val="2"/>
    </font>
    <font>
      <sz val="8"/>
      <color rgb="FFFF0000"/>
      <name val="Arial"/>
      <family val="2"/>
    </font>
    <font>
      <sz val="8"/>
      <color rgb="FF0000FF"/>
      <name val="Arial"/>
      <family val="2"/>
    </font>
    <font>
      <sz val="10"/>
      <color rgb="FF002060"/>
      <name val="Arial"/>
      <family val="2"/>
    </font>
    <font>
      <b/>
      <sz val="10"/>
      <color rgb="FF002060"/>
      <name val="Arial"/>
      <family val="2"/>
    </font>
    <font>
      <b/>
      <sz val="10"/>
      <color rgb="FF0000FF"/>
      <name val="Arial"/>
      <family val="2"/>
    </font>
    <font>
      <i/>
      <sz val="10"/>
      <name val="Arial"/>
      <family val="2"/>
    </font>
    <font>
      <b/>
      <sz val="10"/>
      <color rgb="FFFFFF00"/>
      <name val="Arial"/>
      <family val="2"/>
    </font>
    <font>
      <sz val="8"/>
      <color rgb="FFC00000"/>
      <name val="Arial"/>
      <family val="2"/>
    </font>
    <font>
      <i/>
      <sz val="8"/>
      <color rgb="FFC00000"/>
      <name val="Arial"/>
      <family val="2"/>
    </font>
    <font>
      <sz val="10"/>
      <color rgb="FFFFFF00"/>
      <name val="Arial"/>
      <family val="2"/>
    </font>
    <font>
      <b/>
      <sz val="11"/>
      <name val="Arial"/>
      <family val="2"/>
    </font>
    <font>
      <sz val="10"/>
      <color theme="0" tint="-0.499984740745262"/>
      <name val="Arial"/>
      <family val="2"/>
    </font>
    <font>
      <b/>
      <sz val="10"/>
      <color theme="2" tint="-0.249977111117893"/>
      <name val="Arial"/>
      <family val="2"/>
    </font>
    <font>
      <b/>
      <sz val="10"/>
      <color rgb="FFFF0000"/>
      <name val="Arial"/>
      <family val="2"/>
    </font>
    <font>
      <b/>
      <sz val="11"/>
      <color theme="0"/>
      <name val="Arial"/>
      <family val="2"/>
    </font>
    <font>
      <sz val="10"/>
      <color theme="2" tint="-0.249977111117893"/>
      <name val="Arial"/>
      <family val="2"/>
    </font>
    <font>
      <b/>
      <sz val="11"/>
      <color theme="1"/>
      <name val="Calibri"/>
      <family val="2"/>
      <scheme val="minor"/>
    </font>
    <font>
      <b/>
      <sz val="11"/>
      <color theme="1"/>
      <name val="Arial"/>
      <family val="2"/>
    </font>
    <font>
      <b/>
      <sz val="12"/>
      <color theme="1"/>
      <name val="Arial"/>
      <family val="2"/>
    </font>
    <font>
      <i/>
      <sz val="10"/>
      <color rgb="FFC00000"/>
      <name val="Arial"/>
      <family val="2"/>
    </font>
    <font>
      <b/>
      <sz val="8"/>
      <color theme="1"/>
      <name val="Arial"/>
      <family val="2"/>
    </font>
    <font>
      <sz val="9"/>
      <color rgb="FFFFFF00"/>
      <name val="Arial"/>
      <family val="2"/>
    </font>
    <font>
      <sz val="9"/>
      <color indexed="81"/>
      <name val="Tahoma"/>
      <family val="2"/>
    </font>
    <font>
      <b/>
      <sz val="9"/>
      <color indexed="81"/>
      <name val="Tahoma"/>
      <family val="2"/>
    </font>
    <font>
      <sz val="10"/>
      <color theme="0" tint="-0.249977111117893"/>
      <name val="Arial"/>
      <family val="2"/>
    </font>
    <font>
      <sz val="8"/>
      <color theme="1"/>
      <name val="Arial"/>
      <family val="2"/>
    </font>
    <font>
      <sz val="10"/>
      <color theme="0" tint="-0.34998626667073579"/>
      <name val="Arial"/>
      <family val="2"/>
    </font>
    <font>
      <b/>
      <sz val="8"/>
      <color rgb="FF000000"/>
      <name val="Calibri"/>
      <family val="2"/>
    </font>
    <font>
      <sz val="8"/>
      <color rgb="FF000000"/>
      <name val="Calibri"/>
      <family val="2"/>
    </font>
    <font>
      <sz val="10"/>
      <name val="Arail"/>
    </font>
    <font>
      <b/>
      <sz val="10"/>
      <name val="Arail"/>
    </font>
    <font>
      <sz val="10"/>
      <color theme="0"/>
      <name val="AIrial"/>
    </font>
    <font>
      <sz val="10"/>
      <color theme="0" tint="-4.9989318521683403E-2"/>
      <name val="Arial"/>
      <family val="2"/>
    </font>
    <font>
      <sz val="10"/>
      <color theme="9"/>
      <name val="Arial"/>
      <family val="2"/>
    </font>
    <font>
      <sz val="10"/>
      <color theme="2" tint="-9.9978637043366805E-2"/>
      <name val="Arial"/>
      <family val="2"/>
    </font>
    <font>
      <i/>
      <sz val="10"/>
      <color rgb="FF0000FF"/>
      <name val="Arial"/>
      <family val="2"/>
    </font>
    <font>
      <b/>
      <sz val="16"/>
      <name val="Arial"/>
      <family val="2"/>
    </font>
    <font>
      <b/>
      <sz val="11"/>
      <color rgb="FF1F1F1F"/>
      <name val="Arial"/>
      <family val="2"/>
    </font>
    <font>
      <b/>
      <sz val="18"/>
      <color theme="5"/>
      <name val="Arial"/>
      <family val="2"/>
    </font>
    <font>
      <b/>
      <sz val="24"/>
      <color rgb="FF002060"/>
      <name val="Arial"/>
      <family val="2"/>
    </font>
    <font>
      <b/>
      <sz val="12"/>
      <color rgb="FFFFFF00"/>
      <name val="Arial"/>
      <family val="2"/>
    </font>
    <font>
      <b/>
      <sz val="12"/>
      <color theme="0"/>
      <name val="Arial"/>
      <family val="2"/>
    </font>
    <font>
      <b/>
      <sz val="24"/>
      <color rgb="FF00B050"/>
      <name val="Arial"/>
      <family val="2"/>
    </font>
    <font>
      <sz val="16"/>
      <name val="Arial"/>
      <family val="2"/>
    </font>
    <font>
      <sz val="11"/>
      <color rgb="FF1F1F1F"/>
      <name val="Arial"/>
      <family val="2"/>
    </font>
    <font>
      <sz val="11"/>
      <color rgb="FFFF0000"/>
      <name val="Calibri"/>
      <family val="2"/>
      <scheme val="minor"/>
    </font>
    <font>
      <sz val="16"/>
      <color theme="0" tint="-4.9989318521683403E-2"/>
      <name val="Arial"/>
      <family val="2"/>
    </font>
    <font>
      <b/>
      <i/>
      <sz val="10"/>
      <color rgb="FFFF0000"/>
      <name val="Arial"/>
      <family val="2"/>
    </font>
    <font>
      <b/>
      <i/>
      <sz val="10"/>
      <color theme="0" tint="-0.249977111117893"/>
      <name val="Arial"/>
      <family val="2"/>
    </font>
    <font>
      <sz val="11"/>
      <color rgb="FF000000"/>
      <name val="Aptos Narrow"/>
      <family val="2"/>
    </font>
    <font>
      <b/>
      <sz val="11"/>
      <color rgb="FF000000"/>
      <name val="Aptos Narrow"/>
      <family val="2"/>
    </font>
    <font>
      <sz val="12"/>
      <color theme="1"/>
      <name val="Calibri"/>
      <family val="2"/>
      <scheme val="minor"/>
    </font>
    <font>
      <sz val="11"/>
      <name val="Aptos Narrow"/>
      <family val="2"/>
    </font>
    <font>
      <b/>
      <sz val="11"/>
      <name val="Aptos Narrow"/>
      <family val="2"/>
    </font>
    <font>
      <b/>
      <sz val="20"/>
      <name val="Arial"/>
      <family val="2"/>
    </font>
    <font>
      <b/>
      <sz val="10"/>
      <color rgb="FF000000"/>
      <name val="Arial"/>
      <family val="2"/>
    </font>
    <font>
      <sz val="10"/>
      <color rgb="FF000000"/>
      <name val="Arial"/>
      <family val="2"/>
    </font>
    <font>
      <b/>
      <sz val="10"/>
      <name val="Arial"/>
      <family val="2"/>
    </font>
    <font>
      <b/>
      <sz val="11"/>
      <color theme="1"/>
      <name val="Arial"/>
      <family val="2"/>
    </font>
    <font>
      <sz val="11"/>
      <color rgb="FFFF0000"/>
      <name val="Arial"/>
      <family val="2"/>
    </font>
    <font>
      <sz val="11"/>
      <color theme="1"/>
      <name val="Arial"/>
      <family val="2"/>
    </font>
    <font>
      <sz val="11"/>
      <color theme="0" tint="-0.249977111117893"/>
      <name val="Arial"/>
      <family val="2"/>
    </font>
  </fonts>
  <fills count="110">
    <fill>
      <patternFill patternType="none"/>
    </fill>
    <fill>
      <patternFill patternType="gray125"/>
    </fill>
    <fill>
      <patternFill patternType="solid">
        <fgColor theme="0" tint="-0.14999847407452621"/>
        <bgColor indexed="64"/>
      </patternFill>
    </fill>
    <fill>
      <patternFill patternType="solid">
        <fgColor rgb="FFFFFFCC"/>
      </patternFill>
    </fill>
    <fill>
      <patternFill patternType="solid">
        <fgColor rgb="FFFFCC99"/>
        <bgColor indexed="64"/>
      </patternFill>
    </fill>
    <fill>
      <patternFill patternType="solid">
        <fgColor theme="3" tint="0.79998168889431442"/>
        <bgColor indexed="64"/>
      </patternFill>
    </fill>
    <fill>
      <patternFill patternType="solid">
        <fgColor theme="0" tint="-0.14996795556505021"/>
        <bgColor indexed="64"/>
      </patternFill>
    </fill>
    <fill>
      <patternFill patternType="solid">
        <fgColor indexed="22"/>
        <bgColor indexed="22"/>
      </patternFill>
    </fill>
    <fill>
      <patternFill patternType="solid">
        <fgColor indexed="22"/>
        <bgColor indexed="64"/>
      </patternFill>
    </fill>
    <fill>
      <patternFill patternType="solid">
        <fgColor indexed="43"/>
      </patternFill>
    </fill>
    <fill>
      <patternFill patternType="solid">
        <fgColor indexed="43"/>
        <bgColor indexed="64"/>
      </patternFill>
    </fill>
    <fill>
      <patternFill patternType="solid">
        <fgColor theme="0" tint="-4.9989318521683403E-2"/>
        <bgColor indexed="64"/>
      </patternFill>
    </fill>
    <fill>
      <patternFill patternType="solid">
        <fgColor indexed="63"/>
        <bgColor indexed="64"/>
      </patternFill>
    </fill>
    <fill>
      <patternFill patternType="solid">
        <fgColor indexed="55"/>
        <bgColor indexed="64"/>
      </patternFill>
    </fill>
    <fill>
      <patternFill patternType="solid">
        <fgColor indexed="54"/>
        <bgColor indexed="64"/>
      </patternFill>
    </fill>
    <fill>
      <patternFill patternType="solid">
        <fgColor indexed="53"/>
        <bgColor indexed="64"/>
      </patternFill>
    </fill>
    <fill>
      <patternFill patternType="solid">
        <fgColor indexed="61"/>
        <bgColor indexed="64"/>
      </patternFill>
    </fill>
    <fill>
      <patternFill patternType="solid">
        <fgColor indexed="31"/>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35"/>
        <bgColor indexed="64"/>
      </patternFill>
    </fill>
    <fill>
      <patternFill patternType="solid">
        <fgColor indexed="44"/>
        <bgColor indexed="64"/>
      </patternFill>
    </fill>
    <fill>
      <patternFill patternType="solid">
        <fgColor indexed="9"/>
        <bgColor indexed="64"/>
      </patternFill>
    </fill>
    <fill>
      <patternFill patternType="solid">
        <fgColor indexed="18"/>
        <bgColor indexed="64"/>
      </patternFill>
    </fill>
    <fill>
      <patternFill patternType="solid">
        <fgColor indexed="9"/>
      </patternFill>
    </fill>
    <fill>
      <patternFill patternType="lightGray">
        <fgColor indexed="15"/>
      </patternFill>
    </fill>
    <fill>
      <patternFill patternType="gray0625"/>
    </fill>
    <fill>
      <patternFill patternType="solid">
        <fgColor indexed="55"/>
      </patternFill>
    </fill>
    <fill>
      <patternFill patternType="mediumGray">
        <fgColor indexed="22"/>
      </patternFill>
    </fill>
    <fill>
      <patternFill patternType="solid">
        <fgColor indexed="26"/>
        <bgColor indexed="64"/>
      </patternFill>
    </fill>
    <fill>
      <patternFill patternType="solid">
        <fgColor indexed="9"/>
        <bgColor indexed="9"/>
      </patternFill>
    </fill>
    <fill>
      <patternFill patternType="solid">
        <fgColor indexed="24"/>
        <bgColor indexed="64"/>
      </patternFill>
    </fill>
    <fill>
      <patternFill patternType="solid">
        <fgColor indexed="12"/>
        <bgColor indexed="9"/>
      </patternFill>
    </fill>
    <fill>
      <patternFill patternType="solid">
        <fgColor indexed="65"/>
        <bgColor indexed="64"/>
      </patternFill>
    </fill>
    <fill>
      <patternFill patternType="lightGray">
        <fgColor indexed="11"/>
        <bgColor indexed="9"/>
      </patternFill>
    </fill>
    <fill>
      <patternFill patternType="lightGray">
        <fgColor indexed="13"/>
      </patternFill>
    </fill>
    <fill>
      <patternFill patternType="solid">
        <fgColor indexed="13"/>
      </patternFill>
    </fill>
    <fill>
      <patternFill patternType="lightGray">
        <fgColor indexed="38"/>
        <bgColor indexed="23"/>
      </patternFill>
    </fill>
    <fill>
      <patternFill patternType="solid">
        <fgColor indexed="42"/>
        <bgColor indexed="64"/>
      </patternFill>
    </fill>
    <fill>
      <patternFill patternType="solid">
        <fgColor indexed="41"/>
        <bgColor indexed="64"/>
      </patternFill>
    </fill>
    <fill>
      <patternFill patternType="lightGray">
        <fgColor indexed="10"/>
      </patternFill>
    </fill>
    <fill>
      <patternFill patternType="darkVertical"/>
    </fill>
    <fill>
      <patternFill patternType="solid">
        <fgColor indexed="62"/>
        <bgColor indexed="64"/>
      </patternFill>
    </fill>
    <fill>
      <patternFill patternType="solid">
        <fgColor indexed="38"/>
        <bgColor indexed="64"/>
      </patternFill>
    </fill>
    <fill>
      <patternFill patternType="solid">
        <fgColor indexed="36"/>
        <bgColor indexed="64"/>
      </patternFill>
    </fill>
    <fill>
      <patternFill patternType="solid">
        <fgColor indexed="30"/>
        <bgColor indexed="64"/>
      </patternFill>
    </fill>
    <fill>
      <patternFill patternType="solid">
        <fgColor indexed="29"/>
        <bgColor indexed="64"/>
      </patternFill>
    </fill>
    <fill>
      <patternFill patternType="solid">
        <fgColor indexed="16"/>
        <bgColor indexed="64"/>
      </patternFill>
    </fill>
    <fill>
      <patternFill patternType="solid">
        <fgColor indexed="8"/>
        <bgColor indexed="64"/>
      </patternFill>
    </fill>
    <fill>
      <patternFill patternType="solid">
        <fgColor indexed="11"/>
        <bgColor indexed="64"/>
      </patternFill>
    </fill>
    <fill>
      <patternFill patternType="solid">
        <fgColor indexed="12"/>
      </patternFill>
    </fill>
    <fill>
      <patternFill patternType="solid">
        <fgColor rgb="FF00B0F0"/>
        <bgColor indexed="64"/>
      </patternFill>
    </fill>
    <fill>
      <patternFill patternType="mediumGray">
        <fgColor indexed="11"/>
      </patternFill>
    </fill>
    <fill>
      <patternFill patternType="lightGray">
        <fgColor indexed="11"/>
      </patternFill>
    </fill>
    <fill>
      <patternFill patternType="solid">
        <fgColor theme="1"/>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50"/>
        <bgColor indexed="64"/>
      </patternFill>
    </fill>
    <fill>
      <patternFill patternType="solid">
        <fgColor theme="2"/>
        <bgColor indexed="64"/>
      </patternFill>
    </fill>
    <fill>
      <patternFill patternType="solid">
        <fgColor rgb="FF7030A0"/>
        <bgColor indexed="64"/>
      </patternFill>
    </fill>
    <fill>
      <patternFill patternType="solid">
        <fgColor rgb="FFFF0000"/>
        <bgColor indexed="64"/>
      </patternFill>
    </fill>
    <fill>
      <patternFill patternType="solid">
        <fgColor rgb="FF0070C0"/>
        <bgColor indexed="64"/>
      </patternFill>
    </fill>
    <fill>
      <patternFill patternType="solid">
        <fgColor theme="1" tint="4.9989318521683403E-2"/>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A893"/>
        <bgColor indexed="64"/>
      </patternFill>
    </fill>
    <fill>
      <patternFill patternType="solid">
        <fgColor rgb="FF002060"/>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FF99"/>
        <bgColor indexed="64"/>
      </patternFill>
    </fill>
    <fill>
      <patternFill patternType="solid">
        <fgColor rgb="FF33CCCC"/>
        <bgColor indexed="64"/>
      </patternFill>
    </fill>
    <fill>
      <patternFill patternType="solid">
        <fgColor theme="0" tint="-0.249977111117893"/>
        <bgColor indexed="64"/>
      </patternFill>
    </fill>
    <fill>
      <patternFill patternType="solid">
        <fgColor rgb="FFC00000"/>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rgb="FFFFCCFF"/>
        <bgColor indexed="64"/>
      </patternFill>
    </fill>
    <fill>
      <patternFill patternType="solid">
        <fgColor rgb="FFB540C8"/>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rgb="FF006699"/>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DE9D9"/>
        <bgColor rgb="FF000000"/>
      </patternFill>
    </fill>
    <fill>
      <patternFill patternType="solid">
        <fgColor theme="2" tint="-0.249977111117893"/>
        <bgColor indexed="64"/>
      </patternFill>
    </fill>
    <fill>
      <patternFill patternType="solid">
        <fgColor theme="6" tint="0.39997558519241921"/>
        <bgColor indexed="64"/>
      </patternFill>
    </fill>
    <fill>
      <patternFill patternType="solid">
        <fgColor rgb="FFFBE2D5"/>
        <bgColor rgb="FF000000"/>
      </patternFill>
    </fill>
    <fill>
      <patternFill patternType="solid">
        <fgColor rgb="FFFFC000"/>
        <bgColor indexed="64"/>
      </patternFill>
    </fill>
  </fills>
  <borders count="158">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bottom style="medium">
        <color indexed="18"/>
      </bottom>
      <diagonal/>
    </border>
    <border>
      <left/>
      <right/>
      <top/>
      <bottom style="thin">
        <color indexed="8"/>
      </bottom>
      <diagonal/>
    </border>
    <border>
      <left style="hair">
        <color indexed="64"/>
      </left>
      <right style="hair">
        <color indexed="64"/>
      </right>
      <top style="hair">
        <color indexed="64"/>
      </top>
      <bottom style="hair">
        <color indexed="64"/>
      </bottom>
      <diagonal/>
    </border>
    <border>
      <left style="thin">
        <color rgb="FF0000FF"/>
      </left>
      <right style="thin">
        <color rgb="FF0000FF"/>
      </right>
      <top style="thin">
        <color rgb="FF0000FF"/>
      </top>
      <bottom style="double">
        <color rgb="FF0000FF"/>
      </bottom>
      <diagonal/>
    </border>
    <border>
      <left style="thin">
        <color auto="1"/>
      </left>
      <right style="thin">
        <color auto="1"/>
      </right>
      <top style="double">
        <color auto="1"/>
      </top>
      <bottom style="double">
        <color auto="1"/>
      </bottom>
      <diagonal/>
    </border>
    <border>
      <left/>
      <right/>
      <top/>
      <bottom style="medium">
        <color indexed="64"/>
      </bottom>
      <diagonal/>
    </border>
    <border>
      <left/>
      <right/>
      <top/>
      <bottom style="thick">
        <color indexed="64"/>
      </bottom>
      <diagonal/>
    </border>
    <border>
      <left style="double">
        <color indexed="64"/>
      </left>
      <right/>
      <top/>
      <bottom style="hair">
        <color indexed="64"/>
      </bottom>
      <diagonal/>
    </border>
    <border>
      <left style="thin">
        <color indexed="9"/>
      </left>
      <right style="thin">
        <color indexed="9"/>
      </right>
      <top style="thin">
        <color indexed="9"/>
      </top>
      <bottom style="thin">
        <color indexed="9"/>
      </bottom>
      <diagonal/>
    </border>
    <border>
      <left/>
      <right/>
      <top/>
      <bottom style="medium">
        <color indexed="8"/>
      </bottom>
      <diagonal/>
    </border>
    <border>
      <left/>
      <right style="medium">
        <color indexed="9"/>
      </right>
      <top/>
      <bottom style="medium">
        <color indexed="9"/>
      </bottom>
      <diagonal/>
    </border>
    <border>
      <left style="medium">
        <color indexed="9"/>
      </left>
      <right style="medium">
        <color indexed="9"/>
      </right>
      <top/>
      <bottom/>
      <diagonal/>
    </border>
    <border>
      <left/>
      <right/>
      <top/>
      <bottom style="thin">
        <color indexed="2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right/>
      <top/>
      <bottom style="hair">
        <color indexed="64"/>
      </bottom>
      <diagonal/>
    </border>
    <border>
      <left/>
      <right/>
      <top/>
      <bottom style="double">
        <color indexed="64"/>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style="hair">
        <color indexed="64"/>
      </top>
      <bottom/>
      <diagonal/>
    </border>
    <border>
      <left style="thin">
        <color indexed="64"/>
      </left>
      <right style="thin">
        <color indexed="64"/>
      </right>
      <top/>
      <bottom style="hair">
        <color indexed="64"/>
      </bottom>
      <diagonal/>
    </border>
    <border>
      <left/>
      <right/>
      <top/>
      <bottom style="dotted">
        <color indexed="64"/>
      </bottom>
      <diagonal/>
    </border>
    <border>
      <left/>
      <right/>
      <top/>
      <bottom style="medium">
        <color indexed="63"/>
      </bottom>
      <diagonal/>
    </border>
    <border>
      <left/>
      <right/>
      <top/>
      <bottom style="thin">
        <color indexed="23"/>
      </bottom>
      <diagonal/>
    </border>
    <border>
      <left/>
      <right/>
      <top style="thick">
        <color indexed="17"/>
      </top>
      <bottom/>
      <diagonal/>
    </border>
    <border>
      <left/>
      <right/>
      <top/>
      <bottom style="thick">
        <color indexed="18"/>
      </bottom>
      <diagonal/>
    </border>
    <border>
      <left/>
      <right/>
      <top/>
      <bottom style="thin">
        <color indexed="18"/>
      </bottom>
      <diagonal/>
    </border>
    <border>
      <left style="dashed">
        <color auto="1"/>
      </left>
      <right style="dashed">
        <color auto="1"/>
      </right>
      <top style="dashed">
        <color auto="1"/>
      </top>
      <bottom style="dashed">
        <color auto="1"/>
      </bottom>
      <diagonal/>
    </border>
    <border>
      <left style="thin">
        <color indexed="22"/>
      </left>
      <right style="thin">
        <color indexed="22"/>
      </right>
      <top style="thin">
        <color indexed="22"/>
      </top>
      <bottom style="thin">
        <color indexed="22"/>
      </bottom>
      <diagonal/>
    </border>
    <border>
      <left style="hair">
        <color indexed="8"/>
      </left>
      <right style="hair">
        <color indexed="8"/>
      </right>
      <top style="hair">
        <color indexed="8"/>
      </top>
      <bottom style="hair">
        <color indexed="8"/>
      </bottom>
      <diagonal/>
    </border>
    <border>
      <left/>
      <right/>
      <top style="medium">
        <color indexed="64"/>
      </top>
      <bottom style="medium">
        <color indexed="64"/>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diagonal/>
    </border>
    <border>
      <left/>
      <right/>
      <top/>
      <bottom style="double">
        <color indexed="52"/>
      </bottom>
      <diagonal/>
    </border>
    <border>
      <left style="thin">
        <color indexed="64"/>
      </left>
      <right style="medium">
        <color indexed="64"/>
      </right>
      <top/>
      <bottom style="hair">
        <color indexed="64"/>
      </bottom>
      <diagonal/>
    </border>
    <border>
      <left style="thin">
        <color indexed="63"/>
      </left>
      <right style="thin">
        <color indexed="63"/>
      </right>
      <top style="thin">
        <color indexed="63"/>
      </top>
      <bottom style="thin">
        <color indexed="63"/>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medium">
        <color indexed="23"/>
      </top>
      <bottom style="medium">
        <color indexed="23"/>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diagonal/>
    </border>
    <border>
      <left/>
      <right/>
      <top style="thick">
        <color indexed="64"/>
      </top>
      <bottom style="thin">
        <color indexed="64"/>
      </bottom>
      <diagonal/>
    </border>
    <border>
      <left style="thin">
        <color indexed="8"/>
      </left>
      <right/>
      <top style="thin">
        <color indexed="8"/>
      </top>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indexed="64"/>
      </top>
      <bottom style="double">
        <color indexed="64"/>
      </bottom>
      <diagonal/>
    </border>
    <border>
      <left style="thin">
        <color indexed="8"/>
      </left>
      <right style="thin">
        <color indexed="8"/>
      </right>
      <top style="double">
        <color indexed="8"/>
      </top>
      <bottom style="thin">
        <color indexed="8"/>
      </bottom>
      <diagonal/>
    </border>
    <border>
      <left style="thick">
        <color indexed="64"/>
      </left>
      <right style="thin">
        <color indexed="64"/>
      </right>
      <top/>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thick">
        <color indexed="27"/>
      </bottom>
      <diagonal/>
    </border>
    <border>
      <left/>
      <right/>
      <top/>
      <bottom style="medium">
        <color indexed="27"/>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ck">
        <color rgb="FF000099"/>
      </left>
      <right/>
      <top style="thick">
        <color rgb="FF000099"/>
      </top>
      <bottom/>
      <diagonal/>
    </border>
    <border>
      <left/>
      <right/>
      <top style="thick">
        <color rgb="FF000099"/>
      </top>
      <bottom/>
      <diagonal/>
    </border>
    <border>
      <left/>
      <right style="thick">
        <color rgb="FF000099"/>
      </right>
      <top style="thick">
        <color rgb="FF000099"/>
      </top>
      <bottom/>
      <diagonal/>
    </border>
    <border>
      <left style="thick">
        <color rgb="FF000099"/>
      </left>
      <right/>
      <top/>
      <bottom/>
      <diagonal/>
    </border>
    <border>
      <left/>
      <right style="thick">
        <color rgb="FF000099"/>
      </right>
      <top/>
      <bottom/>
      <diagonal/>
    </border>
    <border>
      <left style="thick">
        <color rgb="FF000099"/>
      </left>
      <right/>
      <top/>
      <bottom style="thick">
        <color rgb="FF000099"/>
      </bottom>
      <diagonal/>
    </border>
    <border>
      <left/>
      <right/>
      <top/>
      <bottom style="thick">
        <color rgb="FF000099"/>
      </bottom>
      <diagonal/>
    </border>
    <border>
      <left/>
      <right style="thick">
        <color rgb="FF000099"/>
      </right>
      <top/>
      <bottom style="thick">
        <color rgb="FF000099"/>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double">
        <color indexed="64"/>
      </bottom>
      <diagonal/>
    </border>
    <border>
      <left/>
      <right/>
      <top/>
      <bottom style="thick">
        <color theme="0"/>
      </bottom>
      <diagonal/>
    </border>
    <border>
      <left/>
      <right style="thin">
        <color indexed="64"/>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bottom style="thin">
        <color indexed="64"/>
      </bottom>
      <diagonal/>
    </border>
    <border>
      <left/>
      <right/>
      <top style="double">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dotted">
        <color auto="1"/>
      </right>
      <top style="thin">
        <color indexed="64"/>
      </top>
      <bottom style="dotted">
        <color auto="1"/>
      </bottom>
      <diagonal/>
    </border>
    <border>
      <left style="dotted">
        <color auto="1"/>
      </left>
      <right style="thin">
        <color indexed="64"/>
      </right>
      <top style="thin">
        <color indexed="64"/>
      </top>
      <bottom style="dotted">
        <color auto="1"/>
      </bottom>
      <diagonal/>
    </border>
    <border>
      <left style="thin">
        <color indexed="64"/>
      </left>
      <right style="dotted">
        <color auto="1"/>
      </right>
      <top style="dotted">
        <color auto="1"/>
      </top>
      <bottom style="dotted">
        <color auto="1"/>
      </bottom>
      <diagonal/>
    </border>
    <border>
      <left style="dotted">
        <color auto="1"/>
      </left>
      <right style="thin">
        <color indexed="64"/>
      </right>
      <top style="dotted">
        <color auto="1"/>
      </top>
      <bottom style="dotted">
        <color auto="1"/>
      </bottom>
      <diagonal/>
    </border>
    <border>
      <left style="thin">
        <color indexed="64"/>
      </left>
      <right style="dotted">
        <color auto="1"/>
      </right>
      <top style="dotted">
        <color auto="1"/>
      </top>
      <bottom style="thin">
        <color indexed="64"/>
      </bottom>
      <diagonal/>
    </border>
    <border>
      <left style="dotted">
        <color auto="1"/>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style="dotted">
        <color auto="1"/>
      </right>
      <top style="dotted">
        <color auto="1"/>
      </top>
      <bottom/>
      <diagonal/>
    </border>
    <border>
      <left style="thin">
        <color indexed="64"/>
      </left>
      <right style="thin">
        <color indexed="64"/>
      </right>
      <top style="thin">
        <color indexed="64"/>
      </top>
      <bottom style="dotted">
        <color auto="1"/>
      </bottom>
      <diagonal/>
    </border>
    <border>
      <left style="thin">
        <color indexed="64"/>
      </left>
      <right style="thin">
        <color indexed="64"/>
      </right>
      <top style="dotted">
        <color auto="1"/>
      </top>
      <bottom style="dotted">
        <color auto="1"/>
      </bottom>
      <diagonal/>
    </border>
    <border>
      <left style="thin">
        <color indexed="64"/>
      </left>
      <right style="thin">
        <color indexed="64"/>
      </right>
      <top style="dotted">
        <color auto="1"/>
      </top>
      <bottom/>
      <diagonal/>
    </border>
  </borders>
  <cellStyleXfs count="5351">
    <xf numFmtId="0" fontId="0" fillId="0" borderId="0"/>
    <xf numFmtId="9" fontId="37" fillId="0" borderId="0" applyFont="0" applyFill="0" applyBorder="0" applyAlignment="0" applyProtection="0"/>
    <xf numFmtId="0" fontId="32" fillId="0" borderId="0"/>
    <xf numFmtId="4" fontId="335" fillId="4" borderId="1" applyNumberFormat="0" applyProtection="0">
      <alignment horizontal="center" vertical="center" wrapText="1"/>
    </xf>
    <xf numFmtId="4" fontId="40" fillId="5" borderId="1" applyNumberFormat="0" applyProtection="0">
      <alignment horizontal="center" vertical="center" wrapText="1"/>
    </xf>
    <xf numFmtId="9" fontId="34" fillId="0" borderId="0" applyFont="0" applyFill="0" applyBorder="0" applyAlignment="0" applyProtection="0"/>
    <xf numFmtId="0" fontId="42" fillId="6" borderId="1" applyProtection="0">
      <alignment horizontal="left" vertical="center" wrapText="1"/>
    </xf>
    <xf numFmtId="3" fontId="44" fillId="0" borderId="1" applyNumberFormat="0" applyFont="0" applyProtection="0">
      <alignment horizontal="center" vertical="center" wrapText="1"/>
    </xf>
    <xf numFmtId="178" fontId="32" fillId="0" borderId="0" applyFont="0" applyFill="0" applyBorder="0" applyAlignment="0" applyProtection="0"/>
    <xf numFmtId="43" fontId="32" fillId="0" borderId="0" applyFont="0" applyFill="0" applyBorder="0" applyAlignment="0" applyProtection="0"/>
    <xf numFmtId="9" fontId="32" fillId="0" borderId="0" applyFont="0" applyFill="0" applyBorder="0" applyAlignment="0" applyProtection="0"/>
    <xf numFmtId="0" fontId="45" fillId="0" borderId="0" applyNumberFormat="0" applyFill="0" applyBorder="0" applyAlignment="0" applyProtection="0"/>
    <xf numFmtId="0" fontId="34" fillId="0" borderId="0"/>
    <xf numFmtId="165" fontId="46" fillId="0" borderId="0" applyFont="0" applyFill="0" applyBorder="0" applyAlignment="0" applyProtection="0"/>
    <xf numFmtId="168" fontId="46" fillId="0" borderId="0" applyFont="0" applyFill="0" applyBorder="0" applyAlignment="0" applyProtection="0"/>
    <xf numFmtId="9" fontId="46" fillId="0" borderId="0" applyFont="0" applyFill="0" applyBorder="0" applyAlignment="0" applyProtection="0"/>
    <xf numFmtId="9" fontId="47" fillId="7" borderId="4">
      <alignment horizontal="right" vertical="center"/>
    </xf>
    <xf numFmtId="0" fontId="48" fillId="0" borderId="0" applyBorder="0"/>
    <xf numFmtId="10" fontId="46" fillId="0" borderId="0" applyFont="0" applyFill="0" applyBorder="0" applyAlignment="0" applyProtection="0"/>
    <xf numFmtId="0" fontId="34" fillId="0" borderId="0" applyNumberFormat="0" applyFont="0" applyFill="0" applyBorder="0" applyAlignment="0" applyProtection="0"/>
    <xf numFmtId="39" fontId="49" fillId="0" borderId="0" applyFill="0" applyBorder="0" applyAlignment="0"/>
    <xf numFmtId="172" fontId="50" fillId="0" borderId="0" applyFont="0" applyFill="0" applyBorder="0" applyAlignment="0"/>
    <xf numFmtId="180" fontId="34" fillId="0" borderId="0" applyFont="0" applyFill="0" applyBorder="0" applyAlignment="0" applyProtection="0"/>
    <xf numFmtId="181" fontId="34" fillId="0" borderId="0" applyFont="0" applyFill="0" applyBorder="0" applyAlignment="0" applyProtection="0"/>
    <xf numFmtId="40" fontId="51" fillId="0" borderId="0" applyFont="0" applyFill="0" applyBorder="0" applyAlignment="0" applyProtection="0"/>
    <xf numFmtId="0" fontId="52" fillId="0" borderId="0" applyNumberFormat="0" applyFill="0" applyBorder="0" applyAlignment="0" applyProtection="0">
      <alignment vertical="top"/>
      <protection locked="0"/>
    </xf>
    <xf numFmtId="38" fontId="51" fillId="0" borderId="0" applyFont="0" applyFill="0" applyBorder="0" applyAlignment="0" applyProtection="0"/>
    <xf numFmtId="0" fontId="53" fillId="0" borderId="0"/>
    <xf numFmtId="182" fontId="54" fillId="0" borderId="0" applyFont="0" applyFill="0" applyBorder="0" applyAlignment="0" applyProtection="0"/>
    <xf numFmtId="0" fontId="55" fillId="0" borderId="0" applyFont="0" applyAlignment="0">
      <alignment horizontal="center" vertical="center"/>
    </xf>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43" fontId="50" fillId="0" borderId="0"/>
    <xf numFmtId="43" fontId="50" fillId="0" borderId="0"/>
    <xf numFmtId="0" fontId="34" fillId="0" borderId="0" applyFont="0" applyFill="0" applyBorder="0" applyAlignment="0" applyProtection="0"/>
    <xf numFmtId="0" fontId="34" fillId="0" borderId="0" applyFont="0" applyFill="0" applyBorder="0" applyAlignment="0" applyProtection="0"/>
    <xf numFmtId="0" fontId="34" fillId="8" borderId="0"/>
    <xf numFmtId="183" fontId="34" fillId="0" borderId="0" applyFont="0" applyFill="0" applyBorder="0" applyAlignment="0" applyProtection="0"/>
    <xf numFmtId="0" fontId="56" fillId="0" borderId="0" applyNumberFormat="0" applyFill="0" applyBorder="0" applyAlignment="0" applyProtection="0"/>
    <xf numFmtId="0" fontId="34" fillId="0" borderId="0">
      <alignment vertical="top"/>
    </xf>
    <xf numFmtId="184" fontId="34" fillId="0" borderId="0" applyFont="0" applyFill="0" applyBorder="0" applyAlignment="0" applyProtection="0"/>
    <xf numFmtId="185" fontId="34" fillId="0" borderId="0" applyFont="0" applyFill="0" applyBorder="0" applyAlignment="0" applyProtection="0"/>
    <xf numFmtId="184" fontId="57" fillId="0" borderId="0" applyFont="0" applyFill="0" applyBorder="0" applyAlignment="0" applyProtection="0"/>
    <xf numFmtId="14" fontId="50" fillId="0" borderId="0" applyFont="0" applyFill="0" applyBorder="0" applyAlignment="0" applyProtection="0"/>
    <xf numFmtId="14" fontId="50" fillId="0" borderId="0" applyFont="0" applyFill="0" applyBorder="0" applyAlignment="0" applyProtection="0"/>
    <xf numFmtId="0" fontId="34" fillId="0" borderId="0" applyFont="0" applyFill="0" applyBorder="0" applyAlignment="0" applyProtection="0"/>
    <xf numFmtId="14" fontId="50" fillId="0" borderId="0" applyFont="0" applyFill="0" applyBorder="0" applyAlignment="0" applyProtection="0"/>
    <xf numFmtId="14" fontId="50" fillId="0" borderId="0" applyFont="0" applyFill="0" applyBorder="0" applyAlignment="0" applyProtection="0"/>
    <xf numFmtId="0" fontId="36" fillId="0" borderId="0" applyFont="0" applyFill="0" applyBorder="0" applyAlignment="0" applyProtection="0"/>
    <xf numFmtId="0" fontId="34" fillId="0" borderId="0" applyFont="0" applyFill="0" applyBorder="0" applyAlignment="0" applyProtection="0"/>
    <xf numFmtId="185" fontId="34" fillId="0" borderId="0" applyFont="0" applyFill="0" applyBorder="0" applyAlignment="0" applyProtection="0"/>
    <xf numFmtId="186" fontId="50" fillId="0" borderId="0" applyFont="0" applyFill="0" applyBorder="0" applyAlignment="0" applyProtection="0"/>
    <xf numFmtId="37" fontId="50" fillId="0" borderId="0" applyFont="0" applyFill="0" applyBorder="0" applyAlignment="0" applyProtection="0"/>
    <xf numFmtId="184" fontId="58" fillId="0" borderId="0" applyFont="0" applyFill="0" applyBorder="0" applyAlignment="0" applyProtection="0"/>
    <xf numFmtId="186" fontId="50" fillId="0" borderId="0" applyFont="0" applyFill="0" applyBorder="0" applyAlignment="0" applyProtection="0"/>
    <xf numFmtId="37" fontId="50" fillId="0" borderId="0" applyFont="0" applyFill="0" applyBorder="0" applyAlignment="0" applyProtection="0"/>
    <xf numFmtId="39" fontId="34" fillId="0" borderId="0" applyFont="0" applyFill="0" applyBorder="0" applyAlignment="0" applyProtection="0"/>
    <xf numFmtId="183" fontId="34" fillId="0" borderId="0" applyFont="0" applyFill="0" applyBorder="0" applyAlignment="0" applyProtection="0"/>
    <xf numFmtId="183" fontId="34" fillId="0" borderId="0" applyFont="0" applyFill="0" applyBorder="0" applyAlignment="0" applyProtection="0"/>
    <xf numFmtId="187" fontId="57" fillId="0" borderId="0" applyFont="0" applyFill="0" applyBorder="0" applyAlignment="0" applyProtection="0"/>
    <xf numFmtId="188" fontId="34" fillId="0" borderId="0" applyFont="0" applyFill="0" applyBorder="0" applyAlignment="0" applyProtection="0"/>
    <xf numFmtId="182" fontId="54" fillId="0" borderId="0" applyFont="0" applyFill="0" applyBorder="0" applyAlignment="0" applyProtection="0"/>
    <xf numFmtId="38" fontId="59" fillId="0" borderId="0" applyFont="0" applyFill="0" applyBorder="0" applyAlignment="0" applyProtection="0"/>
    <xf numFmtId="189" fontId="34" fillId="0" borderId="0" applyFont="0" applyFill="0" applyBorder="0" applyAlignment="0" applyProtection="0"/>
    <xf numFmtId="190" fontId="34" fillId="0" borderId="0" applyFill="0" applyBorder="0" applyAlignment="0" applyProtection="0"/>
    <xf numFmtId="190" fontId="34" fillId="0" borderId="0" applyFont="0" applyFill="0" applyBorder="0" applyAlignment="0" applyProtection="0"/>
    <xf numFmtId="41" fontId="54" fillId="0" borderId="0" applyFont="0" applyFill="0" applyBorder="0" applyAlignment="0" applyProtection="0"/>
    <xf numFmtId="182" fontId="34" fillId="0" borderId="0" applyFill="0" applyBorder="0" applyAlignment="0" applyProtection="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60" fillId="0" borderId="0"/>
    <xf numFmtId="0" fontId="60" fillId="0" borderId="0"/>
    <xf numFmtId="0" fontId="50" fillId="0" borderId="0"/>
    <xf numFmtId="0" fontId="61" fillId="0" borderId="0" applyNumberFormat="0" applyFill="0" applyBorder="0" applyAlignment="0" applyProtection="0"/>
    <xf numFmtId="0" fontId="57" fillId="9" borderId="0" applyNumberFormat="0" applyFont="0" applyAlignment="0" applyProtection="0"/>
    <xf numFmtId="0" fontId="60" fillId="0" borderId="0"/>
    <xf numFmtId="182" fontId="34" fillId="0" borderId="0" applyFill="0" applyBorder="0" applyAlignment="0" applyProtection="0"/>
    <xf numFmtId="191" fontId="34" fillId="0" borderId="0" applyFont="0" applyFill="0" applyBorder="0" applyAlignment="0" applyProtection="0"/>
    <xf numFmtId="38" fontId="59" fillId="0" borderId="0" applyFont="0" applyFill="0" applyBorder="0" applyAlignment="0" applyProtection="0"/>
    <xf numFmtId="182" fontId="54" fillId="0" borderId="0" applyFont="0" applyFill="0" applyBorder="0" applyAlignment="0" applyProtection="0"/>
    <xf numFmtId="189" fontId="54" fillId="0" borderId="0" applyFont="0" applyFill="0" applyBorder="0" applyAlignment="0" applyProtection="0"/>
    <xf numFmtId="190" fontId="34" fillId="0" borderId="0" applyFont="0" applyFill="0" applyBorder="0" applyAlignment="0" applyProtection="0"/>
    <xf numFmtId="190" fontId="34" fillId="0" borderId="0" applyFill="0" applyBorder="0" applyAlignment="0" applyProtection="0"/>
    <xf numFmtId="0" fontId="34" fillId="0" borderId="0" applyFont="0" applyFill="0" applyBorder="0" applyAlignment="0" applyProtection="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pplyNumberFormat="0" applyFill="0" applyBorder="0" applyAlignment="0" applyProtection="0"/>
    <xf numFmtId="0" fontId="34" fillId="0" borderId="0" applyFont="0" applyFill="0" applyBorder="0" applyAlignment="0" applyProtection="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pplyFon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Font="0" applyFill="0" applyBorder="0" applyAlignment="0" applyProtection="0"/>
    <xf numFmtId="0" fontId="34" fillId="0" borderId="0" applyNumberFormat="0" applyFill="0" applyBorder="0" applyAlignment="0" applyProtection="0"/>
    <xf numFmtId="192" fontId="34" fillId="0" borderId="0" applyFont="0" applyFill="0" applyBorder="0" applyAlignment="0" applyProtection="0"/>
    <xf numFmtId="192" fontId="34" fillId="0" borderId="0" applyFont="0" applyFill="0" applyBorder="0" applyAlignment="0" applyProtection="0"/>
    <xf numFmtId="193" fontId="58" fillId="0" borderId="0" applyFont="0" applyFill="0" applyBorder="0" applyAlignment="0" applyProtection="0"/>
    <xf numFmtId="194" fontId="50" fillId="0" borderId="0" applyFont="0" applyFill="0" applyBorder="0" applyAlignment="0" applyProtection="0"/>
    <xf numFmtId="192" fontId="34" fillId="0" borderId="0" applyFont="0" applyFill="0" applyBorder="0" applyAlignment="0" applyProtection="0"/>
    <xf numFmtId="194" fontId="50" fillId="0" borderId="0" applyFont="0" applyFill="0" applyBorder="0" applyAlignment="0" applyProtection="0"/>
    <xf numFmtId="0" fontId="34" fillId="0" borderId="0" applyFont="0" applyFill="0" applyBorder="0" applyAlignment="0" applyProtection="0"/>
    <xf numFmtId="194" fontId="50" fillId="0" borderId="0" applyFont="0" applyFill="0" applyBorder="0" applyAlignment="0" applyProtection="0"/>
    <xf numFmtId="195" fontId="36" fillId="0" borderId="0" applyFont="0" applyFill="0" applyBorder="0" applyAlignment="0" applyProtection="0"/>
    <xf numFmtId="196" fontId="50" fillId="0" borderId="0" applyFont="0" applyFill="0" applyBorder="0" applyAlignment="0" applyProtection="0"/>
    <xf numFmtId="197" fontId="50" fillId="0" borderId="0" applyFont="0" applyFill="0" applyBorder="0" applyAlignment="0" applyProtection="0"/>
    <xf numFmtId="198" fontId="36" fillId="0" borderId="0" applyFont="0" applyFill="0" applyBorder="0" applyAlignment="0" applyProtection="0"/>
    <xf numFmtId="199" fontId="50" fillId="0" borderId="0" applyFont="0" applyFill="0" applyBorder="0" applyAlignment="0" applyProtection="0"/>
    <xf numFmtId="192" fontId="58" fillId="0" borderId="0" applyFont="0" applyFill="0" applyBorder="0" applyAlignment="0" applyProtection="0"/>
    <xf numFmtId="199" fontId="50" fillId="0" borderId="0" applyFont="0" applyFill="0" applyBorder="0" applyAlignment="0" applyProtection="0"/>
    <xf numFmtId="200" fontId="34" fillId="0" borderId="0" applyFont="0" applyFill="0" applyBorder="0" applyAlignment="0" applyProtection="0"/>
    <xf numFmtId="201" fontId="50" fillId="0" borderId="0" applyFont="0" applyFill="0" applyBorder="0" applyAlignment="0" applyProtection="0"/>
    <xf numFmtId="201" fontId="50" fillId="0" borderId="0" applyFont="0" applyFill="0" applyBorder="0" applyAlignment="0" applyProtection="0"/>
    <xf numFmtId="0" fontId="50" fillId="0" borderId="0" applyFont="0" applyFill="0" applyBorder="0" applyAlignment="0" applyProtection="0"/>
    <xf numFmtId="0" fontId="34" fillId="0" borderId="0" applyFont="0" applyFill="0" applyBorder="0" applyAlignment="0" applyProtection="0"/>
    <xf numFmtId="201" fontId="50" fillId="0" borderId="0" applyFont="0" applyFill="0" applyBorder="0" applyAlignment="0" applyProtection="0"/>
    <xf numFmtId="202" fontId="36" fillId="0" borderId="0" applyFont="0" applyFill="0" applyBorder="0" applyAlignment="0" applyProtection="0"/>
    <xf numFmtId="203" fontId="50" fillId="0" borderId="0" applyFont="0" applyFill="0" applyBorder="0" applyAlignment="0" applyProtection="0"/>
    <xf numFmtId="204" fontId="50" fillId="0" borderId="0" applyFont="0" applyFill="0" applyBorder="0" applyAlignment="0" applyProtection="0"/>
    <xf numFmtId="205" fontId="50" fillId="0" borderId="0" applyFont="0" applyFill="0" applyBorder="0" applyAlignment="0" applyProtection="0"/>
    <xf numFmtId="205" fontId="50" fillId="0" borderId="0" applyFont="0" applyFill="0" applyBorder="0" applyAlignment="0" applyProtection="0"/>
    <xf numFmtId="0" fontId="34" fillId="0" borderId="0" applyNumberFormat="0" applyFill="0" applyBorder="0" applyAlignment="0" applyProtection="0"/>
    <xf numFmtId="0" fontId="34" fillId="0" borderId="0">
      <alignment vertical="top"/>
    </xf>
    <xf numFmtId="0" fontId="34" fillId="0" borderId="0">
      <alignment vertical="top"/>
    </xf>
    <xf numFmtId="0" fontId="34" fillId="0" borderId="0" applyNumberFormat="0" applyFill="0" applyBorder="0" applyAlignment="0" applyProtection="0"/>
    <xf numFmtId="0" fontId="60" fillId="0" borderId="0"/>
    <xf numFmtId="206" fontId="34" fillId="0" borderId="0" applyFont="0" applyFill="0" applyBorder="0" applyAlignment="0" applyProtection="0"/>
    <xf numFmtId="207" fontId="34" fillId="0" borderId="0" applyFont="0" applyFill="0" applyBorder="0" applyAlignment="0" applyProtection="0"/>
    <xf numFmtId="207" fontId="34" fillId="0" borderId="17" applyFont="0" applyFill="0" applyAlignment="0" applyProtection="0"/>
    <xf numFmtId="208" fontId="50" fillId="0" borderId="0" applyFont="0" applyFill="0" applyBorder="0" applyAlignment="0" applyProtection="0"/>
    <xf numFmtId="208" fontId="50" fillId="0" borderId="0" applyFont="0" applyFill="0" applyBorder="0" applyAlignment="0" applyProtection="0"/>
    <xf numFmtId="0" fontId="34" fillId="0" borderId="0" applyFont="0" applyFill="0" applyBorder="0" applyAlignment="0" applyProtection="0"/>
    <xf numFmtId="208" fontId="50" fillId="0" borderId="0" applyFont="0" applyFill="0" applyBorder="0" applyAlignment="0" applyProtection="0"/>
    <xf numFmtId="209" fontId="50" fillId="0" borderId="0" applyFont="0" applyFill="0" applyBorder="0" applyAlignment="0" applyProtection="0"/>
    <xf numFmtId="210" fontId="50" fillId="0" borderId="0" applyFont="0" applyFill="0" applyBorder="0" applyAlignment="0" applyProtection="0"/>
    <xf numFmtId="211" fontId="50" fillId="0" borderId="0" applyFont="0" applyFill="0" applyBorder="0" applyAlignment="0" applyProtection="0"/>
    <xf numFmtId="211" fontId="50" fillId="0" borderId="0" applyFont="0" applyFill="0" applyBorder="0" applyAlignment="0" applyProtection="0"/>
    <xf numFmtId="212" fontId="34" fillId="0" borderId="0" applyFont="0" applyFill="0" applyBorder="0" applyAlignment="0" applyProtection="0"/>
    <xf numFmtId="213" fontId="50" fillId="0" borderId="0" applyFont="0" applyFill="0" applyBorder="0" applyAlignment="0" applyProtection="0"/>
    <xf numFmtId="213" fontId="50" fillId="0" borderId="0" applyFont="0" applyFill="0" applyBorder="0" applyAlignment="0" applyProtection="0"/>
    <xf numFmtId="0" fontId="34" fillId="0" borderId="0" applyFont="0" applyFill="0" applyBorder="0" applyAlignment="0" applyProtection="0"/>
    <xf numFmtId="213" fontId="50" fillId="0" borderId="0" applyFont="0" applyFill="0" applyBorder="0" applyAlignment="0" applyProtection="0"/>
    <xf numFmtId="214" fontId="36" fillId="0" borderId="0" applyFont="0" applyFill="0" applyBorder="0" applyAlignment="0" applyProtection="0"/>
    <xf numFmtId="215" fontId="50" fillId="0" borderId="0" applyFont="0" applyFill="0" applyBorder="0" applyAlignment="0" applyProtection="0"/>
    <xf numFmtId="37" fontId="50" fillId="0" borderId="0" applyFont="0" applyFill="0" applyBorder="0" applyAlignment="0" applyProtection="0"/>
    <xf numFmtId="216" fontId="50" fillId="0" borderId="0" applyFont="0" applyFill="0" applyBorder="0" applyAlignment="0" applyProtection="0"/>
    <xf numFmtId="173" fontId="50" fillId="0" borderId="0" applyFont="0" applyFill="0" applyBorder="0" applyAlignment="0" applyProtection="0"/>
    <xf numFmtId="173" fontId="50" fillId="0" borderId="0" applyFont="0" applyFill="0" applyBorder="0" applyAlignment="0" applyProtection="0"/>
    <xf numFmtId="0" fontId="34" fillId="0" borderId="0"/>
    <xf numFmtId="0" fontId="34" fillId="0" borderId="0"/>
    <xf numFmtId="0" fontId="34" fillId="0" borderId="0" applyFont="0" applyFill="0" applyBorder="0" applyAlignment="0" applyProtection="0"/>
    <xf numFmtId="0" fontId="62" fillId="0" borderId="0" applyNumberFormat="0" applyFill="0" applyBorder="0" applyAlignment="0" applyProtection="0"/>
    <xf numFmtId="0" fontId="34" fillId="0" borderId="0" applyFon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3" fillId="10" borderId="0" applyNumberFormat="0" applyBorder="0" applyAlignment="0" applyProtection="0"/>
    <xf numFmtId="0" fontId="65" fillId="0" borderId="17" applyNumberFormat="0" applyFill="0" applyProtection="0">
      <alignment horizontal="center"/>
    </xf>
    <xf numFmtId="0" fontId="65" fillId="0" borderId="17" applyNumberFormat="0" applyFill="0" applyProtection="0">
      <alignment horizontal="centerContinuous"/>
    </xf>
    <xf numFmtId="0" fontId="57" fillId="0" borderId="18" applyNumberFormat="0" applyFont="0" applyFill="0" applyAlignment="0" applyProtection="0"/>
    <xf numFmtId="0" fontId="65" fillId="0" borderId="0" applyNumberFormat="0" applyFill="0" applyBorder="0" applyProtection="0">
      <alignment horizontal="left"/>
    </xf>
    <xf numFmtId="0" fontId="66" fillId="0" borderId="0" applyNumberFormat="0" applyFill="0" applyBorder="0" applyProtection="0">
      <alignment horizontal="centerContinuous"/>
    </xf>
    <xf numFmtId="0" fontId="34" fillId="0" borderId="0">
      <alignment vertical="top"/>
    </xf>
    <xf numFmtId="0" fontId="34" fillId="0" borderId="0">
      <alignment vertical="top"/>
    </xf>
    <xf numFmtId="217" fontId="67" fillId="0" borderId="0" applyFont="0" applyFill="0" applyBorder="0" applyAlignment="0" applyProtection="0"/>
    <xf numFmtId="218" fontId="67" fillId="0" borderId="0" applyFont="0" applyFill="0" applyBorder="0" applyAlignment="0" applyProtection="0"/>
    <xf numFmtId="0" fontId="60" fillId="0" borderId="0"/>
    <xf numFmtId="190" fontId="54" fillId="0" borderId="0" applyFont="0" applyFill="0" applyBorder="0" applyAlignment="0" applyProtection="0"/>
    <xf numFmtId="219" fontId="34" fillId="0" borderId="0">
      <alignment horizontal="center" wrapText="1"/>
    </xf>
    <xf numFmtId="171" fontId="59" fillId="0" borderId="0"/>
    <xf numFmtId="220" fontId="34" fillId="0" borderId="0">
      <alignment horizontal="left"/>
      <protection locked="0"/>
    </xf>
    <xf numFmtId="221" fontId="59" fillId="0" borderId="0"/>
    <xf numFmtId="171" fontId="59" fillId="0" borderId="0"/>
    <xf numFmtId="2" fontId="59" fillId="0" borderId="0"/>
    <xf numFmtId="10" fontId="59" fillId="0" borderId="0"/>
    <xf numFmtId="1" fontId="59" fillId="0" borderId="0"/>
    <xf numFmtId="1" fontId="68" fillId="0" borderId="0"/>
    <xf numFmtId="1" fontId="68" fillId="0" borderId="0"/>
    <xf numFmtId="1" fontId="69" fillId="0" borderId="0"/>
    <xf numFmtId="1" fontId="59" fillId="0" borderId="0"/>
    <xf numFmtId="1" fontId="70" fillId="0" borderId="0"/>
    <xf numFmtId="38" fontId="50" fillId="0" borderId="19"/>
    <xf numFmtId="0" fontId="71" fillId="6" borderId="1" applyNumberFormat="0" applyFont="0" applyProtection="0">
      <alignment horizontal="center" vertical="center" wrapText="1"/>
    </xf>
    <xf numFmtId="0" fontId="72" fillId="11" borderId="1" applyProtection="0">
      <alignment horizontal="left" vertical="center"/>
    </xf>
    <xf numFmtId="0" fontId="73" fillId="6" borderId="20" applyNumberFormat="0" applyProtection="0">
      <alignment horizontal="center" vertical="center" wrapText="1"/>
    </xf>
    <xf numFmtId="0" fontId="71" fillId="0" borderId="21" applyNumberFormat="0" applyProtection="0">
      <alignment horizontal="center" vertical="center" wrapText="1"/>
    </xf>
    <xf numFmtId="0" fontId="71" fillId="0" borderId="21" applyNumberFormat="0" applyProtection="0">
      <alignment horizontal="center" vertical="center" wrapText="1"/>
    </xf>
    <xf numFmtId="171" fontId="48" fillId="0" borderId="0"/>
    <xf numFmtId="9" fontId="74" fillId="0" borderId="0" applyFont="0" applyFill="0" applyBorder="0" applyAlignment="0" applyProtection="0"/>
    <xf numFmtId="0" fontId="75" fillId="12" borderId="9" applyNumberFormat="0" applyFill="0" applyBorder="0" applyAlignment="0">
      <alignment horizontal="left"/>
    </xf>
    <xf numFmtId="0" fontId="33" fillId="12" borderId="0" applyNumberFormat="0" applyFill="0" applyBorder="0" applyAlignment="0"/>
    <xf numFmtId="0" fontId="76" fillId="13" borderId="9" applyNumberFormat="0" applyFill="0" applyBorder="0" applyAlignment="0">
      <alignment horizontal="left"/>
    </xf>
    <xf numFmtId="0" fontId="77" fillId="14" borderId="0" applyNumberFormat="0" applyFill="0" applyBorder="0" applyAlignment="0"/>
    <xf numFmtId="0" fontId="78" fillId="0" borderId="0" applyNumberFormat="0" applyFill="0" applyBorder="0" applyAlignment="0"/>
    <xf numFmtId="0" fontId="79" fillId="0" borderId="22" applyNumberFormat="0" applyFill="0" applyBorder="0" applyAlignment="0">
      <alignment horizontal="left"/>
    </xf>
    <xf numFmtId="0" fontId="34" fillId="0" borderId="23" applyNumberFormat="0" applyFont="0" applyFill="0" applyBorder="0" applyAlignment="0">
      <alignment horizontal="left"/>
    </xf>
    <xf numFmtId="0" fontId="80" fillId="15" borderId="2" applyNumberFormat="0" applyFill="0" applyBorder="0" applyAlignment="0">
      <alignment horizontal="centerContinuous"/>
    </xf>
    <xf numFmtId="0" fontId="81" fillId="0" borderId="0" applyNumberFormat="0" applyFill="0" applyBorder="0" applyAlignment="0"/>
    <xf numFmtId="0" fontId="81" fillId="16" borderId="16" applyNumberFormat="0" applyFill="0" applyBorder="0" applyAlignment="0"/>
    <xf numFmtId="0" fontId="82" fillId="0" borderId="22" applyNumberFormat="0" applyFill="0" applyBorder="0" applyAlignment="0"/>
    <xf numFmtId="0" fontId="81" fillId="0" borderId="0" applyNumberFormat="0" applyFill="0" applyBorder="0" applyAlignment="0"/>
    <xf numFmtId="0"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7" borderId="0" applyNumberFormat="0" applyBorder="0" applyAlignment="0" applyProtection="0"/>
    <xf numFmtId="222" fontId="83" fillId="17" borderId="0" applyNumberFormat="0" applyBorder="0" applyAlignment="0" applyProtection="0"/>
    <xf numFmtId="222" fontId="83" fillId="17"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19" borderId="0" applyNumberFormat="0" applyBorder="0" applyAlignment="0" applyProtection="0"/>
    <xf numFmtId="222" fontId="83" fillId="19" borderId="0" applyNumberFormat="0" applyBorder="0" applyAlignment="0" applyProtection="0"/>
    <xf numFmtId="222" fontId="83" fillId="19"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1" borderId="0" applyNumberFormat="0" applyBorder="0" applyAlignment="0" applyProtection="0"/>
    <xf numFmtId="222" fontId="83" fillId="21" borderId="0" applyNumberFormat="0" applyBorder="0" applyAlignment="0" applyProtection="0"/>
    <xf numFmtId="222" fontId="83" fillId="21"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3" fontId="83" fillId="18"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24" borderId="0" applyNumberFormat="0" applyBorder="0" applyAlignment="0" applyProtection="0"/>
    <xf numFmtId="222" fontId="83" fillId="24" borderId="0" applyNumberFormat="0" applyBorder="0" applyAlignment="0" applyProtection="0"/>
    <xf numFmtId="222" fontId="83" fillId="24"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3" fontId="83" fillId="22"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3" fontId="83" fillId="18" borderId="0" applyNumberFormat="0" applyBorder="0" applyAlignment="0" applyProtection="0"/>
    <xf numFmtId="222" fontId="83" fillId="18" borderId="0" applyNumberFormat="0" applyBorder="0" applyAlignment="0" applyProtection="0"/>
    <xf numFmtId="222" fontId="83" fillId="18" borderId="0" applyNumberFormat="0" applyBorder="0" applyAlignment="0" applyProtection="0"/>
    <xf numFmtId="224" fontId="84" fillId="25" borderId="0" applyNumberFormat="0" applyBorder="0" applyAlignment="0" applyProtection="0">
      <alignment vertical="center"/>
    </xf>
    <xf numFmtId="224" fontId="84" fillId="25" borderId="0" applyNumberFormat="0" applyBorder="0" applyAlignment="0" applyProtection="0">
      <alignment vertical="center"/>
    </xf>
    <xf numFmtId="224" fontId="84" fillId="20" borderId="0" applyNumberFormat="0" applyBorder="0" applyAlignment="0" applyProtection="0">
      <alignment vertical="center"/>
    </xf>
    <xf numFmtId="224" fontId="84" fillId="20" borderId="0" applyNumberFormat="0" applyBorder="0" applyAlignment="0" applyProtection="0">
      <alignment vertical="center"/>
    </xf>
    <xf numFmtId="224" fontId="84" fillId="22" borderId="0" applyNumberFormat="0" applyBorder="0" applyAlignment="0" applyProtection="0">
      <alignment vertical="center"/>
    </xf>
    <xf numFmtId="224" fontId="84" fillId="22" borderId="0" applyNumberFormat="0" applyBorder="0" applyAlignment="0" applyProtection="0">
      <alignment vertical="center"/>
    </xf>
    <xf numFmtId="224" fontId="84" fillId="18" borderId="0" applyNumberFormat="0" applyBorder="0" applyAlignment="0" applyProtection="0">
      <alignment vertical="center"/>
    </xf>
    <xf numFmtId="224" fontId="84" fillId="18" borderId="0" applyNumberFormat="0" applyBorder="0" applyAlignment="0" applyProtection="0">
      <alignment vertical="center"/>
    </xf>
    <xf numFmtId="224" fontId="84" fillId="24" borderId="0" applyNumberFormat="0" applyBorder="0" applyAlignment="0" applyProtection="0">
      <alignment vertical="center"/>
    </xf>
    <xf numFmtId="224" fontId="84" fillId="24" borderId="0" applyNumberFormat="0" applyBorder="0" applyAlignment="0" applyProtection="0">
      <alignment vertical="center"/>
    </xf>
    <xf numFmtId="224" fontId="84" fillId="22" borderId="0" applyNumberFormat="0" applyBorder="0" applyAlignment="0" applyProtection="0">
      <alignment vertical="center"/>
    </xf>
    <xf numFmtId="224" fontId="84" fillId="22" borderId="0" applyNumberFormat="0" applyBorder="0" applyAlignment="0" applyProtection="0">
      <alignment vertical="center"/>
    </xf>
    <xf numFmtId="0" fontId="48" fillId="0" borderId="0"/>
    <xf numFmtId="40" fontId="48" fillId="0" borderId="0"/>
    <xf numFmtId="225" fontId="85" fillId="0" borderId="23" applyNumberFormat="0" applyFont="0" applyFill="0" applyBorder="0" applyAlignment="0"/>
    <xf numFmtId="226" fontId="86" fillId="0" borderId="0">
      <protection locked="0"/>
    </xf>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0" borderId="0" applyNumberFormat="0" applyBorder="0" applyAlignment="0" applyProtection="0"/>
    <xf numFmtId="222" fontId="83" fillId="20" borderId="0" applyNumberFormat="0" applyBorder="0" applyAlignment="0" applyProtection="0"/>
    <xf numFmtId="222" fontId="83" fillId="20"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7" borderId="0" applyNumberFormat="0" applyBorder="0" applyAlignment="0" applyProtection="0"/>
    <xf numFmtId="222" fontId="83" fillId="27" borderId="0" applyNumberFormat="0" applyBorder="0" applyAlignment="0" applyProtection="0"/>
    <xf numFmtId="222" fontId="83" fillId="27"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3" fontId="83" fillId="26"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3" borderId="0" applyNumberFormat="0" applyBorder="0" applyAlignment="0" applyProtection="0"/>
    <xf numFmtId="222" fontId="83" fillId="23" borderId="0" applyNumberFormat="0" applyBorder="0" applyAlignment="0" applyProtection="0"/>
    <xf numFmtId="222" fontId="83" fillId="23"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5" borderId="0" applyNumberFormat="0" applyBorder="0" applyAlignment="0" applyProtection="0"/>
    <xf numFmtId="222" fontId="83" fillId="25" borderId="0" applyNumberFormat="0" applyBorder="0" applyAlignment="0" applyProtection="0"/>
    <xf numFmtId="222" fontId="83" fillId="25"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3" fontId="83" fillId="9"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3" fontId="83" fillId="28" borderId="0" applyNumberFormat="0" applyBorder="0" applyAlignment="0" applyProtection="0"/>
    <xf numFmtId="222" fontId="83" fillId="28" borderId="0" applyNumberFormat="0" applyBorder="0" applyAlignment="0" applyProtection="0"/>
    <xf numFmtId="222" fontId="83" fillId="28" borderId="0" applyNumberFormat="0" applyBorder="0" applyAlignment="0" applyProtection="0"/>
    <xf numFmtId="224" fontId="84" fillId="24" borderId="0" applyNumberFormat="0" applyBorder="0" applyAlignment="0" applyProtection="0">
      <alignment vertical="center"/>
    </xf>
    <xf numFmtId="224" fontId="84" fillId="24" borderId="0" applyNumberFormat="0" applyBorder="0" applyAlignment="0" applyProtection="0">
      <alignment vertical="center"/>
    </xf>
    <xf numFmtId="224" fontId="84" fillId="20" borderId="0" applyNumberFormat="0" applyBorder="0" applyAlignment="0" applyProtection="0">
      <alignment vertical="center"/>
    </xf>
    <xf numFmtId="224" fontId="84" fillId="20" borderId="0" applyNumberFormat="0" applyBorder="0" applyAlignment="0" applyProtection="0">
      <alignment vertical="center"/>
    </xf>
    <xf numFmtId="224" fontId="84" fillId="22" borderId="0" applyNumberFormat="0" applyBorder="0" applyAlignment="0" applyProtection="0">
      <alignment vertical="center"/>
    </xf>
    <xf numFmtId="224" fontId="84" fillId="22" borderId="0" applyNumberFormat="0" applyBorder="0" applyAlignment="0" applyProtection="0">
      <alignment vertical="center"/>
    </xf>
    <xf numFmtId="224" fontId="84" fillId="26" borderId="0" applyNumberFormat="0" applyBorder="0" applyAlignment="0" applyProtection="0">
      <alignment vertical="center"/>
    </xf>
    <xf numFmtId="224" fontId="84" fillId="26" borderId="0" applyNumberFormat="0" applyBorder="0" applyAlignment="0" applyProtection="0">
      <alignment vertical="center"/>
    </xf>
    <xf numFmtId="224" fontId="84" fillId="24" borderId="0" applyNumberFormat="0" applyBorder="0" applyAlignment="0" applyProtection="0">
      <alignment vertical="center"/>
    </xf>
    <xf numFmtId="224" fontId="84" fillId="24" borderId="0" applyNumberFormat="0" applyBorder="0" applyAlignment="0" applyProtection="0">
      <alignment vertical="center"/>
    </xf>
    <xf numFmtId="224" fontId="84" fillId="22" borderId="0" applyNumberFormat="0" applyBorder="0" applyAlignment="0" applyProtection="0">
      <alignment vertical="center"/>
    </xf>
    <xf numFmtId="224" fontId="84" fillId="22" borderId="0" applyNumberFormat="0" applyBorder="0" applyAlignment="0" applyProtection="0">
      <alignment vertical="center"/>
    </xf>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9" borderId="0" applyNumberFormat="0" applyBorder="0" applyAlignment="0" applyProtection="0"/>
    <xf numFmtId="222" fontId="87" fillId="29" borderId="0" applyNumberFormat="0" applyBorder="0" applyAlignment="0" applyProtection="0"/>
    <xf numFmtId="222" fontId="87" fillId="29"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0" borderId="0" applyNumberFormat="0" applyBorder="0" applyAlignment="0" applyProtection="0"/>
    <xf numFmtId="222" fontId="87" fillId="20" borderId="0" applyNumberFormat="0" applyBorder="0" applyAlignment="0" applyProtection="0"/>
    <xf numFmtId="222" fontId="87" fillId="20"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3" fontId="87" fillId="9"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27" borderId="0" applyNumberFormat="0" applyBorder="0" applyAlignment="0" applyProtection="0"/>
    <xf numFmtId="222" fontId="87" fillId="27" borderId="0" applyNumberFormat="0" applyBorder="0" applyAlignment="0" applyProtection="0"/>
    <xf numFmtId="222" fontId="87" fillId="27"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3" fontId="87" fillId="26"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3" fontId="87" fillId="20"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3" fontId="87" fillId="32" borderId="0" applyNumberFormat="0" applyBorder="0" applyAlignment="0" applyProtection="0"/>
    <xf numFmtId="222" fontId="87" fillId="32" borderId="0" applyNumberFormat="0" applyBorder="0" applyAlignment="0" applyProtection="0"/>
    <xf numFmtId="222" fontId="87" fillId="32" borderId="0" applyNumberFormat="0" applyBorder="0" applyAlignment="0" applyProtection="0"/>
    <xf numFmtId="224" fontId="88" fillId="24" borderId="0" applyNumberFormat="0" applyBorder="0" applyAlignment="0" applyProtection="0">
      <alignment vertical="center"/>
    </xf>
    <xf numFmtId="224" fontId="88" fillId="24" borderId="0" applyNumberFormat="0" applyBorder="0" applyAlignment="0" applyProtection="0">
      <alignment vertical="center"/>
    </xf>
    <xf numFmtId="224" fontId="88" fillId="20" borderId="0" applyNumberFormat="0" applyBorder="0" applyAlignment="0" applyProtection="0">
      <alignment vertical="center"/>
    </xf>
    <xf numFmtId="224" fontId="88" fillId="20" borderId="0" applyNumberFormat="0" applyBorder="0" applyAlignment="0" applyProtection="0">
      <alignment vertical="center"/>
    </xf>
    <xf numFmtId="224" fontId="88" fillId="28" borderId="0" applyNumberFormat="0" applyBorder="0" applyAlignment="0" applyProtection="0">
      <alignment vertical="center"/>
    </xf>
    <xf numFmtId="224" fontId="88" fillId="28" borderId="0" applyNumberFormat="0" applyBorder="0" applyAlignment="0" applyProtection="0">
      <alignment vertical="center"/>
    </xf>
    <xf numFmtId="224" fontId="88" fillId="26" borderId="0" applyNumberFormat="0" applyBorder="0" applyAlignment="0" applyProtection="0">
      <alignment vertical="center"/>
    </xf>
    <xf numFmtId="224" fontId="88" fillId="26" borderId="0" applyNumberFormat="0" applyBorder="0" applyAlignment="0" applyProtection="0">
      <alignment vertical="center"/>
    </xf>
    <xf numFmtId="224" fontId="88" fillId="24" borderId="0" applyNumberFormat="0" applyBorder="0" applyAlignment="0" applyProtection="0">
      <alignment vertical="center"/>
    </xf>
    <xf numFmtId="224" fontId="88" fillId="24" borderId="0" applyNumberFormat="0" applyBorder="0" applyAlignment="0" applyProtection="0">
      <alignment vertical="center"/>
    </xf>
    <xf numFmtId="224" fontId="88" fillId="20" borderId="0" applyNumberFormat="0" applyBorder="0" applyAlignment="0" applyProtection="0">
      <alignment vertical="center"/>
    </xf>
    <xf numFmtId="224" fontId="88" fillId="20" borderId="0" applyNumberFormat="0" applyBorder="0" applyAlignment="0" applyProtection="0">
      <alignment vertical="center"/>
    </xf>
    <xf numFmtId="9" fontId="89" fillId="0" borderId="0"/>
    <xf numFmtId="227" fontId="90" fillId="0" borderId="0">
      <alignment horizontal="right"/>
      <protection locked="0"/>
    </xf>
    <xf numFmtId="0" fontId="50" fillId="0" borderId="1" applyNumberFormat="0" applyAlignment="0"/>
    <xf numFmtId="0" fontId="91" fillId="0" borderId="16" applyBorder="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3" borderId="0" applyNumberFormat="0" applyBorder="0" applyAlignment="0" applyProtection="0"/>
    <xf numFmtId="222" fontId="87" fillId="33" borderId="0" applyNumberFormat="0" applyBorder="0" applyAlignment="0" applyProtection="0"/>
    <xf numFmtId="222" fontId="87" fillId="33"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4" borderId="0" applyNumberFormat="0" applyBorder="0" applyAlignment="0" applyProtection="0"/>
    <xf numFmtId="222" fontId="87" fillId="34" borderId="0" applyNumberFormat="0" applyBorder="0" applyAlignment="0" applyProtection="0"/>
    <xf numFmtId="222" fontId="87" fillId="34"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5" borderId="0" applyNumberFormat="0" applyBorder="0" applyAlignment="0" applyProtection="0"/>
    <xf numFmtId="222" fontId="87" fillId="35" borderId="0" applyNumberFormat="0" applyBorder="0" applyAlignment="0" applyProtection="0"/>
    <xf numFmtId="222" fontId="87" fillId="35"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3" fontId="87" fillId="36"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1" borderId="0" applyNumberFormat="0" applyBorder="0" applyAlignment="0" applyProtection="0"/>
    <xf numFmtId="222" fontId="87" fillId="31" borderId="0" applyNumberFormat="0" applyBorder="0" applyAlignment="0" applyProtection="0"/>
    <xf numFmtId="222" fontId="87" fillId="31"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0" borderId="0" applyNumberFormat="0" applyBorder="0" applyAlignment="0" applyProtection="0"/>
    <xf numFmtId="222" fontId="87" fillId="30" borderId="0" applyNumberFormat="0" applyBorder="0" applyAlignment="0" applyProtection="0"/>
    <xf numFmtId="222" fontId="87" fillId="30"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3" fontId="87" fillId="37" borderId="0" applyNumberFormat="0" applyBorder="0" applyAlignment="0" applyProtection="0"/>
    <xf numFmtId="222" fontId="87" fillId="37" borderId="0" applyNumberFormat="0" applyBorder="0" applyAlignment="0" applyProtection="0"/>
    <xf numFmtId="222" fontId="87" fillId="37" borderId="0" applyNumberFormat="0" applyBorder="0" applyAlignment="0" applyProtection="0"/>
    <xf numFmtId="228" fontId="92" fillId="0" borderId="0" applyFont="0" applyFill="0" applyBorder="0" applyAlignment="0" applyProtection="0">
      <protection hidden="1"/>
    </xf>
    <xf numFmtId="229" fontId="48" fillId="38" borderId="0" applyFont="0" applyFill="0" applyBorder="0" applyAlignment="0" applyProtection="0">
      <protection hidden="1"/>
    </xf>
    <xf numFmtId="230" fontId="92" fillId="0" borderId="0" applyFont="0" applyFill="0" applyBorder="0" applyAlignment="0" applyProtection="0">
      <protection hidden="1"/>
    </xf>
    <xf numFmtId="231" fontId="93" fillId="8" borderId="0" applyFont="0" applyFill="0" applyBorder="0" applyAlignment="0" applyProtection="0">
      <protection locked="0"/>
    </xf>
    <xf numFmtId="232" fontId="85" fillId="0" borderId="0" applyFont="0" applyFill="0" applyBorder="0" applyAlignment="0" applyProtection="0"/>
    <xf numFmtId="0" fontId="92" fillId="0" borderId="0" applyNumberFormat="0" applyAlignment="0"/>
    <xf numFmtId="233" fontId="34" fillId="39" borderId="24">
      <alignment horizontal="center" vertical="center"/>
    </xf>
    <xf numFmtId="234" fontId="34" fillId="0" borderId="0" applyFont="0" applyFill="0" applyBorder="0" applyAlignment="0" applyProtection="0"/>
    <xf numFmtId="235" fontId="34" fillId="0" borderId="0" applyFont="0" applyFill="0" applyBorder="0" applyAlignment="0" applyProtection="0"/>
    <xf numFmtId="0" fontId="60" fillId="0" borderId="0"/>
    <xf numFmtId="177" fontId="94" fillId="0" borderId="0"/>
    <xf numFmtId="0" fontId="48" fillId="0" borderId="0">
      <alignment horizontal="center" wrapText="1"/>
      <protection locked="0"/>
    </xf>
    <xf numFmtId="0" fontId="34" fillId="0" borderId="0" applyNumberFormat="0" applyFill="0" applyBorder="0" applyAlignment="0" applyProtection="0"/>
    <xf numFmtId="0" fontId="36" fillId="0" borderId="0" applyNumberFormat="0" applyFill="0" applyBorder="0" applyAlignment="0" applyProtection="0"/>
    <xf numFmtId="0" fontId="34" fillId="0" borderId="25" applyNumberFormat="0" applyFill="0" applyBorder="0" applyAlignment="0" applyProtection="0"/>
    <xf numFmtId="0" fontId="95" fillId="0" borderId="25" applyNumberFormat="0" applyFill="0" applyBorder="0" applyAlignment="0" applyProtection="0"/>
    <xf numFmtId="0" fontId="96" fillId="0" borderId="25" applyNumberFormat="0" applyFill="0" applyBorder="0" applyAlignment="0" applyProtection="0"/>
    <xf numFmtId="0" fontId="92" fillId="0" borderId="25" applyNumberFormat="0" applyFill="0" applyAlignment="0" applyProtection="0"/>
    <xf numFmtId="236" fontId="34" fillId="0" borderId="0" applyFont="0" applyFill="0" applyBorder="0" applyAlignment="0" applyProtection="0"/>
    <xf numFmtId="237" fontId="34" fillId="0" borderId="0" applyFont="0" applyFill="0" applyBorder="0" applyAlignment="0" applyProtection="0"/>
    <xf numFmtId="238" fontId="34" fillId="0" borderId="26" applyFont="0" applyFill="0" applyBorder="0"/>
    <xf numFmtId="0" fontId="85" fillId="0" borderId="0"/>
    <xf numFmtId="38" fontId="59" fillId="0" borderId="0" applyFont="0" applyFill="0" applyBorder="0" applyAlignment="0" applyProtection="0"/>
    <xf numFmtId="0" fontId="97" fillId="0" borderId="0" applyNumberFormat="0" applyFill="0" applyBorder="0" applyAlignment="0" applyProtection="0"/>
    <xf numFmtId="183" fontId="98" fillId="0" borderId="0" applyNumberFormat="0" applyFill="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23" fontId="99" fillId="19" borderId="0" applyNumberFormat="0" applyBorder="0" applyAlignment="0" applyProtection="0"/>
    <xf numFmtId="222" fontId="99" fillId="19" borderId="0" applyNumberFormat="0" applyBorder="0" applyAlignment="0" applyProtection="0"/>
    <xf numFmtId="222" fontId="99" fillId="19" borderId="0" applyNumberFormat="0" applyBorder="0" applyAlignment="0" applyProtection="0"/>
    <xf numFmtId="239" fontId="100" fillId="0" borderId="0" applyFont="0" applyFill="0" applyBorder="0" applyAlignment="0" applyProtection="0">
      <protection hidden="1"/>
    </xf>
    <xf numFmtId="240" fontId="101" fillId="0" borderId="0"/>
    <xf numFmtId="241" fontId="101" fillId="0" borderId="0"/>
    <xf numFmtId="0" fontId="102" fillId="0" borderId="0" applyNumberFormat="0" applyFill="0" applyBorder="0" applyAlignment="0" applyProtection="0"/>
    <xf numFmtId="0" fontId="103" fillId="0" borderId="0" applyNumberFormat="0" applyFill="0" applyBorder="0" applyAlignment="0" applyProtection="0"/>
    <xf numFmtId="0" fontId="104" fillId="40" borderId="0" applyNumberFormat="0" applyFill="0" applyBorder="0" applyAlignment="0" applyProtection="0">
      <protection locked="0"/>
    </xf>
    <xf numFmtId="242" fontId="34" fillId="0" borderId="0" applyFont="0" applyFill="0" applyBorder="0" applyAlignment="0"/>
    <xf numFmtId="243" fontId="34" fillId="0" borderId="0" applyFont="0" applyFill="0" applyBorder="0" applyAlignment="0"/>
    <xf numFmtId="244" fontId="34" fillId="0" borderId="0" applyFont="0" applyFill="0" applyBorder="0" applyAlignment="0"/>
    <xf numFmtId="245" fontId="105" fillId="0" borderId="0" applyFont="0" applyFill="0" applyBorder="0" applyAlignment="0">
      <alignment horizontal="right"/>
    </xf>
    <xf numFmtId="246" fontId="34" fillId="0" borderId="0" applyFont="0" applyFill="0" applyBorder="0" applyAlignment="0"/>
    <xf numFmtId="247" fontId="50" fillId="0" borderId="0" applyFont="0" applyFill="0" applyBorder="0" applyAlignment="0"/>
    <xf numFmtId="248" fontId="50" fillId="0" borderId="0" applyFont="0" applyFill="0" applyBorder="0" applyAlignment="0">
      <alignment horizontal="right"/>
    </xf>
    <xf numFmtId="249" fontId="50" fillId="0" borderId="0" applyFont="0" applyFill="0" applyBorder="0" applyAlignment="0"/>
    <xf numFmtId="250" fontId="34" fillId="0" borderId="0" applyFont="0" applyFill="0" applyBorder="0" applyAlignment="0"/>
    <xf numFmtId="251" fontId="34" fillId="0" borderId="0" applyFont="0" applyFill="0" applyBorder="0" applyAlignment="0"/>
    <xf numFmtId="0" fontId="86" fillId="0" borderId="0">
      <alignment horizontal="right"/>
      <protection locked="0"/>
    </xf>
    <xf numFmtId="252" fontId="86" fillId="0" borderId="0">
      <protection locked="0"/>
    </xf>
    <xf numFmtId="253" fontId="86" fillId="0" borderId="0">
      <alignment horizontal="right"/>
      <protection locked="0"/>
    </xf>
    <xf numFmtId="0" fontId="106" fillId="41" borderId="27">
      <alignment horizontal="center" vertical="center"/>
    </xf>
    <xf numFmtId="0" fontId="106" fillId="41" borderId="28">
      <alignment horizontal="center"/>
    </xf>
    <xf numFmtId="167" fontId="107" fillId="0" borderId="0">
      <alignment horizontal="right"/>
      <protection locked="0"/>
    </xf>
    <xf numFmtId="0" fontId="108" fillId="0" borderId="0" applyNumberFormat="0" applyFill="0" applyBorder="0" applyAlignment="0" applyProtection="0"/>
    <xf numFmtId="254" fontId="109" fillId="0" borderId="0"/>
    <xf numFmtId="0" fontId="110" fillId="0" borderId="0" applyNumberFormat="0" applyFill="0" applyBorder="0" applyAlignment="0" applyProtection="0"/>
    <xf numFmtId="37" fontId="111" fillId="0" borderId="0" applyNumberFormat="0" applyFill="0" applyBorder="0" applyAlignment="0" applyProtection="0">
      <protection locked="0"/>
    </xf>
    <xf numFmtId="0" fontId="34" fillId="0" borderId="0" applyNumberFormat="0"/>
    <xf numFmtId="0" fontId="112" fillId="0" borderId="16" applyNumberFormat="0" applyFill="0" applyAlignment="0" applyProtection="0"/>
    <xf numFmtId="37" fontId="111" fillId="0" borderId="0" applyNumberFormat="0" applyFill="0" applyBorder="0" applyAlignment="0" applyProtection="0">
      <protection locked="0"/>
    </xf>
    <xf numFmtId="0" fontId="113" fillId="0" borderId="0" applyFill="0">
      <alignment horizontal="center"/>
    </xf>
    <xf numFmtId="0" fontId="113" fillId="0" borderId="16" applyNumberFormat="0" applyFill="0">
      <alignment horizontal="center"/>
    </xf>
    <xf numFmtId="0" fontId="114" fillId="40" borderId="12" applyNumberFormat="0" applyFill="0" applyBorder="0" applyAlignment="0" applyProtection="0">
      <protection locked="0"/>
    </xf>
    <xf numFmtId="0" fontId="115" fillId="0" borderId="19"/>
    <xf numFmtId="9" fontId="34" fillId="0" borderId="9" applyNumberFormat="0" applyFont="0" applyFill="0" applyAlignment="0" applyProtection="0"/>
    <xf numFmtId="0" fontId="48" fillId="0" borderId="22" applyNumberFormat="0" applyFont="0" applyFill="0" applyAlignment="0" applyProtection="0"/>
    <xf numFmtId="0" fontId="116" fillId="0" borderId="29" applyNumberFormat="0" applyFont="0" applyFill="0" applyAlignment="0" applyProtection="0">
      <alignment horizontal="centerContinuous"/>
    </xf>
    <xf numFmtId="0" fontId="46" fillId="0" borderId="16" applyNumberFormat="0" applyFont="0" applyFill="0" applyAlignment="0" applyProtection="0"/>
    <xf numFmtId="0" fontId="46" fillId="0" borderId="7" applyNumberFormat="0" applyFont="0" applyFill="0" applyAlignment="0" applyProtection="0"/>
    <xf numFmtId="0" fontId="46" fillId="0" borderId="12" applyNumberFormat="0" applyFont="0" applyFill="0" applyAlignment="0" applyProtection="0"/>
    <xf numFmtId="0" fontId="46" fillId="0" borderId="14" applyNumberFormat="0" applyFont="0" applyFill="0" applyAlignment="0" applyProtection="0"/>
    <xf numFmtId="9" fontId="34" fillId="0" borderId="9" applyNumberFormat="0" applyFont="0" applyFill="0" applyAlignment="0" applyProtection="0"/>
    <xf numFmtId="0" fontId="117" fillId="0" borderId="0" applyNumberFormat="0">
      <alignment horizontal="center"/>
      <protection hidden="1"/>
    </xf>
    <xf numFmtId="255" fontId="118" fillId="0" borderId="0" applyFont="0" applyFill="0" applyBorder="0" applyAlignment="0" applyProtection="0"/>
    <xf numFmtId="256" fontId="34" fillId="38" borderId="13" applyFont="0" applyFill="0" applyBorder="0" applyAlignment="0" applyProtection="0"/>
    <xf numFmtId="257" fontId="34" fillId="38" borderId="15" applyFont="0" applyFill="0" applyBorder="0" applyAlignment="0" applyProtection="0"/>
    <xf numFmtId="258" fontId="50" fillId="0" borderId="0">
      <alignment horizontal="right"/>
    </xf>
    <xf numFmtId="0" fontId="119" fillId="0" borderId="16">
      <alignment horizontal="centerContinuous"/>
    </xf>
    <xf numFmtId="259" fontId="67" fillId="0" borderId="0" applyFont="0" applyFill="0" applyBorder="0" applyAlignment="0" applyProtection="0"/>
    <xf numFmtId="0" fontId="120" fillId="0" borderId="0" applyNumberFormat="0" applyFill="0" applyBorder="0" applyAlignment="0" applyProtection="0"/>
    <xf numFmtId="190" fontId="34" fillId="0" borderId="0" applyFont="0" applyFill="0" applyBorder="0" applyAlignment="0" applyProtection="0"/>
    <xf numFmtId="0" fontId="121" fillId="0" borderId="0"/>
    <xf numFmtId="38" fontId="59" fillId="0" borderId="0" applyFont="0" applyFill="0" applyBorder="0" applyAlignment="0" applyProtection="0"/>
    <xf numFmtId="0" fontId="121" fillId="0" borderId="0"/>
    <xf numFmtId="0" fontId="74" fillId="0" borderId="0"/>
    <xf numFmtId="0" fontId="67" fillId="0" borderId="0"/>
    <xf numFmtId="223" fontId="122" fillId="0" borderId="0" applyFill="0" applyBorder="0" applyAlignment="0"/>
    <xf numFmtId="260" fontId="34" fillId="0" borderId="0" applyFill="0" applyBorder="0" applyAlignment="0"/>
    <xf numFmtId="260" fontId="34" fillId="0" borderId="0" applyFill="0" applyBorder="0" applyAlignment="0"/>
    <xf numFmtId="261" fontId="34" fillId="0" borderId="0" applyFill="0" applyBorder="0" applyAlignment="0"/>
    <xf numFmtId="261" fontId="34" fillId="0" borderId="0" applyFill="0" applyBorder="0" applyAlignment="0"/>
    <xf numFmtId="262" fontId="34" fillId="0" borderId="0" applyFill="0" applyBorder="0" applyAlignment="0"/>
    <xf numFmtId="262" fontId="34" fillId="0" borderId="0" applyFill="0" applyBorder="0" applyAlignment="0"/>
    <xf numFmtId="263" fontId="34" fillId="0" borderId="0" applyFill="0" applyBorder="0" applyAlignment="0"/>
    <xf numFmtId="263" fontId="34" fillId="0" borderId="0" applyFill="0" applyBorder="0" applyAlignment="0"/>
    <xf numFmtId="264" fontId="34" fillId="0" borderId="0" applyFill="0" applyBorder="0" applyAlignment="0"/>
    <xf numFmtId="264" fontId="34" fillId="0" borderId="0" applyFill="0" applyBorder="0" applyAlignment="0"/>
    <xf numFmtId="265" fontId="34" fillId="0" borderId="0" applyFill="0" applyBorder="0" applyAlignment="0"/>
    <xf numFmtId="265" fontId="34" fillId="0" borderId="0" applyFill="0" applyBorder="0" applyAlignment="0"/>
    <xf numFmtId="260" fontId="34" fillId="0" borderId="0" applyFill="0" applyBorder="0" applyAlignment="0"/>
    <xf numFmtId="260" fontId="34" fillId="0" borderId="0" applyFill="0" applyBorder="0" applyAlignment="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42" borderId="30" applyNumberFormat="0" applyAlignment="0" applyProtection="0"/>
    <xf numFmtId="223"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23"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2" fontId="123" fillId="26" borderId="30" applyNumberFormat="0" applyAlignment="0" applyProtection="0"/>
    <xf numFmtId="223" fontId="123" fillId="26" borderId="30" applyNumberFormat="0" applyAlignment="0" applyProtection="0"/>
    <xf numFmtId="266" fontId="111" fillId="0" borderId="0" applyFont="0" applyFill="0" applyBorder="0" applyAlignment="0">
      <alignment horizontal="center"/>
    </xf>
    <xf numFmtId="39" fontId="48" fillId="43" borderId="0" applyNumberFormat="0" applyFont="0" applyBorder="0" applyAlignment="0"/>
    <xf numFmtId="0" fontId="48" fillId="0" borderId="0" applyFill="0" applyBorder="0" applyProtection="0"/>
    <xf numFmtId="0" fontId="124" fillId="44" borderId="1"/>
    <xf numFmtId="0" fontId="125" fillId="40" borderId="0">
      <alignment vertical="top"/>
    </xf>
    <xf numFmtId="238" fontId="50" fillId="0" borderId="0"/>
    <xf numFmtId="0" fontId="112" fillId="0" borderId="16" applyNumberFormat="0" applyFont="0" applyFill="0" applyProtection="0">
      <alignment horizontal="centerContinuous" vertical="center"/>
    </xf>
    <xf numFmtId="1" fontId="126" fillId="0" borderId="0"/>
    <xf numFmtId="43" fontId="127" fillId="0" borderId="0" applyFill="0" applyBorder="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223" fontId="128" fillId="45" borderId="31" applyNumberFormat="0" applyAlignment="0" applyProtection="0"/>
    <xf numFmtId="222" fontId="128" fillId="45" borderId="31" applyNumberFormat="0" applyAlignment="0" applyProtection="0"/>
    <xf numFmtId="222" fontId="128" fillId="45" borderId="31" applyNumberFormat="0" applyAlignment="0" applyProtection="0"/>
    <xf numFmtId="0" fontId="129" fillId="0" borderId="0">
      <alignment horizontal="center"/>
      <protection hidden="1"/>
    </xf>
    <xf numFmtId="0" fontId="92" fillId="0" borderId="0" applyNumberFormat="0" applyFill="0" applyBorder="0" applyAlignment="0" applyProtection="0"/>
    <xf numFmtId="0" fontId="130" fillId="0" borderId="0" applyNumberFormat="0" applyFill="0" applyBorder="0" applyAlignment="0" applyProtection="0"/>
    <xf numFmtId="0" fontId="92" fillId="0" borderId="0" applyNumberFormat="0" applyFill="0" applyBorder="0" applyAlignment="0" applyProtection="0"/>
    <xf numFmtId="0" fontId="95" fillId="46" borderId="32" applyFont="0" applyFill="0" applyBorder="0"/>
    <xf numFmtId="0" fontId="92" fillId="0" borderId="11"/>
    <xf numFmtId="1" fontId="131" fillId="0" borderId="0">
      <alignment vertical="center"/>
    </xf>
    <xf numFmtId="0" fontId="34" fillId="0" borderId="16" applyNumberFormat="0" applyFill="0" applyBorder="0" applyAlignment="0" applyProtection="0">
      <alignment horizontal="center"/>
    </xf>
    <xf numFmtId="0" fontId="132" fillId="0" borderId="33" applyNumberFormat="0" applyFill="0" applyProtection="0">
      <alignment horizontal="center" vertical="center"/>
    </xf>
    <xf numFmtId="0" fontId="133" fillId="0" borderId="16" applyNumberFormat="0" applyFill="0" applyBorder="0" applyProtection="0">
      <alignment horizontal="right" vertical="center"/>
    </xf>
    <xf numFmtId="0" fontId="134" fillId="0" borderId="0" applyNumberFormat="0" applyFill="0" applyBorder="0" applyAlignment="0" applyProtection="0">
      <alignment vertical="top"/>
      <protection locked="0"/>
    </xf>
    <xf numFmtId="38" fontId="135" fillId="0" borderId="34"/>
    <xf numFmtId="0" fontId="136" fillId="0" borderId="0">
      <alignment horizontal="right" vertical="center"/>
    </xf>
    <xf numFmtId="0" fontId="112" fillId="0" borderId="0" applyNumberFormat="0" applyFill="0" applyBorder="0" applyProtection="0">
      <alignment horizontal="center" vertical="center"/>
    </xf>
    <xf numFmtId="0" fontId="95" fillId="0" borderId="0" applyNumberFormat="0" applyFill="0" applyBorder="0" applyProtection="0">
      <alignment wrapText="1"/>
    </xf>
    <xf numFmtId="0" fontId="33" fillId="0" borderId="0" applyNumberFormat="0" applyFill="0" applyBorder="0" applyProtection="0">
      <alignment wrapText="1"/>
    </xf>
    <xf numFmtId="0" fontId="95" fillId="0" borderId="0" applyNumberFormat="0" applyFill="0" applyBorder="0" applyProtection="0">
      <alignment horizontal="center" wrapText="1"/>
    </xf>
    <xf numFmtId="38" fontId="59"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267" fontId="34" fillId="0" borderId="0"/>
    <xf numFmtId="41" fontId="34" fillId="0" borderId="0" applyFont="0" applyFill="0" applyBorder="0" applyAlignment="0" applyProtection="0"/>
    <xf numFmtId="41" fontId="137" fillId="0" borderId="0" applyFont="0" applyFill="0" applyBorder="0" applyAlignment="0" applyProtection="0"/>
    <xf numFmtId="41" fontId="137" fillId="0" borderId="0" applyFont="0" applyFill="0" applyBorder="0" applyAlignment="0" applyProtection="0"/>
    <xf numFmtId="182" fontId="34" fillId="0" borderId="0" applyFont="0" applyFill="0" applyBorder="0" applyAlignment="0" applyProtection="0"/>
    <xf numFmtId="41" fontId="83" fillId="0" borderId="0" applyFont="0" applyFill="0" applyBorder="0" applyAlignment="0" applyProtection="0"/>
    <xf numFmtId="41" fontId="34" fillId="0" borderId="0" applyFont="0" applyFill="0" applyBorder="0" applyAlignment="0" applyProtection="0"/>
    <xf numFmtId="264" fontId="34" fillId="0" borderId="0" applyFont="0" applyFill="0" applyBorder="0" applyAlignment="0" applyProtection="0"/>
    <xf numFmtId="264" fontId="34" fillId="0" borderId="0" applyFont="0" applyFill="0" applyBorder="0" applyAlignment="0" applyProtection="0"/>
    <xf numFmtId="268" fontId="34" fillId="0" borderId="0" applyFont="0" applyFill="0" applyBorder="0" applyAlignment="0" applyProtection="0"/>
    <xf numFmtId="40" fontId="111" fillId="0" borderId="0" applyFont="0" applyFill="0" applyBorder="0" applyAlignment="0" applyProtection="0">
      <alignment horizontal="center"/>
    </xf>
    <xf numFmtId="269" fontId="34" fillId="0" borderId="0" applyFont="0" applyFill="0" applyBorder="0" applyAlignment="0" applyProtection="0">
      <alignment horizontal="center"/>
    </xf>
    <xf numFmtId="270" fontId="138" fillId="0" borderId="0" applyFont="0" applyFill="0" applyBorder="0" applyAlignment="0" applyProtection="0">
      <alignment horizontal="right"/>
    </xf>
    <xf numFmtId="177" fontId="34" fillId="0" borderId="0" applyFont="0" applyFill="0" applyBorder="0" applyAlignment="0" applyProtection="0"/>
    <xf numFmtId="178" fontId="139" fillId="0" borderId="0" applyFont="0" applyFill="0" applyBorder="0" applyAlignment="0" applyProtection="0"/>
    <xf numFmtId="178" fontId="139" fillId="0" borderId="0" applyFont="0" applyFill="0" applyBorder="0" applyAlignment="0" applyProtection="0"/>
    <xf numFmtId="178" fontId="139" fillId="0" borderId="0" applyFont="0" applyFill="0" applyBorder="0" applyAlignment="0" applyProtection="0"/>
    <xf numFmtId="178" fontId="139"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4" fillId="0" borderId="0" applyFont="0" applyFill="0" applyBorder="0" applyAlignment="0" applyProtection="0"/>
    <xf numFmtId="222" fontId="83" fillId="0" borderId="0" applyFont="0" applyFill="0" applyBorder="0" applyAlignment="0" applyProtection="0"/>
    <xf numFmtId="222" fontId="83" fillId="0" borderId="0" applyFont="0" applyFill="0" applyBorder="0" applyAlignment="0" applyProtection="0"/>
    <xf numFmtId="178" fontId="32" fillId="0" borderId="0" applyFont="0" applyFill="0" applyBorder="0" applyAlignment="0" applyProtection="0"/>
    <xf numFmtId="222" fontId="83" fillId="0" borderId="0" applyFont="0" applyFill="0" applyBorder="0" applyAlignment="0" applyProtection="0"/>
    <xf numFmtId="222"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223" fontId="83"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0" fontId="138" fillId="0" borderId="0" applyFont="0" applyFill="0" applyBorder="0" applyAlignment="0" applyProtection="0"/>
    <xf numFmtId="43" fontId="137" fillId="0" borderId="0" applyFont="0" applyFill="0" applyBorder="0" applyAlignment="0" applyProtection="0"/>
    <xf numFmtId="43" fontId="34" fillId="0" borderId="0" applyFont="0" applyFill="0" applyBorder="0" applyAlignment="0" applyProtection="0"/>
    <xf numFmtId="0" fontId="83" fillId="0" borderId="0" applyFont="0" applyFill="0" applyBorder="0" applyAlignment="0" applyProtection="0"/>
    <xf numFmtId="43" fontId="83" fillId="0" borderId="0" applyFont="0" applyFill="0" applyBorder="0" applyAlignment="0" applyProtection="0"/>
    <xf numFmtId="43" fontId="32" fillId="0" borderId="0" applyFont="0" applyFill="0" applyBorder="0" applyAlignment="0" applyProtection="0"/>
    <xf numFmtId="43" fontId="83" fillId="0" borderId="0" applyFont="0" applyFill="0" applyBorder="0" applyAlignment="0" applyProtection="0"/>
    <xf numFmtId="178" fontId="139" fillId="0" borderId="0" applyFont="0" applyFill="0" applyBorder="0" applyAlignment="0" applyProtection="0"/>
    <xf numFmtId="178" fontId="139" fillId="0" borderId="0" applyFont="0" applyFill="0" applyBorder="0" applyAlignment="0" applyProtection="0"/>
    <xf numFmtId="178" fontId="139" fillId="0" borderId="0" applyFont="0" applyFill="0" applyBorder="0" applyAlignment="0" applyProtection="0"/>
    <xf numFmtId="178" fontId="139"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34" fillId="0" borderId="0" applyFont="0" applyFill="0" applyBorder="0" applyAlignment="0" applyProtection="0"/>
    <xf numFmtId="40" fontId="59" fillId="0" borderId="0" applyFont="0" applyFill="0" applyBorder="0" applyAlignment="0" applyProtection="0"/>
    <xf numFmtId="178" fontId="32"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37" fontId="48" fillId="0" borderId="0" applyFill="0" applyBorder="0" applyAlignment="0" applyProtection="0"/>
    <xf numFmtId="0" fontId="138" fillId="0" borderId="0" applyFont="0" applyFill="0" applyBorder="0" applyAlignment="0" applyProtection="0"/>
    <xf numFmtId="271" fontId="34" fillId="0" borderId="0" applyFont="0" applyFill="0" applyBorder="0" applyAlignment="0" applyProtection="0"/>
    <xf numFmtId="3" fontId="140" fillId="0" borderId="0" applyFont="0" applyFill="0" applyBorder="0" applyAlignment="0" applyProtection="0"/>
    <xf numFmtId="0" fontId="141" fillId="0" borderId="0"/>
    <xf numFmtId="3" fontId="142" fillId="0" borderId="0" applyFont="0" applyFill="0" applyBorder="0" applyAlignment="0" applyProtection="0"/>
    <xf numFmtId="0" fontId="46" fillId="0" borderId="0" applyFont="0" applyFill="0" applyBorder="0" applyAlignment="0" applyProtection="0"/>
    <xf numFmtId="0" fontId="141" fillId="0" borderId="0"/>
    <xf numFmtId="272" fontId="34" fillId="0" borderId="0" applyFont="0" applyFill="0" applyBorder="0" applyAlignment="0" applyProtection="0"/>
    <xf numFmtId="273" fontId="50" fillId="0" borderId="0">
      <alignment horizontal="right"/>
    </xf>
    <xf numFmtId="212" fontId="122" fillId="0" borderId="0">
      <alignment horizontal="left"/>
    </xf>
    <xf numFmtId="0" fontId="143" fillId="0" borderId="1" applyProtection="0">
      <alignment horizontal="center" vertical="top" wrapText="1"/>
      <protection hidden="1"/>
    </xf>
    <xf numFmtId="221" fontId="144" fillId="0" borderId="0" applyNumberFormat="0" applyFill="0" applyAlignment="0" applyProtection="0"/>
    <xf numFmtId="0" fontId="145" fillId="0" borderId="0" applyNumberFormat="0" applyAlignment="0">
      <alignment horizontal="left"/>
    </xf>
    <xf numFmtId="0" fontId="34" fillId="0" borderId="0">
      <alignment horizontal="left"/>
    </xf>
    <xf numFmtId="0" fontId="146" fillId="0" borderId="0"/>
    <xf numFmtId="0" fontId="34" fillId="0" borderId="0">
      <alignment horizontal="left"/>
    </xf>
    <xf numFmtId="0" fontId="141" fillId="0" borderId="0"/>
    <xf numFmtId="274" fontId="110" fillId="0" borderId="1"/>
    <xf numFmtId="258" fontId="34" fillId="0" borderId="0"/>
    <xf numFmtId="260" fontId="34" fillId="0" borderId="0" applyFont="0" applyFill="0" applyBorder="0" applyAlignment="0" applyProtection="0"/>
    <xf numFmtId="260" fontId="34" fillId="0" borderId="0" applyFont="0" applyFill="0" applyBorder="0" applyAlignment="0" applyProtection="0"/>
    <xf numFmtId="252" fontId="92" fillId="0" borderId="0" applyFont="0" applyFill="0" applyBorder="0" applyAlignment="0"/>
    <xf numFmtId="168" fontId="147" fillId="0" borderId="35">
      <protection locked="0"/>
    </xf>
    <xf numFmtId="0" fontId="48" fillId="0" borderId="0" applyFont="0" applyFill="0" applyBorder="0" applyAlignment="0" applyProtection="0"/>
    <xf numFmtId="275" fontId="138" fillId="0" borderId="0" applyFont="0" applyFill="0" applyBorder="0" applyAlignment="0" applyProtection="0">
      <alignment horizontal="right"/>
    </xf>
    <xf numFmtId="168" fontId="59" fillId="0" borderId="0" applyFont="0" applyFill="0" applyBorder="0" applyAlignment="0" applyProtection="0"/>
    <xf numFmtId="0" fontId="148" fillId="0" borderId="0" applyFont="0" applyFill="0" applyBorder="0" applyAlignment="0" applyProtection="0"/>
    <xf numFmtId="276" fontId="32" fillId="0" borderId="0" applyFont="0" applyFill="0" applyBorder="0" applyAlignment="0" applyProtection="0"/>
    <xf numFmtId="0" fontId="148"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65" fontId="48" fillId="0" borderId="0" applyFill="0" applyBorder="0" applyAlignment="0" applyProtection="0"/>
    <xf numFmtId="0" fontId="138" fillId="0" borderId="0" applyFont="0" applyFill="0" applyBorder="0" applyAlignment="0" applyProtection="0"/>
    <xf numFmtId="166" fontId="149" fillId="0" borderId="0"/>
    <xf numFmtId="0" fontId="150" fillId="0" borderId="0"/>
    <xf numFmtId="168" fontId="149" fillId="0" borderId="0" applyFont="0" applyFill="0" applyBorder="0" applyAlignment="0" applyProtection="0"/>
    <xf numFmtId="277" fontId="34" fillId="0" borderId="0" applyFont="0" applyFill="0" applyBorder="0" applyAlignment="0" applyProtection="0"/>
    <xf numFmtId="277" fontId="34" fillId="0" borderId="0" applyFont="0" applyFill="0" applyBorder="0" applyAlignment="0" applyProtection="0"/>
    <xf numFmtId="278" fontId="85" fillId="0" borderId="0"/>
    <xf numFmtId="227" fontId="93" fillId="0" borderId="0"/>
    <xf numFmtId="279" fontId="109" fillId="0" borderId="0"/>
    <xf numFmtId="167" fontId="109" fillId="0" borderId="0" applyFill="0" applyBorder="0" applyProtection="0"/>
    <xf numFmtId="280" fontId="34" fillId="8" borderId="0" applyFont="0" applyBorder="0"/>
    <xf numFmtId="0" fontId="141" fillId="0" borderId="0"/>
    <xf numFmtId="0" fontId="141" fillId="0" borderId="0"/>
    <xf numFmtId="183" fontId="151" fillId="0" borderId="0"/>
    <xf numFmtId="198" fontId="67" fillId="0" borderId="0" applyFont="0" applyFill="0" applyBorder="0" applyAlignment="0" applyProtection="0"/>
    <xf numFmtId="0" fontId="152" fillId="0" borderId="0" applyNumberFormat="0">
      <alignment horizontal="right"/>
    </xf>
    <xf numFmtId="0" fontId="141" fillId="0" borderId="36"/>
    <xf numFmtId="281" fontId="153" fillId="0" borderId="0">
      <alignment vertical="center"/>
    </xf>
    <xf numFmtId="168" fontId="154" fillId="0" borderId="0" applyNumberFormat="0" applyFill="0" applyBorder="0" applyAlignment="0"/>
    <xf numFmtId="0" fontId="34" fillId="0" borderId="0" applyNumberFormat="0">
      <alignment horizontal="right"/>
    </xf>
    <xf numFmtId="223" fontId="140" fillId="0" borderId="0" applyFont="0" applyFill="0" applyBorder="0" applyAlignment="0" applyProtection="0"/>
    <xf numFmtId="15" fontId="95" fillId="0" borderId="0" applyFill="0" applyBorder="0" applyAlignment="0"/>
    <xf numFmtId="282" fontId="95" fillId="47" borderId="0" applyFont="0" applyFill="0" applyBorder="0" applyAlignment="0" applyProtection="0"/>
    <xf numFmtId="283" fontId="155" fillId="47" borderId="5" applyFont="0" applyFill="0" applyBorder="0" applyAlignment="0" applyProtection="0"/>
    <xf numFmtId="282" fontId="92" fillId="47" borderId="0" applyFont="0" applyFill="0" applyBorder="0" applyAlignment="0" applyProtection="0"/>
    <xf numFmtId="17" fontId="95" fillId="0" borderId="0" applyFill="0" applyBorder="0">
      <alignment horizontal="right"/>
    </xf>
    <xf numFmtId="284" fontId="138" fillId="0" borderId="0" applyFont="0" applyFill="0" applyBorder="0" applyAlignment="0" applyProtection="0"/>
    <xf numFmtId="0" fontId="138" fillId="0" borderId="0" applyFont="0" applyFill="0" applyBorder="0" applyAlignment="0" applyProtection="0"/>
    <xf numFmtId="14" fontId="107" fillId="0" borderId="0"/>
    <xf numFmtId="14" fontId="156" fillId="0" borderId="0"/>
    <xf numFmtId="14" fontId="157" fillId="0" borderId="0"/>
    <xf numFmtId="14" fontId="122" fillId="0" borderId="0" applyFill="0" applyBorder="0" applyAlignment="0"/>
    <xf numFmtId="14" fontId="158" fillId="0" borderId="0"/>
    <xf numFmtId="14" fontId="50" fillId="0" borderId="0">
      <alignment horizontal="right"/>
      <protection locked="0"/>
    </xf>
    <xf numFmtId="201" fontId="34" fillId="0" borderId="0">
      <alignment horizontal="right"/>
    </xf>
    <xf numFmtId="186" fontId="34" fillId="0" borderId="0">
      <alignment horizontal="right"/>
    </xf>
    <xf numFmtId="17" fontId="34" fillId="0" borderId="0" applyFont="0" applyFill="0" applyBorder="0" applyAlignment="0" applyProtection="0">
      <alignment horizontal="center"/>
    </xf>
    <xf numFmtId="0" fontId="111" fillId="0" borderId="0" applyFont="0" applyFill="0" applyBorder="0" applyAlignment="0" applyProtection="0">
      <alignment horizontal="center"/>
    </xf>
    <xf numFmtId="0" fontId="111" fillId="0" borderId="14" applyFont="0" applyFill="0" applyBorder="0" applyAlignment="0" applyProtection="0">
      <alignment horizontal="center"/>
    </xf>
    <xf numFmtId="0" fontId="92" fillId="0" borderId="14" applyFont="0" applyFill="0" applyBorder="0" applyAlignment="0" applyProtection="0">
      <alignment horizontal="center"/>
    </xf>
    <xf numFmtId="37" fontId="159" fillId="47" borderId="0" applyFont="0" applyFill="0" applyBorder="0" applyAlignment="0" applyProtection="0">
      <alignment horizontal="center"/>
    </xf>
    <xf numFmtId="285" fontId="57" fillId="0" borderId="0"/>
    <xf numFmtId="1" fontId="160" fillId="48" borderId="0"/>
    <xf numFmtId="38" fontId="59" fillId="0" borderId="37">
      <alignment vertical="center"/>
    </xf>
    <xf numFmtId="3" fontId="161" fillId="0" borderId="38"/>
    <xf numFmtId="257" fontId="34" fillId="0" borderId="0" applyFont="0" applyFill="0" applyBorder="0" applyAlignment="0" applyProtection="0"/>
    <xf numFmtId="4" fontId="162" fillId="0" borderId="0" applyFont="0" applyFill="0" applyBorder="0" applyAlignment="0" applyProtection="0"/>
    <xf numFmtId="199" fontId="34" fillId="0" borderId="0">
      <alignment horizontal="right"/>
    </xf>
    <xf numFmtId="205" fontId="34" fillId="0" borderId="0">
      <alignment horizontal="right"/>
    </xf>
    <xf numFmtId="0" fontId="34" fillId="8" borderId="9"/>
    <xf numFmtId="15" fontId="163" fillId="0" borderId="39" applyFont="0" applyFill="0" applyBorder="0" applyAlignment="0" applyProtection="0">
      <alignment horizontal="center"/>
      <protection hidden="1"/>
    </xf>
    <xf numFmtId="272" fontId="34" fillId="0" borderId="0" applyFont="0" applyFill="0" applyBorder="0" applyAlignment="0" applyProtection="0"/>
    <xf numFmtId="0" fontId="113" fillId="0" borderId="0" applyFont="0" applyFill="0" applyBorder="0" applyAlignment="0" applyProtection="0"/>
    <xf numFmtId="286" fontId="34" fillId="0" borderId="0" applyFont="0" applyFill="0" applyBorder="0" applyAlignment="0" applyProtection="0"/>
    <xf numFmtId="227" fontId="48" fillId="0" borderId="0"/>
    <xf numFmtId="227" fontId="93" fillId="0" borderId="0">
      <protection locked="0"/>
    </xf>
    <xf numFmtId="167" fontId="48" fillId="0" borderId="0"/>
    <xf numFmtId="167" fontId="92" fillId="0" borderId="0"/>
    <xf numFmtId="166" fontId="48" fillId="0" borderId="0" applyFont="0" applyFill="0" applyBorder="0" applyAlignment="0" applyProtection="0"/>
    <xf numFmtId="287" fontId="138" fillId="0" borderId="40" applyNumberFormat="0" applyFont="0" applyFill="0" applyAlignment="0" applyProtection="0"/>
    <xf numFmtId="169" fontId="164" fillId="0" borderId="0" applyFill="0" applyBorder="0" applyAlignment="0" applyProtection="0"/>
    <xf numFmtId="0" fontId="165" fillId="0" borderId="0"/>
    <xf numFmtId="171" fontId="50" fillId="49" borderId="0">
      <alignment vertical="center"/>
    </xf>
    <xf numFmtId="171" fontId="113" fillId="0" borderId="0">
      <alignment vertical="center"/>
    </xf>
    <xf numFmtId="171" fontId="113" fillId="0" borderId="0">
      <alignment vertical="center"/>
    </xf>
    <xf numFmtId="171" fontId="166" fillId="40" borderId="41" applyNumberFormat="0" applyAlignment="0">
      <alignment horizontal="center" vertical="center"/>
    </xf>
    <xf numFmtId="171" fontId="121" fillId="40" borderId="0">
      <alignment horizontal="center" vertical="center"/>
    </xf>
    <xf numFmtId="14" fontId="50" fillId="40" borderId="0">
      <alignment horizontal="center" vertical="center"/>
    </xf>
    <xf numFmtId="17" fontId="85" fillId="40" borderId="0">
      <alignment horizontal="center" vertical="center"/>
    </xf>
    <xf numFmtId="171" fontId="167" fillId="0" borderId="0">
      <alignment vertical="center"/>
    </xf>
    <xf numFmtId="171" fontId="163" fillId="40" borderId="0">
      <alignment vertical="center"/>
    </xf>
    <xf numFmtId="171" fontId="168" fillId="40" borderId="0">
      <alignment vertical="center"/>
    </xf>
    <xf numFmtId="221" fontId="169" fillId="40" borderId="38">
      <alignment vertical="center"/>
    </xf>
    <xf numFmtId="0" fontId="50" fillId="40" borderId="38">
      <alignment vertical="center"/>
    </xf>
    <xf numFmtId="37" fontId="85" fillId="40" borderId="0">
      <alignment horizontal="left" vertical="center"/>
    </xf>
    <xf numFmtId="171" fontId="85" fillId="40" borderId="0">
      <alignment horizontal="center" vertical="center"/>
    </xf>
    <xf numFmtId="288" fontId="105" fillId="40" borderId="0">
      <alignment horizontal="right" vertical="center"/>
    </xf>
    <xf numFmtId="289" fontId="105" fillId="40" borderId="0">
      <alignment horizontal="right" vertical="center"/>
    </xf>
    <xf numFmtId="221" fontId="170" fillId="40" borderId="0">
      <alignment horizontal="right" vertical="center"/>
    </xf>
    <xf numFmtId="221" fontId="170" fillId="40" borderId="14">
      <alignment horizontal="right" vertical="center"/>
    </xf>
    <xf numFmtId="289" fontId="171" fillId="40" borderId="38">
      <alignment horizontal="right" vertical="center"/>
    </xf>
    <xf numFmtId="177" fontId="105" fillId="40" borderId="0">
      <alignment horizontal="right" vertical="center"/>
    </xf>
    <xf numFmtId="4" fontId="105" fillId="40" borderId="0">
      <alignment horizontal="right" vertical="center"/>
    </xf>
    <xf numFmtId="177" fontId="85" fillId="40" borderId="16">
      <alignment horizontal="right" vertical="center"/>
    </xf>
    <xf numFmtId="289" fontId="85" fillId="40" borderId="16">
      <alignment horizontal="right" vertical="center"/>
    </xf>
    <xf numFmtId="289" fontId="171" fillId="40" borderId="0">
      <alignment horizontal="right" vertical="center"/>
    </xf>
    <xf numFmtId="290" fontId="85" fillId="40" borderId="0">
      <alignment horizontal="right" vertical="center"/>
    </xf>
    <xf numFmtId="171" fontId="50" fillId="0" borderId="0">
      <alignment vertical="center"/>
    </xf>
    <xf numFmtId="171" fontId="167" fillId="40" borderId="16" applyBorder="0">
      <alignment horizontal="left" vertical="center"/>
    </xf>
    <xf numFmtId="171" fontId="172" fillId="40" borderId="0">
      <alignment horizontal="left" vertical="center"/>
    </xf>
    <xf numFmtId="171" fontId="167" fillId="40" borderId="42">
      <alignment horizontal="left"/>
    </xf>
    <xf numFmtId="171" fontId="48" fillId="40" borderId="43">
      <alignment vertical="center"/>
    </xf>
    <xf numFmtId="171" fontId="48" fillId="40" borderId="44">
      <alignment vertical="center"/>
    </xf>
    <xf numFmtId="171" fontId="48" fillId="40" borderId="14">
      <alignment vertical="center"/>
    </xf>
    <xf numFmtId="171" fontId="113" fillId="40" borderId="45">
      <alignment horizontal="center" vertical="center"/>
    </xf>
    <xf numFmtId="171" fontId="113" fillId="0" borderId="0">
      <alignment vertical="center"/>
    </xf>
    <xf numFmtId="171" fontId="113" fillId="0" borderId="0">
      <alignment vertical="center"/>
    </xf>
    <xf numFmtId="171" fontId="113" fillId="0" borderId="0">
      <alignment vertical="center"/>
    </xf>
    <xf numFmtId="221" fontId="173" fillId="0" borderId="46" applyNumberFormat="0" applyAlignment="0" applyProtection="0">
      <alignment vertical="top"/>
    </xf>
    <xf numFmtId="0" fontId="174" fillId="0" borderId="12" applyFill="0" applyBorder="0" applyAlignment="0"/>
    <xf numFmtId="1" fontId="175" fillId="50" borderId="0"/>
    <xf numFmtId="264" fontId="34" fillId="0" borderId="0" applyFill="0" applyBorder="0" applyAlignment="0"/>
    <xf numFmtId="264" fontId="34" fillId="0" borderId="0" applyFill="0" applyBorder="0" applyAlignment="0"/>
    <xf numFmtId="260" fontId="34" fillId="0" borderId="0" applyFill="0" applyBorder="0" applyAlignment="0"/>
    <xf numFmtId="260" fontId="34" fillId="0" borderId="0" applyFill="0" applyBorder="0" applyAlignment="0"/>
    <xf numFmtId="264" fontId="34" fillId="0" borderId="0" applyFill="0" applyBorder="0" applyAlignment="0"/>
    <xf numFmtId="264" fontId="34" fillId="0" borderId="0" applyFill="0" applyBorder="0" applyAlignment="0"/>
    <xf numFmtId="265" fontId="34" fillId="0" borderId="0" applyFill="0" applyBorder="0" applyAlignment="0"/>
    <xf numFmtId="265" fontId="34" fillId="0" borderId="0" applyFill="0" applyBorder="0" applyAlignment="0"/>
    <xf numFmtId="260" fontId="34" fillId="0" borderId="0" applyFill="0" applyBorder="0" applyAlignment="0"/>
    <xf numFmtId="260" fontId="34" fillId="0" borderId="0" applyFill="0" applyBorder="0" applyAlignment="0"/>
    <xf numFmtId="0" fontId="176" fillId="0" borderId="0" applyNumberFormat="0" applyAlignment="0">
      <alignment horizontal="left"/>
    </xf>
    <xf numFmtId="0" fontId="93" fillId="0" borderId="0" applyFont="0" applyFill="0" applyBorder="0" applyProtection="0">
      <alignment horizontal="left"/>
      <protection locked="0"/>
    </xf>
    <xf numFmtId="37" fontId="34" fillId="47" borderId="47">
      <protection locked="0"/>
    </xf>
    <xf numFmtId="37" fontId="34" fillId="47" borderId="47">
      <protection locked="0"/>
    </xf>
    <xf numFmtId="167" fontId="34" fillId="47" borderId="47">
      <protection locked="0"/>
    </xf>
    <xf numFmtId="165" fontId="34" fillId="47" borderId="47">
      <protection locked="0"/>
    </xf>
    <xf numFmtId="167" fontId="34" fillId="47" borderId="47">
      <protection locked="0"/>
    </xf>
    <xf numFmtId="9" fontId="34" fillId="47" borderId="47">
      <protection locked="0"/>
    </xf>
    <xf numFmtId="10" fontId="34" fillId="47" borderId="47">
      <protection locked="0"/>
    </xf>
    <xf numFmtId="10" fontId="34" fillId="47" borderId="47">
      <protection locked="0"/>
    </xf>
    <xf numFmtId="221" fontId="34" fillId="47" borderId="47">
      <protection locked="0"/>
    </xf>
    <xf numFmtId="291" fontId="122" fillId="0" borderId="0" applyFont="0" applyFill="0" applyBorder="0" applyAlignment="0" applyProtection="0">
      <alignment horizontal="center"/>
      <protection hidden="1"/>
    </xf>
    <xf numFmtId="0" fontId="177" fillId="0" borderId="0"/>
    <xf numFmtId="221" fontId="177" fillId="0" borderId="0"/>
    <xf numFmtId="211" fontId="34" fillId="0" borderId="0"/>
    <xf numFmtId="292" fontId="34" fillId="0" borderId="0" applyFon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223" fontId="178" fillId="0" borderId="0" applyNumberFormat="0" applyFill="0" applyBorder="0" applyAlignment="0" applyProtection="0"/>
    <xf numFmtId="222" fontId="178" fillId="0" borderId="0" applyNumberFormat="0" applyFill="0" applyBorder="0" applyAlignment="0" applyProtection="0"/>
    <xf numFmtId="222" fontId="178" fillId="0" borderId="0" applyNumberFormat="0" applyFill="0" applyBorder="0" applyAlignment="0" applyProtection="0"/>
    <xf numFmtId="182" fontId="54" fillId="0" borderId="0" applyFont="0" applyFill="0" applyBorder="0" applyAlignment="0" applyProtection="0"/>
    <xf numFmtId="293" fontId="34" fillId="0" borderId="0">
      <protection locked="0"/>
    </xf>
    <xf numFmtId="293" fontId="34" fillId="0" borderId="0">
      <protection locked="0"/>
    </xf>
    <xf numFmtId="293" fontId="34" fillId="0" borderId="0">
      <protection locked="0"/>
    </xf>
    <xf numFmtId="293" fontId="34" fillId="0" borderId="0">
      <protection locked="0"/>
    </xf>
    <xf numFmtId="293" fontId="34" fillId="0" borderId="0">
      <protection locked="0"/>
    </xf>
    <xf numFmtId="293" fontId="34" fillId="0" borderId="0">
      <protection locked="0"/>
    </xf>
    <xf numFmtId="293" fontId="34" fillId="0" borderId="0">
      <protection locked="0"/>
    </xf>
    <xf numFmtId="3" fontId="179" fillId="0" borderId="0" applyNumberFormat="0" applyFont="0" applyFill="0" applyBorder="0" applyAlignment="0" applyProtection="0">
      <alignment horizontal="left"/>
    </xf>
    <xf numFmtId="188" fontId="122" fillId="0" borderId="39" applyFont="0" applyFill="0" applyBorder="0" applyAlignment="0" applyProtection="0">
      <alignment horizontal="right"/>
      <protection hidden="1"/>
    </xf>
    <xf numFmtId="0" fontId="34" fillId="0" borderId="0"/>
    <xf numFmtId="2" fontId="140" fillId="0" borderId="0" applyFont="0" applyFill="0" applyBorder="0" applyAlignment="0" applyProtection="0"/>
    <xf numFmtId="294" fontId="34" fillId="47" borderId="0" applyFont="0" applyFill="0" applyBorder="0" applyAlignment="0"/>
    <xf numFmtId="0" fontId="34" fillId="0" borderId="0">
      <protection locked="0"/>
    </xf>
    <xf numFmtId="0" fontId="141" fillId="0" borderId="0"/>
    <xf numFmtId="295" fontId="109" fillId="0" borderId="0" applyFill="0" applyBorder="0" applyProtection="0"/>
    <xf numFmtId="0" fontId="180" fillId="0" borderId="0"/>
    <xf numFmtId="0" fontId="34" fillId="0" borderId="0">
      <alignment horizontal="left"/>
    </xf>
    <xf numFmtId="0" fontId="34" fillId="0" borderId="0">
      <alignment horizontal="left"/>
    </xf>
    <xf numFmtId="0" fontId="181" fillId="0" borderId="0" applyFill="0" applyBorder="0" applyProtection="0">
      <alignment horizontal="left"/>
    </xf>
    <xf numFmtId="0" fontId="181" fillId="0" borderId="0">
      <alignment horizontal="left"/>
    </xf>
    <xf numFmtId="0" fontId="181" fillId="0" borderId="0">
      <alignment horizontal="left"/>
    </xf>
    <xf numFmtId="0" fontId="182" fillId="0" borderId="0" applyNumberFormat="0" applyFill="0" applyBorder="0" applyAlignment="0" applyProtection="0"/>
    <xf numFmtId="0" fontId="183" fillId="0" borderId="0" applyNumberFormat="0" applyFill="0" applyBorder="0" applyAlignment="0" applyProtection="0"/>
    <xf numFmtId="266" fontId="92" fillId="40" borderId="1" applyFont="0" applyBorder="0" applyAlignment="0" applyProtection="0">
      <alignment vertical="top"/>
    </xf>
    <xf numFmtId="0" fontId="34" fillId="0" borderId="0" applyBorder="0" applyProtection="0"/>
    <xf numFmtId="13" fontId="107" fillId="0" borderId="0"/>
    <xf numFmtId="0" fontId="184" fillId="0" borderId="7" applyFont="0" applyBorder="0" applyAlignment="0"/>
    <xf numFmtId="238" fontId="185" fillId="0" borderId="48" applyNumberFormat="0" applyAlignment="0"/>
    <xf numFmtId="2" fontId="34" fillId="47" borderId="8" applyFill="0" applyBorder="0" applyProtection="0">
      <alignment horizontal="center"/>
    </xf>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223" fontId="186" fillId="21" borderId="0" applyNumberFormat="0" applyBorder="0" applyAlignment="0" applyProtection="0"/>
    <xf numFmtId="222" fontId="186" fillId="21" borderId="0" applyNumberFormat="0" applyBorder="0" applyAlignment="0" applyProtection="0"/>
    <xf numFmtId="222" fontId="186" fillId="21" borderId="0" applyNumberFormat="0" applyBorder="0" applyAlignment="0" applyProtection="0"/>
    <xf numFmtId="0" fontId="92" fillId="0" borderId="0" applyNumberFormat="0" applyFill="0" applyBorder="0" applyProtection="0">
      <alignment wrapText="1"/>
    </xf>
    <xf numFmtId="0" fontId="36" fillId="0" borderId="0" applyNumberFormat="0" applyFill="0" applyBorder="0" applyProtection="0">
      <alignment wrapText="1"/>
    </xf>
    <xf numFmtId="43" fontId="157" fillId="0" borderId="0" applyNumberFormat="0" applyFill="0" applyBorder="0" applyAlignment="0" applyProtection="0">
      <alignment horizontal="center"/>
    </xf>
    <xf numFmtId="38" fontId="92" fillId="8" borderId="0" applyNumberFormat="0" applyBorder="0" applyAlignment="0" applyProtection="0"/>
    <xf numFmtId="0" fontId="92" fillId="0" borderId="0" applyFill="0" applyBorder="0" applyAlignment="0" applyProtection="0">
      <alignment horizontal="right"/>
    </xf>
    <xf numFmtId="0" fontId="92" fillId="0" borderId="0" applyFill="0" applyBorder="0" applyAlignment="0" applyProtection="0"/>
    <xf numFmtId="0" fontId="187" fillId="0" borderId="0" applyNumberFormat="0" applyFill="0" applyProtection="0">
      <alignment horizontal="left"/>
    </xf>
    <xf numFmtId="296" fontId="138" fillId="0" borderId="0" applyFont="0" applyFill="0" applyBorder="0" applyAlignment="0" applyProtection="0">
      <alignment horizontal="right"/>
    </xf>
    <xf numFmtId="0" fontId="188" fillId="51" borderId="0"/>
    <xf numFmtId="0" fontId="189" fillId="0" borderId="0">
      <alignment horizontal="left" vertical="center"/>
    </xf>
    <xf numFmtId="0" fontId="190" fillId="1" borderId="0" applyNumberFormat="0" applyBorder="0" applyProtection="0">
      <alignment horizontal="left" vertical="center"/>
    </xf>
    <xf numFmtId="223" fontId="191" fillId="0" borderId="0"/>
    <xf numFmtId="0" fontId="192" fillId="0" borderId="0">
      <alignment horizontal="left"/>
    </xf>
    <xf numFmtId="0" fontId="193" fillId="0" borderId="0" applyProtection="0">
      <alignment horizontal="right"/>
    </xf>
    <xf numFmtId="223" fontId="33" fillId="0" borderId="49" applyNumberFormat="0" applyAlignment="0" applyProtection="0">
      <alignment horizontal="left" vertical="center"/>
    </xf>
    <xf numFmtId="223" fontId="33" fillId="0" borderId="9">
      <alignment horizontal="left" vertical="center"/>
    </xf>
    <xf numFmtId="0" fontId="194" fillId="41" borderId="16"/>
    <xf numFmtId="0" fontId="195" fillId="0" borderId="0">
      <alignment horizontal="left" vertical="center"/>
    </xf>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3" fontId="197" fillId="0" borderId="51"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223" fontId="196" fillId="0" borderId="50" applyNumberFormat="0" applyFill="0" applyAlignment="0" applyProtection="0"/>
    <xf numFmtId="222" fontId="196" fillId="0" borderId="50" applyNumberFormat="0" applyFill="0" applyAlignment="0" applyProtection="0"/>
    <xf numFmtId="222" fontId="196" fillId="0" borderId="50" applyNumberFormat="0" applyFill="0" applyAlignment="0" applyProtection="0"/>
    <xf numFmtId="0" fontId="198" fillId="0" borderId="0">
      <alignment horizontal="left"/>
    </xf>
    <xf numFmtId="0" fontId="34" fillId="0" borderId="7">
      <alignment horizontal="left" vertical="top"/>
    </xf>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3" fontId="200"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223" fontId="199" fillId="0" borderId="52" applyNumberFormat="0" applyFill="0" applyAlignment="0" applyProtection="0"/>
    <xf numFmtId="222" fontId="199" fillId="0" borderId="52" applyNumberFormat="0" applyFill="0" applyAlignment="0" applyProtection="0"/>
    <xf numFmtId="222" fontId="199" fillId="0" borderId="52" applyNumberFormat="0" applyFill="0" applyAlignment="0" applyProtection="0"/>
    <xf numFmtId="0" fontId="101" fillId="0" borderId="0">
      <alignment horizontal="left"/>
    </xf>
    <xf numFmtId="0" fontId="34" fillId="0" borderId="7">
      <alignment horizontal="left" vertical="top"/>
    </xf>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3" fontId="202" fillId="0" borderId="54"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223" fontId="201" fillId="0" borderId="53" applyNumberFormat="0" applyFill="0" applyAlignment="0" applyProtection="0"/>
    <xf numFmtId="222" fontId="201" fillId="0" borderId="53" applyNumberFormat="0" applyFill="0" applyAlignment="0" applyProtection="0"/>
    <xf numFmtId="222" fontId="201" fillId="0" borderId="53" applyNumberFormat="0" applyFill="0" applyAlignment="0" applyProtection="0"/>
    <xf numFmtId="0" fontId="203" fillId="0" borderId="0">
      <alignment horizontal="left"/>
    </xf>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3" fontId="202"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23" fontId="201" fillId="0" borderId="0" applyNumberFormat="0" applyFill="0" applyBorder="0" applyAlignment="0" applyProtection="0"/>
    <xf numFmtId="222" fontId="201" fillId="0" borderId="0" applyNumberFormat="0" applyFill="0" applyBorder="0" applyAlignment="0" applyProtection="0"/>
    <xf numFmtId="222" fontId="201" fillId="0" borderId="0" applyNumberFormat="0" applyFill="0" applyBorder="0" applyAlignment="0" applyProtection="0"/>
    <xf numFmtId="238" fontId="191" fillId="0" borderId="0">
      <alignment horizontal="right"/>
    </xf>
    <xf numFmtId="238" fontId="191" fillId="0" borderId="0">
      <alignment horizontal="left"/>
    </xf>
    <xf numFmtId="293" fontId="34" fillId="0" borderId="0">
      <protection locked="0"/>
    </xf>
    <xf numFmtId="293" fontId="34" fillId="0" borderId="0">
      <protection locked="0"/>
    </xf>
    <xf numFmtId="37" fontId="34" fillId="0" borderId="0">
      <alignment horizontal="left"/>
    </xf>
    <xf numFmtId="0" fontId="204" fillId="0" borderId="0"/>
    <xf numFmtId="0" fontId="205" fillId="0" borderId="0"/>
    <xf numFmtId="0" fontId="205" fillId="0" borderId="0"/>
    <xf numFmtId="0" fontId="171" fillId="0" borderId="0" applyNumberFormat="0" applyFill="0" applyBorder="0" applyAlignment="0" applyProtection="0">
      <alignment horizontal="center"/>
    </xf>
    <xf numFmtId="0" fontId="206" fillId="0" borderId="0" applyNumberFormat="0" applyFill="0" applyBorder="0" applyAlignment="0" applyProtection="0">
      <alignment horizontal="center"/>
    </xf>
    <xf numFmtId="0" fontId="207" fillId="0" borderId="23" applyNumberFormat="0" applyFill="0" applyBorder="0" applyAlignment="0" applyProtection="0">
      <alignment horizontal="left"/>
    </xf>
    <xf numFmtId="0" fontId="208" fillId="0" borderId="0">
      <alignment horizontal="center"/>
    </xf>
    <xf numFmtId="0" fontId="209" fillId="0" borderId="0"/>
    <xf numFmtId="0" fontId="161" fillId="0" borderId="0"/>
    <xf numFmtId="183" fontId="210" fillId="0" borderId="0" applyNumberFormat="0"/>
    <xf numFmtId="266" fontId="211" fillId="40" borderId="0" applyNumberFormat="0" applyBorder="0" applyAlignment="0" applyProtection="0">
      <protection locked="0"/>
    </xf>
    <xf numFmtId="0" fontId="98" fillId="0" borderId="55" applyNumberFormat="0" applyFill="0" applyAlignment="0" applyProtection="0"/>
    <xf numFmtId="0" fontId="212" fillId="0" borderId="0" applyNumberFormat="0" applyFill="0" applyBorder="0" applyAlignment="0" applyProtection="0"/>
    <xf numFmtId="224" fontId="213" fillId="0" borderId="0" applyNumberFormat="0" applyFill="0" applyBorder="0" applyAlignment="0" applyProtection="0">
      <alignment vertical="top"/>
      <protection locked="0"/>
    </xf>
    <xf numFmtId="0" fontId="213" fillId="0" borderId="0" applyNumberFormat="0" applyFill="0" applyBorder="0" applyAlignment="0" applyProtection="0">
      <alignment vertical="top"/>
      <protection locked="0"/>
    </xf>
    <xf numFmtId="38" fontId="59" fillId="0" borderId="0" applyFont="0" applyFill="0" applyBorder="0" applyAlignment="0" applyProtection="0"/>
    <xf numFmtId="0" fontId="48" fillId="0" borderId="0" applyFill="0" applyBorder="0" applyAlignment="0" applyProtection="0"/>
    <xf numFmtId="0" fontId="50" fillId="0" borderId="0" applyFill="0" applyBorder="0"/>
    <xf numFmtId="221" fontId="214" fillId="0" borderId="0"/>
    <xf numFmtId="10" fontId="214" fillId="0" borderId="0"/>
    <xf numFmtId="10" fontId="92" fillId="47" borderId="1" applyNumberFormat="0" applyBorder="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9" borderId="30" applyNumberFormat="0" applyAlignment="0" applyProtection="0"/>
    <xf numFmtId="223"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223"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2" fontId="215" fillId="18" borderId="30" applyNumberFormat="0" applyAlignment="0" applyProtection="0"/>
    <xf numFmtId="223" fontId="215" fillId="18" borderId="30" applyNumberFormat="0" applyAlignment="0" applyProtection="0"/>
    <xf numFmtId="37" fontId="34" fillId="0" borderId="0" applyProtection="0"/>
    <xf numFmtId="168" fontId="92" fillId="47" borderId="0" applyFont="0" applyBorder="0" applyAlignment="0" applyProtection="0">
      <protection locked="0"/>
    </xf>
    <xf numFmtId="0" fontId="216" fillId="0" borderId="0" applyFill="0" applyBorder="0" applyProtection="0"/>
    <xf numFmtId="297" fontId="34" fillId="0" borderId="0" applyFill="0" applyBorder="0" applyProtection="0"/>
    <xf numFmtId="283" fontId="92" fillId="47" borderId="0" applyFont="0" applyBorder="0" applyAlignment="0" applyProtection="0">
      <protection locked="0"/>
    </xf>
    <xf numFmtId="294" fontId="92" fillId="47" borderId="0" applyFont="0" applyBorder="0" applyAlignment="0">
      <protection locked="0"/>
    </xf>
    <xf numFmtId="0" fontId="216" fillId="0" borderId="0" applyFill="0" applyBorder="0" applyProtection="0"/>
    <xf numFmtId="266" fontId="92" fillId="47" borderId="0">
      <protection locked="0"/>
    </xf>
    <xf numFmtId="298" fontId="92" fillId="47" borderId="0" applyFont="0" applyBorder="0" applyAlignment="0">
      <protection locked="0"/>
    </xf>
    <xf numFmtId="10" fontId="92" fillId="47" borderId="0">
      <protection locked="0"/>
    </xf>
    <xf numFmtId="0" fontId="216" fillId="0" borderId="0" applyFill="0" applyBorder="0" applyProtection="0"/>
    <xf numFmtId="266" fontId="217" fillId="47" borderId="0" applyNumberFormat="0" applyBorder="0" applyAlignment="0">
      <protection locked="0"/>
    </xf>
    <xf numFmtId="196" fontId="34" fillId="52" borderId="0">
      <alignment horizontal="right"/>
    </xf>
    <xf numFmtId="299" fontId="218" fillId="0" borderId="0"/>
    <xf numFmtId="300" fontId="92" fillId="47" borderId="0" applyNumberFormat="0" applyFont="0" applyBorder="0" applyAlignment="0" applyProtection="0">
      <alignment horizontal="center"/>
      <protection locked="0"/>
    </xf>
    <xf numFmtId="221" fontId="92" fillId="47" borderId="16" applyNumberFormat="0" applyFont="0" applyAlignment="0" applyProtection="0">
      <alignment horizontal="center"/>
      <protection locked="0"/>
    </xf>
    <xf numFmtId="0" fontId="107" fillId="0" borderId="0" applyNumberFormat="0" applyFill="0" applyBorder="0" applyAlignment="0">
      <protection locked="0"/>
    </xf>
    <xf numFmtId="0" fontId="36" fillId="0" borderId="0" applyNumberFormat="0" applyFill="0" applyBorder="0" applyAlignment="0"/>
    <xf numFmtId="301" fontId="218" fillId="0" borderId="0"/>
    <xf numFmtId="279" fontId="218" fillId="0" borderId="0"/>
    <xf numFmtId="299" fontId="218" fillId="0" borderId="0"/>
    <xf numFmtId="37" fontId="219" fillId="0" borderId="0" applyFill="0" applyBorder="0" applyAlignment="0" applyProtection="0"/>
    <xf numFmtId="37" fontId="220" fillId="0" borderId="0" applyFill="0" applyBorder="0" applyAlignment="0" applyProtection="0"/>
    <xf numFmtId="221" fontId="218" fillId="0" borderId="0"/>
    <xf numFmtId="302" fontId="219" fillId="0" borderId="0" applyFill="0" applyBorder="0" applyAlignment="0" applyProtection="0"/>
    <xf numFmtId="302" fontId="220" fillId="0" borderId="0" applyFill="0" applyBorder="0" applyAlignment="0" applyProtection="0"/>
    <xf numFmtId="0" fontId="92" fillId="47" borderId="0" applyNumberFormat="0" applyFont="0" applyBorder="0" applyAlignment="0" applyProtection="0">
      <alignment horizontal="center"/>
      <protection locked="0"/>
    </xf>
    <xf numFmtId="0" fontId="221" fillId="0" borderId="0" applyNumberFormat="0" applyFill="0" applyBorder="0" applyAlignment="0">
      <protection locked="0"/>
    </xf>
    <xf numFmtId="225" fontId="222" fillId="53" borderId="1" applyNumberFormat="0" applyFont="0" applyBorder="0" applyAlignment="0">
      <alignment horizontal="right"/>
    </xf>
    <xf numFmtId="225" fontId="223" fillId="53" borderId="1" applyNumberFormat="0" applyAlignment="0">
      <alignment horizontal="right"/>
    </xf>
    <xf numFmtId="225" fontId="222" fillId="53" borderId="1" applyNumberFormat="0" applyAlignment="0">
      <alignment horizontal="right"/>
    </xf>
    <xf numFmtId="2" fontId="224" fillId="0" borderId="11" applyNumberFormat="0" applyFill="0" applyAlignment="0">
      <alignment horizontal="center"/>
    </xf>
    <xf numFmtId="266" fontId="225" fillId="0" borderId="0">
      <alignment horizontal="center"/>
    </xf>
    <xf numFmtId="40" fontId="50" fillId="0" borderId="0"/>
    <xf numFmtId="0" fontId="92" fillId="0" borderId="0" applyNumberFormat="0" applyFill="0" applyBorder="0" applyAlignment="0" applyProtection="0"/>
    <xf numFmtId="0" fontId="95" fillId="0" borderId="0" applyNumberFormat="0" applyFill="0" applyBorder="0" applyAlignment="0" applyProtection="0"/>
    <xf numFmtId="0" fontId="34" fillId="0" borderId="0" applyNumberFormat="0" applyFill="0" applyBorder="0" applyAlignment="0" applyProtection="0"/>
    <xf numFmtId="0" fontId="101" fillId="0" borderId="0"/>
    <xf numFmtId="227" fontId="36" fillId="8" borderId="0" applyFont="0">
      <alignment horizontal="center"/>
    </xf>
    <xf numFmtId="303" fontId="34" fillId="0" borderId="0" applyFont="0" applyFill="0" applyBorder="0" applyAlignment="0" applyProtection="0"/>
    <xf numFmtId="304" fontId="34" fillId="0" borderId="0" applyFont="0" applyFill="0" applyBorder="0" applyAlignment="0" applyProtection="0"/>
    <xf numFmtId="1" fontId="226" fillId="1" borderId="4">
      <protection locked="0"/>
    </xf>
    <xf numFmtId="38" fontId="227" fillId="0" borderId="0"/>
    <xf numFmtId="38" fontId="228" fillId="0" borderId="0"/>
    <xf numFmtId="38" fontId="229" fillId="0" borderId="0"/>
    <xf numFmtId="38" fontId="230" fillId="0" borderId="0"/>
    <xf numFmtId="0" fontId="231" fillId="0" borderId="0"/>
    <xf numFmtId="0" fontId="231" fillId="0" borderId="0"/>
    <xf numFmtId="305" fontId="122" fillId="0" borderId="0" applyFont="0" applyFill="0" applyBorder="0" applyAlignment="0" applyProtection="0">
      <protection hidden="1"/>
    </xf>
    <xf numFmtId="0" fontId="232" fillId="54" borderId="36"/>
    <xf numFmtId="233" fontId="48" fillId="0" borderId="0">
      <alignment horizontal="left"/>
    </xf>
    <xf numFmtId="0" fontId="233" fillId="41" borderId="56" applyNumberFormat="0" applyFont="0" applyFill="0" applyBorder="0" applyAlignment="0"/>
    <xf numFmtId="0" fontId="234" fillId="0" borderId="0"/>
    <xf numFmtId="306" fontId="34" fillId="0" borderId="0" applyFont="0" applyFill="0" applyBorder="0" applyAlignment="0" applyProtection="0"/>
    <xf numFmtId="2" fontId="34" fillId="0" borderId="0" applyNumberFormat="0" applyBorder="0">
      <alignment horizontal="left"/>
    </xf>
    <xf numFmtId="264" fontId="34" fillId="0" borderId="0" applyFill="0" applyBorder="0" applyAlignment="0"/>
    <xf numFmtId="264" fontId="34" fillId="0" borderId="0" applyFill="0" applyBorder="0" applyAlignment="0"/>
    <xf numFmtId="260" fontId="34" fillId="0" borderId="0" applyFill="0" applyBorder="0" applyAlignment="0"/>
    <xf numFmtId="260" fontId="34" fillId="0" borderId="0" applyFill="0" applyBorder="0" applyAlignment="0"/>
    <xf numFmtId="264" fontId="34" fillId="0" borderId="0" applyFill="0" applyBorder="0" applyAlignment="0"/>
    <xf numFmtId="264" fontId="34" fillId="0" borderId="0" applyFill="0" applyBorder="0" applyAlignment="0"/>
    <xf numFmtId="265" fontId="34" fillId="0" borderId="0" applyFill="0" applyBorder="0" applyAlignment="0"/>
    <xf numFmtId="265" fontId="34" fillId="0" borderId="0" applyFill="0" applyBorder="0" applyAlignment="0"/>
    <xf numFmtId="260" fontId="34" fillId="0" borderId="0" applyFill="0" applyBorder="0" applyAlignment="0"/>
    <xf numFmtId="260" fontId="34" fillId="0" borderId="0" applyFill="0" applyBorder="0" applyAlignment="0"/>
    <xf numFmtId="37" fontId="235" fillId="0" borderId="0" applyNumberFormat="0" applyFill="0" applyBorder="0" applyAlignment="0" applyProtection="0">
      <alignment horizontal="right"/>
    </xf>
    <xf numFmtId="37" fontId="34" fillId="0" borderId="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223" fontId="236" fillId="0" borderId="57" applyNumberFormat="0" applyFill="0" applyAlignment="0" applyProtection="0"/>
    <xf numFmtId="222" fontId="236" fillId="0" borderId="57" applyNumberFormat="0" applyFill="0" applyAlignment="0" applyProtection="0"/>
    <xf numFmtId="222" fontId="236" fillId="0" borderId="57" applyNumberFormat="0" applyFill="0" applyAlignment="0" applyProtection="0"/>
    <xf numFmtId="0" fontId="231" fillId="0" borderId="0"/>
    <xf numFmtId="196" fontId="50" fillId="0" borderId="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237" fillId="0" borderId="0" applyNumberFormat="0" applyFill="0" applyBorder="0" applyAlignment="0" applyProtection="0"/>
    <xf numFmtId="0" fontId="92" fillId="0" borderId="0" applyFill="0" applyBorder="0" applyAlignment="0" applyProtection="0"/>
    <xf numFmtId="203" fontId="34" fillId="0" borderId="0">
      <alignment horizontal="right"/>
    </xf>
    <xf numFmtId="38" fontId="238" fillId="0" borderId="0" applyFont="0" applyFill="0" applyBorder="0" applyAlignment="0" applyProtection="0"/>
    <xf numFmtId="40" fontId="238" fillId="0" borderId="0" applyFont="0" applyFill="0" applyBorder="0" applyAlignment="0" applyProtection="0"/>
    <xf numFmtId="307" fontId="34" fillId="0" borderId="0" applyFont="0" applyFill="0" applyBorder="0" applyAlignment="0" applyProtection="0"/>
    <xf numFmtId="18" fontId="34" fillId="0" borderId="0" applyFont="0" applyFill="0" applyBorder="0" applyAlignment="0" applyProtection="0"/>
    <xf numFmtId="181" fontId="34" fillId="0" borderId="0" applyFont="0" applyFill="0" applyBorder="0" applyAlignment="0" applyProtection="0"/>
    <xf numFmtId="308" fontId="34" fillId="0" borderId="0" applyFont="0" applyFill="0" applyBorder="0" applyAlignment="0" applyProtection="0"/>
    <xf numFmtId="2" fontId="239" fillId="0" borderId="3" applyFont="0" applyFill="0" applyBorder="0" applyAlignment="0"/>
    <xf numFmtId="14" fontId="46" fillId="0" borderId="0" applyFont="0" applyFill="0" applyBorder="0" applyAlignment="0" applyProtection="0"/>
    <xf numFmtId="309" fontId="122" fillId="0" borderId="0" applyFont="0" applyFill="0" applyBorder="0" applyAlignment="0" applyProtection="0">
      <alignment horizontal="center"/>
      <protection hidden="1"/>
    </xf>
    <xf numFmtId="310" fontId="122" fillId="0" borderId="0" applyFont="0" applyFill="0" applyBorder="0" applyAlignment="0" applyProtection="0">
      <alignment horizontal="center"/>
      <protection hidden="1"/>
    </xf>
    <xf numFmtId="0" fontId="34" fillId="0" borderId="0" applyFont="0" applyFill="0" applyBorder="0" applyAlignment="0" applyProtection="0"/>
    <xf numFmtId="0" fontId="34" fillId="0" borderId="0" applyFont="0" applyFill="0" applyBorder="0" applyAlignment="0" applyProtection="0"/>
    <xf numFmtId="286" fontId="34" fillId="0" borderId="0" applyFont="0" applyFill="0" applyBorder="0" applyAlignment="0" applyProtection="0"/>
    <xf numFmtId="311" fontId="34" fillId="0" borderId="0" applyFont="0" applyFill="0" applyBorder="0" applyAlignment="0" applyProtection="0"/>
    <xf numFmtId="220" fontId="34" fillId="0" borderId="0" applyFont="0" applyFill="0" applyBorder="0" applyAlignment="0" applyProtection="0"/>
    <xf numFmtId="227" fontId="34" fillId="0" borderId="0" applyFont="0" applyFill="0" applyBorder="0" applyAlignment="0" applyProtection="0"/>
    <xf numFmtId="0" fontId="240" fillId="0" borderId="0"/>
    <xf numFmtId="0" fontId="241" fillId="0" borderId="0">
      <alignment horizontal="centerContinuous"/>
    </xf>
    <xf numFmtId="309" fontId="34" fillId="0" borderId="16" applyFont="0" applyFill="0" applyBorder="0" applyProtection="0"/>
    <xf numFmtId="305" fontId="50" fillId="0" borderId="16" applyFont="0" applyFill="0" applyBorder="0" applyAlignment="0" applyProtection="0"/>
    <xf numFmtId="312" fontId="138" fillId="0" borderId="0" applyFont="0" applyFill="0" applyBorder="0" applyAlignment="0" applyProtection="0">
      <alignment horizontal="right"/>
    </xf>
    <xf numFmtId="309" fontId="34" fillId="0" borderId="0" applyFont="0" applyFill="0" applyBorder="0" applyAlignment="0" applyProtection="0"/>
    <xf numFmtId="305" fontId="50" fillId="0" borderId="0" applyFont="0" applyFill="0" applyBorder="0" applyAlignment="0" applyProtection="0"/>
    <xf numFmtId="171" fontId="101" fillId="0" borderId="0" applyFont="0" applyFill="0" applyBorder="0" applyAlignment="0" applyProtection="0"/>
    <xf numFmtId="313" fontId="34" fillId="0" borderId="0" applyFill="0" applyBorder="0" applyProtection="0">
      <alignment horizontal="right"/>
    </xf>
    <xf numFmtId="192" fontId="50" fillId="0" borderId="0"/>
    <xf numFmtId="192" fontId="107" fillId="0" borderId="0"/>
    <xf numFmtId="192" fontId="157" fillId="0" borderId="0"/>
    <xf numFmtId="314" fontId="34" fillId="0" borderId="0"/>
    <xf numFmtId="193" fontId="50" fillId="0" borderId="0"/>
    <xf numFmtId="193" fontId="113" fillId="0" borderId="0"/>
    <xf numFmtId="0" fontId="50" fillId="0" borderId="0" applyFont="0" applyFill="0" applyBorder="0" applyAlignment="0"/>
    <xf numFmtId="315" fontId="50" fillId="0" borderId="0" applyFont="0" applyFill="0" applyBorder="0" applyAlignment="0"/>
    <xf numFmtId="316" fontId="50" fillId="0" borderId="0" applyFont="0" applyFill="0" applyBorder="0" applyAlignment="0"/>
    <xf numFmtId="317" fontId="50" fillId="0" borderId="0" applyFont="0" applyFill="0" applyBorder="0" applyAlignment="0" applyProtection="0"/>
    <xf numFmtId="318" fontId="109" fillId="0" borderId="0"/>
    <xf numFmtId="238" fontId="50" fillId="0" borderId="0"/>
    <xf numFmtId="181" fontId="85" fillId="12" borderId="0" applyNumberFormat="0">
      <alignment horizontal="right"/>
    </xf>
    <xf numFmtId="192" fontId="122" fillId="0" borderId="58" applyFont="0" applyFill="0" applyBorder="0" applyAlignment="0" applyProtection="0">
      <alignment horizontal="center"/>
      <protection hidden="1"/>
    </xf>
    <xf numFmtId="319" fontId="92" fillId="8" borderId="0" applyFont="0" applyBorder="0" applyAlignment="0" applyProtection="0">
      <alignment horizontal="right"/>
      <protection hidden="1"/>
    </xf>
    <xf numFmtId="0" fontId="34" fillId="0" borderId="0" applyNumberFormat="0" applyFont="0" applyFill="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223" fontId="242" fillId="9" borderId="0" applyNumberFormat="0" applyBorder="0" applyAlignment="0" applyProtection="0"/>
    <xf numFmtId="222" fontId="242" fillId="9" borderId="0" applyNumberFormat="0" applyBorder="0" applyAlignment="0" applyProtection="0"/>
    <xf numFmtId="222" fontId="242" fillId="9" borderId="0" applyNumberFormat="0" applyBorder="0" applyAlignment="0" applyProtection="0"/>
    <xf numFmtId="40" fontId="35" fillId="0" borderId="0" applyFont="0" applyFill="0" applyBorder="0" applyAlignment="0" applyProtection="0">
      <alignment horizontal="center"/>
    </xf>
    <xf numFmtId="0" fontId="243" fillId="0" borderId="0"/>
    <xf numFmtId="37" fontId="144" fillId="0" borderId="0"/>
    <xf numFmtId="310" fontId="34" fillId="0" borderId="0"/>
    <xf numFmtId="0" fontId="101" fillId="0" borderId="0"/>
    <xf numFmtId="0" fontId="112" fillId="40" borderId="0" applyNumberFormat="0" applyFont="0" applyAlignment="0">
      <alignment horizontal="centerContinuous"/>
    </xf>
    <xf numFmtId="320" fontId="159" fillId="0" borderId="0" applyFont="0">
      <alignment horizontal="right"/>
    </xf>
    <xf numFmtId="321" fontId="34" fillId="0" borderId="0"/>
    <xf numFmtId="321" fontId="34" fillId="0" borderId="0"/>
    <xf numFmtId="38" fontId="92" fillId="0" borderId="0" applyFont="0" applyFill="0" applyBorder="0" applyAlignment="0"/>
    <xf numFmtId="266" fontId="34" fillId="0" borderId="0" applyFont="0" applyFill="0" applyBorder="0" applyAlignment="0"/>
    <xf numFmtId="40" fontId="92" fillId="0" borderId="0" applyFont="0" applyFill="0" applyBorder="0" applyAlignment="0"/>
    <xf numFmtId="308" fontId="92" fillId="0" borderId="0" applyFont="0" applyFill="0" applyBorder="0" applyAlignment="0"/>
    <xf numFmtId="0" fontId="139" fillId="0" borderId="0"/>
    <xf numFmtId="0" fontId="139" fillId="0" borderId="0"/>
    <xf numFmtId="0" fontId="139" fillId="0" borderId="0"/>
    <xf numFmtId="222" fontId="34" fillId="0" borderId="0"/>
    <xf numFmtId="0" fontId="139" fillId="0" borderId="0"/>
    <xf numFmtId="222" fontId="34" fillId="0" borderId="0"/>
    <xf numFmtId="0" fontId="139" fillId="0" borderId="0"/>
    <xf numFmtId="0" fontId="139" fillId="0" borderId="0"/>
    <xf numFmtId="0" fontId="139" fillId="0" borderId="0"/>
    <xf numFmtId="222" fontId="34" fillId="0" borderId="0"/>
    <xf numFmtId="0" fontId="139" fillId="0" borderId="0"/>
    <xf numFmtId="222" fontId="34" fillId="0" borderId="0"/>
    <xf numFmtId="224" fontId="139" fillId="0" borderId="0"/>
    <xf numFmtId="224" fontId="139" fillId="0" borderId="0"/>
    <xf numFmtId="224" fontId="139" fillId="0" borderId="0"/>
    <xf numFmtId="222" fontId="34" fillId="0" borderId="0"/>
    <xf numFmtId="224" fontId="139" fillId="0" borderId="0"/>
    <xf numFmtId="222" fontId="34" fillId="0" borderId="0"/>
    <xf numFmtId="0" fontId="139" fillId="0" borderId="0"/>
    <xf numFmtId="0" fontId="139" fillId="0" borderId="0"/>
    <xf numFmtId="222" fontId="34" fillId="0" borderId="0"/>
    <xf numFmtId="222" fontId="34" fillId="0" borderId="0"/>
    <xf numFmtId="222" fontId="34" fillId="0" borderId="0"/>
    <xf numFmtId="222" fontId="34" fillId="0" borderId="0"/>
    <xf numFmtId="0" fontId="139" fillId="0" borderId="0"/>
    <xf numFmtId="0" fontId="139"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4" fontId="244" fillId="0" borderId="0"/>
    <xf numFmtId="224" fontId="244" fillId="0" borderId="0"/>
    <xf numFmtId="222" fontId="34" fillId="0" borderId="0"/>
    <xf numFmtId="224" fontId="139" fillId="0" borderId="0"/>
    <xf numFmtId="224" fontId="139" fillId="0" borderId="0"/>
    <xf numFmtId="224" fontId="139" fillId="0" borderId="0"/>
    <xf numFmtId="224" fontId="139" fillId="0" borderId="0"/>
    <xf numFmtId="0" fontId="139" fillId="0" borderId="0"/>
    <xf numFmtId="0" fontId="139" fillId="0" borderId="0"/>
    <xf numFmtId="222" fontId="34" fillId="0" borderId="0"/>
    <xf numFmtId="0" fontId="32" fillId="0" borderId="0"/>
    <xf numFmtId="223" fontId="34" fillId="0" borderId="0"/>
    <xf numFmtId="223" fontId="34" fillId="0" borderId="0"/>
    <xf numFmtId="0" fontId="139" fillId="0" borderId="0"/>
    <xf numFmtId="223" fontId="34" fillId="0" borderId="0"/>
    <xf numFmtId="223" fontId="34" fillId="0" borderId="0"/>
    <xf numFmtId="0" fontId="34" fillId="0" borderId="0"/>
    <xf numFmtId="223" fontId="34" fillId="0" borderId="0"/>
    <xf numFmtId="223" fontId="34" fillId="0" borderId="0"/>
    <xf numFmtId="223"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3" fontId="34" fillId="0" borderId="0"/>
    <xf numFmtId="222" fontId="34" fillId="0" borderId="0"/>
    <xf numFmtId="222" fontId="34" fillId="0" borderId="0"/>
    <xf numFmtId="222" fontId="34" fillId="0" borderId="0"/>
    <xf numFmtId="222" fontId="34" fillId="0" borderId="0"/>
    <xf numFmtId="223" fontId="34" fillId="0" borderId="0"/>
    <xf numFmtId="222" fontId="34" fillId="0" borderId="0"/>
    <xf numFmtId="222" fontId="34" fillId="0" borderId="0"/>
    <xf numFmtId="223" fontId="83" fillId="0" borderId="0"/>
    <xf numFmtId="222" fontId="83" fillId="0" borderId="0"/>
    <xf numFmtId="222" fontId="83" fillId="0" borderId="0"/>
    <xf numFmtId="224" fontId="245" fillId="0" borderId="0"/>
    <xf numFmtId="224" fontId="34" fillId="0" borderId="0"/>
    <xf numFmtId="224" fontId="34" fillId="0" borderId="0"/>
    <xf numFmtId="222" fontId="34" fillId="0" borderId="0"/>
    <xf numFmtId="222" fontId="34" fillId="0" borderId="0"/>
    <xf numFmtId="222" fontId="137" fillId="0" borderId="0"/>
    <xf numFmtId="222" fontId="137" fillId="0" borderId="0"/>
    <xf numFmtId="224" fontId="245" fillId="0" borderId="0"/>
    <xf numFmtId="222" fontId="34" fillId="0" borderId="0"/>
    <xf numFmtId="0" fontId="34" fillId="0" borderId="0"/>
    <xf numFmtId="223" fontId="34" fillId="0" borderId="0"/>
    <xf numFmtId="222" fontId="34" fillId="0" borderId="0"/>
    <xf numFmtId="222" fontId="34" fillId="0" borderId="0"/>
    <xf numFmtId="223" fontId="34" fillId="0" borderId="0"/>
    <xf numFmtId="222" fontId="34" fillId="0" borderId="0"/>
    <xf numFmtId="222" fontId="34" fillId="0" borderId="0"/>
    <xf numFmtId="223" fontId="34" fillId="0" borderId="0"/>
    <xf numFmtId="222" fontId="34" fillId="0" borderId="0"/>
    <xf numFmtId="222" fontId="34" fillId="0" borderId="0"/>
    <xf numFmtId="223" fontId="246" fillId="0" borderId="0"/>
    <xf numFmtId="222" fontId="246" fillId="0" borderId="0"/>
    <xf numFmtId="222" fontId="246" fillId="0" borderId="0"/>
    <xf numFmtId="223" fontId="122" fillId="0" borderId="0"/>
    <xf numFmtId="222" fontId="122" fillId="0" borderId="0"/>
    <xf numFmtId="222" fontId="122" fillId="0" borderId="0"/>
    <xf numFmtId="223" fontId="32" fillId="0" borderId="0"/>
    <xf numFmtId="223" fontId="247" fillId="0" borderId="0"/>
    <xf numFmtId="223" fontId="137" fillId="0" borderId="0"/>
    <xf numFmtId="223" fontId="137" fillId="0" borderId="0"/>
    <xf numFmtId="223" fontId="247" fillId="0" borderId="0"/>
    <xf numFmtId="223" fontId="32" fillId="0" borderId="0"/>
    <xf numFmtId="223" fontId="32" fillId="0" borderId="0"/>
    <xf numFmtId="224" fontId="247" fillId="0" borderId="0"/>
    <xf numFmtId="224" fontId="247" fillId="0" borderId="0"/>
    <xf numFmtId="222" fontId="34" fillId="0" borderId="0"/>
    <xf numFmtId="222" fontId="34" fillId="0" borderId="0"/>
    <xf numFmtId="222" fontId="34" fillId="0" borderId="0"/>
    <xf numFmtId="222" fontId="34" fillId="0" borderId="0"/>
    <xf numFmtId="223" fontId="32" fillId="0" borderId="0"/>
    <xf numFmtId="0" fontId="244" fillId="0" borderId="0"/>
    <xf numFmtId="224" fontId="32" fillId="0" borderId="0"/>
    <xf numFmtId="224" fontId="32" fillId="0" borderId="0"/>
    <xf numFmtId="222" fontId="34" fillId="0" borderId="0"/>
    <xf numFmtId="222" fontId="34" fillId="0" borderId="0"/>
    <xf numFmtId="224" fontId="32" fillId="0" borderId="0"/>
    <xf numFmtId="222" fontId="34" fillId="0" borderId="0"/>
    <xf numFmtId="224" fontId="34" fillId="0" borderId="0"/>
    <xf numFmtId="224" fontId="34" fillId="0" borderId="0"/>
    <xf numFmtId="222" fontId="34" fillId="0" borderId="0"/>
    <xf numFmtId="222" fontId="34" fillId="0" borderId="0"/>
    <xf numFmtId="223" fontId="34" fillId="0" borderId="0"/>
    <xf numFmtId="223" fontId="34" fillId="0" borderId="0"/>
    <xf numFmtId="223" fontId="34" fillId="0" borderId="0"/>
    <xf numFmtId="223" fontId="34" fillId="0" borderId="0"/>
    <xf numFmtId="223" fontId="34" fillId="0" borderId="0"/>
    <xf numFmtId="223" fontId="34" fillId="0" borderId="0"/>
    <xf numFmtId="223" fontId="34" fillId="0" borderId="0"/>
    <xf numFmtId="223" fontId="34" fillId="0" borderId="0"/>
    <xf numFmtId="222" fontId="34" fillId="0" borderId="0"/>
    <xf numFmtId="224" fontId="34" fillId="0" borderId="0"/>
    <xf numFmtId="224" fontId="34" fillId="0" borderId="0"/>
    <xf numFmtId="222" fontId="34" fillId="0" borderId="0"/>
    <xf numFmtId="222" fontId="34" fillId="0" borderId="0"/>
    <xf numFmtId="222" fontId="34" fillId="0" borderId="0"/>
    <xf numFmtId="222" fontId="34" fillId="0" borderId="0"/>
    <xf numFmtId="224" fontId="139" fillId="0" borderId="0"/>
    <xf numFmtId="224" fontId="139" fillId="0" borderId="0"/>
    <xf numFmtId="224" fontId="139" fillId="0" borderId="0"/>
    <xf numFmtId="222" fontId="34" fillId="0" borderId="0"/>
    <xf numFmtId="224" fontId="139" fillId="0" borderId="0"/>
    <xf numFmtId="222" fontId="34" fillId="0" borderId="0"/>
    <xf numFmtId="224" fontId="139" fillId="0" borderId="0"/>
    <xf numFmtId="224" fontId="139" fillId="0" borderId="0"/>
    <xf numFmtId="224" fontId="139" fillId="0" borderId="0"/>
    <xf numFmtId="224" fontId="139" fillId="0" borderId="0"/>
    <xf numFmtId="224" fontId="139" fillId="0" borderId="0"/>
    <xf numFmtId="224" fontId="139" fillId="0" borderId="0"/>
    <xf numFmtId="224" fontId="139" fillId="0" borderId="0"/>
    <xf numFmtId="224" fontId="139" fillId="0" borderId="0"/>
    <xf numFmtId="266" fontId="95" fillId="0" borderId="0" applyNumberFormat="0" applyFill="0" applyBorder="0" applyAlignment="0" applyProtection="0"/>
    <xf numFmtId="238" fontId="248" fillId="0" borderId="0" applyNumberFormat="0" applyFill="0" applyBorder="0" applyAlignment="0" applyProtection="0"/>
    <xf numFmtId="238" fontId="249" fillId="0" borderId="0" applyNumberFormat="0" applyFill="0" applyBorder="0" applyAlignment="0" applyProtection="0"/>
    <xf numFmtId="322" fontId="92" fillId="0" borderId="0" applyFont="0" applyFill="0" applyBorder="0" applyAlignment="0" applyProtection="0"/>
    <xf numFmtId="0" fontId="50" fillId="0" borderId="0"/>
    <xf numFmtId="299" fontId="109" fillId="0" borderId="0"/>
    <xf numFmtId="323" fontId="109" fillId="0" borderId="0"/>
    <xf numFmtId="324" fontId="109" fillId="0" borderId="0"/>
    <xf numFmtId="38" fontId="163" fillId="0" borderId="0"/>
    <xf numFmtId="183" fontId="97" fillId="0" borderId="0">
      <alignment horizontal="left"/>
      <protection locked="0"/>
    </xf>
    <xf numFmtId="183" fontId="112" fillId="0" borderId="0">
      <alignment horizontal="left"/>
      <protection locked="0"/>
    </xf>
    <xf numFmtId="301" fontId="109" fillId="0" borderId="0"/>
    <xf numFmtId="0" fontId="246" fillId="0" borderId="0"/>
    <xf numFmtId="233" fontId="250" fillId="0" borderId="0">
      <alignment horizontal="right"/>
    </xf>
    <xf numFmtId="0" fontId="101" fillId="0" borderId="0"/>
    <xf numFmtId="0" fontId="251" fillId="0" borderId="0" applyFill="0" applyBorder="0" applyAlignment="0" applyProtection="0"/>
    <xf numFmtId="0" fontId="252" fillId="0" borderId="26"/>
    <xf numFmtId="325" fontId="50" fillId="40" borderId="0" applyBorder="0">
      <alignment vertical="center"/>
    </xf>
    <xf numFmtId="40" fontId="34" fillId="0" borderId="0" applyBorder="0">
      <alignment horizontal="right"/>
    </xf>
    <xf numFmtId="37" fontId="253" fillId="0" borderId="0" applyNumberFormat="0" applyFont="0" applyFill="0" applyBorder="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4" fontId="32" fillId="3" borderId="10"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3" fontId="34"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23" fontId="83" fillId="22" borderId="47" applyNumberFormat="0" applyFont="0" applyAlignment="0" applyProtection="0"/>
    <xf numFmtId="222" fontId="83" fillId="22" borderId="47" applyNumberFormat="0" applyFont="0" applyAlignment="0" applyProtection="0"/>
    <xf numFmtId="222" fontId="83" fillId="22" borderId="47" applyNumberFormat="0" applyFont="0" applyAlignment="0" applyProtection="0"/>
    <xf numFmtId="238" fontId="254" fillId="0" borderId="0" applyNumberFormat="0" applyFill="0" applyBorder="0" applyAlignment="0" applyProtection="0"/>
    <xf numFmtId="238" fontId="249" fillId="0" borderId="0" applyNumberFormat="0" applyFill="0" applyBorder="0" applyAlignment="0" applyProtection="0"/>
    <xf numFmtId="0" fontId="255" fillId="0" borderId="11"/>
    <xf numFmtId="38" fontId="92" fillId="0" borderId="0"/>
    <xf numFmtId="0" fontId="92" fillId="0" borderId="0" applyFont="0" applyFill="0" applyBorder="0" applyAlignment="0" applyProtection="0"/>
    <xf numFmtId="37" fontId="50" fillId="0" borderId="0"/>
    <xf numFmtId="37" fontId="113" fillId="0" borderId="0"/>
    <xf numFmtId="41" fontId="107" fillId="0" borderId="0"/>
    <xf numFmtId="37" fontId="157" fillId="0" borderId="0"/>
    <xf numFmtId="37" fontId="256" fillId="0" borderId="0"/>
    <xf numFmtId="183" fontId="50" fillId="0" borderId="0"/>
    <xf numFmtId="183" fontId="50" fillId="0" borderId="16"/>
    <xf numFmtId="183" fontId="50" fillId="0" borderId="14"/>
    <xf numFmtId="183" fontId="113" fillId="0" borderId="0"/>
    <xf numFmtId="183" fontId="107" fillId="0" borderId="0"/>
    <xf numFmtId="183" fontId="107" fillId="0" borderId="16"/>
    <xf numFmtId="183" fontId="156" fillId="0" borderId="0"/>
    <xf numFmtId="183" fontId="157" fillId="0" borderId="0"/>
    <xf numFmtId="183" fontId="157" fillId="0" borderId="16"/>
    <xf numFmtId="183" fontId="220" fillId="0" borderId="0"/>
    <xf numFmtId="39" fontId="50" fillId="0" borderId="0"/>
    <xf numFmtId="39" fontId="107" fillId="0" borderId="0"/>
    <xf numFmtId="295" fontId="50" fillId="0" borderId="0"/>
    <xf numFmtId="295" fontId="50" fillId="0" borderId="16"/>
    <xf numFmtId="295" fontId="107" fillId="0" borderId="0"/>
    <xf numFmtId="326" fontId="48" fillId="0" borderId="0"/>
    <xf numFmtId="0" fontId="48" fillId="0" borderId="0"/>
    <xf numFmtId="1" fontId="93" fillId="0" borderId="0">
      <alignment horizontal="right"/>
      <protection locked="0"/>
    </xf>
    <xf numFmtId="171" fontId="163" fillId="0" borderId="0">
      <alignment horizontal="right"/>
      <protection locked="0"/>
    </xf>
    <xf numFmtId="183" fontId="93" fillId="0" borderId="0">
      <protection locked="0"/>
    </xf>
    <xf numFmtId="202" fontId="92" fillId="0" borderId="0" applyFill="0" applyBorder="0" applyProtection="0">
      <alignment horizontal="right" wrapText="1"/>
    </xf>
    <xf numFmtId="202" fontId="95" fillId="0" borderId="0" applyFill="0" applyBorder="0" applyProtection="0">
      <alignment horizontal="right" wrapText="1"/>
    </xf>
    <xf numFmtId="2" fontId="163" fillId="0" borderId="0">
      <alignment horizontal="right"/>
      <protection locked="0"/>
    </xf>
    <xf numFmtId="2" fontId="93" fillId="0" borderId="0">
      <alignment horizontal="right"/>
      <protection locked="0"/>
    </xf>
    <xf numFmtId="327" fontId="92" fillId="0" borderId="0" applyFill="0" applyBorder="0" applyProtection="0">
      <alignment horizontal="right" wrapText="1"/>
    </xf>
    <xf numFmtId="327" fontId="95" fillId="0" borderId="0" applyFill="0" applyBorder="0" applyProtection="0">
      <alignment horizontal="right" wrapText="1"/>
    </xf>
    <xf numFmtId="1" fontId="95" fillId="0" borderId="0" applyFont="0" applyFill="0" applyBorder="0" applyAlignment="0" applyProtection="0">
      <protection locked="0"/>
    </xf>
    <xf numFmtId="209" fontId="34" fillId="0" borderId="0">
      <alignment horizontal="right"/>
    </xf>
    <xf numFmtId="215" fontId="34" fillId="0" borderId="0">
      <alignment horizontal="right"/>
    </xf>
    <xf numFmtId="216" fontId="34" fillId="0" borderId="0">
      <alignment horizontal="right"/>
    </xf>
    <xf numFmtId="197" fontId="34" fillId="0" borderId="0">
      <alignment horizontal="right"/>
    </xf>
    <xf numFmtId="197" fontId="34" fillId="0" borderId="0">
      <alignment horizontal="right"/>
    </xf>
    <xf numFmtId="204" fontId="34" fillId="0" borderId="0">
      <alignment horizontal="right"/>
    </xf>
    <xf numFmtId="199" fontId="34" fillId="0" borderId="0">
      <alignment horizontal="right"/>
    </xf>
    <xf numFmtId="210" fontId="34" fillId="0" borderId="0">
      <alignment horizontal="right"/>
    </xf>
    <xf numFmtId="0" fontId="34" fillId="0" borderId="0"/>
    <xf numFmtId="0" fontId="152" fillId="0" borderId="0" applyNumberFormat="0" applyFill="0" applyBorder="0" applyAlignment="0" applyProtection="0"/>
    <xf numFmtId="0" fontId="95" fillId="0" borderId="0" applyNumberFormat="0" applyFill="0" applyBorder="0" applyAlignment="0" applyProtection="0"/>
    <xf numFmtId="0" fontId="152" fillId="0" borderId="0" applyNumberFormat="0" applyFill="0" applyBorder="0" applyAlignment="0" applyProtection="0"/>
    <xf numFmtId="0" fontId="95" fillId="0" borderId="0" applyNumberFormat="0" applyFill="0" applyBorder="0" applyAlignment="0" applyProtection="0"/>
    <xf numFmtId="0" fontId="254" fillId="0" borderId="0" applyNumberFormat="0" applyFill="0" applyBorder="0" applyAlignment="0" applyProtection="0"/>
    <xf numFmtId="0" fontId="34" fillId="0" borderId="0" applyNumberFormat="0" applyFill="0" applyBorder="0" applyAlignment="0" applyProtection="0"/>
    <xf numFmtId="202" fontId="92" fillId="0" borderId="0" applyFill="0" applyBorder="0" applyProtection="0">
      <alignment horizontal="right" wrapText="1"/>
    </xf>
    <xf numFmtId="202" fontId="95" fillId="0" borderId="0" applyFill="0" applyBorder="0" applyProtection="0">
      <alignment horizontal="right" wrapText="1"/>
    </xf>
    <xf numFmtId="328" fontId="92" fillId="0" borderId="0" applyFill="0" applyBorder="0" applyProtection="0">
      <alignment horizontal="right" wrapText="1"/>
    </xf>
    <xf numFmtId="328" fontId="95" fillId="0" borderId="0" applyFill="0" applyBorder="0" applyProtection="0">
      <alignment horizontal="right" wrapText="1"/>
    </xf>
    <xf numFmtId="43" fontId="50" fillId="0" borderId="0" applyFont="0" applyFill="0" applyBorder="0" applyAlignment="0" applyProtection="0"/>
    <xf numFmtId="41" fontId="50" fillId="0" borderId="0" applyFont="0" applyFill="0" applyBorder="0" applyAlignment="0" applyProtection="0"/>
    <xf numFmtId="329" fontId="109" fillId="0" borderId="0" applyBorder="0" applyProtection="0"/>
    <xf numFmtId="0" fontId="257" fillId="0" borderId="0">
      <alignment horizontal="left" vertical="top"/>
      <protection locked="0"/>
    </xf>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3" fontId="258" fillId="42" borderId="59" applyNumberFormat="0" applyAlignment="0" applyProtection="0"/>
    <xf numFmtId="223" fontId="258" fillId="42" borderId="59" applyNumberFormat="0" applyAlignment="0" applyProtection="0"/>
    <xf numFmtId="223" fontId="258" fillId="42" borderId="59" applyNumberFormat="0" applyAlignment="0" applyProtection="0"/>
    <xf numFmtId="223" fontId="258" fillId="42" borderId="59" applyNumberFormat="0" applyAlignment="0" applyProtection="0"/>
    <xf numFmtId="223" fontId="258" fillId="42" borderId="59" applyNumberFormat="0" applyAlignment="0" applyProtection="0"/>
    <xf numFmtId="223" fontId="258" fillId="42" borderId="59" applyNumberFormat="0" applyAlignment="0" applyProtection="0"/>
    <xf numFmtId="223" fontId="258" fillId="42" borderId="59" applyNumberFormat="0" applyAlignment="0" applyProtection="0"/>
    <xf numFmtId="223" fontId="258" fillId="42"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223" fontId="258" fillId="26" borderId="59" applyNumberFormat="0" applyAlignment="0" applyProtection="0"/>
    <xf numFmtId="222" fontId="258" fillId="26" borderId="59" applyNumberFormat="0" applyAlignment="0" applyProtection="0"/>
    <xf numFmtId="222" fontId="258" fillId="26" borderId="59" applyNumberFormat="0" applyAlignment="0" applyProtection="0"/>
    <xf numFmtId="40" fontId="122" fillId="40" borderId="0">
      <alignment horizontal="right"/>
    </xf>
    <xf numFmtId="0" fontId="43" fillId="40" borderId="0">
      <alignment horizontal="left"/>
    </xf>
    <xf numFmtId="0" fontId="67" fillId="55" borderId="0" applyNumberFormat="0" applyFont="0" applyBorder="0" applyAlignment="0"/>
    <xf numFmtId="0" fontId="259" fillId="0" borderId="16" applyNumberFormat="0" applyFill="0" applyBorder="0" applyAlignment="0">
      <protection locked="0"/>
    </xf>
    <xf numFmtId="0" fontId="34" fillId="0" borderId="0" applyNumberFormat="0" applyFont="0" applyBorder="0" applyAlignment="0"/>
    <xf numFmtId="0" fontId="33" fillId="0" borderId="0" applyNumberFormat="0" applyFill="0" applyBorder="0" applyAlignment="0" applyProtection="0"/>
    <xf numFmtId="37" fontId="98" fillId="0" borderId="0">
      <protection locked="0"/>
    </xf>
    <xf numFmtId="167" fontId="98" fillId="0" borderId="0">
      <protection locked="0"/>
    </xf>
    <xf numFmtId="37" fontId="98" fillId="0" borderId="0">
      <protection locked="0"/>
    </xf>
    <xf numFmtId="37" fontId="98" fillId="0" borderId="0">
      <protection locked="0"/>
    </xf>
    <xf numFmtId="9" fontId="98" fillId="0" borderId="0">
      <protection locked="0"/>
    </xf>
    <xf numFmtId="10" fontId="98" fillId="0" borderId="0">
      <protection locked="0"/>
    </xf>
    <xf numFmtId="302" fontId="34" fillId="0" borderId="0" applyFont="0" applyFill="0" applyBorder="0" applyAlignment="0" applyProtection="0"/>
    <xf numFmtId="330" fontId="34" fillId="0" borderId="0"/>
    <xf numFmtId="0" fontId="50" fillId="0" borderId="0"/>
    <xf numFmtId="331" fontId="34" fillId="0" borderId="0"/>
    <xf numFmtId="331" fontId="34" fillId="0" borderId="0"/>
    <xf numFmtId="226" fontId="34" fillId="0" borderId="0"/>
    <xf numFmtId="226" fontId="34" fillId="0" borderId="0"/>
    <xf numFmtId="0" fontId="50" fillId="0" borderId="0"/>
    <xf numFmtId="332" fontId="34" fillId="0" borderId="0"/>
    <xf numFmtId="177" fontId="34" fillId="0" borderId="0"/>
    <xf numFmtId="226" fontId="34" fillId="0" borderId="0"/>
    <xf numFmtId="330" fontId="34" fillId="0" borderId="0"/>
    <xf numFmtId="0" fontId="50" fillId="0" borderId="0"/>
    <xf numFmtId="331" fontId="34" fillId="0" borderId="0"/>
    <xf numFmtId="331" fontId="34" fillId="0" borderId="0"/>
    <xf numFmtId="226" fontId="34" fillId="0" borderId="0"/>
    <xf numFmtId="226" fontId="34" fillId="0" borderId="0"/>
    <xf numFmtId="0" fontId="50" fillId="0" borderId="0"/>
    <xf numFmtId="332" fontId="34" fillId="0" borderId="0"/>
    <xf numFmtId="177" fontId="34" fillId="0" borderId="0"/>
    <xf numFmtId="226" fontId="34" fillId="0" borderId="0"/>
    <xf numFmtId="0" fontId="260" fillId="0" borderId="0" applyProtection="0">
      <alignment horizontal="left"/>
    </xf>
    <xf numFmtId="0" fontId="260" fillId="0" borderId="0" applyFill="0" applyBorder="0" applyProtection="0">
      <alignment horizontal="left"/>
    </xf>
    <xf numFmtId="0" fontId="261" fillId="0" borderId="0" applyFill="0" applyBorder="0" applyProtection="0">
      <alignment horizontal="left"/>
    </xf>
    <xf numFmtId="1" fontId="262" fillId="0" borderId="0" applyProtection="0">
      <alignment horizontal="right" vertical="center"/>
    </xf>
    <xf numFmtId="183" fontId="35" fillId="0" borderId="0"/>
    <xf numFmtId="0" fontId="109" fillId="0" borderId="0">
      <alignment horizontal="center"/>
    </xf>
    <xf numFmtId="0" fontId="263" fillId="0" borderId="0">
      <alignment horizontal="center"/>
    </xf>
    <xf numFmtId="0" fontId="121" fillId="44" borderId="1" applyNumberFormat="0" applyProtection="0">
      <alignment horizontal="center" vertical="top" wrapText="1"/>
      <protection hidden="1"/>
    </xf>
    <xf numFmtId="171" fontId="34" fillId="0" borderId="0" applyFill="0"/>
    <xf numFmtId="0" fontId="113" fillId="0" borderId="60" applyNumberFormat="0" applyAlignment="0" applyProtection="0"/>
    <xf numFmtId="0" fontId="50" fillId="56" borderId="0" applyNumberFormat="0" applyFont="0" applyBorder="0" applyAlignment="0" applyProtection="0"/>
    <xf numFmtId="0" fontId="92" fillId="57" borderId="11" applyNumberFormat="0" applyFont="0" applyBorder="0" applyAlignment="0" applyProtection="0">
      <alignment horizontal="center"/>
    </xf>
    <xf numFmtId="0" fontId="92" fillId="39" borderId="11" applyNumberFormat="0" applyFont="0" applyBorder="0" applyAlignment="0" applyProtection="0">
      <alignment horizontal="center"/>
    </xf>
    <xf numFmtId="0" fontId="50" fillId="0" borderId="61" applyNumberFormat="0" applyAlignment="0" applyProtection="0"/>
    <xf numFmtId="0" fontId="50" fillId="0" borderId="62" applyNumberFormat="0" applyAlignment="0" applyProtection="0"/>
    <xf numFmtId="0" fontId="113" fillId="0" borderId="63" applyNumberFormat="0" applyAlignment="0" applyProtection="0"/>
    <xf numFmtId="0" fontId="92" fillId="0" borderId="0"/>
    <xf numFmtId="311" fontId="34" fillId="0" borderId="0" applyFont="0" applyFill="0" applyBorder="0" applyAlignment="0" applyProtection="0"/>
    <xf numFmtId="193" fontId="122" fillId="0" borderId="0" applyFont="0" applyFill="0" applyBorder="0" applyAlignment="0" applyProtection="0">
      <alignment horizontal="center"/>
    </xf>
    <xf numFmtId="14" fontId="48" fillId="0" borderId="0">
      <alignment horizontal="center" wrapText="1"/>
      <protection locked="0"/>
    </xf>
    <xf numFmtId="221" fontId="48" fillId="0" borderId="0">
      <alignment horizontal="right"/>
    </xf>
    <xf numFmtId="0" fontId="141" fillId="0" borderId="0"/>
    <xf numFmtId="0" fontId="141" fillId="0" borderId="0"/>
    <xf numFmtId="221" fontId="48" fillId="0" borderId="0"/>
    <xf numFmtId="263" fontId="34" fillId="0" borderId="0" applyFont="0" applyFill="0" applyBorder="0" applyAlignment="0" applyProtection="0"/>
    <xf numFmtId="263" fontId="34" fillId="0" borderId="0" applyFont="0" applyFill="0" applyBorder="0" applyAlignment="0" applyProtection="0"/>
    <xf numFmtId="333" fontId="34" fillId="0" borderId="0" applyFont="0" applyFill="0" applyBorder="0" applyAlignment="0" applyProtection="0"/>
    <xf numFmtId="298" fontId="92" fillId="0" borderId="0" applyFont="0" applyFill="0" applyBorder="0" applyAlignment="0"/>
    <xf numFmtId="10" fontId="34" fillId="0" borderId="0" applyFont="0" applyFill="0" applyBorder="0" applyAlignment="0" applyProtection="0"/>
    <xf numFmtId="10" fontId="34" fillId="0" borderId="0" applyFont="0" applyFill="0" applyBorder="0" applyAlignment="0" applyProtection="0"/>
    <xf numFmtId="332" fontId="111" fillId="0" borderId="0" applyFont="0" applyFill="0" applyBorder="0" applyAlignment="0" applyProtection="0">
      <alignment horizontal="center"/>
    </xf>
    <xf numFmtId="9" fontId="32" fillId="0" borderId="0" applyFont="0" applyFill="0" applyBorder="0" applyAlignment="0" applyProtection="0"/>
    <xf numFmtId="314" fontId="34" fillId="0" borderId="0">
      <alignment horizontal="right"/>
    </xf>
    <xf numFmtId="221" fontId="107" fillId="0" borderId="0">
      <alignment horizontal="right"/>
    </xf>
    <xf numFmtId="221" fontId="93" fillId="0" borderId="0">
      <alignment horizontal="right"/>
    </xf>
    <xf numFmtId="221" fontId="157" fillId="0" borderId="0">
      <alignment horizontal="right"/>
    </xf>
    <xf numFmtId="221" fontId="50" fillId="0" borderId="0">
      <alignment horizontal="right"/>
    </xf>
    <xf numFmtId="9" fontId="5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32" fillId="0" borderId="0" applyFont="0" applyFill="0" applyBorder="0" applyAlignment="0" applyProtection="0"/>
    <xf numFmtId="10" fontId="50" fillId="0" borderId="0">
      <alignment horizontal="right"/>
    </xf>
    <xf numFmtId="10" fontId="113" fillId="0" borderId="0">
      <alignment horizontal="right"/>
    </xf>
    <xf numFmtId="10" fontId="107" fillId="0" borderId="0">
      <alignment horizontal="right"/>
    </xf>
    <xf numFmtId="332" fontId="50" fillId="0" borderId="0">
      <alignment horizontal="right"/>
    </xf>
    <xf numFmtId="332" fontId="107" fillId="0" borderId="0">
      <alignment horizontal="right"/>
    </xf>
    <xf numFmtId="9" fontId="83" fillId="0" borderId="0" applyFont="0" applyFill="0" applyBorder="0" applyAlignment="0" applyProtection="0"/>
    <xf numFmtId="9" fontId="32" fillId="0" borderId="0" applyFont="0" applyFill="0" applyBorder="0" applyAlignment="0" applyProtection="0"/>
    <xf numFmtId="9" fontId="83" fillId="0" borderId="0" applyFont="0" applyFill="0" applyBorder="0" applyAlignment="0" applyProtection="0"/>
    <xf numFmtId="181" fontId="34" fillId="0" borderId="0">
      <alignment horizontal="right"/>
    </xf>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34" fillId="0" borderId="0" applyFont="0" applyFill="0" applyBorder="0" applyAlignment="0" applyProtection="0"/>
    <xf numFmtId="9" fontId="32"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330" fontId="85" fillId="12" borderId="0">
      <alignment horizontal="right"/>
    </xf>
    <xf numFmtId="334" fontId="48" fillId="0" borderId="0" applyFont="0" applyFill="0" applyBorder="0" applyProtection="0">
      <alignment horizontal="right"/>
    </xf>
    <xf numFmtId="280" fontId="34" fillId="0" borderId="0" applyFill="0" applyBorder="0" applyAlignment="0" applyProtection="0"/>
    <xf numFmtId="0" fontId="149" fillId="0" borderId="0" applyFont="0" applyFill="0" applyBorder="0" applyAlignment="0" applyProtection="0"/>
    <xf numFmtId="0" fontId="148" fillId="0" borderId="0" applyFont="0" applyFill="0" applyBorder="0" applyAlignment="0" applyProtection="0"/>
    <xf numFmtId="0" fontId="101" fillId="0" borderId="0"/>
    <xf numFmtId="0" fontId="149" fillId="0" borderId="0" applyFont="0" applyFill="0" applyBorder="0" applyAlignment="0" applyProtection="0"/>
    <xf numFmtId="18" fontId="34" fillId="0" borderId="0" applyFont="0" applyFill="0" applyBorder="0" applyAlignment="0" applyProtection="0"/>
    <xf numFmtId="335" fontId="34" fillId="0" borderId="0" applyFont="0" applyFill="0" applyBorder="0" applyAlignment="0" applyProtection="0"/>
    <xf numFmtId="9" fontId="50" fillId="0" borderId="0" applyFill="0" applyBorder="0" applyAlignment="0" applyProtection="0"/>
    <xf numFmtId="221" fontId="109" fillId="0" borderId="0"/>
    <xf numFmtId="221" fontId="93" fillId="0" borderId="0"/>
    <xf numFmtId="10" fontId="48" fillId="0" borderId="0"/>
    <xf numFmtId="10" fontId="93" fillId="0" borderId="0">
      <protection locked="0"/>
    </xf>
    <xf numFmtId="9" fontId="34" fillId="0" borderId="0"/>
    <xf numFmtId="297" fontId="34" fillId="0" borderId="0">
      <alignment horizontal="right"/>
    </xf>
    <xf numFmtId="336" fontId="92" fillId="0" borderId="0" applyFont="0" applyFill="0" applyBorder="0" applyAlignment="0" applyProtection="0"/>
    <xf numFmtId="280" fontId="85" fillId="0" borderId="0">
      <alignment horizontal="right"/>
    </xf>
    <xf numFmtId="332" fontId="109" fillId="0" borderId="0" applyFill="0" applyBorder="0" applyProtection="0"/>
    <xf numFmtId="184" fontId="122" fillId="0" borderId="0" applyFont="0" applyFill="0" applyBorder="0" applyProtection="0">
      <alignment horizontal="left"/>
      <protection locked="0"/>
    </xf>
    <xf numFmtId="0" fontId="50" fillId="0" borderId="0"/>
    <xf numFmtId="337" fontId="50" fillId="0" borderId="0" applyFont="0" applyFill="0" applyBorder="0" applyAlignment="0" applyProtection="0"/>
    <xf numFmtId="338" fontId="50" fillId="0" borderId="0"/>
    <xf numFmtId="0" fontId="264" fillId="0" borderId="0">
      <alignment horizontal="centerContinuous"/>
    </xf>
    <xf numFmtId="0" fontId="150" fillId="0" borderId="0">
      <alignment horizontal="centerContinuous"/>
    </xf>
    <xf numFmtId="264" fontId="34" fillId="0" borderId="0" applyFill="0" applyBorder="0" applyAlignment="0"/>
    <xf numFmtId="264" fontId="34" fillId="0" borderId="0" applyFill="0" applyBorder="0" applyAlignment="0"/>
    <xf numFmtId="260" fontId="34" fillId="0" borderId="0" applyFill="0" applyBorder="0" applyAlignment="0"/>
    <xf numFmtId="260" fontId="34" fillId="0" borderId="0" applyFill="0" applyBorder="0" applyAlignment="0"/>
    <xf numFmtId="264" fontId="34" fillId="0" borderId="0" applyFill="0" applyBorder="0" applyAlignment="0"/>
    <xf numFmtId="264" fontId="34" fillId="0" borderId="0" applyFill="0" applyBorder="0" applyAlignment="0"/>
    <xf numFmtId="265" fontId="34" fillId="0" borderId="0" applyFill="0" applyBorder="0" applyAlignment="0"/>
    <xf numFmtId="265" fontId="34" fillId="0" borderId="0" applyFill="0" applyBorder="0" applyAlignment="0"/>
    <xf numFmtId="260" fontId="34" fillId="0" borderId="0" applyFill="0" applyBorder="0" applyAlignment="0"/>
    <xf numFmtId="260" fontId="34" fillId="0" borderId="0" applyFill="0" applyBorder="0" applyAlignment="0"/>
    <xf numFmtId="15" fontId="34" fillId="0" borderId="0" applyProtection="0">
      <alignment horizontal="right"/>
    </xf>
    <xf numFmtId="15" fontId="34" fillId="0" borderId="0">
      <alignment horizontal="right"/>
      <protection locked="0"/>
    </xf>
    <xf numFmtId="37" fontId="36" fillId="42" borderId="0" applyNumberFormat="0" applyFont="0" applyFill="0" applyBorder="0" applyAlignment="0" applyProtection="0"/>
    <xf numFmtId="0" fontId="95" fillId="8" borderId="1" applyNumberFormat="0" applyFont="0" applyAlignment="0" applyProtection="0"/>
    <xf numFmtId="300" fontId="92" fillId="8" borderId="0" applyNumberFormat="0" applyFont="0" applyBorder="0" applyAlignment="0" applyProtection="0">
      <alignment horizontal="center"/>
      <protection locked="0"/>
    </xf>
    <xf numFmtId="177" fontId="222" fillId="58" borderId="1">
      <alignment horizontal="right"/>
    </xf>
    <xf numFmtId="0" fontId="34" fillId="0" borderId="0" applyNumberFormat="0" applyFont="0" applyFill="0" applyBorder="0" applyAlignment="0">
      <protection hidden="1"/>
    </xf>
    <xf numFmtId="170" fontId="50" fillId="0" borderId="0">
      <alignment horizontal="center"/>
    </xf>
    <xf numFmtId="9" fontId="92" fillId="0" borderId="0" applyFont="0" applyAlignment="0"/>
    <xf numFmtId="339" fontId="36" fillId="0" borderId="0">
      <alignment horizontal="left"/>
    </xf>
    <xf numFmtId="0" fontId="59" fillId="0" borderId="0" applyNumberFormat="0" applyFont="0" applyFill="0" applyBorder="0" applyAlignment="0" applyProtection="0">
      <alignment horizontal="left"/>
    </xf>
    <xf numFmtId="15" fontId="59" fillId="0" borderId="0" applyFont="0" applyFill="0" applyBorder="0" applyAlignment="0" applyProtection="0"/>
    <xf numFmtId="4" fontId="59" fillId="0" borderId="0" applyFont="0" applyFill="0" applyBorder="0" applyAlignment="0" applyProtection="0"/>
    <xf numFmtId="0" fontId="45" fillId="0" borderId="22">
      <alignment horizontal="center"/>
    </xf>
    <xf numFmtId="3" fontId="59" fillId="0" borderId="0" applyFont="0" applyFill="0" applyBorder="0" applyAlignment="0" applyProtection="0"/>
    <xf numFmtId="0" fontId="59" fillId="46" borderId="0" applyNumberFormat="0" applyFont="0" applyBorder="0" applyAlignment="0" applyProtection="0"/>
    <xf numFmtId="0" fontId="265" fillId="0" borderId="0">
      <alignment horizontal="centerContinuous"/>
    </xf>
    <xf numFmtId="212" fontId="122" fillId="0" borderId="0">
      <alignment horizontal="right"/>
    </xf>
    <xf numFmtId="183" fontId="50" fillId="0" borderId="0">
      <alignment vertical="top"/>
    </xf>
    <xf numFmtId="0" fontId="50" fillId="0" borderId="0">
      <alignment vertical="top"/>
    </xf>
    <xf numFmtId="0" fontId="50" fillId="0" borderId="0">
      <alignment vertical="top"/>
    </xf>
    <xf numFmtId="0" fontId="50" fillId="0" borderId="0">
      <alignment vertical="top"/>
    </xf>
    <xf numFmtId="183" fontId="50" fillId="0" borderId="0">
      <alignment vertical="top"/>
    </xf>
    <xf numFmtId="0" fontId="152" fillId="0" borderId="0">
      <alignment vertical="top"/>
    </xf>
    <xf numFmtId="183" fontId="50" fillId="0" borderId="0">
      <alignment vertical="top"/>
    </xf>
    <xf numFmtId="183" fontId="50" fillId="0" borderId="0">
      <alignment vertical="top"/>
    </xf>
    <xf numFmtId="183" fontId="50" fillId="0" borderId="0">
      <alignment vertical="top"/>
    </xf>
    <xf numFmtId="0" fontId="152" fillId="0" borderId="0">
      <alignment vertical="top"/>
    </xf>
    <xf numFmtId="0" fontId="50" fillId="0" borderId="0">
      <alignment vertical="top"/>
    </xf>
    <xf numFmtId="200" fontId="122" fillId="0" borderId="39" applyFont="0" applyFill="0" applyBorder="0" applyAlignment="0" applyProtection="0">
      <alignment horizontal="right"/>
      <protection locked="0"/>
    </xf>
    <xf numFmtId="0" fontId="220" fillId="0" borderId="0" applyNumberFormat="0" applyFill="0" applyBorder="0" applyAlignment="0" applyProtection="0">
      <alignment horizontal="left"/>
      <protection locked="0"/>
    </xf>
    <xf numFmtId="266" fontId="266" fillId="0" borderId="0" applyNumberFormat="0" applyFill="0" applyBorder="0" applyAlignment="0" applyProtection="0">
      <alignment horizontal="left"/>
    </xf>
    <xf numFmtId="3" fontId="267" fillId="0" borderId="0"/>
    <xf numFmtId="221" fontId="268" fillId="0" borderId="0"/>
    <xf numFmtId="0" fontId="269" fillId="59" borderId="0" applyNumberFormat="0" applyFont="0" applyBorder="0" applyAlignment="0">
      <alignment horizontal="center"/>
    </xf>
    <xf numFmtId="0" fontId="141" fillId="0" borderId="0"/>
    <xf numFmtId="0" fontId="141" fillId="0" borderId="0"/>
    <xf numFmtId="1" fontId="160" fillId="48" borderId="0"/>
    <xf numFmtId="340" fontId="109" fillId="0" borderId="0" applyNumberFormat="0" applyFill="0" applyBorder="0" applyAlignment="0" applyProtection="0">
      <alignment horizontal="left"/>
    </xf>
    <xf numFmtId="0" fontId="270" fillId="0" borderId="0" applyNumberFormat="0" applyFill="0" applyBorder="0" applyProtection="0">
      <alignment horizontal="right" vertical="center"/>
    </xf>
    <xf numFmtId="212" fontId="122" fillId="0" borderId="0">
      <alignment horizontal="right"/>
    </xf>
    <xf numFmtId="186" fontId="50" fillId="0" borderId="0">
      <alignment horizontal="right"/>
    </xf>
    <xf numFmtId="199" fontId="50" fillId="0" borderId="0" applyFill="0" applyBorder="0" applyProtection="0">
      <alignment horizontal="right"/>
    </xf>
    <xf numFmtId="210" fontId="34" fillId="0" borderId="0">
      <alignment horizontal="right"/>
    </xf>
    <xf numFmtId="204" fontId="34" fillId="0" borderId="0">
      <alignment horizontal="right"/>
    </xf>
    <xf numFmtId="0" fontId="271" fillId="42" borderId="0" applyFont="0" applyFill="0" applyAlignment="0"/>
    <xf numFmtId="0" fontId="50" fillId="0" borderId="0" applyNumberFormat="0" applyFont="0" applyFill="0" applyBorder="0" applyAlignment="0" applyProtection="0">
      <alignment horizontal="left" indent="1"/>
    </xf>
    <xf numFmtId="0" fontId="272" fillId="0" borderId="0" applyNumberFormat="0" applyFont="0" applyFill="0" applyBorder="0" applyAlignment="0" applyProtection="0">
      <alignment horizontal="center"/>
    </xf>
    <xf numFmtId="0" fontId="273" fillId="0" borderId="0" applyNumberFormat="0" applyFont="0" applyFill="0" applyBorder="0" applyAlignment="0" applyProtection="0">
      <alignment horizontal="left"/>
    </xf>
    <xf numFmtId="0" fontId="50" fillId="0" borderId="0" applyNumberFormat="0" applyFont="0" applyFill="0" applyBorder="0" applyAlignment="0" applyProtection="0">
      <alignment horizontal="left"/>
    </xf>
    <xf numFmtId="2" fontId="121" fillId="0" borderId="0" applyNumberFormat="0" applyFont="0" applyFill="0" applyBorder="0" applyAlignment="0" applyProtection="0">
      <alignment horizontal="right"/>
    </xf>
    <xf numFmtId="183" fontId="143" fillId="0" borderId="0"/>
    <xf numFmtId="0" fontId="34" fillId="0" borderId="0"/>
    <xf numFmtId="0" fontId="143" fillId="0" borderId="18">
      <protection locked="0"/>
    </xf>
    <xf numFmtId="0" fontId="143" fillId="0" borderId="18">
      <alignment horizontal="centerContinuous"/>
    </xf>
    <xf numFmtId="0" fontId="216" fillId="0" borderId="18">
      <alignment horizontal="centerContinuous"/>
    </xf>
    <xf numFmtId="0" fontId="216" fillId="0" borderId="18">
      <alignment horizontal="centerContinuous"/>
    </xf>
    <xf numFmtId="183" fontId="143" fillId="0" borderId="0"/>
    <xf numFmtId="0" fontId="216" fillId="0" borderId="0"/>
    <xf numFmtId="0" fontId="50" fillId="0" borderId="1" applyNumberFormat="0" applyAlignment="0"/>
    <xf numFmtId="0" fontId="274" fillId="0" borderId="64">
      <alignment vertical="center"/>
    </xf>
    <xf numFmtId="233" fontId="138" fillId="0" borderId="0"/>
    <xf numFmtId="233" fontId="138" fillId="0" borderId="0"/>
    <xf numFmtId="223" fontId="130" fillId="0" borderId="65"/>
    <xf numFmtId="0" fontId="229" fillId="0" borderId="22">
      <alignment horizontal="right"/>
    </xf>
    <xf numFmtId="0" fontId="275" fillId="0" borderId="32"/>
    <xf numFmtId="181" fontId="34" fillId="0" borderId="0" applyFont="0" applyFill="0" applyBorder="0" applyAlignment="0" applyProtection="0"/>
    <xf numFmtId="0" fontId="34" fillId="0" borderId="0" applyFont="0" applyFill="0" applyBorder="0" applyAlignment="0" applyProtection="0"/>
    <xf numFmtId="225" fontId="171" fillId="1" borderId="0" applyNumberFormat="0" applyBorder="0" applyAlignment="0" applyProtection="0"/>
    <xf numFmtId="0" fontId="50" fillId="12" borderId="0" applyNumberFormat="0" applyFont="0" applyBorder="0" applyAlignment="0" applyProtection="0"/>
    <xf numFmtId="0" fontId="269" fillId="1" borderId="9" applyNumberFormat="0" applyFont="0" applyAlignment="0">
      <alignment horizontal="center"/>
    </xf>
    <xf numFmtId="0" fontId="48" fillId="0" borderId="0" applyFont="0" applyFill="0" applyBorder="0" applyAlignment="0" applyProtection="0"/>
    <xf numFmtId="37" fontId="34" fillId="0" borderId="1" applyBorder="0">
      <alignment horizontal="right"/>
      <protection locked="0"/>
    </xf>
    <xf numFmtId="273" fontId="34" fillId="0" borderId="0">
      <alignment horizontal="center"/>
    </xf>
    <xf numFmtId="1" fontId="34" fillId="0" borderId="0"/>
    <xf numFmtId="341" fontId="276" fillId="0" borderId="0">
      <alignment horizontal="center"/>
    </xf>
    <xf numFmtId="169" fontId="118" fillId="0" borderId="0" applyFill="0" applyBorder="0" applyAlignment="0" applyProtection="0"/>
    <xf numFmtId="238" fontId="277" fillId="0" borderId="0" applyNumberFormat="0" applyFill="0" applyBorder="0" applyAlignment="0" applyProtection="0"/>
    <xf numFmtId="222" fontId="278" fillId="0" borderId="1" applyNumberFormat="0" applyBorder="0" applyAlignment="0" applyProtection="0"/>
    <xf numFmtId="0" fontId="136" fillId="0" borderId="0">
      <alignment vertical="center"/>
    </xf>
    <xf numFmtId="0" fontId="279" fillId="0" borderId="0" applyNumberFormat="0" applyFill="0" applyBorder="0" applyAlignment="0">
      <alignment horizontal="center"/>
    </xf>
    <xf numFmtId="1" fontId="50" fillId="0" borderId="0" applyBorder="0">
      <alignment horizontal="left" vertical="top" wrapText="1"/>
    </xf>
    <xf numFmtId="0" fontId="280" fillId="60" borderId="0" applyNumberFormat="0" applyBorder="0" applyAlignment="0" applyProtection="0"/>
    <xf numFmtId="0" fontId="34" fillId="0" borderId="0" applyNumberFormat="0" applyFont="0" applyFill="0" applyBorder="0" applyAlignment="0" applyProtection="0"/>
    <xf numFmtId="0" fontId="280" fillId="61" borderId="0" applyNumberFormat="0" applyBorder="0" applyAlignment="0" applyProtection="0"/>
    <xf numFmtId="0" fontId="280" fillId="61" borderId="0" applyNumberFormat="0" applyBorder="0" applyAlignment="0" applyProtection="0"/>
    <xf numFmtId="3" fontId="34" fillId="0" borderId="0" applyNumberFormat="0" applyFont="0" applyFill="0" applyBorder="0" applyAlignment="0" applyProtection="0"/>
    <xf numFmtId="0" fontId="280" fillId="62" borderId="0" applyNumberFormat="0" applyBorder="0" applyAlignment="0" applyProtection="0"/>
    <xf numFmtId="0" fontId="280" fillId="62" borderId="0" applyNumberFormat="0" applyBorder="0" applyAlignment="0" applyProtection="0"/>
    <xf numFmtId="3" fontId="34" fillId="0" borderId="0" applyNumberFormat="0" applyFont="0" applyFill="0" applyBorder="0" applyAlignment="0" applyProtection="0"/>
    <xf numFmtId="0" fontId="34" fillId="63" borderId="0" applyNumberFormat="0" applyBorder="0" applyAlignment="0" applyProtection="0"/>
    <xf numFmtId="0" fontId="280" fillId="63" borderId="0" applyNumberFormat="0" applyBorder="0" applyAlignment="0" applyProtection="0"/>
    <xf numFmtId="3" fontId="34" fillId="0" borderId="0" applyNumberFormat="0" applyFont="0" applyFill="0" applyBorder="0" applyAlignment="0" applyProtection="0"/>
    <xf numFmtId="3" fontId="280" fillId="16" borderId="0" applyNumberFormat="0" applyBorder="0" applyAlignment="0" applyProtection="0"/>
    <xf numFmtId="3" fontId="280" fillId="16" borderId="0" applyNumberFormat="0" applyBorder="0" applyAlignment="0" applyProtection="0"/>
    <xf numFmtId="3" fontId="34" fillId="0" borderId="0" applyNumberFormat="0" applyFont="0" applyFill="0" applyBorder="0" applyAlignment="0" applyProtection="0"/>
    <xf numFmtId="3" fontId="280" fillId="64" borderId="0" applyNumberFormat="0" applyBorder="0" applyAlignment="0" applyProtection="0"/>
    <xf numFmtId="3" fontId="280" fillId="64" borderId="0" applyNumberFormat="0" applyBorder="0" applyAlignment="0" applyProtection="0"/>
    <xf numFmtId="0" fontId="34" fillId="0" borderId="0" applyFont="0" applyFill="0" applyBorder="0" applyAlignment="0" applyProtection="0"/>
    <xf numFmtId="3" fontId="34" fillId="0" borderId="0" applyFont="0" applyFill="0" applyBorder="0" applyAlignment="0" applyProtection="0"/>
    <xf numFmtId="0" fontId="34" fillId="64" borderId="0" applyNumberFormat="0" applyFont="0" applyBorder="0" applyAlignment="0" applyProtection="0"/>
    <xf numFmtId="4" fontId="34" fillId="0" borderId="0" applyFont="0" applyFill="0" applyBorder="0" applyAlignment="0" applyProtection="0"/>
    <xf numFmtId="221" fontId="281" fillId="0" borderId="18"/>
    <xf numFmtId="0" fontId="59" fillId="0" borderId="0"/>
    <xf numFmtId="0" fontId="46" fillId="0" borderId="0"/>
    <xf numFmtId="166" fontId="47" fillId="0" borderId="0">
      <alignment horizontal="right" vertical="center"/>
    </xf>
    <xf numFmtId="37" fontId="47" fillId="7" borderId="4">
      <alignment horizontal="right" vertical="center"/>
    </xf>
    <xf numFmtId="38" fontId="47" fillId="0" borderId="0">
      <alignment horizontal="right" vertical="center"/>
    </xf>
    <xf numFmtId="9" fontId="47" fillId="0" borderId="0">
      <alignment horizontal="right" vertical="center"/>
    </xf>
    <xf numFmtId="0" fontId="47" fillId="0" borderId="0"/>
    <xf numFmtId="37" fontId="34" fillId="0" borderId="0"/>
    <xf numFmtId="167" fontId="171" fillId="0" borderId="13" applyFont="0" applyFill="0" applyBorder="0" applyProtection="0"/>
    <xf numFmtId="0" fontId="92" fillId="56" borderId="0" applyNumberFormat="0" applyFont="0" applyBorder="0" applyAlignment="0">
      <protection hidden="1"/>
    </xf>
    <xf numFmtId="0" fontId="282" fillId="0" borderId="0"/>
    <xf numFmtId="191" fontId="34" fillId="0" borderId="0" applyFont="0" applyFill="0" applyBorder="0" applyAlignment="0" applyProtection="0"/>
    <xf numFmtId="0" fontId="34" fillId="0" borderId="0">
      <alignment vertical="top"/>
    </xf>
    <xf numFmtId="0" fontId="283" fillId="0" borderId="0" applyNumberFormat="0" applyFill="0" applyBorder="0" applyProtection="0">
      <alignment horizontal="left" vertical="center"/>
    </xf>
    <xf numFmtId="224" fontId="284" fillId="0" borderId="0"/>
    <xf numFmtId="224" fontId="284" fillId="0" borderId="0"/>
    <xf numFmtId="0" fontId="285" fillId="0" borderId="0"/>
    <xf numFmtId="0" fontId="75" fillId="0" borderId="0"/>
    <xf numFmtId="0" fontId="286" fillId="0" borderId="0"/>
    <xf numFmtId="0" fontId="113" fillId="0" borderId="0" applyNumberFormat="0" applyFill="0" applyBorder="0" applyAlignment="0" applyProtection="0">
      <alignment horizontal="left"/>
    </xf>
    <xf numFmtId="0" fontId="48" fillId="0" borderId="0" applyFill="0" applyBorder="0" applyAlignment="0" applyProtection="0"/>
    <xf numFmtId="223" fontId="55" fillId="0" borderId="66"/>
    <xf numFmtId="0" fontId="261" fillId="0" borderId="0"/>
    <xf numFmtId="40" fontId="287" fillId="0" borderId="0" applyBorder="0">
      <alignment horizontal="right"/>
    </xf>
    <xf numFmtId="37" fontId="34" fillId="0" borderId="14"/>
    <xf numFmtId="0" fontId="288" fillId="0" borderId="7"/>
    <xf numFmtId="0" fontId="95" fillId="8" borderId="0" applyNumberFormat="0" applyFont="0" applyBorder="0" applyAlignment="0" applyProtection="0"/>
    <xf numFmtId="173" fontId="50" fillId="0" borderId="0" applyNumberFormat="0" applyFont="0"/>
    <xf numFmtId="221" fontId="209" fillId="0" borderId="0"/>
    <xf numFmtId="0" fontId="34" fillId="0" borderId="25" applyNumberFormat="0" applyFill="0" applyBorder="0" applyAlignment="0" applyProtection="0"/>
    <xf numFmtId="221" fontId="85" fillId="0" borderId="0"/>
    <xf numFmtId="0" fontId="152" fillId="0" borderId="0"/>
    <xf numFmtId="0" fontId="152" fillId="0" borderId="0"/>
    <xf numFmtId="0" fontId="34" fillId="0" borderId="0"/>
    <xf numFmtId="0" fontId="112" fillId="0" borderId="16">
      <alignment horizontal="center"/>
    </xf>
    <xf numFmtId="0" fontId="112" fillId="0" borderId="16">
      <alignment horizontal="center"/>
    </xf>
    <xf numFmtId="0" fontId="34" fillId="0" borderId="0"/>
    <xf numFmtId="221" fontId="85" fillId="0" borderId="0"/>
    <xf numFmtId="221" fontId="85" fillId="0" borderId="0"/>
    <xf numFmtId="221" fontId="85" fillId="0" borderId="0"/>
    <xf numFmtId="221" fontId="85" fillId="0" borderId="0"/>
    <xf numFmtId="221" fontId="85" fillId="0" borderId="0"/>
    <xf numFmtId="221" fontId="85" fillId="0" borderId="0"/>
    <xf numFmtId="221" fontId="85" fillId="0" borderId="0"/>
    <xf numFmtId="0" fontId="112" fillId="0" borderId="16">
      <alignment horizontal="center"/>
    </xf>
    <xf numFmtId="0" fontId="112" fillId="0" borderId="16">
      <alignment horizontal="center"/>
    </xf>
    <xf numFmtId="0" fontId="112" fillId="0" borderId="16">
      <alignment horizontal="center"/>
    </xf>
    <xf numFmtId="0" fontId="112" fillId="0" borderId="16">
      <alignment horizontal="center"/>
    </xf>
    <xf numFmtId="0" fontId="34" fillId="0" borderId="0"/>
    <xf numFmtId="0" fontId="112" fillId="0" borderId="18">
      <alignment horizontal="centerContinuous"/>
    </xf>
    <xf numFmtId="0" fontId="112" fillId="0" borderId="18">
      <alignment horizontal="centerContinuous"/>
    </xf>
    <xf numFmtId="221" fontId="85" fillId="0" borderId="0"/>
    <xf numFmtId="221" fontId="85" fillId="0" borderId="0"/>
    <xf numFmtId="1" fontId="195" fillId="0" borderId="0">
      <alignment vertical="center"/>
    </xf>
    <xf numFmtId="0" fontId="141" fillId="0" borderId="36"/>
    <xf numFmtId="0" fontId="141" fillId="0" borderId="36"/>
    <xf numFmtId="0" fontId="116" fillId="0" borderId="0" applyFill="0" applyBorder="0" applyProtection="0">
      <alignment horizontal="center" vertical="center"/>
    </xf>
    <xf numFmtId="3" fontId="289" fillId="0" borderId="0" applyFont="0" applyBorder="0" applyAlignment="0"/>
    <xf numFmtId="0" fontId="290" fillId="0" borderId="0" applyBorder="0" applyProtection="0">
      <alignment vertical="center"/>
    </xf>
    <xf numFmtId="287" fontId="290" fillId="0" borderId="16" applyBorder="0" applyProtection="0">
      <alignment horizontal="right" vertical="center"/>
    </xf>
    <xf numFmtId="0" fontId="291" fillId="65" borderId="0" applyBorder="0" applyProtection="0">
      <alignment horizontal="centerContinuous" vertical="center"/>
    </xf>
    <xf numFmtId="0" fontId="291" fillId="66" borderId="16" applyBorder="0" applyProtection="0">
      <alignment horizontal="centerContinuous" vertical="center"/>
    </xf>
    <xf numFmtId="0" fontId="34" fillId="0" borderId="0" applyBorder="0" applyProtection="0">
      <alignment vertical="center"/>
    </xf>
    <xf numFmtId="0" fontId="181" fillId="0" borderId="0">
      <alignment horizontal="left"/>
    </xf>
    <xf numFmtId="0" fontId="116" fillId="0" borderId="0" applyFill="0" applyBorder="0" applyProtection="0"/>
    <xf numFmtId="0" fontId="101" fillId="0" borderId="0"/>
    <xf numFmtId="0" fontId="292" fillId="0" borderId="0" applyFill="0" applyBorder="0" applyProtection="0">
      <alignment horizontal="left"/>
    </xf>
    <xf numFmtId="0" fontId="181" fillId="0" borderId="7" applyFill="0" applyBorder="0" applyProtection="0">
      <alignment horizontal="left" vertical="top"/>
    </xf>
    <xf numFmtId="0" fontId="113" fillId="0" borderId="0">
      <alignment horizontal="centerContinuous"/>
    </xf>
    <xf numFmtId="0" fontId="104" fillId="40" borderId="14" applyNumberFormat="0" applyFont="0" applyFill="0" applyAlignment="0" applyProtection="0">
      <protection locked="0"/>
    </xf>
    <xf numFmtId="0" fontId="293" fillId="0" borderId="0" applyFill="0" applyBorder="0" applyProtection="0">
      <alignment horizontal="center" vertical="center"/>
    </xf>
    <xf numFmtId="0" fontId="104" fillId="40" borderId="67" applyNumberFormat="0" applyFont="0" applyFill="0" applyAlignment="0" applyProtection="0">
      <protection locked="0"/>
    </xf>
    <xf numFmtId="0" fontId="294" fillId="0" borderId="0" applyFill="0" applyBorder="0" applyProtection="0">
      <alignment vertical="top"/>
    </xf>
    <xf numFmtId="0" fontId="167" fillId="0" borderId="0" applyFill="0" applyBorder="0" applyProtection="0">
      <alignment vertical="center"/>
    </xf>
    <xf numFmtId="0" fontId="112" fillId="0" borderId="0" applyFill="0" applyBorder="0" applyProtection="0"/>
    <xf numFmtId="0" fontId="34" fillId="67" borderId="0" applyNumberFormat="0" applyFont="0" applyBorder="0" applyAlignment="0" applyProtection="0"/>
    <xf numFmtId="0" fontId="95" fillId="0" borderId="0" applyNumberFormat="0" applyFill="0" applyBorder="0" applyAlignment="0" applyProtection="0"/>
    <xf numFmtId="297" fontId="295" fillId="0" borderId="0" applyFont="0" applyFill="0" applyBorder="0" applyProtection="0">
      <alignment horizontal="left"/>
    </xf>
    <xf numFmtId="314" fontId="295" fillId="0" borderId="0" applyFont="0" applyFill="0" applyBorder="0" applyProtection="0">
      <alignment horizontal="left"/>
    </xf>
    <xf numFmtId="49" fontId="223" fillId="0" borderId="0" applyFont="0" applyFill="0" applyBorder="0" applyAlignment="0" applyProtection="0">
      <protection hidden="1"/>
    </xf>
    <xf numFmtId="0" fontId="296" fillId="0" borderId="0"/>
    <xf numFmtId="0" fontId="34" fillId="0" borderId="0"/>
    <xf numFmtId="238" fontId="93" fillId="0" borderId="0">
      <alignment horizontal="left"/>
      <protection locked="0"/>
    </xf>
    <xf numFmtId="0" fontId="297" fillId="0" borderId="0"/>
    <xf numFmtId="0" fontId="34" fillId="0" borderId="0"/>
    <xf numFmtId="0" fontId="34" fillId="0" borderId="0"/>
    <xf numFmtId="0" fontId="34" fillId="0" borderId="0"/>
    <xf numFmtId="49" fontId="122" fillId="0" borderId="0" applyFill="0" applyBorder="0" applyAlignment="0"/>
    <xf numFmtId="342" fontId="34" fillId="0" borderId="0" applyFill="0" applyBorder="0" applyAlignment="0"/>
    <xf numFmtId="342" fontId="34" fillId="0" borderId="0" applyFill="0" applyBorder="0" applyAlignment="0"/>
    <xf numFmtId="343" fontId="34" fillId="0" borderId="0" applyFill="0" applyBorder="0" applyAlignment="0"/>
    <xf numFmtId="343" fontId="34" fillId="0" borderId="0" applyFill="0" applyBorder="0" applyAlignment="0"/>
    <xf numFmtId="0" fontId="46" fillId="0" borderId="0" applyNumberFormat="0" applyFont="0" applyFill="0" applyBorder="0" applyProtection="0">
      <alignment horizontal="left" vertical="top" wrapText="1"/>
    </xf>
    <xf numFmtId="0" fontId="298" fillId="0" borderId="0"/>
    <xf numFmtId="0" fontId="299" fillId="0" borderId="0"/>
    <xf numFmtId="0" fontId="183" fillId="0" borderId="0" applyFill="0" applyBorder="0" applyAlignment="0" applyProtection="0">
      <alignment horizontal="right"/>
    </xf>
    <xf numFmtId="39" fontId="34" fillId="47" borderId="1" applyFont="0" applyFill="0" applyBorder="0" applyAlignment="0" applyProtection="0">
      <alignment horizontal="center"/>
      <protection locked="0"/>
    </xf>
    <xf numFmtId="0" fontId="34" fillId="0" borderId="0" applyBorder="0" applyProtection="0">
      <alignment horizontal="right"/>
    </xf>
    <xf numFmtId="18" fontId="104" fillId="40" borderId="0" applyFont="0" applyFill="0" applyBorder="0" applyAlignment="0" applyProtection="0">
      <protection locked="0"/>
    </xf>
    <xf numFmtId="0" fontId="50" fillId="0" borderId="0" applyNumberFormat="0" applyFill="0" applyBorder="0" applyAlignment="0" applyProtection="0"/>
    <xf numFmtId="0" fontId="67" fillId="0" borderId="0" applyNumberFormat="0" applyFill="0" applyBorder="0" applyAlignment="0" applyProtection="0"/>
    <xf numFmtId="40" fontId="300" fillId="0" borderId="0"/>
    <xf numFmtId="0" fontId="112" fillId="0" borderId="0" applyNumberFormat="0" applyFont="0" applyBorder="0" applyAlignment="0"/>
    <xf numFmtId="0" fontId="301" fillId="68" borderId="0"/>
    <xf numFmtId="0" fontId="302" fillId="68" borderId="0"/>
    <xf numFmtId="0" fontId="33" fillId="0" borderId="0" applyNumberFormat="0" applyFill="0" applyBorder="0" applyAlignment="0" applyProtection="0"/>
    <xf numFmtId="0" fontId="303"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3" fontId="305"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223" fontId="304" fillId="0" borderId="0" applyNumberFormat="0" applyFill="0" applyBorder="0" applyAlignment="0" applyProtection="0"/>
    <xf numFmtId="222" fontId="304" fillId="0" borderId="0" applyNumberFormat="0" applyFill="0" applyBorder="0" applyAlignment="0" applyProtection="0"/>
    <xf numFmtId="222" fontId="304" fillId="0" borderId="0" applyNumberFormat="0" applyFill="0" applyBorder="0" applyAlignment="0" applyProtection="0"/>
    <xf numFmtId="0" fontId="38" fillId="69" borderId="46">
      <alignment horizontal="center" vertical="center"/>
    </xf>
    <xf numFmtId="0" fontId="152" fillId="0" borderId="0">
      <alignment horizontal="center"/>
    </xf>
    <xf numFmtId="233" fontId="113" fillId="0" borderId="0">
      <alignment horizontal="centerContinuous"/>
    </xf>
    <xf numFmtId="233" fontId="50" fillId="0" borderId="68">
      <alignment horizontal="centerContinuous"/>
    </xf>
    <xf numFmtId="233" fontId="111" fillId="0" borderId="0">
      <alignment horizontal="centerContinuous"/>
      <protection locked="0"/>
    </xf>
    <xf numFmtId="233" fontId="111" fillId="0" borderId="0">
      <alignment horizontal="left"/>
    </xf>
    <xf numFmtId="238" fontId="306" fillId="0" borderId="0">
      <alignment horizontal="center"/>
    </xf>
    <xf numFmtId="0" fontId="307" fillId="0" borderId="0" applyNumberFormat="0" applyFill="0" applyBorder="0" applyAlignment="0" applyProtection="0"/>
    <xf numFmtId="238" fontId="308" fillId="0" borderId="0">
      <alignment horizontal="left"/>
    </xf>
    <xf numFmtId="240" fontId="35" fillId="0" borderId="0">
      <alignment horizontal="right"/>
      <protection locked="0"/>
    </xf>
    <xf numFmtId="0" fontId="116" fillId="0" borderId="0" applyNumberFormat="0" applyFill="0" applyBorder="0" applyAlignment="0" applyProtection="0"/>
    <xf numFmtId="0" fontId="55" fillId="0" borderId="0" applyNumberFormat="0" applyFill="0" applyBorder="0" applyAlignment="0" applyProtection="0"/>
    <xf numFmtId="240" fontId="35" fillId="0" borderId="0">
      <alignment horizontal="right"/>
      <protection locked="0"/>
    </xf>
    <xf numFmtId="0" fontId="34" fillId="0" borderId="0"/>
    <xf numFmtId="0" fontId="34" fillId="0" borderId="0"/>
    <xf numFmtId="227" fontId="105" fillId="0" borderId="0" applyFont="0" applyFill="0" applyBorder="0" applyProtection="0"/>
    <xf numFmtId="0" fontId="92" fillId="0" borderId="0" applyFont="0" applyFill="0" applyBorder="0">
      <alignment horizontal="left"/>
    </xf>
    <xf numFmtId="0" fontId="309" fillId="0" borderId="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3" fontId="310" fillId="0" borderId="70"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223" fontId="310" fillId="0" borderId="69" applyNumberFormat="0" applyFill="0" applyAlignment="0" applyProtection="0"/>
    <xf numFmtId="222" fontId="310" fillId="0" borderId="69" applyNumberFormat="0" applyFill="0" applyAlignment="0" applyProtection="0"/>
    <xf numFmtId="222" fontId="310" fillId="0" borderId="69" applyNumberFormat="0" applyFill="0" applyAlignment="0" applyProtection="0"/>
    <xf numFmtId="0" fontId="216" fillId="0" borderId="0" applyFill="0" applyBorder="0" applyProtection="0"/>
    <xf numFmtId="0" fontId="216" fillId="0" borderId="0" applyFill="0" applyBorder="0" applyProtection="0"/>
    <xf numFmtId="37" fontId="34" fillId="0" borderId="71"/>
    <xf numFmtId="0" fontId="232" fillId="0" borderId="72"/>
    <xf numFmtId="0" fontId="232" fillId="0" borderId="72"/>
    <xf numFmtId="0" fontId="232" fillId="0" borderId="36"/>
    <xf numFmtId="0" fontId="232" fillId="0" borderId="36"/>
    <xf numFmtId="344" fontId="48" fillId="0" borderId="0">
      <alignment horizontal="right"/>
    </xf>
    <xf numFmtId="0" fontId="311" fillId="0" borderId="0"/>
    <xf numFmtId="205" fontId="50" fillId="0" borderId="0" applyBorder="0" applyProtection="0">
      <alignment horizontal="right"/>
    </xf>
    <xf numFmtId="238" fontId="179" fillId="0" borderId="0">
      <alignment horizontal="left"/>
      <protection locked="0"/>
    </xf>
    <xf numFmtId="190" fontId="54" fillId="0" borderId="0" applyFont="0" applyFill="0" applyBorder="0" applyAlignment="0" applyProtection="0"/>
    <xf numFmtId="0" fontId="34" fillId="0" borderId="0">
      <alignment horizontal="fill"/>
    </xf>
    <xf numFmtId="38" fontId="122" fillId="0" borderId="11" applyFill="0" applyBorder="0" applyAlignment="0" applyProtection="0">
      <protection locked="0"/>
    </xf>
    <xf numFmtId="37" fontId="92" fillId="10" borderId="0" applyNumberFormat="0" applyBorder="0" applyAlignment="0" applyProtection="0"/>
    <xf numFmtId="37" fontId="92" fillId="0" borderId="0"/>
    <xf numFmtId="3" fontId="155" fillId="0" borderId="55" applyProtection="0"/>
    <xf numFmtId="211" fontId="50" fillId="0" borderId="0" applyNumberFormat="0"/>
    <xf numFmtId="165" fontId="50" fillId="0" borderId="0"/>
    <xf numFmtId="165" fontId="157" fillId="0" borderId="0"/>
    <xf numFmtId="227" fontId="50" fillId="0" borderId="0"/>
    <xf numFmtId="183" fontId="50" fillId="0" borderId="34"/>
    <xf numFmtId="227" fontId="107" fillId="0" borderId="0"/>
    <xf numFmtId="227" fontId="157" fillId="0" borderId="0"/>
    <xf numFmtId="226" fontId="50" fillId="0" borderId="0"/>
    <xf numFmtId="226" fontId="107" fillId="0" borderId="0"/>
    <xf numFmtId="0" fontId="216" fillId="0" borderId="0"/>
    <xf numFmtId="0" fontId="34" fillId="0" borderId="0"/>
    <xf numFmtId="38" fontId="48" fillId="0" borderId="0" applyFill="0" applyBorder="0" applyAlignment="0" applyProtection="0">
      <alignment horizontal="left"/>
    </xf>
    <xf numFmtId="166" fontId="59" fillId="0" borderId="0" applyFont="0" applyFill="0" applyBorder="0" applyAlignment="0" applyProtection="0"/>
    <xf numFmtId="317" fontId="34" fillId="0" borderId="0" applyFont="0" applyFill="0" applyBorder="0" applyAlignment="0" applyProtection="0"/>
    <xf numFmtId="179" fontId="34" fillId="0" borderId="0" applyFont="0" applyFill="0" applyBorder="0" applyAlignment="0" applyProtection="0"/>
    <xf numFmtId="256" fontId="34" fillId="0" borderId="0" applyFont="0" applyFill="0" applyBorder="0" applyAlignment="0" applyProtection="0"/>
    <xf numFmtId="320" fontId="34" fillId="0" borderId="0" applyFon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223" fontId="312" fillId="0" borderId="0" applyNumberFormat="0" applyFill="0" applyBorder="0" applyAlignment="0" applyProtection="0"/>
    <xf numFmtId="222" fontId="312" fillId="0" borderId="0" applyNumberFormat="0" applyFill="0" applyBorder="0" applyAlignment="0" applyProtection="0"/>
    <xf numFmtId="222" fontId="312" fillId="0" borderId="0" applyNumberFormat="0" applyFill="0" applyBorder="0" applyAlignment="0" applyProtection="0"/>
    <xf numFmtId="0" fontId="50" fillId="0" borderId="0" applyNumberFormat="0" applyFont="0" applyFill="0" applyBorder="0" applyAlignment="0" applyProtection="0"/>
    <xf numFmtId="0" fontId="113" fillId="0" borderId="0" applyNumberFormat="0" applyFont="0" applyFill="0" applyBorder="0" applyAlignment="0" applyProtection="0"/>
    <xf numFmtId="0" fontId="286" fillId="0" borderId="0" applyNumberFormat="0" applyFont="0" applyFill="0" applyBorder="0" applyAlignment="0" applyProtection="0">
      <alignment horizontal="left"/>
    </xf>
    <xf numFmtId="266" fontId="210" fillId="0" borderId="0" applyNumberFormat="0" applyFill="0" applyBorder="0" applyAlignment="0" applyProtection="0"/>
    <xf numFmtId="291" fontId="34" fillId="0" borderId="0"/>
    <xf numFmtId="0" fontId="95" fillId="40" borderId="0" applyNumberFormat="0" applyFont="0" applyAlignment="0" applyProtection="0"/>
    <xf numFmtId="0" fontId="95" fillId="40" borderId="14" applyNumberFormat="0" applyFont="0" applyAlignment="0" applyProtection="0">
      <protection locked="0"/>
    </xf>
    <xf numFmtId="0" fontId="210" fillId="0" borderId="0" applyNumberFormat="0" applyFill="0" applyBorder="0" applyAlignment="0" applyProtection="0"/>
    <xf numFmtId="345" fontId="34" fillId="8" borderId="0">
      <alignment horizontal="center"/>
    </xf>
    <xf numFmtId="0" fontId="34" fillId="0" borderId="25" applyNumberFormat="0" applyFill="0" applyBorder="0" applyAlignment="0" applyProtection="0"/>
    <xf numFmtId="0" fontId="34" fillId="0" borderId="25" applyNumberFormat="0" applyFill="0" applyBorder="0" applyAlignment="0" applyProtection="0"/>
    <xf numFmtId="0" fontId="34" fillId="0" borderId="25" applyNumberFormat="0" applyFill="0" applyBorder="0" applyAlignment="0" applyProtection="0"/>
    <xf numFmtId="40" fontId="95" fillId="0" borderId="0">
      <alignment horizontal="left" wrapText="1"/>
    </xf>
    <xf numFmtId="0" fontId="50" fillId="0" borderId="0" applyFont="0" applyFill="0" applyBorder="0" applyAlignment="0" applyProtection="0">
      <alignment horizontal="right"/>
    </xf>
    <xf numFmtId="183" fontId="313" fillId="54" borderId="0">
      <alignment horizontal="right"/>
    </xf>
    <xf numFmtId="206" fontId="122" fillId="0" borderId="58" applyFont="0" applyFill="0" applyBorder="0" applyAlignment="0" applyProtection="0">
      <alignment horizontal="center"/>
      <protection hidden="1"/>
    </xf>
    <xf numFmtId="183" fontId="313" fillId="54" borderId="0">
      <alignment horizontal="right"/>
    </xf>
    <xf numFmtId="183" fontId="313" fillId="54" borderId="0">
      <alignment horizontal="right"/>
    </xf>
    <xf numFmtId="0" fontId="313" fillId="54" borderId="0">
      <alignment horizontal="right"/>
    </xf>
    <xf numFmtId="0" fontId="313" fillId="54" borderId="0">
      <alignment horizontal="right"/>
    </xf>
    <xf numFmtId="183" fontId="313" fillId="54" borderId="0">
      <alignment horizontal="right"/>
    </xf>
    <xf numFmtId="183" fontId="313" fillId="54" borderId="0">
      <alignment horizontal="right"/>
    </xf>
    <xf numFmtId="0" fontId="313" fillId="54" borderId="0">
      <alignment horizontal="right"/>
    </xf>
    <xf numFmtId="0" fontId="313" fillId="54" borderId="0">
      <alignment horizontal="right"/>
    </xf>
    <xf numFmtId="0" fontId="313" fillId="54" borderId="0">
      <alignment horizontal="right"/>
    </xf>
    <xf numFmtId="0" fontId="313" fillId="54" borderId="0">
      <alignment horizontal="right"/>
    </xf>
    <xf numFmtId="183" fontId="313" fillId="54" borderId="0">
      <alignment horizontal="right"/>
    </xf>
    <xf numFmtId="0" fontId="313" fillId="54" borderId="0">
      <alignment horizontal="right"/>
    </xf>
    <xf numFmtId="183" fontId="313" fillId="54" borderId="0">
      <alignment horizontal="right"/>
    </xf>
    <xf numFmtId="346" fontId="314" fillId="0" borderId="16" applyBorder="0" applyProtection="0">
      <alignment horizontal="right"/>
    </xf>
    <xf numFmtId="258" fontId="34" fillId="0" borderId="0" applyFont="0" applyFill="0" applyBorder="0" applyProtection="0">
      <alignment horizontal="right"/>
    </xf>
    <xf numFmtId="220" fontId="315" fillId="0" borderId="0">
      <alignment horizontal="right"/>
      <protection locked="0"/>
    </xf>
    <xf numFmtId="0" fontId="316" fillId="70" borderId="0" applyNumberFormat="0" applyProtection="0">
      <alignment horizontal="left"/>
    </xf>
    <xf numFmtId="225" fontId="223" fillId="71" borderId="1" applyNumberFormat="0" applyAlignment="0">
      <alignment horizontal="right"/>
    </xf>
    <xf numFmtId="225" fontId="222" fillId="71" borderId="1" applyNumberFormat="0" applyAlignment="0">
      <alignment horizontal="right"/>
    </xf>
    <xf numFmtId="0" fontId="254" fillId="53" borderId="73" applyNumberFormat="0" applyFont="0" applyBorder="0" applyAlignment="0" applyProtection="0">
      <alignment horizontal="right"/>
    </xf>
    <xf numFmtId="331" fontId="118" fillId="0" borderId="0" applyFont="0" applyFill="0" applyBorder="0" applyAlignment="0" applyProtection="0"/>
    <xf numFmtId="347" fontId="50" fillId="0" borderId="0"/>
    <xf numFmtId="348" fontId="34" fillId="0" borderId="6" applyFont="0" applyFill="0" applyBorder="0" applyAlignment="0" applyProtection="0">
      <alignment horizontal="center"/>
    </xf>
    <xf numFmtId="347" fontId="317" fillId="47" borderId="0" applyFont="0" applyFill="0" applyBorder="0" applyProtection="0">
      <alignment horizontal="center"/>
    </xf>
    <xf numFmtId="349" fontId="111" fillId="0" borderId="0" applyFont="0" applyFill="0" applyBorder="0" applyAlignment="0" applyProtection="0">
      <alignment horizontal="left"/>
    </xf>
    <xf numFmtId="224" fontId="88" fillId="30" borderId="0" applyNumberFormat="0" applyBorder="0" applyAlignment="0" applyProtection="0">
      <alignment vertical="center"/>
    </xf>
    <xf numFmtId="224" fontId="88" fillId="30" borderId="0" applyNumberFormat="0" applyBorder="0" applyAlignment="0" applyProtection="0">
      <alignment vertical="center"/>
    </xf>
    <xf numFmtId="224" fontId="88" fillId="32" borderId="0" applyNumberFormat="0" applyBorder="0" applyAlignment="0" applyProtection="0">
      <alignment vertical="center"/>
    </xf>
    <xf numFmtId="224" fontId="88" fillId="32" borderId="0" applyNumberFormat="0" applyBorder="0" applyAlignment="0" applyProtection="0">
      <alignment vertical="center"/>
    </xf>
    <xf numFmtId="224" fontId="88" fillId="28" borderId="0" applyNumberFormat="0" applyBorder="0" applyAlignment="0" applyProtection="0">
      <alignment vertical="center"/>
    </xf>
    <xf numFmtId="224" fontId="88" fillId="28" borderId="0" applyNumberFormat="0" applyBorder="0" applyAlignment="0" applyProtection="0">
      <alignment vertical="center"/>
    </xf>
    <xf numFmtId="224" fontId="88" fillId="36" borderId="0" applyNumberFormat="0" applyBorder="0" applyAlignment="0" applyProtection="0">
      <alignment vertical="center"/>
    </xf>
    <xf numFmtId="224" fontId="88" fillId="36" borderId="0" applyNumberFormat="0" applyBorder="0" applyAlignment="0" applyProtection="0">
      <alignment vertical="center"/>
    </xf>
    <xf numFmtId="224" fontId="88" fillId="30" borderId="0" applyNumberFormat="0" applyBorder="0" applyAlignment="0" applyProtection="0">
      <alignment vertical="center"/>
    </xf>
    <xf numFmtId="224" fontId="88" fillId="30" borderId="0" applyNumberFormat="0" applyBorder="0" applyAlignment="0" applyProtection="0">
      <alignment vertical="center"/>
    </xf>
    <xf numFmtId="224" fontId="88" fillId="34" borderId="0" applyNumberFormat="0" applyBorder="0" applyAlignment="0" applyProtection="0">
      <alignment vertical="center"/>
    </xf>
    <xf numFmtId="224" fontId="88" fillId="34" borderId="0" applyNumberFormat="0" applyBorder="0" applyAlignment="0" applyProtection="0">
      <alignment vertical="center"/>
    </xf>
    <xf numFmtId="224" fontId="318" fillId="0" borderId="0" applyNumberFormat="0" applyFill="0" applyBorder="0" applyAlignment="0" applyProtection="0">
      <alignment vertical="center"/>
    </xf>
    <xf numFmtId="224" fontId="318" fillId="0" borderId="0" applyNumberFormat="0" applyFill="0" applyBorder="0" applyAlignment="0" applyProtection="0">
      <alignment vertical="center"/>
    </xf>
    <xf numFmtId="224" fontId="319" fillId="45" borderId="74" applyNumberFormat="0" applyAlignment="0" applyProtection="0">
      <alignment vertical="center"/>
    </xf>
    <xf numFmtId="224" fontId="319" fillId="45" borderId="74" applyNumberFormat="0" applyAlignment="0" applyProtection="0">
      <alignment vertical="center"/>
    </xf>
    <xf numFmtId="224" fontId="320" fillId="9" borderId="0" applyNumberFormat="0" applyBorder="0" applyAlignment="0" applyProtection="0">
      <alignment vertical="center"/>
    </xf>
    <xf numFmtId="224" fontId="320" fillId="9" borderId="0" applyNumberFormat="0" applyBorder="0" applyAlignment="0" applyProtection="0">
      <alignment vertical="center"/>
    </xf>
    <xf numFmtId="224" fontId="245" fillId="22" borderId="47" applyNumberFormat="0" applyFont="0" applyAlignment="0" applyProtection="0">
      <alignment vertical="center"/>
    </xf>
    <xf numFmtId="224" fontId="245" fillId="22" borderId="47" applyNumberFormat="0" applyFont="0" applyAlignment="0" applyProtection="0">
      <alignment vertical="center"/>
    </xf>
    <xf numFmtId="224" fontId="321" fillId="0" borderId="75" applyNumberFormat="0" applyFill="0" applyAlignment="0" applyProtection="0">
      <alignment vertical="center"/>
    </xf>
    <xf numFmtId="224" fontId="321" fillId="0" borderId="75" applyNumberFormat="0" applyFill="0" applyAlignment="0" applyProtection="0">
      <alignment vertical="center"/>
    </xf>
    <xf numFmtId="182" fontId="34" fillId="0" borderId="0" applyFont="0" applyFill="0" applyBorder="0" applyAlignment="0" applyProtection="0"/>
    <xf numFmtId="43" fontId="34" fillId="0" borderId="0" applyFont="0" applyFill="0" applyBorder="0" applyAlignment="0" applyProtection="0"/>
    <xf numFmtId="182" fontId="322" fillId="0" borderId="0" applyFont="0" applyFill="0" applyBorder="0" applyAlignment="0" applyProtection="0"/>
    <xf numFmtId="178" fontId="322" fillId="0" borderId="0" applyFont="0" applyFill="0" applyBorder="0" applyAlignment="0" applyProtection="0"/>
    <xf numFmtId="0" fontId="323" fillId="0" borderId="0" applyFont="0" applyFill="0" applyBorder="0" applyAlignment="0" applyProtection="0"/>
    <xf numFmtId="0" fontId="323" fillId="0" borderId="0" applyFont="0" applyFill="0" applyBorder="0" applyAlignment="0" applyProtection="0"/>
    <xf numFmtId="0" fontId="323" fillId="0" borderId="0"/>
    <xf numFmtId="0" fontId="324" fillId="0" borderId="0" applyNumberFormat="0" applyFill="0" applyBorder="0" applyAlignment="0" applyProtection="0">
      <alignment vertical="top"/>
      <protection locked="0"/>
    </xf>
    <xf numFmtId="224" fontId="247" fillId="0" borderId="0"/>
    <xf numFmtId="224" fontId="247" fillId="0" borderId="0"/>
    <xf numFmtId="224" fontId="325" fillId="20" borderId="30" applyNumberFormat="0" applyAlignment="0" applyProtection="0">
      <alignment vertical="center"/>
    </xf>
    <xf numFmtId="224" fontId="325" fillId="20" borderId="30" applyNumberFormat="0" applyAlignment="0" applyProtection="0">
      <alignment vertical="center"/>
    </xf>
    <xf numFmtId="224" fontId="326" fillId="42" borderId="59" applyNumberFormat="0" applyAlignment="0" applyProtection="0">
      <alignment vertical="center"/>
    </xf>
    <xf numFmtId="224" fontId="326" fillId="42" borderId="59" applyNumberFormat="0" applyAlignment="0" applyProtection="0">
      <alignment vertical="center"/>
    </xf>
    <xf numFmtId="224" fontId="327" fillId="19" borderId="0" applyNumberFormat="0" applyBorder="0" applyAlignment="0" applyProtection="0">
      <alignment vertical="center"/>
    </xf>
    <xf numFmtId="224" fontId="327" fillId="19" borderId="0" applyNumberFormat="0" applyBorder="0" applyAlignment="0" applyProtection="0">
      <alignment vertical="center"/>
    </xf>
    <xf numFmtId="178" fontId="34" fillId="0" borderId="0" applyFont="0" applyFill="0" applyBorder="0" applyAlignment="0" applyProtection="0"/>
    <xf numFmtId="0" fontId="34" fillId="0" borderId="0"/>
    <xf numFmtId="224" fontId="328" fillId="24" borderId="0" applyNumberFormat="0" applyBorder="0" applyAlignment="0" applyProtection="0">
      <alignment vertical="center"/>
    </xf>
    <xf numFmtId="224" fontId="328" fillId="24" borderId="0" applyNumberFormat="0" applyBorder="0" applyAlignment="0" applyProtection="0">
      <alignment vertical="center"/>
    </xf>
    <xf numFmtId="224" fontId="329" fillId="0" borderId="51" applyNumberFormat="0" applyFill="0" applyAlignment="0" applyProtection="0">
      <alignment vertical="center"/>
    </xf>
    <xf numFmtId="224" fontId="329" fillId="0" borderId="51" applyNumberFormat="0" applyFill="0" applyAlignment="0" applyProtection="0">
      <alignment vertical="center"/>
    </xf>
    <xf numFmtId="224" fontId="330" fillId="0" borderId="76" applyNumberFormat="0" applyFill="0" applyAlignment="0" applyProtection="0">
      <alignment vertical="center"/>
    </xf>
    <xf numFmtId="224" fontId="330" fillId="0" borderId="76" applyNumberFormat="0" applyFill="0" applyAlignment="0" applyProtection="0">
      <alignment vertical="center"/>
    </xf>
    <xf numFmtId="224" fontId="331" fillId="0" borderId="77" applyNumberFormat="0" applyFill="0" applyAlignment="0" applyProtection="0">
      <alignment vertical="center"/>
    </xf>
    <xf numFmtId="224" fontId="331" fillId="0" borderId="77" applyNumberFormat="0" applyFill="0" applyAlignment="0" applyProtection="0">
      <alignment vertical="center"/>
    </xf>
    <xf numFmtId="224" fontId="331" fillId="0" borderId="0" applyNumberFormat="0" applyFill="0" applyBorder="0" applyAlignment="0" applyProtection="0">
      <alignment vertical="center"/>
    </xf>
    <xf numFmtId="224" fontId="331" fillId="0" borderId="0" applyNumberFormat="0" applyFill="0" applyBorder="0" applyAlignment="0" applyProtection="0">
      <alignment vertical="center"/>
    </xf>
    <xf numFmtId="224" fontId="332" fillId="42" borderId="30" applyNumberFormat="0" applyAlignment="0" applyProtection="0">
      <alignment vertical="center"/>
    </xf>
    <xf numFmtId="224" fontId="332" fillId="42" borderId="30" applyNumberFormat="0" applyAlignment="0" applyProtection="0">
      <alignment vertical="center"/>
    </xf>
    <xf numFmtId="224" fontId="333" fillId="0" borderId="0" applyNumberFormat="0" applyFill="0" applyBorder="0" applyAlignment="0" applyProtection="0">
      <alignment vertical="center"/>
    </xf>
    <xf numFmtId="224" fontId="333" fillId="0" borderId="0" applyNumberFormat="0" applyFill="0" applyBorder="0" applyAlignment="0" applyProtection="0">
      <alignment vertical="center"/>
    </xf>
    <xf numFmtId="224" fontId="321" fillId="0" borderId="0" applyNumberFormat="0" applyFill="0" applyBorder="0" applyAlignment="0" applyProtection="0">
      <alignment vertical="center"/>
    </xf>
    <xf numFmtId="224" fontId="321" fillId="0" borderId="0" applyNumberFormat="0" applyFill="0" applyBorder="0" applyAlignment="0" applyProtection="0">
      <alignment vertical="center"/>
    </xf>
    <xf numFmtId="224" fontId="334" fillId="0" borderId="70" applyNumberFormat="0" applyFill="0" applyAlignment="0" applyProtection="0">
      <alignment vertical="center"/>
    </xf>
    <xf numFmtId="224" fontId="334" fillId="0" borderId="70" applyNumberFormat="0" applyFill="0" applyAlignment="0" applyProtection="0">
      <alignment vertical="center"/>
    </xf>
    <xf numFmtId="9" fontId="34" fillId="0" borderId="0" applyFont="0" applyFill="0" applyBorder="0" applyAlignment="0" applyProtection="0"/>
    <xf numFmtId="0" fontId="31" fillId="0" borderId="0"/>
    <xf numFmtId="43" fontId="31" fillId="0" borderId="0" applyFont="0" applyFill="0" applyBorder="0" applyAlignment="0" applyProtection="0"/>
    <xf numFmtId="178" fontId="31" fillId="0" borderId="0" applyFont="0" applyFill="0" applyBorder="0" applyAlignment="0" applyProtection="0"/>
    <xf numFmtId="9" fontId="31" fillId="0" borderId="0" applyFont="0" applyFill="0" applyBorder="0" applyAlignment="0" applyProtection="0"/>
    <xf numFmtId="43" fontId="37" fillId="0" borderId="0" applyFont="0" applyFill="0" applyBorder="0" applyAlignment="0" applyProtection="0"/>
    <xf numFmtId="0" fontId="30" fillId="0" borderId="0"/>
    <xf numFmtId="0" fontId="29" fillId="0" borderId="0"/>
    <xf numFmtId="0" fontId="28" fillId="0" borderId="0"/>
    <xf numFmtId="9" fontId="27" fillId="0" borderId="0" applyFont="0" applyFill="0" applyBorder="0" applyAlignment="0" applyProtection="0"/>
    <xf numFmtId="0" fontId="26" fillId="0" borderId="0"/>
    <xf numFmtId="178" fontId="26" fillId="0" borderId="0" applyFont="0" applyFill="0" applyBorder="0" applyAlignment="0" applyProtection="0"/>
    <xf numFmtId="43" fontId="26" fillId="0" borderId="0" applyFont="0" applyFill="0" applyBorder="0" applyAlignment="0" applyProtection="0"/>
    <xf numFmtId="9" fontId="26" fillId="0" borderId="0" applyFont="0" applyFill="0" applyBorder="0" applyAlignment="0" applyProtection="0"/>
    <xf numFmtId="0" fontId="25" fillId="0" borderId="0"/>
    <xf numFmtId="0" fontId="24" fillId="0" borderId="0"/>
    <xf numFmtId="0" fontId="34" fillId="73" borderId="0"/>
    <xf numFmtId="0" fontId="24" fillId="0" borderId="0"/>
    <xf numFmtId="0" fontId="23" fillId="0" borderId="0"/>
    <xf numFmtId="0" fontId="22" fillId="0" borderId="0"/>
    <xf numFmtId="0" fontId="21" fillId="0" borderId="0"/>
    <xf numFmtId="0" fontId="20" fillId="0" borderId="0"/>
    <xf numFmtId="9" fontId="20" fillId="0" borderId="0" applyFont="0" applyFill="0" applyBorder="0" applyAlignment="0" applyProtection="0"/>
    <xf numFmtId="43" fontId="20" fillId="0" borderId="0" applyFont="0" applyFill="0" applyBorder="0" applyAlignment="0" applyProtection="0"/>
    <xf numFmtId="0" fontId="19" fillId="0" borderId="0"/>
    <xf numFmtId="178"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0" fontId="338" fillId="0" borderId="0"/>
    <xf numFmtId="0" fontId="34"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9" fontId="339" fillId="0" borderId="0" applyFont="0" applyFill="0" applyBorder="0" applyAlignment="0" applyProtection="0"/>
    <xf numFmtId="0" fontId="16" fillId="0" borderId="0"/>
    <xf numFmtId="0" fontId="34" fillId="0" borderId="0" applyNumberFormat="0" applyFill="0" applyBorder="0" applyAlignment="0" applyProtection="0"/>
    <xf numFmtId="0" fontId="345" fillId="0" borderId="0" applyNumberFormat="0" applyFill="0" applyBorder="0" applyAlignment="0" applyProtection="0"/>
    <xf numFmtId="0" fontId="353" fillId="0" borderId="0" applyNumberFormat="0" applyFill="0" applyBorder="0" applyAlignment="0" applyProtection="0">
      <alignment vertical="top"/>
      <protection locked="0"/>
    </xf>
    <xf numFmtId="0" fontId="15" fillId="0" borderId="0"/>
    <xf numFmtId="43"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43" fontId="15"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354" fillId="0" borderId="0"/>
    <xf numFmtId="0" fontId="14" fillId="0" borderId="0"/>
    <xf numFmtId="0" fontId="13" fillId="0" borderId="0"/>
    <xf numFmtId="43" fontId="13" fillId="0" borderId="0" applyFont="0" applyFill="0" applyBorder="0" applyAlignment="0" applyProtection="0"/>
    <xf numFmtId="0" fontId="71" fillId="6" borderId="78" applyNumberFormat="0" applyFont="0" applyProtection="0">
      <alignment horizontal="center" vertical="center" wrapText="1"/>
    </xf>
    <xf numFmtId="9" fontId="13" fillId="0" borderId="0" applyFont="0" applyFill="0" applyBorder="0" applyAlignment="0" applyProtection="0"/>
    <xf numFmtId="3" fontId="44" fillId="0" borderId="78" applyNumberFormat="0" applyFont="0" applyProtection="0">
      <alignment horizontal="center" vertical="center" wrapText="1"/>
    </xf>
    <xf numFmtId="4" fontId="40" fillId="5" borderId="78" applyNumberFormat="0" applyProtection="0">
      <alignment horizontal="center" vertical="center" wrapText="1"/>
    </xf>
    <xf numFmtId="0" fontId="12" fillId="0" borderId="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355" fillId="0" borderId="0"/>
    <xf numFmtId="2" fontId="356" fillId="0" borderId="0"/>
    <xf numFmtId="0" fontId="357" fillId="0" borderId="0" applyNumberFormat="0" applyFill="0" applyBorder="0" applyAlignment="0" applyProtection="0">
      <alignment vertical="top"/>
      <protection locked="0"/>
    </xf>
    <xf numFmtId="0" fontId="36" fillId="0" borderId="0"/>
    <xf numFmtId="2" fontId="36" fillId="0" borderId="0"/>
    <xf numFmtId="0" fontId="9" fillId="0" borderId="0"/>
    <xf numFmtId="0" fontId="71" fillId="6" borderId="95" applyNumberFormat="0" applyFont="0" applyProtection="0">
      <alignment horizontal="center" vertical="center" wrapText="1"/>
    </xf>
    <xf numFmtId="0" fontId="9" fillId="0" borderId="0"/>
    <xf numFmtId="0" fontId="8" fillId="0" borderId="0"/>
    <xf numFmtId="0" fontId="8" fillId="0" borderId="0"/>
    <xf numFmtId="0" fontId="71" fillId="6" borderId="98" applyNumberFormat="0" applyFont="0" applyProtection="0">
      <alignment horizontal="center" vertical="center" wrapText="1"/>
    </xf>
    <xf numFmtId="43" fontId="8" fillId="0" borderId="0" applyFont="0" applyFill="0" applyBorder="0" applyAlignment="0" applyProtection="0"/>
    <xf numFmtId="2" fontId="36" fillId="0" borderId="0"/>
    <xf numFmtId="0" fontId="6" fillId="0" borderId="0"/>
    <xf numFmtId="164" fontId="6" fillId="0" borderId="0" applyFont="0" applyFill="0" applyBorder="0" applyAlignment="0" applyProtection="0"/>
    <xf numFmtId="0" fontId="5"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2" fillId="0" borderId="0"/>
    <xf numFmtId="4" fontId="335" fillId="4" borderId="98" applyNumberFormat="0" applyProtection="0">
      <alignment horizontal="center" vertical="center" wrapText="1"/>
    </xf>
    <xf numFmtId="220" fontId="36" fillId="0" borderId="0"/>
    <xf numFmtId="0" fontId="414" fillId="0" borderId="0"/>
    <xf numFmtId="0" fontId="414" fillId="0" borderId="0"/>
    <xf numFmtId="0" fontId="414" fillId="0" borderId="0"/>
  </cellStyleXfs>
  <cellXfs count="1762">
    <xf numFmtId="0" fontId="0" fillId="0" borderId="0" xfId="0"/>
    <xf numFmtId="0" fontId="34" fillId="74" borderId="0" xfId="0" applyFont="1" applyFill="1"/>
    <xf numFmtId="0" fontId="340" fillId="74" borderId="82" xfId="5284" applyFont="1" applyFill="1" applyBorder="1"/>
    <xf numFmtId="0" fontId="340" fillId="74" borderId="83" xfId="5284" applyFont="1" applyFill="1" applyBorder="1"/>
    <xf numFmtId="0" fontId="340" fillId="74" borderId="84" xfId="5284" applyFont="1" applyFill="1" applyBorder="1"/>
    <xf numFmtId="0" fontId="340" fillId="74" borderId="85" xfId="5284" applyFont="1" applyFill="1" applyBorder="1"/>
    <xf numFmtId="0" fontId="341" fillId="74" borderId="0" xfId="5284" applyFont="1" applyFill="1" applyAlignment="1">
      <alignment vertical="center"/>
    </xf>
    <xf numFmtId="0" fontId="341" fillId="74" borderId="0" xfId="5284" applyFont="1" applyFill="1"/>
    <xf numFmtId="0" fontId="341" fillId="74" borderId="0" xfId="5284" applyFont="1" applyFill="1" applyAlignment="1">
      <alignment horizontal="right"/>
    </xf>
    <xf numFmtId="0" fontId="340" fillId="74" borderId="86" xfId="5284" applyFont="1" applyFill="1" applyBorder="1"/>
    <xf numFmtId="0" fontId="41" fillId="74" borderId="0" xfId="5284" applyFont="1" applyFill="1"/>
    <xf numFmtId="0" fontId="41" fillId="74" borderId="0" xfId="5284" applyFont="1" applyFill="1" applyAlignment="1">
      <alignment horizontal="left"/>
    </xf>
    <xf numFmtId="0" fontId="41" fillId="74" borderId="0" xfId="5284" applyFont="1" applyFill="1" applyAlignment="1">
      <alignment horizontal="right"/>
    </xf>
    <xf numFmtId="0" fontId="41" fillId="74" borderId="0" xfId="5284" applyFont="1" applyFill="1" applyAlignment="1">
      <alignment horizontal="left" indent="1"/>
    </xf>
    <xf numFmtId="0" fontId="41" fillId="74" borderId="0" xfId="5284" quotePrefix="1" applyFont="1" applyFill="1" applyAlignment="1">
      <alignment horizontal="right"/>
    </xf>
    <xf numFmtId="0" fontId="340" fillId="74" borderId="87" xfId="5284" applyFont="1" applyFill="1" applyBorder="1"/>
    <xf numFmtId="0" fontId="340" fillId="74" borderId="88" xfId="5284" applyFont="1" applyFill="1" applyBorder="1"/>
    <xf numFmtId="0" fontId="340" fillId="74" borderId="89" xfId="5284" applyFont="1" applyFill="1" applyBorder="1"/>
    <xf numFmtId="0" fontId="340" fillId="74" borderId="0" xfId="5284" applyFont="1" applyFill="1"/>
    <xf numFmtId="0" fontId="340" fillId="0" borderId="0" xfId="5284" applyFont="1"/>
    <xf numFmtId="0" fontId="342" fillId="74" borderId="0" xfId="5284" applyFont="1" applyFill="1"/>
    <xf numFmtId="0" fontId="343" fillId="74" borderId="0" xfId="5284" applyFont="1" applyFill="1"/>
    <xf numFmtId="0" fontId="343" fillId="74" borderId="0" xfId="5284" applyFont="1" applyFill="1" applyAlignment="1">
      <alignment horizontal="right"/>
    </xf>
    <xf numFmtId="0" fontId="342" fillId="74" borderId="0" xfId="5284" applyFont="1" applyFill="1" applyAlignment="1">
      <alignment horizontal="right"/>
    </xf>
    <xf numFmtId="0" fontId="344" fillId="74" borderId="0" xfId="5284" applyFont="1" applyFill="1"/>
    <xf numFmtId="0" fontId="342" fillId="0" borderId="0" xfId="5284" applyFont="1"/>
    <xf numFmtId="0" fontId="343" fillId="0" borderId="0" xfId="5284" applyFont="1"/>
    <xf numFmtId="0" fontId="34" fillId="0" borderId="0" xfId="5285" applyProtection="1">
      <protection hidden="1"/>
    </xf>
    <xf numFmtId="0" fontId="55" fillId="74" borderId="3" xfId="5284" applyFont="1" applyFill="1" applyBorder="1" applyAlignment="1">
      <alignment horizontal="left"/>
    </xf>
    <xf numFmtId="0" fontId="55" fillId="74" borderId="91" xfId="5284" applyFont="1" applyFill="1" applyBorder="1" applyAlignment="1">
      <alignment horizontal="center"/>
    </xf>
    <xf numFmtId="0" fontId="57" fillId="77" borderId="2" xfId="5284" applyFont="1" applyFill="1" applyBorder="1" applyAlignment="1">
      <alignment horizontal="left" indent="1"/>
    </xf>
    <xf numFmtId="0" fontId="346" fillId="80" borderId="2" xfId="5284" applyFont="1" applyFill="1" applyBorder="1" applyAlignment="1">
      <alignment horizontal="left" indent="1"/>
    </xf>
    <xf numFmtId="0" fontId="346" fillId="81" borderId="2" xfId="5284" applyFont="1" applyFill="1" applyBorder="1" applyAlignment="1">
      <alignment horizontal="left" indent="1"/>
    </xf>
    <xf numFmtId="0" fontId="57" fillId="78" borderId="2" xfId="5284" applyFont="1" applyFill="1" applyBorder="1" applyAlignment="1">
      <alignment horizontal="left" indent="1"/>
    </xf>
    <xf numFmtId="0" fontId="347" fillId="74" borderId="2" xfId="5284" applyFont="1" applyFill="1" applyBorder="1" applyAlignment="1">
      <alignment horizontal="left" indent="1"/>
    </xf>
    <xf numFmtId="0" fontId="348" fillId="75" borderId="2" xfId="5284" applyFont="1" applyFill="1" applyBorder="1" applyAlignment="1">
      <alignment horizontal="left" indent="1"/>
    </xf>
    <xf numFmtId="0" fontId="57" fillId="74" borderId="2" xfId="5284" applyFont="1" applyFill="1" applyBorder="1" applyAlignment="1">
      <alignment horizontal="left" indent="1"/>
    </xf>
    <xf numFmtId="0" fontId="349" fillId="74" borderId="2" xfId="5284" applyFont="1" applyFill="1" applyBorder="1" applyAlignment="1">
      <alignment horizontal="left" indent="1"/>
    </xf>
    <xf numFmtId="0" fontId="350" fillId="74" borderId="2" xfId="5284" applyFont="1" applyFill="1" applyBorder="1" applyAlignment="1">
      <alignment horizontal="left" indent="1"/>
    </xf>
    <xf numFmtId="0" fontId="34" fillId="0" borderId="2" xfId="5285" applyBorder="1" applyProtection="1">
      <protection hidden="1"/>
    </xf>
    <xf numFmtId="0" fontId="34" fillId="0" borderId="0" xfId="5285" applyBorder="1" applyProtection="1">
      <protection hidden="1"/>
    </xf>
    <xf numFmtId="0" fontId="34" fillId="0" borderId="92" xfId="5285" applyBorder="1" applyProtection="1">
      <protection hidden="1"/>
    </xf>
    <xf numFmtId="0" fontId="34" fillId="0" borderId="93" xfId="5285" applyBorder="1" applyProtection="1">
      <protection hidden="1"/>
    </xf>
    <xf numFmtId="0" fontId="34" fillId="0" borderId="22" xfId="5285" applyBorder="1" applyProtection="1">
      <protection hidden="1"/>
    </xf>
    <xf numFmtId="0" fontId="34" fillId="0" borderId="81" xfId="5285" applyBorder="1" applyProtection="1">
      <protection hidden="1"/>
    </xf>
    <xf numFmtId="0" fontId="34" fillId="0" borderId="0" xfId="5285" applyFill="1" applyProtection="1">
      <protection hidden="1"/>
    </xf>
    <xf numFmtId="0" fontId="17" fillId="0" borderId="0" xfId="5284" applyFont="1"/>
    <xf numFmtId="355" fontId="17" fillId="0" borderId="0" xfId="5284" applyNumberFormat="1" applyFont="1"/>
    <xf numFmtId="0" fontId="35" fillId="79" borderId="79" xfId="5284" applyFont="1" applyFill="1" applyBorder="1"/>
    <xf numFmtId="0" fontId="35" fillId="79" borderId="49" xfId="5284" applyFont="1" applyFill="1" applyBorder="1"/>
    <xf numFmtId="355" fontId="35" fillId="79" borderId="49" xfId="5284" applyNumberFormat="1" applyFont="1" applyFill="1" applyBorder="1"/>
    <xf numFmtId="0" fontId="35" fillId="79" borderId="80" xfId="5284" applyFont="1" applyFill="1" applyBorder="1"/>
    <xf numFmtId="0" fontId="41" fillId="0" borderId="0" xfId="5284" applyFont="1"/>
    <xf numFmtId="0" fontId="340" fillId="0" borderId="0" xfId="5284" applyFont="1" applyAlignment="1">
      <alignment horizontal="right"/>
    </xf>
    <xf numFmtId="0" fontId="55" fillId="74" borderId="96" xfId="5284" applyFont="1" applyFill="1" applyBorder="1" applyAlignment="1">
      <alignment horizontal="center"/>
    </xf>
    <xf numFmtId="0" fontId="351" fillId="79" borderId="93" xfId="5284" applyFont="1" applyFill="1" applyBorder="1" applyAlignment="1">
      <alignment horizontal="left" indent="1"/>
    </xf>
    <xf numFmtId="355" fontId="342" fillId="0" borderId="0" xfId="5284" applyNumberFormat="1" applyFont="1" applyAlignment="1">
      <alignment horizontal="center"/>
    </xf>
    <xf numFmtId="0" fontId="57" fillId="74" borderId="92" xfId="5284" applyFont="1" applyFill="1" applyBorder="1" applyAlignment="1">
      <alignment horizontal="center"/>
    </xf>
    <xf numFmtId="0" fontId="57" fillId="74" borderId="81" xfId="5284" applyFont="1" applyFill="1" applyBorder="1" applyAlignment="1">
      <alignment horizontal="center"/>
    </xf>
    <xf numFmtId="0" fontId="286" fillId="0" borderId="0" xfId="0" applyFont="1"/>
    <xf numFmtId="0" fontId="35" fillId="74" borderId="0" xfId="0" applyFont="1" applyFill="1"/>
    <xf numFmtId="0" fontId="34" fillId="74" borderId="0" xfId="0" applyFont="1" applyFill="1" applyAlignment="1" applyProtection="1">
      <alignment vertical="center"/>
      <protection hidden="1"/>
    </xf>
    <xf numFmtId="0" fontId="34" fillId="74" borderId="0" xfId="0" applyFont="1" applyFill="1" applyAlignment="1">
      <alignment wrapText="1"/>
    </xf>
    <xf numFmtId="0" fontId="34" fillId="74" borderId="0" xfId="0" applyFont="1" applyFill="1" applyAlignment="1">
      <alignment horizontal="center"/>
    </xf>
    <xf numFmtId="0" fontId="35" fillId="74" borderId="0" xfId="0" applyFont="1" applyFill="1" applyAlignment="1">
      <alignment horizontal="center" vertical="center"/>
    </xf>
    <xf numFmtId="0" fontId="35" fillId="74" borderId="0" xfId="194" applyFont="1" applyFill="1" applyBorder="1">
      <alignment horizontal="center" vertical="center" wrapText="1"/>
    </xf>
    <xf numFmtId="351" fontId="34" fillId="74" borderId="0" xfId="3" applyNumberFormat="1" applyFont="1" applyFill="1" applyBorder="1">
      <alignment horizontal="center" vertical="center" wrapText="1"/>
    </xf>
    <xf numFmtId="2" fontId="34" fillId="74" borderId="0" xfId="3" applyNumberFormat="1" applyFont="1" applyFill="1" applyBorder="1">
      <alignment horizontal="center" vertical="center" wrapText="1"/>
    </xf>
    <xf numFmtId="175" fontId="34" fillId="74" borderId="0" xfId="3" applyNumberFormat="1" applyFont="1" applyFill="1" applyBorder="1">
      <alignment horizontal="center" vertical="center" wrapText="1"/>
    </xf>
    <xf numFmtId="171" fontId="34" fillId="74" borderId="0" xfId="3" applyNumberFormat="1" applyFont="1" applyFill="1" applyBorder="1">
      <alignment horizontal="center" vertical="center" wrapText="1"/>
    </xf>
    <xf numFmtId="221" fontId="34" fillId="74" borderId="0" xfId="3" applyNumberFormat="1" applyFont="1" applyFill="1" applyBorder="1">
      <alignment horizontal="center" vertical="center" wrapText="1"/>
    </xf>
    <xf numFmtId="0" fontId="34" fillId="74" borderId="0" xfId="0" applyFont="1" applyFill="1" applyAlignment="1" applyProtection="1">
      <alignment horizontal="center" vertical="center"/>
      <protection hidden="1"/>
    </xf>
    <xf numFmtId="0" fontId="35" fillId="74" borderId="0" xfId="0" applyFont="1" applyFill="1" applyAlignment="1" applyProtection="1">
      <alignment horizontal="center" vertical="center"/>
      <protection hidden="1"/>
    </xf>
    <xf numFmtId="0" fontId="34" fillId="74" borderId="0" xfId="0" applyFont="1" applyFill="1" applyAlignment="1" applyProtection="1">
      <alignment vertical="center"/>
      <protection locked="0"/>
    </xf>
    <xf numFmtId="0" fontId="34" fillId="74" borderId="0" xfId="0" applyFont="1" applyFill="1" applyAlignment="1">
      <alignment horizontal="center" vertical="center"/>
    </xf>
    <xf numFmtId="43" fontId="34" fillId="74" borderId="0" xfId="5254" applyFont="1" applyFill="1" applyBorder="1" applyAlignment="1"/>
    <xf numFmtId="0" fontId="34" fillId="74" borderId="0" xfId="0" applyFont="1" applyFill="1" applyAlignment="1">
      <alignment horizontal="left" indent="2"/>
    </xf>
    <xf numFmtId="164" fontId="34" fillId="74" borderId="0" xfId="0" applyNumberFormat="1" applyFont="1" applyFill="1"/>
    <xf numFmtId="356" fontId="34" fillId="74" borderId="0" xfId="0" applyNumberFormat="1" applyFont="1" applyFill="1"/>
    <xf numFmtId="173" fontId="34" fillId="74" borderId="0" xfId="5254" applyNumberFormat="1" applyFont="1" applyFill="1"/>
    <xf numFmtId="43" fontId="34" fillId="74" borderId="0" xfId="5254" applyFont="1" applyFill="1" applyBorder="1"/>
    <xf numFmtId="43" fontId="34" fillId="74" borderId="0" xfId="5254" applyFont="1" applyFill="1" applyBorder="1" applyAlignment="1" applyProtection="1">
      <alignment horizontal="right" vertical="center"/>
      <protection hidden="1"/>
    </xf>
    <xf numFmtId="173" fontId="35" fillId="74" borderId="0" xfId="5254" applyNumberFormat="1" applyFont="1" applyFill="1" applyBorder="1" applyAlignment="1"/>
    <xf numFmtId="4" fontId="34" fillId="74" borderId="0" xfId="5254" applyNumberFormat="1" applyFont="1" applyFill="1" applyBorder="1" applyAlignment="1"/>
    <xf numFmtId="173" fontId="34" fillId="74" borderId="0" xfId="5254" applyNumberFormat="1" applyFont="1" applyFill="1" applyBorder="1" applyAlignment="1" applyProtection="1">
      <alignment horizontal="center" vertical="center"/>
      <protection locked="0"/>
    </xf>
    <xf numFmtId="43" fontId="34" fillId="74" borderId="0" xfId="5254" applyFont="1" applyFill="1" applyBorder="1" applyAlignment="1" applyProtection="1">
      <alignment vertical="center"/>
      <protection locked="0"/>
    </xf>
    <xf numFmtId="9" fontId="34" fillId="74" borderId="0" xfId="1" applyFont="1" applyFill="1" applyBorder="1" applyAlignment="1" applyProtection="1">
      <alignment vertical="center"/>
      <protection locked="0"/>
    </xf>
    <xf numFmtId="173" fontId="34" fillId="74" borderId="0" xfId="5254" applyNumberFormat="1" applyFont="1" applyFill="1" applyBorder="1" applyAlignment="1" applyProtection="1">
      <alignment vertical="center"/>
      <protection locked="0"/>
    </xf>
    <xf numFmtId="353" fontId="34" fillId="74" borderId="0" xfId="5254" applyNumberFormat="1" applyFont="1" applyFill="1" applyBorder="1" applyAlignment="1" applyProtection="1">
      <alignment horizontal="right" vertical="center"/>
      <protection hidden="1"/>
    </xf>
    <xf numFmtId="353" fontId="34" fillId="74" borderId="0" xfId="5254" applyNumberFormat="1" applyFont="1" applyFill="1" applyBorder="1" applyAlignment="1" applyProtection="1">
      <alignment horizontal="right" vertical="center"/>
      <protection locked="0"/>
    </xf>
    <xf numFmtId="221" fontId="34" fillId="74" borderId="0" xfId="1" applyNumberFormat="1" applyFont="1" applyFill="1" applyBorder="1" applyAlignment="1" applyProtection="1">
      <alignment horizontal="right" vertical="center"/>
      <protection locked="0"/>
    </xf>
    <xf numFmtId="43" fontId="34" fillId="74" borderId="0" xfId="5254" applyFont="1" applyFill="1" applyBorder="1" applyAlignment="1" applyProtection="1">
      <alignment horizontal="right" vertical="center"/>
      <protection locked="0"/>
    </xf>
    <xf numFmtId="3" fontId="35" fillId="74" borderId="0" xfId="194" applyNumberFormat="1" applyFont="1" applyFill="1" applyBorder="1">
      <alignment horizontal="center" vertical="center" wrapText="1"/>
    </xf>
    <xf numFmtId="221" fontId="34" fillId="74" borderId="0" xfId="1" applyNumberFormat="1" applyFont="1" applyFill="1" applyBorder="1" applyAlignment="1" applyProtection="1">
      <alignment vertical="center"/>
      <protection locked="0"/>
    </xf>
    <xf numFmtId="0" fontId="34" fillId="0" borderId="0" xfId="0" applyFont="1"/>
    <xf numFmtId="0" fontId="34" fillId="0" borderId="0" xfId="0" applyFont="1" applyAlignment="1">
      <alignment horizontal="center"/>
    </xf>
    <xf numFmtId="9" fontId="358" fillId="75" borderId="0" xfId="0" applyNumberFormat="1" applyFont="1" applyFill="1"/>
    <xf numFmtId="164" fontId="34" fillId="0" borderId="0" xfId="0" applyNumberFormat="1" applyFont="1" applyAlignment="1">
      <alignment horizontal="center"/>
    </xf>
    <xf numFmtId="0" fontId="34" fillId="0" borderId="0" xfId="0" applyFont="1" applyAlignment="1">
      <alignment horizontal="left"/>
    </xf>
    <xf numFmtId="0" fontId="34" fillId="0" borderId="0" xfId="0" applyFont="1" applyAlignment="1">
      <alignment horizontal="center" vertical="center"/>
    </xf>
    <xf numFmtId="349" fontId="34" fillId="0" borderId="0" xfId="2" applyNumberFormat="1" applyFont="1" applyAlignment="1">
      <alignment horizontal="center"/>
    </xf>
    <xf numFmtId="0" fontId="359" fillId="0" borderId="0" xfId="2" applyFont="1" applyAlignment="1">
      <alignment horizontal="left"/>
    </xf>
    <xf numFmtId="0" fontId="34" fillId="0" borderId="0" xfId="2" applyFont="1" applyAlignment="1">
      <alignment horizontal="left"/>
    </xf>
    <xf numFmtId="0" fontId="34" fillId="0" borderId="0" xfId="2" applyFont="1" applyAlignment="1">
      <alignment horizontal="center" vertical="center"/>
    </xf>
    <xf numFmtId="0" fontId="34" fillId="0" borderId="0" xfId="2" applyFont="1" applyAlignment="1">
      <alignment horizontal="center"/>
    </xf>
    <xf numFmtId="350" fontId="35" fillId="0" borderId="0" xfId="2" applyNumberFormat="1" applyFont="1" applyAlignment="1">
      <alignment horizontal="center"/>
    </xf>
    <xf numFmtId="0" fontId="39" fillId="0" borderId="0" xfId="2" applyFont="1" applyAlignment="1">
      <alignment horizontal="left"/>
    </xf>
    <xf numFmtId="9" fontId="335" fillId="0" borderId="0" xfId="0" applyNumberFormat="1" applyFont="1"/>
    <xf numFmtId="0" fontId="92" fillId="0" borderId="0" xfId="0" applyFont="1" applyAlignment="1">
      <alignment horizontal="center" vertical="center"/>
    </xf>
    <xf numFmtId="0" fontId="92" fillId="0" borderId="0" xfId="0" applyFont="1"/>
    <xf numFmtId="0" fontId="95" fillId="0" borderId="0" xfId="0" applyFont="1" applyAlignment="1" applyProtection="1">
      <alignment vertical="center"/>
      <protection hidden="1"/>
    </xf>
    <xf numFmtId="0" fontId="360" fillId="0" borderId="0" xfId="0" applyFont="1" applyAlignment="1" applyProtection="1">
      <alignment horizontal="left" vertical="center"/>
      <protection hidden="1"/>
    </xf>
    <xf numFmtId="0" fontId="360" fillId="0" borderId="0" xfId="0" applyFont="1" applyAlignment="1" applyProtection="1">
      <alignment horizontal="right" vertical="center"/>
      <protection hidden="1"/>
    </xf>
    <xf numFmtId="164" fontId="360" fillId="0" borderId="0" xfId="0" applyNumberFormat="1" applyFont="1" applyAlignment="1" applyProtection="1">
      <alignment horizontal="right" vertical="center"/>
      <protection hidden="1"/>
    </xf>
    <xf numFmtId="0" fontId="360" fillId="0" borderId="0" xfId="0" applyFont="1" applyAlignment="1" applyProtection="1">
      <alignment vertical="center"/>
      <protection hidden="1"/>
    </xf>
    <xf numFmtId="0" fontId="92" fillId="0" borderId="0" xfId="0" applyFont="1" applyAlignment="1">
      <alignment horizontal="left"/>
    </xf>
    <xf numFmtId="0" fontId="92" fillId="0" borderId="0" xfId="0" applyFont="1" applyAlignment="1">
      <alignment horizontal="right"/>
    </xf>
    <xf numFmtId="0" fontId="35" fillId="0" borderId="0" xfId="0" applyFont="1" applyAlignment="1" applyProtection="1">
      <alignment vertical="center"/>
      <protection hidden="1"/>
    </xf>
    <xf numFmtId="0" fontId="365" fillId="0" borderId="0" xfId="0" applyFont="1" applyAlignment="1" applyProtection="1">
      <alignment vertical="center"/>
      <protection hidden="1"/>
    </xf>
    <xf numFmtId="164" fontId="365" fillId="0" borderId="0" xfId="0" applyNumberFormat="1" applyFont="1" applyAlignment="1" applyProtection="1">
      <alignment vertical="center"/>
      <protection hidden="1"/>
    </xf>
    <xf numFmtId="164" fontId="34" fillId="0" borderId="0" xfId="0" applyNumberFormat="1" applyFont="1"/>
    <xf numFmtId="0" fontId="34" fillId="0" borderId="0" xfId="0" applyFont="1" applyAlignment="1" applyProtection="1">
      <alignment vertical="center"/>
      <protection hidden="1"/>
    </xf>
    <xf numFmtId="173" fontId="335" fillId="0" borderId="0" xfId="2785" applyNumberFormat="1" applyFont="1" applyFill="1" applyBorder="1" applyAlignment="1" applyProtection="1">
      <alignment horizontal="center" vertical="center"/>
      <protection hidden="1"/>
    </xf>
    <xf numFmtId="173" fontId="34" fillId="0" borderId="0" xfId="2785" applyNumberFormat="1" applyFont="1" applyFill="1" applyBorder="1" applyAlignment="1" applyProtection="1">
      <alignment horizontal="center" vertical="center"/>
      <protection hidden="1"/>
    </xf>
    <xf numFmtId="17" fontId="34" fillId="0" borderId="0" xfId="0" applyNumberFormat="1" applyFont="1" applyAlignment="1" applyProtection="1">
      <alignment vertical="center"/>
      <protection hidden="1"/>
    </xf>
    <xf numFmtId="353" fontId="335" fillId="0" borderId="0" xfId="2785" applyNumberFormat="1" applyFont="1" applyFill="1" applyBorder="1" applyAlignment="1" applyProtection="1">
      <alignment horizontal="center" vertical="center"/>
      <protection hidden="1"/>
    </xf>
    <xf numFmtId="0" fontId="358" fillId="75" borderId="0" xfId="0" applyFont="1" applyFill="1" applyAlignment="1" applyProtection="1">
      <alignment horizontal="left" vertical="center"/>
      <protection locked="0"/>
    </xf>
    <xf numFmtId="173" fontId="358" fillId="75" borderId="0" xfId="2785" applyNumberFormat="1" applyFont="1" applyFill="1" applyBorder="1" applyAlignment="1" applyProtection="1">
      <alignment vertical="center"/>
      <protection locked="0"/>
    </xf>
    <xf numFmtId="353" fontId="358" fillId="75" borderId="0" xfId="2785" applyNumberFormat="1" applyFont="1" applyFill="1" applyBorder="1" applyAlignment="1" applyProtection="1">
      <alignment vertical="center"/>
      <protection locked="0"/>
    </xf>
    <xf numFmtId="9" fontId="358" fillId="75" borderId="0" xfId="5" applyFont="1" applyFill="1" applyBorder="1" applyAlignment="1" applyProtection="1">
      <alignment horizontal="center" vertical="center"/>
      <protection locked="0"/>
    </xf>
    <xf numFmtId="173" fontId="358" fillId="75" borderId="0" xfId="2785" applyNumberFormat="1" applyFont="1" applyFill="1" applyBorder="1" applyAlignment="1" applyProtection="1">
      <alignment horizontal="center" vertical="center"/>
      <protection locked="0"/>
    </xf>
    <xf numFmtId="221" fontId="358" fillId="75" borderId="0" xfId="5" applyNumberFormat="1" applyFont="1" applyFill="1" applyBorder="1" applyAlignment="1" applyProtection="1">
      <alignment horizontal="center" vertical="center"/>
      <protection locked="0"/>
    </xf>
    <xf numFmtId="43" fontId="358" fillId="75" borderId="0" xfId="2785" applyFont="1" applyFill="1" applyBorder="1" applyAlignment="1" applyProtection="1">
      <alignment horizontal="center" vertical="center"/>
      <protection locked="0"/>
    </xf>
    <xf numFmtId="0" fontId="361" fillId="2" borderId="0" xfId="0" applyFont="1" applyFill="1" applyAlignment="1" applyProtection="1">
      <alignment horizontal="center" vertical="center"/>
      <protection hidden="1"/>
    </xf>
    <xf numFmtId="0" fontId="95" fillId="2" borderId="99" xfId="0" applyFont="1" applyFill="1" applyBorder="1" applyAlignment="1" applyProtection="1">
      <alignment horizontal="center" vertical="center"/>
      <protection hidden="1"/>
    </xf>
    <xf numFmtId="0" fontId="95" fillId="2" borderId="104" xfId="0" applyFont="1" applyFill="1" applyBorder="1" applyAlignment="1" applyProtection="1">
      <alignment horizontal="center" vertical="center"/>
      <protection hidden="1"/>
    </xf>
    <xf numFmtId="0" fontId="95" fillId="2" borderId="105" xfId="0" applyFont="1" applyFill="1" applyBorder="1" applyAlignment="1" applyProtection="1">
      <alignment horizontal="center" vertical="center"/>
      <protection hidden="1"/>
    </xf>
    <xf numFmtId="0" fontId="92" fillId="2" borderId="3" xfId="0" applyFont="1" applyFill="1" applyBorder="1" applyAlignment="1">
      <alignment horizontal="center"/>
    </xf>
    <xf numFmtId="0" fontId="92" fillId="2" borderId="93" xfId="0" applyFont="1" applyFill="1" applyBorder="1" applyAlignment="1">
      <alignment horizontal="center"/>
    </xf>
    <xf numFmtId="0" fontId="362" fillId="2" borderId="104" xfId="0" applyFont="1" applyFill="1" applyBorder="1" applyAlignment="1" applyProtection="1">
      <alignment horizontal="center" vertical="center"/>
      <protection hidden="1"/>
    </xf>
    <xf numFmtId="0" fontId="367" fillId="0" borderId="0" xfId="0" applyFont="1"/>
    <xf numFmtId="0" fontId="368" fillId="0" borderId="0" xfId="0" applyFont="1"/>
    <xf numFmtId="0" fontId="96" fillId="0" borderId="0" xfId="0" applyFont="1"/>
    <xf numFmtId="0" fontId="35" fillId="0" borderId="0" xfId="0" applyFont="1" applyAlignment="1">
      <alignment wrapText="1"/>
    </xf>
    <xf numFmtId="0" fontId="35" fillId="0" borderId="0" xfId="0" applyFont="1" applyAlignment="1">
      <alignment horizontal="center"/>
    </xf>
    <xf numFmtId="353" fontId="0" fillId="0" borderId="0" xfId="5254" applyNumberFormat="1" applyFont="1"/>
    <xf numFmtId="353" fontId="0" fillId="0" borderId="0" xfId="0" applyNumberFormat="1"/>
    <xf numFmtId="0" fontId="364" fillId="0" borderId="0" xfId="0" applyFont="1" applyAlignment="1" applyProtection="1">
      <alignment vertical="center"/>
      <protection hidden="1"/>
    </xf>
    <xf numFmtId="0" fontId="364" fillId="0" borderId="34" xfId="0" applyFont="1" applyBorder="1" applyAlignment="1" applyProtection="1">
      <alignment vertical="center"/>
      <protection hidden="1"/>
    </xf>
    <xf numFmtId="0" fontId="370" fillId="75" borderId="2" xfId="0" applyFont="1" applyFill="1" applyBorder="1"/>
    <xf numFmtId="0" fontId="370" fillId="75" borderId="102" xfId="0" applyFont="1" applyFill="1" applyBorder="1"/>
    <xf numFmtId="0" fontId="336" fillId="83" borderId="3" xfId="0" applyFont="1" applyFill="1" applyBorder="1"/>
    <xf numFmtId="0" fontId="336" fillId="83" borderId="90" xfId="0" applyFont="1" applyFill="1" applyBorder="1"/>
    <xf numFmtId="0" fontId="336" fillId="83" borderId="91" xfId="0" applyFont="1" applyFill="1" applyBorder="1"/>
    <xf numFmtId="0" fontId="358" fillId="75" borderId="2" xfId="0" applyFont="1" applyFill="1" applyBorder="1" applyAlignment="1" applyProtection="1">
      <alignment vertical="center"/>
      <protection hidden="1"/>
    </xf>
    <xf numFmtId="0" fontId="358" fillId="75" borderId="0" xfId="0" applyFont="1" applyFill="1" applyAlignment="1" applyProtection="1">
      <alignment vertical="center"/>
      <protection hidden="1"/>
    </xf>
    <xf numFmtId="0" fontId="358" fillId="75" borderId="0" xfId="0" applyFont="1" applyFill="1"/>
    <xf numFmtId="0" fontId="358" fillId="75" borderId="92" xfId="0" applyFont="1" applyFill="1" applyBorder="1"/>
    <xf numFmtId="0" fontId="358" fillId="75" borderId="2" xfId="0" applyFont="1" applyFill="1" applyBorder="1"/>
    <xf numFmtId="0" fontId="358" fillId="75" borderId="102" xfId="0" applyFont="1" applyFill="1" applyBorder="1"/>
    <xf numFmtId="0" fontId="358" fillId="75" borderId="34" xfId="0" applyFont="1" applyFill="1" applyBorder="1"/>
    <xf numFmtId="0" fontId="358" fillId="75" borderId="103" xfId="0" applyFont="1" applyFill="1" applyBorder="1"/>
    <xf numFmtId="0" fontId="286" fillId="78" borderId="0" xfId="0" applyFont="1" applyFill="1"/>
    <xf numFmtId="0" fontId="371" fillId="75" borderId="0" xfId="0" applyFont="1" applyFill="1"/>
    <xf numFmtId="0" fontId="0" fillId="0" borderId="96" xfId="0" applyBorder="1"/>
    <xf numFmtId="0" fontId="0" fillId="0" borderId="94" xfId="0" applyBorder="1"/>
    <xf numFmtId="0" fontId="0" fillId="0" borderId="106" xfId="0" applyBorder="1"/>
    <xf numFmtId="0" fontId="96" fillId="0" borderId="96" xfId="0" applyFont="1" applyBorder="1"/>
    <xf numFmtId="0" fontId="96" fillId="0" borderId="94" xfId="0" applyFont="1" applyBorder="1"/>
    <xf numFmtId="0" fontId="96" fillId="0" borderId="106" xfId="0" applyFont="1" applyBorder="1"/>
    <xf numFmtId="0" fontId="368" fillId="0" borderId="96" xfId="0" applyFont="1" applyBorder="1"/>
    <xf numFmtId="0" fontId="368" fillId="0" borderId="94" xfId="0" applyFont="1" applyBorder="1"/>
    <xf numFmtId="0" fontId="368" fillId="0" borderId="106" xfId="0" applyFont="1" applyBorder="1"/>
    <xf numFmtId="173" fontId="0" fillId="0" borderId="96" xfId="5254" applyNumberFormat="1" applyFont="1" applyBorder="1"/>
    <xf numFmtId="173" fontId="0" fillId="0" borderId="94" xfId="5254" applyNumberFormat="1" applyFont="1" applyBorder="1"/>
    <xf numFmtId="0" fontId="0" fillId="0" borderId="92" xfId="0" applyBorder="1"/>
    <xf numFmtId="0" fontId="0" fillId="0" borderId="34" xfId="0" applyBorder="1"/>
    <xf numFmtId="0" fontId="0" fillId="0" borderId="103" xfId="0" applyBorder="1"/>
    <xf numFmtId="173" fontId="0" fillId="0" borderId="90" xfId="5254" applyNumberFormat="1" applyFont="1" applyBorder="1"/>
    <xf numFmtId="173" fontId="0" fillId="0" borderId="0" xfId="5254" applyNumberFormat="1" applyFont="1"/>
    <xf numFmtId="9" fontId="358" fillId="0" borderId="0" xfId="0" applyNumberFormat="1" applyFont="1"/>
    <xf numFmtId="173" fontId="0" fillId="0" borderId="0" xfId="5254" applyNumberFormat="1" applyFont="1" applyAlignment="1"/>
    <xf numFmtId="0" fontId="373" fillId="0" borderId="0" xfId="0" applyFont="1" applyAlignment="1" applyProtection="1">
      <alignment vertical="center"/>
      <protection hidden="1"/>
    </xf>
    <xf numFmtId="0" fontId="374" fillId="0" borderId="0" xfId="0" applyFont="1" applyAlignment="1" applyProtection="1">
      <alignment vertical="center"/>
      <protection hidden="1"/>
    </xf>
    <xf numFmtId="173" fontId="335" fillId="0" borderId="0" xfId="2785" applyNumberFormat="1" applyFont="1" applyBorder="1" applyAlignment="1" applyProtection="1">
      <alignment horizontal="right" vertical="center"/>
      <protection hidden="1"/>
    </xf>
    <xf numFmtId="350" fontId="375" fillId="0" borderId="0" xfId="0" applyNumberFormat="1" applyFont="1" applyAlignment="1" applyProtection="1">
      <alignment horizontal="center" vertical="center"/>
      <protection hidden="1"/>
    </xf>
    <xf numFmtId="0" fontId="41" fillId="0" borderId="0" xfId="0" applyFont="1" applyAlignment="1" applyProtection="1">
      <alignment vertical="center"/>
      <protection hidden="1"/>
    </xf>
    <xf numFmtId="0" fontId="376" fillId="0" borderId="0" xfId="0" applyFont="1" applyAlignment="1" applyProtection="1">
      <alignment vertical="center"/>
      <protection hidden="1"/>
    </xf>
    <xf numFmtId="352" fontId="34" fillId="0" borderId="0" xfId="0" applyNumberFormat="1" applyFont="1" applyAlignment="1" applyProtection="1">
      <alignment horizontal="center" vertical="center"/>
      <protection hidden="1"/>
    </xf>
    <xf numFmtId="350" fontId="335" fillId="0" borderId="0" xfId="2785" applyNumberFormat="1" applyFont="1" applyBorder="1" applyAlignment="1" applyProtection="1">
      <alignment horizontal="center" vertical="center"/>
      <protection hidden="1"/>
    </xf>
    <xf numFmtId="350" fontId="34" fillId="0" borderId="0" xfId="0" applyNumberFormat="1" applyFont="1" applyAlignment="1" applyProtection="1">
      <alignment horizontal="center" vertical="center"/>
      <protection hidden="1"/>
    </xf>
    <xf numFmtId="0" fontId="35" fillId="0" borderId="0" xfId="0" applyFont="1"/>
    <xf numFmtId="0" fontId="35" fillId="2" borderId="98" xfId="5329" applyFont="1" applyFill="1">
      <alignment horizontal="center" vertical="center" wrapText="1"/>
    </xf>
    <xf numFmtId="0" fontId="377" fillId="72" borderId="0" xfId="0" applyFont="1" applyFill="1" applyAlignment="1" applyProtection="1">
      <alignment vertical="center"/>
      <protection hidden="1"/>
    </xf>
    <xf numFmtId="350" fontId="35" fillId="0" borderId="0" xfId="2785" applyNumberFormat="1" applyFont="1" applyBorder="1" applyAlignment="1" applyProtection="1">
      <alignment horizontal="center" vertical="center"/>
      <protection hidden="1"/>
    </xf>
    <xf numFmtId="352" fontId="35" fillId="0" borderId="0" xfId="2785" applyNumberFormat="1" applyFont="1" applyBorder="1" applyAlignment="1" applyProtection="1">
      <alignment horizontal="center" vertical="center"/>
      <protection hidden="1"/>
    </xf>
    <xf numFmtId="0" fontId="39" fillId="0" borderId="0" xfId="0" applyFont="1" applyAlignment="1" applyProtection="1">
      <alignment vertical="center"/>
      <protection hidden="1"/>
    </xf>
    <xf numFmtId="350" fontId="35" fillId="0" borderId="0" xfId="0" applyNumberFormat="1" applyFont="1" applyAlignment="1" applyProtection="1">
      <alignment horizontal="center" vertical="center"/>
      <protection hidden="1"/>
    </xf>
    <xf numFmtId="0" fontId="378" fillId="0" borderId="0" xfId="0" applyFont="1" applyAlignment="1" applyProtection="1">
      <alignment vertical="center"/>
      <protection hidden="1"/>
    </xf>
    <xf numFmtId="0" fontId="34" fillId="0" borderId="0" xfId="0" applyFont="1" applyAlignment="1" applyProtection="1">
      <alignment horizontal="left" vertical="center"/>
      <protection hidden="1"/>
    </xf>
    <xf numFmtId="0" fontId="35" fillId="0" borderId="0" xfId="0" applyFont="1" applyAlignment="1" applyProtection="1">
      <alignment horizontal="left" vertical="center"/>
      <protection hidden="1"/>
    </xf>
    <xf numFmtId="349" fontId="286" fillId="0" borderId="0" xfId="2" applyNumberFormat="1" applyFont="1" applyAlignment="1">
      <alignment horizontal="center"/>
    </xf>
    <xf numFmtId="173" fontId="35" fillId="0" borderId="0" xfId="2785" applyNumberFormat="1" applyFont="1" applyBorder="1" applyAlignment="1" applyProtection="1">
      <alignment vertical="center"/>
      <protection hidden="1"/>
    </xf>
    <xf numFmtId="353" fontId="35" fillId="0" borderId="0" xfId="2785" applyNumberFormat="1" applyFont="1" applyBorder="1" applyAlignment="1" applyProtection="1">
      <alignment vertical="center"/>
      <protection hidden="1"/>
    </xf>
    <xf numFmtId="0" fontId="35" fillId="0" borderId="0" xfId="0" applyFont="1" applyAlignment="1">
      <alignment horizontal="right"/>
    </xf>
    <xf numFmtId="0" fontId="0" fillId="0" borderId="0" xfId="0" applyAlignment="1">
      <alignment horizontal="center"/>
    </xf>
    <xf numFmtId="1" fontId="0" fillId="0" borderId="0" xfId="0" applyNumberFormat="1"/>
    <xf numFmtId="3" fontId="0" fillId="0" borderId="92" xfId="0" applyNumberFormat="1" applyBorder="1" applyAlignment="1">
      <alignment horizontal="center"/>
    </xf>
    <xf numFmtId="3" fontId="0" fillId="0" borderId="81" xfId="0" applyNumberFormat="1" applyBorder="1" applyAlignment="1">
      <alignment horizontal="center"/>
    </xf>
    <xf numFmtId="164" fontId="0" fillId="0" borderId="0" xfId="0" applyNumberFormat="1"/>
    <xf numFmtId="353" fontId="335" fillId="0" borderId="0" xfId="2785" applyNumberFormat="1" applyFont="1" applyFill="1" applyBorder="1" applyAlignment="1" applyProtection="1">
      <alignment vertical="center"/>
      <protection hidden="1"/>
    </xf>
    <xf numFmtId="0" fontId="0" fillId="0" borderId="0" xfId="0" applyAlignment="1" applyProtection="1">
      <alignment vertical="center"/>
      <protection hidden="1"/>
    </xf>
    <xf numFmtId="353" fontId="368" fillId="0" borderId="0" xfId="0" applyNumberFormat="1" applyFont="1"/>
    <xf numFmtId="358" fontId="0" fillId="0" borderId="0" xfId="0" applyNumberFormat="1"/>
    <xf numFmtId="349" fontId="374" fillId="0" borderId="0" xfId="0" applyNumberFormat="1" applyFont="1" applyAlignment="1" applyProtection="1">
      <alignment horizontal="center" vertical="center"/>
      <protection hidden="1"/>
    </xf>
    <xf numFmtId="0" fontId="0" fillId="0" borderId="0" xfId="0" applyAlignment="1">
      <alignment wrapText="1"/>
    </xf>
    <xf numFmtId="171" fontId="35" fillId="0" borderId="0" xfId="0" applyNumberFormat="1" applyFont="1" applyAlignment="1" applyProtection="1">
      <alignment horizontal="center" vertical="center"/>
      <protection hidden="1"/>
    </xf>
    <xf numFmtId="9" fontId="374" fillId="0" borderId="0" xfId="0" applyNumberFormat="1" applyFont="1" applyAlignment="1">
      <alignment horizontal="center"/>
    </xf>
    <xf numFmtId="173" fontId="0" fillId="0" borderId="0" xfId="5254" applyNumberFormat="1" applyFont="1" applyBorder="1"/>
    <xf numFmtId="1" fontId="382" fillId="75" borderId="0" xfId="0" applyNumberFormat="1" applyFont="1" applyFill="1" applyAlignment="1">
      <alignment horizontal="right"/>
    </xf>
    <xf numFmtId="353" fontId="0" fillId="0" borderId="0" xfId="5254" applyNumberFormat="1" applyFont="1" applyBorder="1"/>
    <xf numFmtId="353" fontId="0" fillId="0" borderId="94" xfId="5254" applyNumberFormat="1" applyFont="1" applyBorder="1"/>
    <xf numFmtId="0" fontId="41" fillId="0" borderId="0" xfId="5270" applyFont="1" applyAlignment="1" applyProtection="1">
      <alignment vertical="center"/>
      <protection hidden="1"/>
    </xf>
    <xf numFmtId="0" fontId="34" fillId="0" borderId="0" xfId="0" applyFont="1" applyAlignment="1" applyProtection="1">
      <alignment horizontal="right" vertical="center"/>
      <protection hidden="1"/>
    </xf>
    <xf numFmtId="350" fontId="34" fillId="0" borderId="0" xfId="2785" applyNumberFormat="1" applyFont="1" applyFill="1" applyAlignment="1" applyProtection="1">
      <alignment horizontal="center" vertical="center"/>
      <protection hidden="1"/>
    </xf>
    <xf numFmtId="0" fontId="35" fillId="0" borderId="71" xfId="0" applyFont="1" applyBorder="1" applyAlignment="1" applyProtection="1">
      <alignment vertical="center"/>
      <protection hidden="1"/>
    </xf>
    <xf numFmtId="350" fontId="35" fillId="0" borderId="71" xfId="2785" applyNumberFormat="1" applyFont="1" applyFill="1" applyBorder="1" applyAlignment="1" applyProtection="1">
      <alignment horizontal="center" vertical="center"/>
      <protection hidden="1"/>
    </xf>
    <xf numFmtId="173" fontId="35" fillId="0" borderId="0" xfId="2785" applyNumberFormat="1" applyFont="1" applyFill="1" applyBorder="1" applyAlignment="1" applyProtection="1">
      <alignment vertical="center"/>
      <protection hidden="1"/>
    </xf>
    <xf numFmtId="353" fontId="35" fillId="0" borderId="0" xfId="2785" applyNumberFormat="1" applyFont="1" applyFill="1" applyBorder="1" applyAlignment="1" applyProtection="1">
      <alignment vertical="center"/>
      <protection hidden="1"/>
    </xf>
    <xf numFmtId="2" fontId="35" fillId="0" borderId="0" xfId="5" applyNumberFormat="1" applyFont="1" applyFill="1" applyBorder="1" applyAlignment="1" applyProtection="1">
      <alignment horizontal="center" vertical="center"/>
      <protection hidden="1"/>
    </xf>
    <xf numFmtId="350" fontId="35" fillId="0" borderId="0" xfId="2785" applyNumberFormat="1" applyFont="1" applyFill="1" applyBorder="1" applyAlignment="1" applyProtection="1">
      <alignment horizontal="center" vertical="center"/>
      <protection hidden="1"/>
    </xf>
    <xf numFmtId="43" fontId="0" fillId="0" borderId="0" xfId="5254" applyFont="1"/>
    <xf numFmtId="0" fontId="35" fillId="76" borderId="3" xfId="0" applyFont="1" applyFill="1" applyBorder="1"/>
    <xf numFmtId="0" fontId="286" fillId="76" borderId="90" xfId="0" applyFont="1" applyFill="1" applyBorder="1"/>
    <xf numFmtId="0" fontId="35" fillId="76" borderId="90" xfId="0" applyFont="1" applyFill="1" applyBorder="1"/>
    <xf numFmtId="43" fontId="35" fillId="76" borderId="91" xfId="0" applyNumberFormat="1" applyFont="1" applyFill="1" applyBorder="1"/>
    <xf numFmtId="0" fontId="35" fillId="76" borderId="93" xfId="0" applyFont="1" applyFill="1" applyBorder="1"/>
    <xf numFmtId="0" fontId="286" fillId="76" borderId="22" xfId="0" applyFont="1" applyFill="1" applyBorder="1"/>
    <xf numFmtId="0" fontId="35" fillId="76" borderId="22" xfId="0" applyFont="1" applyFill="1" applyBorder="1"/>
    <xf numFmtId="164" fontId="35" fillId="76" borderId="81" xfId="0" applyNumberFormat="1" applyFont="1" applyFill="1" applyBorder="1"/>
    <xf numFmtId="0" fontId="35" fillId="0" borderId="71" xfId="0" applyFont="1" applyBorder="1"/>
    <xf numFmtId="0" fontId="368" fillId="0" borderId="71" xfId="0" applyFont="1" applyBorder="1"/>
    <xf numFmtId="0" fontId="0" fillId="0" borderId="71" xfId="0" applyBorder="1"/>
    <xf numFmtId="43" fontId="0" fillId="0" borderId="71" xfId="5254" applyFont="1" applyBorder="1"/>
    <xf numFmtId="43" fontId="368" fillId="0" borderId="94" xfId="5254" applyFont="1" applyBorder="1"/>
    <xf numFmtId="0" fontId="368" fillId="0" borderId="112" xfId="0" applyFont="1" applyBorder="1"/>
    <xf numFmtId="353" fontId="286" fillId="0" borderId="112" xfId="0" applyNumberFormat="1" applyFont="1" applyBorder="1"/>
    <xf numFmtId="353" fontId="35" fillId="0" borderId="71" xfId="0" applyNumberFormat="1" applyFont="1" applyBorder="1"/>
    <xf numFmtId="0" fontId="0" fillId="0" borderId="113" xfId="0" applyBorder="1"/>
    <xf numFmtId="350" fontId="34" fillId="0" borderId="0" xfId="0" applyNumberFormat="1" applyFont="1" applyAlignment="1" applyProtection="1">
      <alignment vertical="center"/>
      <protection hidden="1"/>
    </xf>
    <xf numFmtId="0" fontId="34" fillId="0" borderId="0" xfId="0" applyFont="1" applyProtection="1">
      <protection hidden="1"/>
    </xf>
    <xf numFmtId="0" fontId="96" fillId="0" borderId="102" xfId="0" applyFont="1" applyBorder="1"/>
    <xf numFmtId="0" fontId="95" fillId="0" borderId="112" xfId="0" applyFont="1" applyBorder="1"/>
    <xf numFmtId="0" fontId="368" fillId="0" borderId="113" xfId="0" applyFont="1" applyBorder="1"/>
    <xf numFmtId="0" fontId="383" fillId="0" borderId="0" xfId="0" applyFont="1" applyAlignment="1" applyProtection="1">
      <alignment vertical="center"/>
      <protection hidden="1"/>
    </xf>
    <xf numFmtId="0" fontId="96" fillId="0" borderId="0" xfId="0" applyFont="1" applyAlignment="1" applyProtection="1">
      <alignment vertical="center"/>
      <protection hidden="1"/>
    </xf>
    <xf numFmtId="173" fontId="286" fillId="0" borderId="112" xfId="0" applyNumberFormat="1" applyFont="1" applyBorder="1"/>
    <xf numFmtId="0" fontId="368" fillId="0" borderId="0" xfId="0" applyFont="1" applyAlignment="1" applyProtection="1">
      <alignment horizontal="center" vertical="center"/>
      <protection hidden="1"/>
    </xf>
    <xf numFmtId="350" fontId="35" fillId="0" borderId="0" xfId="5329" quotePrefix="1" applyNumberFormat="1" applyFont="1" applyFill="1" applyBorder="1" applyAlignment="1">
      <alignment horizontal="left" vertical="center" wrapText="1"/>
    </xf>
    <xf numFmtId="350" fontId="35" fillId="0" borderId="0" xfId="5329" quotePrefix="1" applyNumberFormat="1" applyFont="1" applyFill="1" applyBorder="1">
      <alignment horizontal="center" vertical="center" wrapText="1"/>
    </xf>
    <xf numFmtId="0" fontId="95" fillId="0" borderId="113" xfId="0" applyFont="1" applyBorder="1"/>
    <xf numFmtId="0" fontId="96" fillId="0" borderId="112" xfId="0" applyFont="1" applyBorder="1"/>
    <xf numFmtId="173" fontId="35" fillId="0" borderId="71" xfId="0" applyNumberFormat="1" applyFont="1" applyBorder="1"/>
    <xf numFmtId="0" fontId="35" fillId="0" borderId="0" xfId="0" applyFont="1" applyAlignment="1" applyProtection="1">
      <alignment horizontal="right" vertical="center"/>
      <protection hidden="1"/>
    </xf>
    <xf numFmtId="0" fontId="0" fillId="0" borderId="0" xfId="0" applyAlignment="1">
      <alignment horizontal="right"/>
    </xf>
    <xf numFmtId="0" fontId="34" fillId="0" borderId="0" xfId="0" applyFont="1" applyAlignment="1" applyProtection="1">
      <alignment horizontal="center" vertical="center"/>
      <protection hidden="1"/>
    </xf>
    <xf numFmtId="350" fontId="35" fillId="0" borderId="34" xfId="2785" applyNumberFormat="1" applyFont="1" applyFill="1" applyBorder="1" applyAlignment="1" applyProtection="1">
      <alignment horizontal="center" vertical="center"/>
      <protection hidden="1"/>
    </xf>
    <xf numFmtId="0" fontId="34" fillId="0" borderId="0" xfId="0" applyFont="1" applyAlignment="1" applyProtection="1">
      <alignment horizontal="right" vertical="center" wrapText="1"/>
      <protection hidden="1"/>
    </xf>
    <xf numFmtId="350" fontId="34" fillId="0" borderId="0" xfId="2785" applyNumberFormat="1" applyFont="1" applyFill="1" applyBorder="1" applyAlignment="1" applyProtection="1">
      <alignment horizontal="center" vertical="center"/>
      <protection hidden="1"/>
    </xf>
    <xf numFmtId="0" fontId="106" fillId="72" borderId="109" xfId="5334" applyFont="1" applyFill="1" applyBorder="1" applyAlignment="1" applyProtection="1">
      <alignment horizontal="center" vertical="center" wrapText="1"/>
      <protection locked="0"/>
    </xf>
    <xf numFmtId="0" fontId="106" fillId="72" borderId="101" xfId="5334" applyFont="1" applyFill="1" applyBorder="1" applyAlignment="1" applyProtection="1">
      <alignment horizontal="center" vertical="center" wrapText="1"/>
      <protection locked="0"/>
    </xf>
    <xf numFmtId="0" fontId="286" fillId="2" borderId="108" xfId="5334" applyFont="1" applyFill="1" applyBorder="1" applyAlignment="1" applyProtection="1">
      <alignment horizontal="center"/>
      <protection locked="0"/>
    </xf>
    <xf numFmtId="0" fontId="286" fillId="2" borderId="110" xfId="5334" applyFont="1" applyFill="1" applyBorder="1" applyAlignment="1" applyProtection="1">
      <alignment horizontal="center"/>
      <protection locked="0"/>
    </xf>
    <xf numFmtId="173" fontId="41" fillId="76" borderId="32" xfId="2785" applyNumberFormat="1" applyFont="1" applyFill="1" applyBorder="1" applyAlignment="1">
      <alignment horizontal="center" vertical="center"/>
    </xf>
    <xf numFmtId="0" fontId="336" fillId="87" borderId="96" xfId="0" applyFont="1" applyFill="1" applyBorder="1" applyAlignment="1">
      <alignment horizontal="center" vertical="top" wrapText="1"/>
    </xf>
    <xf numFmtId="0" fontId="336" fillId="88" borderId="90" xfId="0" applyFont="1" applyFill="1" applyBorder="1" applyAlignment="1">
      <alignment horizontal="center" vertical="top" wrapText="1"/>
    </xf>
    <xf numFmtId="0" fontId="336" fillId="88" borderId="91" xfId="0" applyFont="1" applyFill="1" applyBorder="1" applyAlignment="1">
      <alignment horizontal="center" vertical="top" wrapText="1"/>
    </xf>
    <xf numFmtId="0" fontId="35" fillId="0" borderId="108" xfId="5334" applyFont="1" applyBorder="1" applyAlignment="1">
      <alignment vertical="center"/>
    </xf>
    <xf numFmtId="10" fontId="39" fillId="75" borderId="110" xfId="5334" applyNumberFormat="1" applyFont="1" applyFill="1" applyBorder="1" applyAlignment="1">
      <alignment horizontal="center" vertical="center"/>
    </xf>
    <xf numFmtId="9" fontId="41" fillId="89" borderId="92" xfId="0" applyNumberFormat="1" applyFont="1" applyFill="1" applyBorder="1" applyAlignment="1">
      <alignment horizontal="center" vertical="center"/>
    </xf>
    <xf numFmtId="0" fontId="34" fillId="0" borderId="97" xfId="5278" applyBorder="1"/>
    <xf numFmtId="9" fontId="0" fillId="0" borderId="22" xfId="5" applyFont="1" applyBorder="1" applyAlignment="1">
      <alignment horizontal="center"/>
    </xf>
    <xf numFmtId="1" fontId="0" fillId="0" borderId="22" xfId="0" applyNumberFormat="1" applyBorder="1" applyAlignment="1">
      <alignment horizontal="center"/>
    </xf>
    <xf numFmtId="1" fontId="0" fillId="0" borderId="81" xfId="0" applyNumberFormat="1" applyBorder="1" applyAlignment="1">
      <alignment horizontal="center"/>
    </xf>
    <xf numFmtId="10" fontId="39" fillId="75" borderId="110" xfId="5334" applyNumberFormat="1" applyFont="1" applyFill="1" applyBorder="1" applyAlignment="1">
      <alignment horizontal="center"/>
    </xf>
    <xf numFmtId="9" fontId="41" fillId="89" borderId="0" xfId="5" applyFont="1" applyFill="1" applyBorder="1" applyAlignment="1">
      <alignment horizontal="center" vertical="center"/>
    </xf>
    <xf numFmtId="9" fontId="34" fillId="0" borderId="94" xfId="5278" applyNumberFormat="1" applyBorder="1" applyAlignment="1">
      <alignment horizontal="center"/>
    </xf>
    <xf numFmtId="3" fontId="0" fillId="0" borderId="0" xfId="0" applyNumberFormat="1" applyAlignment="1">
      <alignment horizontal="center"/>
    </xf>
    <xf numFmtId="9" fontId="34" fillId="75" borderId="94" xfId="5278" applyNumberFormat="1" applyFill="1" applyBorder="1" applyAlignment="1">
      <alignment horizontal="center"/>
    </xf>
    <xf numFmtId="0" fontId="35" fillId="0" borderId="116" xfId="5334" applyFont="1" applyBorder="1" applyAlignment="1">
      <alignment vertical="center"/>
    </xf>
    <xf numFmtId="10" fontId="39" fillId="75" borderId="117" xfId="5334" applyNumberFormat="1" applyFont="1" applyFill="1" applyBorder="1" applyAlignment="1">
      <alignment horizontal="center"/>
    </xf>
    <xf numFmtId="0" fontId="336" fillId="74" borderId="0" xfId="5278" applyFont="1" applyFill="1" applyAlignment="1">
      <alignment wrapText="1"/>
    </xf>
    <xf numFmtId="0" fontId="336" fillId="74" borderId="0" xfId="5278" applyFont="1" applyFill="1" applyAlignment="1">
      <alignment horizontal="center" vertical="top"/>
    </xf>
    <xf numFmtId="9" fontId="41" fillId="89" borderId="22" xfId="5" applyFont="1" applyFill="1" applyBorder="1" applyAlignment="1">
      <alignment horizontal="center" vertical="center"/>
    </xf>
    <xf numFmtId="9" fontId="34" fillId="0" borderId="97" xfId="5278" applyNumberFormat="1" applyBorder="1" applyAlignment="1">
      <alignment horizontal="center"/>
    </xf>
    <xf numFmtId="3" fontId="0" fillId="0" borderId="22" xfId="0" applyNumberFormat="1" applyBorder="1" applyAlignment="1">
      <alignment horizontal="center"/>
    </xf>
    <xf numFmtId="0" fontId="336" fillId="74" borderId="0" xfId="5278" applyFont="1" applyFill="1"/>
    <xf numFmtId="0" fontId="337" fillId="74" borderId="0" xfId="5278" applyFont="1" applyFill="1"/>
    <xf numFmtId="9" fontId="337" fillId="74" borderId="0" xfId="5" applyFont="1" applyFill="1" applyBorder="1" applyAlignment="1">
      <alignment horizontal="center" vertical="center"/>
    </xf>
    <xf numFmtId="0" fontId="337" fillId="74" borderId="0" xfId="0" applyFont="1" applyFill="1"/>
    <xf numFmtId="173" fontId="343" fillId="76" borderId="104" xfId="2785" applyNumberFormat="1" applyFont="1" applyFill="1" applyBorder="1" applyAlignment="1">
      <alignment horizontal="center" vertical="center" wrapText="1"/>
    </xf>
    <xf numFmtId="9" fontId="0" fillId="0" borderId="0" xfId="5" applyFont="1"/>
    <xf numFmtId="350" fontId="0" fillId="0" borderId="0" xfId="0" applyNumberFormat="1" applyAlignment="1" applyProtection="1">
      <alignment horizontal="center" vertical="center"/>
      <protection hidden="1"/>
    </xf>
    <xf numFmtId="350" fontId="0" fillId="0" borderId="0" xfId="2785" applyNumberFormat="1" applyFont="1" applyAlignment="1" applyProtection="1">
      <alignment horizontal="center" vertical="center"/>
      <protection hidden="1"/>
    </xf>
    <xf numFmtId="0" fontId="35" fillId="0" borderId="0" xfId="0" applyFont="1" applyAlignment="1" applyProtection="1">
      <alignment horizontal="right" vertical="center" wrapText="1"/>
      <protection hidden="1"/>
    </xf>
    <xf numFmtId="0" fontId="35" fillId="0" borderId="0" xfId="0" applyFont="1" applyAlignment="1" applyProtection="1">
      <alignment horizontal="center" vertical="center"/>
      <protection hidden="1"/>
    </xf>
    <xf numFmtId="350" fontId="0" fillId="0" borderId="34" xfId="0" applyNumberFormat="1" applyBorder="1" applyAlignment="1">
      <alignment horizontal="center"/>
    </xf>
    <xf numFmtId="350" fontId="0" fillId="0" borderId="0" xfId="2785" applyNumberFormat="1" applyFont="1" applyBorder="1" applyAlignment="1" applyProtection="1">
      <alignment horizontal="center" vertical="center"/>
      <protection hidden="1"/>
    </xf>
    <xf numFmtId="0" fontId="336" fillId="0" borderId="0" xfId="0" applyFont="1" applyAlignment="1" applyProtection="1">
      <alignment horizontal="center" vertical="center"/>
      <protection hidden="1"/>
    </xf>
    <xf numFmtId="173" fontId="335" fillId="0" borderId="0" xfId="2785" applyNumberFormat="1" applyFont="1" applyAlignment="1" applyProtection="1">
      <alignment horizontal="center" vertical="center"/>
      <protection hidden="1"/>
    </xf>
    <xf numFmtId="0" fontId="337" fillId="0" borderId="0" xfId="0" applyFont="1" applyAlignment="1" applyProtection="1">
      <alignment horizontal="center" vertical="center"/>
      <protection hidden="1"/>
    </xf>
    <xf numFmtId="173" fontId="335" fillId="0" borderId="0" xfId="0" applyNumberFormat="1" applyFont="1" applyAlignment="1" applyProtection="1">
      <alignment horizontal="center" vertical="center"/>
      <protection hidden="1"/>
    </xf>
    <xf numFmtId="43" fontId="335" fillId="0" borderId="0" xfId="2785" applyFont="1" applyAlignment="1" applyProtection="1">
      <alignment horizontal="center" vertical="center"/>
      <protection hidden="1"/>
    </xf>
    <xf numFmtId="0" fontId="35" fillId="0" borderId="111" xfId="0" applyFont="1" applyBorder="1" applyAlignment="1" applyProtection="1">
      <alignment vertical="center"/>
      <protection hidden="1"/>
    </xf>
    <xf numFmtId="0" fontId="34" fillId="0" borderId="111" xfId="0" applyFont="1" applyBorder="1" applyAlignment="1" applyProtection="1">
      <alignment vertical="center"/>
      <protection hidden="1"/>
    </xf>
    <xf numFmtId="173" fontId="35" fillId="0" borderId="71" xfId="0" applyNumberFormat="1" applyFont="1" applyBorder="1" applyAlignment="1" applyProtection="1">
      <alignment horizontal="center" vertical="center"/>
      <protection hidden="1"/>
    </xf>
    <xf numFmtId="175" fontId="337" fillId="72" borderId="34" xfId="0" applyNumberFormat="1" applyFont="1" applyFill="1" applyBorder="1" applyAlignment="1" applyProtection="1">
      <alignment horizontal="center" vertical="center"/>
      <protection hidden="1"/>
    </xf>
    <xf numFmtId="173" fontId="34" fillId="0" borderId="0" xfId="2785" applyNumberFormat="1" applyFont="1" applyAlignment="1" applyProtection="1">
      <alignment horizontal="center" vertical="center"/>
      <protection hidden="1"/>
    </xf>
    <xf numFmtId="0" fontId="35" fillId="0" borderId="111" xfId="0" applyFont="1" applyBorder="1" applyProtection="1">
      <protection hidden="1"/>
    </xf>
    <xf numFmtId="43" fontId="35" fillId="0" borderId="71" xfId="0" applyNumberFormat="1" applyFont="1" applyBorder="1" applyProtection="1">
      <protection hidden="1"/>
    </xf>
    <xf numFmtId="0" fontId="35" fillId="0" borderId="34" xfId="0" applyFont="1" applyBorder="1" applyAlignment="1" applyProtection="1">
      <alignment horizontal="right" vertical="center"/>
      <protection hidden="1"/>
    </xf>
    <xf numFmtId="0" fontId="0" fillId="0" borderId="34" xfId="0" applyBorder="1" applyAlignment="1" applyProtection="1">
      <alignment horizontal="center" vertical="center"/>
      <protection hidden="1"/>
    </xf>
    <xf numFmtId="350" fontId="0" fillId="0" borderId="71" xfId="0" applyNumberFormat="1" applyBorder="1" applyAlignment="1">
      <alignment horizontal="center"/>
    </xf>
    <xf numFmtId="0" fontId="35" fillId="0" borderId="71" xfId="0" applyFont="1" applyBorder="1" applyAlignment="1" applyProtection="1">
      <alignment horizontal="right" vertical="center"/>
      <protection hidden="1"/>
    </xf>
    <xf numFmtId="0" fontId="0" fillId="0" borderId="71" xfId="0" applyBorder="1" applyAlignment="1" applyProtection="1">
      <alignment horizontal="center" vertical="center"/>
      <protection hidden="1"/>
    </xf>
    <xf numFmtId="350" fontId="35" fillId="0" borderId="71" xfId="2785" applyNumberFormat="1" applyFont="1" applyBorder="1" applyAlignment="1" applyProtection="1">
      <alignment horizontal="center" vertical="center"/>
      <protection hidden="1"/>
    </xf>
    <xf numFmtId="352" fontId="0" fillId="0" borderId="0" xfId="0" applyNumberFormat="1" applyAlignment="1" applyProtection="1">
      <alignment horizontal="center" vertical="center"/>
      <protection hidden="1"/>
    </xf>
    <xf numFmtId="349" fontId="0" fillId="0" borderId="0" xfId="2" applyNumberFormat="1" applyFont="1" applyAlignment="1">
      <alignment horizontal="center"/>
    </xf>
    <xf numFmtId="359" fontId="335" fillId="0" borderId="0" xfId="2785" applyNumberFormat="1" applyFont="1" applyAlignment="1" applyProtection="1">
      <alignment horizontal="center" vertical="center"/>
      <protection hidden="1"/>
    </xf>
    <xf numFmtId="359" fontId="335" fillId="0" borderId="0" xfId="2785" applyNumberFormat="1" applyFont="1" applyBorder="1" applyAlignment="1" applyProtection="1">
      <alignment horizontal="center" vertical="center"/>
      <protection hidden="1"/>
    </xf>
    <xf numFmtId="0" fontId="368" fillId="0" borderId="0" xfId="0" applyFont="1" applyAlignment="1">
      <alignment horizontal="center"/>
    </xf>
    <xf numFmtId="0" fontId="34" fillId="0" borderId="34" xfId="0" applyFont="1" applyBorder="1"/>
    <xf numFmtId="0" fontId="368" fillId="0" borderId="34" xfId="0" applyFont="1" applyBorder="1" applyAlignment="1">
      <alignment horizontal="center"/>
    </xf>
    <xf numFmtId="353" fontId="34" fillId="0" borderId="0" xfId="0" applyNumberFormat="1" applyFont="1"/>
    <xf numFmtId="0" fontId="346" fillId="82" borderId="2" xfId="5284" applyFont="1" applyFill="1" applyBorder="1" applyAlignment="1">
      <alignment horizontal="left" indent="1"/>
    </xf>
    <xf numFmtId="0" fontId="55" fillId="74" borderId="2" xfId="5284" applyFont="1" applyFill="1" applyBorder="1" applyAlignment="1">
      <alignment horizontal="left"/>
    </xf>
    <xf numFmtId="0" fontId="55" fillId="74" borderId="92" xfId="5284" applyFont="1" applyFill="1" applyBorder="1" applyAlignment="1">
      <alignment horizontal="center"/>
    </xf>
    <xf numFmtId="0" fontId="55" fillId="79" borderId="3" xfId="5284" applyFont="1" applyFill="1" applyBorder="1" applyAlignment="1">
      <alignment horizontal="center"/>
    </xf>
    <xf numFmtId="0" fontId="55" fillId="79" borderId="91" xfId="5284" applyFont="1" applyFill="1" applyBorder="1" applyAlignment="1">
      <alignment horizontal="center"/>
    </xf>
    <xf numFmtId="0" fontId="57" fillId="74" borderId="94" xfId="5284" applyFont="1" applyFill="1" applyBorder="1"/>
    <xf numFmtId="0" fontId="55" fillId="74" borderId="94" xfId="5284" applyFont="1" applyFill="1" applyBorder="1" applyAlignment="1">
      <alignment horizontal="center"/>
    </xf>
    <xf numFmtId="0" fontId="57" fillId="74" borderId="97" xfId="5284" applyFont="1" applyFill="1" applyBorder="1"/>
    <xf numFmtId="0" fontId="384" fillId="83" borderId="2" xfId="5284" applyFont="1" applyFill="1" applyBorder="1" applyAlignment="1">
      <alignment horizontal="left" indent="1"/>
    </xf>
    <xf numFmtId="0" fontId="35" fillId="74" borderId="2" xfId="0" applyFont="1" applyFill="1" applyBorder="1"/>
    <xf numFmtId="0" fontId="369" fillId="83" borderId="0" xfId="0" applyFont="1" applyFill="1" applyAlignment="1">
      <alignment horizontal="center"/>
    </xf>
    <xf numFmtId="358" fontId="335" fillId="0" borderId="0" xfId="2785" applyNumberFormat="1" applyFont="1" applyAlignment="1" applyProtection="1">
      <alignment horizontal="center" vertical="center"/>
      <protection hidden="1"/>
    </xf>
    <xf numFmtId="359" fontId="335" fillId="0" borderId="0" xfId="2785" applyNumberFormat="1" applyFont="1" applyBorder="1" applyAlignment="1" applyProtection="1">
      <alignment horizontal="right" vertical="center"/>
      <protection hidden="1"/>
    </xf>
    <xf numFmtId="0" fontId="286" fillId="0" borderId="71" xfId="0" applyFont="1" applyBorder="1" applyAlignment="1">
      <alignment horizontal="center"/>
    </xf>
    <xf numFmtId="0" fontId="34" fillId="0" borderId="71" xfId="0" applyFont="1" applyBorder="1"/>
    <xf numFmtId="350" fontId="0" fillId="0" borderId="0" xfId="2785" applyNumberFormat="1" applyFont="1" applyFill="1" applyAlignment="1" applyProtection="1">
      <alignment horizontal="center" vertical="center"/>
      <protection hidden="1"/>
    </xf>
    <xf numFmtId="0" fontId="340" fillId="0" borderId="0" xfId="0" applyFont="1"/>
    <xf numFmtId="3" fontId="34" fillId="0" borderId="0" xfId="0" applyNumberFormat="1" applyFont="1"/>
    <xf numFmtId="0" fontId="374" fillId="0" borderId="0" xfId="0" applyFont="1" applyAlignment="1">
      <alignment horizontal="center"/>
    </xf>
    <xf numFmtId="9" fontId="335" fillId="0" borderId="0" xfId="1" applyFont="1" applyBorder="1"/>
    <xf numFmtId="2" fontId="335" fillId="0" borderId="0" xfId="0" applyNumberFormat="1" applyFont="1"/>
    <xf numFmtId="0" fontId="335" fillId="0" borderId="0" xfId="0" applyFont="1"/>
    <xf numFmtId="359" fontId="34" fillId="0" borderId="0" xfId="2785" applyNumberFormat="1" applyFont="1" applyBorder="1" applyAlignment="1" applyProtection="1">
      <alignment horizontal="center" vertical="center"/>
      <protection hidden="1"/>
    </xf>
    <xf numFmtId="359" fontId="34" fillId="0" borderId="71" xfId="2785" applyNumberFormat="1" applyFont="1" applyBorder="1" applyAlignment="1" applyProtection="1">
      <alignment horizontal="center" vertical="center"/>
      <protection hidden="1"/>
    </xf>
    <xf numFmtId="3" fontId="358" fillId="75" borderId="110" xfId="0" applyNumberFormat="1" applyFont="1" applyFill="1" applyBorder="1" applyAlignment="1">
      <alignment horizontal="center" vertical="center"/>
    </xf>
    <xf numFmtId="3" fontId="358" fillId="75" borderId="119" xfId="0" applyNumberFormat="1" applyFont="1" applyFill="1" applyBorder="1" applyAlignment="1">
      <alignment horizontal="center" vertical="center"/>
    </xf>
    <xf numFmtId="3" fontId="358" fillId="75" borderId="117" xfId="0" applyNumberFormat="1" applyFont="1" applyFill="1" applyBorder="1" applyAlignment="1">
      <alignment horizontal="center" vertical="center"/>
    </xf>
    <xf numFmtId="0" fontId="380" fillId="0" borderId="0" xfId="0" applyFont="1"/>
    <xf numFmtId="0" fontId="41" fillId="0" borderId="79" xfId="0" applyFont="1" applyBorder="1"/>
    <xf numFmtId="171" fontId="41" fillId="0" borderId="49" xfId="0" applyNumberFormat="1" applyFont="1" applyBorder="1"/>
    <xf numFmtId="0" fontId="41" fillId="0" borderId="80" xfId="0" applyFont="1" applyBorder="1"/>
    <xf numFmtId="49" fontId="0" fillId="74" borderId="0" xfId="0" applyNumberFormat="1" applyFill="1" applyAlignment="1" applyProtection="1">
      <alignment horizontal="center" vertical="center"/>
      <protection hidden="1"/>
    </xf>
    <xf numFmtId="173" fontId="335" fillId="0" borderId="0" xfId="5254" applyNumberFormat="1" applyFont="1"/>
    <xf numFmtId="0" fontId="0" fillId="92" borderId="0" xfId="0" applyFill="1"/>
    <xf numFmtId="0" fontId="34" fillId="0" borderId="0" xfId="0" applyFont="1" applyAlignment="1">
      <alignment horizontal="right"/>
    </xf>
    <xf numFmtId="173" fontId="358" fillId="75" borderId="0" xfId="5254" applyNumberFormat="1" applyFont="1" applyFill="1"/>
    <xf numFmtId="356" fontId="0" fillId="0" borderId="0" xfId="0" applyNumberFormat="1"/>
    <xf numFmtId="0" fontId="34" fillId="0" borderId="71" xfId="0" applyFont="1" applyBorder="1" applyAlignment="1" applyProtection="1">
      <alignment vertical="center"/>
      <protection hidden="1"/>
    </xf>
    <xf numFmtId="164" fontId="335" fillId="0" borderId="71" xfId="0" applyNumberFormat="1" applyFont="1" applyBorder="1"/>
    <xf numFmtId="173" fontId="35" fillId="0" borderId="0" xfId="5254" quotePrefix="1" applyNumberFormat="1" applyFont="1" applyFill="1" applyBorder="1" applyAlignment="1">
      <alignment horizontal="center" vertical="center" wrapText="1"/>
    </xf>
    <xf numFmtId="173" fontId="335" fillId="75" borderId="0" xfId="5254" applyNumberFormat="1" applyFont="1" applyFill="1"/>
    <xf numFmtId="173" fontId="335" fillId="0" borderId="0" xfId="5254" applyNumberFormat="1" applyFont="1" applyFill="1"/>
    <xf numFmtId="49" fontId="34" fillId="74" borderId="0" xfId="0" applyNumberFormat="1" applyFont="1" applyFill="1" applyAlignment="1" applyProtection="1">
      <alignment horizontal="center" vertical="center"/>
      <protection hidden="1"/>
    </xf>
    <xf numFmtId="173" fontId="358" fillId="0" borderId="0" xfId="5254" applyNumberFormat="1" applyFont="1" applyFill="1"/>
    <xf numFmtId="173" fontId="0" fillId="0" borderId="0" xfId="2785" applyNumberFormat="1" applyFont="1" applyBorder="1"/>
    <xf numFmtId="0" fontId="35" fillId="0" borderId="71" xfId="0" applyFont="1" applyBorder="1" applyAlignment="1" applyProtection="1">
      <alignment horizontal="center" vertical="center"/>
      <protection hidden="1"/>
    </xf>
    <xf numFmtId="359" fontId="0" fillId="0" borderId="0" xfId="0" applyNumberFormat="1" applyAlignment="1" applyProtection="1">
      <alignment horizontal="center" vertical="center"/>
      <protection hidden="1"/>
    </xf>
    <xf numFmtId="359" fontId="34" fillId="0" borderId="0" xfId="2785" applyNumberFormat="1" applyFont="1" applyFill="1" applyBorder="1" applyAlignment="1" applyProtection="1">
      <alignment horizontal="center" vertical="center"/>
      <protection hidden="1"/>
    </xf>
    <xf numFmtId="359" fontId="0" fillId="0" borderId="0" xfId="2785" applyNumberFormat="1" applyFont="1" applyAlignment="1" applyProtection="1">
      <alignment horizontal="center" vertical="center"/>
      <protection hidden="1"/>
    </xf>
    <xf numFmtId="3" fontId="34" fillId="74" borderId="0" xfId="2785" applyNumberFormat="1" applyFont="1" applyFill="1" applyBorder="1" applyAlignment="1" applyProtection="1">
      <alignment horizontal="center" vertical="center"/>
      <protection locked="0"/>
    </xf>
    <xf numFmtId="0" fontId="0" fillId="74" borderId="0" xfId="194" applyFont="1" applyFill="1" applyBorder="1" applyAlignment="1">
      <alignment horizontal="left" vertical="center" wrapText="1"/>
    </xf>
    <xf numFmtId="353" fontId="335" fillId="0" borderId="0" xfId="5254" applyNumberFormat="1" applyFont="1"/>
    <xf numFmtId="0" fontId="388" fillId="0" borderId="0" xfId="5335" applyFont="1"/>
    <xf numFmtId="0" fontId="383" fillId="84" borderId="121" xfId="5335" applyFont="1" applyFill="1" applyBorder="1"/>
    <xf numFmtId="0" fontId="388" fillId="84" borderId="121" xfId="5335" applyFont="1" applyFill="1" applyBorder="1" applyAlignment="1">
      <alignment horizontal="center"/>
    </xf>
    <xf numFmtId="4" fontId="388" fillId="84" borderId="121" xfId="5335" applyNumberFormat="1" applyFont="1" applyFill="1" applyBorder="1" applyAlignment="1">
      <alignment horizontal="center"/>
    </xf>
    <xf numFmtId="0" fontId="383" fillId="84" borderId="0" xfId="5335" applyFont="1" applyFill="1"/>
    <xf numFmtId="0" fontId="383" fillId="84" borderId="0" xfId="5335" applyFont="1" applyFill="1" applyAlignment="1">
      <alignment horizontal="center"/>
    </xf>
    <xf numFmtId="4" fontId="383" fillId="84" borderId="0" xfId="5335" applyNumberFormat="1" applyFont="1" applyFill="1" applyAlignment="1">
      <alignment horizontal="center"/>
    </xf>
    <xf numFmtId="0" fontId="383" fillId="84" borderId="0" xfId="5335" applyFont="1" applyFill="1" applyAlignment="1">
      <alignment horizontal="right"/>
    </xf>
    <xf numFmtId="0" fontId="388" fillId="0" borderId="0" xfId="5335" applyFont="1" applyAlignment="1">
      <alignment horizontal="center"/>
    </xf>
    <xf numFmtId="177" fontId="388" fillId="0" borderId="0" xfId="5336" applyNumberFormat="1" applyFont="1" applyFill="1" applyAlignment="1">
      <alignment horizontal="center"/>
    </xf>
    <xf numFmtId="177" fontId="364" fillId="0" borderId="0" xfId="5336" applyNumberFormat="1" applyFont="1" applyFill="1" applyAlignment="1">
      <alignment horizontal="right"/>
    </xf>
    <xf numFmtId="3" fontId="388" fillId="0" borderId="0" xfId="5335" applyNumberFormat="1" applyFont="1" applyAlignment="1">
      <alignment horizontal="center"/>
    </xf>
    <xf numFmtId="4" fontId="388" fillId="0" borderId="0" xfId="5335" applyNumberFormat="1" applyFont="1" applyAlignment="1">
      <alignment horizontal="center"/>
    </xf>
    <xf numFmtId="177" fontId="388" fillId="0" borderId="0" xfId="5335" applyNumberFormat="1" applyFont="1" applyAlignment="1">
      <alignment horizontal="right"/>
    </xf>
    <xf numFmtId="0" fontId="363" fillId="75" borderId="0" xfId="5335" applyFont="1" applyFill="1"/>
    <xf numFmtId="0" fontId="388" fillId="0" borderId="0" xfId="5335" applyFont="1" applyAlignment="1">
      <alignment horizontal="right"/>
    </xf>
    <xf numFmtId="9" fontId="363" fillId="75" borderId="0" xfId="5335" applyNumberFormat="1" applyFont="1" applyFill="1" applyAlignment="1">
      <alignment horizontal="center"/>
    </xf>
    <xf numFmtId="221" fontId="363" fillId="75" borderId="0" xfId="5335" applyNumberFormat="1" applyFont="1" applyFill="1" applyAlignment="1">
      <alignment horizontal="right"/>
    </xf>
    <xf numFmtId="2" fontId="388" fillId="0" borderId="0" xfId="5335" applyNumberFormat="1" applyFont="1"/>
    <xf numFmtId="9" fontId="388" fillId="0" borderId="0" xfId="5335" applyNumberFormat="1" applyFont="1" applyAlignment="1">
      <alignment horizontal="center"/>
    </xf>
    <xf numFmtId="9" fontId="388" fillId="0" borderId="0" xfId="5335" applyNumberFormat="1" applyFont="1" applyAlignment="1">
      <alignment horizontal="right"/>
    </xf>
    <xf numFmtId="4" fontId="388" fillId="0" borderId="0" xfId="5335" applyNumberFormat="1" applyFont="1"/>
    <xf numFmtId="3" fontId="388" fillId="0" borderId="0" xfId="5335" applyNumberFormat="1" applyFont="1" applyAlignment="1">
      <alignment horizontal="right"/>
    </xf>
    <xf numFmtId="43" fontId="92" fillId="0" borderId="0" xfId="5278" applyNumberFormat="1" applyFont="1" applyAlignment="1" applyProtection="1">
      <alignment horizontal="center" vertical="center"/>
      <protection hidden="1"/>
    </xf>
    <xf numFmtId="0" fontId="383" fillId="0" borderId="0" xfId="5335" applyFont="1"/>
    <xf numFmtId="43" fontId="92" fillId="0" borderId="0" xfId="5337" applyFont="1"/>
    <xf numFmtId="43" fontId="363" fillId="75" borderId="0" xfId="5338" applyFont="1" applyFill="1" applyBorder="1"/>
    <xf numFmtId="43" fontId="92" fillId="0" borderId="0" xfId="5337" quotePrefix="1" applyFont="1" applyAlignment="1">
      <alignment horizontal="left" indent="1"/>
    </xf>
    <xf numFmtId="43" fontId="95" fillId="0" borderId="0" xfId="5337" applyFont="1"/>
    <xf numFmtId="0" fontId="34" fillId="0" borderId="122" xfId="0" applyFont="1" applyBorder="1"/>
    <xf numFmtId="0" fontId="372" fillId="83" borderId="0" xfId="0" applyFont="1" applyFill="1"/>
    <xf numFmtId="0" fontId="372" fillId="0" borderId="0" xfId="0" applyFont="1"/>
    <xf numFmtId="173" fontId="368" fillId="0" borderId="0" xfId="0" applyNumberFormat="1" applyFont="1"/>
    <xf numFmtId="360" fontId="335" fillId="0" borderId="0" xfId="0" applyNumberFormat="1" applyFont="1"/>
    <xf numFmtId="360" fontId="35" fillId="0" borderId="0" xfId="0" applyNumberFormat="1" applyFont="1"/>
    <xf numFmtId="360" fontId="41" fillId="0" borderId="0" xfId="0" applyNumberFormat="1" applyFont="1"/>
    <xf numFmtId="0" fontId="34" fillId="0" borderId="0" xfId="5278" applyAlignment="1" applyProtection="1">
      <alignment vertical="center"/>
      <protection hidden="1"/>
    </xf>
    <xf numFmtId="10" fontId="358" fillId="75" borderId="0" xfId="0" applyNumberFormat="1" applyFont="1" applyFill="1"/>
    <xf numFmtId="360" fontId="0" fillId="0" borderId="0" xfId="0" applyNumberFormat="1"/>
    <xf numFmtId="0" fontId="34" fillId="0" borderId="71" xfId="5278" applyBorder="1" applyAlignment="1" applyProtection="1">
      <alignment vertical="center"/>
      <protection hidden="1"/>
    </xf>
    <xf numFmtId="0" fontId="35" fillId="0" borderId="71" xfId="5278" applyFont="1" applyBorder="1" applyAlignment="1" applyProtection="1">
      <alignment vertical="center"/>
      <protection hidden="1"/>
    </xf>
    <xf numFmtId="360" fontId="34" fillId="0" borderId="71" xfId="0" applyNumberFormat="1" applyFont="1" applyBorder="1"/>
    <xf numFmtId="0" fontId="35" fillId="93" borderId="0" xfId="0" applyFont="1" applyFill="1"/>
    <xf numFmtId="0" fontId="35" fillId="93" borderId="0" xfId="0" applyFont="1" applyFill="1" applyAlignment="1">
      <alignment wrapText="1"/>
    </xf>
    <xf numFmtId="0" fontId="0" fillId="93" borderId="0" xfId="0" applyFill="1"/>
    <xf numFmtId="0" fontId="389" fillId="0" borderId="0" xfId="0" applyFont="1"/>
    <xf numFmtId="164" fontId="0" fillId="0" borderId="71" xfId="0" applyNumberFormat="1" applyBorder="1"/>
    <xf numFmtId="356" fontId="0" fillId="0" borderId="71" xfId="0" applyNumberFormat="1" applyBorder="1"/>
    <xf numFmtId="173" fontId="0" fillId="0" borderId="0" xfId="0" applyNumberFormat="1"/>
    <xf numFmtId="0" fontId="0" fillId="77" borderId="0" xfId="0" applyFill="1"/>
    <xf numFmtId="173" fontId="368" fillId="0" borderId="94" xfId="0" applyNumberFormat="1" applyFont="1" applyBorder="1"/>
    <xf numFmtId="0" fontId="368" fillId="0" borderId="0" xfId="0" applyFont="1" applyAlignment="1">
      <alignment wrapText="1"/>
    </xf>
    <xf numFmtId="0" fontId="345" fillId="0" borderId="0" xfId="5286"/>
    <xf numFmtId="353" fontId="34" fillId="0" borderId="0" xfId="2785" applyNumberFormat="1" applyAlignment="1" applyProtection="1">
      <alignment vertical="center"/>
      <protection hidden="1"/>
    </xf>
    <xf numFmtId="353" fontId="0" fillId="0" borderId="71" xfId="0" applyNumberFormat="1" applyBorder="1"/>
    <xf numFmtId="1" fontId="0" fillId="0" borderId="0" xfId="0" applyNumberFormat="1" applyAlignment="1">
      <alignment horizontal="center"/>
    </xf>
    <xf numFmtId="0" fontId="34" fillId="0" borderId="0" xfId="0" applyFont="1" applyAlignment="1" applyProtection="1">
      <alignment vertical="center" wrapText="1"/>
      <protection hidden="1"/>
    </xf>
    <xf numFmtId="0" fontId="35" fillId="0" borderId="0" xfId="0" applyFont="1" applyAlignment="1" applyProtection="1">
      <alignment vertical="center" wrapText="1"/>
      <protection hidden="1"/>
    </xf>
    <xf numFmtId="173" fontId="35" fillId="0" borderId="0" xfId="2785" applyNumberFormat="1" applyFont="1" applyBorder="1" applyAlignment="1" applyProtection="1">
      <alignment vertical="center" wrapText="1"/>
      <protection hidden="1"/>
    </xf>
    <xf numFmtId="350" fontId="0" fillId="0" borderId="130" xfId="0" applyNumberFormat="1" applyBorder="1" applyAlignment="1" applyProtection="1">
      <alignment horizontal="center" vertical="center"/>
      <protection hidden="1"/>
    </xf>
    <xf numFmtId="0" fontId="7" fillId="0" borderId="0" xfId="5339" applyFont="1"/>
    <xf numFmtId="0" fontId="41" fillId="84" borderId="0" xfId="5339" applyFont="1" applyFill="1"/>
    <xf numFmtId="0" fontId="41" fillId="84" borderId="0" xfId="5339" applyFont="1" applyFill="1" applyAlignment="1">
      <alignment horizontal="center"/>
    </xf>
    <xf numFmtId="0" fontId="41" fillId="84" borderId="0" xfId="5339" applyFont="1" applyFill="1" applyAlignment="1">
      <alignment horizontal="right"/>
    </xf>
    <xf numFmtId="173" fontId="35" fillId="0" borderId="0" xfId="5340" applyNumberFormat="1" applyFont="1" applyBorder="1" applyAlignment="1"/>
    <xf numFmtId="3" fontId="335" fillId="0" borderId="0" xfId="5339" applyNumberFormat="1" applyFont="1" applyAlignment="1">
      <alignment horizontal="right"/>
    </xf>
    <xf numFmtId="43" fontId="34" fillId="0" borderId="0" xfId="5340" applyFont="1" applyBorder="1"/>
    <xf numFmtId="43" fontId="35" fillId="0" borderId="0" xfId="5340" applyFont="1" applyBorder="1"/>
    <xf numFmtId="173" fontId="35" fillId="0" borderId="0" xfId="5340" applyNumberFormat="1" applyFont="1" applyBorder="1" applyAlignment="1">
      <alignment horizontal="right"/>
    </xf>
    <xf numFmtId="3" fontId="35" fillId="0" borderId="0" xfId="5340" applyNumberFormat="1" applyFont="1" applyBorder="1" applyAlignment="1">
      <alignment horizontal="right" vertical="center"/>
    </xf>
    <xf numFmtId="43" fontId="34" fillId="0" borderId="0" xfId="5340" applyFont="1" applyBorder="1" applyAlignment="1">
      <alignment horizontal="center"/>
    </xf>
    <xf numFmtId="173" fontId="34" fillId="0" borderId="0" xfId="5340" applyNumberFormat="1" applyFont="1" applyBorder="1"/>
    <xf numFmtId="0" fontId="35" fillId="0" borderId="0" xfId="4036" applyFont="1"/>
    <xf numFmtId="0" fontId="35" fillId="0" borderId="0" xfId="4036" applyFont="1" applyAlignment="1">
      <alignment horizontal="left" indent="2"/>
    </xf>
    <xf numFmtId="173" fontId="34" fillId="0" borderId="0" xfId="5340" applyNumberFormat="1" applyFont="1" applyBorder="1" applyAlignment="1"/>
    <xf numFmtId="0" fontId="34" fillId="0" borderId="0" xfId="5339" applyFont="1" applyAlignment="1">
      <alignment horizontal="right" vertical="center"/>
    </xf>
    <xf numFmtId="0" fontId="34" fillId="0" borderId="0" xfId="5339" applyFont="1" applyAlignment="1">
      <alignment horizontal="center" vertical="center"/>
    </xf>
    <xf numFmtId="0" fontId="34" fillId="0" borderId="0" xfId="4036" applyFont="1"/>
    <xf numFmtId="43" fontId="35" fillId="0" borderId="0" xfId="5340" applyFont="1" applyBorder="1" applyAlignment="1">
      <alignment horizontal="left"/>
    </xf>
    <xf numFmtId="43" fontId="368" fillId="0" borderId="0" xfId="5340" applyFont="1" applyBorder="1" applyAlignment="1">
      <alignment horizontal="left"/>
    </xf>
    <xf numFmtId="9" fontId="368" fillId="0" borderId="0" xfId="5341" applyFont="1" applyBorder="1" applyAlignment="1"/>
    <xf numFmtId="9" fontId="368" fillId="0" borderId="0" xfId="5341" applyFont="1" applyBorder="1" applyAlignment="1">
      <alignment horizontal="right"/>
    </xf>
    <xf numFmtId="43" fontId="368" fillId="0" borderId="0" xfId="5340" applyFont="1" applyBorder="1" applyAlignment="1">
      <alignment horizontal="right"/>
    </xf>
    <xf numFmtId="173" fontId="34" fillId="0" borderId="0" xfId="5340" applyNumberFormat="1" applyFont="1" applyBorder="1" applyAlignment="1">
      <alignment horizontal="right"/>
    </xf>
    <xf numFmtId="43" fontId="34" fillId="0" borderId="0" xfId="5340" applyFont="1" applyFill="1" applyBorder="1"/>
    <xf numFmtId="173" fontId="35" fillId="0" borderId="0" xfId="5340" applyNumberFormat="1" applyFont="1" applyFill="1" applyBorder="1" applyAlignment="1"/>
    <xf numFmtId="173" fontId="35" fillId="0" borderId="0" xfId="5340" applyNumberFormat="1" applyFont="1" applyFill="1" applyBorder="1" applyAlignment="1">
      <alignment horizontal="right"/>
    </xf>
    <xf numFmtId="173" fontId="34" fillId="0" borderId="0" xfId="5340" applyNumberFormat="1" applyFont="1" applyFill="1" applyBorder="1" applyAlignment="1"/>
    <xf numFmtId="173" fontId="34" fillId="0" borderId="0" xfId="5340" applyNumberFormat="1" applyFont="1" applyFill="1" applyBorder="1" applyAlignment="1">
      <alignment horizontal="right"/>
    </xf>
    <xf numFmtId="43" fontId="35" fillId="0" borderId="0" xfId="5340" applyFont="1" applyFill="1" applyBorder="1"/>
    <xf numFmtId="43" fontId="368" fillId="0" borderId="0" xfId="5340" applyFont="1" applyBorder="1"/>
    <xf numFmtId="43" fontId="368" fillId="0" borderId="0" xfId="5340" applyFont="1" applyBorder="1" applyAlignment="1"/>
    <xf numFmtId="0" fontId="34" fillId="0" borderId="0" xfId="5342" applyFont="1"/>
    <xf numFmtId="0" fontId="34" fillId="0" borderId="0" xfId="5342" applyFont="1" applyAlignment="1">
      <alignment horizontal="center"/>
    </xf>
    <xf numFmtId="0" fontId="34" fillId="0" borderId="0" xfId="5342" applyFont="1" applyAlignment="1">
      <alignment horizontal="right"/>
    </xf>
    <xf numFmtId="171" fontId="335" fillId="0" borderId="0" xfId="5339" applyNumberFormat="1" applyFont="1" applyAlignment="1">
      <alignment horizontal="center"/>
    </xf>
    <xf numFmtId="0" fontId="34" fillId="0" borderId="0" xfId="5278"/>
    <xf numFmtId="0" fontId="34" fillId="0" borderId="0" xfId="5278" applyAlignment="1">
      <alignment horizontal="center"/>
    </xf>
    <xf numFmtId="0" fontId="7" fillId="0" borderId="0" xfId="5342" applyFont="1"/>
    <xf numFmtId="0" fontId="41" fillId="84" borderId="0" xfId="5342" applyFont="1" applyFill="1"/>
    <xf numFmtId="0" fontId="41" fillId="0" borderId="0" xfId="5342" applyFont="1"/>
    <xf numFmtId="3" fontId="376" fillId="0" borderId="0" xfId="5342" applyNumberFormat="1" applyFont="1" applyAlignment="1">
      <alignment horizontal="right"/>
    </xf>
    <xf numFmtId="3" fontId="35" fillId="0" borderId="0" xfId="5342" applyNumberFormat="1" applyFont="1" applyAlignment="1">
      <alignment horizontal="right"/>
    </xf>
    <xf numFmtId="43" fontId="392" fillId="0" borderId="0" xfId="5340" applyFont="1" applyFill="1" applyBorder="1" applyAlignment="1">
      <alignment horizontal="left" indent="1"/>
    </xf>
    <xf numFmtId="43" fontId="34" fillId="0" borderId="0" xfId="2785" applyFont="1" applyBorder="1" applyAlignment="1">
      <alignment horizontal="center" vertical="center"/>
    </xf>
    <xf numFmtId="37" fontId="34" fillId="0" borderId="0" xfId="2785" applyNumberFormat="1" applyFont="1" applyBorder="1" applyAlignment="1">
      <alignment horizontal="center" vertical="center"/>
    </xf>
    <xf numFmtId="3" fontId="335" fillId="0" borderId="0" xfId="2785" applyNumberFormat="1" applyFont="1" applyBorder="1" applyAlignment="1">
      <alignment horizontal="right" vertical="center"/>
    </xf>
    <xf numFmtId="43" fontId="393" fillId="0" borderId="0" xfId="5340" applyFont="1" applyFill="1" applyBorder="1" applyAlignment="1">
      <alignment horizontal="left" indent="1"/>
    </xf>
    <xf numFmtId="3" fontId="34" fillId="0" borderId="0" xfId="2785" applyNumberFormat="1" applyFont="1" applyBorder="1" applyAlignment="1">
      <alignment horizontal="right" vertical="center"/>
    </xf>
    <xf numFmtId="43" fontId="392" fillId="0" borderId="0" xfId="5340" applyFont="1" applyFill="1" applyBorder="1"/>
    <xf numFmtId="221" fontId="34" fillId="0" borderId="0" xfId="5" applyNumberFormat="1" applyFont="1" applyBorder="1" applyAlignment="1">
      <alignment horizontal="center"/>
    </xf>
    <xf numFmtId="9" fontId="39" fillId="75" borderId="0" xfId="5341" applyFont="1" applyFill="1" applyBorder="1"/>
    <xf numFmtId="0" fontId="34" fillId="0" borderId="0" xfId="5278" applyAlignment="1">
      <alignment horizontal="right"/>
    </xf>
    <xf numFmtId="4" fontId="41" fillId="0" borderId="0" xfId="5342" applyNumberFormat="1" applyFont="1" applyAlignment="1">
      <alignment horizontal="center"/>
    </xf>
    <xf numFmtId="2" fontId="41" fillId="0" borderId="0" xfId="5342" applyNumberFormat="1" applyFont="1" applyAlignment="1">
      <alignment horizontal="right"/>
    </xf>
    <xf numFmtId="0" fontId="34" fillId="0" borderId="0" xfId="5343" applyFont="1"/>
    <xf numFmtId="0" fontId="34" fillId="0" borderId="0" xfId="5343" applyFont="1" applyAlignment="1">
      <alignment horizontal="center"/>
    </xf>
    <xf numFmtId="0" fontId="41" fillId="84" borderId="0" xfId="5342" applyFont="1" applyFill="1" applyAlignment="1">
      <alignment horizontal="center"/>
    </xf>
    <xf numFmtId="0" fontId="34" fillId="0" borderId="0" xfId="5343" applyFont="1" applyAlignment="1">
      <alignment horizontal="right"/>
    </xf>
    <xf numFmtId="3" fontId="34" fillId="0" borderId="0" xfId="5343" applyNumberFormat="1" applyFont="1"/>
    <xf numFmtId="3" fontId="335" fillId="0" borderId="0" xfId="5343" applyNumberFormat="1" applyFont="1" applyAlignment="1">
      <alignment horizontal="center"/>
    </xf>
    <xf numFmtId="0" fontId="35" fillId="0" borderId="0" xfId="5343" applyFont="1" applyAlignment="1">
      <alignment horizontal="right"/>
    </xf>
    <xf numFmtId="0" fontId="35" fillId="0" borderId="0" xfId="5343" applyFont="1"/>
    <xf numFmtId="3" fontId="35" fillId="0" borderId="0" xfId="5343" applyNumberFormat="1" applyFont="1"/>
    <xf numFmtId="3" fontId="367" fillId="0" borderId="0" xfId="5343" applyNumberFormat="1" applyFont="1" applyAlignment="1">
      <alignment horizontal="center"/>
    </xf>
    <xf numFmtId="3" fontId="34" fillId="0" borderId="0" xfId="5343" applyNumberFormat="1" applyFont="1" applyAlignment="1">
      <alignment horizontal="center"/>
    </xf>
    <xf numFmtId="0" fontId="337" fillId="94" borderId="0" xfId="5343" applyFont="1" applyFill="1"/>
    <xf numFmtId="221" fontId="337" fillId="94" borderId="0" xfId="5341" applyNumberFormat="1" applyFont="1" applyFill="1" applyBorder="1"/>
    <xf numFmtId="173" fontId="337" fillId="94" borderId="0" xfId="5344" applyNumberFormat="1" applyFont="1" applyFill="1" applyBorder="1"/>
    <xf numFmtId="171" fontId="394" fillId="94" borderId="0" xfId="5343" applyNumberFormat="1" applyFont="1" applyFill="1" applyAlignment="1">
      <alignment horizontal="right"/>
    </xf>
    <xf numFmtId="3" fontId="335" fillId="0" borderId="0" xfId="5343" applyNumberFormat="1" applyFont="1"/>
    <xf numFmtId="9" fontId="337" fillId="94" borderId="0" xfId="5341" applyFont="1" applyFill="1" applyBorder="1"/>
    <xf numFmtId="0" fontId="390" fillId="0" borderId="0" xfId="0" applyFont="1" applyAlignment="1">
      <alignment horizontal="center" vertical="center"/>
    </xf>
    <xf numFmtId="361" fontId="391" fillId="0" borderId="0" xfId="0" applyNumberFormat="1" applyFont="1" applyAlignment="1">
      <alignment horizontal="center" vertical="center"/>
    </xf>
    <xf numFmtId="2" fontId="391" fillId="0" borderId="0" xfId="0" applyNumberFormat="1" applyFont="1" applyAlignment="1">
      <alignment horizontal="center" vertical="center"/>
    </xf>
    <xf numFmtId="0" fontId="381" fillId="0" borderId="0" xfId="0" applyFont="1"/>
    <xf numFmtId="0" fontId="381" fillId="0" borderId="123" xfId="0" applyFont="1" applyBorder="1"/>
    <xf numFmtId="0" fontId="381" fillId="0" borderId="129" xfId="0" applyFont="1" applyBorder="1"/>
    <xf numFmtId="0" fontId="34" fillId="0" borderId="127" xfId="0" applyFont="1" applyBorder="1"/>
    <xf numFmtId="0" fontId="34" fillId="0" borderId="125" xfId="0" applyFont="1" applyBorder="1"/>
    <xf numFmtId="0" fontId="35" fillId="0" borderId="126" xfId="0" applyFont="1" applyBorder="1"/>
    <xf numFmtId="0" fontId="35" fillId="0" borderId="123" xfId="0" applyFont="1" applyBorder="1"/>
    <xf numFmtId="0" fontId="35" fillId="0" borderId="129" xfId="0" applyFont="1" applyBorder="1"/>
    <xf numFmtId="0" fontId="34" fillId="0" borderId="126" xfId="0" applyFont="1" applyBorder="1"/>
    <xf numFmtId="0" fontId="34" fillId="0" borderId="129" xfId="0" applyFont="1" applyBorder="1"/>
    <xf numFmtId="0" fontId="35" fillId="0" borderId="127" xfId="0" applyFont="1" applyBorder="1"/>
    <xf numFmtId="353" fontId="0" fillId="0" borderId="0" xfId="5254" applyNumberFormat="1" applyFont="1" applyFill="1"/>
    <xf numFmtId="0" fontId="381" fillId="0" borderId="122" xfId="0" applyFont="1" applyBorder="1"/>
    <xf numFmtId="171" fontId="335" fillId="0" borderId="126" xfId="0" applyNumberFormat="1" applyFont="1" applyBorder="1"/>
    <xf numFmtId="0" fontId="34" fillId="0" borderId="127" xfId="0" applyFont="1" applyBorder="1" applyAlignment="1" applyProtection="1">
      <alignment vertical="center"/>
      <protection hidden="1"/>
    </xf>
    <xf numFmtId="9" fontId="335" fillId="0" borderId="127" xfId="1" applyFont="1" applyFill="1" applyBorder="1"/>
    <xf numFmtId="0" fontId="335" fillId="0" borderId="126" xfId="0" applyFont="1" applyBorder="1"/>
    <xf numFmtId="360" fontId="335" fillId="0" borderId="127" xfId="0" applyNumberFormat="1" applyFont="1" applyBorder="1"/>
    <xf numFmtId="1" fontId="335" fillId="0" borderId="125" xfId="0" applyNumberFormat="1" applyFont="1" applyBorder="1"/>
    <xf numFmtId="0" fontId="35" fillId="95" borderId="125" xfId="0" applyFont="1" applyFill="1" applyBorder="1"/>
    <xf numFmtId="360" fontId="367" fillId="95" borderId="125" xfId="0" applyNumberFormat="1" applyFont="1" applyFill="1" applyBorder="1"/>
    <xf numFmtId="360" fontId="367" fillId="0" borderId="126" xfId="0" applyNumberFormat="1" applyFont="1" applyBorder="1"/>
    <xf numFmtId="0" fontId="381" fillId="0" borderId="124" xfId="0" applyFont="1" applyBorder="1" applyAlignment="1">
      <alignment horizontal="center" vertical="center"/>
    </xf>
    <xf numFmtId="0" fontId="35" fillId="0" borderId="0" xfId="0" applyFont="1" applyAlignment="1">
      <alignment horizontal="center" vertical="center"/>
    </xf>
    <xf numFmtId="350" fontId="0" fillId="0" borderId="0" xfId="0" applyNumberFormat="1"/>
    <xf numFmtId="0" fontId="34" fillId="0" borderId="122" xfId="0" applyFont="1" applyBorder="1" applyAlignment="1">
      <alignment horizontal="center" vertical="center"/>
    </xf>
    <xf numFmtId="3" fontId="395" fillId="0" borderId="0" xfId="5343" applyNumberFormat="1" applyFont="1" applyAlignment="1">
      <alignment horizontal="center"/>
    </xf>
    <xf numFmtId="0" fontId="34" fillId="0" borderId="120" xfId="0" applyFont="1" applyBorder="1"/>
    <xf numFmtId="0" fontId="337" fillId="0" borderId="0" xfId="0" applyFont="1"/>
    <xf numFmtId="175" fontId="337" fillId="0" borderId="0" xfId="0" applyNumberFormat="1" applyFont="1"/>
    <xf numFmtId="1" fontId="335" fillId="0" borderId="124" xfId="0" applyNumberFormat="1" applyFont="1" applyBorder="1" applyAlignment="1">
      <alignment horizontal="center" vertical="center"/>
    </xf>
    <xf numFmtId="0" fontId="34" fillId="0" borderId="124" xfId="0" applyFont="1" applyBorder="1" applyAlignment="1">
      <alignment vertical="center"/>
    </xf>
    <xf numFmtId="2" fontId="34" fillId="0" borderId="124" xfId="0" applyNumberFormat="1" applyFont="1" applyBorder="1" applyAlignment="1">
      <alignment horizontal="center" vertical="center"/>
    </xf>
    <xf numFmtId="173" fontId="365" fillId="0" borderId="0" xfId="0" applyNumberFormat="1" applyFont="1" applyAlignment="1" applyProtection="1">
      <alignment vertical="center"/>
      <protection hidden="1"/>
    </xf>
    <xf numFmtId="0" fontId="391" fillId="0" borderId="0" xfId="0" applyFont="1" applyAlignment="1">
      <alignment horizontal="center" vertical="center"/>
    </xf>
    <xf numFmtId="43" fontId="337" fillId="74" borderId="0" xfId="2785" applyFont="1" applyFill="1" applyAlignment="1">
      <alignment horizontal="center" vertical="center"/>
    </xf>
    <xf numFmtId="43" fontId="337" fillId="74" borderId="0" xfId="5" applyNumberFormat="1" applyFont="1" applyFill="1" applyAlignment="1">
      <alignment horizontal="center" vertical="center"/>
    </xf>
    <xf numFmtId="0" fontId="35" fillId="74" borderId="98" xfId="5346" applyNumberFormat="1" applyFont="1" applyFill="1" applyAlignment="1">
      <alignment horizontal="left" vertical="center" wrapText="1"/>
    </xf>
    <xf numFmtId="176" fontId="367" fillId="74" borderId="98" xfId="5346" applyNumberFormat="1" applyFont="1" applyFill="1">
      <alignment horizontal="center" vertical="center" wrapText="1"/>
    </xf>
    <xf numFmtId="175" fontId="337" fillId="74" borderId="0" xfId="0" applyNumberFormat="1" applyFont="1" applyFill="1" applyAlignment="1">
      <alignment horizontal="center" vertical="center"/>
    </xf>
    <xf numFmtId="0" fontId="35" fillId="74" borderId="130" xfId="0" applyFont="1" applyFill="1" applyBorder="1"/>
    <xf numFmtId="49" fontId="35" fillId="74" borderId="130" xfId="5346" applyNumberFormat="1" applyFont="1" applyFill="1" applyBorder="1" applyAlignment="1">
      <alignment horizontal="left" vertical="center" wrapText="1"/>
    </xf>
    <xf numFmtId="49" fontId="35" fillId="74" borderId="130" xfId="5346" applyNumberFormat="1" applyFont="1" applyFill="1" applyBorder="1">
      <alignment horizontal="center" vertical="center" wrapText="1"/>
    </xf>
    <xf numFmtId="43" fontId="35" fillId="74" borderId="0" xfId="2785" applyFont="1" applyFill="1" applyBorder="1"/>
    <xf numFmtId="9" fontId="337" fillId="74" borderId="0" xfId="5" applyFont="1" applyFill="1"/>
    <xf numFmtId="2" fontId="39" fillId="74" borderId="0" xfId="5" applyNumberFormat="1" applyFont="1" applyFill="1"/>
    <xf numFmtId="49" fontId="35" fillId="74" borderId="98" xfId="5346" applyNumberFormat="1" applyFont="1" applyFill="1" applyAlignment="1">
      <alignment horizontal="left" vertical="center" wrapText="1"/>
    </xf>
    <xf numFmtId="2" fontId="337" fillId="74" borderId="0" xfId="0" applyNumberFormat="1" applyFont="1" applyFill="1"/>
    <xf numFmtId="0" fontId="34" fillId="74" borderId="130" xfId="0" applyFont="1" applyFill="1" applyBorder="1" applyAlignment="1">
      <alignment horizontal="center" vertical="center"/>
    </xf>
    <xf numFmtId="0" fontId="34" fillId="74" borderId="130" xfId="5346" applyNumberFormat="1" applyFont="1" applyFill="1" applyBorder="1" applyAlignment="1">
      <alignment horizontal="left" vertical="center" wrapText="1"/>
    </xf>
    <xf numFmtId="43" fontId="34" fillId="74" borderId="130" xfId="2785" applyFont="1" applyFill="1" applyBorder="1" applyAlignment="1">
      <alignment horizontal="center" vertical="center" wrapText="1"/>
    </xf>
    <xf numFmtId="0" fontId="34" fillId="74" borderId="0" xfId="5346" applyNumberFormat="1" applyFont="1" applyFill="1" applyBorder="1" applyAlignment="1">
      <alignment horizontal="left" vertical="center" wrapText="1"/>
    </xf>
    <xf numFmtId="43" fontId="34" fillId="74" borderId="0" xfId="2785" applyFont="1" applyFill="1" applyBorder="1" applyAlignment="1">
      <alignment horizontal="center" vertical="center" wrapText="1"/>
    </xf>
    <xf numFmtId="0" fontId="34" fillId="74" borderId="0" xfId="5346" applyNumberFormat="1" applyFont="1" applyFill="1" applyBorder="1">
      <alignment horizontal="center" vertical="center" wrapText="1"/>
    </xf>
    <xf numFmtId="0" fontId="34" fillId="74" borderId="0" xfId="4112" applyFill="1" applyAlignment="1">
      <alignment horizontal="center" vertical="center"/>
    </xf>
    <xf numFmtId="224" fontId="34" fillId="74" borderId="0" xfId="4096" applyFont="1" applyFill="1"/>
    <xf numFmtId="0" fontId="34" fillId="74" borderId="0" xfId="4096" applyNumberFormat="1" applyFont="1" applyFill="1" applyAlignment="1">
      <alignment horizontal="center" vertical="center"/>
    </xf>
    <xf numFmtId="175" fontId="34" fillId="74" borderId="0" xfId="5" applyNumberFormat="1" applyFont="1" applyFill="1" applyBorder="1" applyAlignment="1">
      <alignment horizontal="center"/>
    </xf>
    <xf numFmtId="224" fontId="34" fillId="74" borderId="3" xfId="4096" applyFont="1" applyFill="1" applyBorder="1"/>
    <xf numFmtId="0" fontId="335" fillId="74" borderId="90" xfId="4096" applyNumberFormat="1" applyFont="1" applyFill="1" applyBorder="1" applyAlignment="1">
      <alignment horizontal="center" vertical="center"/>
    </xf>
    <xf numFmtId="0" fontId="335" fillId="74" borderId="91" xfId="4096" applyNumberFormat="1" applyFont="1" applyFill="1" applyBorder="1" applyAlignment="1">
      <alignment horizontal="center" vertical="center"/>
    </xf>
    <xf numFmtId="0" fontId="34" fillId="74" borderId="2" xfId="0" applyFont="1" applyFill="1" applyBorder="1"/>
    <xf numFmtId="171" fontId="335" fillId="74" borderId="0" xfId="2785" applyNumberFormat="1" applyFont="1" applyFill="1" applyBorder="1" applyAlignment="1">
      <alignment horizontal="center" vertical="center"/>
    </xf>
    <xf numFmtId="2" fontId="335" fillId="74" borderId="92" xfId="2785" applyNumberFormat="1" applyFont="1" applyFill="1" applyBorder="1" applyAlignment="1">
      <alignment horizontal="center" vertical="center"/>
    </xf>
    <xf numFmtId="171" fontId="335" fillId="74" borderId="0" xfId="2785" applyNumberFormat="1" applyFont="1" applyFill="1" applyBorder="1" applyAlignment="1">
      <alignment horizontal="center" vertical="center" wrapText="1"/>
    </xf>
    <xf numFmtId="2" fontId="335" fillId="74" borderId="92" xfId="2785" applyNumberFormat="1" applyFont="1" applyFill="1" applyBorder="1" applyAlignment="1">
      <alignment horizontal="center" vertical="center" wrapText="1"/>
    </xf>
    <xf numFmtId="0" fontId="34" fillId="74" borderId="2" xfId="5346" applyNumberFormat="1" applyFont="1" applyFill="1" applyBorder="1" applyAlignment="1">
      <alignment horizontal="left" vertical="center" wrapText="1"/>
    </xf>
    <xf numFmtId="1" fontId="335" fillId="74" borderId="0" xfId="2785" applyNumberFormat="1" applyFont="1" applyFill="1" applyBorder="1" applyAlignment="1">
      <alignment horizontal="center" vertical="center" wrapText="1"/>
    </xf>
    <xf numFmtId="0" fontId="34" fillId="74" borderId="93" xfId="5346" applyNumberFormat="1" applyFont="1" applyFill="1" applyBorder="1" applyAlignment="1">
      <alignment horizontal="left" vertical="center" wrapText="1"/>
    </xf>
    <xf numFmtId="1" fontId="335" fillId="74" borderId="22" xfId="2785" applyNumberFormat="1" applyFont="1" applyFill="1" applyBorder="1" applyAlignment="1">
      <alignment horizontal="center" vertical="center" wrapText="1"/>
    </xf>
    <xf numFmtId="2" fontId="335" fillId="74" borderId="81" xfId="2785" applyNumberFormat="1" applyFont="1" applyFill="1" applyBorder="1" applyAlignment="1">
      <alignment horizontal="center" vertical="center" wrapText="1"/>
    </xf>
    <xf numFmtId="49" fontId="35" fillId="74" borderId="0" xfId="5346" applyNumberFormat="1" applyFont="1" applyFill="1" applyBorder="1" applyAlignment="1">
      <alignment horizontal="left" vertical="center" wrapText="1"/>
    </xf>
    <xf numFmtId="49" fontId="35" fillId="74" borderId="0" xfId="5346" applyNumberFormat="1" applyFont="1" applyFill="1" applyBorder="1">
      <alignment horizontal="center" vertical="center" wrapText="1"/>
    </xf>
    <xf numFmtId="43" fontId="35" fillId="74" borderId="0" xfId="2785" applyFont="1" applyFill="1" applyBorder="1" applyAlignment="1">
      <alignment horizontal="center" vertical="center"/>
    </xf>
    <xf numFmtId="0" fontId="337" fillId="74" borderId="0" xfId="5" applyNumberFormat="1" applyFont="1" applyFill="1"/>
    <xf numFmtId="0" fontId="35" fillId="74" borderId="0" xfId="4112" applyFont="1" applyFill="1" applyAlignment="1">
      <alignment horizontal="center" vertical="center" wrapText="1"/>
    </xf>
    <xf numFmtId="0" fontId="34" fillId="74" borderId="0" xfId="0" applyFont="1" applyFill="1" applyAlignment="1">
      <alignment horizontal="left" vertical="center"/>
    </xf>
    <xf numFmtId="1" fontId="335" fillId="74" borderId="0" xfId="2785" applyNumberFormat="1" applyFont="1" applyFill="1" applyBorder="1" applyAlignment="1">
      <alignment horizontal="center" vertical="center"/>
    </xf>
    <xf numFmtId="49" fontId="34" fillId="74" borderId="0" xfId="5346" applyNumberFormat="1" applyFont="1" applyFill="1" applyBorder="1" applyAlignment="1">
      <alignment horizontal="left" vertical="center" wrapText="1"/>
    </xf>
    <xf numFmtId="49" fontId="34" fillId="74" borderId="128" xfId="5346" applyNumberFormat="1" applyFont="1" applyFill="1" applyBorder="1" applyAlignment="1">
      <alignment horizontal="left" vertical="center" wrapText="1"/>
    </xf>
    <xf numFmtId="1" fontId="335" fillId="74" borderId="128" xfId="2785" applyNumberFormat="1" applyFont="1" applyFill="1" applyBorder="1" applyAlignment="1">
      <alignment horizontal="center"/>
    </xf>
    <xf numFmtId="0" fontId="35" fillId="74" borderId="4" xfId="0" applyFont="1" applyFill="1" applyBorder="1" applyAlignment="1">
      <alignment vertical="center" wrapText="1"/>
    </xf>
    <xf numFmtId="0" fontId="35" fillId="74" borderId="80" xfId="0" applyFont="1" applyFill="1" applyBorder="1" applyAlignment="1">
      <alignment vertical="center" wrapText="1"/>
    </xf>
    <xf numFmtId="0" fontId="34" fillId="74" borderId="97" xfId="0" applyFont="1" applyFill="1" applyBorder="1" applyAlignment="1">
      <alignment vertical="center" wrapText="1"/>
    </xf>
    <xf numFmtId="176" fontId="34" fillId="74" borderId="81" xfId="0" applyNumberFormat="1" applyFont="1" applyFill="1" applyBorder="1" applyAlignment="1">
      <alignment horizontal="right" vertical="center" wrapText="1"/>
    </xf>
    <xf numFmtId="0" fontId="34" fillId="74" borderId="93" xfId="0" applyFont="1" applyFill="1" applyBorder="1" applyAlignment="1">
      <alignment vertical="center" wrapText="1"/>
    </xf>
    <xf numFmtId="176" fontId="34" fillId="74" borderId="92" xfId="0" applyNumberFormat="1" applyFont="1" applyFill="1" applyBorder="1" applyAlignment="1">
      <alignment horizontal="right" vertical="center" wrapText="1"/>
    </xf>
    <xf numFmtId="0" fontId="397" fillId="0" borderId="0" xfId="0" applyFont="1"/>
    <xf numFmtId="0" fontId="41" fillId="0" borderId="126" xfId="0" applyFont="1" applyBorder="1"/>
    <xf numFmtId="171" fontId="358" fillId="91" borderId="125" xfId="0" applyNumberFormat="1" applyFont="1" applyFill="1" applyBorder="1"/>
    <xf numFmtId="171" fontId="335" fillId="0" borderId="127" xfId="0" applyNumberFormat="1" applyFont="1" applyBorder="1"/>
    <xf numFmtId="171" fontId="335" fillId="0" borderId="125" xfId="5254" applyNumberFormat="1" applyFont="1" applyBorder="1"/>
    <xf numFmtId="9" fontId="398" fillId="0" borderId="0" xfId="5341" applyFont="1" applyFill="1" applyBorder="1" applyAlignment="1">
      <alignment horizontal="center"/>
    </xf>
    <xf numFmtId="359" fontId="34" fillId="0" borderId="0" xfId="0" applyNumberFormat="1" applyFont="1" applyAlignment="1" applyProtection="1">
      <alignment horizontal="center" vertical="center"/>
      <protection hidden="1"/>
    </xf>
    <xf numFmtId="9" fontId="358" fillId="75" borderId="0" xfId="2785" applyNumberFormat="1" applyFont="1" applyFill="1" applyBorder="1"/>
    <xf numFmtId="9" fontId="35" fillId="0" borderId="0" xfId="5" applyFont="1" applyBorder="1" applyAlignment="1">
      <alignment horizontal="center" vertical="center" wrapText="1"/>
    </xf>
    <xf numFmtId="0" fontId="39" fillId="0" borderId="97" xfId="5278" applyFont="1" applyBorder="1"/>
    <xf numFmtId="0" fontId="0" fillId="0" borderId="0" xfId="0" applyAlignment="1">
      <alignment horizontal="left"/>
    </xf>
    <xf numFmtId="0" fontId="35" fillId="0" borderId="0" xfId="5270" applyFont="1" applyAlignment="1" applyProtection="1">
      <alignment vertical="center"/>
      <protection hidden="1"/>
    </xf>
    <xf numFmtId="0" fontId="0" fillId="0" borderId="0" xfId="5270" applyFont="1" applyAlignment="1" applyProtection="1">
      <alignment horizontal="left" vertical="center"/>
      <protection hidden="1"/>
    </xf>
    <xf numFmtId="0" fontId="1" fillId="0" borderId="0" xfId="5270" applyFont="1" applyAlignment="1" applyProtection="1">
      <alignment vertical="center"/>
      <protection hidden="1"/>
    </xf>
    <xf numFmtId="0" fontId="0" fillId="0" borderId="0" xfId="5270" applyFont="1" applyAlignment="1" applyProtection="1">
      <alignment vertical="center"/>
      <protection hidden="1"/>
    </xf>
    <xf numFmtId="43" fontId="35" fillId="0" borderId="0" xfId="5272" applyFont="1" applyFill="1" applyAlignment="1" applyProtection="1">
      <alignment vertical="center"/>
      <protection locked="0"/>
    </xf>
    <xf numFmtId="173" fontId="35" fillId="0" borderId="0" xfId="5272" applyNumberFormat="1" applyFont="1" applyFill="1" applyAlignment="1" applyProtection="1">
      <alignment vertical="center"/>
      <protection locked="0"/>
    </xf>
    <xf numFmtId="173" fontId="35" fillId="0" borderId="0" xfId="5270" applyNumberFormat="1" applyFont="1" applyAlignment="1" applyProtection="1">
      <alignment vertical="center"/>
      <protection hidden="1"/>
    </xf>
    <xf numFmtId="0" fontId="34" fillId="74" borderId="122" xfId="0" applyFont="1" applyFill="1" applyBorder="1"/>
    <xf numFmtId="43" fontId="35" fillId="0" borderId="0" xfId="5254" applyFont="1"/>
    <xf numFmtId="0" fontId="35" fillId="2" borderId="123" xfId="0" applyFont="1" applyFill="1" applyBorder="1" applyAlignment="1">
      <alignment vertical="center" wrapText="1"/>
    </xf>
    <xf numFmtId="0" fontId="0" fillId="0" borderId="124" xfId="0" applyBorder="1"/>
    <xf numFmtId="0" fontId="0" fillId="97" borderId="0" xfId="0" applyFill="1"/>
    <xf numFmtId="0" fontId="0" fillId="86" borderId="0" xfId="0" applyFill="1"/>
    <xf numFmtId="0" fontId="0" fillId="98" borderId="0" xfId="0" applyFill="1"/>
    <xf numFmtId="0" fontId="0" fillId="99" borderId="0" xfId="0" applyFill="1"/>
    <xf numFmtId="0" fontId="0" fillId="100" borderId="0" xfId="0" applyFill="1"/>
    <xf numFmtId="0" fontId="0" fillId="101" borderId="0" xfId="0" applyFill="1"/>
    <xf numFmtId="0" fontId="0" fillId="69" borderId="0" xfId="0" applyFill="1"/>
    <xf numFmtId="0" fontId="0" fillId="90" borderId="0" xfId="0" applyFill="1"/>
    <xf numFmtId="0" fontId="0" fillId="96" borderId="0" xfId="0" applyFill="1"/>
    <xf numFmtId="0" fontId="0" fillId="73" borderId="0" xfId="0" applyFill="1"/>
    <xf numFmtId="0" fontId="0" fillId="102" borderId="0" xfId="0" applyFill="1"/>
    <xf numFmtId="0" fontId="0" fillId="103" borderId="0" xfId="0" applyFill="1"/>
    <xf numFmtId="0" fontId="0" fillId="78" borderId="0" xfId="0" applyFill="1"/>
    <xf numFmtId="0" fontId="0" fillId="88" borderId="0" xfId="0" applyFill="1"/>
    <xf numFmtId="0" fontId="0" fillId="0" borderId="0" xfId="0" applyAlignment="1" applyProtection="1">
      <alignment horizontal="center" vertical="center"/>
      <protection hidden="1"/>
    </xf>
    <xf numFmtId="0" fontId="35" fillId="0" borderId="124" xfId="0" applyFont="1" applyBorder="1"/>
    <xf numFmtId="0" fontId="0" fillId="97" borderId="0" xfId="0" applyFill="1" applyAlignment="1" applyProtection="1">
      <alignment vertical="center"/>
      <protection hidden="1"/>
    </xf>
    <xf numFmtId="0" fontId="0" fillId="102" borderId="0" xfId="0" applyFill="1" applyAlignment="1" applyProtection="1">
      <alignment vertical="center"/>
      <protection hidden="1"/>
    </xf>
    <xf numFmtId="0" fontId="0" fillId="103" borderId="0" xfId="0" applyFill="1" applyAlignment="1" applyProtection="1">
      <alignment vertical="center"/>
      <protection hidden="1"/>
    </xf>
    <xf numFmtId="0" fontId="0" fillId="78" borderId="0" xfId="0" applyFill="1" applyAlignment="1" applyProtection="1">
      <alignment vertical="center"/>
      <protection hidden="1"/>
    </xf>
    <xf numFmtId="0" fontId="0" fillId="88" borderId="0" xfId="0" applyFill="1" applyAlignment="1" applyProtection="1">
      <alignment vertical="center"/>
      <protection hidden="1"/>
    </xf>
    <xf numFmtId="0" fontId="0" fillId="73" borderId="0" xfId="0" applyFill="1" applyAlignment="1" applyProtection="1">
      <alignment vertical="center"/>
      <protection hidden="1"/>
    </xf>
    <xf numFmtId="0" fontId="0" fillId="77" borderId="0" xfId="0" applyFill="1" applyAlignment="1" applyProtection="1">
      <alignment vertical="center"/>
      <protection hidden="1"/>
    </xf>
    <xf numFmtId="0" fontId="0" fillId="98" borderId="0" xfId="0" applyFill="1" applyAlignment="1" applyProtection="1">
      <alignment vertical="center"/>
      <protection hidden="1"/>
    </xf>
    <xf numFmtId="0" fontId="0" fillId="92" borderId="0" xfId="0" applyFill="1" applyAlignment="1" applyProtection="1">
      <alignment vertical="center"/>
      <protection hidden="1"/>
    </xf>
    <xf numFmtId="0" fontId="0" fillId="90" borderId="0" xfId="0" applyFill="1" applyAlignment="1" applyProtection="1">
      <alignment vertical="center"/>
      <protection hidden="1"/>
    </xf>
    <xf numFmtId="0" fontId="0" fillId="96" borderId="0" xfId="0" applyFill="1" applyAlignment="1" applyProtection="1">
      <alignment vertical="center"/>
      <protection hidden="1"/>
    </xf>
    <xf numFmtId="0" fontId="0" fillId="100" borderId="0" xfId="0" applyFill="1" applyAlignment="1" applyProtection="1">
      <alignment vertical="center"/>
      <protection hidden="1"/>
    </xf>
    <xf numFmtId="0" fontId="0" fillId="101" borderId="0" xfId="0" applyFill="1" applyAlignment="1" applyProtection="1">
      <alignment vertical="center"/>
      <protection hidden="1"/>
    </xf>
    <xf numFmtId="0" fontId="0" fillId="69" borderId="0" xfId="0" applyFill="1" applyAlignment="1" applyProtection="1">
      <alignment vertical="center"/>
      <protection hidden="1"/>
    </xf>
    <xf numFmtId="0" fontId="0" fillId="86" borderId="0" xfId="0" applyFill="1" applyAlignment="1" applyProtection="1">
      <alignment vertical="center"/>
      <protection hidden="1"/>
    </xf>
    <xf numFmtId="0" fontId="0" fillId="99" borderId="0" xfId="0" applyFill="1" applyAlignment="1" applyProtection="1">
      <alignment vertical="center"/>
      <protection hidden="1"/>
    </xf>
    <xf numFmtId="0" fontId="35" fillId="97" borderId="0" xfId="0" applyFont="1" applyFill="1" applyAlignment="1" applyProtection="1">
      <alignment vertical="center"/>
      <protection hidden="1"/>
    </xf>
    <xf numFmtId="0" fontId="0" fillId="77" borderId="0" xfId="0" applyFill="1" applyAlignment="1">
      <alignment horizontal="center"/>
    </xf>
    <xf numFmtId="0" fontId="41" fillId="97" borderId="0" xfId="0" applyFont="1" applyFill="1" applyAlignment="1" applyProtection="1">
      <alignment vertical="center"/>
      <protection hidden="1"/>
    </xf>
    <xf numFmtId="3" fontId="41" fillId="0" borderId="0" xfId="0" applyNumberFormat="1" applyFont="1" applyAlignment="1">
      <alignment horizontal="center" vertical="center" wrapText="1"/>
    </xf>
    <xf numFmtId="1" fontId="35" fillId="0" borderId="0" xfId="0" applyNumberFormat="1" applyFont="1" applyAlignment="1">
      <alignment horizontal="center"/>
    </xf>
    <xf numFmtId="3" fontId="39" fillId="75" borderId="0" xfId="194" applyNumberFormat="1" applyFont="1" applyFill="1" applyBorder="1">
      <alignment horizontal="center" vertical="center" wrapText="1"/>
    </xf>
    <xf numFmtId="350" fontId="35" fillId="93" borderId="98" xfId="5329" quotePrefix="1" applyNumberFormat="1" applyFont="1" applyFill="1">
      <alignment horizontal="center" vertical="center" wrapText="1"/>
    </xf>
    <xf numFmtId="0" fontId="39" fillId="75" borderId="126" xfId="0" applyFont="1" applyFill="1" applyBorder="1" applyAlignment="1">
      <alignment horizontal="center"/>
    </xf>
    <xf numFmtId="0" fontId="39" fillId="75" borderId="123" xfId="0" applyFont="1" applyFill="1" applyBorder="1" applyAlignment="1">
      <alignment horizontal="center"/>
    </xf>
    <xf numFmtId="164" fontId="39" fillId="75" borderId="123" xfId="0" applyNumberFormat="1" applyFont="1" applyFill="1" applyBorder="1" applyAlignment="1">
      <alignment horizontal="center"/>
    </xf>
    <xf numFmtId="0" fontId="39" fillId="75" borderId="0" xfId="0" applyFont="1" applyFill="1" applyAlignment="1">
      <alignment horizontal="center"/>
    </xf>
    <xf numFmtId="164" fontId="39" fillId="75" borderId="0" xfId="0" applyNumberFormat="1" applyFont="1" applyFill="1" applyAlignment="1">
      <alignment horizontal="center"/>
    </xf>
    <xf numFmtId="176" fontId="335" fillId="0" borderId="123" xfId="2" applyNumberFormat="1" applyFont="1" applyBorder="1" applyAlignment="1">
      <alignment horizontal="center" vertical="center"/>
    </xf>
    <xf numFmtId="0" fontId="364" fillId="0" borderId="0" xfId="0" applyFont="1" applyAlignment="1">
      <alignment horizontal="left" vertical="center"/>
    </xf>
    <xf numFmtId="173" fontId="364" fillId="0" borderId="0" xfId="5254" applyNumberFormat="1" applyFont="1" applyFill="1" applyBorder="1" applyAlignment="1" applyProtection="1">
      <alignment horizontal="center" vertical="center"/>
    </xf>
    <xf numFmtId="9" fontId="364" fillId="0" borderId="0" xfId="5254" applyNumberFormat="1" applyFont="1" applyFill="1" applyBorder="1" applyAlignment="1" applyProtection="1">
      <alignment horizontal="center" vertical="center"/>
    </xf>
    <xf numFmtId="173" fontId="364" fillId="0" borderId="0" xfId="2785" applyNumberFormat="1" applyFont="1" applyFill="1" applyBorder="1" applyAlignment="1" applyProtection="1">
      <alignment horizontal="center" vertical="center"/>
      <protection hidden="1"/>
    </xf>
    <xf numFmtId="353" fontId="364" fillId="0" borderId="0" xfId="2785" applyNumberFormat="1" applyFont="1" applyFill="1" applyBorder="1" applyAlignment="1" applyProtection="1">
      <alignment horizontal="center" vertical="center"/>
      <protection hidden="1"/>
    </xf>
    <xf numFmtId="173" fontId="364" fillId="0" borderId="0" xfId="2785" applyNumberFormat="1" applyFont="1" applyFill="1" applyBorder="1" applyAlignment="1" applyProtection="1">
      <alignment horizontal="center" vertical="center"/>
    </xf>
    <xf numFmtId="221" fontId="364" fillId="0" borderId="0" xfId="5" applyNumberFormat="1" applyFont="1" applyFill="1" applyBorder="1" applyAlignment="1" applyProtection="1">
      <alignment horizontal="center" vertical="center"/>
    </xf>
    <xf numFmtId="173" fontId="364" fillId="0" borderId="92" xfId="2785" applyNumberFormat="1" applyFont="1" applyFill="1" applyBorder="1" applyAlignment="1" applyProtection="1">
      <alignment horizontal="center" vertical="center"/>
    </xf>
    <xf numFmtId="0" fontId="364" fillId="0" borderId="34" xfId="0" applyFont="1" applyBorder="1" applyAlignment="1">
      <alignment horizontal="left" vertical="center"/>
    </xf>
    <xf numFmtId="173" fontId="364" fillId="0" borderId="34" xfId="5254" applyNumberFormat="1" applyFont="1" applyFill="1" applyBorder="1" applyAlignment="1" applyProtection="1">
      <alignment horizontal="center" vertical="center"/>
    </xf>
    <xf numFmtId="9" fontId="364" fillId="0" borderId="34" xfId="5254" applyNumberFormat="1" applyFont="1" applyFill="1" applyBorder="1" applyAlignment="1" applyProtection="1">
      <alignment horizontal="center" vertical="center"/>
    </xf>
    <xf numFmtId="173" fontId="364" fillId="0" borderId="34" xfId="2785" applyNumberFormat="1" applyFont="1" applyFill="1" applyBorder="1" applyAlignment="1" applyProtection="1">
      <alignment horizontal="center" vertical="center"/>
      <protection hidden="1"/>
    </xf>
    <xf numFmtId="173" fontId="364" fillId="0" borderId="34" xfId="2785" applyNumberFormat="1" applyFont="1" applyFill="1" applyBorder="1" applyAlignment="1" applyProtection="1">
      <alignment horizontal="center" vertical="center"/>
    </xf>
    <xf numFmtId="221" fontId="364" fillId="0" borderId="34" xfId="5" applyNumberFormat="1" applyFont="1" applyFill="1" applyBorder="1" applyAlignment="1" applyProtection="1">
      <alignment horizontal="center" vertical="center"/>
    </xf>
    <xf numFmtId="173" fontId="364" fillId="0" borderId="103" xfId="2785" applyNumberFormat="1" applyFont="1" applyFill="1" applyBorder="1" applyAlignment="1" applyProtection="1">
      <alignment horizontal="center" vertical="center"/>
    </xf>
    <xf numFmtId="3" fontId="335" fillId="0" borderId="0" xfId="5339" applyNumberFormat="1" applyFont="1" applyAlignment="1">
      <alignment horizontal="center"/>
    </xf>
    <xf numFmtId="3" fontId="35" fillId="0" borderId="0" xfId="5340" applyNumberFormat="1" applyFont="1" applyBorder="1" applyAlignment="1">
      <alignment horizontal="center" vertical="center"/>
    </xf>
    <xf numFmtId="3" fontId="34" fillId="0" borderId="0" xfId="5340" applyNumberFormat="1" applyFont="1" applyBorder="1" applyAlignment="1">
      <alignment horizontal="center" vertical="center"/>
    </xf>
    <xf numFmtId="173" fontId="34" fillId="0" borderId="0" xfId="5340" applyNumberFormat="1" applyFont="1" applyBorder="1" applyAlignment="1">
      <alignment horizontal="center"/>
    </xf>
    <xf numFmtId="3" fontId="335" fillId="0" borderId="0" xfId="5340" applyNumberFormat="1" applyFont="1" applyBorder="1" applyAlignment="1">
      <alignment horizontal="center" vertical="center"/>
    </xf>
    <xf numFmtId="9" fontId="368" fillId="0" borderId="0" xfId="5341" applyFont="1" applyBorder="1" applyAlignment="1">
      <alignment horizontal="center" vertical="center"/>
    </xf>
    <xf numFmtId="3" fontId="335" fillId="0" borderId="0" xfId="5340" applyNumberFormat="1" applyFont="1" applyFill="1" applyBorder="1" applyAlignment="1">
      <alignment horizontal="center" vertical="center"/>
    </xf>
    <xf numFmtId="3" fontId="34" fillId="0" borderId="0" xfId="5340" applyNumberFormat="1" applyFont="1" applyFill="1" applyBorder="1" applyAlignment="1">
      <alignment horizontal="center" vertical="center"/>
    </xf>
    <xf numFmtId="3" fontId="35" fillId="0" borderId="0" xfId="5340" applyNumberFormat="1" applyFont="1" applyFill="1" applyBorder="1" applyAlignment="1">
      <alignment horizontal="center" vertical="center"/>
    </xf>
    <xf numFmtId="3" fontId="368" fillId="0" borderId="0" xfId="5340" applyNumberFormat="1" applyFont="1" applyBorder="1" applyAlignment="1">
      <alignment horizontal="center" vertical="center"/>
    </xf>
    <xf numFmtId="0" fontId="34" fillId="0" borderId="0" xfId="5342" applyFont="1" applyAlignment="1">
      <alignment horizontal="center" vertical="center"/>
    </xf>
    <xf numFmtId="221" fontId="0" fillId="0" borderId="0" xfId="5" applyNumberFormat="1" applyFont="1" applyBorder="1" applyAlignment="1">
      <alignment horizontal="center"/>
    </xf>
    <xf numFmtId="221" fontId="0" fillId="0" borderId="22" xfId="5" applyNumberFormat="1" applyFont="1" applyBorder="1" applyAlignment="1">
      <alignment horizontal="center"/>
    </xf>
    <xf numFmtId="173" fontId="41" fillId="76" borderId="115" xfId="2785" applyNumberFormat="1" applyFont="1" applyFill="1" applyBorder="1" applyAlignment="1">
      <alignment horizontal="center" vertical="center"/>
    </xf>
    <xf numFmtId="9" fontId="41" fillId="89" borderId="0" xfId="0" applyNumberFormat="1" applyFont="1" applyFill="1" applyAlignment="1">
      <alignment horizontal="center" vertical="center"/>
    </xf>
    <xf numFmtId="0" fontId="337" fillId="0" borderId="0" xfId="5278" applyFont="1"/>
    <xf numFmtId="0" fontId="337" fillId="0" borderId="0" xfId="5278" applyFont="1" applyAlignment="1">
      <alignment horizontal="center" vertical="top"/>
    </xf>
    <xf numFmtId="9" fontId="337" fillId="0" borderId="0" xfId="5" applyFont="1" applyFill="1" applyBorder="1" applyAlignment="1">
      <alignment horizontal="center"/>
    </xf>
    <xf numFmtId="0" fontId="337" fillId="0" borderId="0" xfId="0" applyFont="1" applyAlignment="1">
      <alignment horizontal="center"/>
    </xf>
    <xf numFmtId="173" fontId="0" fillId="77" borderId="0" xfId="5254" applyNumberFormat="1" applyFont="1" applyFill="1" applyBorder="1"/>
    <xf numFmtId="358" fontId="0" fillId="77" borderId="0" xfId="0" applyNumberFormat="1" applyFill="1"/>
    <xf numFmtId="350" fontId="335" fillId="77" borderId="0" xfId="2785" applyNumberFormat="1" applyFont="1" applyFill="1" applyBorder="1" applyAlignment="1" applyProtection="1">
      <alignment horizontal="center" vertical="center"/>
      <protection hidden="1"/>
    </xf>
    <xf numFmtId="3" fontId="335" fillId="104" borderId="0" xfId="5343" applyNumberFormat="1" applyFont="1" applyFill="1" applyAlignment="1">
      <alignment horizontal="center"/>
    </xf>
    <xf numFmtId="0" fontId="34" fillId="74" borderId="122" xfId="194" applyFont="1" applyFill="1" applyBorder="1" applyAlignment="1">
      <alignment horizontal="left" vertical="center" wrapText="1"/>
    </xf>
    <xf numFmtId="359" fontId="0" fillId="0" borderId="34" xfId="0" applyNumberFormat="1" applyBorder="1" applyAlignment="1">
      <alignment horizontal="center"/>
    </xf>
    <xf numFmtId="0" fontId="34" fillId="0" borderId="133" xfId="0" applyFont="1" applyBorder="1"/>
    <xf numFmtId="43" fontId="0" fillId="0" borderId="0" xfId="5254" applyFont="1" applyAlignment="1" applyProtection="1">
      <alignment horizontal="center" vertical="center"/>
      <protection hidden="1"/>
    </xf>
    <xf numFmtId="355" fontId="1" fillId="74" borderId="0" xfId="5284" applyNumberFormat="1" applyFont="1" applyFill="1" applyAlignment="1">
      <alignment vertical="center"/>
    </xf>
    <xf numFmtId="0" fontId="1" fillId="74" borderId="92" xfId="5284" applyFont="1" applyFill="1" applyBorder="1" applyAlignment="1">
      <alignment vertical="center" wrapText="1"/>
    </xf>
    <xf numFmtId="9" fontId="0" fillId="0" borderId="0" xfId="5" applyFont="1" applyFill="1" applyBorder="1" applyAlignment="1">
      <alignment horizontal="center"/>
    </xf>
    <xf numFmtId="0" fontId="34" fillId="0" borderId="0" xfId="3" applyNumberFormat="1" applyFont="1" applyFill="1" applyBorder="1">
      <alignment horizontal="center" vertical="center" wrapText="1"/>
    </xf>
    <xf numFmtId="0" fontId="35" fillId="0" borderId="0" xfId="194" applyFont="1" applyFill="1" applyBorder="1">
      <alignment horizontal="center" vertical="center" wrapText="1"/>
    </xf>
    <xf numFmtId="176" fontId="34" fillId="0" borderId="0" xfId="3" applyNumberFormat="1" applyFont="1" applyFill="1" applyBorder="1">
      <alignment horizontal="center" vertical="center" wrapText="1"/>
    </xf>
    <xf numFmtId="9" fontId="34" fillId="0" borderId="0" xfId="1" applyFont="1" applyFill="1" applyBorder="1" applyAlignment="1">
      <alignment horizontal="center" vertical="center" wrapText="1"/>
    </xf>
    <xf numFmtId="174" fontId="34" fillId="0" borderId="0" xfId="3" applyNumberFormat="1" applyFont="1" applyFill="1" applyBorder="1">
      <alignment horizontal="center" vertical="center" wrapText="1"/>
    </xf>
    <xf numFmtId="175" fontId="34" fillId="0" borderId="0" xfId="3" applyNumberFormat="1" applyFont="1" applyFill="1" applyBorder="1">
      <alignment horizontal="center" vertical="center" wrapText="1"/>
    </xf>
    <xf numFmtId="173" fontId="34" fillId="0" borderId="0" xfId="5254" applyNumberFormat="1" applyFont="1" applyFill="1" applyBorder="1" applyAlignment="1" applyProtection="1">
      <alignment horizontal="center" vertical="center"/>
      <protection locked="0"/>
    </xf>
    <xf numFmtId="173" fontId="34" fillId="0" borderId="0" xfId="5254" applyNumberFormat="1" applyFont="1" applyFill="1" applyBorder="1" applyAlignment="1" applyProtection="1">
      <alignment vertical="center"/>
      <protection locked="0"/>
    </xf>
    <xf numFmtId="0" fontId="34" fillId="0" borderId="0" xfId="0" applyFont="1" applyAlignment="1" applyProtection="1">
      <alignment vertical="center"/>
      <protection locked="0"/>
    </xf>
    <xf numFmtId="0" fontId="403" fillId="83" borderId="0" xfId="5278" applyFont="1" applyFill="1" applyAlignment="1">
      <alignment horizontal="center" vertical="center"/>
    </xf>
    <xf numFmtId="0" fontId="404" fillId="74" borderId="0" xfId="5278" applyFont="1" applyFill="1" applyAlignment="1">
      <alignment horizontal="center" vertical="center"/>
    </xf>
    <xf numFmtId="9" fontId="36" fillId="74" borderId="0" xfId="5" applyFont="1" applyFill="1" applyBorder="1" applyAlignment="1">
      <alignment horizontal="center" vertical="center"/>
    </xf>
    <xf numFmtId="0" fontId="403" fillId="83" borderId="0" xfId="0" applyFont="1" applyFill="1" applyAlignment="1">
      <alignment horizontal="center" vertical="center"/>
    </xf>
    <xf numFmtId="221" fontId="36" fillId="74" borderId="0" xfId="3" applyNumberFormat="1" applyFont="1" applyFill="1" applyBorder="1">
      <alignment horizontal="center" vertical="center" wrapText="1"/>
    </xf>
    <xf numFmtId="0" fontId="399" fillId="74" borderId="0" xfId="5278" applyFont="1" applyFill="1"/>
    <xf numFmtId="0" fontId="399" fillId="74" borderId="0" xfId="0" applyFont="1" applyFill="1"/>
    <xf numFmtId="221" fontId="406" fillId="74" borderId="0" xfId="3" applyNumberFormat="1" applyFont="1" applyFill="1" applyBorder="1">
      <alignment horizontal="center" vertical="center" wrapText="1"/>
    </xf>
    <xf numFmtId="357" fontId="387" fillId="0" borderId="0" xfId="5" applyNumberFormat="1" applyFont="1" applyFill="1" applyBorder="1" applyAlignment="1" applyProtection="1">
      <alignment horizontal="center" vertical="center"/>
      <protection hidden="1"/>
    </xf>
    <xf numFmtId="353" fontId="34" fillId="0" borderId="0" xfId="5254" applyNumberFormat="1" applyFont="1"/>
    <xf numFmtId="353" fontId="388" fillId="0" borderId="124" xfId="2785" applyNumberFormat="1" applyFont="1" applyBorder="1" applyAlignment="1">
      <alignment vertical="center"/>
    </xf>
    <xf numFmtId="173" fontId="388" fillId="0" borderId="124" xfId="2785" applyNumberFormat="1" applyFont="1" applyBorder="1" applyAlignment="1">
      <alignment vertical="center"/>
    </xf>
    <xf numFmtId="177" fontId="358" fillId="75" borderId="128" xfId="0" applyNumberFormat="1" applyFont="1" applyFill="1" applyBorder="1" applyAlignment="1">
      <alignment horizontal="center"/>
    </xf>
    <xf numFmtId="0" fontId="380" fillId="0" borderId="124" xfId="0" applyFont="1" applyBorder="1"/>
    <xf numFmtId="0" fontId="340" fillId="0" borderId="124" xfId="0" applyFont="1" applyBorder="1"/>
    <xf numFmtId="171" fontId="39" fillId="75" borderId="123" xfId="0" applyNumberFormat="1" applyFont="1" applyFill="1" applyBorder="1" applyAlignment="1">
      <alignment horizontal="center" vertical="center"/>
    </xf>
    <xf numFmtId="2" fontId="34" fillId="0" borderId="133" xfId="0" applyNumberFormat="1" applyFont="1" applyBorder="1" applyAlignment="1">
      <alignment horizontal="center"/>
    </xf>
    <xf numFmtId="171" fontId="39" fillId="75" borderId="130" xfId="0" applyNumberFormat="1" applyFont="1" applyFill="1" applyBorder="1" applyAlignment="1">
      <alignment horizontal="center" vertical="center"/>
    </xf>
    <xf numFmtId="0" fontId="34" fillId="0" borderId="128" xfId="0" applyFont="1" applyBorder="1" applyAlignment="1">
      <alignment horizontal="center"/>
    </xf>
    <xf numFmtId="177" fontId="34" fillId="0" borderId="128" xfId="0" applyNumberFormat="1" applyFont="1" applyBorder="1" applyAlignment="1">
      <alignment horizontal="center"/>
    </xf>
    <xf numFmtId="0" fontId="34" fillId="0" borderId="0" xfId="0" applyFont="1" applyAlignment="1">
      <alignment horizontal="left" indent="2"/>
    </xf>
    <xf numFmtId="43" fontId="34" fillId="0" borderId="0" xfId="5254" applyFont="1" applyFill="1" applyBorder="1" applyAlignment="1">
      <alignment horizontal="center" vertical="center"/>
    </xf>
    <xf numFmtId="43" fontId="34" fillId="0" borderId="0" xfId="5254" applyFont="1" applyFill="1" applyBorder="1"/>
    <xf numFmtId="43" fontId="34" fillId="0" borderId="0" xfId="5254" applyFont="1" applyFill="1" applyBorder="1" applyAlignment="1"/>
    <xf numFmtId="173" fontId="35" fillId="0" borderId="0" xfId="5254" applyNumberFormat="1" applyFont="1" applyFill="1" applyBorder="1" applyAlignment="1"/>
    <xf numFmtId="356" fontId="34" fillId="0" borderId="0" xfId="0" applyNumberFormat="1" applyFont="1"/>
    <xf numFmtId="173" fontId="34" fillId="0" borderId="0" xfId="5254" applyNumberFormat="1" applyFont="1" applyFill="1" applyAlignment="1"/>
    <xf numFmtId="221" fontId="405" fillId="0" borderId="0" xfId="1" applyNumberFormat="1" applyFont="1" applyFill="1" applyAlignment="1">
      <alignment horizontal="center" vertical="center"/>
    </xf>
    <xf numFmtId="173" fontId="34" fillId="0" borderId="0" xfId="5254" applyNumberFormat="1" applyFont="1" applyFill="1"/>
    <xf numFmtId="173" fontId="34" fillId="0" borderId="0" xfId="5254" applyNumberFormat="1" applyFont="1" applyFill="1" applyBorder="1" applyAlignment="1"/>
    <xf numFmtId="350" fontId="402" fillId="0" borderId="0" xfId="0" applyNumberFormat="1" applyFont="1" applyAlignment="1">
      <alignment horizontal="right" vertical="center"/>
    </xf>
    <xf numFmtId="350" fontId="402" fillId="0" borderId="0" xfId="0" applyNumberFormat="1" applyFont="1" applyAlignment="1">
      <alignment horizontal="left" vertical="center"/>
    </xf>
    <xf numFmtId="0" fontId="401" fillId="0" borderId="0" xfId="0" applyFont="1" applyAlignment="1">
      <alignment vertical="center"/>
    </xf>
    <xf numFmtId="171" fontId="34" fillId="0" borderId="0" xfId="3" applyNumberFormat="1" applyFont="1" applyFill="1" applyBorder="1">
      <alignment horizontal="center" vertical="center" wrapText="1"/>
    </xf>
    <xf numFmtId="350" fontId="402" fillId="0" borderId="0" xfId="0" applyNumberFormat="1" applyFont="1" applyAlignment="1">
      <alignment vertical="center"/>
    </xf>
    <xf numFmtId="2" fontId="34" fillId="0" borderId="0" xfId="3" applyNumberFormat="1" applyFont="1" applyFill="1" applyBorder="1">
      <alignment horizontal="center" vertical="center" wrapText="1"/>
    </xf>
    <xf numFmtId="350" fontId="405" fillId="0" borderId="0" xfId="0" applyNumberFormat="1" applyFont="1" applyAlignment="1">
      <alignment horizontal="center" vertical="center"/>
    </xf>
    <xf numFmtId="173" fontId="35" fillId="0" borderId="0" xfId="5254" applyNumberFormat="1" applyFont="1" applyFill="1" applyBorder="1"/>
    <xf numFmtId="0" fontId="34" fillId="0" borderId="133" xfId="194" applyFont="1" applyFill="1" applyBorder="1" applyAlignment="1">
      <alignment horizontal="left" vertical="center" wrapText="1"/>
    </xf>
    <xf numFmtId="0" fontId="0" fillId="74" borderId="133" xfId="194" applyFont="1" applyFill="1" applyBorder="1" applyAlignment="1">
      <alignment horizontal="left" vertical="center" wrapText="1"/>
    </xf>
    <xf numFmtId="3" fontId="39" fillId="75" borderId="133" xfId="194" applyNumberFormat="1" applyFont="1" applyFill="1" applyBorder="1">
      <alignment horizontal="center" vertical="center" wrapText="1"/>
    </xf>
    <xf numFmtId="0" fontId="400" fillId="0" borderId="0" xfId="0" applyFont="1" applyAlignment="1">
      <alignment horizontal="left" vertical="center" wrapText="1" indent="1" readingOrder="1"/>
    </xf>
    <xf numFmtId="0" fontId="407" fillId="0" borderId="0" xfId="0" applyFont="1" applyAlignment="1">
      <alignment horizontal="left" vertical="center" wrapText="1" indent="1" readingOrder="1"/>
    </xf>
    <xf numFmtId="350" fontId="35" fillId="0" borderId="133" xfId="0" applyNumberFormat="1" applyFont="1" applyBorder="1"/>
    <xf numFmtId="0" fontId="0" fillId="0" borderId="127" xfId="0" applyBorder="1"/>
    <xf numFmtId="350" fontId="0" fillId="0" borderId="0" xfId="0" applyNumberFormat="1" applyAlignment="1">
      <alignment horizontal="center"/>
    </xf>
    <xf numFmtId="350" fontId="0" fillId="0" borderId="128" xfId="0" applyNumberFormat="1" applyBorder="1" applyAlignment="1">
      <alignment horizontal="center"/>
    </xf>
    <xf numFmtId="350" fontId="0" fillId="0" borderId="130" xfId="0" applyNumberFormat="1" applyBorder="1" applyAlignment="1">
      <alignment horizontal="center"/>
    </xf>
    <xf numFmtId="0" fontId="35" fillId="0" borderId="133" xfId="0" applyFont="1" applyBorder="1" applyAlignment="1">
      <alignment wrapText="1"/>
    </xf>
    <xf numFmtId="350" fontId="35" fillId="2" borderId="130" xfId="0" applyNumberFormat="1" applyFont="1" applyFill="1" applyBorder="1" applyAlignment="1" applyProtection="1">
      <alignment horizontal="center" vertical="center"/>
      <protection hidden="1"/>
    </xf>
    <xf numFmtId="0" fontId="35" fillId="0" borderId="127" xfId="0" applyFont="1" applyBorder="1" applyAlignment="1" applyProtection="1">
      <alignment horizontal="left" vertical="center" wrapText="1"/>
      <protection hidden="1"/>
    </xf>
    <xf numFmtId="353" fontId="35" fillId="0" borderId="133" xfId="2785" applyNumberFormat="1" applyFont="1" applyFill="1" applyBorder="1" applyAlignment="1" applyProtection="1">
      <alignment vertical="center"/>
      <protection hidden="1"/>
    </xf>
    <xf numFmtId="352" fontId="34" fillId="0" borderId="128" xfId="0" applyNumberFormat="1" applyFont="1" applyBorder="1" applyAlignment="1" applyProtection="1">
      <alignment horizontal="center" vertical="center"/>
      <protection hidden="1"/>
    </xf>
    <xf numFmtId="352" fontId="34" fillId="0" borderId="133" xfId="0" applyNumberFormat="1" applyFont="1" applyBorder="1" applyAlignment="1" applyProtection="1">
      <alignment horizontal="center" vertical="center"/>
      <protection hidden="1"/>
    </xf>
    <xf numFmtId="350" fontId="34" fillId="0" borderId="130" xfId="2785" applyNumberFormat="1" applyFont="1" applyFill="1" applyBorder="1" applyAlignment="1" applyProtection="1">
      <alignment horizontal="center" vertical="center"/>
      <protection hidden="1"/>
    </xf>
    <xf numFmtId="0" fontId="371" fillId="0" borderId="0" xfId="0" applyFont="1" applyAlignment="1">
      <alignment wrapText="1"/>
    </xf>
    <xf numFmtId="0" fontId="409" fillId="74" borderId="0" xfId="5278" applyFont="1" applyFill="1"/>
    <xf numFmtId="173" fontId="286" fillId="0" borderId="0" xfId="0" applyNumberFormat="1" applyFont="1"/>
    <xf numFmtId="0" fontId="35" fillId="2" borderId="123" xfId="0" applyFont="1" applyFill="1" applyBorder="1" applyAlignment="1" applyProtection="1">
      <alignment horizontal="center" vertical="center"/>
      <protection hidden="1"/>
    </xf>
    <xf numFmtId="0" fontId="35" fillId="2" borderId="123" xfId="0" applyFont="1" applyFill="1" applyBorder="1" applyAlignment="1" applyProtection="1">
      <alignment vertical="center"/>
      <protection hidden="1"/>
    </xf>
    <xf numFmtId="350" fontId="35" fillId="6" borderId="123" xfId="5329" applyNumberFormat="1" applyFont="1" applyBorder="1">
      <alignment horizontal="center" vertical="center" wrapText="1"/>
    </xf>
    <xf numFmtId="353" fontId="0" fillId="0" borderId="71" xfId="2785" applyNumberFormat="1" applyFont="1" applyBorder="1" applyAlignment="1" applyProtection="1">
      <alignment horizontal="center" vertical="center"/>
      <protection hidden="1"/>
    </xf>
    <xf numFmtId="0" fontId="0" fillId="0" borderId="134" xfId="0" applyBorder="1"/>
    <xf numFmtId="43" fontId="0" fillId="0" borderId="0" xfId="5272" applyFont="1"/>
    <xf numFmtId="43" fontId="408" fillId="0" borderId="0" xfId="5272" applyFont="1" applyFill="1" applyAlignment="1">
      <alignment horizontal="center" vertical="center"/>
    </xf>
    <xf numFmtId="0" fontId="35" fillId="93" borderId="123" xfId="0" applyFont="1" applyFill="1" applyBorder="1" applyAlignment="1">
      <alignment horizontal="center" vertical="center"/>
    </xf>
    <xf numFmtId="0" fontId="0" fillId="0" borderId="127" xfId="0" applyBorder="1" applyAlignment="1">
      <alignment horizontal="left" vertical="center"/>
    </xf>
    <xf numFmtId="0" fontId="34" fillId="0" borderId="130" xfId="0" applyFont="1" applyBorder="1" applyAlignment="1">
      <alignment horizontal="center" vertical="center"/>
    </xf>
    <xf numFmtId="173" fontId="0" fillId="0" borderId="122" xfId="0" applyNumberFormat="1" applyBorder="1"/>
    <xf numFmtId="0" fontId="34" fillId="0" borderId="128" xfId="0" applyFont="1" applyBorder="1" applyAlignment="1">
      <alignment horizontal="center" vertical="center"/>
    </xf>
    <xf numFmtId="173" fontId="35" fillId="0" borderId="132" xfId="0" applyNumberFormat="1" applyFont="1" applyBorder="1"/>
    <xf numFmtId="0" fontId="35" fillId="0" borderId="123" xfId="0" applyFont="1" applyBorder="1" applyAlignment="1">
      <alignment horizontal="center" vertical="center"/>
    </xf>
    <xf numFmtId="0" fontId="41" fillId="0" borderId="123" xfId="0" applyFont="1" applyBorder="1"/>
    <xf numFmtId="171" fontId="41" fillId="0" borderId="123" xfId="0" applyNumberFormat="1" applyFont="1" applyBorder="1"/>
    <xf numFmtId="0" fontId="41" fillId="0" borderId="124" xfId="0" applyFont="1" applyBorder="1" applyAlignment="1">
      <alignment horizontal="center"/>
    </xf>
    <xf numFmtId="0" fontId="1" fillId="0" borderId="124" xfId="0" applyFont="1" applyBorder="1" applyAlignment="1">
      <alignment horizontal="center"/>
    </xf>
    <xf numFmtId="0" fontId="41" fillId="0" borderId="124" xfId="0" applyFont="1" applyBorder="1"/>
    <xf numFmtId="220" fontId="43" fillId="0" borderId="126" xfId="5347" applyFont="1" applyBorder="1" applyAlignment="1">
      <alignment horizontal="center" vertical="center"/>
    </xf>
    <xf numFmtId="233" fontId="43" fillId="0" borderId="124" xfId="5347" applyNumberFormat="1" applyFont="1" applyBorder="1" applyAlignment="1">
      <alignment horizontal="center" vertical="center"/>
    </xf>
    <xf numFmtId="220" fontId="122" fillId="0" borderId="126" xfId="5347" applyFont="1" applyBorder="1" applyAlignment="1">
      <alignment vertical="center"/>
    </xf>
    <xf numFmtId="0" fontId="1" fillId="0" borderId="124" xfId="0" applyFont="1" applyBorder="1" applyAlignment="1">
      <alignment horizontal="center" vertical="center"/>
    </xf>
    <xf numFmtId="0" fontId="34" fillId="0" borderId="124" xfId="0" applyFont="1" applyBorder="1" applyAlignment="1" applyProtection="1">
      <alignment vertical="center"/>
      <protection hidden="1"/>
    </xf>
    <xf numFmtId="233" fontId="122" fillId="0" borderId="124" xfId="5347" applyNumberFormat="1" applyFont="1" applyBorder="1" applyAlignment="1">
      <alignment vertical="center"/>
    </xf>
    <xf numFmtId="220" fontId="122" fillId="0" borderId="127" xfId="5347" applyFont="1" applyBorder="1" applyAlignment="1">
      <alignment vertical="center"/>
    </xf>
    <xf numFmtId="220" fontId="43" fillId="0" borderId="124" xfId="5347" applyFont="1" applyBorder="1" applyAlignment="1">
      <alignment horizontal="center" vertical="center"/>
    </xf>
    <xf numFmtId="0" fontId="1" fillId="0" borderId="133" xfId="0" applyFont="1" applyBorder="1" applyAlignment="1">
      <alignment horizontal="center"/>
    </xf>
    <xf numFmtId="220" fontId="122" fillId="0" borderId="125" xfId="5347" applyFont="1" applyBorder="1" applyAlignment="1">
      <alignment vertical="center"/>
    </xf>
    <xf numFmtId="220" fontId="43" fillId="0" borderId="126" xfId="5347" applyFont="1" applyBorder="1" applyAlignment="1">
      <alignment vertical="center"/>
    </xf>
    <xf numFmtId="0" fontId="0" fillId="0" borderId="0" xfId="0" applyAlignment="1">
      <alignment horizontal="center" vertical="center"/>
    </xf>
    <xf numFmtId="1" fontId="0" fillId="0" borderId="0" xfId="0" applyNumberFormat="1" applyAlignment="1">
      <alignment horizontal="center" vertical="center"/>
    </xf>
    <xf numFmtId="363" fontId="122" fillId="0" borderId="124" xfId="5347" applyNumberFormat="1" applyFont="1" applyBorder="1" applyAlignment="1">
      <alignment horizontal="right" vertical="center"/>
    </xf>
    <xf numFmtId="363" fontId="122" fillId="0" borderId="133" xfId="5347" applyNumberFormat="1" applyFont="1" applyBorder="1" applyAlignment="1">
      <alignment horizontal="right" vertical="center"/>
    </xf>
    <xf numFmtId="363" fontId="43" fillId="0" borderId="124" xfId="5347" applyNumberFormat="1" applyFont="1" applyBorder="1" applyAlignment="1">
      <alignment horizontal="right" vertical="center"/>
    </xf>
    <xf numFmtId="0" fontId="0" fillId="0" borderId="137" xfId="0" applyBorder="1"/>
    <xf numFmtId="0" fontId="0" fillId="0" borderId="136" xfId="0" applyBorder="1"/>
    <xf numFmtId="0" fontId="0" fillId="0" borderId="133" xfId="0" applyBorder="1"/>
    <xf numFmtId="0" fontId="411" fillId="0" borderId="137" xfId="0" applyFont="1" applyBorder="1"/>
    <xf numFmtId="9" fontId="387" fillId="0" borderId="0" xfId="0" applyNumberFormat="1" applyFont="1"/>
    <xf numFmtId="0" fontId="387" fillId="0" borderId="0" xfId="0" applyFont="1"/>
    <xf numFmtId="9" fontId="387" fillId="0" borderId="0" xfId="1" applyFont="1"/>
    <xf numFmtId="220" fontId="122" fillId="0" borderId="126" xfId="5347" applyFont="1" applyBorder="1" applyAlignment="1">
      <alignment vertical="center" wrapText="1"/>
    </xf>
    <xf numFmtId="1" fontId="35" fillId="0" borderId="0" xfId="0" applyNumberFormat="1" applyFont="1"/>
    <xf numFmtId="173" fontId="35" fillId="0" borderId="0" xfId="0" applyNumberFormat="1" applyFont="1" applyAlignment="1">
      <alignment horizontal="center" vertical="center"/>
    </xf>
    <xf numFmtId="0" fontId="34" fillId="0" borderId="135" xfId="0" applyFont="1" applyBorder="1" applyAlignment="1">
      <alignment wrapText="1"/>
    </xf>
    <xf numFmtId="0" fontId="34" fillId="74" borderId="136" xfId="0" applyFont="1" applyFill="1" applyBorder="1" applyAlignment="1">
      <alignment horizontal="center"/>
    </xf>
    <xf numFmtId="221" fontId="39" fillId="75" borderId="136" xfId="0" applyNumberFormat="1" applyFont="1" applyFill="1" applyBorder="1" applyAlignment="1">
      <alignment horizontal="center"/>
    </xf>
    <xf numFmtId="0" fontId="34" fillId="0" borderId="136" xfId="0" applyFont="1" applyBorder="1" applyAlignment="1" applyProtection="1">
      <alignment horizontal="left" vertical="center"/>
      <protection hidden="1"/>
    </xf>
    <xf numFmtId="0" fontId="34" fillId="74" borderId="133" xfId="0" applyFont="1" applyFill="1" applyBorder="1" applyAlignment="1">
      <alignment horizontal="center" vertical="center"/>
    </xf>
    <xf numFmtId="0" fontId="34" fillId="74" borderId="133" xfId="0" applyFont="1" applyFill="1" applyBorder="1" applyAlignment="1">
      <alignment horizontal="center"/>
    </xf>
    <xf numFmtId="0" fontId="34" fillId="74" borderId="135" xfId="0" applyFont="1" applyFill="1" applyBorder="1" applyAlignment="1">
      <alignment vertical="center"/>
    </xf>
    <xf numFmtId="0" fontId="34" fillId="74" borderId="136" xfId="0" applyFont="1" applyFill="1" applyBorder="1" applyAlignment="1">
      <alignment horizontal="center" vertical="center"/>
    </xf>
    <xf numFmtId="354" fontId="34" fillId="74" borderId="0" xfId="0" applyNumberFormat="1" applyFont="1" applyFill="1" applyAlignment="1">
      <alignment horizontal="center" vertical="center"/>
    </xf>
    <xf numFmtId="0" fontId="34" fillId="74" borderId="136" xfId="0" applyFont="1" applyFill="1" applyBorder="1" applyAlignment="1" applyProtection="1">
      <alignment horizontal="center" vertical="center"/>
      <protection hidden="1"/>
    </xf>
    <xf numFmtId="0" fontId="34" fillId="74" borderId="133" xfId="0" applyFont="1" applyFill="1" applyBorder="1" applyAlignment="1">
      <alignment vertical="center"/>
    </xf>
    <xf numFmtId="0" fontId="34" fillId="74" borderId="136" xfId="0" applyFont="1" applyFill="1" applyBorder="1" applyAlignment="1">
      <alignment horizontal="left"/>
    </xf>
    <xf numFmtId="0" fontId="34" fillId="74" borderId="133" xfId="0" applyFont="1" applyFill="1" applyBorder="1" applyAlignment="1">
      <alignment horizontal="left"/>
    </xf>
    <xf numFmtId="171" fontId="35" fillId="0" borderId="124" xfId="0" applyNumberFormat="1" applyFont="1" applyBorder="1" applyAlignment="1" applyProtection="1">
      <alignment horizontal="right" vertical="center"/>
      <protection hidden="1"/>
    </xf>
    <xf numFmtId="0" fontId="0" fillId="0" borderId="124" xfId="0" applyBorder="1" applyAlignment="1" applyProtection="1">
      <alignment horizontal="right" vertical="center"/>
      <protection hidden="1"/>
    </xf>
    <xf numFmtId="0" fontId="35" fillId="0" borderId="124" xfId="0" applyFont="1" applyBorder="1" applyAlignment="1" applyProtection="1">
      <alignment horizontal="right" vertical="center"/>
      <protection hidden="1"/>
    </xf>
    <xf numFmtId="0" fontId="34" fillId="0" borderId="0" xfId="194" applyFont="1" applyFill="1" applyBorder="1" applyAlignment="1">
      <alignment horizontal="left" vertical="center" wrapText="1"/>
    </xf>
    <xf numFmtId="0" fontId="337" fillId="72" borderId="0" xfId="0" applyFont="1" applyFill="1"/>
    <xf numFmtId="0" fontId="336" fillId="0" borderId="0" xfId="0" applyFont="1"/>
    <xf numFmtId="224" fontId="34" fillId="0" borderId="0" xfId="4241" applyFont="1" applyAlignment="1">
      <alignment horizontal="left"/>
    </xf>
    <xf numFmtId="224" fontId="34" fillId="0" borderId="0" xfId="4241" applyFont="1" applyAlignment="1">
      <alignment horizontal="left" wrapText="1"/>
    </xf>
    <xf numFmtId="0" fontId="34" fillId="0" borderId="0" xfId="0" applyFont="1" applyAlignment="1">
      <alignment horizontal="left" vertical="center"/>
    </xf>
    <xf numFmtId="0" fontId="337" fillId="0" borderId="0" xfId="0" applyFont="1" applyAlignment="1">
      <alignment horizontal="left" vertical="center"/>
    </xf>
    <xf numFmtId="175" fontId="34" fillId="0" borderId="0" xfId="2" applyNumberFormat="1" applyFont="1"/>
    <xf numFmtId="175" fontId="34" fillId="0" borderId="0" xfId="2" applyNumberFormat="1" applyFont="1" applyAlignment="1">
      <alignment wrapText="1"/>
    </xf>
    <xf numFmtId="224" fontId="34" fillId="0" borderId="0" xfId="4241" applyFont="1" applyAlignment="1">
      <alignment vertical="center"/>
    </xf>
    <xf numFmtId="0" fontId="0" fillId="0" borderId="0" xfId="194" applyFont="1" applyFill="1" applyBorder="1" applyAlignment="1">
      <alignment horizontal="left" vertical="center" wrapText="1"/>
    </xf>
    <xf numFmtId="0" fontId="35" fillId="0" borderId="0" xfId="0" applyFont="1" applyAlignment="1">
      <alignment horizontal="center" vertical="center" wrapText="1"/>
    </xf>
    <xf numFmtId="224" fontId="34" fillId="0" borderId="0" xfId="4241" applyFont="1" applyAlignment="1">
      <alignment horizontal="left" vertical="center"/>
    </xf>
    <xf numFmtId="224" fontId="34" fillId="0" borderId="0" xfId="5286" applyNumberFormat="1" applyFont="1" applyFill="1" applyBorder="1" applyAlignment="1">
      <alignment horizontal="left" vertical="center"/>
    </xf>
    <xf numFmtId="0" fontId="34" fillId="74" borderId="125" xfId="0" applyFont="1" applyFill="1" applyBorder="1" applyAlignment="1">
      <alignment horizontal="left"/>
    </xf>
    <xf numFmtId="0" fontId="34" fillId="74" borderId="135" xfId="0" applyFont="1" applyFill="1" applyBorder="1" applyAlignment="1">
      <alignment horizontal="center"/>
    </xf>
    <xf numFmtId="0" fontId="34" fillId="74" borderId="135" xfId="0" applyFont="1" applyFill="1" applyBorder="1"/>
    <xf numFmtId="0" fontId="337" fillId="72" borderId="128" xfId="0" applyFont="1" applyFill="1" applyBorder="1"/>
    <xf numFmtId="3" fontId="34" fillId="0" borderId="0" xfId="0" applyNumberFormat="1" applyFont="1" applyAlignment="1" applyProtection="1">
      <alignment horizontal="center" vertical="center"/>
      <protection hidden="1"/>
    </xf>
    <xf numFmtId="0" fontId="336" fillId="72" borderId="138" xfId="0" applyFont="1" applyFill="1" applyBorder="1"/>
    <xf numFmtId="224" fontId="34" fillId="74" borderId="137" xfId="4241" applyFont="1" applyFill="1" applyBorder="1" applyAlignment="1">
      <alignment wrapText="1"/>
    </xf>
    <xf numFmtId="224" fontId="34" fillId="74" borderId="137" xfId="4241" applyFont="1" applyFill="1" applyBorder="1" applyAlignment="1">
      <alignment horizontal="center"/>
    </xf>
    <xf numFmtId="351" fontId="39" fillId="75" borderId="137" xfId="3" applyNumberFormat="1" applyFont="1" applyFill="1" applyBorder="1">
      <alignment horizontal="center" vertical="center" wrapText="1"/>
    </xf>
    <xf numFmtId="224" fontId="34" fillId="74" borderId="137" xfId="4241" applyFont="1" applyFill="1" applyBorder="1" applyAlignment="1">
      <alignment horizontal="left"/>
    </xf>
    <xf numFmtId="224" fontId="34" fillId="74" borderId="136" xfId="4241" applyFont="1" applyFill="1" applyBorder="1" applyAlignment="1">
      <alignment wrapText="1"/>
    </xf>
    <xf numFmtId="224" fontId="34" fillId="74" borderId="136" xfId="4241" applyFont="1" applyFill="1" applyBorder="1" applyAlignment="1">
      <alignment horizontal="center"/>
    </xf>
    <xf numFmtId="351" fontId="39" fillId="75" borderId="136" xfId="3" applyNumberFormat="1" applyFont="1" applyFill="1" applyBorder="1">
      <alignment horizontal="center" vertical="center" wrapText="1"/>
    </xf>
    <xf numFmtId="224" fontId="34" fillId="74" borderId="136" xfId="4241" applyFont="1" applyFill="1" applyBorder="1" applyAlignment="1">
      <alignment horizontal="left"/>
    </xf>
    <xf numFmtId="224" fontId="34" fillId="74" borderId="136" xfId="4241" applyFont="1" applyFill="1" applyBorder="1" applyAlignment="1">
      <alignment horizontal="left" wrapText="1"/>
    </xf>
    <xf numFmtId="171" fontId="39" fillId="75" borderId="136" xfId="3" applyNumberFormat="1" applyFont="1" applyFill="1" applyBorder="1">
      <alignment horizontal="center" vertical="center" wrapText="1"/>
    </xf>
    <xf numFmtId="1" fontId="335" fillId="74" borderId="136" xfId="3" applyNumberFormat="1" applyFill="1" applyBorder="1">
      <alignment horizontal="center" vertical="center" wrapText="1"/>
    </xf>
    <xf numFmtId="0" fontId="34" fillId="74" borderId="136" xfId="0" applyFont="1" applyFill="1" applyBorder="1" applyAlignment="1">
      <alignment horizontal="left" vertical="center" wrapText="1"/>
    </xf>
    <xf numFmtId="171" fontId="335" fillId="74" borderId="136" xfId="3" applyNumberFormat="1" applyFill="1" applyBorder="1">
      <alignment horizontal="center" vertical="center" wrapText="1"/>
    </xf>
    <xf numFmtId="0" fontId="34" fillId="74" borderId="136" xfId="0" applyFont="1" applyFill="1" applyBorder="1" applyAlignment="1">
      <alignment horizontal="left" vertical="center"/>
    </xf>
    <xf numFmtId="0" fontId="34" fillId="74" borderId="133" xfId="0" applyFont="1" applyFill="1" applyBorder="1" applyAlignment="1">
      <alignment wrapText="1"/>
    </xf>
    <xf numFmtId="0" fontId="337" fillId="72" borderId="138" xfId="0" applyFont="1" applyFill="1" applyBorder="1" applyAlignment="1">
      <alignment horizontal="left" vertical="center"/>
    </xf>
    <xf numFmtId="175" fontId="34" fillId="74" borderId="135" xfId="2" applyNumberFormat="1" applyFont="1" applyFill="1" applyBorder="1" applyAlignment="1">
      <alignment horizontal="left" wrapText="1"/>
    </xf>
    <xf numFmtId="175" fontId="34" fillId="74" borderId="136" xfId="2" applyNumberFormat="1" applyFont="1" applyFill="1" applyBorder="1" applyAlignment="1">
      <alignment horizontal="center"/>
    </xf>
    <xf numFmtId="176" fontId="39" fillId="75" borderId="136" xfId="3" applyNumberFormat="1" applyFont="1" applyFill="1" applyBorder="1">
      <alignment horizontal="center" vertical="center" wrapText="1"/>
    </xf>
    <xf numFmtId="175" fontId="34" fillId="74" borderId="136" xfId="2" applyNumberFormat="1" applyFont="1" applyFill="1" applyBorder="1"/>
    <xf numFmtId="176" fontId="34" fillId="74" borderId="136" xfId="3" applyNumberFormat="1" applyFont="1" applyFill="1" applyBorder="1">
      <alignment horizontal="center" vertical="center" wrapText="1"/>
    </xf>
    <xf numFmtId="175" fontId="39" fillId="75" borderId="136" xfId="3" applyNumberFormat="1" applyFont="1" applyFill="1" applyBorder="1">
      <alignment horizontal="center" vertical="center" wrapText="1"/>
    </xf>
    <xf numFmtId="175" fontId="39" fillId="75" borderId="136" xfId="4" applyNumberFormat="1" applyFont="1" applyFill="1" applyBorder="1">
      <alignment horizontal="center" vertical="center" wrapText="1"/>
    </xf>
    <xf numFmtId="175" fontId="34" fillId="0" borderId="136" xfId="2" applyNumberFormat="1" applyFont="1" applyBorder="1"/>
    <xf numFmtId="175" fontId="34" fillId="74" borderId="136" xfId="2" applyNumberFormat="1" applyFont="1" applyFill="1" applyBorder="1" applyAlignment="1">
      <alignment wrapText="1"/>
    </xf>
    <xf numFmtId="175" fontId="34" fillId="74" borderId="136" xfId="3" applyNumberFormat="1" applyFont="1" applyFill="1" applyBorder="1">
      <alignment horizontal="center" vertical="center" wrapText="1"/>
    </xf>
    <xf numFmtId="175" fontId="34" fillId="74" borderId="125" xfId="2" applyNumberFormat="1" applyFont="1" applyFill="1" applyBorder="1" applyAlignment="1">
      <alignment horizontal="left" wrapText="1"/>
    </xf>
    <xf numFmtId="175" fontId="35" fillId="74" borderId="133" xfId="2" applyNumberFormat="1" applyFont="1" applyFill="1" applyBorder="1" applyAlignment="1">
      <alignment horizontal="center"/>
    </xf>
    <xf numFmtId="175" fontId="34" fillId="74" borderId="133" xfId="2" applyNumberFormat="1" applyFont="1" applyFill="1" applyBorder="1" applyAlignment="1">
      <alignment horizontal="center"/>
    </xf>
    <xf numFmtId="175" fontId="34" fillId="74" borderId="133" xfId="2" applyNumberFormat="1" applyFont="1" applyFill="1" applyBorder="1"/>
    <xf numFmtId="0" fontId="336" fillId="72" borderId="135" xfId="0" applyFont="1" applyFill="1" applyBorder="1" applyAlignment="1">
      <alignment wrapText="1"/>
    </xf>
    <xf numFmtId="0" fontId="337" fillId="72" borderId="122" xfId="0" applyFont="1" applyFill="1" applyBorder="1"/>
    <xf numFmtId="224" fontId="34" fillId="74" borderId="137" xfId="4241" applyFont="1" applyFill="1" applyBorder="1" applyAlignment="1">
      <alignment vertical="center" wrapText="1"/>
    </xf>
    <xf numFmtId="224" fontId="34" fillId="74" borderId="137" xfId="4241" applyFont="1" applyFill="1" applyBorder="1" applyAlignment="1">
      <alignment horizontal="center" vertical="center"/>
    </xf>
    <xf numFmtId="176" fontId="39" fillId="75" borderId="137" xfId="3" applyNumberFormat="1" applyFont="1" applyFill="1" applyBorder="1">
      <alignment horizontal="center" vertical="center" wrapText="1"/>
    </xf>
    <xf numFmtId="224" fontId="34" fillId="74" borderId="137" xfId="4241" applyFont="1" applyFill="1" applyBorder="1" applyAlignment="1">
      <alignment vertical="center"/>
    </xf>
    <xf numFmtId="224" fontId="34" fillId="74" borderId="136" xfId="4241" applyFont="1" applyFill="1" applyBorder="1" applyAlignment="1">
      <alignment vertical="center" wrapText="1"/>
    </xf>
    <xf numFmtId="224" fontId="34" fillId="74" borderId="136" xfId="4241" applyFont="1" applyFill="1" applyBorder="1" applyAlignment="1">
      <alignment horizontal="center" vertical="center"/>
    </xf>
    <xf numFmtId="224" fontId="34" fillId="74" borderId="136" xfId="4241" applyFont="1" applyFill="1" applyBorder="1" applyAlignment="1">
      <alignment vertical="center"/>
    </xf>
    <xf numFmtId="9" fontId="39" fillId="75" borderId="136" xfId="1" applyFont="1" applyFill="1" applyBorder="1" applyAlignment="1">
      <alignment horizontal="center" vertical="center" wrapText="1"/>
    </xf>
    <xf numFmtId="224" fontId="34" fillId="74" borderId="133" xfId="4241" applyFont="1" applyFill="1" applyBorder="1" applyAlignment="1">
      <alignment vertical="center" wrapText="1"/>
    </xf>
    <xf numFmtId="224" fontId="34" fillId="74" borderId="133" xfId="4241" applyFont="1" applyFill="1" applyBorder="1" applyAlignment="1">
      <alignment horizontal="center" vertical="center"/>
    </xf>
    <xf numFmtId="9" fontId="39" fillId="75" borderId="133" xfId="1" applyFont="1" applyFill="1" applyBorder="1" applyAlignment="1">
      <alignment horizontal="center" vertical="center" wrapText="1"/>
    </xf>
    <xf numFmtId="224" fontId="34" fillId="74" borderId="133" xfId="4241" applyFont="1" applyFill="1" applyBorder="1" applyAlignment="1">
      <alignment vertical="center"/>
    </xf>
    <xf numFmtId="0" fontId="34" fillId="74" borderId="135" xfId="0" applyFont="1" applyFill="1" applyBorder="1" applyAlignment="1" applyProtection="1">
      <alignment vertical="center" wrapText="1"/>
      <protection hidden="1"/>
    </xf>
    <xf numFmtId="3" fontId="39" fillId="75" borderId="137" xfId="194" applyNumberFormat="1" applyFont="1" applyFill="1" applyBorder="1">
      <alignment horizontal="center" vertical="center" wrapText="1"/>
    </xf>
    <xf numFmtId="0" fontId="34" fillId="74" borderId="136" xfId="194" applyFont="1" applyFill="1" applyBorder="1" applyAlignment="1">
      <alignment horizontal="left" vertical="center" wrapText="1"/>
    </xf>
    <xf numFmtId="49" fontId="34" fillId="74" borderId="135" xfId="0" applyNumberFormat="1" applyFont="1" applyFill="1" applyBorder="1" applyAlignment="1" applyProtection="1">
      <alignment horizontal="center" vertical="center"/>
      <protection hidden="1"/>
    </xf>
    <xf numFmtId="3" fontId="39" fillId="75" borderId="136" xfId="194" applyNumberFormat="1" applyFont="1" applyFill="1" applyBorder="1">
      <alignment horizontal="center" vertical="center" wrapText="1"/>
    </xf>
    <xf numFmtId="0" fontId="34" fillId="74" borderId="125" xfId="0" applyFont="1" applyFill="1" applyBorder="1" applyAlignment="1" applyProtection="1">
      <alignment vertical="center" wrapText="1"/>
      <protection hidden="1"/>
    </xf>
    <xf numFmtId="49" fontId="34" fillId="74" borderId="125" xfId="0" applyNumberFormat="1" applyFont="1" applyFill="1" applyBorder="1" applyAlignment="1" applyProtection="1">
      <alignment horizontal="center" vertical="center"/>
      <protection hidden="1"/>
    </xf>
    <xf numFmtId="49" fontId="34" fillId="74" borderId="137" xfId="0" applyNumberFormat="1" applyFont="1" applyFill="1" applyBorder="1" applyAlignment="1" applyProtection="1">
      <alignment horizontal="center" vertical="center"/>
      <protection hidden="1"/>
    </xf>
    <xf numFmtId="0" fontId="34" fillId="74" borderId="137" xfId="194" applyFont="1" applyFill="1" applyBorder="1" applyAlignment="1">
      <alignment horizontal="left" vertical="center" wrapText="1"/>
    </xf>
    <xf numFmtId="49" fontId="34" fillId="74" borderId="136" xfId="0" applyNumberFormat="1" applyFont="1" applyFill="1" applyBorder="1" applyAlignment="1" applyProtection="1">
      <alignment horizontal="center" vertical="center"/>
      <protection hidden="1"/>
    </xf>
    <xf numFmtId="49" fontId="34" fillId="74" borderId="133" xfId="0" applyNumberFormat="1" applyFont="1" applyFill="1" applyBorder="1" applyAlignment="1" applyProtection="1">
      <alignment horizontal="center" vertical="center"/>
      <protection hidden="1"/>
    </xf>
    <xf numFmtId="0" fontId="34" fillId="74" borderId="133" xfId="194" applyFont="1" applyFill="1" applyBorder="1" applyAlignment="1">
      <alignment horizontal="left" vertical="center" wrapText="1"/>
    </xf>
    <xf numFmtId="49" fontId="35" fillId="76" borderId="133" xfId="194" applyNumberFormat="1" applyFont="1" applyFill="1" applyBorder="1">
      <alignment horizontal="center" vertical="center" wrapText="1"/>
    </xf>
    <xf numFmtId="0" fontId="35" fillId="76" borderId="133" xfId="194" applyFont="1" applyFill="1" applyBorder="1">
      <alignment horizontal="center" vertical="center" wrapText="1"/>
    </xf>
    <xf numFmtId="0" fontId="35" fillId="76" borderId="137" xfId="194" applyFont="1" applyFill="1" applyBorder="1">
      <alignment horizontal="center" vertical="center" wrapText="1"/>
    </xf>
    <xf numFmtId="0" fontId="34" fillId="0" borderId="137" xfId="194" applyFont="1" applyFill="1" applyBorder="1" applyAlignment="1">
      <alignment horizontal="left" vertical="center" wrapText="1"/>
    </xf>
    <xf numFmtId="0" fontId="34" fillId="0" borderId="136" xfId="194" applyFont="1" applyFill="1" applyBorder="1" applyAlignment="1">
      <alignment horizontal="left" vertical="center" wrapText="1"/>
    </xf>
    <xf numFmtId="0" fontId="34" fillId="74" borderId="135" xfId="0" applyFont="1" applyFill="1" applyBorder="1" applyAlignment="1">
      <alignment wrapText="1"/>
    </xf>
    <xf numFmtId="0" fontId="0" fillId="74" borderId="137" xfId="194" applyFont="1" applyFill="1" applyBorder="1" applyAlignment="1">
      <alignment horizontal="left" vertical="center" wrapText="1"/>
    </xf>
    <xf numFmtId="0" fontId="0" fillId="74" borderId="136" xfId="194" applyFont="1" applyFill="1" applyBorder="1" applyAlignment="1">
      <alignment horizontal="left" vertical="center" wrapText="1"/>
    </xf>
    <xf numFmtId="3" fontId="34" fillId="74" borderId="122" xfId="0" applyNumberFormat="1" applyFont="1" applyFill="1" applyBorder="1" applyAlignment="1" applyProtection="1">
      <alignment horizontal="center" vertical="center"/>
      <protection hidden="1"/>
    </xf>
    <xf numFmtId="0" fontId="337" fillId="72" borderId="138" xfId="0" applyFont="1" applyFill="1" applyBorder="1"/>
    <xf numFmtId="0" fontId="35" fillId="76" borderId="137" xfId="6" applyFont="1" applyFill="1" applyBorder="1" applyAlignment="1">
      <alignment horizontal="center" vertical="center" wrapText="1"/>
    </xf>
    <xf numFmtId="224" fontId="34" fillId="74" borderId="0" xfId="4241" applyFont="1" applyFill="1" applyAlignment="1">
      <alignment horizontal="center" vertical="center"/>
    </xf>
    <xf numFmtId="9" fontId="39" fillId="75" borderId="135" xfId="1" applyFont="1" applyFill="1" applyBorder="1" applyAlignment="1">
      <alignment horizontal="center" vertical="center" wrapText="1"/>
    </xf>
    <xf numFmtId="174" fontId="39" fillId="75" borderId="135" xfId="3" applyNumberFormat="1" applyFont="1" applyFill="1" applyBorder="1">
      <alignment horizontal="center" vertical="center" wrapText="1"/>
    </xf>
    <xf numFmtId="0" fontId="34" fillId="74" borderId="136" xfId="0" applyFont="1" applyFill="1" applyBorder="1" applyAlignment="1" applyProtection="1">
      <alignment horizontal="left" vertical="center" wrapText="1"/>
      <protection hidden="1"/>
    </xf>
    <xf numFmtId="175" fontId="39" fillId="75" borderId="135" xfId="3" applyNumberFormat="1" applyFont="1" applyFill="1" applyBorder="1">
      <alignment horizontal="center" vertical="center" wrapText="1"/>
    </xf>
    <xf numFmtId="0" fontId="34" fillId="74" borderId="136" xfId="0" applyFont="1" applyFill="1" applyBorder="1" applyAlignment="1" applyProtection="1">
      <alignment horizontal="left" vertical="center"/>
      <protection hidden="1"/>
    </xf>
    <xf numFmtId="0" fontId="34" fillId="74" borderId="133" xfId="0" applyFont="1" applyFill="1" applyBorder="1" applyAlignment="1" applyProtection="1">
      <alignment horizontal="left" vertical="center" wrapText="1"/>
      <protection hidden="1"/>
    </xf>
    <xf numFmtId="0" fontId="34" fillId="74" borderId="128" xfId="0" applyFont="1" applyFill="1" applyBorder="1" applyAlignment="1" applyProtection="1">
      <alignment horizontal="center" vertical="center"/>
      <protection hidden="1"/>
    </xf>
    <xf numFmtId="175" fontId="39" fillId="75" borderId="125" xfId="3" applyNumberFormat="1" applyFont="1" applyFill="1" applyBorder="1">
      <alignment horizontal="center" vertical="center" wrapText="1"/>
    </xf>
    <xf numFmtId="0" fontId="34" fillId="74" borderId="133" xfId="0" applyFont="1" applyFill="1" applyBorder="1" applyAlignment="1" applyProtection="1">
      <alignment horizontal="left" vertical="center"/>
      <protection hidden="1"/>
    </xf>
    <xf numFmtId="0" fontId="337" fillId="72" borderId="138" xfId="0" applyFont="1" applyFill="1" applyBorder="1" applyAlignment="1">
      <alignment horizontal="center"/>
    </xf>
    <xf numFmtId="175" fontId="39" fillId="75" borderId="137" xfId="3" applyNumberFormat="1" applyFont="1" applyFill="1" applyBorder="1">
      <alignment horizontal="center" vertical="center" wrapText="1"/>
    </xf>
    <xf numFmtId="224" fontId="34" fillId="74" borderId="136" xfId="4241" applyFont="1" applyFill="1" applyBorder="1" applyAlignment="1">
      <alignment horizontal="left" vertical="center"/>
    </xf>
    <xf numFmtId="9" fontId="39" fillId="75" borderId="136" xfId="5" applyFont="1" applyFill="1" applyBorder="1" applyAlignment="1">
      <alignment horizontal="center" vertical="center" wrapText="1"/>
    </xf>
    <xf numFmtId="224" fontId="34" fillId="74" borderId="136" xfId="5286" applyNumberFormat="1" applyFont="1" applyFill="1" applyBorder="1" applyAlignment="1">
      <alignment horizontal="left" vertical="center"/>
    </xf>
    <xf numFmtId="174" fontId="39" fillId="75" borderId="136" xfId="3" applyNumberFormat="1" applyFont="1" applyFill="1" applyBorder="1">
      <alignment horizontal="center" vertical="center" wrapText="1"/>
    </xf>
    <xf numFmtId="175" fontId="39" fillId="75" borderId="133" xfId="3" applyNumberFormat="1" applyFont="1" applyFill="1" applyBorder="1">
      <alignment horizontal="center" vertical="center" wrapText="1"/>
    </xf>
    <xf numFmtId="0" fontId="34" fillId="74" borderId="133" xfId="0" applyFont="1" applyFill="1" applyBorder="1" applyAlignment="1">
      <alignment horizontal="left" vertical="center"/>
    </xf>
    <xf numFmtId="224" fontId="35" fillId="76" borderId="125" xfId="4241" applyFont="1" applyFill="1" applyBorder="1" applyAlignment="1">
      <alignment vertical="center"/>
    </xf>
    <xf numFmtId="0" fontId="35" fillId="76" borderId="132" xfId="194" applyFont="1" applyFill="1" applyBorder="1">
      <alignment horizontal="center" vertical="center" wrapText="1"/>
    </xf>
    <xf numFmtId="0" fontId="34" fillId="0" borderId="125" xfId="0" applyFont="1" applyBorder="1" applyAlignment="1">
      <alignment wrapText="1"/>
    </xf>
    <xf numFmtId="221" fontId="39" fillId="75" borderId="133" xfId="0" applyNumberFormat="1" applyFont="1" applyFill="1" applyBorder="1" applyAlignment="1">
      <alignment horizontal="center"/>
    </xf>
    <xf numFmtId="0" fontId="35" fillId="76" borderId="137" xfId="0" applyFont="1" applyFill="1" applyBorder="1" applyAlignment="1" applyProtection="1">
      <alignment vertical="center"/>
      <protection hidden="1"/>
    </xf>
    <xf numFmtId="0" fontId="35" fillId="76" borderId="137" xfId="0" applyFont="1" applyFill="1" applyBorder="1" applyAlignment="1" applyProtection="1">
      <alignment horizontal="center" vertical="center"/>
      <protection hidden="1"/>
    </xf>
    <xf numFmtId="0" fontId="34" fillId="74" borderId="137" xfId="0" applyFont="1" applyFill="1" applyBorder="1" applyAlignment="1" applyProtection="1">
      <alignment horizontal="center" vertical="center"/>
      <protection hidden="1"/>
    </xf>
    <xf numFmtId="0" fontId="34" fillId="74" borderId="135" xfId="0" applyFont="1" applyFill="1" applyBorder="1" applyAlignment="1" applyProtection="1">
      <alignment vertical="center"/>
      <protection hidden="1"/>
    </xf>
    <xf numFmtId="9" fontId="39" fillId="75" borderId="0" xfId="0" applyNumberFormat="1" applyFont="1" applyFill="1" applyAlignment="1" applyProtection="1">
      <alignment horizontal="center" vertical="center"/>
      <protection locked="0"/>
    </xf>
    <xf numFmtId="221" fontId="34" fillId="74" borderId="136" xfId="5" applyNumberFormat="1" applyFont="1" applyFill="1" applyBorder="1" applyAlignment="1">
      <alignment horizontal="center" vertical="center" wrapText="1"/>
    </xf>
    <xf numFmtId="221" fontId="39" fillId="75" borderId="136" xfId="5" applyNumberFormat="1" applyFont="1" applyFill="1" applyBorder="1" applyAlignment="1">
      <alignment horizontal="center" vertical="center" wrapText="1"/>
    </xf>
    <xf numFmtId="221" fontId="39" fillId="75" borderId="136" xfId="1" applyNumberFormat="1" applyFont="1" applyFill="1" applyBorder="1" applyAlignment="1">
      <alignment horizontal="center" vertical="center" wrapText="1"/>
    </xf>
    <xf numFmtId="221" fontId="39" fillId="75" borderId="136" xfId="3" applyNumberFormat="1" applyFont="1" applyFill="1" applyBorder="1">
      <alignment horizontal="center" vertical="center" wrapText="1"/>
    </xf>
    <xf numFmtId="0" fontId="34" fillId="74" borderId="136" xfId="0" applyFont="1" applyFill="1" applyBorder="1"/>
    <xf numFmtId="0" fontId="34" fillId="74" borderId="136" xfId="0" applyFont="1" applyFill="1" applyBorder="1" applyAlignment="1">
      <alignment vertical="center"/>
    </xf>
    <xf numFmtId="2" fontId="39" fillId="75" borderId="136" xfId="3" applyNumberFormat="1" applyFont="1" applyFill="1" applyBorder="1">
      <alignment horizontal="center" vertical="center" wrapText="1"/>
    </xf>
    <xf numFmtId="0" fontId="34" fillId="0" borderId="136" xfId="0" applyFont="1" applyBorder="1" applyAlignment="1">
      <alignment vertical="center"/>
    </xf>
    <xf numFmtId="3" fontId="39" fillId="75" borderId="136" xfId="3" applyNumberFormat="1" applyFont="1" applyFill="1" applyBorder="1">
      <alignment horizontal="center" vertical="center" wrapText="1"/>
    </xf>
    <xf numFmtId="0" fontId="34" fillId="74" borderId="136" xfId="0" applyFont="1" applyFill="1" applyBorder="1" applyAlignment="1">
      <alignment vertical="center" wrapText="1"/>
    </xf>
    <xf numFmtId="0" fontId="34" fillId="74" borderId="137" xfId="0" applyFont="1" applyFill="1" applyBorder="1"/>
    <xf numFmtId="0" fontId="34" fillId="74" borderId="137" xfId="0" applyFont="1" applyFill="1" applyBorder="1" applyAlignment="1">
      <alignment horizontal="center" vertical="center"/>
    </xf>
    <xf numFmtId="0" fontId="39" fillId="75" borderId="137" xfId="3" applyNumberFormat="1" applyFont="1" applyFill="1" applyBorder="1">
      <alignment horizontal="center" vertical="center" wrapText="1"/>
    </xf>
    <xf numFmtId="0" fontId="39" fillId="75" borderId="136" xfId="3" applyNumberFormat="1" applyFont="1" applyFill="1" applyBorder="1">
      <alignment horizontal="center" vertical="center" wrapText="1"/>
    </xf>
    <xf numFmtId="224" fontId="34" fillId="74" borderId="136" xfId="4241" applyFont="1" applyFill="1" applyBorder="1"/>
    <xf numFmtId="221" fontId="39" fillId="75" borderId="135" xfId="3" applyNumberFormat="1" applyFont="1" applyFill="1" applyBorder="1">
      <alignment horizontal="center" vertical="center" wrapText="1"/>
    </xf>
    <xf numFmtId="224" fontId="34" fillId="74" borderId="133" xfId="4241" applyFont="1" applyFill="1" applyBorder="1"/>
    <xf numFmtId="0" fontId="34" fillId="74" borderId="128" xfId="0" applyFont="1" applyFill="1" applyBorder="1" applyAlignment="1">
      <alignment horizontal="center"/>
    </xf>
    <xf numFmtId="9" fontId="39" fillId="75" borderId="133" xfId="3" applyNumberFormat="1" applyFont="1" applyFill="1" applyBorder="1">
      <alignment horizontal="center" vertical="center" wrapText="1"/>
    </xf>
    <xf numFmtId="9" fontId="39" fillId="75" borderId="137" xfId="1" applyFont="1" applyFill="1" applyBorder="1" applyAlignment="1">
      <alignment horizontal="center"/>
    </xf>
    <xf numFmtId="10" fontId="34" fillId="74" borderId="138" xfId="1" applyNumberFormat="1" applyFont="1" applyFill="1" applyBorder="1" applyAlignment="1">
      <alignment vertical="center"/>
    </xf>
    <xf numFmtId="9" fontId="39" fillId="75" borderId="136" xfId="3" applyNumberFormat="1" applyFont="1" applyFill="1" applyBorder="1">
      <alignment horizontal="center" vertical="center" wrapText="1"/>
    </xf>
    <xf numFmtId="0" fontId="34" fillId="74" borderId="122" xfId="0" applyFont="1" applyFill="1" applyBorder="1" applyAlignment="1">
      <alignment vertical="center"/>
    </xf>
    <xf numFmtId="43" fontId="34" fillId="74" borderId="135" xfId="5254" applyFont="1" applyFill="1" applyBorder="1" applyAlignment="1">
      <alignment horizontal="center"/>
    </xf>
    <xf numFmtId="1" fontId="39" fillId="75" borderId="136" xfId="5254" applyNumberFormat="1" applyFont="1" applyFill="1" applyBorder="1" applyAlignment="1">
      <alignment horizontal="center"/>
    </xf>
    <xf numFmtId="43" fontId="34" fillId="74" borderId="125" xfId="5254" applyFont="1" applyFill="1" applyBorder="1" applyAlignment="1">
      <alignment horizontal="center"/>
    </xf>
    <xf numFmtId="0" fontId="34" fillId="74" borderId="132" xfId="0" applyFont="1" applyFill="1" applyBorder="1" applyAlignment="1">
      <alignment vertical="center"/>
    </xf>
    <xf numFmtId="0" fontId="336" fillId="72" borderId="125" xfId="0" applyFont="1" applyFill="1" applyBorder="1" applyAlignment="1">
      <alignment wrapText="1"/>
    </xf>
    <xf numFmtId="0" fontId="337" fillId="72" borderId="132" xfId="0" applyFont="1" applyFill="1" applyBorder="1"/>
    <xf numFmtId="2" fontId="39" fillId="75" borderId="136" xfId="0" applyNumberFormat="1" applyFont="1" applyFill="1" applyBorder="1" applyAlignment="1">
      <alignment horizontal="center"/>
    </xf>
    <xf numFmtId="0" fontId="34" fillId="74" borderId="125" xfId="0" applyFont="1" applyFill="1" applyBorder="1" applyAlignment="1">
      <alignment wrapText="1"/>
    </xf>
    <xf numFmtId="221" fontId="39" fillId="75" borderId="133" xfId="1" applyNumberFormat="1" applyFont="1" applyFill="1" applyBorder="1" applyAlignment="1">
      <alignment horizontal="center"/>
    </xf>
    <xf numFmtId="10" fontId="34" fillId="74" borderId="132" xfId="1" applyNumberFormat="1" applyFont="1" applyFill="1" applyBorder="1"/>
    <xf numFmtId="177" fontId="39" fillId="75" borderId="0" xfId="5254" applyNumberFormat="1" applyFont="1" applyFill="1" applyBorder="1" applyAlignment="1">
      <alignment horizontal="center"/>
    </xf>
    <xf numFmtId="177" fontId="39" fillId="75" borderId="0" xfId="0" applyNumberFormat="1" applyFont="1" applyFill="1" applyAlignment="1">
      <alignment horizontal="center"/>
    </xf>
    <xf numFmtId="0" fontId="0" fillId="0" borderId="137" xfId="0" applyBorder="1" applyAlignment="1">
      <alignment horizontal="center" vertical="center"/>
    </xf>
    <xf numFmtId="1" fontId="39" fillId="75" borderId="137" xfId="0" applyNumberFormat="1" applyFont="1" applyFill="1" applyBorder="1" applyAlignment="1">
      <alignment horizontal="center" vertical="center"/>
    </xf>
    <xf numFmtId="0" fontId="34" fillId="0" borderId="136" xfId="0" applyFont="1" applyBorder="1"/>
    <xf numFmtId="0" fontId="0" fillId="0" borderId="136" xfId="0" applyBorder="1" applyAlignment="1">
      <alignment horizontal="center" vertical="center"/>
    </xf>
    <xf numFmtId="0" fontId="0" fillId="0" borderId="136" xfId="0" applyBorder="1" applyAlignment="1">
      <alignment horizontal="center"/>
    </xf>
    <xf numFmtId="2" fontId="0" fillId="0" borderId="136" xfId="7" applyNumberFormat="1" applyFont="1" applyBorder="1">
      <alignment horizontal="center" vertical="center" wrapText="1"/>
    </xf>
    <xf numFmtId="2" fontId="0" fillId="0" borderId="136" xfId="0" applyNumberFormat="1" applyBorder="1" applyAlignment="1">
      <alignment horizontal="center" vertical="center"/>
    </xf>
    <xf numFmtId="3" fontId="39" fillId="75" borderId="136" xfId="0" applyNumberFormat="1" applyFont="1" applyFill="1" applyBorder="1" applyAlignment="1">
      <alignment horizontal="center" vertical="center"/>
    </xf>
    <xf numFmtId="0" fontId="0" fillId="0" borderId="133" xfId="0" applyBorder="1" applyAlignment="1">
      <alignment horizontal="center" vertical="center"/>
    </xf>
    <xf numFmtId="0" fontId="378" fillId="0" borderId="127" xfId="0" applyFont="1" applyBorder="1" applyAlignment="1" applyProtection="1">
      <alignment vertical="center"/>
      <protection hidden="1"/>
    </xf>
    <xf numFmtId="0" fontId="35" fillId="0" borderId="130" xfId="0" applyFont="1" applyBorder="1" applyAlignment="1" applyProtection="1">
      <alignment horizontal="left" vertical="center"/>
      <protection hidden="1"/>
    </xf>
    <xf numFmtId="0" fontId="34" fillId="0" borderId="130" xfId="0" applyFont="1" applyBorder="1" applyAlignment="1" applyProtection="1">
      <alignment vertical="center"/>
      <protection hidden="1"/>
    </xf>
    <xf numFmtId="350" fontId="34" fillId="0" borderId="138" xfId="2785" applyNumberFormat="1" applyFont="1" applyBorder="1" applyAlignment="1" applyProtection="1">
      <alignment horizontal="center" vertical="center"/>
      <protection hidden="1"/>
    </xf>
    <xf numFmtId="0" fontId="378" fillId="0" borderId="135" xfId="0" applyFont="1" applyBorder="1" applyAlignment="1" applyProtection="1">
      <alignment vertical="center"/>
      <protection hidden="1"/>
    </xf>
    <xf numFmtId="350" fontId="34" fillId="0" borderId="122" xfId="2785" applyNumberFormat="1" applyFont="1" applyBorder="1" applyAlignment="1" applyProtection="1">
      <alignment horizontal="center" vertical="center"/>
      <protection hidden="1"/>
    </xf>
    <xf numFmtId="350" fontId="0" fillId="0" borderId="122" xfId="2785" applyNumberFormat="1" applyFont="1" applyBorder="1" applyAlignment="1" applyProtection="1">
      <alignment horizontal="center" vertical="center"/>
      <protection hidden="1"/>
    </xf>
    <xf numFmtId="0" fontId="378" fillId="0" borderId="125" xfId="0" applyFont="1" applyBorder="1" applyAlignment="1" applyProtection="1">
      <alignment vertical="center"/>
      <protection hidden="1"/>
    </xf>
    <xf numFmtId="359" fontId="0" fillId="0" borderId="122" xfId="2785" applyNumberFormat="1" applyFont="1" applyBorder="1" applyAlignment="1" applyProtection="1">
      <alignment horizontal="center" vertical="center"/>
      <protection hidden="1"/>
    </xf>
    <xf numFmtId="0" fontId="34" fillId="74" borderId="127" xfId="0" applyFont="1" applyFill="1" applyBorder="1"/>
    <xf numFmtId="0" fontId="35" fillId="11" borderId="126" xfId="0" applyFont="1" applyFill="1" applyBorder="1" applyAlignment="1" applyProtection="1">
      <alignment horizontal="left" vertical="center"/>
      <protection hidden="1"/>
    </xf>
    <xf numFmtId="0" fontId="35" fillId="74" borderId="130" xfId="0" applyFont="1" applyFill="1" applyBorder="1" applyAlignment="1">
      <alignment vertical="center"/>
    </xf>
    <xf numFmtId="0" fontId="0" fillId="74" borderId="130" xfId="0" applyFill="1" applyBorder="1" applyAlignment="1">
      <alignment vertical="center"/>
    </xf>
    <xf numFmtId="0" fontId="34" fillId="74" borderId="138" xfId="0" applyFont="1" applyFill="1" applyBorder="1" applyAlignment="1">
      <alignment vertical="center"/>
    </xf>
    <xf numFmtId="0" fontId="35" fillId="74" borderId="128" xfId="0" applyFont="1" applyFill="1" applyBorder="1" applyAlignment="1">
      <alignment vertical="center"/>
    </xf>
    <xf numFmtId="0" fontId="0" fillId="74" borderId="128" xfId="0" applyFill="1" applyBorder="1" applyAlignment="1">
      <alignment vertical="center"/>
    </xf>
    <xf numFmtId="350" fontId="35" fillId="74" borderId="132" xfId="194" applyNumberFormat="1" applyFont="1" applyFill="1" applyBorder="1">
      <alignment horizontal="center" vertical="center" wrapText="1"/>
    </xf>
    <xf numFmtId="0" fontId="35" fillId="74" borderId="122" xfId="194" applyFont="1" applyFill="1" applyBorder="1">
      <alignment horizontal="center" vertical="center" wrapText="1"/>
    </xf>
    <xf numFmtId="0" fontId="34" fillId="74" borderId="0" xfId="0" applyFont="1" applyFill="1" applyAlignment="1">
      <alignment vertical="center"/>
    </xf>
    <xf numFmtId="350" fontId="35" fillId="74" borderId="122" xfId="194" applyNumberFormat="1" applyFont="1" applyFill="1" applyBorder="1">
      <alignment horizontal="center" vertical="center" wrapText="1"/>
    </xf>
    <xf numFmtId="350" fontId="0" fillId="0" borderId="128" xfId="2785" applyNumberFormat="1" applyFont="1" applyBorder="1" applyAlignment="1" applyProtection="1">
      <alignment horizontal="center" vertical="center"/>
      <protection hidden="1"/>
    </xf>
    <xf numFmtId="0" fontId="35" fillId="105" borderId="124" xfId="0" applyFont="1" applyFill="1" applyBorder="1" applyAlignment="1" applyProtection="1">
      <alignment horizontal="center" vertical="center"/>
      <protection hidden="1"/>
    </xf>
    <xf numFmtId="0" fontId="412" fillId="0" borderId="124" xfId="0" applyFont="1" applyBorder="1" applyAlignment="1">
      <alignment horizontal="left" wrapText="1"/>
    </xf>
    <xf numFmtId="0" fontId="412" fillId="0" borderId="124" xfId="0" applyFont="1" applyBorder="1" applyAlignment="1">
      <alignment horizontal="center"/>
    </xf>
    <xf numFmtId="0" fontId="413" fillId="0" borderId="124" xfId="0" applyFont="1" applyBorder="1" applyAlignment="1">
      <alignment horizontal="left" wrapText="1"/>
    </xf>
    <xf numFmtId="0" fontId="413" fillId="0" borderId="124" xfId="0" applyFont="1" applyBorder="1" applyAlignment="1">
      <alignment horizontal="center"/>
    </xf>
    <xf numFmtId="171" fontId="41" fillId="0" borderId="0" xfId="0" applyNumberFormat="1" applyFont="1" applyAlignment="1">
      <alignment horizontal="left"/>
    </xf>
    <xf numFmtId="0" fontId="0" fillId="0" borderId="124" xfId="0" applyBorder="1" applyAlignment="1">
      <alignment horizontal="center" vertical="center"/>
    </xf>
    <xf numFmtId="171" fontId="403" fillId="83" borderId="0" xfId="0" applyNumberFormat="1" applyFont="1" applyFill="1" applyAlignment="1">
      <alignment horizontal="center" vertical="center"/>
    </xf>
    <xf numFmtId="350" fontId="34" fillId="0" borderId="0" xfId="2785" applyNumberFormat="1" applyFont="1" applyBorder="1" applyAlignment="1" applyProtection="1">
      <alignment horizontal="center" vertical="center"/>
      <protection hidden="1"/>
    </xf>
    <xf numFmtId="9" fontId="34" fillId="0" borderId="122" xfId="1" applyFont="1" applyBorder="1" applyAlignment="1">
      <alignment horizontal="center" vertical="center"/>
    </xf>
    <xf numFmtId="0" fontId="35" fillId="93" borderId="125" xfId="0" applyFont="1" applyFill="1" applyBorder="1" applyAlignment="1" applyProtection="1">
      <alignment horizontal="left" vertical="center"/>
      <protection hidden="1"/>
    </xf>
    <xf numFmtId="0" fontId="35" fillId="76" borderId="127" xfId="0" applyFont="1" applyFill="1" applyBorder="1" applyAlignment="1" applyProtection="1">
      <alignment vertical="center"/>
      <protection hidden="1"/>
    </xf>
    <xf numFmtId="0" fontId="35" fillId="76" borderId="130" xfId="0" applyFont="1" applyFill="1" applyBorder="1" applyAlignment="1" applyProtection="1">
      <alignment vertical="center"/>
      <protection hidden="1"/>
    </xf>
    <xf numFmtId="350" fontId="35" fillId="76" borderId="130" xfId="0" applyNumberFormat="1" applyFont="1" applyFill="1" applyBorder="1" applyAlignment="1" applyProtection="1">
      <alignment horizontal="center" vertical="center"/>
      <protection hidden="1"/>
    </xf>
    <xf numFmtId="350" fontId="35" fillId="76" borderId="138" xfId="0" applyNumberFormat="1" applyFont="1" applyFill="1" applyBorder="1" applyAlignment="1" applyProtection="1">
      <alignment horizontal="center" vertical="center"/>
      <protection hidden="1"/>
    </xf>
    <xf numFmtId="0" fontId="0" fillId="0" borderId="0" xfId="0" applyAlignment="1" applyProtection="1">
      <alignment horizontal="left" vertical="center"/>
      <protection hidden="1"/>
    </xf>
    <xf numFmtId="0" fontId="0" fillId="74" borderId="0" xfId="0" applyFill="1" applyAlignment="1">
      <alignment vertical="center"/>
    </xf>
    <xf numFmtId="0" fontId="35" fillId="74" borderId="0" xfId="0" applyFont="1" applyFill="1" applyAlignment="1">
      <alignment vertical="center"/>
    </xf>
    <xf numFmtId="0" fontId="33" fillId="74" borderId="0" xfId="0" applyFont="1" applyFill="1"/>
    <xf numFmtId="0" fontId="33" fillId="79" borderId="0" xfId="0" applyFont="1" applyFill="1" applyAlignment="1" applyProtection="1">
      <alignment vertical="center"/>
      <protection hidden="1"/>
    </xf>
    <xf numFmtId="0" fontId="34" fillId="79" borderId="0" xfId="0" applyFont="1" applyFill="1"/>
    <xf numFmtId="0" fontId="35" fillId="79" borderId="0" xfId="0" applyFont="1" applyFill="1" applyAlignment="1" applyProtection="1">
      <alignment vertical="center"/>
      <protection hidden="1"/>
    </xf>
    <xf numFmtId="350" fontId="35" fillId="79" borderId="0" xfId="0" applyNumberFormat="1" applyFont="1" applyFill="1" applyAlignment="1" applyProtection="1">
      <alignment horizontal="center" vertical="center"/>
      <protection hidden="1"/>
    </xf>
    <xf numFmtId="9" fontId="0" fillId="79" borderId="0" xfId="5" applyFont="1" applyFill="1" applyBorder="1" applyAlignment="1">
      <alignment horizontal="center"/>
    </xf>
    <xf numFmtId="0" fontId="33" fillId="104" borderId="0" xfId="5343" applyFont="1" applyFill="1"/>
    <xf numFmtId="221" fontId="33" fillId="104" borderId="122" xfId="5341" applyNumberFormat="1" applyFont="1" applyFill="1" applyBorder="1"/>
    <xf numFmtId="0" fontId="33" fillId="104" borderId="128" xfId="5343" applyFont="1" applyFill="1" applyBorder="1"/>
    <xf numFmtId="173" fontId="33" fillId="104" borderId="132" xfId="5344" applyNumberFormat="1" applyFont="1" applyFill="1" applyBorder="1"/>
    <xf numFmtId="0" fontId="35" fillId="104" borderId="135" xfId="0" applyFont="1" applyFill="1" applyBorder="1" applyAlignment="1" applyProtection="1">
      <alignment horizontal="center" vertical="center"/>
      <protection hidden="1"/>
    </xf>
    <xf numFmtId="0" fontId="35" fillId="104" borderId="125" xfId="0" applyFont="1" applyFill="1" applyBorder="1" applyAlignment="1" applyProtection="1">
      <alignment horizontal="center" vertical="center"/>
      <protection hidden="1"/>
    </xf>
    <xf numFmtId="0" fontId="35" fillId="104" borderId="0" xfId="0" applyFont="1" applyFill="1"/>
    <xf numFmtId="0" fontId="35" fillId="104" borderId="128" xfId="0" applyFont="1" applyFill="1" applyBorder="1"/>
    <xf numFmtId="173" fontId="33" fillId="104" borderId="122" xfId="5344" applyNumberFormat="1" applyFont="1" applyFill="1" applyBorder="1"/>
    <xf numFmtId="0" fontId="0" fillId="0" borderId="124" xfId="0" applyBorder="1" applyAlignment="1">
      <alignment horizontal="center"/>
    </xf>
    <xf numFmtId="43" fontId="0" fillId="0" borderId="124" xfId="5254" applyFont="1" applyBorder="1" applyAlignment="1">
      <alignment horizontal="center"/>
    </xf>
    <xf numFmtId="0" fontId="379" fillId="0" borderId="124" xfId="0" applyFont="1" applyBorder="1" applyAlignment="1">
      <alignment horizontal="center"/>
    </xf>
    <xf numFmtId="43" fontId="379" fillId="0" borderId="124" xfId="5254" applyFont="1" applyBorder="1" applyAlignment="1">
      <alignment horizontal="center"/>
    </xf>
    <xf numFmtId="0" fontId="39" fillId="77" borderId="0" xfId="0" applyFont="1" applyFill="1"/>
    <xf numFmtId="43" fontId="408" fillId="0" borderId="0" xfId="5272" applyFont="1" applyAlignment="1">
      <alignment horizontal="center" vertical="center"/>
    </xf>
    <xf numFmtId="224" fontId="0" fillId="74" borderId="136" xfId="4241" applyFont="1" applyFill="1" applyBorder="1" applyAlignment="1">
      <alignment horizontal="center" vertical="center"/>
    </xf>
    <xf numFmtId="224" fontId="0" fillId="74" borderId="136" xfId="4241" applyFont="1" applyFill="1" applyBorder="1" applyAlignment="1">
      <alignment vertical="center"/>
    </xf>
    <xf numFmtId="43" fontId="35" fillId="0" borderId="0" xfId="2785" applyFont="1"/>
    <xf numFmtId="43" fontId="0" fillId="0" borderId="0" xfId="2785" applyFont="1"/>
    <xf numFmtId="0" fontId="368" fillId="77" borderId="0" xfId="0" applyFont="1" applyFill="1"/>
    <xf numFmtId="0" fontId="1" fillId="0" borderId="0" xfId="5284" applyFont="1"/>
    <xf numFmtId="355" fontId="1" fillId="0" borderId="0" xfId="5284" applyNumberFormat="1" applyFont="1"/>
    <xf numFmtId="0" fontId="1" fillId="74" borderId="3" xfId="5284" applyFont="1" applyFill="1" applyBorder="1"/>
    <xf numFmtId="0" fontId="1" fillId="74" borderId="90" xfId="5284" applyFont="1" applyFill="1" applyBorder="1"/>
    <xf numFmtId="355" fontId="1" fillId="74" borderId="90" xfId="5284" applyNumberFormat="1" applyFont="1" applyFill="1" applyBorder="1"/>
    <xf numFmtId="0" fontId="1" fillId="74" borderId="91" xfId="5284" applyFont="1" applyFill="1" applyBorder="1"/>
    <xf numFmtId="0" fontId="1" fillId="74" borderId="2" xfId="5284" applyFont="1" applyFill="1" applyBorder="1"/>
    <xf numFmtId="0" fontId="1" fillId="74" borderId="0" xfId="5284" applyFont="1" applyFill="1"/>
    <xf numFmtId="355" fontId="1" fillId="74" borderId="0" xfId="5284" applyNumberFormat="1" applyFont="1" applyFill="1"/>
    <xf numFmtId="0" fontId="1" fillId="74" borderId="92" xfId="5284" applyFont="1" applyFill="1" applyBorder="1"/>
    <xf numFmtId="0" fontId="1" fillId="74" borderId="93" xfId="5284" applyFont="1" applyFill="1" applyBorder="1"/>
    <xf numFmtId="0" fontId="1" fillId="74" borderId="22" xfId="5284" applyFont="1" applyFill="1" applyBorder="1"/>
    <xf numFmtId="355" fontId="1" fillId="74" borderId="22" xfId="5284" applyNumberFormat="1" applyFont="1" applyFill="1" applyBorder="1"/>
    <xf numFmtId="0" fontId="1" fillId="74" borderId="81" xfId="5284" applyFont="1" applyFill="1" applyBorder="1"/>
    <xf numFmtId="0" fontId="1" fillId="74" borderId="2" xfId="5284" applyFont="1" applyFill="1" applyBorder="1" applyAlignment="1">
      <alignment horizontal="left" vertical="center"/>
    </xf>
    <xf numFmtId="0" fontId="1" fillId="74" borderId="0" xfId="5284" applyFont="1" applyFill="1" applyAlignment="1">
      <alignment vertical="center"/>
    </xf>
    <xf numFmtId="0" fontId="336" fillId="72" borderId="127" xfId="0" applyFont="1" applyFill="1" applyBorder="1" applyAlignment="1">
      <alignment wrapText="1"/>
    </xf>
    <xf numFmtId="0" fontId="336" fillId="72" borderId="130" xfId="0" applyFont="1" applyFill="1" applyBorder="1"/>
    <xf numFmtId="0" fontId="337" fillId="72" borderId="130" xfId="0" applyFont="1" applyFill="1" applyBorder="1"/>
    <xf numFmtId="0" fontId="337" fillId="72" borderId="130" xfId="0" applyFont="1" applyFill="1" applyBorder="1" applyAlignment="1">
      <alignment horizontal="center" vertical="center"/>
    </xf>
    <xf numFmtId="2" fontId="337" fillId="72" borderId="130" xfId="3" applyNumberFormat="1" applyFont="1" applyFill="1" applyBorder="1">
      <alignment horizontal="center" vertical="center" wrapText="1"/>
    </xf>
    <xf numFmtId="0" fontId="35" fillId="76" borderId="126" xfId="6" applyFont="1" applyFill="1" applyBorder="1" applyAlignment="1">
      <alignment horizontal="center" vertical="center" wrapText="1"/>
    </xf>
    <xf numFmtId="0" fontId="35" fillId="76" borderId="126" xfId="194" applyFont="1" applyFill="1" applyBorder="1">
      <alignment horizontal="center" vertical="center" wrapText="1"/>
    </xf>
    <xf numFmtId="49" fontId="34" fillId="74" borderId="127" xfId="0" applyNumberFormat="1" applyFont="1" applyFill="1" applyBorder="1" applyAlignment="1" applyProtection="1">
      <alignment horizontal="center" vertical="center"/>
      <protection hidden="1"/>
    </xf>
    <xf numFmtId="3" fontId="39" fillId="75" borderId="130" xfId="194" applyNumberFormat="1" applyFont="1" applyFill="1" applyBorder="1">
      <alignment horizontal="center" vertical="center" wrapText="1"/>
    </xf>
    <xf numFmtId="0" fontId="35" fillId="76" borderId="127" xfId="194" applyFont="1" applyFill="1" applyBorder="1">
      <alignment horizontal="center" vertical="center" wrapText="1"/>
    </xf>
    <xf numFmtId="0" fontId="34" fillId="74" borderId="127" xfId="0" applyFont="1" applyFill="1" applyBorder="1" applyAlignment="1" applyProtection="1">
      <alignment vertical="center" wrapText="1"/>
      <protection hidden="1"/>
    </xf>
    <xf numFmtId="171" fontId="39" fillId="75" borderId="127" xfId="1" applyNumberFormat="1" applyFont="1" applyFill="1" applyBorder="1" applyAlignment="1">
      <alignment horizontal="center" vertical="center" wrapText="1"/>
    </xf>
    <xf numFmtId="0" fontId="35" fillId="76" borderId="124" xfId="0" applyFont="1" applyFill="1" applyBorder="1" applyAlignment="1">
      <alignment horizontal="left" vertical="center"/>
    </xf>
    <xf numFmtId="0" fontId="35" fillId="76" borderId="124" xfId="0" applyFont="1" applyFill="1" applyBorder="1" applyAlignment="1">
      <alignment horizontal="center" vertical="center" wrapText="1"/>
    </xf>
    <xf numFmtId="0" fontId="34" fillId="74" borderId="124" xfId="0" applyFont="1" applyFill="1" applyBorder="1"/>
    <xf numFmtId="0" fontId="34" fillId="74" borderId="124" xfId="0" applyFont="1" applyFill="1" applyBorder="1" applyAlignment="1">
      <alignment horizontal="center"/>
    </xf>
    <xf numFmtId="0" fontId="34" fillId="74" borderId="124" xfId="0" applyFont="1" applyFill="1" applyBorder="1" applyAlignment="1">
      <alignment horizontal="left"/>
    </xf>
    <xf numFmtId="350" fontId="34" fillId="74" borderId="124" xfId="0" applyNumberFormat="1" applyFont="1" applyFill="1" applyBorder="1" applyAlignment="1">
      <alignment horizontal="center"/>
    </xf>
    <xf numFmtId="350" fontId="0" fillId="74" borderId="124" xfId="0" applyNumberFormat="1" applyFill="1" applyBorder="1" applyAlignment="1">
      <alignment horizontal="center"/>
    </xf>
    <xf numFmtId="0" fontId="34" fillId="74" borderId="124" xfId="0" applyFont="1" applyFill="1" applyBorder="1" applyAlignment="1">
      <alignment wrapText="1"/>
    </xf>
    <xf numFmtId="0" fontId="0" fillId="74" borderId="124" xfId="0" applyFill="1" applyBorder="1" applyAlignment="1">
      <alignment horizontal="center"/>
    </xf>
    <xf numFmtId="0" fontId="336" fillId="72" borderId="127" xfId="0" applyFont="1" applyFill="1" applyBorder="1"/>
    <xf numFmtId="0" fontId="337" fillId="72" borderId="130" xfId="0" applyFont="1" applyFill="1" applyBorder="1" applyAlignment="1">
      <alignment horizontal="center"/>
    </xf>
    <xf numFmtId="0" fontId="34" fillId="74" borderId="127" xfId="0" applyFont="1" applyFill="1" applyBorder="1" applyAlignment="1" applyProtection="1">
      <alignment vertical="center"/>
      <protection hidden="1"/>
    </xf>
    <xf numFmtId="9" fontId="39" fillId="75" borderId="130" xfId="0" applyNumberFormat="1" applyFont="1" applyFill="1" applyBorder="1" applyAlignment="1" applyProtection="1">
      <alignment horizontal="center" vertical="center"/>
      <protection locked="0"/>
    </xf>
    <xf numFmtId="0" fontId="35" fillId="76" borderId="124" xfId="5303" applyFont="1" applyFill="1" applyBorder="1">
      <alignment horizontal="center" vertical="center" wrapText="1"/>
    </xf>
    <xf numFmtId="0" fontId="34" fillId="76" borderId="124" xfId="0" applyFont="1" applyFill="1" applyBorder="1" applyAlignment="1">
      <alignment horizontal="center"/>
    </xf>
    <xf numFmtId="0" fontId="35" fillId="76" borderId="127" xfId="0" applyFont="1" applyFill="1" applyBorder="1" applyAlignment="1" applyProtection="1">
      <alignment horizontal="center" vertical="center"/>
      <protection hidden="1"/>
    </xf>
    <xf numFmtId="0" fontId="35" fillId="76" borderId="130" xfId="194" applyFont="1" applyFill="1" applyBorder="1">
      <alignment horizontal="center" vertical="center" wrapText="1"/>
    </xf>
    <xf numFmtId="0" fontId="34" fillId="74" borderId="127" xfId="0" applyFont="1" applyFill="1" applyBorder="1" applyAlignment="1">
      <alignment wrapText="1"/>
    </xf>
    <xf numFmtId="0" fontId="34" fillId="74" borderId="127" xfId="0" applyFont="1" applyFill="1" applyBorder="1" applyAlignment="1">
      <alignment horizontal="center"/>
    </xf>
    <xf numFmtId="0" fontId="35" fillId="76" borderId="126" xfId="0" applyFont="1" applyFill="1" applyBorder="1" applyAlignment="1" applyProtection="1">
      <alignment vertical="center"/>
      <protection hidden="1"/>
    </xf>
    <xf numFmtId="0" fontId="35" fillId="76" borderId="124" xfId="0" applyFont="1" applyFill="1" applyBorder="1" applyAlignment="1" applyProtection="1">
      <alignment horizontal="center" vertical="center"/>
      <protection hidden="1"/>
    </xf>
    <xf numFmtId="0" fontId="35" fillId="76" borderId="129" xfId="194" applyFont="1" applyFill="1" applyBorder="1">
      <alignment horizontal="center" vertical="center" wrapText="1"/>
    </xf>
    <xf numFmtId="0" fontId="35" fillId="76" borderId="126" xfId="0" applyFont="1" applyFill="1" applyBorder="1" applyAlignment="1" applyProtection="1">
      <alignment horizontal="center" vertical="center"/>
      <protection hidden="1"/>
    </xf>
    <xf numFmtId="0" fontId="35" fillId="76" borderId="123" xfId="194" applyFont="1" applyFill="1" applyBorder="1">
      <alignment horizontal="center" vertical="center" wrapText="1"/>
    </xf>
    <xf numFmtId="0" fontId="34" fillId="74" borderId="126" xfId="0" applyFont="1" applyFill="1" applyBorder="1"/>
    <xf numFmtId="171" fontId="34" fillId="0" borderId="123" xfId="0" applyNumberFormat="1" applyFont="1" applyBorder="1" applyAlignment="1">
      <alignment horizontal="center"/>
    </xf>
    <xf numFmtId="0" fontId="35" fillId="2" borderId="137" xfId="5329" applyFont="1" applyFill="1" applyBorder="1" applyAlignment="1">
      <alignment horizontal="left" vertical="center" wrapText="1"/>
    </xf>
    <xf numFmtId="0" fontId="35" fillId="2" borderId="137" xfId="5329" applyFont="1" applyFill="1" applyBorder="1">
      <alignment horizontal="center" vertical="center" wrapText="1"/>
    </xf>
    <xf numFmtId="0" fontId="0" fillId="0" borderId="137" xfId="0" applyBorder="1" applyAlignment="1">
      <alignment horizontal="left" indent="2"/>
    </xf>
    <xf numFmtId="0" fontId="0" fillId="0" borderId="137" xfId="0" applyBorder="1" applyAlignment="1">
      <alignment horizontal="center"/>
    </xf>
    <xf numFmtId="0" fontId="39" fillId="75" borderId="137" xfId="0" applyFont="1" applyFill="1" applyBorder="1" applyAlignment="1">
      <alignment horizontal="center"/>
    </xf>
    <xf numFmtId="0" fontId="0" fillId="0" borderId="136" xfId="0" applyBorder="1" applyAlignment="1">
      <alignment horizontal="left" indent="2"/>
    </xf>
    <xf numFmtId="2" fontId="0" fillId="0" borderId="136" xfId="0" applyNumberFormat="1" applyBorder="1" applyAlignment="1">
      <alignment horizontal="center"/>
    </xf>
    <xf numFmtId="3" fontId="39" fillId="75" borderId="136" xfId="0" applyNumberFormat="1" applyFont="1" applyFill="1" applyBorder="1" applyAlignment="1">
      <alignment horizontal="center"/>
    </xf>
    <xf numFmtId="9" fontId="39" fillId="75" borderId="136" xfId="0" applyNumberFormat="1" applyFont="1" applyFill="1" applyBorder="1" applyAlignment="1">
      <alignment horizontal="center"/>
    </xf>
    <xf numFmtId="0" fontId="0" fillId="0" borderId="133" xfId="0" applyBorder="1" applyAlignment="1">
      <alignment horizontal="left" indent="2"/>
    </xf>
    <xf numFmtId="0" fontId="0" fillId="0" borderId="133" xfId="0" applyBorder="1" applyAlignment="1">
      <alignment horizontal="center"/>
    </xf>
    <xf numFmtId="2" fontId="0" fillId="0" borderId="133" xfId="2785" applyNumberFormat="1" applyFont="1" applyBorder="1" applyAlignment="1">
      <alignment horizontal="center" vertical="center" wrapText="1"/>
    </xf>
    <xf numFmtId="0" fontId="35" fillId="93" borderId="126" xfId="2" applyFont="1" applyFill="1" applyBorder="1" applyAlignment="1">
      <alignment horizontal="left"/>
    </xf>
    <xf numFmtId="0" fontId="35" fillId="93" borderId="126" xfId="2" applyFont="1" applyFill="1" applyBorder="1" applyAlignment="1">
      <alignment horizontal="center" vertical="center"/>
    </xf>
    <xf numFmtId="350" fontId="35" fillId="93" borderId="123" xfId="5329" applyNumberFormat="1" applyFont="1" applyFill="1" applyBorder="1">
      <alignment horizontal="center" vertical="center" wrapText="1"/>
    </xf>
    <xf numFmtId="350" fontId="35" fillId="93" borderId="123" xfId="5329" quotePrefix="1" applyNumberFormat="1" applyFont="1" applyFill="1" applyBorder="1">
      <alignment horizontal="center" vertical="center" wrapText="1"/>
    </xf>
    <xf numFmtId="350" fontId="35" fillId="6" borderId="123" xfId="5329" quotePrefix="1" applyNumberFormat="1" applyFont="1" applyBorder="1">
      <alignment horizontal="center" vertical="center" wrapText="1"/>
    </xf>
    <xf numFmtId="2" fontId="35" fillId="0" borderId="124" xfId="2" applyNumberFormat="1" applyFont="1" applyBorder="1" applyAlignment="1">
      <alignment horizontal="left" indent="1"/>
    </xf>
    <xf numFmtId="175" fontId="34" fillId="0" borderId="127" xfId="2" applyNumberFormat="1" applyFont="1" applyBorder="1" applyAlignment="1">
      <alignment horizontal="center" vertical="center"/>
    </xf>
    <xf numFmtId="175" fontId="34" fillId="0" borderId="137" xfId="2" applyNumberFormat="1" applyFont="1" applyBorder="1" applyAlignment="1">
      <alignment horizontal="center"/>
    </xf>
    <xf numFmtId="175" fontId="335" fillId="0" borderId="130" xfId="2" applyNumberFormat="1" applyFont="1" applyBorder="1" applyAlignment="1">
      <alignment horizontal="center"/>
    </xf>
    <xf numFmtId="177" fontId="39" fillId="75" borderId="126" xfId="0" applyNumberFormat="1" applyFont="1" applyFill="1" applyBorder="1" applyAlignment="1">
      <alignment horizontal="center"/>
    </xf>
    <xf numFmtId="177" fontId="39" fillId="75" borderId="123" xfId="0" applyNumberFormat="1" applyFont="1" applyFill="1" applyBorder="1" applyAlignment="1">
      <alignment horizontal="center"/>
    </xf>
    <xf numFmtId="2" fontId="34" fillId="0" borderId="124" xfId="2" applyNumberFormat="1" applyFont="1" applyBorder="1" applyAlignment="1">
      <alignment horizontal="right" indent="1"/>
    </xf>
    <xf numFmtId="0" fontId="358" fillId="74" borderId="123" xfId="0" applyFont="1" applyFill="1" applyBorder="1" applyAlignment="1">
      <alignment horizontal="center"/>
    </xf>
    <xf numFmtId="177" fontId="335" fillId="74" borderId="123" xfId="0" applyNumberFormat="1" applyFont="1" applyFill="1" applyBorder="1" applyAlignment="1">
      <alignment horizontal="center"/>
    </xf>
    <xf numFmtId="0" fontId="34" fillId="0" borderId="123" xfId="0" applyFont="1" applyBorder="1" applyAlignment="1">
      <alignment horizontal="center"/>
    </xf>
    <xf numFmtId="177" fontId="34" fillId="0" borderId="123" xfId="0" applyNumberFormat="1" applyFont="1" applyBorder="1" applyAlignment="1">
      <alignment horizontal="center"/>
    </xf>
    <xf numFmtId="177" fontId="39" fillId="75" borderId="128" xfId="0" applyNumberFormat="1" applyFont="1" applyFill="1" applyBorder="1" applyAlignment="1">
      <alignment horizontal="center"/>
    </xf>
    <xf numFmtId="2" fontId="34" fillId="0" borderId="133" xfId="2" applyNumberFormat="1" applyFont="1" applyBorder="1" applyAlignment="1">
      <alignment horizontal="right" indent="1"/>
    </xf>
    <xf numFmtId="2" fontId="35" fillId="0" borderId="133" xfId="2" applyNumberFormat="1" applyFont="1" applyBorder="1" applyAlignment="1">
      <alignment horizontal="left" indent="1"/>
    </xf>
    <xf numFmtId="0" fontId="39" fillId="75" borderId="128" xfId="0" applyFont="1" applyFill="1" applyBorder="1" applyAlignment="1">
      <alignment horizontal="center"/>
    </xf>
    <xf numFmtId="3" fontId="39" fillId="75" borderId="128" xfId="0" applyNumberFormat="1" applyFont="1" applyFill="1" applyBorder="1" applyAlignment="1">
      <alignment horizontal="center"/>
    </xf>
    <xf numFmtId="175" fontId="34" fillId="0" borderId="124" xfId="2" applyNumberFormat="1" applyFont="1" applyBorder="1" applyAlignment="1">
      <alignment horizontal="center" vertical="center"/>
    </xf>
    <xf numFmtId="0" fontId="358" fillId="75" borderId="130" xfId="0" applyFont="1" applyFill="1" applyBorder="1" applyAlignment="1">
      <alignment horizontal="center"/>
    </xf>
    <xf numFmtId="2" fontId="358" fillId="75" borderId="130" xfId="0" applyNumberFormat="1" applyFont="1" applyFill="1" applyBorder="1" applyAlignment="1">
      <alignment horizontal="center" vertical="center"/>
    </xf>
    <xf numFmtId="2" fontId="41" fillId="0" borderId="124" xfId="0" applyNumberFormat="1" applyFont="1" applyBorder="1" applyAlignment="1">
      <alignment horizontal="center" vertical="center"/>
    </xf>
    <xf numFmtId="2" fontId="41" fillId="0" borderId="135" xfId="0" applyNumberFormat="1" applyFont="1" applyBorder="1" applyAlignment="1">
      <alignment horizontal="center" vertical="center"/>
    </xf>
    <xf numFmtId="0" fontId="1" fillId="0" borderId="136" xfId="0" applyFont="1" applyBorder="1" applyAlignment="1">
      <alignment horizontal="center" vertical="center"/>
    </xf>
    <xf numFmtId="2" fontId="358" fillId="75" borderId="123" xfId="0" applyNumberFormat="1" applyFont="1" applyFill="1" applyBorder="1" applyAlignment="1">
      <alignment horizontal="center" vertical="center"/>
    </xf>
    <xf numFmtId="2" fontId="1" fillId="0" borderId="127" xfId="0" applyNumberFormat="1" applyFont="1" applyBorder="1" applyAlignment="1">
      <alignment horizontal="center" vertical="center"/>
    </xf>
    <xf numFmtId="0" fontId="1" fillId="0" borderId="137" xfId="0" applyFont="1" applyBorder="1" applyAlignment="1">
      <alignment horizontal="center"/>
    </xf>
    <xf numFmtId="0" fontId="1" fillId="0" borderId="0" xfId="0" applyFont="1" applyAlignment="1">
      <alignment horizontal="center"/>
    </xf>
    <xf numFmtId="356" fontId="1" fillId="0" borderId="0" xfId="0" applyNumberFormat="1" applyFont="1" applyAlignment="1">
      <alignment horizontal="center"/>
    </xf>
    <xf numFmtId="0" fontId="1" fillId="0" borderId="137" xfId="0" applyFont="1" applyBorder="1" applyAlignment="1">
      <alignment horizontal="left" indent="3"/>
    </xf>
    <xf numFmtId="2" fontId="1" fillId="0" borderId="124" xfId="0" applyNumberFormat="1" applyFont="1" applyBorder="1" applyAlignment="1">
      <alignment horizontal="center" vertical="center"/>
    </xf>
    <xf numFmtId="2" fontId="335" fillId="0" borderId="123" xfId="0" applyNumberFormat="1" applyFont="1" applyBorder="1" applyAlignment="1">
      <alignment horizontal="center" vertical="center"/>
    </xf>
    <xf numFmtId="2" fontId="34" fillId="0" borderId="123" xfId="0" applyNumberFormat="1" applyFont="1" applyBorder="1" applyAlignment="1">
      <alignment horizontal="center" vertical="center"/>
    </xf>
    <xf numFmtId="0" fontId="1" fillId="0" borderId="124" xfId="0" applyFont="1" applyBorder="1" applyAlignment="1">
      <alignment horizontal="left" indent="3"/>
    </xf>
    <xf numFmtId="2" fontId="1" fillId="0" borderId="125" xfId="0" applyNumberFormat="1" applyFont="1" applyBorder="1" applyAlignment="1">
      <alignment horizontal="center" vertical="center"/>
    </xf>
    <xf numFmtId="2" fontId="1" fillId="0" borderId="124" xfId="0" applyNumberFormat="1" applyFont="1" applyBorder="1" applyAlignment="1">
      <alignment horizontal="center"/>
    </xf>
    <xf numFmtId="0" fontId="34" fillId="0" borderId="123" xfId="0" applyFont="1" applyBorder="1"/>
    <xf numFmtId="0" fontId="34" fillId="0" borderId="137" xfId="0" applyFont="1" applyBorder="1"/>
    <xf numFmtId="2" fontId="34" fillId="0" borderId="137" xfId="0" applyNumberFormat="1" applyFont="1" applyBorder="1"/>
    <xf numFmtId="0" fontId="35" fillId="0" borderId="136" xfId="0" applyFont="1" applyBorder="1"/>
    <xf numFmtId="2" fontId="34" fillId="0" borderId="136" xfId="0" applyNumberFormat="1" applyFont="1" applyBorder="1"/>
    <xf numFmtId="2" fontId="34" fillId="0" borderId="124" xfId="0" applyNumberFormat="1" applyFont="1" applyBorder="1" applyAlignment="1">
      <alignment horizontal="center"/>
    </xf>
    <xf numFmtId="171" fontId="1" fillId="0" borderId="124" xfId="0" applyNumberFormat="1" applyFont="1" applyBorder="1" applyAlignment="1">
      <alignment horizontal="center"/>
    </xf>
    <xf numFmtId="164" fontId="39" fillId="75" borderId="128" xfId="0" applyNumberFormat="1" applyFont="1" applyFill="1" applyBorder="1" applyAlignment="1">
      <alignment horizontal="center"/>
    </xf>
    <xf numFmtId="0" fontId="340" fillId="0" borderId="137" xfId="0" applyFont="1" applyBorder="1"/>
    <xf numFmtId="2" fontId="34" fillId="0" borderId="124" xfId="0" applyNumberFormat="1" applyFont="1" applyBorder="1"/>
    <xf numFmtId="1" fontId="34" fillId="0" borderId="124" xfId="0" applyNumberFormat="1" applyFont="1" applyBorder="1" applyAlignment="1">
      <alignment horizontal="center"/>
    </xf>
    <xf numFmtId="0" fontId="34" fillId="0" borderId="130" xfId="0" applyFont="1" applyBorder="1" applyAlignment="1">
      <alignment horizontal="center"/>
    </xf>
    <xf numFmtId="164" fontId="34" fillId="0" borderId="130" xfId="0" applyNumberFormat="1" applyFont="1" applyBorder="1" applyAlignment="1">
      <alignment horizontal="center"/>
    </xf>
    <xf numFmtId="0" fontId="34" fillId="0" borderId="124" xfId="0" applyFont="1" applyBorder="1"/>
    <xf numFmtId="1" fontId="358" fillId="75" borderId="124" xfId="0" applyNumberFormat="1" applyFont="1" applyFill="1" applyBorder="1" applyAlignment="1">
      <alignment horizontal="center"/>
    </xf>
    <xf numFmtId="0" fontId="34" fillId="0" borderId="128" xfId="0" applyFont="1" applyBorder="1"/>
    <xf numFmtId="0" fontId="388" fillId="0" borderId="124" xfId="0" applyFont="1" applyBorder="1" applyAlignment="1">
      <alignment horizontal="center" vertical="center"/>
    </xf>
    <xf numFmtId="0" fontId="388" fillId="0" borderId="124" xfId="0" applyFont="1" applyBorder="1" applyAlignment="1">
      <alignment vertical="center"/>
    </xf>
    <xf numFmtId="353" fontId="388" fillId="0" borderId="124" xfId="5254" applyNumberFormat="1" applyFont="1" applyBorder="1" applyAlignment="1">
      <alignment vertical="center"/>
    </xf>
    <xf numFmtId="0" fontId="383" fillId="0" borderId="124" xfId="0" applyFont="1" applyBorder="1" applyAlignment="1">
      <alignment vertical="center"/>
    </xf>
    <xf numFmtId="1" fontId="383" fillId="0" borderId="124" xfId="0" applyNumberFormat="1" applyFont="1" applyBorder="1" applyAlignment="1">
      <alignment vertical="center"/>
    </xf>
    <xf numFmtId="173" fontId="383" fillId="0" borderId="124" xfId="5254" applyNumberFormat="1" applyFont="1" applyBorder="1" applyAlignment="1">
      <alignment vertical="center"/>
    </xf>
    <xf numFmtId="171" fontId="383" fillId="0" borderId="124" xfId="0" applyNumberFormat="1" applyFont="1" applyBorder="1" applyAlignment="1">
      <alignment vertical="center"/>
    </xf>
    <xf numFmtId="0" fontId="1" fillId="76" borderId="137" xfId="0" applyFont="1" applyFill="1" applyBorder="1" applyAlignment="1">
      <alignment vertical="top" wrapText="1"/>
    </xf>
    <xf numFmtId="173" fontId="343" fillId="76" borderId="136" xfId="2785" applyNumberFormat="1" applyFont="1" applyFill="1" applyBorder="1" applyAlignment="1">
      <alignment horizontal="center" vertical="center" wrapText="1"/>
    </xf>
    <xf numFmtId="221" fontId="1" fillId="0" borderId="0" xfId="2785" applyNumberFormat="1" applyFont="1" applyBorder="1" applyAlignment="1">
      <alignment horizontal="center" vertical="center" wrapText="1"/>
    </xf>
    <xf numFmtId="221" fontId="1" fillId="0" borderId="92" xfId="2785" applyNumberFormat="1" applyFont="1" applyBorder="1" applyAlignment="1">
      <alignment horizontal="center" vertical="center" wrapText="1"/>
    </xf>
    <xf numFmtId="221" fontId="1" fillId="90" borderId="0" xfId="2785" applyNumberFormat="1" applyFont="1" applyFill="1" applyBorder="1" applyAlignment="1">
      <alignment horizontal="center" vertical="center" wrapText="1"/>
    </xf>
    <xf numFmtId="221" fontId="1" fillId="0" borderId="22" xfId="2785" applyNumberFormat="1" applyFont="1" applyBorder="1" applyAlignment="1">
      <alignment horizontal="center" vertical="center" wrapText="1"/>
    </xf>
    <xf numFmtId="221" fontId="1" fillId="0" borderId="81" xfId="2785" applyNumberFormat="1" applyFont="1" applyBorder="1" applyAlignment="1">
      <alignment horizontal="center" vertical="center" wrapText="1"/>
    </xf>
    <xf numFmtId="0" fontId="1" fillId="0" borderId="0" xfId="5339" applyFont="1"/>
    <xf numFmtId="0" fontId="1" fillId="84" borderId="0" xfId="5339" applyFont="1" applyFill="1" applyAlignment="1">
      <alignment horizontal="center"/>
    </xf>
    <xf numFmtId="0" fontId="1" fillId="84" borderId="0" xfId="5339" applyFont="1" applyFill="1"/>
    <xf numFmtId="0" fontId="1" fillId="84" borderId="0" xfId="5339" applyFont="1" applyFill="1" applyAlignment="1">
      <alignment horizontal="right"/>
    </xf>
    <xf numFmtId="0" fontId="1" fillId="0" borderId="0" xfId="5339" applyFont="1" applyAlignment="1">
      <alignment horizontal="center"/>
    </xf>
    <xf numFmtId="2" fontId="1" fillId="0" borderId="0" xfId="5339" applyNumberFormat="1" applyFont="1"/>
    <xf numFmtId="2" fontId="1" fillId="0" borderId="0" xfId="5339" applyNumberFormat="1" applyFont="1" applyAlignment="1">
      <alignment horizontal="right"/>
    </xf>
    <xf numFmtId="3" fontId="1" fillId="0" borderId="0" xfId="5339" applyNumberFormat="1" applyFont="1" applyAlignment="1">
      <alignment horizontal="right"/>
    </xf>
    <xf numFmtId="0" fontId="1" fillId="84" borderId="0" xfId="5342" applyFont="1" applyFill="1" applyAlignment="1">
      <alignment horizontal="center"/>
    </xf>
    <xf numFmtId="0" fontId="1" fillId="84" borderId="0" xfId="5342" applyFont="1" applyFill="1"/>
    <xf numFmtId="0" fontId="1" fillId="0" borderId="0" xfId="5342" applyFont="1"/>
    <xf numFmtId="4" fontId="1" fillId="84" borderId="0" xfId="5342" applyNumberFormat="1" applyFont="1" applyFill="1" applyAlignment="1">
      <alignment horizontal="center"/>
    </xf>
    <xf numFmtId="0" fontId="1" fillId="0" borderId="0" xfId="5342" applyFont="1" applyAlignment="1">
      <alignment horizontal="center"/>
    </xf>
    <xf numFmtId="4" fontId="1" fillId="0" borderId="0" xfId="5342" applyNumberFormat="1" applyFont="1" applyAlignment="1">
      <alignment horizontal="center"/>
    </xf>
    <xf numFmtId="0" fontId="34" fillId="0" borderId="128" xfId="0" applyFont="1" applyBorder="1" applyAlignment="1" applyProtection="1">
      <alignment vertical="center"/>
      <protection hidden="1"/>
    </xf>
    <xf numFmtId="350" fontId="35" fillId="0" borderId="128" xfId="2785" applyNumberFormat="1" applyFont="1" applyBorder="1" applyAlignment="1" applyProtection="1">
      <alignment horizontal="center" vertical="center"/>
      <protection hidden="1"/>
    </xf>
    <xf numFmtId="359" fontId="34" fillId="0" borderId="130" xfId="2785" applyNumberFormat="1" applyFont="1" applyBorder="1" applyAlignment="1" applyProtection="1">
      <alignment horizontal="center" vertical="center"/>
      <protection hidden="1"/>
    </xf>
    <xf numFmtId="350" fontId="35" fillId="2" borderId="123" xfId="0" applyNumberFormat="1" applyFont="1" applyFill="1" applyBorder="1" applyAlignment="1" applyProtection="1">
      <alignment horizontal="center" vertical="center"/>
      <protection hidden="1"/>
    </xf>
    <xf numFmtId="0" fontId="369" fillId="85" borderId="123" xfId="0" applyFont="1" applyFill="1" applyBorder="1" applyAlignment="1" applyProtection="1">
      <alignment horizontal="left" vertical="center"/>
      <protection hidden="1"/>
    </xf>
    <xf numFmtId="0" fontId="369" fillId="85" borderId="123" xfId="0" applyFont="1" applyFill="1" applyBorder="1" applyAlignment="1" applyProtection="1">
      <alignment vertical="center"/>
      <protection hidden="1"/>
    </xf>
    <xf numFmtId="350" fontId="369" fillId="85" borderId="123" xfId="2785" applyNumberFormat="1" applyFont="1" applyFill="1" applyBorder="1" applyAlignment="1" applyProtection="1">
      <alignment horizontal="center" vertical="center"/>
      <protection hidden="1"/>
    </xf>
    <xf numFmtId="359" fontId="335" fillId="0" borderId="130" xfId="2785" applyNumberFormat="1" applyFont="1" applyBorder="1" applyAlignment="1" applyProtection="1">
      <alignment horizontal="center" vertical="center"/>
      <protection hidden="1"/>
    </xf>
    <xf numFmtId="0" fontId="35" fillId="2" borderId="123" xfId="0" applyFont="1" applyFill="1" applyBorder="1" applyAlignment="1" applyProtection="1">
      <alignment horizontal="left" vertical="center"/>
      <protection hidden="1"/>
    </xf>
    <xf numFmtId="352" fontId="335" fillId="0" borderId="130" xfId="2785" applyNumberFormat="1" applyFont="1" applyBorder="1" applyAlignment="1" applyProtection="1">
      <alignment horizontal="center" vertical="center"/>
      <protection hidden="1"/>
    </xf>
    <xf numFmtId="0" fontId="35" fillId="85" borderId="123" xfId="0" applyFont="1" applyFill="1" applyBorder="1" applyAlignment="1" applyProtection="1">
      <alignment horizontal="left" vertical="center"/>
      <protection hidden="1"/>
    </xf>
    <xf numFmtId="0" fontId="35" fillId="85" borderId="123" xfId="0" applyFont="1" applyFill="1" applyBorder="1" applyAlignment="1" applyProtection="1">
      <alignment vertical="center"/>
      <protection hidden="1"/>
    </xf>
    <xf numFmtId="350" fontId="35" fillId="85" borderId="123" xfId="2785" applyNumberFormat="1" applyFont="1" applyFill="1" applyBorder="1" applyAlignment="1" applyProtection="1">
      <alignment horizontal="center" vertical="center"/>
      <protection hidden="1"/>
    </xf>
    <xf numFmtId="173" fontId="335" fillId="0" borderId="130" xfId="2785" applyNumberFormat="1" applyFont="1" applyBorder="1" applyAlignment="1" applyProtection="1">
      <alignment horizontal="center" vertical="center"/>
      <protection hidden="1"/>
    </xf>
    <xf numFmtId="350" fontId="335" fillId="0" borderId="130" xfId="2785" applyNumberFormat="1" applyFont="1" applyBorder="1" applyAlignment="1" applyProtection="1">
      <alignment horizontal="center" vertical="center"/>
      <protection hidden="1"/>
    </xf>
    <xf numFmtId="0" fontId="0" fillId="93" borderId="123" xfId="0" applyFill="1" applyBorder="1" applyAlignment="1">
      <alignment horizontal="center" vertical="center"/>
    </xf>
    <xf numFmtId="0" fontId="0" fillId="93" borderId="123" xfId="0" applyFill="1" applyBorder="1"/>
    <xf numFmtId="0" fontId="35" fillId="11" borderId="124" xfId="0" applyFont="1" applyFill="1" applyBorder="1" applyAlignment="1">
      <alignment horizontal="center" vertical="center"/>
    </xf>
    <xf numFmtId="0" fontId="35" fillId="11" borderId="124" xfId="0" applyFont="1" applyFill="1" applyBorder="1" applyAlignment="1">
      <alignment horizontal="right" vertical="center"/>
    </xf>
    <xf numFmtId="1" fontId="410" fillId="0" borderId="123" xfId="2" applyNumberFormat="1" applyFont="1" applyBorder="1" applyAlignment="1">
      <alignment horizontal="center" vertical="center"/>
    </xf>
    <xf numFmtId="1" fontId="286" fillId="0" borderId="123" xfId="2" applyNumberFormat="1" applyFont="1" applyBorder="1" applyAlignment="1">
      <alignment horizontal="center" vertical="center"/>
    </xf>
    <xf numFmtId="1" fontId="286" fillId="0" borderId="123" xfId="2" applyNumberFormat="1" applyFont="1" applyBorder="1" applyAlignment="1">
      <alignment horizontal="center"/>
    </xf>
    <xf numFmtId="0" fontId="34" fillId="0" borderId="124" xfId="0" applyFont="1" applyBorder="1" applyAlignment="1">
      <alignment horizontal="left" vertical="center"/>
    </xf>
    <xf numFmtId="173" fontId="0" fillId="0" borderId="124" xfId="5254" applyNumberFormat="1" applyFont="1" applyBorder="1" applyAlignment="1">
      <alignment horizontal="right"/>
    </xf>
    <xf numFmtId="173" fontId="0" fillId="0" borderId="123" xfId="5254" applyNumberFormat="1" applyFont="1" applyBorder="1" applyAlignment="1">
      <alignment horizontal="center"/>
    </xf>
    <xf numFmtId="173" fontId="286" fillId="0" borderId="123" xfId="5254" applyNumberFormat="1" applyFont="1" applyFill="1" applyBorder="1" applyAlignment="1">
      <alignment horizontal="center"/>
    </xf>
    <xf numFmtId="1" fontId="0" fillId="0" borderId="124" xfId="0" applyNumberFormat="1" applyBorder="1" applyAlignment="1">
      <alignment horizontal="right"/>
    </xf>
    <xf numFmtId="173" fontId="34" fillId="0" borderId="124" xfId="5254" applyNumberFormat="1" applyFont="1" applyBorder="1" applyAlignment="1">
      <alignment horizontal="right" vertical="center"/>
    </xf>
    <xf numFmtId="0" fontId="411" fillId="0" borderId="124" xfId="0" applyFont="1" applyBorder="1"/>
    <xf numFmtId="0" fontId="0" fillId="0" borderId="124" xfId="0" applyBorder="1" applyAlignment="1">
      <alignment horizontal="left" vertical="center"/>
    </xf>
    <xf numFmtId="0" fontId="35" fillId="11" borderId="124" xfId="0" applyFont="1" applyFill="1" applyBorder="1" applyAlignment="1">
      <alignment vertical="center"/>
    </xf>
    <xf numFmtId="1" fontId="35" fillId="0" borderId="124" xfId="0" applyNumberFormat="1" applyFont="1" applyBorder="1"/>
    <xf numFmtId="0" fontId="34" fillId="0" borderId="124" xfId="0" applyFont="1" applyBorder="1" applyAlignment="1">
      <alignment wrapText="1"/>
    </xf>
    <xf numFmtId="220" fontId="43" fillId="0" borderId="124" xfId="5347" applyFont="1" applyBorder="1" applyAlignment="1">
      <alignment vertical="center"/>
    </xf>
    <xf numFmtId="220" fontId="43" fillId="0" borderId="124" xfId="5347" applyFont="1" applyBorder="1" applyAlignment="1">
      <alignment horizontal="right" vertical="center"/>
    </xf>
    <xf numFmtId="363" fontId="122" fillId="0" borderId="137" xfId="5347" applyNumberFormat="1" applyFont="1" applyBorder="1" applyAlignment="1">
      <alignment horizontal="right" vertical="center"/>
    </xf>
    <xf numFmtId="350" fontId="35" fillId="0" borderId="130" xfId="2785" applyNumberFormat="1" applyFont="1" applyBorder="1" applyAlignment="1" applyProtection="1">
      <alignment horizontal="center" vertical="center"/>
      <protection hidden="1"/>
    </xf>
    <xf numFmtId="350" fontId="1" fillId="0" borderId="0" xfId="2785" applyNumberFormat="1" applyFont="1" applyBorder="1" applyAlignment="1" applyProtection="1">
      <alignment horizontal="center" vertical="center"/>
      <protection hidden="1"/>
    </xf>
    <xf numFmtId="352" fontId="35" fillId="0" borderId="128" xfId="2785" applyNumberFormat="1" applyFont="1" applyBorder="1" applyAlignment="1" applyProtection="1">
      <alignment horizontal="center" vertical="center"/>
      <protection hidden="1"/>
    </xf>
    <xf numFmtId="352" fontId="1" fillId="0" borderId="128" xfId="2785" applyNumberFormat="1" applyFont="1" applyBorder="1" applyAlignment="1" applyProtection="1">
      <alignment horizontal="center" vertical="center"/>
      <protection hidden="1"/>
    </xf>
    <xf numFmtId="0" fontId="35" fillId="0" borderId="128" xfId="0" applyFont="1" applyBorder="1" applyAlignment="1" applyProtection="1">
      <alignment horizontal="right" vertical="center"/>
      <protection hidden="1"/>
    </xf>
    <xf numFmtId="0" fontId="34" fillId="0" borderId="128" xfId="0" applyFont="1" applyBorder="1" applyAlignment="1" applyProtection="1">
      <alignment horizontal="left" vertical="center"/>
      <protection hidden="1"/>
    </xf>
    <xf numFmtId="350" fontId="34" fillId="0" borderId="128" xfId="0" applyNumberFormat="1" applyFont="1" applyBorder="1" applyAlignment="1" applyProtection="1">
      <alignment horizontal="center" vertical="center"/>
      <protection hidden="1"/>
    </xf>
    <xf numFmtId="350" fontId="0" fillId="0" borderId="128" xfId="0" applyNumberFormat="1" applyBorder="1" applyAlignment="1" applyProtection="1">
      <alignment horizontal="center" vertical="center"/>
      <protection hidden="1"/>
    </xf>
    <xf numFmtId="0" fontId="34" fillId="0" borderId="128" xfId="0" applyFont="1" applyBorder="1" applyAlignment="1" applyProtection="1">
      <alignment horizontal="right" vertical="center" wrapText="1"/>
      <protection hidden="1"/>
    </xf>
    <xf numFmtId="350" fontId="0" fillId="0" borderId="130" xfId="2785" applyNumberFormat="1" applyFont="1" applyBorder="1" applyAlignment="1" applyProtection="1">
      <alignment horizontal="center" vertical="center"/>
      <protection hidden="1"/>
    </xf>
    <xf numFmtId="0" fontId="35" fillId="0" borderId="130" xfId="0" applyFont="1" applyBorder="1" applyAlignment="1" applyProtection="1">
      <alignment horizontal="right" vertical="center" wrapText="1"/>
      <protection hidden="1"/>
    </xf>
    <xf numFmtId="0" fontId="34" fillId="0" borderId="130" xfId="0" applyFont="1" applyBorder="1" applyAlignment="1" applyProtection="1">
      <alignment horizontal="right" vertical="center"/>
      <protection hidden="1"/>
    </xf>
    <xf numFmtId="0" fontId="34" fillId="0" borderId="128" xfId="0" applyFont="1" applyBorder="1" applyAlignment="1" applyProtection="1">
      <alignment horizontal="right" vertical="center"/>
      <protection hidden="1"/>
    </xf>
    <xf numFmtId="359" fontId="0" fillId="0" borderId="128" xfId="0" applyNumberFormat="1" applyBorder="1" applyAlignment="1" applyProtection="1">
      <alignment horizontal="center" vertical="center"/>
      <protection hidden="1"/>
    </xf>
    <xf numFmtId="350" fontId="34" fillId="0" borderId="128" xfId="2785" applyNumberFormat="1" applyFont="1" applyFill="1" applyBorder="1" applyAlignment="1" applyProtection="1">
      <alignment horizontal="center" vertical="center"/>
      <protection hidden="1"/>
    </xf>
    <xf numFmtId="0" fontId="34" fillId="0" borderId="128" xfId="0" applyFont="1" applyBorder="1" applyAlignment="1" applyProtection="1">
      <alignment horizontal="center" vertical="center"/>
      <protection hidden="1"/>
    </xf>
    <xf numFmtId="0" fontId="34" fillId="0" borderId="130" xfId="0" applyFont="1" applyBorder="1" applyAlignment="1" applyProtection="1">
      <alignment horizontal="right" vertical="center" wrapText="1"/>
      <protection hidden="1"/>
    </xf>
    <xf numFmtId="0" fontId="34" fillId="0" borderId="130" xfId="0" applyFont="1" applyBorder="1" applyAlignment="1" applyProtection="1">
      <alignment horizontal="center" vertical="center"/>
      <protection hidden="1"/>
    </xf>
    <xf numFmtId="352" fontId="0" fillId="0" borderId="128" xfId="2785" applyNumberFormat="1" applyFont="1" applyBorder="1" applyAlignment="1" applyProtection="1">
      <alignment horizontal="center" vertical="center"/>
      <protection hidden="1"/>
    </xf>
    <xf numFmtId="0" fontId="35" fillId="0" borderId="130" xfId="0" applyFont="1" applyBorder="1" applyAlignment="1" applyProtection="1">
      <alignment horizontal="right" vertical="center"/>
      <protection hidden="1"/>
    </xf>
    <xf numFmtId="0" fontId="35" fillId="0" borderId="130" xfId="0" applyFont="1" applyBorder="1" applyAlignment="1" applyProtection="1">
      <alignment vertical="center"/>
      <protection hidden="1"/>
    </xf>
    <xf numFmtId="350" fontId="35" fillId="0" borderId="130" xfId="2785" applyNumberFormat="1" applyFont="1" applyFill="1" applyBorder="1" applyAlignment="1" applyProtection="1">
      <alignment horizontal="center" vertical="center"/>
      <protection hidden="1"/>
    </xf>
    <xf numFmtId="350" fontId="35" fillId="0" borderId="128" xfId="2785" applyNumberFormat="1" applyFont="1" applyFill="1" applyBorder="1" applyAlignment="1" applyProtection="1">
      <alignment horizontal="center" vertical="center"/>
      <protection hidden="1"/>
    </xf>
    <xf numFmtId="350" fontId="34" fillId="0" borderId="130" xfId="0" applyNumberFormat="1" applyFont="1" applyBorder="1" applyAlignment="1" applyProtection="1">
      <alignment horizontal="center" vertical="center"/>
      <protection hidden="1"/>
    </xf>
    <xf numFmtId="0" fontId="0" fillId="0" borderId="128" xfId="0" applyBorder="1"/>
    <xf numFmtId="0" fontId="0" fillId="0" borderId="130" xfId="0" applyBorder="1"/>
    <xf numFmtId="0" fontId="35" fillId="2" borderId="123" xfId="0" applyFont="1" applyFill="1" applyBorder="1" applyAlignment="1" applyProtection="1">
      <alignment vertical="center" wrapText="1"/>
      <protection hidden="1"/>
    </xf>
    <xf numFmtId="0" fontId="34" fillId="0" borderId="130" xfId="0" applyFont="1" applyBorder="1" applyAlignment="1" applyProtection="1">
      <alignment vertical="center" wrapText="1"/>
      <protection hidden="1"/>
    </xf>
    <xf numFmtId="0" fontId="34" fillId="0" borderId="128" xfId="0" applyFont="1" applyBorder="1" applyAlignment="1" applyProtection="1">
      <alignment vertical="center" wrapText="1"/>
      <protection hidden="1"/>
    </xf>
    <xf numFmtId="352" fontId="1" fillId="0" borderId="0" xfId="2785" applyNumberFormat="1" applyFont="1" applyBorder="1" applyAlignment="1" applyProtection="1">
      <alignment horizontal="center" vertical="center"/>
      <protection hidden="1"/>
    </xf>
    <xf numFmtId="0" fontId="0" fillId="0" borderId="137" xfId="0" applyBorder="1" applyAlignment="1">
      <alignment wrapText="1"/>
    </xf>
    <xf numFmtId="350" fontId="35" fillId="0" borderId="137" xfId="0" applyNumberFormat="1" applyFont="1" applyBorder="1"/>
    <xf numFmtId="0" fontId="0" fillId="0" borderId="135" xfId="0" applyBorder="1"/>
    <xf numFmtId="350" fontId="35" fillId="0" borderId="136" xfId="0" applyNumberFormat="1" applyFont="1" applyBorder="1"/>
    <xf numFmtId="0" fontId="0" fillId="0" borderId="136" xfId="0" applyBorder="1" applyAlignment="1">
      <alignment wrapText="1"/>
    </xf>
    <xf numFmtId="0" fontId="0" fillId="0" borderId="125" xfId="0" applyBorder="1"/>
    <xf numFmtId="0" fontId="35" fillId="0" borderId="137" xfId="0" applyFont="1" applyBorder="1" applyAlignment="1" applyProtection="1">
      <alignment vertical="center"/>
      <protection hidden="1"/>
    </xf>
    <xf numFmtId="350" fontId="35" fillId="0" borderId="137" xfId="2785" applyNumberFormat="1" applyFont="1" applyFill="1" applyBorder="1" applyAlignment="1" applyProtection="1">
      <alignment horizontal="center" vertical="center"/>
      <protection hidden="1"/>
    </xf>
    <xf numFmtId="173" fontId="35" fillId="0" borderId="125" xfId="2785" applyNumberFormat="1" applyFont="1" applyFill="1" applyBorder="1" applyAlignment="1" applyProtection="1">
      <alignment vertical="center" wrapText="1"/>
      <protection hidden="1"/>
    </xf>
    <xf numFmtId="0" fontId="41" fillId="0" borderId="129" xfId="0" applyFont="1" applyBorder="1"/>
    <xf numFmtId="0" fontId="35" fillId="2" borderId="123" xfId="0" applyFont="1" applyFill="1" applyBorder="1" applyAlignment="1">
      <alignment vertical="center"/>
    </xf>
    <xf numFmtId="0" fontId="1" fillId="0" borderId="0" xfId="5270" applyFont="1" applyAlignment="1" applyProtection="1">
      <alignment horizontal="left" vertical="center" indent="2"/>
      <protection hidden="1"/>
    </xf>
    <xf numFmtId="0" fontId="1" fillId="0" borderId="0" xfId="5270" applyFont="1" applyAlignment="1" applyProtection="1">
      <alignment horizontal="left" vertical="center"/>
      <protection hidden="1"/>
    </xf>
    <xf numFmtId="0" fontId="41" fillId="6" borderId="123" xfId="5270" applyFont="1" applyFill="1" applyBorder="1" applyAlignment="1" applyProtection="1">
      <alignment vertical="center"/>
      <protection hidden="1"/>
    </xf>
    <xf numFmtId="0" fontId="0" fillId="6" borderId="123" xfId="0" applyFill="1" applyBorder="1"/>
    <xf numFmtId="0" fontId="35" fillId="6" borderId="123" xfId="5270" applyFont="1" applyFill="1" applyBorder="1" applyAlignment="1" applyProtection="1">
      <alignment horizontal="center" vertical="center"/>
      <protection hidden="1"/>
    </xf>
    <xf numFmtId="0" fontId="35" fillId="6" borderId="123" xfId="5270" applyFont="1" applyFill="1" applyBorder="1" applyAlignment="1" applyProtection="1">
      <alignment vertical="center"/>
      <protection hidden="1"/>
    </xf>
    <xf numFmtId="0" fontId="41" fillId="0" borderId="123" xfId="5270" applyFont="1" applyBorder="1" applyAlignment="1" applyProtection="1">
      <alignment vertical="center"/>
      <protection hidden="1"/>
    </xf>
    <xf numFmtId="0" fontId="35" fillId="0" borderId="123" xfId="5270" applyFont="1" applyBorder="1" applyAlignment="1" applyProtection="1">
      <alignment vertical="center"/>
      <protection hidden="1"/>
    </xf>
    <xf numFmtId="173" fontId="35" fillId="0" borderId="123" xfId="5272" applyNumberFormat="1" applyFont="1" applyBorder="1" applyAlignment="1" applyProtection="1">
      <alignment vertical="center"/>
      <protection hidden="1"/>
    </xf>
    <xf numFmtId="353" fontId="0" fillId="0" borderId="124" xfId="5272" applyNumberFormat="1" applyFont="1" applyBorder="1" applyAlignment="1">
      <alignment horizontal="center" vertical="center"/>
    </xf>
    <xf numFmtId="173" fontId="379" fillId="0" borderId="124" xfId="5272" applyNumberFormat="1" applyFont="1" applyBorder="1" applyAlignment="1">
      <alignment horizontal="center"/>
    </xf>
    <xf numFmtId="43" fontId="35" fillId="105" borderId="124" xfId="5272" applyFont="1" applyFill="1" applyBorder="1" applyAlignment="1" applyProtection="1">
      <alignment horizontal="center" vertical="center"/>
      <protection hidden="1"/>
    </xf>
    <xf numFmtId="173" fontId="0" fillId="0" borderId="124" xfId="5272" applyNumberFormat="1" applyFont="1" applyBorder="1" applyAlignment="1">
      <alignment horizontal="center" vertical="center"/>
    </xf>
    <xf numFmtId="173" fontId="0" fillId="0" borderId="124" xfId="5272" applyNumberFormat="1" applyFont="1" applyBorder="1" applyAlignment="1">
      <alignment horizontal="center"/>
    </xf>
    <xf numFmtId="173" fontId="379" fillId="0" borderId="124" xfId="5272" applyNumberFormat="1" applyFont="1" applyFill="1" applyBorder="1" applyAlignment="1">
      <alignment horizontal="center" vertical="center"/>
    </xf>
    <xf numFmtId="0" fontId="35" fillId="93" borderId="126" xfId="0" applyFont="1" applyFill="1" applyBorder="1" applyAlignment="1">
      <alignment horizontal="left" vertical="center"/>
    </xf>
    <xf numFmtId="0" fontId="35" fillId="93" borderId="129" xfId="0" applyFont="1" applyFill="1" applyBorder="1" applyAlignment="1">
      <alignment horizontal="center" vertical="center"/>
    </xf>
    <xf numFmtId="173" fontId="0" fillId="0" borderId="138" xfId="0" applyNumberFormat="1" applyBorder="1" applyAlignment="1">
      <alignment vertical="center"/>
    </xf>
    <xf numFmtId="43" fontId="0" fillId="0" borderId="124" xfId="5272" applyFont="1" applyBorder="1" applyAlignment="1">
      <alignment horizontal="center" vertical="center"/>
    </xf>
    <xf numFmtId="43" fontId="0" fillId="0" borderId="124" xfId="5272" applyFont="1" applyBorder="1" applyAlignment="1">
      <alignment horizontal="center"/>
    </xf>
    <xf numFmtId="0" fontId="34" fillId="0" borderId="135" xfId="0" applyFont="1" applyBorder="1"/>
    <xf numFmtId="43" fontId="379" fillId="0" borderId="124" xfId="5272" applyFont="1" applyBorder="1" applyAlignment="1">
      <alignment horizontal="center" vertical="center"/>
    </xf>
    <xf numFmtId="173" fontId="35" fillId="0" borderId="129" xfId="0" applyNumberFormat="1" applyFont="1" applyBorder="1"/>
    <xf numFmtId="0" fontId="369" fillId="72" borderId="123" xfId="0" applyFont="1" applyFill="1" applyBorder="1" applyAlignment="1" applyProtection="1">
      <alignment vertical="center"/>
      <protection hidden="1"/>
    </xf>
    <xf numFmtId="0" fontId="1" fillId="0" borderId="0" xfId="0" applyFont="1" applyAlignment="1">
      <alignment horizontal="center" vertical="center" wrapText="1"/>
    </xf>
    <xf numFmtId="0" fontId="1" fillId="0" borderId="0" xfId="0" applyFont="1" applyAlignment="1">
      <alignment horizontal="left" vertical="center" wrapText="1"/>
    </xf>
    <xf numFmtId="3" fontId="1" fillId="0" borderId="0" xfId="0" applyNumberFormat="1" applyFont="1" applyAlignment="1">
      <alignment horizontal="center" vertical="center" wrapText="1"/>
    </xf>
    <xf numFmtId="0" fontId="1" fillId="0" borderId="0" xfId="0" applyFont="1" applyAlignment="1">
      <alignment horizontal="center" vertical="center"/>
    </xf>
    <xf numFmtId="3" fontId="1" fillId="0" borderId="0" xfId="0" applyNumberFormat="1" applyFont="1" applyAlignment="1">
      <alignment horizontal="center" vertical="center"/>
    </xf>
    <xf numFmtId="0" fontId="35" fillId="2" borderId="124" xfId="0" applyFont="1" applyFill="1" applyBorder="1" applyAlignment="1" applyProtection="1">
      <alignment vertical="center"/>
      <protection hidden="1"/>
    </xf>
    <xf numFmtId="0" fontId="35" fillId="2" borderId="129" xfId="5329" applyFont="1" applyFill="1" applyBorder="1">
      <alignment horizontal="center" vertical="center" wrapText="1"/>
    </xf>
    <xf numFmtId="0" fontId="34" fillId="0" borderId="137" xfId="0" applyFont="1" applyBorder="1" applyAlignment="1" applyProtection="1">
      <alignment vertical="center"/>
      <protection hidden="1"/>
    </xf>
    <xf numFmtId="221" fontId="39" fillId="75" borderId="137" xfId="0" applyNumberFormat="1" applyFont="1" applyFill="1" applyBorder="1" applyAlignment="1" applyProtection="1">
      <alignment vertical="center"/>
      <protection locked="0"/>
    </xf>
    <xf numFmtId="0" fontId="34" fillId="0" borderId="138" xfId="0" applyFont="1" applyBorder="1"/>
    <xf numFmtId="0" fontId="34" fillId="0" borderId="135" xfId="0" applyFont="1" applyBorder="1" applyAlignment="1" applyProtection="1">
      <alignment vertical="center"/>
      <protection hidden="1"/>
    </xf>
    <xf numFmtId="0" fontId="34" fillId="0" borderId="136" xfId="0" applyFont="1" applyBorder="1" applyAlignment="1" applyProtection="1">
      <alignment vertical="center"/>
      <protection hidden="1"/>
    </xf>
    <xf numFmtId="43" fontId="39" fillId="75" borderId="136" xfId="2785" applyFont="1" applyFill="1" applyBorder="1" applyAlignment="1" applyProtection="1">
      <alignment horizontal="left" vertical="center"/>
      <protection hidden="1"/>
    </xf>
    <xf numFmtId="221" fontId="39" fillId="75" borderId="136" xfId="5" applyNumberFormat="1" applyFont="1" applyFill="1" applyBorder="1" applyAlignment="1" applyProtection="1">
      <alignment vertical="center"/>
      <protection locked="0"/>
    </xf>
    <xf numFmtId="43" fontId="39" fillId="75" borderId="136" xfId="2785" applyFont="1" applyFill="1" applyBorder="1" applyAlignment="1" applyProtection="1">
      <alignment vertical="center"/>
      <protection hidden="1"/>
    </xf>
    <xf numFmtId="0" fontId="34" fillId="0" borderId="125" xfId="0" applyFont="1" applyBorder="1" applyAlignment="1" applyProtection="1">
      <alignment vertical="center"/>
      <protection hidden="1"/>
    </xf>
    <xf numFmtId="0" fontId="34" fillId="0" borderId="133" xfId="0" applyFont="1" applyBorder="1" applyAlignment="1" applyProtection="1">
      <alignment vertical="center"/>
      <protection hidden="1"/>
    </xf>
    <xf numFmtId="43" fontId="39" fillId="75" borderId="133" xfId="2785" applyFont="1" applyFill="1" applyBorder="1" applyAlignment="1" applyProtection="1">
      <alignment vertical="center"/>
      <protection hidden="1"/>
    </xf>
    <xf numFmtId="0" fontId="34" fillId="0" borderId="132" xfId="0" applyFont="1" applyBorder="1"/>
    <xf numFmtId="0" fontId="35" fillId="2" borderId="124" xfId="0" applyFont="1" applyFill="1" applyBorder="1" applyAlignment="1" applyProtection="1">
      <alignment horizontal="center" vertical="center" wrapText="1"/>
      <protection hidden="1"/>
    </xf>
    <xf numFmtId="0" fontId="374" fillId="0" borderId="136" xfId="0" applyFont="1" applyBorder="1" applyAlignment="1" applyProtection="1">
      <alignment vertical="center"/>
      <protection hidden="1"/>
    </xf>
    <xf numFmtId="43" fontId="335" fillId="0" borderId="136" xfId="2785" applyFont="1" applyFill="1" applyBorder="1" applyAlignment="1" applyProtection="1">
      <alignment horizontal="right" vertical="center"/>
      <protection hidden="1"/>
    </xf>
    <xf numFmtId="43" fontId="358" fillId="75" borderId="136" xfId="2785" applyFont="1" applyFill="1" applyBorder="1" applyAlignment="1" applyProtection="1">
      <alignment horizontal="right" vertical="center"/>
      <protection hidden="1"/>
    </xf>
    <xf numFmtId="9" fontId="358" fillId="75" borderId="136" xfId="1" applyFont="1" applyFill="1" applyBorder="1" applyAlignment="1" applyProtection="1">
      <alignment horizontal="right" vertical="center"/>
      <protection hidden="1"/>
    </xf>
    <xf numFmtId="43" fontId="335" fillId="0" borderId="136" xfId="2785" applyFont="1" applyBorder="1" applyAlignment="1" applyProtection="1">
      <alignment vertical="center"/>
      <protection hidden="1"/>
    </xf>
    <xf numFmtId="173" fontId="335" fillId="0" borderId="136" xfId="2785" applyNumberFormat="1" applyFont="1" applyBorder="1" applyAlignment="1" applyProtection="1">
      <alignment horizontal="right" vertical="center"/>
      <protection hidden="1"/>
    </xf>
    <xf numFmtId="0" fontId="374" fillId="0" borderId="133" xfId="0" applyFont="1" applyBorder="1" applyAlignment="1" applyProtection="1">
      <alignment vertical="center"/>
      <protection hidden="1"/>
    </xf>
    <xf numFmtId="173" fontId="335" fillId="0" borderId="133" xfId="2785" applyNumberFormat="1" applyFont="1" applyBorder="1" applyAlignment="1" applyProtection="1">
      <alignment horizontal="right" vertical="center"/>
      <protection hidden="1"/>
    </xf>
    <xf numFmtId="0" fontId="35" fillId="2" borderId="124" xfId="0" applyFont="1" applyFill="1" applyBorder="1" applyAlignment="1" applyProtection="1">
      <alignment horizontal="center" vertical="center"/>
      <protection hidden="1"/>
    </xf>
    <xf numFmtId="173" fontId="358" fillId="75" borderId="136" xfId="2785" applyNumberFormat="1" applyFont="1" applyFill="1" applyBorder="1" applyAlignment="1" applyProtection="1">
      <alignment horizontal="right" vertical="center"/>
      <protection hidden="1"/>
    </xf>
    <xf numFmtId="173" fontId="335" fillId="0" borderId="136" xfId="2785" applyNumberFormat="1" applyFont="1" applyBorder="1" applyAlignment="1" applyProtection="1">
      <alignment horizontal="right" vertical="center" indent="4"/>
      <protection hidden="1"/>
    </xf>
    <xf numFmtId="9" fontId="335" fillId="0" borderId="136" xfId="2785" applyNumberFormat="1" applyFont="1" applyBorder="1" applyAlignment="1" applyProtection="1">
      <alignment horizontal="right" vertical="center"/>
      <protection hidden="1"/>
    </xf>
    <xf numFmtId="9" fontId="335" fillId="0" borderId="136" xfId="0" applyNumberFormat="1" applyFont="1" applyBorder="1" applyAlignment="1" applyProtection="1">
      <alignment vertical="center"/>
      <protection locked="0"/>
    </xf>
    <xf numFmtId="43" fontId="335" fillId="0" borderId="136" xfId="2785" applyFont="1" applyFill="1" applyBorder="1" applyAlignment="1" applyProtection="1">
      <alignment horizontal="left" vertical="center"/>
      <protection hidden="1"/>
    </xf>
    <xf numFmtId="353" fontId="335" fillId="0" borderId="136" xfId="2785" applyNumberFormat="1" applyFont="1" applyBorder="1" applyAlignment="1" applyProtection="1">
      <alignment vertical="center"/>
      <protection hidden="1"/>
    </xf>
    <xf numFmtId="173" fontId="335" fillId="0" borderId="136" xfId="2785" applyNumberFormat="1" applyFont="1" applyBorder="1" applyAlignment="1" applyProtection="1">
      <alignment vertical="center"/>
      <protection hidden="1"/>
    </xf>
    <xf numFmtId="173" fontId="335" fillId="0" borderId="133" xfId="2785" applyNumberFormat="1" applyFont="1" applyBorder="1" applyAlignment="1" applyProtection="1">
      <alignment vertical="center"/>
      <protection hidden="1"/>
    </xf>
    <xf numFmtId="43" fontId="335" fillId="0" borderId="137" xfId="2785" applyFont="1" applyBorder="1" applyAlignment="1" applyProtection="1">
      <alignment vertical="center"/>
      <protection hidden="1"/>
    </xf>
    <xf numFmtId="221" fontId="335" fillId="0" borderId="136" xfId="5" applyNumberFormat="1" applyFont="1" applyFill="1" applyBorder="1" applyAlignment="1" applyProtection="1">
      <alignment vertical="center"/>
      <protection locked="0"/>
    </xf>
    <xf numFmtId="164" fontId="335" fillId="0" borderId="136" xfId="2785" applyNumberFormat="1" applyFont="1" applyBorder="1" applyAlignment="1" applyProtection="1">
      <alignment vertical="center"/>
      <protection hidden="1"/>
    </xf>
    <xf numFmtId="43" fontId="335" fillId="0" borderId="136" xfId="2785" applyFont="1" applyFill="1" applyBorder="1" applyAlignment="1" applyProtection="1">
      <alignment vertical="center"/>
      <protection hidden="1"/>
    </xf>
    <xf numFmtId="43" fontId="358" fillId="75" borderId="133" xfId="2785" applyFont="1" applyFill="1" applyBorder="1" applyAlignment="1" applyProtection="1">
      <alignment horizontal="right" vertical="center"/>
      <protection hidden="1"/>
    </xf>
    <xf numFmtId="43" fontId="335" fillId="0" borderId="133" xfId="2785" applyFont="1" applyFill="1" applyBorder="1" applyAlignment="1" applyProtection="1">
      <alignment vertical="center"/>
      <protection hidden="1"/>
    </xf>
    <xf numFmtId="0" fontId="41" fillId="2" borderId="124" xfId="0" applyFont="1" applyFill="1" applyBorder="1" applyAlignment="1" applyProtection="1">
      <alignment vertical="center"/>
      <protection hidden="1"/>
    </xf>
    <xf numFmtId="350" fontId="41" fillId="2" borderId="123" xfId="0" applyNumberFormat="1" applyFont="1" applyFill="1" applyBorder="1" applyAlignment="1" applyProtection="1">
      <alignment horizontal="center" vertical="center"/>
      <protection hidden="1"/>
    </xf>
    <xf numFmtId="350" fontId="41" fillId="2" borderId="129" xfId="0" applyNumberFormat="1" applyFont="1" applyFill="1" applyBorder="1" applyAlignment="1" applyProtection="1">
      <alignment horizontal="center" vertical="center"/>
      <protection hidden="1"/>
    </xf>
    <xf numFmtId="0" fontId="41" fillId="0" borderId="136" xfId="0" applyFont="1" applyBorder="1" applyAlignment="1" applyProtection="1">
      <alignment vertical="center"/>
      <protection hidden="1"/>
    </xf>
    <xf numFmtId="0" fontId="0" fillId="0" borderId="138" xfId="0" applyBorder="1"/>
    <xf numFmtId="0" fontId="1" fillId="0" borderId="136" xfId="0" applyFont="1" applyBorder="1" applyAlignment="1" applyProtection="1">
      <alignment vertical="center"/>
      <protection hidden="1"/>
    </xf>
    <xf numFmtId="350" fontId="34" fillId="0" borderId="122" xfId="0" applyNumberFormat="1" applyFont="1" applyBorder="1" applyAlignment="1" applyProtection="1">
      <alignment horizontal="center" vertical="center"/>
      <protection hidden="1"/>
    </xf>
    <xf numFmtId="350" fontId="335" fillId="0" borderId="128" xfId="2785" applyNumberFormat="1" applyFont="1" applyBorder="1" applyAlignment="1" applyProtection="1">
      <alignment horizontal="center" vertical="center"/>
      <protection hidden="1"/>
    </xf>
    <xf numFmtId="350" fontId="335" fillId="77" borderId="128" xfId="2785" applyNumberFormat="1" applyFont="1" applyFill="1" applyBorder="1" applyAlignment="1" applyProtection="1">
      <alignment horizontal="center" vertical="center"/>
      <protection hidden="1"/>
    </xf>
    <xf numFmtId="0" fontId="0" fillId="0" borderId="122" xfId="0" applyBorder="1"/>
    <xf numFmtId="0" fontId="1" fillId="0" borderId="0" xfId="0" applyFont="1" applyAlignment="1" applyProtection="1">
      <alignment vertical="center"/>
      <protection hidden="1"/>
    </xf>
    <xf numFmtId="0" fontId="372" fillId="72" borderId="127" xfId="0" applyFont="1" applyFill="1" applyBorder="1"/>
    <xf numFmtId="0" fontId="34" fillId="0" borderId="138" xfId="0" applyFont="1" applyBorder="1" applyAlignment="1">
      <alignment horizontal="center" vertical="center"/>
    </xf>
    <xf numFmtId="0" fontId="358" fillId="91" borderId="135" xfId="0" applyFont="1" applyFill="1" applyBorder="1"/>
    <xf numFmtId="0" fontId="34" fillId="0" borderId="132" xfId="0" applyFont="1" applyBorder="1" applyAlignment="1">
      <alignment horizontal="center" vertical="center"/>
    </xf>
    <xf numFmtId="0" fontId="381" fillId="0" borderId="138" xfId="0" applyFont="1" applyBorder="1"/>
    <xf numFmtId="9" fontId="335" fillId="0" borderId="135" xfId="1" applyFont="1" applyFill="1" applyBorder="1"/>
    <xf numFmtId="171" fontId="335" fillId="0" borderId="135" xfId="0" applyNumberFormat="1" applyFont="1" applyBorder="1"/>
    <xf numFmtId="171" fontId="358" fillId="91" borderId="135" xfId="0" applyNumberFormat="1" applyFont="1" applyFill="1" applyBorder="1"/>
    <xf numFmtId="0" fontId="35" fillId="0" borderId="138" xfId="0" applyFont="1" applyBorder="1"/>
    <xf numFmtId="356" fontId="335" fillId="0" borderId="135" xfId="0" applyNumberFormat="1" applyFont="1" applyBorder="1"/>
    <xf numFmtId="164" fontId="335" fillId="0" borderId="135" xfId="0" applyNumberFormat="1" applyFont="1" applyBorder="1"/>
    <xf numFmtId="0" fontId="35" fillId="95" borderId="132" xfId="0" applyFont="1" applyFill="1" applyBorder="1"/>
    <xf numFmtId="0" fontId="336" fillId="72" borderId="137" xfId="0" applyFont="1" applyFill="1" applyBorder="1" applyAlignment="1" applyProtection="1">
      <alignment horizontal="center" vertical="center"/>
      <protection hidden="1"/>
    </xf>
    <xf numFmtId="0" fontId="336" fillId="72" borderId="136" xfId="0" applyFont="1" applyFill="1" applyBorder="1" applyAlignment="1" applyProtection="1">
      <alignment vertical="center"/>
      <protection hidden="1"/>
    </xf>
    <xf numFmtId="0" fontId="336" fillId="72" borderId="136" xfId="0" applyFont="1" applyFill="1" applyBorder="1" applyAlignment="1" applyProtection="1">
      <alignment horizontal="center" vertical="center"/>
      <protection hidden="1"/>
    </xf>
    <xf numFmtId="0" fontId="35" fillId="2" borderId="127" xfId="0" applyFont="1" applyFill="1" applyBorder="1" applyAlignment="1" applyProtection="1">
      <alignment vertical="center"/>
      <protection hidden="1"/>
    </xf>
    <xf numFmtId="0" fontId="35" fillId="2" borderId="137" xfId="0" applyFont="1" applyFill="1" applyBorder="1" applyAlignment="1" applyProtection="1">
      <alignment vertical="center"/>
      <protection hidden="1"/>
    </xf>
    <xf numFmtId="0" fontId="35" fillId="2" borderId="138" xfId="0" applyFont="1" applyFill="1" applyBorder="1" applyAlignment="1" applyProtection="1">
      <alignment horizontal="center" vertical="center" wrapText="1"/>
      <protection hidden="1"/>
    </xf>
    <xf numFmtId="0" fontId="35" fillId="0" borderId="127" xfId="0" applyFont="1" applyBorder="1" applyAlignment="1" applyProtection="1">
      <alignment vertical="center"/>
      <protection hidden="1"/>
    </xf>
    <xf numFmtId="176" fontId="34" fillId="0" borderId="137" xfId="0" applyNumberFormat="1" applyFont="1" applyBorder="1" applyAlignment="1" applyProtection="1">
      <alignment horizontal="center" vertical="center"/>
      <protection hidden="1"/>
    </xf>
    <xf numFmtId="0" fontId="34" fillId="0" borderId="138" xfId="0" applyFont="1" applyBorder="1" applyAlignment="1" applyProtection="1">
      <alignment horizontal="center" vertical="center"/>
      <protection hidden="1"/>
    </xf>
    <xf numFmtId="176" fontId="335" fillId="0" borderId="136" xfId="0" applyNumberFormat="1" applyFont="1" applyBorder="1" applyAlignment="1" applyProtection="1">
      <alignment horizontal="center" vertical="center"/>
      <protection hidden="1"/>
    </xf>
    <xf numFmtId="175" fontId="335" fillId="0" borderId="136" xfId="2785" applyNumberFormat="1" applyFont="1" applyBorder="1" applyAlignment="1" applyProtection="1">
      <alignment horizontal="center" vertical="center"/>
      <protection hidden="1"/>
    </xf>
    <xf numFmtId="176" fontId="335" fillId="0" borderId="136" xfId="2785" applyNumberFormat="1" applyFont="1" applyBorder="1" applyAlignment="1" applyProtection="1">
      <alignment horizontal="center" vertical="center"/>
      <protection hidden="1"/>
    </xf>
    <xf numFmtId="211" fontId="358" fillId="75" borderId="136" xfId="0" applyNumberFormat="1" applyFont="1" applyFill="1" applyBorder="1" applyAlignment="1" applyProtection="1">
      <alignment horizontal="center" vertical="center"/>
      <protection hidden="1"/>
    </xf>
    <xf numFmtId="211" fontId="358" fillId="75" borderId="122" xfId="0" applyNumberFormat="1" applyFont="1" applyFill="1" applyBorder="1" applyAlignment="1" applyProtection="1">
      <alignment horizontal="center" vertical="center"/>
      <protection hidden="1"/>
    </xf>
    <xf numFmtId="176" fontId="34" fillId="0" borderId="136" xfId="2785" applyNumberFormat="1" applyFont="1" applyBorder="1" applyAlignment="1" applyProtection="1">
      <alignment horizontal="center" vertical="center"/>
      <protection hidden="1"/>
    </xf>
    <xf numFmtId="176" fontId="335" fillId="0" borderId="136" xfId="2785" applyNumberFormat="1" applyFont="1" applyFill="1" applyBorder="1" applyAlignment="1" applyProtection="1">
      <alignment horizontal="center" vertical="center"/>
      <protection hidden="1"/>
    </xf>
    <xf numFmtId="176" fontId="34" fillId="0" borderId="122" xfId="2785" applyNumberFormat="1" applyFont="1" applyBorder="1" applyAlignment="1" applyProtection="1">
      <alignment horizontal="center" vertical="center"/>
      <protection hidden="1"/>
    </xf>
    <xf numFmtId="362" fontId="34" fillId="0" borderId="136" xfId="2785" applyNumberFormat="1" applyFont="1" applyBorder="1" applyAlignment="1" applyProtection="1">
      <alignment horizontal="center" vertical="center"/>
      <protection hidden="1"/>
    </xf>
    <xf numFmtId="176" fontId="34" fillId="0" borderId="136" xfId="2785" applyNumberFormat="1" applyFont="1" applyFill="1" applyBorder="1" applyAlignment="1" applyProtection="1">
      <alignment horizontal="center" vertical="center"/>
      <protection hidden="1"/>
    </xf>
    <xf numFmtId="176" fontId="34" fillId="0" borderId="133" xfId="2785" applyNumberFormat="1" applyFont="1" applyBorder="1" applyAlignment="1" applyProtection="1">
      <alignment horizontal="center" vertical="center"/>
      <protection hidden="1"/>
    </xf>
    <xf numFmtId="176" fontId="34" fillId="0" borderId="132" xfId="2785" applyNumberFormat="1" applyFont="1" applyBorder="1" applyAlignment="1" applyProtection="1">
      <alignment horizontal="center" vertical="center"/>
      <protection hidden="1"/>
    </xf>
    <xf numFmtId="0" fontId="35" fillId="0" borderId="136" xfId="0" applyFont="1" applyBorder="1" applyAlignment="1" applyProtection="1">
      <alignment vertical="center"/>
      <protection hidden="1"/>
    </xf>
    <xf numFmtId="173" fontId="34" fillId="0" borderId="136" xfId="0" applyNumberFormat="1" applyFont="1" applyBorder="1" applyAlignment="1" applyProtection="1">
      <alignment vertical="center"/>
      <protection hidden="1"/>
    </xf>
    <xf numFmtId="353" fontId="34" fillId="0" borderId="136" xfId="0" applyNumberFormat="1" applyFont="1" applyBorder="1" applyAlignment="1" applyProtection="1">
      <alignment vertical="center"/>
      <protection hidden="1"/>
    </xf>
    <xf numFmtId="173" fontId="1" fillId="0" borderId="0" xfId="5254" applyNumberFormat="1" applyFont="1" applyFill="1"/>
    <xf numFmtId="173" fontId="335" fillId="0" borderId="130" xfId="5254" applyNumberFormat="1" applyFont="1" applyBorder="1"/>
    <xf numFmtId="177" fontId="1" fillId="74" borderId="123" xfId="0" applyNumberFormat="1" applyFont="1" applyFill="1" applyBorder="1" applyAlignment="1">
      <alignment horizontal="center"/>
    </xf>
    <xf numFmtId="177" fontId="1" fillId="74" borderId="130" xfId="0" applyNumberFormat="1" applyFont="1" applyFill="1" applyBorder="1" applyAlignment="1">
      <alignment horizontal="center"/>
    </xf>
    <xf numFmtId="177" fontId="1" fillId="74" borderId="71" xfId="0" applyNumberFormat="1" applyFont="1" applyFill="1" applyBorder="1" applyAlignment="1">
      <alignment horizontal="center"/>
    </xf>
    <xf numFmtId="43" fontId="335" fillId="0" borderId="130" xfId="5254" applyFont="1" applyBorder="1"/>
    <xf numFmtId="0" fontId="368" fillId="0" borderId="130" xfId="0" applyFont="1" applyBorder="1" applyAlignment="1">
      <alignment horizontal="center"/>
    </xf>
    <xf numFmtId="359" fontId="1" fillId="0" borderId="34" xfId="2785" applyNumberFormat="1" applyFont="1" applyBorder="1" applyAlignment="1" applyProtection="1">
      <alignment horizontal="center" vertical="center"/>
      <protection hidden="1"/>
    </xf>
    <xf numFmtId="221" fontId="335" fillId="0" borderId="130" xfId="1" applyNumberFormat="1" applyFont="1" applyBorder="1"/>
    <xf numFmtId="0" fontId="368" fillId="0" borderId="128" xfId="0" applyFont="1" applyBorder="1" applyAlignment="1">
      <alignment horizontal="center"/>
    </xf>
    <xf numFmtId="359" fontId="34" fillId="0" borderId="128" xfId="2785" applyNumberFormat="1" applyFont="1" applyBorder="1" applyAlignment="1" applyProtection="1">
      <alignment horizontal="center" vertical="center"/>
      <protection hidden="1"/>
    </xf>
    <xf numFmtId="0" fontId="0" fillId="0" borderId="123" xfId="0" applyBorder="1"/>
    <xf numFmtId="0" fontId="368" fillId="0" borderId="123" xfId="0" applyFont="1" applyBorder="1" applyAlignment="1">
      <alignment horizontal="center"/>
    </xf>
    <xf numFmtId="3" fontId="335" fillId="0" borderId="128" xfId="5254" applyNumberFormat="1" applyFont="1" applyFill="1" applyBorder="1" applyAlignment="1">
      <alignment horizontal="center"/>
    </xf>
    <xf numFmtId="1" fontId="1" fillId="0" borderId="0" xfId="0" applyNumberFormat="1" applyFont="1" applyAlignment="1">
      <alignment horizontal="center"/>
    </xf>
    <xf numFmtId="49" fontId="1" fillId="0" borderId="0" xfId="0" applyNumberFormat="1" applyFont="1" applyAlignment="1">
      <alignment horizontal="center"/>
    </xf>
    <xf numFmtId="3" fontId="1" fillId="0" borderId="128" xfId="5254" applyNumberFormat="1" applyFont="1" applyFill="1" applyBorder="1" applyAlignment="1">
      <alignment horizontal="center" vertical="center"/>
    </xf>
    <xf numFmtId="3" fontId="34" fillId="0" borderId="123" xfId="0" applyNumberFormat="1" applyFont="1" applyBorder="1" applyAlignment="1">
      <alignment horizontal="center" vertical="center"/>
    </xf>
    <xf numFmtId="0" fontId="380" fillId="0" borderId="124" xfId="0" applyFont="1" applyBorder="1" applyAlignment="1">
      <alignment horizontal="center" vertical="center" wrapText="1"/>
    </xf>
    <xf numFmtId="0" fontId="380" fillId="0" borderId="126" xfId="0" applyFont="1" applyBorder="1"/>
    <xf numFmtId="0" fontId="380" fillId="0" borderId="123" xfId="0" applyFont="1" applyBorder="1"/>
    <xf numFmtId="0" fontId="380" fillId="0" borderId="129" xfId="0" applyFont="1" applyBorder="1"/>
    <xf numFmtId="17" fontId="380" fillId="0" borderId="124" xfId="0" applyNumberFormat="1" applyFont="1" applyBorder="1" applyAlignment="1">
      <alignment horizontal="center"/>
    </xf>
    <xf numFmtId="4" fontId="1" fillId="0" borderId="0" xfId="0" applyNumberFormat="1" applyFont="1" applyAlignment="1">
      <alignment horizontal="center"/>
    </xf>
    <xf numFmtId="3" fontId="358" fillId="75" borderId="124" xfId="0" applyNumberFormat="1" applyFont="1" applyFill="1" applyBorder="1" applyAlignment="1">
      <alignment horizontal="center" vertical="center"/>
    </xf>
    <xf numFmtId="3" fontId="358" fillId="75" borderId="124" xfId="2785" applyNumberFormat="1" applyFont="1" applyFill="1" applyBorder="1" applyAlignment="1">
      <alignment vertical="center" wrapText="1"/>
    </xf>
    <xf numFmtId="3" fontId="358" fillId="75" borderId="124" xfId="2785" applyNumberFormat="1" applyFont="1" applyFill="1" applyBorder="1" applyAlignment="1">
      <alignment horizontal="center"/>
    </xf>
    <xf numFmtId="3" fontId="358" fillId="75" borderId="124" xfId="5254" applyNumberFormat="1" applyFont="1" applyFill="1" applyBorder="1" applyAlignment="1">
      <alignment horizontal="center"/>
    </xf>
    <xf numFmtId="3" fontId="358" fillId="75" borderId="124" xfId="0" applyNumberFormat="1" applyFont="1" applyFill="1" applyBorder="1"/>
    <xf numFmtId="3" fontId="1" fillId="0" borderId="0" xfId="0" applyNumberFormat="1" applyFont="1"/>
    <xf numFmtId="0" fontId="380" fillId="0" borderId="124" xfId="0" applyFont="1" applyBorder="1" applyAlignment="1">
      <alignment vertical="center" wrapText="1"/>
    </xf>
    <xf numFmtId="0" fontId="379" fillId="0" borderId="124" xfId="0" applyFont="1" applyBorder="1" applyAlignment="1">
      <alignment horizontal="center" vertical="center" wrapText="1"/>
    </xf>
    <xf numFmtId="0" fontId="340" fillId="0" borderId="124" xfId="0" applyFont="1" applyBorder="1" applyAlignment="1">
      <alignment horizontal="center" vertical="center"/>
    </xf>
    <xf numFmtId="353" fontId="34" fillId="0" borderId="124" xfId="5254" applyNumberFormat="1" applyFont="1" applyBorder="1"/>
    <xf numFmtId="173" fontId="0" fillId="0" borderId="124" xfId="5254" applyNumberFormat="1" applyFont="1" applyFill="1" applyBorder="1"/>
    <xf numFmtId="221" fontId="0" fillId="0" borderId="124" xfId="0" applyNumberFormat="1" applyBorder="1"/>
    <xf numFmtId="3" fontId="0" fillId="0" borderId="124" xfId="0" applyNumberFormat="1" applyBorder="1"/>
    <xf numFmtId="0" fontId="380" fillId="0" borderId="124" xfId="0" applyFont="1" applyBorder="1" applyAlignment="1">
      <alignment horizontal="center" vertical="center"/>
    </xf>
    <xf numFmtId="353" fontId="34" fillId="0" borderId="124" xfId="0" applyNumberFormat="1" applyFont="1" applyBorder="1"/>
    <xf numFmtId="173" fontId="379" fillId="0" borderId="124" xfId="5254" applyNumberFormat="1" applyFont="1" applyFill="1" applyBorder="1"/>
    <xf numFmtId="353" fontId="379" fillId="0" borderId="124" xfId="5254" applyNumberFormat="1" applyFont="1" applyFill="1" applyBorder="1"/>
    <xf numFmtId="0" fontId="35" fillId="74" borderId="127" xfId="4112" applyFont="1" applyFill="1" applyBorder="1" applyAlignment="1">
      <alignment horizontal="center" vertical="center" wrapText="1"/>
    </xf>
    <xf numFmtId="1" fontId="35" fillId="74" borderId="124" xfId="5345" quotePrefix="1" applyNumberFormat="1" applyFont="1" applyFill="1" applyBorder="1" applyAlignment="1">
      <alignment horizontal="center" vertical="center" wrapText="1"/>
    </xf>
    <xf numFmtId="1" fontId="35" fillId="74" borderId="135" xfId="5345" quotePrefix="1" applyNumberFormat="1" applyFont="1" applyFill="1" applyBorder="1" applyAlignment="1">
      <alignment horizontal="center" vertical="center" wrapText="1"/>
    </xf>
    <xf numFmtId="0" fontId="34" fillId="74" borderId="137" xfId="5346" applyNumberFormat="1" applyFont="1" applyFill="1" applyBorder="1" applyAlignment="1">
      <alignment horizontal="left" vertical="center" wrapText="1"/>
    </xf>
    <xf numFmtId="176" fontId="335" fillId="74" borderId="137" xfId="4096" applyNumberFormat="1" applyFont="1" applyFill="1" applyBorder="1" applyAlignment="1">
      <alignment horizontal="center"/>
    </xf>
    <xf numFmtId="9" fontId="34" fillId="74" borderId="135" xfId="5" applyFont="1" applyFill="1" applyBorder="1" applyAlignment="1">
      <alignment horizontal="center"/>
    </xf>
    <xf numFmtId="0" fontId="34" fillId="74" borderId="136" xfId="5346" applyNumberFormat="1" applyFont="1" applyFill="1" applyBorder="1" applyAlignment="1">
      <alignment horizontal="left" vertical="center" wrapText="1"/>
    </xf>
    <xf numFmtId="176" fontId="335" fillId="74" borderId="136" xfId="4096" applyNumberFormat="1" applyFont="1" applyFill="1" applyBorder="1" applyAlignment="1">
      <alignment horizontal="center"/>
    </xf>
    <xf numFmtId="43" fontId="34" fillId="74" borderId="135" xfId="2785" applyFont="1" applyFill="1" applyBorder="1" applyAlignment="1">
      <alignment horizontal="center"/>
    </xf>
    <xf numFmtId="0" fontId="35" fillId="74" borderId="124" xfId="0" applyFont="1" applyFill="1" applyBorder="1" applyAlignment="1">
      <alignment horizontal="center" vertical="center"/>
    </xf>
    <xf numFmtId="2" fontId="35" fillId="74" borderId="135" xfId="5346" applyNumberFormat="1" applyFont="1" applyFill="1" applyBorder="1">
      <alignment horizontal="center" vertical="center" wrapText="1"/>
    </xf>
    <xf numFmtId="1" fontId="35" fillId="74" borderId="124" xfId="5345" quotePrefix="1" applyNumberFormat="1" applyFont="1" applyFill="1" applyBorder="1" applyAlignment="1">
      <alignment horizontal="center" vertical="center"/>
    </xf>
    <xf numFmtId="1" fontId="35" fillId="74" borderId="135" xfId="5345" quotePrefix="1" applyNumberFormat="1" applyFont="1" applyFill="1" applyBorder="1" applyAlignment="1">
      <alignment horizontal="center" vertical="center"/>
    </xf>
    <xf numFmtId="0" fontId="34" fillId="74" borderId="137" xfId="0" applyFont="1" applyFill="1" applyBorder="1" applyAlignment="1">
      <alignment horizontal="left" vertical="center"/>
    </xf>
    <xf numFmtId="9" fontId="335" fillId="74" borderId="137" xfId="5" applyFont="1" applyFill="1" applyBorder="1" applyAlignment="1">
      <alignment horizontal="center" vertical="center"/>
    </xf>
    <xf numFmtId="9" fontId="396" fillId="74" borderId="135" xfId="5" applyFont="1" applyFill="1" applyBorder="1" applyAlignment="1">
      <alignment horizontal="center" vertical="center"/>
    </xf>
    <xf numFmtId="0" fontId="0" fillId="74" borderId="137" xfId="0" applyFill="1" applyBorder="1" applyAlignment="1">
      <alignment horizontal="left" vertical="center"/>
    </xf>
    <xf numFmtId="9" fontId="335" fillId="74" borderId="136" xfId="5" applyFont="1" applyFill="1" applyBorder="1" applyAlignment="1">
      <alignment horizontal="center" vertical="center"/>
    </xf>
    <xf numFmtId="0" fontId="35" fillId="74" borderId="124" xfId="0" applyFont="1" applyFill="1" applyBorder="1"/>
    <xf numFmtId="9" fontId="367" fillId="74" borderId="124" xfId="5" applyFont="1" applyFill="1" applyBorder="1" applyAlignment="1">
      <alignment horizontal="center" vertical="center"/>
    </xf>
    <xf numFmtId="0" fontId="35" fillId="74" borderId="126" xfId="4112" applyFont="1" applyFill="1" applyBorder="1" applyAlignment="1">
      <alignment horizontal="center" vertical="center" wrapText="1"/>
    </xf>
    <xf numFmtId="175" fontId="34" fillId="74" borderId="137" xfId="0" applyNumberFormat="1" applyFont="1" applyFill="1" applyBorder="1" applyAlignment="1">
      <alignment horizontal="center"/>
    </xf>
    <xf numFmtId="175" fontId="34" fillId="74" borderId="136" xfId="0" applyNumberFormat="1" applyFont="1" applyFill="1" applyBorder="1" applyAlignment="1">
      <alignment horizontal="center"/>
    </xf>
    <xf numFmtId="175" fontId="335" fillId="74" borderId="136" xfId="0" applyNumberFormat="1" applyFont="1" applyFill="1" applyBorder="1" applyAlignment="1">
      <alignment horizontal="center"/>
    </xf>
    <xf numFmtId="0" fontId="35" fillId="74" borderId="123" xfId="0" applyFont="1" applyFill="1" applyBorder="1"/>
    <xf numFmtId="175" fontId="35" fillId="74" borderId="124" xfId="0" applyNumberFormat="1" applyFont="1" applyFill="1" applyBorder="1" applyAlignment="1">
      <alignment horizontal="center"/>
    </xf>
    <xf numFmtId="0" fontId="35" fillId="74" borderId="124" xfId="4112" applyFont="1" applyFill="1" applyBorder="1" applyAlignment="1">
      <alignment horizontal="center" vertical="center"/>
    </xf>
    <xf numFmtId="49" fontId="35" fillId="74" borderId="124" xfId="4112" applyNumberFormat="1" applyFont="1" applyFill="1" applyBorder="1" applyAlignment="1">
      <alignment horizontal="center" vertical="center" wrapText="1"/>
    </xf>
    <xf numFmtId="0" fontId="34" fillId="74" borderId="137" xfId="4112" applyFill="1" applyBorder="1" applyAlignment="1">
      <alignment horizontal="center" vertical="center"/>
    </xf>
    <xf numFmtId="224" fontId="34" fillId="74" borderId="137" xfId="4096" applyFont="1" applyFill="1" applyBorder="1"/>
    <xf numFmtId="175" fontId="335" fillId="74" borderId="137" xfId="4096" applyNumberFormat="1" applyFont="1" applyFill="1" applyBorder="1" applyAlignment="1">
      <alignment horizontal="center"/>
    </xf>
    <xf numFmtId="0" fontId="34" fillId="74" borderId="136" xfId="4112" applyFill="1" applyBorder="1" applyAlignment="1">
      <alignment horizontal="center" vertical="center"/>
    </xf>
    <xf numFmtId="224" fontId="34" fillId="74" borderId="136" xfId="4096" applyFont="1" applyFill="1" applyBorder="1"/>
    <xf numFmtId="175" fontId="335" fillId="74" borderId="136" xfId="4096" applyNumberFormat="1" applyFont="1" applyFill="1" applyBorder="1" applyAlignment="1">
      <alignment horizontal="center"/>
    </xf>
    <xf numFmtId="175" fontId="335" fillId="74" borderId="133" xfId="4096" applyNumberFormat="1" applyFont="1" applyFill="1" applyBorder="1" applyAlignment="1">
      <alignment horizontal="center"/>
    </xf>
    <xf numFmtId="176" fontId="335" fillId="74" borderId="133" xfId="4096" applyNumberFormat="1" applyFont="1" applyFill="1" applyBorder="1" applyAlignment="1">
      <alignment horizontal="center"/>
    </xf>
    <xf numFmtId="0" fontId="35" fillId="74" borderId="124" xfId="4112" applyFont="1" applyFill="1" applyBorder="1"/>
    <xf numFmtId="175" fontId="367" fillId="74" borderId="133" xfId="5346" applyNumberFormat="1" applyFont="1" applyFill="1" applyBorder="1">
      <alignment horizontal="center" vertical="center" wrapText="1"/>
    </xf>
    <xf numFmtId="49" fontId="35" fillId="74" borderId="127" xfId="4112" applyNumberFormat="1" applyFont="1" applyFill="1" applyBorder="1" applyAlignment="1">
      <alignment horizontal="center" vertical="center" wrapText="1"/>
    </xf>
    <xf numFmtId="0" fontId="34" fillId="74" borderId="137" xfId="4096" applyNumberFormat="1" applyFont="1" applyFill="1" applyBorder="1" applyAlignment="1">
      <alignment horizontal="center" vertical="center"/>
    </xf>
    <xf numFmtId="9" fontId="335" fillId="74" borderId="137" xfId="5" applyFont="1" applyFill="1" applyBorder="1" applyAlignment="1">
      <alignment horizontal="center"/>
    </xf>
    <xf numFmtId="0" fontId="34" fillId="74" borderId="136" xfId="4096" applyNumberFormat="1" applyFont="1" applyFill="1" applyBorder="1" applyAlignment="1">
      <alignment horizontal="center" vertical="center"/>
    </xf>
    <xf numFmtId="9" fontId="335" fillId="74" borderId="136" xfId="5" applyFont="1" applyFill="1" applyBorder="1" applyAlignment="1">
      <alignment horizontal="center"/>
    </xf>
    <xf numFmtId="224" fontId="34" fillId="74" borderId="133" xfId="4096" applyFont="1" applyFill="1" applyBorder="1"/>
    <xf numFmtId="0" fontId="34" fillId="74" borderId="133" xfId="4096" applyNumberFormat="1" applyFont="1" applyFill="1" applyBorder="1" applyAlignment="1">
      <alignment horizontal="center" vertical="center"/>
    </xf>
    <xf numFmtId="9" fontId="335" fillId="74" borderId="133" xfId="5" applyFont="1" applyFill="1" applyBorder="1" applyAlignment="1">
      <alignment horizontal="center"/>
    </xf>
    <xf numFmtId="0" fontId="34" fillId="74" borderId="124" xfId="4112" applyFill="1" applyBorder="1" applyAlignment="1">
      <alignment horizontal="center" vertical="center"/>
    </xf>
    <xf numFmtId="9" fontId="367" fillId="74" borderId="124" xfId="5" applyFont="1" applyFill="1" applyBorder="1" applyAlignment="1">
      <alignment horizontal="center" vertical="center" wrapText="1"/>
    </xf>
    <xf numFmtId="2" fontId="335" fillId="74" borderId="137" xfId="4096" applyNumberFormat="1" applyFont="1" applyFill="1" applyBorder="1" applyAlignment="1">
      <alignment horizontal="center" vertical="center"/>
    </xf>
    <xf numFmtId="175" fontId="335" fillId="74" borderId="137" xfId="5" applyNumberFormat="1" applyFont="1" applyFill="1" applyBorder="1" applyAlignment="1">
      <alignment horizontal="center"/>
    </xf>
    <xf numFmtId="175" fontId="34" fillId="74" borderId="137" xfId="5" applyNumberFormat="1" applyFont="1" applyFill="1" applyBorder="1" applyAlignment="1">
      <alignment horizontal="center"/>
    </xf>
    <xf numFmtId="175" fontId="39" fillId="74" borderId="137" xfId="5" applyNumberFormat="1" applyFont="1" applyFill="1" applyBorder="1" applyAlignment="1">
      <alignment horizontal="center"/>
    </xf>
    <xf numFmtId="2" fontId="335" fillId="74" borderId="136" xfId="4096" applyNumberFormat="1" applyFont="1" applyFill="1" applyBorder="1" applyAlignment="1">
      <alignment horizontal="center" vertical="center"/>
    </xf>
    <xf numFmtId="175" fontId="335" fillId="74" borderId="136" xfId="5" applyNumberFormat="1" applyFont="1" applyFill="1" applyBorder="1" applyAlignment="1">
      <alignment horizontal="center"/>
    </xf>
    <xf numFmtId="175" fontId="34" fillId="74" borderId="136" xfId="5" applyNumberFormat="1" applyFont="1" applyFill="1" applyBorder="1" applyAlignment="1">
      <alignment horizontal="center"/>
    </xf>
    <xf numFmtId="175" fontId="39" fillId="74" borderId="136" xfId="5" applyNumberFormat="1" applyFont="1" applyFill="1" applyBorder="1" applyAlignment="1">
      <alignment horizontal="center"/>
    </xf>
    <xf numFmtId="0" fontId="34" fillId="74" borderId="133" xfId="4112" applyFill="1" applyBorder="1" applyAlignment="1">
      <alignment horizontal="center" vertical="center"/>
    </xf>
    <xf numFmtId="0" fontId="34" fillId="74" borderId="133" xfId="5346" applyNumberFormat="1" applyFont="1" applyFill="1" applyBorder="1" applyAlignment="1">
      <alignment horizontal="left" vertical="center" wrapText="1"/>
    </xf>
    <xf numFmtId="2" fontId="335" fillId="74" borderId="133" xfId="5346" applyNumberFormat="1" applyFill="1" applyBorder="1">
      <alignment horizontal="center" vertical="center" wrapText="1"/>
    </xf>
    <xf numFmtId="175" fontId="335" fillId="74" borderId="133" xfId="2785" applyNumberFormat="1" applyFont="1" applyFill="1" applyBorder="1" applyAlignment="1">
      <alignment horizontal="center" vertical="center" wrapText="1"/>
    </xf>
    <xf numFmtId="175" fontId="34" fillId="74" borderId="133" xfId="5" applyNumberFormat="1" applyFont="1" applyFill="1" applyBorder="1" applyAlignment="1">
      <alignment horizontal="center"/>
    </xf>
    <xf numFmtId="175" fontId="39" fillId="74" borderId="133" xfId="5" applyNumberFormat="1" applyFont="1" applyFill="1" applyBorder="1" applyAlignment="1">
      <alignment horizontal="center"/>
    </xf>
    <xf numFmtId="0" fontId="34" fillId="74" borderId="123" xfId="0" applyFont="1" applyFill="1" applyBorder="1" applyAlignment="1">
      <alignment horizontal="left" vertical="center"/>
    </xf>
    <xf numFmtId="1" fontId="34" fillId="74" borderId="123" xfId="2785" applyNumberFormat="1" applyFont="1" applyFill="1" applyBorder="1" applyAlignment="1">
      <alignment horizontal="center" vertical="center"/>
    </xf>
    <xf numFmtId="176" fontId="34" fillId="74" borderId="124" xfId="0" applyNumberFormat="1" applyFont="1" applyFill="1" applyBorder="1" applyAlignment="1" applyProtection="1">
      <alignment vertical="center"/>
      <protection hidden="1"/>
    </xf>
    <xf numFmtId="3" fontId="39" fillId="75" borderId="133" xfId="3" applyNumberFormat="1" applyFont="1" applyFill="1" applyBorder="1">
      <alignment horizontal="center" vertical="center" wrapText="1"/>
    </xf>
    <xf numFmtId="0" fontId="34" fillId="81" borderId="136" xfId="0" applyFont="1" applyFill="1" applyBorder="1"/>
    <xf numFmtId="176" fontId="39" fillId="81" borderId="136" xfId="3" applyNumberFormat="1" applyFont="1" applyFill="1" applyBorder="1">
      <alignment horizontal="center" vertical="center" wrapText="1"/>
    </xf>
    <xf numFmtId="0" fontId="0" fillId="81" borderId="136" xfId="0" applyFill="1" applyBorder="1" applyAlignment="1">
      <alignment horizontal="center" vertical="center"/>
    </xf>
    <xf numFmtId="350" fontId="34" fillId="74" borderId="0" xfId="0" applyNumberFormat="1" applyFont="1" applyFill="1"/>
    <xf numFmtId="350" fontId="35" fillId="0" borderId="0" xfId="194" applyNumberFormat="1" applyFont="1" applyFill="1" applyBorder="1">
      <alignment horizontal="center" vertical="center" wrapText="1"/>
    </xf>
    <xf numFmtId="43" fontId="35" fillId="105" borderId="124" xfId="2785" applyFont="1" applyFill="1" applyBorder="1" applyAlignment="1" applyProtection="1">
      <alignment horizontal="center" vertical="center"/>
      <protection hidden="1"/>
    </xf>
    <xf numFmtId="0" fontId="415" fillId="0" borderId="124" xfId="0" applyFont="1" applyBorder="1" applyAlignment="1">
      <alignment horizontal="left" wrapText="1"/>
    </xf>
    <xf numFmtId="173" fontId="412" fillId="0" borderId="124" xfId="2785" applyNumberFormat="1" applyFont="1" applyBorder="1" applyAlignment="1">
      <alignment horizontal="center"/>
    </xf>
    <xf numFmtId="10" fontId="0" fillId="0" borderId="124" xfId="0" applyNumberFormat="1" applyBorder="1" applyAlignment="1">
      <alignment horizontal="left" vertical="center"/>
    </xf>
    <xf numFmtId="1" fontId="412" fillId="0" borderId="124" xfId="2785" applyNumberFormat="1" applyFont="1" applyBorder="1" applyAlignment="1">
      <alignment horizontal="center"/>
    </xf>
    <xf numFmtId="0" fontId="416" fillId="0" borderId="124" xfId="0" applyFont="1" applyBorder="1" applyAlignment="1">
      <alignment horizontal="left" wrapText="1"/>
    </xf>
    <xf numFmtId="173" fontId="413" fillId="0" borderId="124" xfId="2785" applyNumberFormat="1" applyFont="1" applyBorder="1" applyAlignment="1">
      <alignment horizontal="center"/>
    </xf>
    <xf numFmtId="173" fontId="35" fillId="0" borderId="124" xfId="2785" applyNumberFormat="1" applyFont="1" applyBorder="1"/>
    <xf numFmtId="0" fontId="414" fillId="0" borderId="124" xfId="5348" applyBorder="1" applyAlignment="1">
      <alignment horizontal="center"/>
    </xf>
    <xf numFmtId="0" fontId="414" fillId="0" borderId="124" xfId="5349" applyBorder="1"/>
    <xf numFmtId="0" fontId="414" fillId="0" borderId="124" xfId="5350" applyBorder="1" applyAlignment="1">
      <alignment horizontal="center"/>
    </xf>
    <xf numFmtId="0" fontId="35" fillId="0" borderId="124" xfId="0" applyFont="1" applyBorder="1" applyAlignment="1">
      <alignment horizontal="center"/>
    </xf>
    <xf numFmtId="0" fontId="414" fillId="0" borderId="124" xfId="5349" applyBorder="1" applyAlignment="1">
      <alignment horizontal="center"/>
    </xf>
    <xf numFmtId="0" fontId="41" fillId="0" borderId="123" xfId="5284" applyFont="1" applyBorder="1" applyAlignment="1">
      <alignment horizontal="center" vertical="center"/>
    </xf>
    <xf numFmtId="0" fontId="1" fillId="0" borderId="129" xfId="5284" applyFont="1" applyBorder="1" applyAlignment="1">
      <alignment horizontal="right" vertical="center"/>
    </xf>
    <xf numFmtId="0" fontId="35" fillId="79" borderId="126" xfId="5284" applyFont="1" applyFill="1" applyBorder="1"/>
    <xf numFmtId="0" fontId="35" fillId="79" borderId="123" xfId="5284" applyFont="1" applyFill="1" applyBorder="1"/>
    <xf numFmtId="0" fontId="35" fillId="79" borderId="129" xfId="5284" applyFont="1" applyFill="1" applyBorder="1"/>
    <xf numFmtId="0" fontId="41" fillId="106" borderId="126" xfId="5284" applyFont="1" applyFill="1" applyBorder="1"/>
    <xf numFmtId="0" fontId="41" fillId="106" borderId="123" xfId="5284" applyFont="1" applyFill="1" applyBorder="1" applyAlignment="1">
      <alignment horizontal="center" vertical="center"/>
    </xf>
    <xf numFmtId="355" fontId="41" fillId="106" borderId="123" xfId="5284" applyNumberFormat="1" applyFont="1" applyFill="1" applyBorder="1"/>
    <xf numFmtId="0" fontId="41" fillId="106" borderId="129" xfId="5284" applyFont="1" applyFill="1" applyBorder="1" applyAlignment="1">
      <alignment horizontal="center" vertical="center"/>
    </xf>
    <xf numFmtId="355" fontId="41" fillId="106" borderId="123" xfId="5284" applyNumberFormat="1" applyFont="1" applyFill="1" applyBorder="1" applyAlignment="1">
      <alignment horizontal="center" vertical="center"/>
    </xf>
    <xf numFmtId="0" fontId="1" fillId="0" borderId="123" xfId="5284" applyFont="1" applyBorder="1" applyAlignment="1">
      <alignment horizontal="center" vertical="center" wrapText="1"/>
    </xf>
    <xf numFmtId="0" fontId="41" fillId="0" borderId="126" xfId="5284" applyFont="1" applyBorder="1" applyAlignment="1">
      <alignment vertical="center"/>
    </xf>
    <xf numFmtId="171" fontId="41" fillId="0" borderId="123" xfId="5284" applyNumberFormat="1" applyFont="1" applyBorder="1" applyAlignment="1">
      <alignment horizontal="center" vertical="center"/>
    </xf>
    <xf numFmtId="0" fontId="387" fillId="0" borderId="0" xfId="5284" applyFont="1"/>
    <xf numFmtId="0" fontId="387" fillId="0" borderId="0" xfId="5284" applyFont="1" applyAlignment="1">
      <alignment horizontal="center" vertical="center"/>
    </xf>
    <xf numFmtId="224" fontId="0" fillId="0" borderId="0" xfId="4241" applyFont="1" applyAlignment="1">
      <alignment horizontal="left" vertical="center"/>
    </xf>
    <xf numFmtId="0" fontId="35" fillId="76" borderId="124" xfId="6" applyFont="1" applyFill="1" applyBorder="1" applyAlignment="1">
      <alignment horizontal="center" vertical="center" wrapText="1"/>
    </xf>
    <xf numFmtId="0" fontId="35" fillId="76" borderId="124" xfId="194" applyFont="1" applyFill="1" applyBorder="1">
      <alignment horizontal="center" vertical="center" wrapText="1"/>
    </xf>
    <xf numFmtId="49" fontId="35" fillId="76" borderId="124" xfId="194" applyNumberFormat="1" applyFont="1" applyFill="1" applyBorder="1">
      <alignment horizontal="center" vertical="center" wrapText="1"/>
    </xf>
    <xf numFmtId="350" fontId="39" fillId="75" borderId="124" xfId="194" applyNumberFormat="1" applyFont="1" applyFill="1" applyBorder="1">
      <alignment horizontal="center" vertical="center" wrapText="1"/>
    </xf>
    <xf numFmtId="0" fontId="35" fillId="76" borderId="124" xfId="6" applyFont="1" applyFill="1" applyBorder="1">
      <alignment horizontal="left" vertical="center" wrapText="1"/>
    </xf>
    <xf numFmtId="0" fontId="35" fillId="2" borderId="138" xfId="5329" applyFont="1" applyFill="1" applyBorder="1">
      <alignment horizontal="center" vertical="center" wrapText="1"/>
    </xf>
    <xf numFmtId="0" fontId="1" fillId="0" borderId="138" xfId="5327" applyFont="1" applyBorder="1" applyAlignment="1">
      <alignment horizontal="left" vertical="center"/>
    </xf>
    <xf numFmtId="0" fontId="1" fillId="0" borderId="122" xfId="5327" applyFont="1" applyBorder="1" applyAlignment="1">
      <alignment horizontal="left" vertical="center"/>
    </xf>
    <xf numFmtId="0" fontId="335" fillId="0" borderId="122" xfId="5327" applyFont="1" applyBorder="1" applyAlignment="1">
      <alignment horizontal="left" vertical="center"/>
    </xf>
    <xf numFmtId="0" fontId="1" fillId="0" borderId="132" xfId="5327" applyFont="1" applyBorder="1" applyAlignment="1">
      <alignment horizontal="left" vertical="center"/>
    </xf>
    <xf numFmtId="0" fontId="33" fillId="93" borderId="128" xfId="0" applyFont="1" applyFill="1" applyBorder="1" applyAlignment="1" applyProtection="1">
      <alignment horizontal="left" vertical="center"/>
      <protection hidden="1"/>
    </xf>
    <xf numFmtId="0" fontId="33" fillId="93" borderId="128" xfId="0" applyFont="1" applyFill="1" applyBorder="1" applyAlignment="1" applyProtection="1">
      <alignment vertical="center"/>
      <protection hidden="1"/>
    </xf>
    <xf numFmtId="350" fontId="33" fillId="93" borderId="128" xfId="2785" applyNumberFormat="1" applyFont="1" applyFill="1" applyBorder="1" applyAlignment="1" applyProtection="1">
      <alignment horizontal="center" vertical="center"/>
      <protection hidden="1"/>
    </xf>
    <xf numFmtId="0" fontId="36" fillId="93" borderId="132" xfId="0" applyFont="1" applyFill="1" applyBorder="1"/>
    <xf numFmtId="0" fontId="33" fillId="11" borderId="123" xfId="0" applyFont="1" applyFill="1" applyBorder="1" applyAlignment="1" applyProtection="1">
      <alignment horizontal="left" vertical="center"/>
      <protection hidden="1"/>
    </xf>
    <xf numFmtId="0" fontId="33" fillId="11" borderId="123" xfId="0" applyFont="1" applyFill="1" applyBorder="1" applyAlignment="1" applyProtection="1">
      <alignment vertical="center"/>
      <protection hidden="1"/>
    </xf>
    <xf numFmtId="350" fontId="33" fillId="11" borderId="129" xfId="2785" applyNumberFormat="1" applyFont="1" applyFill="1" applyBorder="1" applyAlignment="1" applyProtection="1">
      <alignment horizontal="center" vertical="center"/>
      <protection hidden="1"/>
    </xf>
    <xf numFmtId="353" fontId="33" fillId="0" borderId="0" xfId="2785" applyNumberFormat="1" applyFont="1" applyAlignment="1" applyProtection="1">
      <alignment vertical="center"/>
      <protection hidden="1"/>
    </xf>
    <xf numFmtId="2" fontId="33" fillId="0" borderId="0" xfId="5" applyNumberFormat="1" applyFont="1" applyAlignment="1" applyProtection="1">
      <alignment horizontal="center" vertical="center"/>
      <protection hidden="1"/>
    </xf>
    <xf numFmtId="0" fontId="34" fillId="74" borderId="139" xfId="0" applyFont="1" applyFill="1" applyBorder="1"/>
    <xf numFmtId="0" fontId="34" fillId="74" borderId="141" xfId="0" applyFont="1" applyFill="1" applyBorder="1"/>
    <xf numFmtId="0" fontId="34" fillId="74" borderId="142" xfId="0" applyFont="1" applyFill="1" applyBorder="1"/>
    <xf numFmtId="350" fontId="34" fillId="74" borderId="142" xfId="0" applyNumberFormat="1" applyFont="1" applyFill="1" applyBorder="1"/>
    <xf numFmtId="0" fontId="34" fillId="74" borderId="143" xfId="0" applyFont="1" applyFill="1" applyBorder="1"/>
    <xf numFmtId="0" fontId="35" fillId="74" borderId="143" xfId="0" applyFont="1" applyFill="1" applyBorder="1"/>
    <xf numFmtId="350" fontId="35" fillId="74" borderId="144" xfId="0" applyNumberFormat="1" applyFont="1" applyFill="1" applyBorder="1"/>
    <xf numFmtId="0" fontId="35" fillId="74" borderId="124" xfId="0" applyFont="1" applyFill="1" applyBorder="1" applyAlignment="1">
      <alignment horizontal="right"/>
    </xf>
    <xf numFmtId="364" fontId="34" fillId="74" borderId="140" xfId="0" applyNumberFormat="1" applyFont="1" applyFill="1" applyBorder="1"/>
    <xf numFmtId="364" fontId="34" fillId="74" borderId="142" xfId="0" applyNumberFormat="1" applyFont="1" applyFill="1" applyBorder="1"/>
    <xf numFmtId="0" fontId="35" fillId="74" borderId="0" xfId="0" applyFont="1" applyFill="1" applyAlignment="1">
      <alignment horizontal="left"/>
    </xf>
    <xf numFmtId="350" fontId="34" fillId="74" borderId="144" xfId="0" applyNumberFormat="1" applyFont="1" applyFill="1" applyBorder="1"/>
    <xf numFmtId="173" fontId="34" fillId="0" borderId="124" xfId="5254" applyNumberFormat="1" applyFont="1" applyFill="1" applyBorder="1" applyAlignment="1" applyProtection="1">
      <alignment horizontal="left" vertical="center"/>
      <protection locked="0"/>
    </xf>
    <xf numFmtId="173" fontId="34" fillId="0" borderId="124" xfId="5254" applyNumberFormat="1" applyFont="1" applyFill="1" applyBorder="1" applyAlignment="1" applyProtection="1">
      <alignment horizontal="center" vertical="center"/>
      <protection locked="0"/>
    </xf>
    <xf numFmtId="173" fontId="35" fillId="0" borderId="124" xfId="5254" applyNumberFormat="1" applyFont="1" applyFill="1" applyBorder="1" applyAlignment="1" applyProtection="1">
      <alignment horizontal="left" vertical="center"/>
      <protection locked="0"/>
    </xf>
    <xf numFmtId="364" fontId="34" fillId="74" borderId="144" xfId="0" applyNumberFormat="1" applyFont="1" applyFill="1" applyBorder="1"/>
    <xf numFmtId="173" fontId="35" fillId="0" borderId="124" xfId="5254" applyNumberFormat="1" applyFont="1" applyFill="1" applyBorder="1" applyAlignment="1" applyProtection="1">
      <alignment horizontal="center" vertical="center"/>
      <protection locked="0"/>
    </xf>
    <xf numFmtId="175" fontId="399" fillId="0" borderId="0" xfId="2" applyNumberFormat="1" applyFont="1" applyAlignment="1">
      <alignment wrapText="1"/>
    </xf>
    <xf numFmtId="173" fontId="399" fillId="107" borderId="0" xfId="5254" applyNumberFormat="1" applyFont="1" applyFill="1" applyAlignment="1">
      <alignment horizontal="left" wrapText="1"/>
    </xf>
    <xf numFmtId="173" fontId="34" fillId="74" borderId="124" xfId="0" applyNumberFormat="1" applyFont="1" applyFill="1" applyBorder="1" applyAlignment="1">
      <alignment horizontal="right"/>
    </xf>
    <xf numFmtId="173" fontId="417" fillId="107" borderId="0" xfId="5254" applyNumberFormat="1" applyFont="1" applyFill="1" applyAlignment="1">
      <alignment horizontal="left" wrapText="1"/>
    </xf>
    <xf numFmtId="0" fontId="1" fillId="0" borderId="0" xfId="5284" applyFont="1" applyAlignment="1">
      <alignment horizontal="center" vertical="center"/>
    </xf>
    <xf numFmtId="0" fontId="0" fillId="0" borderId="148" xfId="0" applyBorder="1" applyAlignment="1">
      <alignment horizontal="center"/>
    </xf>
    <xf numFmtId="171" fontId="0" fillId="0" borderId="133" xfId="0" applyNumberFormat="1" applyBorder="1" applyAlignment="1">
      <alignment horizontal="center"/>
    </xf>
    <xf numFmtId="171" fontId="0" fillId="0" borderId="149" xfId="0" applyNumberFormat="1" applyBorder="1" applyAlignment="1">
      <alignment horizontal="center"/>
    </xf>
    <xf numFmtId="0" fontId="0" fillId="0" borderId="108" xfId="0" applyBorder="1" applyAlignment="1">
      <alignment horizontal="center"/>
    </xf>
    <xf numFmtId="171" fontId="0" fillId="0" borderId="124" xfId="0" applyNumberFormat="1" applyBorder="1" applyAlignment="1">
      <alignment horizontal="center"/>
    </xf>
    <xf numFmtId="171" fontId="0" fillId="0" borderId="110" xfId="0" applyNumberFormat="1" applyBorder="1" applyAlignment="1">
      <alignment horizontal="center"/>
    </xf>
    <xf numFmtId="0" fontId="0" fillId="0" borderId="119" xfId="0" applyBorder="1"/>
    <xf numFmtId="171" fontId="0" fillId="0" borderId="119" xfId="0" applyNumberFormat="1" applyBorder="1"/>
    <xf numFmtId="0" fontId="0" fillId="0" borderId="117" xfId="0" applyBorder="1"/>
    <xf numFmtId="365" fontId="0" fillId="0" borderId="108" xfId="0" applyNumberFormat="1" applyBorder="1" applyAlignment="1">
      <alignment horizontal="center"/>
    </xf>
    <xf numFmtId="365" fontId="0" fillId="0" borderId="116" xfId="0" applyNumberFormat="1" applyBorder="1" applyAlignment="1">
      <alignment horizontal="center"/>
    </xf>
    <xf numFmtId="171" fontId="0" fillId="0" borderId="119" xfId="0" applyNumberFormat="1" applyBorder="1" applyAlignment="1">
      <alignment horizontal="center"/>
    </xf>
    <xf numFmtId="171" fontId="0" fillId="0" borderId="117" xfId="0" applyNumberFormat="1" applyBorder="1" applyAlignment="1">
      <alignment horizontal="center"/>
    </xf>
    <xf numFmtId="0" fontId="419" fillId="0" borderId="0" xfId="0" applyFont="1"/>
    <xf numFmtId="0" fontId="412" fillId="0" borderId="0" xfId="0" applyFont="1"/>
    <xf numFmtId="0" fontId="413" fillId="0" borderId="0" xfId="0" applyFont="1"/>
    <xf numFmtId="0" fontId="412" fillId="0" borderId="0" xfId="0" applyFont="1" applyAlignment="1">
      <alignment horizontal="center"/>
    </xf>
    <xf numFmtId="0" fontId="418" fillId="108" borderId="116" xfId="0" applyFont="1" applyFill="1" applyBorder="1" applyAlignment="1">
      <alignment horizontal="center"/>
    </xf>
    <xf numFmtId="0" fontId="418" fillId="108" borderId="119" xfId="0" applyFont="1" applyFill="1" applyBorder="1" applyAlignment="1">
      <alignment horizontal="center"/>
    </xf>
    <xf numFmtId="0" fontId="418" fillId="108" borderId="117" xfId="0" applyFont="1" applyFill="1" applyBorder="1" applyAlignment="1">
      <alignment horizontal="center"/>
    </xf>
    <xf numFmtId="0" fontId="418" fillId="108" borderId="145" xfId="0" applyFont="1" applyFill="1" applyBorder="1" applyAlignment="1">
      <alignment horizontal="center"/>
    </xf>
    <xf numFmtId="0" fontId="418" fillId="108" borderId="146" xfId="0" applyFont="1" applyFill="1" applyBorder="1" applyAlignment="1">
      <alignment horizontal="center"/>
    </xf>
    <xf numFmtId="0" fontId="418" fillId="108" borderId="147" xfId="0" applyFont="1" applyFill="1" applyBorder="1" applyAlignment="1">
      <alignment horizontal="center"/>
    </xf>
    <xf numFmtId="0" fontId="413" fillId="0" borderId="116" xfId="0" applyFont="1" applyBorder="1"/>
    <xf numFmtId="2" fontId="412" fillId="0" borderId="119" xfId="0" applyNumberFormat="1" applyFont="1" applyBorder="1" applyAlignment="1">
      <alignment horizontal="center"/>
    </xf>
    <xf numFmtId="0" fontId="412" fillId="0" borderId="119" xfId="0" applyFont="1" applyBorder="1"/>
    <xf numFmtId="0" fontId="412" fillId="0" borderId="117" xfId="0" applyFont="1" applyBorder="1"/>
    <xf numFmtId="9" fontId="412" fillId="0" borderId="119" xfId="1" applyFont="1" applyBorder="1" applyAlignment="1">
      <alignment horizontal="center"/>
    </xf>
    <xf numFmtId="9" fontId="412" fillId="0" borderId="104" xfId="1" applyFont="1" applyBorder="1"/>
    <xf numFmtId="0" fontId="418" fillId="108" borderId="150" xfId="0" applyFont="1" applyFill="1" applyBorder="1" applyAlignment="1">
      <alignment horizontal="center"/>
    </xf>
    <xf numFmtId="0" fontId="418" fillId="108" borderId="151" xfId="0" applyFont="1" applyFill="1" applyBorder="1" applyAlignment="1">
      <alignment horizontal="center"/>
    </xf>
    <xf numFmtId="0" fontId="418" fillId="108" borderId="99" xfId="0" applyFont="1" applyFill="1" applyBorder="1" applyAlignment="1">
      <alignment horizontal="center"/>
    </xf>
    <xf numFmtId="0" fontId="418" fillId="108" borderId="152" xfId="0" applyFont="1" applyFill="1" applyBorder="1" applyAlignment="1">
      <alignment horizontal="center"/>
    </xf>
    <xf numFmtId="0" fontId="412" fillId="0" borderId="108" xfId="0" applyFont="1" applyBorder="1" applyAlignment="1">
      <alignment horizontal="left"/>
    </xf>
    <xf numFmtId="0" fontId="412" fillId="0" borderId="129" xfId="0" applyFont="1" applyBorder="1" applyAlignment="1">
      <alignment horizontal="left"/>
    </xf>
    <xf numFmtId="0" fontId="412" fillId="0" borderId="110" xfId="0" applyFont="1" applyBorder="1" applyAlignment="1">
      <alignment horizontal="center"/>
    </xf>
    <xf numFmtId="9" fontId="412" fillId="0" borderId="0" xfId="1" applyFont="1"/>
    <xf numFmtId="0" fontId="412" fillId="0" borderId="2" xfId="0" applyFont="1" applyBorder="1" applyAlignment="1">
      <alignment horizontal="left"/>
    </xf>
    <xf numFmtId="0" fontId="412" fillId="0" borderId="0" xfId="0" applyFont="1" applyAlignment="1">
      <alignment horizontal="left"/>
    </xf>
    <xf numFmtId="0" fontId="412" fillId="0" borderId="92" xfId="0" applyFont="1" applyBorder="1" applyAlignment="1">
      <alignment horizontal="center"/>
    </xf>
    <xf numFmtId="0" fontId="412" fillId="0" borderId="116" xfId="0" applyFont="1" applyBorder="1" applyAlignment="1">
      <alignment horizontal="left"/>
    </xf>
    <xf numFmtId="0" fontId="412" fillId="0" borderId="153" xfId="0" applyFont="1" applyBorder="1" applyAlignment="1">
      <alignment horizontal="left"/>
    </xf>
    <xf numFmtId="0" fontId="412" fillId="0" borderId="119" xfId="0" applyFont="1" applyBorder="1" applyAlignment="1">
      <alignment horizontal="center"/>
    </xf>
    <xf numFmtId="0" fontId="412" fillId="0" borderId="117" xfId="0" applyFont="1" applyBorder="1" applyAlignment="1">
      <alignment horizontal="center"/>
    </xf>
    <xf numFmtId="9" fontId="0" fillId="0" borderId="134" xfId="1" applyFont="1" applyBorder="1" applyAlignment="1">
      <alignment horizontal="right"/>
    </xf>
    <xf numFmtId="9" fontId="0" fillId="0" borderId="134" xfId="1" applyFont="1" applyBorder="1" applyAlignment="1">
      <alignment horizontal="right" vertical="center"/>
    </xf>
    <xf numFmtId="0" fontId="420" fillId="0" borderId="0" xfId="0" applyFont="1"/>
    <xf numFmtId="0" fontId="380" fillId="0" borderId="0" xfId="5349" applyFont="1"/>
    <xf numFmtId="0" fontId="340" fillId="0" borderId="0" xfId="5349" applyFont="1"/>
    <xf numFmtId="0" fontId="421" fillId="109" borderId="96" xfId="5349" applyFont="1" applyFill="1" applyBorder="1" applyAlignment="1">
      <alignment horizontal="center"/>
    </xf>
    <xf numFmtId="0" fontId="421" fillId="109" borderId="151" xfId="5349" applyFont="1" applyFill="1" applyBorder="1" applyAlignment="1">
      <alignment horizontal="center"/>
    </xf>
    <xf numFmtId="0" fontId="421" fillId="109" borderId="150" xfId="5349" applyFont="1" applyFill="1" applyBorder="1" applyAlignment="1">
      <alignment horizontal="center"/>
    </xf>
    <xf numFmtId="0" fontId="340" fillId="0" borderId="96" xfId="5349" applyFont="1" applyBorder="1" applyAlignment="1">
      <alignment vertical="center"/>
    </xf>
    <xf numFmtId="0" fontId="422" fillId="75" borderId="90" xfId="5349" applyFont="1" applyFill="1" applyBorder="1"/>
    <xf numFmtId="0" fontId="422" fillId="75" borderId="91" xfId="5349" applyFont="1" applyFill="1" applyBorder="1"/>
    <xf numFmtId="0" fontId="423" fillId="0" borderId="94" xfId="5349" applyFont="1" applyBorder="1" applyAlignment="1">
      <alignment vertical="center"/>
    </xf>
    <xf numFmtId="0" fontId="340" fillId="0" borderId="94" xfId="5349" applyFont="1" applyBorder="1" applyAlignment="1">
      <alignment vertical="center"/>
    </xf>
    <xf numFmtId="356" fontId="340" fillId="0" borderId="0" xfId="5254" applyNumberFormat="1" applyFont="1" applyBorder="1"/>
    <xf numFmtId="356" fontId="423" fillId="0" borderId="0" xfId="5254" applyNumberFormat="1" applyFont="1" applyBorder="1"/>
    <xf numFmtId="356" fontId="423" fillId="0" borderId="92" xfId="5254" applyNumberFormat="1" applyFont="1" applyBorder="1"/>
    <xf numFmtId="356" fontId="340" fillId="0" borderId="0" xfId="5349" applyNumberFormat="1" applyFont="1"/>
    <xf numFmtId="356" fontId="423" fillId="0" borderId="0" xfId="5349" applyNumberFormat="1" applyFont="1"/>
    <xf numFmtId="356" fontId="423" fillId="0" borderId="92" xfId="5349" applyNumberFormat="1" applyFont="1" applyBorder="1"/>
    <xf numFmtId="0" fontId="422" fillId="75" borderId="0" xfId="5349" applyFont="1" applyFill="1"/>
    <xf numFmtId="0" fontId="422" fillId="75" borderId="92" xfId="5349" applyFont="1" applyFill="1" applyBorder="1"/>
    <xf numFmtId="356" fontId="340" fillId="0" borderId="92" xfId="5349" applyNumberFormat="1" applyFont="1" applyBorder="1"/>
    <xf numFmtId="0" fontId="340" fillId="0" borderId="97" xfId="5349" applyFont="1" applyBorder="1"/>
    <xf numFmtId="356" fontId="380" fillId="0" borderId="22" xfId="5349" applyNumberFormat="1" applyFont="1" applyBorder="1"/>
    <xf numFmtId="356" fontId="380" fillId="0" borderId="81" xfId="5349" applyNumberFormat="1" applyFont="1" applyBorder="1"/>
    <xf numFmtId="356" fontId="380" fillId="0" borderId="49" xfId="5349" applyNumberFormat="1" applyFont="1" applyBorder="1"/>
    <xf numFmtId="356" fontId="380" fillId="0" borderId="80" xfId="5349" applyNumberFormat="1" applyFont="1" applyBorder="1"/>
    <xf numFmtId="0" fontId="34" fillId="0" borderId="4" xfId="0" applyFont="1" applyBorder="1"/>
    <xf numFmtId="173" fontId="34" fillId="0" borderId="124" xfId="5254" applyNumberFormat="1" applyFont="1" applyBorder="1"/>
    <xf numFmtId="356" fontId="34" fillId="0" borderId="123" xfId="0" applyNumberFormat="1" applyFont="1" applyBorder="1"/>
    <xf numFmtId="0" fontId="421" fillId="109" borderId="91" xfId="5349" applyFont="1" applyFill="1" applyBorder="1" applyAlignment="1">
      <alignment horizontal="center"/>
    </xf>
    <xf numFmtId="0" fontId="340" fillId="0" borderId="91" xfId="5349" applyFont="1" applyBorder="1" applyAlignment="1">
      <alignment vertical="center"/>
    </xf>
    <xf numFmtId="0" fontId="423" fillId="0" borderId="92" xfId="5349" applyFont="1" applyBorder="1" applyAlignment="1">
      <alignment vertical="center"/>
    </xf>
    <xf numFmtId="0" fontId="340" fillId="0" borderId="92" xfId="5349" applyFont="1" applyBorder="1" applyAlignment="1">
      <alignment vertical="center"/>
    </xf>
    <xf numFmtId="0" fontId="340" fillId="0" borderId="92" xfId="5349" applyFont="1" applyBorder="1" applyAlignment="1">
      <alignment vertical="center" wrapText="1"/>
    </xf>
    <xf numFmtId="0" fontId="380" fillId="0" borderId="81" xfId="5349" applyFont="1" applyBorder="1"/>
    <xf numFmtId="0" fontId="423" fillId="0" borderId="80" xfId="5349" applyFont="1" applyBorder="1" applyAlignment="1">
      <alignment vertical="center"/>
    </xf>
    <xf numFmtId="0" fontId="34" fillId="0" borderId="124" xfId="0" applyFont="1" applyBorder="1" applyAlignment="1">
      <alignment horizontal="center" vertical="center"/>
    </xf>
    <xf numFmtId="0" fontId="424" fillId="0" borderId="0" xfId="5349" applyFont="1"/>
    <xf numFmtId="173" fontId="34" fillId="0" borderId="124" xfId="2785" applyNumberFormat="1" applyFont="1" applyBorder="1"/>
    <xf numFmtId="0" fontId="0" fillId="0" borderId="126" xfId="0" applyBorder="1"/>
    <xf numFmtId="353" fontId="34" fillId="0" borderId="126" xfId="2785" applyNumberFormat="1" applyFont="1" applyBorder="1"/>
    <xf numFmtId="353" fontId="34" fillId="0" borderId="123" xfId="2785" applyNumberFormat="1" applyFont="1" applyBorder="1"/>
    <xf numFmtId="2" fontId="0" fillId="0" borderId="0" xfId="0" applyNumberFormat="1"/>
    <xf numFmtId="2" fontId="35" fillId="0" borderId="0" xfId="0" applyNumberFormat="1" applyFont="1"/>
    <xf numFmtId="1" fontId="0" fillId="0" borderId="124" xfId="0" applyNumberFormat="1" applyBorder="1"/>
    <xf numFmtId="171" fontId="0" fillId="0" borderId="124" xfId="0" applyNumberFormat="1" applyBorder="1"/>
    <xf numFmtId="173" fontId="35" fillId="0" borderId="124" xfId="5254" applyNumberFormat="1" applyFont="1" applyFill="1" applyBorder="1"/>
    <xf numFmtId="353" fontId="35" fillId="0" borderId="0" xfId="0" applyNumberFormat="1" applyFont="1"/>
    <xf numFmtId="353" fontId="0" fillId="0" borderId="71" xfId="5254" applyNumberFormat="1" applyFont="1" applyBorder="1"/>
    <xf numFmtId="353" fontId="368" fillId="0" borderId="94" xfId="5254" applyNumberFormat="1" applyFont="1" applyBorder="1"/>
    <xf numFmtId="353" fontId="368" fillId="0" borderId="112" xfId="0" applyNumberFormat="1" applyFont="1" applyBorder="1"/>
    <xf numFmtId="0" fontId="0" fillId="0" borderId="124" xfId="0" applyBorder="1" applyAlignment="1" applyProtection="1">
      <alignment vertical="center" wrapText="1"/>
      <protection hidden="1"/>
    </xf>
    <xf numFmtId="0" fontId="0" fillId="74" borderId="139" xfId="0" applyFill="1" applyBorder="1"/>
    <xf numFmtId="0" fontId="0" fillId="74" borderId="141" xfId="0" applyFill="1" applyBorder="1"/>
    <xf numFmtId="0" fontId="0" fillId="74" borderId="0" xfId="0" applyFill="1"/>
    <xf numFmtId="0" fontId="0" fillId="74" borderId="154" xfId="0" applyFill="1" applyBorder="1"/>
    <xf numFmtId="0" fontId="35" fillId="74" borderId="126" xfId="0" applyFont="1" applyFill="1" applyBorder="1"/>
    <xf numFmtId="173" fontId="0" fillId="74" borderId="155" xfId="5254" applyNumberFormat="1" applyFont="1" applyFill="1" applyBorder="1"/>
    <xf numFmtId="173" fontId="0" fillId="74" borderId="156" xfId="5254" applyNumberFormat="1" applyFont="1" applyFill="1" applyBorder="1"/>
    <xf numFmtId="173" fontId="0" fillId="74" borderId="157" xfId="5254" applyNumberFormat="1" applyFont="1" applyFill="1" applyBorder="1"/>
    <xf numFmtId="173" fontId="0" fillId="74" borderId="124" xfId="0" applyNumberFormat="1" applyFill="1" applyBorder="1"/>
    <xf numFmtId="224" fontId="34" fillId="74" borderId="136" xfId="4241" applyFont="1" applyFill="1" applyBorder="1" applyAlignment="1">
      <alignment horizontal="left" vertical="center" wrapText="1"/>
    </xf>
    <xf numFmtId="0" fontId="0" fillId="77" borderId="124" xfId="0" applyFill="1" applyBorder="1"/>
    <xf numFmtId="0" fontId="0" fillId="77" borderId="124" xfId="0" applyFill="1" applyBorder="1" applyAlignment="1">
      <alignment horizontal="right"/>
    </xf>
    <xf numFmtId="0" fontId="341" fillId="74" borderId="0" xfId="5284" applyFont="1" applyFill="1" applyAlignment="1">
      <alignment horizontal="left" vertical="center" wrapText="1"/>
    </xf>
    <xf numFmtId="0" fontId="341" fillId="74" borderId="86" xfId="5284" applyFont="1" applyFill="1" applyBorder="1" applyAlignment="1">
      <alignment horizontal="left" vertical="center" wrapText="1"/>
    </xf>
    <xf numFmtId="0" fontId="352" fillId="79" borderId="79" xfId="5285" applyFont="1" applyFill="1" applyBorder="1" applyAlignment="1" applyProtection="1">
      <alignment horizontal="center" vertical="center"/>
      <protection hidden="1"/>
    </xf>
    <xf numFmtId="0" fontId="352" fillId="79" borderId="49" xfId="5285" applyFont="1" applyFill="1" applyBorder="1" applyAlignment="1" applyProtection="1">
      <alignment horizontal="center" vertical="center"/>
      <protection hidden="1"/>
    </xf>
    <xf numFmtId="0" fontId="352" fillId="79" borderId="80" xfId="5285" applyFont="1" applyFill="1" applyBorder="1" applyAlignment="1" applyProtection="1">
      <alignment horizontal="center" vertical="center"/>
      <protection hidden="1"/>
    </xf>
    <xf numFmtId="0" fontId="34" fillId="0" borderId="2" xfId="5285" applyFill="1" applyBorder="1" applyAlignment="1" applyProtection="1">
      <alignment horizontal="center" wrapText="1"/>
      <protection hidden="1"/>
    </xf>
    <xf numFmtId="0" fontId="34" fillId="0" borderId="0" xfId="5285" applyFill="1" applyBorder="1" applyAlignment="1" applyProtection="1">
      <alignment horizontal="center" wrapText="1"/>
      <protection hidden="1"/>
    </xf>
    <xf numFmtId="0" fontId="34" fillId="0" borderId="92" xfId="5285" applyFill="1" applyBorder="1" applyAlignment="1" applyProtection="1">
      <alignment horizontal="center" wrapText="1"/>
      <protection hidden="1"/>
    </xf>
    <xf numFmtId="0" fontId="34" fillId="0" borderId="0" xfId="0" applyFont="1" applyAlignment="1">
      <alignment horizontal="left" wrapText="1"/>
    </xf>
    <xf numFmtId="173" fontId="417" fillId="107" borderId="0" xfId="5254" applyNumberFormat="1" applyFont="1" applyFill="1" applyAlignment="1">
      <alignment horizontal="left" wrapText="1"/>
    </xf>
    <xf numFmtId="173" fontId="399" fillId="107" borderId="0" xfId="5254" applyNumberFormat="1" applyFont="1" applyFill="1" applyAlignment="1">
      <alignment horizontal="left" wrapText="1"/>
    </xf>
    <xf numFmtId="350" fontId="402" fillId="0" borderId="0" xfId="0" applyNumberFormat="1" applyFont="1" applyAlignment="1">
      <alignment horizontal="center" vertical="center"/>
    </xf>
    <xf numFmtId="0" fontId="41" fillId="76" borderId="114" xfId="0" applyFont="1" applyFill="1" applyBorder="1" applyAlignment="1">
      <alignment horizontal="center" vertical="center" wrapText="1"/>
    </xf>
    <xf numFmtId="0" fontId="41" fillId="76" borderId="32" xfId="0" applyFont="1" applyFill="1" applyBorder="1" applyAlignment="1">
      <alignment horizontal="center" vertical="center" wrapText="1"/>
    </xf>
    <xf numFmtId="0" fontId="41" fillId="76" borderId="131" xfId="0" applyFont="1" applyFill="1" applyBorder="1" applyAlignment="1">
      <alignment horizontal="center" vertical="center" textRotation="90" wrapText="1"/>
    </xf>
    <xf numFmtId="0" fontId="41" fillId="76" borderId="107" xfId="0" applyFont="1" applyFill="1" applyBorder="1" applyAlignment="1">
      <alignment horizontal="center" vertical="center" textRotation="90" wrapText="1"/>
    </xf>
    <xf numFmtId="0" fontId="41" fillId="76" borderId="118" xfId="0" applyFont="1" applyFill="1" applyBorder="1" applyAlignment="1">
      <alignment horizontal="center" vertical="center" textRotation="90" wrapText="1"/>
    </xf>
    <xf numFmtId="0" fontId="337" fillId="0" borderId="0" xfId="5278" applyFont="1" applyAlignment="1">
      <alignment horizontal="center" vertical="top"/>
    </xf>
    <xf numFmtId="0" fontId="336" fillId="74" borderId="0" xfId="5278" applyFont="1" applyFill="1" applyAlignment="1">
      <alignment horizontal="center" vertical="top"/>
    </xf>
    <xf numFmtId="0" fontId="35" fillId="104" borderId="126" xfId="0" applyFont="1" applyFill="1" applyBorder="1" applyAlignment="1">
      <alignment horizontal="left"/>
    </xf>
    <xf numFmtId="0" fontId="35" fillId="104" borderId="123" xfId="0" applyFont="1" applyFill="1" applyBorder="1" applyAlignment="1">
      <alignment horizontal="left"/>
    </xf>
    <xf numFmtId="0" fontId="35" fillId="104" borderId="129" xfId="0" applyFont="1" applyFill="1" applyBorder="1" applyAlignment="1">
      <alignment horizontal="left"/>
    </xf>
    <xf numFmtId="0" fontId="418" fillId="108" borderId="114" xfId="0" applyFont="1" applyFill="1" applyBorder="1" applyAlignment="1">
      <alignment horizontal="center"/>
    </xf>
    <xf numFmtId="0" fontId="418" fillId="108" borderId="32" xfId="0" applyFont="1" applyFill="1" applyBorder="1" applyAlignment="1">
      <alignment horizontal="center"/>
    </xf>
    <xf numFmtId="0" fontId="418" fillId="108" borderId="115" xfId="0" applyFont="1" applyFill="1" applyBorder="1" applyAlignment="1">
      <alignment horizontal="center"/>
    </xf>
    <xf numFmtId="0" fontId="35" fillId="105" borderId="137" xfId="0" applyFont="1" applyFill="1" applyBorder="1" applyAlignment="1" applyProtection="1">
      <alignment horizontal="center" vertical="center"/>
      <protection hidden="1"/>
    </xf>
    <xf numFmtId="0" fontId="35" fillId="105" borderId="133" xfId="0" applyFont="1" applyFill="1" applyBorder="1" applyAlignment="1" applyProtection="1">
      <alignment horizontal="center" vertical="center"/>
      <protection hidden="1"/>
    </xf>
    <xf numFmtId="43" fontId="35" fillId="105" borderId="137" xfId="5272" applyFont="1" applyFill="1" applyBorder="1" applyAlignment="1" applyProtection="1">
      <alignment horizontal="center" vertical="center"/>
      <protection hidden="1"/>
    </xf>
    <xf numFmtId="43" fontId="35" fillId="105" borderId="133" xfId="5272" applyFont="1" applyFill="1" applyBorder="1" applyAlignment="1" applyProtection="1">
      <alignment horizontal="center" vertical="center"/>
      <protection hidden="1"/>
    </xf>
    <xf numFmtId="43" fontId="35" fillId="105" borderId="126" xfId="5272" applyFont="1" applyFill="1" applyBorder="1" applyAlignment="1" applyProtection="1">
      <alignment horizontal="center" vertical="center"/>
      <protection hidden="1"/>
    </xf>
    <xf numFmtId="43" fontId="35" fillId="105" borderId="123" xfId="5272" applyFont="1" applyFill="1" applyBorder="1" applyAlignment="1" applyProtection="1">
      <alignment horizontal="center" vertical="center"/>
      <protection hidden="1"/>
    </xf>
    <xf numFmtId="43" fontId="35" fillId="105" borderId="129" xfId="5272" applyFont="1" applyFill="1" applyBorder="1" applyAlignment="1" applyProtection="1">
      <alignment horizontal="center" vertical="center"/>
      <protection hidden="1"/>
    </xf>
    <xf numFmtId="43" fontId="35" fillId="105" borderId="124" xfId="5272" applyFont="1" applyFill="1" applyBorder="1" applyAlignment="1" applyProtection="1">
      <alignment horizontal="center" vertical="center"/>
      <protection hidden="1"/>
    </xf>
    <xf numFmtId="0" fontId="35" fillId="105" borderId="126" xfId="0" applyFont="1" applyFill="1" applyBorder="1" applyAlignment="1" applyProtection="1">
      <alignment horizontal="center" vertical="center"/>
      <protection hidden="1"/>
    </xf>
    <xf numFmtId="0" fontId="35" fillId="105" borderId="123" xfId="0" applyFont="1" applyFill="1" applyBorder="1" applyAlignment="1" applyProtection="1">
      <alignment horizontal="center" vertical="center"/>
      <protection hidden="1"/>
    </xf>
    <xf numFmtId="0" fontId="35" fillId="105" borderId="129" xfId="0" applyFont="1" applyFill="1" applyBorder="1" applyAlignment="1" applyProtection="1">
      <alignment horizontal="center" vertical="center"/>
      <protection hidden="1"/>
    </xf>
    <xf numFmtId="0" fontId="0" fillId="0" borderId="124" xfId="0" applyBorder="1" applyAlignment="1">
      <alignment horizontal="left"/>
    </xf>
    <xf numFmtId="0" fontId="379" fillId="0" borderId="124" xfId="0" applyFont="1" applyBorder="1" applyAlignment="1">
      <alignment horizontal="left"/>
    </xf>
    <xf numFmtId="0" fontId="35" fillId="105" borderId="124" xfId="0" applyFont="1" applyFill="1" applyBorder="1" applyAlignment="1" applyProtection="1">
      <alignment horizontal="left" vertical="center"/>
      <protection hidden="1"/>
    </xf>
    <xf numFmtId="0" fontId="35" fillId="0" borderId="126" xfId="0" applyFont="1" applyBorder="1" applyAlignment="1">
      <alignment horizontal="center"/>
    </xf>
    <xf numFmtId="0" fontId="35" fillId="0" borderId="123" xfId="0" applyFont="1" applyBorder="1" applyAlignment="1">
      <alignment horizontal="center"/>
    </xf>
    <xf numFmtId="0" fontId="35" fillId="0" borderId="129" xfId="0" applyFont="1" applyBorder="1" applyAlignment="1">
      <alignment horizontal="center"/>
    </xf>
    <xf numFmtId="0" fontId="35" fillId="105" borderId="124" xfId="0" applyFont="1" applyFill="1" applyBorder="1" applyAlignment="1" applyProtection="1">
      <alignment horizontal="center" vertical="center"/>
      <protection hidden="1"/>
    </xf>
    <xf numFmtId="0" fontId="361" fillId="2" borderId="127" xfId="0" applyFont="1" applyFill="1" applyBorder="1" applyAlignment="1" applyProtection="1">
      <alignment horizontal="center" vertical="center"/>
      <protection hidden="1"/>
    </xf>
    <xf numFmtId="0" fontId="361" fillId="2" borderId="130" xfId="0" applyFont="1" applyFill="1" applyBorder="1" applyAlignment="1" applyProtection="1">
      <alignment horizontal="center" vertical="center"/>
      <protection hidden="1"/>
    </xf>
    <xf numFmtId="0" fontId="361" fillId="2" borderId="138" xfId="0" applyFont="1" applyFill="1" applyBorder="1" applyAlignment="1" applyProtection="1">
      <alignment horizontal="center" vertical="center"/>
      <protection hidden="1"/>
    </xf>
    <xf numFmtId="0" fontId="95" fillId="2" borderId="100" xfId="0" applyFont="1" applyFill="1" applyBorder="1" applyAlignment="1" applyProtection="1">
      <alignment horizontal="center" vertical="center"/>
      <protection hidden="1"/>
    </xf>
    <xf numFmtId="0" fontId="95" fillId="2" borderId="100" xfId="0" applyFont="1" applyFill="1" applyBorder="1" applyAlignment="1" applyProtection="1">
      <alignment horizontal="center" vertical="top"/>
      <protection hidden="1"/>
    </xf>
    <xf numFmtId="0" fontId="95" fillId="2" borderId="101" xfId="0" applyFont="1" applyFill="1" applyBorder="1" applyAlignment="1" applyProtection="1">
      <alignment horizontal="center" vertical="top"/>
      <protection hidden="1"/>
    </xf>
    <xf numFmtId="173" fontId="358" fillId="75" borderId="0" xfId="2785" applyNumberFormat="1" applyFont="1" applyFill="1" applyBorder="1" applyAlignment="1" applyProtection="1">
      <alignment horizontal="center" vertical="center"/>
      <protection locked="0"/>
    </xf>
    <xf numFmtId="0" fontId="366" fillId="0" borderId="126" xfId="0" applyFont="1" applyBorder="1" applyAlignment="1" applyProtection="1">
      <alignment horizontal="center" vertical="center"/>
      <protection hidden="1"/>
    </xf>
    <xf numFmtId="0" fontId="366" fillId="0" borderId="123" xfId="0" applyFont="1" applyBorder="1" applyAlignment="1" applyProtection="1">
      <alignment horizontal="center" vertical="center"/>
      <protection hidden="1"/>
    </xf>
    <xf numFmtId="0" fontId="366" fillId="0" borderId="129" xfId="0" applyFont="1" applyBorder="1" applyAlignment="1" applyProtection="1">
      <alignment horizontal="center" vertical="center"/>
      <protection hidden="1"/>
    </xf>
    <xf numFmtId="0" fontId="336" fillId="72" borderId="124" xfId="0" applyFont="1" applyFill="1" applyBorder="1" applyAlignment="1" applyProtection="1">
      <alignment horizontal="center" vertical="center"/>
      <protection hidden="1"/>
    </xf>
    <xf numFmtId="0" fontId="336" fillId="72" borderId="124" xfId="0" applyFont="1" applyFill="1" applyBorder="1" applyAlignment="1" applyProtection="1">
      <alignment horizontal="left" vertical="top"/>
      <protection hidden="1"/>
    </xf>
    <xf numFmtId="0" fontId="380" fillId="0" borderId="124" xfId="0" applyFont="1" applyBorder="1" applyAlignment="1">
      <alignment horizontal="center" vertical="center" wrapText="1"/>
    </xf>
    <xf numFmtId="0" fontId="380" fillId="0" borderId="126" xfId="0" applyFont="1" applyBorder="1" applyAlignment="1">
      <alignment horizontal="center" vertical="center" wrapText="1"/>
    </xf>
    <xf numFmtId="0" fontId="380" fillId="0" borderId="129" xfId="0" applyFont="1" applyBorder="1" applyAlignment="1">
      <alignment horizontal="center" vertical="center" wrapText="1"/>
    </xf>
    <xf numFmtId="0" fontId="379" fillId="0" borderId="126" xfId="0" applyFont="1" applyBorder="1" applyAlignment="1">
      <alignment horizontal="center" vertical="center" wrapText="1"/>
    </xf>
    <xf numFmtId="0" fontId="379" fillId="0" borderId="129" xfId="0" applyFont="1" applyBorder="1" applyAlignment="1">
      <alignment horizontal="center" vertical="center" wrapText="1"/>
    </xf>
  </cellXfs>
  <cellStyles count="5351">
    <cellStyle name="" xfId="179" xr:uid="{00000000-0005-0000-0000-0000A8000000}"/>
    <cellStyle name="_x000a_386grabber=M" xfId="11" xr:uid="{00000000-0005-0000-0000-000000000000}"/>
    <cellStyle name="_x000d__x000a_JournalTemplate=C:\COMFO\CTALK\JOURSTD.TPL_x000d__x000a_LbStateAddress=3 3 0 251 1 89 2 311_x000d__x000a_LbStateJou" xfId="12" xr:uid="{00000000-0005-0000-0000-000001000000}"/>
    <cellStyle name="_9433" xfId="30" xr:uid="{00000000-0005-0000-0000-000013000000}"/>
    <cellStyle name="_9433_1" xfId="31" xr:uid="{00000000-0005-0000-0000-000014000000}"/>
    <cellStyle name="_9437" xfId="32" xr:uid="{00000000-0005-0000-0000-000015000000}"/>
    <cellStyle name="_Alt5" xfId="33" xr:uid="{00000000-0005-0000-0000-000016000000}"/>
    <cellStyle name="_Alt5_Mindtree Financial Model vCurrent" xfId="34" xr:uid="{00000000-0005-0000-0000-000017000000}"/>
    <cellStyle name="_Book1" xfId="35" xr:uid="{00000000-0005-0000-0000-000018000000}"/>
    <cellStyle name="_CCM Indian players_v1" xfId="36" xr:uid="{00000000-0005-0000-0000-000019000000}"/>
    <cellStyle name="_Column1" xfId="37" xr:uid="{00000000-0005-0000-0000-00001A000000}"/>
    <cellStyle name="_Comma" xfId="38" xr:uid="{00000000-0005-0000-0000-00001B000000}"/>
    <cellStyle name="_Comps 4Q03" xfId="39" xr:uid="{00000000-0005-0000-0000-00001C000000}"/>
    <cellStyle name="_Comps Template from Industrials" xfId="40" xr:uid="{00000000-0005-0000-0000-00001D000000}"/>
    <cellStyle name="_Currency" xfId="41" xr:uid="{00000000-0005-0000-0000-00001E000000}"/>
    <cellStyle name="_Currency_Book_commissaires_Sept12" xfId="42" xr:uid="{00000000-0005-0000-0000-00001F000000}"/>
    <cellStyle name="_Currency_Book2" xfId="43" xr:uid="{00000000-0005-0000-0000-000020000000}"/>
    <cellStyle name="_Currency_CHARTERHOUSE OPERATING MODEL- Revised July 25" xfId="44" xr:uid="{00000000-0005-0000-0000-000021000000}"/>
    <cellStyle name="_Currency_model for lehman 19jul02" xfId="45" xr:uid="{00000000-0005-0000-0000-000022000000}"/>
    <cellStyle name="_Currency_pi5" xfId="46" xr:uid="{00000000-0005-0000-0000-000023000000}"/>
    <cellStyle name="_Currency_Revised Downside Case 25 July" xfId="47" xr:uid="{00000000-0005-0000-0000-000024000000}"/>
    <cellStyle name="_Currency_Revised Downside Case 25 July_LBO Model for Banks (with Lehman cases)" xfId="48" xr:uid="{00000000-0005-0000-0000-000025000000}"/>
    <cellStyle name="_Currency_surbid4 cloture" xfId="49" xr:uid="{00000000-0005-0000-0000-000026000000}"/>
    <cellStyle name="_Currency_surbid4 cloture_1" xfId="50" xr:uid="{00000000-0005-0000-0000-000027000000}"/>
    <cellStyle name="_Currency_TallGuy first model" xfId="51" xr:uid="{00000000-0005-0000-0000-000028000000}"/>
    <cellStyle name="_Currency_tropicos5" xfId="52" xr:uid="{00000000-0005-0000-0000-000029000000}"/>
    <cellStyle name="_Currency_tropicos5_victoria 6nov01" xfId="53" xr:uid="{00000000-0005-0000-0000-00002A000000}"/>
    <cellStyle name="_Currency_valuation report_Sept10b" xfId="54" xr:uid="{00000000-0005-0000-0000-00002B000000}"/>
    <cellStyle name="_Currency_voice1.xls Chart 1" xfId="55" xr:uid="{00000000-0005-0000-0000-00002C000000}"/>
    <cellStyle name="_Currency_voice1.xls Chart 1_victoria 6nov01" xfId="56" xr:uid="{00000000-0005-0000-0000-00002D000000}"/>
    <cellStyle name="_CurrencySpace" xfId="57" xr:uid="{00000000-0005-0000-0000-00002E000000}"/>
    <cellStyle name="_CurrencySpace_Capex per UMTS Potential" xfId="58" xr:uid="{00000000-0005-0000-0000-00002F000000}"/>
    <cellStyle name="_CurrencySpace_WACC Analysis" xfId="59" xr:uid="{00000000-0005-0000-0000-000030000000}"/>
    <cellStyle name="_Euro" xfId="60" xr:uid="{00000000-0005-0000-0000-000031000000}"/>
    <cellStyle name="_Euro_Mindtree Financial Model vCurrent" xfId="61" xr:uid="{00000000-0005-0000-0000-000032000000}"/>
    <cellStyle name="_febmon" xfId="62" xr:uid="{00000000-0005-0000-0000-000033000000}"/>
    <cellStyle name="_febmon_1" xfId="63" xr:uid="{00000000-0005-0000-0000-000034000000}"/>
    <cellStyle name="_febmon_2" xfId="64" xr:uid="{00000000-0005-0000-0000-000035000000}"/>
    <cellStyle name="_febmon_3" xfId="65" xr:uid="{00000000-0005-0000-0000-000036000000}"/>
    <cellStyle name="_febmon_4" xfId="66" xr:uid="{00000000-0005-0000-0000-000037000000}"/>
    <cellStyle name="_febmon_5" xfId="67" xr:uid="{00000000-0005-0000-0000-000038000000}"/>
    <cellStyle name="_febmon_6" xfId="68" xr:uid="{00000000-0005-0000-0000-000039000000}"/>
    <cellStyle name="_Final Master Finalcials" xfId="69" xr:uid="{00000000-0005-0000-0000-00003A000000}"/>
    <cellStyle name="_Final Master Finalcials_Mindtree Financial Model vCurrent" xfId="70" xr:uid="{00000000-0005-0000-0000-00003B000000}"/>
    <cellStyle name="_Final Master Finalcials_with EBITA" xfId="71" xr:uid="{00000000-0005-0000-0000-00003C000000}"/>
    <cellStyle name="_Final Master Finalcials_with EBITA_Mindtree Financial Model vCurrent" xfId="72" xr:uid="{00000000-0005-0000-0000-00003D000000}"/>
    <cellStyle name="_Final Master Financials 19-10-01" xfId="73" xr:uid="{00000000-0005-0000-0000-00003E000000}"/>
    <cellStyle name="_Final Master Financials 19-10-01_Mindtree Financial Model vCurrent" xfId="74" xr:uid="{00000000-0005-0000-0000-00003F000000}"/>
    <cellStyle name="_Hanaro LBO v2" xfId="75" xr:uid="{00000000-0005-0000-0000-000040000000}"/>
    <cellStyle name="_HCL - Excel Backup" xfId="76" xr:uid="{00000000-0005-0000-0000-000041000000}"/>
    <cellStyle name="_HCL Excel" xfId="77" xr:uid="{00000000-0005-0000-0000-000042000000}"/>
    <cellStyle name="_Heading" xfId="78" xr:uid="{00000000-0005-0000-0000-000043000000}"/>
    <cellStyle name="_Highlight" xfId="79" xr:uid="{00000000-0005-0000-0000-000044000000}"/>
    <cellStyle name="_HTIL" xfId="80" xr:uid="{00000000-0005-0000-0000-000045000000}"/>
    <cellStyle name="_JULYMON" xfId="81" xr:uid="{00000000-0005-0000-0000-000046000000}"/>
    <cellStyle name="_JULYMON_1" xfId="82" xr:uid="{00000000-0005-0000-0000-000047000000}"/>
    <cellStyle name="_JULYMON_2" xfId="83" xr:uid="{00000000-0005-0000-0000-000048000000}"/>
    <cellStyle name="_JULYMON_3" xfId="84" xr:uid="{00000000-0005-0000-0000-000049000000}"/>
    <cellStyle name="_JULYMON_4" xfId="85" xr:uid="{00000000-0005-0000-0000-00004A000000}"/>
    <cellStyle name="_JULYMON_5" xfId="86" xr:uid="{00000000-0005-0000-0000-00004B000000}"/>
    <cellStyle name="_JULYMON_6" xfId="87" xr:uid="{00000000-0005-0000-0000-00004C000000}"/>
    <cellStyle name="_KKR - debt restatement" xfId="88" xr:uid="{00000000-0005-0000-0000-00004D000000}"/>
    <cellStyle name="_Legrand Financials" xfId="89" xr:uid="{00000000-0005-0000-0000-00004E000000}"/>
    <cellStyle name="_Legrand Financials_Mindtree Financial Model vCurrent" xfId="90" xr:uid="{00000000-0005-0000-0000-00004F000000}"/>
    <cellStyle name="_Lehman - LBO  bis plan WW v.2.1" xfId="91" xr:uid="{00000000-0005-0000-0000-000050000000}"/>
    <cellStyle name="_Lehman - LBO  bis plan WW v.2.1_Mindtree Financial Model vCurrent" xfId="92" xr:uid="{00000000-0005-0000-0000-000051000000}"/>
    <cellStyle name="_Lehman LBO 28 03 02" xfId="93" xr:uid="{00000000-0005-0000-0000-000052000000}"/>
    <cellStyle name="_Lehman LBO 28 03 02_Mindtree Financial Model vCurrent" xfId="94" xr:uid="{00000000-0005-0000-0000-000053000000}"/>
    <cellStyle name="_Lehman Telecom Comps" xfId="95" xr:uid="{00000000-0005-0000-0000-000054000000}"/>
    <cellStyle name="_Lev Fin LBO Model Oct 8_All Senior" xfId="96" xr:uid="{00000000-0005-0000-0000-000055000000}"/>
    <cellStyle name="_Lumina LBO Model 1 08 02 v4" xfId="97" xr:uid="{00000000-0005-0000-0000-000056000000}"/>
    <cellStyle name="_Lumina LBO Model 1 08 02 v4_Mindtree Financial Model vCurrent" xfId="98" xr:uid="{00000000-0005-0000-0000-000057000000}"/>
    <cellStyle name="_Lumina LBO Model 10 05 02 kkr" xfId="99" xr:uid="{00000000-0005-0000-0000-000058000000}"/>
    <cellStyle name="_Lumina LBO Model 10 05 02 kkr_Mindtree Financial Model vCurrent" xfId="100" xr:uid="{00000000-0005-0000-0000-000059000000}"/>
    <cellStyle name="_Lumina LBO Model 18 07 02 v2" xfId="101" xr:uid="{00000000-0005-0000-0000-00005A000000}"/>
    <cellStyle name="_Lumina LBO Model 18 07 02 v2_Mindtree Financial Model vCurrent" xfId="102" xr:uid="{00000000-0005-0000-0000-00005B000000}"/>
    <cellStyle name="_Maxis LBO Model v6" xfId="103" xr:uid="{00000000-0005-0000-0000-00005C000000}"/>
    <cellStyle name="_Maxis6 (Debt Modelling) Feb" xfId="104" xr:uid="{00000000-0005-0000-0000-00005D000000}"/>
    <cellStyle name="_Millicom Model" xfId="105" xr:uid="{00000000-0005-0000-0000-00005E000000}"/>
    <cellStyle name="_Mindtree Financial Model vCurrent" xfId="106" xr:uid="{00000000-0005-0000-0000-00005F000000}"/>
    <cellStyle name="_Mobile1" xfId="107" xr:uid="{00000000-0005-0000-0000-000060000000}"/>
    <cellStyle name="_Multiple" xfId="108" xr:uid="{00000000-0005-0000-0000-000061000000}"/>
    <cellStyle name="_Multiple_Allegri Pavarotti 20juin base case" xfId="109" xr:uid="{00000000-0005-0000-0000-000062000000}"/>
    <cellStyle name="_Multiple_Book_commissaires_Sept12" xfId="110" xr:uid="{00000000-0005-0000-0000-000063000000}"/>
    <cellStyle name="_Multiple_CHARTERHOUSE OPERATING MODEL- Revised July 25" xfId="111" xr:uid="{00000000-0005-0000-0000-000064000000}"/>
    <cellStyle name="_Multiple_CSC IT Services update presentation version" xfId="112" xr:uid="{00000000-0005-0000-0000-000065000000}"/>
    <cellStyle name="_Multiple_model for lehman 19jul02" xfId="113" xr:uid="{00000000-0005-0000-0000-000066000000}"/>
    <cellStyle name="_Multiple_pi5" xfId="114" xr:uid="{00000000-0005-0000-0000-000067000000}"/>
    <cellStyle name="_Multiple_Revised Downside Case 25 July" xfId="115" xr:uid="{00000000-0005-0000-0000-000068000000}"/>
    <cellStyle name="_Multiple_surbid4 cloture" xfId="116" xr:uid="{00000000-0005-0000-0000-000069000000}"/>
    <cellStyle name="_Multiple_surbid4 cloture_1" xfId="117" xr:uid="{00000000-0005-0000-0000-00006A000000}"/>
    <cellStyle name="_Multiple_surbid4 cloture_1_noos 2001 results 11jul01" xfId="118" xr:uid="{00000000-0005-0000-0000-00006B000000}"/>
    <cellStyle name="_Multiple_surbid4 cloture_Mindtree Financial Model vCurrent" xfId="119" xr:uid="{00000000-0005-0000-0000-00006C000000}"/>
    <cellStyle name="_Multiple_tropicos5" xfId="120" xr:uid="{00000000-0005-0000-0000-00006D000000}"/>
    <cellStyle name="_Multiple_valuation report_Sept10b" xfId="121" xr:uid="{00000000-0005-0000-0000-00006E000000}"/>
    <cellStyle name="_Multiple_voice1.xls Chart 1" xfId="122" xr:uid="{00000000-0005-0000-0000-00006F000000}"/>
    <cellStyle name="_MultipleSpace" xfId="123" xr:uid="{00000000-0005-0000-0000-000070000000}"/>
    <cellStyle name="_MultipleSpace_CHARTERHOUSE OPERATING MODEL- Revised July 25" xfId="124" xr:uid="{00000000-0005-0000-0000-000071000000}"/>
    <cellStyle name="_MultipleSpace_model for lehman 19jul02" xfId="125" xr:uid="{00000000-0005-0000-0000-000072000000}"/>
    <cellStyle name="_MultipleSpace_noos 2001 results 11jul01" xfId="126" xr:uid="{00000000-0005-0000-0000-000073000000}"/>
    <cellStyle name="_MultipleSpace_pi5" xfId="127" xr:uid="{00000000-0005-0000-0000-000074000000}"/>
    <cellStyle name="_MultipleSpace_Revised Downside Case 25 July" xfId="128" xr:uid="{00000000-0005-0000-0000-000075000000}"/>
    <cellStyle name="_MultipleSpace_surbid4 cloture" xfId="129" xr:uid="{00000000-0005-0000-0000-000076000000}"/>
    <cellStyle name="_MultipleSpace_surbid4 cloture_1" xfId="130" xr:uid="{00000000-0005-0000-0000-000077000000}"/>
    <cellStyle name="_MultipleSpace_surbid4 cloture_1_noos 2001 results 11jul01" xfId="131" xr:uid="{00000000-0005-0000-0000-000078000000}"/>
    <cellStyle name="_MultipleSpace_tropicos5" xfId="132" xr:uid="{00000000-0005-0000-0000-000079000000}"/>
    <cellStyle name="_MultipleSpace_voice1.xls Chart 1" xfId="133" xr:uid="{00000000-0005-0000-0000-00007A000000}"/>
    <cellStyle name="_New Asian Telecom Valuation Comps Sheet" xfId="134" xr:uid="{00000000-0005-0000-0000-00007B000000}"/>
    <cellStyle name="_Operating Model 3rd round - Version 14 - CSFB and Lehman" xfId="135" xr:uid="{00000000-0005-0000-0000-00007C000000}"/>
    <cellStyle name="_Operating Model 3rd round - Version 14 - CSFB and Lehman_Mindtree Financial Model vCurrent" xfId="136" xr:uid="{00000000-0005-0000-0000-00007D000000}"/>
    <cellStyle name="_Partner" xfId="137" xr:uid="{00000000-0005-0000-0000-00007E000000}"/>
    <cellStyle name="_Partnermodel" xfId="138" xr:uid="{00000000-0005-0000-0000-00007F000000}"/>
    <cellStyle name="_Percent" xfId="139" xr:uid="{00000000-0005-0000-0000-000080000000}"/>
    <cellStyle name="_Percent modified" xfId="140" xr:uid="{00000000-0005-0000-0000-000081000000}"/>
    <cellStyle name="_Percent modified underline" xfId="141" xr:uid="{00000000-0005-0000-0000-000082000000}"/>
    <cellStyle name="_Percent_CHARTERHOUSE OPERATING MODEL- Revised July 25" xfId="142" xr:uid="{00000000-0005-0000-0000-000083000000}"/>
    <cellStyle name="_Percent_model for lehman 19jul02" xfId="143" xr:uid="{00000000-0005-0000-0000-000084000000}"/>
    <cellStyle name="_Percent_pi5" xfId="144" xr:uid="{00000000-0005-0000-0000-000085000000}"/>
    <cellStyle name="_Percent_Revised Downside Case 25 July" xfId="145" xr:uid="{00000000-0005-0000-0000-000086000000}"/>
    <cellStyle name="_Percent_surbid4 cloture" xfId="146" xr:uid="{00000000-0005-0000-0000-000087000000}"/>
    <cellStyle name="_Percent_surbid4 cloture_noos 2001 results 11jul01" xfId="147" xr:uid="{00000000-0005-0000-0000-000088000000}"/>
    <cellStyle name="_Percent_tropicos5" xfId="148" xr:uid="{00000000-0005-0000-0000-000089000000}"/>
    <cellStyle name="_Percent_voice1.xls Chart 1" xfId="149" xr:uid="{00000000-0005-0000-0000-00008A000000}"/>
    <cellStyle name="_PercentSpace" xfId="150" xr:uid="{00000000-0005-0000-0000-00008B000000}"/>
    <cellStyle name="_PercentSpace_CHARTERHOUSE OPERATING MODEL- Revised July 25" xfId="151" xr:uid="{00000000-0005-0000-0000-00008C000000}"/>
    <cellStyle name="_PercentSpace_model for lehman 19jul02" xfId="152" xr:uid="{00000000-0005-0000-0000-00008D000000}"/>
    <cellStyle name="_PercentSpace_pi5" xfId="153" xr:uid="{00000000-0005-0000-0000-00008E000000}"/>
    <cellStyle name="_PercentSpace_Revised Downside Case 25 July" xfId="154" xr:uid="{00000000-0005-0000-0000-00008F000000}"/>
    <cellStyle name="_PercentSpace_surbid4 cloture" xfId="155" xr:uid="{00000000-0005-0000-0000-000090000000}"/>
    <cellStyle name="_PercentSpace_surbid4 cloture_1" xfId="156" xr:uid="{00000000-0005-0000-0000-000091000000}"/>
    <cellStyle name="_PercentSpace_surbid4 cloture_1_noos 2001 results 11jul01" xfId="157" xr:uid="{00000000-0005-0000-0000-000092000000}"/>
    <cellStyle name="_PercentSpace_surbid4 cloture_noos 2001 results 11jul01" xfId="158" xr:uid="{00000000-0005-0000-0000-000093000000}"/>
    <cellStyle name="_PercentSpace_tropicos5" xfId="159" xr:uid="{00000000-0005-0000-0000-000094000000}"/>
    <cellStyle name="_PercentSpace_voice1.xls Chart 1" xfId="160" xr:uid="{00000000-0005-0000-0000-000095000000}"/>
    <cellStyle name="_sayaji_proj1" xfId="161" xr:uid="{00000000-0005-0000-0000-000096000000}"/>
    <cellStyle name="_sayaji_project" xfId="162" xr:uid="{00000000-0005-0000-0000-000097000000}"/>
    <cellStyle name="_Story_LBOModel_24" xfId="163" xr:uid="{00000000-0005-0000-0000-000098000000}"/>
    <cellStyle name="_SubHeading" xfId="164" xr:uid="{00000000-0005-0000-0000-000099000000}"/>
    <cellStyle name="_Summary differences consortium-KKR-OC-150402" xfId="165" xr:uid="{00000000-0005-0000-0000-00009A000000}"/>
    <cellStyle name="_Table" xfId="166" xr:uid="{00000000-0005-0000-0000-00009B000000}"/>
    <cellStyle name="_Table input" xfId="167" xr:uid="{00000000-0005-0000-0000-00009C000000}"/>
    <cellStyle name="_Table shaded" xfId="168" xr:uid="{00000000-0005-0000-0000-00009D000000}"/>
    <cellStyle name="_TableHead" xfId="169" xr:uid="{00000000-0005-0000-0000-00009E000000}"/>
    <cellStyle name="_TableHead centre across sel" xfId="170" xr:uid="{00000000-0005-0000-0000-00009F000000}"/>
    <cellStyle name="_TableRowBorder" xfId="171" xr:uid="{00000000-0005-0000-0000-0000A0000000}"/>
    <cellStyle name="_TableRowHead" xfId="172" xr:uid="{00000000-0005-0000-0000-0000A1000000}"/>
    <cellStyle name="_TableSuperHead" xfId="173" xr:uid="{00000000-0005-0000-0000-0000A2000000}"/>
    <cellStyle name="_Viterra LBO model - Dec02 - v20" xfId="174" xr:uid="{00000000-0005-0000-0000-0000A3000000}"/>
    <cellStyle name="_Viterra LBO model - Dec02 - v20_Mindtree Financial Model vCurrent" xfId="175" xr:uid="{00000000-0005-0000-0000-0000A4000000}"/>
    <cellStyle name=";;;" xfId="21" xr:uid="{00000000-0005-0000-0000-00000A000000}"/>
    <cellStyle name="?? [0.00]_laroux" xfId="22" xr:uid="{00000000-0005-0000-0000-00000B000000}"/>
    <cellStyle name="?? [0]_??" xfId="23" xr:uid="{00000000-0005-0000-0000-00000C000000}"/>
    <cellStyle name="??_?.????" xfId="27" xr:uid="{00000000-0005-0000-0000-000010000000}"/>
    <cellStyle name="???? [0.00]_laroux" xfId="24" xr:uid="{00000000-0005-0000-0000-00000D000000}"/>
    <cellStyle name="????_laroux" xfId="26" xr:uid="{00000000-0005-0000-0000-00000F000000}"/>
    <cellStyle name="?????_VERA" xfId="25" xr:uid="{00000000-0005-0000-0000-00000E000000}"/>
    <cellStyle name=".00()" xfId="20" xr:uid="{00000000-0005-0000-0000-000009000000}"/>
    <cellStyle name="'Jul 29" xfId="3776" xr:uid="{00000000-0005-0000-0000-0000D40E0000}"/>
    <cellStyle name="§Q\?1@" xfId="178" xr:uid="{00000000-0005-0000-0000-0000A7000000}"/>
    <cellStyle name="@" xfId="28" xr:uid="{00000000-0005-0000-0000-000011000000}"/>
    <cellStyle name="******************************************" xfId="19" xr:uid="{00000000-0005-0000-0000-000008000000}"/>
    <cellStyle name="\" xfId="29" xr:uid="{00000000-0005-0000-0000-000012000000}"/>
    <cellStyle name="%" xfId="15" xr:uid="{00000000-0005-0000-0000-000004000000}"/>
    <cellStyle name="% Input" xfId="16" xr:uid="{00000000-0005-0000-0000-000005000000}"/>
    <cellStyle name="% Presentation" xfId="17" xr:uid="{00000000-0005-0000-0000-000006000000}"/>
    <cellStyle name="%.00" xfId="18" xr:uid="{00000000-0005-0000-0000-000007000000}"/>
    <cellStyle name="꒰腛_x0001_" xfId="5213" xr:uid="{00000000-0005-0000-0000-000096140000}"/>
    <cellStyle name="$" xfId="13" xr:uid="{00000000-0005-0000-0000-000002000000}"/>
    <cellStyle name="$ &amp; ¢" xfId="14" xr:uid="{00000000-0005-0000-0000-000003000000}"/>
    <cellStyle name="£ BP" xfId="176" xr:uid="{00000000-0005-0000-0000-0000A5000000}"/>
    <cellStyle name="¥ JY" xfId="177" xr:uid="{00000000-0005-0000-0000-0000A6000000}"/>
    <cellStyle name="0" xfId="180" xr:uid="{00000000-0005-0000-0000-0000A9000000}"/>
    <cellStyle name="0_Advent - Tech M - BT Stake - vCurrent" xfId="187" xr:uid="{00000000-0005-0000-0000-0000B1000000}"/>
    <cellStyle name="0_BP2" xfId="188" xr:uid="{00000000-0005-0000-0000-0000B2000000}"/>
    <cellStyle name="0_BP2_Comps 4Q03" xfId="189" xr:uid="{00000000-0005-0000-0000-0000B3000000}"/>
    <cellStyle name="0_BP2_Mindtree Financial Model vCurrent" xfId="190" xr:uid="{00000000-0005-0000-0000-0000B4000000}"/>
    <cellStyle name="0_Mindtree Financial Model vCurrent" xfId="191" xr:uid="{00000000-0005-0000-0000-0000B5000000}"/>
    <cellStyle name="0_Tower Comps_v4" xfId="192" xr:uid="{00000000-0005-0000-0000-0000B6000000}"/>
    <cellStyle name="0.0" xfId="181" xr:uid="{00000000-0005-0000-0000-0000AA000000}"/>
    <cellStyle name="0.0 x" xfId="182" xr:uid="{00000000-0005-0000-0000-0000AB000000}"/>
    <cellStyle name="0.0_Mindtree Financial Model vCurrent" xfId="184" xr:uid="{00000000-0005-0000-0000-0000AD000000}"/>
    <cellStyle name="0.0%" xfId="183" xr:uid="{00000000-0005-0000-0000-0000AC000000}"/>
    <cellStyle name="0.00" xfId="185" xr:uid="{00000000-0005-0000-0000-0000AE000000}"/>
    <cellStyle name="0.00%" xfId="186" xr:uid="{00000000-0005-0000-0000-0000AF000000}"/>
    <cellStyle name="000" xfId="193" xr:uid="{00000000-0005-0000-0000-0000B7000000}"/>
    <cellStyle name="1. Calc" xfId="7" xr:uid="{00000000-0005-0000-0000-0000B8000000}"/>
    <cellStyle name="1. Calc 2" xfId="5305" xr:uid="{8A62C08C-575D-4805-B982-FFC12B5F2F3E}"/>
    <cellStyle name="1. HeaderCenter" xfId="194" xr:uid="{00000000-0005-0000-0000-0000B9000000}"/>
    <cellStyle name="1. HeaderCenter 2" xfId="5303" xr:uid="{C90B8917-DF70-4042-95E8-4CA7682BB246}"/>
    <cellStyle name="1. HeaderCenter 3" xfId="5325" xr:uid="{71689EA8-2BA5-4505-9D29-EF9E4AF78ACA}"/>
    <cellStyle name="1. HeaderCenter 4" xfId="5329" xr:uid="{A2CE79C0-A962-4E5B-941C-F29D430F9BE7}"/>
    <cellStyle name="1. HeaderLeft" xfId="6" xr:uid="{00000000-0005-0000-0000-0000BA000000}"/>
    <cellStyle name="1. Input" xfId="3" xr:uid="{00000000-0005-0000-0000-0000BB000000}"/>
    <cellStyle name="1. Input 2" xfId="5346" xr:uid="{93B2C9A6-B48A-4112-B403-196594036464}"/>
    <cellStyle name="1. Note" xfId="195" xr:uid="{00000000-0005-0000-0000-0000BC000000}"/>
    <cellStyle name="1. Ref" xfId="4" xr:uid="{00000000-0005-0000-0000-0000BD000000}"/>
    <cellStyle name="1. Ref 2" xfId="5306" xr:uid="{8B7244B9-E19A-4822-AB6B-5DB81CE6CFD2}"/>
    <cellStyle name="1. Subtotal" xfId="196" xr:uid="{00000000-0005-0000-0000-0000BE000000}"/>
    <cellStyle name="1. Total" xfId="197" xr:uid="{00000000-0005-0000-0000-0000BF000000}"/>
    <cellStyle name="1. Total 2" xfId="198" xr:uid="{00000000-0005-0000-0000-0000C0000000}"/>
    <cellStyle name="1Decimal" xfId="199" xr:uid="{00000000-0005-0000-0000-0000C1000000}"/>
    <cellStyle name="¹éºÐÀ²_±âÅ¸" xfId="200" xr:uid="{00000000-0005-0000-0000-0000C2000000}"/>
    <cellStyle name="1Outputbox1" xfId="201" xr:uid="{00000000-0005-0000-0000-0000C3000000}"/>
    <cellStyle name="1Outputbox2" xfId="202" xr:uid="{00000000-0005-0000-0000-0000C4000000}"/>
    <cellStyle name="1Outputheader" xfId="203" xr:uid="{00000000-0005-0000-0000-0000C5000000}"/>
    <cellStyle name="1Outputheader2" xfId="204" xr:uid="{00000000-0005-0000-0000-0000C6000000}"/>
    <cellStyle name="1Outputsubtitle" xfId="205" xr:uid="{00000000-0005-0000-0000-0000C7000000}"/>
    <cellStyle name="1Outputtitle" xfId="206" xr:uid="{00000000-0005-0000-0000-0000C8000000}"/>
    <cellStyle name="1parte" xfId="207" xr:uid="{00000000-0005-0000-0000-0000C9000000}"/>
    <cellStyle name="1Profileheader" xfId="208" xr:uid="{00000000-0005-0000-0000-0000CA000000}"/>
    <cellStyle name="1Profilelowerbox" xfId="209" xr:uid="{00000000-0005-0000-0000-0000CB000000}"/>
    <cellStyle name="1Profilesubheader" xfId="210" xr:uid="{00000000-0005-0000-0000-0000CC000000}"/>
    <cellStyle name="1Profiletitle" xfId="211" xr:uid="{00000000-0005-0000-0000-0000CD000000}"/>
    <cellStyle name="1Profiletopbox" xfId="212" xr:uid="{00000000-0005-0000-0000-0000CE000000}"/>
    <cellStyle name="20% - Accent1 10" xfId="213" xr:uid="{00000000-0005-0000-0000-0000CF000000}"/>
    <cellStyle name="20% - Accent1 10 2" xfId="214" xr:uid="{00000000-0005-0000-0000-0000D0000000}"/>
    <cellStyle name="20% - Accent1 10 3" xfId="215" xr:uid="{00000000-0005-0000-0000-0000D1000000}"/>
    <cellStyle name="20% - Accent1 11" xfId="216" xr:uid="{00000000-0005-0000-0000-0000D2000000}"/>
    <cellStyle name="20% - Accent1 11 2" xfId="217" xr:uid="{00000000-0005-0000-0000-0000D3000000}"/>
    <cellStyle name="20% - Accent1 11 3" xfId="218" xr:uid="{00000000-0005-0000-0000-0000D4000000}"/>
    <cellStyle name="20% - Accent1 12" xfId="219" xr:uid="{00000000-0005-0000-0000-0000D5000000}"/>
    <cellStyle name="20% - Accent1 12 2" xfId="220" xr:uid="{00000000-0005-0000-0000-0000D6000000}"/>
    <cellStyle name="20% - Accent1 12 3" xfId="221" xr:uid="{00000000-0005-0000-0000-0000D7000000}"/>
    <cellStyle name="20% - Accent1 13" xfId="222" xr:uid="{00000000-0005-0000-0000-0000D8000000}"/>
    <cellStyle name="20% - Accent1 13 2" xfId="223" xr:uid="{00000000-0005-0000-0000-0000D9000000}"/>
    <cellStyle name="20% - Accent1 13 3" xfId="224" xr:uid="{00000000-0005-0000-0000-0000DA000000}"/>
    <cellStyle name="20% - Accent1 14" xfId="225" xr:uid="{00000000-0005-0000-0000-0000DB000000}"/>
    <cellStyle name="20% - Accent1 14 2" xfId="226" xr:uid="{00000000-0005-0000-0000-0000DC000000}"/>
    <cellStyle name="20% - Accent1 14 3" xfId="227" xr:uid="{00000000-0005-0000-0000-0000DD000000}"/>
    <cellStyle name="20% - Accent1 15" xfId="228" xr:uid="{00000000-0005-0000-0000-0000DE000000}"/>
    <cellStyle name="20% - Accent1 15 2" xfId="229" xr:uid="{00000000-0005-0000-0000-0000DF000000}"/>
    <cellStyle name="20% - Accent1 15 3" xfId="230" xr:uid="{00000000-0005-0000-0000-0000E0000000}"/>
    <cellStyle name="20% - Accent1 16" xfId="231" xr:uid="{00000000-0005-0000-0000-0000E1000000}"/>
    <cellStyle name="20% - Accent1 16 2" xfId="232" xr:uid="{00000000-0005-0000-0000-0000E2000000}"/>
    <cellStyle name="20% - Accent1 16 3" xfId="233" xr:uid="{00000000-0005-0000-0000-0000E3000000}"/>
    <cellStyle name="20% - Accent1 17" xfId="234" xr:uid="{00000000-0005-0000-0000-0000E4000000}"/>
    <cellStyle name="20% - Accent1 17 2" xfId="235" xr:uid="{00000000-0005-0000-0000-0000E5000000}"/>
    <cellStyle name="20% - Accent1 17 3" xfId="236" xr:uid="{00000000-0005-0000-0000-0000E6000000}"/>
    <cellStyle name="20% - Accent1 18" xfId="237" xr:uid="{00000000-0005-0000-0000-0000E7000000}"/>
    <cellStyle name="20% - Accent1 18 2" xfId="238" xr:uid="{00000000-0005-0000-0000-0000E8000000}"/>
    <cellStyle name="20% - Accent1 18 3" xfId="239" xr:uid="{00000000-0005-0000-0000-0000E9000000}"/>
    <cellStyle name="20% - Accent1 19" xfId="240" xr:uid="{00000000-0005-0000-0000-0000EA000000}"/>
    <cellStyle name="20% - Accent1 19 2" xfId="241" xr:uid="{00000000-0005-0000-0000-0000EB000000}"/>
    <cellStyle name="20% - Accent1 19 3" xfId="242" xr:uid="{00000000-0005-0000-0000-0000EC000000}"/>
    <cellStyle name="20% - Accent1 2" xfId="243" xr:uid="{00000000-0005-0000-0000-0000ED000000}"/>
    <cellStyle name="20% - Accent1 2 2" xfId="244" xr:uid="{00000000-0005-0000-0000-0000EE000000}"/>
    <cellStyle name="20% - Accent1 2 2 2" xfId="245" xr:uid="{00000000-0005-0000-0000-0000EF000000}"/>
    <cellStyle name="20% - Accent1 2 2 3" xfId="246" xr:uid="{00000000-0005-0000-0000-0000F0000000}"/>
    <cellStyle name="20% - Accent1 2 3" xfId="247" xr:uid="{00000000-0005-0000-0000-0000F1000000}"/>
    <cellStyle name="20% - Accent1 2 3 2" xfId="248" xr:uid="{00000000-0005-0000-0000-0000F2000000}"/>
    <cellStyle name="20% - Accent1 2 3 3" xfId="249" xr:uid="{00000000-0005-0000-0000-0000F3000000}"/>
    <cellStyle name="20% - Accent1 2 4" xfId="250" xr:uid="{00000000-0005-0000-0000-0000F4000000}"/>
    <cellStyle name="20% - Accent1 2 5" xfId="251" xr:uid="{00000000-0005-0000-0000-0000F5000000}"/>
    <cellStyle name="20% - Accent1 2_TOTAL OB COAL" xfId="252" xr:uid="{00000000-0005-0000-0000-0000F6000000}"/>
    <cellStyle name="20% - Accent1 20" xfId="253" xr:uid="{00000000-0005-0000-0000-0000F7000000}"/>
    <cellStyle name="20% - Accent1 20 2" xfId="254" xr:uid="{00000000-0005-0000-0000-0000F8000000}"/>
    <cellStyle name="20% - Accent1 20 3" xfId="255" xr:uid="{00000000-0005-0000-0000-0000F9000000}"/>
    <cellStyle name="20% - Accent1 21" xfId="256" xr:uid="{00000000-0005-0000-0000-0000FA000000}"/>
    <cellStyle name="20% - Accent1 21 2" xfId="257" xr:uid="{00000000-0005-0000-0000-0000FB000000}"/>
    <cellStyle name="20% - Accent1 21 3" xfId="258" xr:uid="{00000000-0005-0000-0000-0000FC000000}"/>
    <cellStyle name="20% - Accent1 22" xfId="259" xr:uid="{00000000-0005-0000-0000-0000FD000000}"/>
    <cellStyle name="20% - Accent1 22 2" xfId="260" xr:uid="{00000000-0005-0000-0000-0000FE000000}"/>
    <cellStyle name="20% - Accent1 22 3" xfId="261" xr:uid="{00000000-0005-0000-0000-0000FF000000}"/>
    <cellStyle name="20% - Accent1 23" xfId="262" xr:uid="{00000000-0005-0000-0000-000000010000}"/>
    <cellStyle name="20% - Accent1 23 2" xfId="263" xr:uid="{00000000-0005-0000-0000-000001010000}"/>
    <cellStyle name="20% - Accent1 23 3" xfId="264" xr:uid="{00000000-0005-0000-0000-000002010000}"/>
    <cellStyle name="20% - Accent1 24" xfId="265" xr:uid="{00000000-0005-0000-0000-000003010000}"/>
    <cellStyle name="20% - Accent1 24 2" xfId="266" xr:uid="{00000000-0005-0000-0000-000004010000}"/>
    <cellStyle name="20% - Accent1 24 3" xfId="267" xr:uid="{00000000-0005-0000-0000-000005010000}"/>
    <cellStyle name="20% - Accent1 25" xfId="268" xr:uid="{00000000-0005-0000-0000-000006010000}"/>
    <cellStyle name="20% - Accent1 25 2" xfId="269" xr:uid="{00000000-0005-0000-0000-000007010000}"/>
    <cellStyle name="20% - Accent1 25 3" xfId="270" xr:uid="{00000000-0005-0000-0000-000008010000}"/>
    <cellStyle name="20% - Accent1 26" xfId="271" xr:uid="{00000000-0005-0000-0000-000009010000}"/>
    <cellStyle name="20% - Accent1 26 2" xfId="272" xr:uid="{00000000-0005-0000-0000-00000A010000}"/>
    <cellStyle name="20% - Accent1 26 3" xfId="273" xr:uid="{00000000-0005-0000-0000-00000B010000}"/>
    <cellStyle name="20% - Accent1 27" xfId="274" xr:uid="{00000000-0005-0000-0000-00000C010000}"/>
    <cellStyle name="20% - Accent1 27 2" xfId="275" xr:uid="{00000000-0005-0000-0000-00000D010000}"/>
    <cellStyle name="20% - Accent1 27 3" xfId="276" xr:uid="{00000000-0005-0000-0000-00000E010000}"/>
    <cellStyle name="20% - Accent1 3" xfId="277" xr:uid="{00000000-0005-0000-0000-00000F010000}"/>
    <cellStyle name="20% - Accent1 3 2" xfId="278" xr:uid="{00000000-0005-0000-0000-000010010000}"/>
    <cellStyle name="20% - Accent1 3 3" xfId="279" xr:uid="{00000000-0005-0000-0000-000011010000}"/>
    <cellStyle name="20% - Accent1 4" xfId="280" xr:uid="{00000000-0005-0000-0000-000012010000}"/>
    <cellStyle name="20% - Accent1 4 2" xfId="281" xr:uid="{00000000-0005-0000-0000-000013010000}"/>
    <cellStyle name="20% - Accent1 4 3" xfId="282" xr:uid="{00000000-0005-0000-0000-000014010000}"/>
    <cellStyle name="20% - Accent1 5" xfId="283" xr:uid="{00000000-0005-0000-0000-000015010000}"/>
    <cellStyle name="20% - Accent1 5 2" xfId="284" xr:uid="{00000000-0005-0000-0000-000016010000}"/>
    <cellStyle name="20% - Accent1 5 3" xfId="285" xr:uid="{00000000-0005-0000-0000-000017010000}"/>
    <cellStyle name="20% - Accent1 6" xfId="286" xr:uid="{00000000-0005-0000-0000-000018010000}"/>
    <cellStyle name="20% - Accent1 6 2" xfId="287" xr:uid="{00000000-0005-0000-0000-000019010000}"/>
    <cellStyle name="20% - Accent1 6 3" xfId="288" xr:uid="{00000000-0005-0000-0000-00001A010000}"/>
    <cellStyle name="20% - Accent1 7" xfId="289" xr:uid="{00000000-0005-0000-0000-00001B010000}"/>
    <cellStyle name="20% - Accent1 7 2" xfId="290" xr:uid="{00000000-0005-0000-0000-00001C010000}"/>
    <cellStyle name="20% - Accent1 7 3" xfId="291" xr:uid="{00000000-0005-0000-0000-00001D010000}"/>
    <cellStyle name="20% - Accent1 8" xfId="292" xr:uid="{00000000-0005-0000-0000-00001E010000}"/>
    <cellStyle name="20% - Accent1 8 2" xfId="293" xr:uid="{00000000-0005-0000-0000-00001F010000}"/>
    <cellStyle name="20% - Accent1 8 3" xfId="294" xr:uid="{00000000-0005-0000-0000-000020010000}"/>
    <cellStyle name="20% - Accent1 9" xfId="295" xr:uid="{00000000-0005-0000-0000-000021010000}"/>
    <cellStyle name="20% - Accent1 9 2" xfId="296" xr:uid="{00000000-0005-0000-0000-000022010000}"/>
    <cellStyle name="20% - Accent1 9 3" xfId="297" xr:uid="{00000000-0005-0000-0000-000023010000}"/>
    <cellStyle name="20% - Accent2 10" xfId="298" xr:uid="{00000000-0005-0000-0000-000024010000}"/>
    <cellStyle name="20% - Accent2 10 2" xfId="299" xr:uid="{00000000-0005-0000-0000-000025010000}"/>
    <cellStyle name="20% - Accent2 10 3" xfId="300" xr:uid="{00000000-0005-0000-0000-000026010000}"/>
    <cellStyle name="20% - Accent2 11" xfId="301" xr:uid="{00000000-0005-0000-0000-000027010000}"/>
    <cellStyle name="20% - Accent2 11 2" xfId="302" xr:uid="{00000000-0005-0000-0000-000028010000}"/>
    <cellStyle name="20% - Accent2 11 3" xfId="303" xr:uid="{00000000-0005-0000-0000-000029010000}"/>
    <cellStyle name="20% - Accent2 12" xfId="304" xr:uid="{00000000-0005-0000-0000-00002A010000}"/>
    <cellStyle name="20% - Accent2 12 2" xfId="305" xr:uid="{00000000-0005-0000-0000-00002B010000}"/>
    <cellStyle name="20% - Accent2 12 3" xfId="306" xr:uid="{00000000-0005-0000-0000-00002C010000}"/>
    <cellStyle name="20% - Accent2 13" xfId="307" xr:uid="{00000000-0005-0000-0000-00002D010000}"/>
    <cellStyle name="20% - Accent2 13 2" xfId="308" xr:uid="{00000000-0005-0000-0000-00002E010000}"/>
    <cellStyle name="20% - Accent2 13 3" xfId="309" xr:uid="{00000000-0005-0000-0000-00002F010000}"/>
    <cellStyle name="20% - Accent2 14" xfId="310" xr:uid="{00000000-0005-0000-0000-000030010000}"/>
    <cellStyle name="20% - Accent2 14 2" xfId="311" xr:uid="{00000000-0005-0000-0000-000031010000}"/>
    <cellStyle name="20% - Accent2 14 3" xfId="312" xr:uid="{00000000-0005-0000-0000-000032010000}"/>
    <cellStyle name="20% - Accent2 15" xfId="313" xr:uid="{00000000-0005-0000-0000-000033010000}"/>
    <cellStyle name="20% - Accent2 15 2" xfId="314" xr:uid="{00000000-0005-0000-0000-000034010000}"/>
    <cellStyle name="20% - Accent2 15 3" xfId="315" xr:uid="{00000000-0005-0000-0000-000035010000}"/>
    <cellStyle name="20% - Accent2 16" xfId="316" xr:uid="{00000000-0005-0000-0000-000036010000}"/>
    <cellStyle name="20% - Accent2 16 2" xfId="317" xr:uid="{00000000-0005-0000-0000-000037010000}"/>
    <cellStyle name="20% - Accent2 16 3" xfId="318" xr:uid="{00000000-0005-0000-0000-000038010000}"/>
    <cellStyle name="20% - Accent2 17" xfId="319" xr:uid="{00000000-0005-0000-0000-000039010000}"/>
    <cellStyle name="20% - Accent2 17 2" xfId="320" xr:uid="{00000000-0005-0000-0000-00003A010000}"/>
    <cellStyle name="20% - Accent2 17 3" xfId="321" xr:uid="{00000000-0005-0000-0000-00003B010000}"/>
    <cellStyle name="20% - Accent2 18" xfId="322" xr:uid="{00000000-0005-0000-0000-00003C010000}"/>
    <cellStyle name="20% - Accent2 18 2" xfId="323" xr:uid="{00000000-0005-0000-0000-00003D010000}"/>
    <cellStyle name="20% - Accent2 18 3" xfId="324" xr:uid="{00000000-0005-0000-0000-00003E010000}"/>
    <cellStyle name="20% - Accent2 19" xfId="325" xr:uid="{00000000-0005-0000-0000-00003F010000}"/>
    <cellStyle name="20% - Accent2 19 2" xfId="326" xr:uid="{00000000-0005-0000-0000-000040010000}"/>
    <cellStyle name="20% - Accent2 19 3" xfId="327" xr:uid="{00000000-0005-0000-0000-000041010000}"/>
    <cellStyle name="20% - Accent2 2" xfId="328" xr:uid="{00000000-0005-0000-0000-000042010000}"/>
    <cellStyle name="20% - Accent2 2 2" xfId="329" xr:uid="{00000000-0005-0000-0000-000043010000}"/>
    <cellStyle name="20% - Accent2 2 2 2" xfId="330" xr:uid="{00000000-0005-0000-0000-000044010000}"/>
    <cellStyle name="20% - Accent2 2 2 3" xfId="331" xr:uid="{00000000-0005-0000-0000-000045010000}"/>
    <cellStyle name="20% - Accent2 2 3" xfId="332" xr:uid="{00000000-0005-0000-0000-000046010000}"/>
    <cellStyle name="20% - Accent2 2 3 2" xfId="333" xr:uid="{00000000-0005-0000-0000-000047010000}"/>
    <cellStyle name="20% - Accent2 2 3 3" xfId="334" xr:uid="{00000000-0005-0000-0000-000048010000}"/>
    <cellStyle name="20% - Accent2 2 4" xfId="335" xr:uid="{00000000-0005-0000-0000-000049010000}"/>
    <cellStyle name="20% - Accent2 2 5" xfId="336" xr:uid="{00000000-0005-0000-0000-00004A010000}"/>
    <cellStyle name="20% - Accent2 2_TOTAL OB COAL" xfId="337" xr:uid="{00000000-0005-0000-0000-00004B010000}"/>
    <cellStyle name="20% - Accent2 20" xfId="338" xr:uid="{00000000-0005-0000-0000-00004C010000}"/>
    <cellStyle name="20% - Accent2 20 2" xfId="339" xr:uid="{00000000-0005-0000-0000-00004D010000}"/>
    <cellStyle name="20% - Accent2 20 3" xfId="340" xr:uid="{00000000-0005-0000-0000-00004E010000}"/>
    <cellStyle name="20% - Accent2 21" xfId="341" xr:uid="{00000000-0005-0000-0000-00004F010000}"/>
    <cellStyle name="20% - Accent2 21 2" xfId="342" xr:uid="{00000000-0005-0000-0000-000050010000}"/>
    <cellStyle name="20% - Accent2 21 3" xfId="343" xr:uid="{00000000-0005-0000-0000-000051010000}"/>
    <cellStyle name="20% - Accent2 22" xfId="344" xr:uid="{00000000-0005-0000-0000-000052010000}"/>
    <cellStyle name="20% - Accent2 22 2" xfId="345" xr:uid="{00000000-0005-0000-0000-000053010000}"/>
    <cellStyle name="20% - Accent2 22 3" xfId="346" xr:uid="{00000000-0005-0000-0000-000054010000}"/>
    <cellStyle name="20% - Accent2 23" xfId="347" xr:uid="{00000000-0005-0000-0000-000055010000}"/>
    <cellStyle name="20% - Accent2 23 2" xfId="348" xr:uid="{00000000-0005-0000-0000-000056010000}"/>
    <cellStyle name="20% - Accent2 23 3" xfId="349" xr:uid="{00000000-0005-0000-0000-000057010000}"/>
    <cellStyle name="20% - Accent2 24" xfId="350" xr:uid="{00000000-0005-0000-0000-000058010000}"/>
    <cellStyle name="20% - Accent2 24 2" xfId="351" xr:uid="{00000000-0005-0000-0000-000059010000}"/>
    <cellStyle name="20% - Accent2 24 3" xfId="352" xr:uid="{00000000-0005-0000-0000-00005A010000}"/>
    <cellStyle name="20% - Accent2 25" xfId="353" xr:uid="{00000000-0005-0000-0000-00005B010000}"/>
    <cellStyle name="20% - Accent2 25 2" xfId="354" xr:uid="{00000000-0005-0000-0000-00005C010000}"/>
    <cellStyle name="20% - Accent2 25 3" xfId="355" xr:uid="{00000000-0005-0000-0000-00005D010000}"/>
    <cellStyle name="20% - Accent2 26" xfId="356" xr:uid="{00000000-0005-0000-0000-00005E010000}"/>
    <cellStyle name="20% - Accent2 26 2" xfId="357" xr:uid="{00000000-0005-0000-0000-00005F010000}"/>
    <cellStyle name="20% - Accent2 26 3" xfId="358" xr:uid="{00000000-0005-0000-0000-000060010000}"/>
    <cellStyle name="20% - Accent2 27" xfId="359" xr:uid="{00000000-0005-0000-0000-000061010000}"/>
    <cellStyle name="20% - Accent2 27 2" xfId="360" xr:uid="{00000000-0005-0000-0000-000062010000}"/>
    <cellStyle name="20% - Accent2 27 3" xfId="361" xr:uid="{00000000-0005-0000-0000-000063010000}"/>
    <cellStyle name="20% - Accent2 3" xfId="362" xr:uid="{00000000-0005-0000-0000-000064010000}"/>
    <cellStyle name="20% - Accent2 3 2" xfId="363" xr:uid="{00000000-0005-0000-0000-000065010000}"/>
    <cellStyle name="20% - Accent2 3 3" xfId="364" xr:uid="{00000000-0005-0000-0000-000066010000}"/>
    <cellStyle name="20% - Accent2 4" xfId="365" xr:uid="{00000000-0005-0000-0000-000067010000}"/>
    <cellStyle name="20% - Accent2 4 2" xfId="366" xr:uid="{00000000-0005-0000-0000-000068010000}"/>
    <cellStyle name="20% - Accent2 4 3" xfId="367" xr:uid="{00000000-0005-0000-0000-000069010000}"/>
    <cellStyle name="20% - Accent2 5" xfId="368" xr:uid="{00000000-0005-0000-0000-00006A010000}"/>
    <cellStyle name="20% - Accent2 5 2" xfId="369" xr:uid="{00000000-0005-0000-0000-00006B010000}"/>
    <cellStyle name="20% - Accent2 5 3" xfId="370" xr:uid="{00000000-0005-0000-0000-00006C010000}"/>
    <cellStyle name="20% - Accent2 6" xfId="371" xr:uid="{00000000-0005-0000-0000-00006D010000}"/>
    <cellStyle name="20% - Accent2 6 2" xfId="372" xr:uid="{00000000-0005-0000-0000-00006E010000}"/>
    <cellStyle name="20% - Accent2 6 3" xfId="373" xr:uid="{00000000-0005-0000-0000-00006F010000}"/>
    <cellStyle name="20% - Accent2 7" xfId="374" xr:uid="{00000000-0005-0000-0000-000070010000}"/>
    <cellStyle name="20% - Accent2 7 2" xfId="375" xr:uid="{00000000-0005-0000-0000-000071010000}"/>
    <cellStyle name="20% - Accent2 7 3" xfId="376" xr:uid="{00000000-0005-0000-0000-000072010000}"/>
    <cellStyle name="20% - Accent2 8" xfId="377" xr:uid="{00000000-0005-0000-0000-000073010000}"/>
    <cellStyle name="20% - Accent2 8 2" xfId="378" xr:uid="{00000000-0005-0000-0000-000074010000}"/>
    <cellStyle name="20% - Accent2 8 3" xfId="379" xr:uid="{00000000-0005-0000-0000-000075010000}"/>
    <cellStyle name="20% - Accent2 9" xfId="380" xr:uid="{00000000-0005-0000-0000-000076010000}"/>
    <cellStyle name="20% - Accent2 9 2" xfId="381" xr:uid="{00000000-0005-0000-0000-000077010000}"/>
    <cellStyle name="20% - Accent2 9 3" xfId="382" xr:uid="{00000000-0005-0000-0000-000078010000}"/>
    <cellStyle name="20% - Accent3 10" xfId="383" xr:uid="{00000000-0005-0000-0000-000079010000}"/>
    <cellStyle name="20% - Accent3 10 2" xfId="384" xr:uid="{00000000-0005-0000-0000-00007A010000}"/>
    <cellStyle name="20% - Accent3 10 3" xfId="385" xr:uid="{00000000-0005-0000-0000-00007B010000}"/>
    <cellStyle name="20% - Accent3 11" xfId="386" xr:uid="{00000000-0005-0000-0000-00007C010000}"/>
    <cellStyle name="20% - Accent3 11 2" xfId="387" xr:uid="{00000000-0005-0000-0000-00007D010000}"/>
    <cellStyle name="20% - Accent3 11 3" xfId="388" xr:uid="{00000000-0005-0000-0000-00007E010000}"/>
    <cellStyle name="20% - Accent3 12" xfId="389" xr:uid="{00000000-0005-0000-0000-00007F010000}"/>
    <cellStyle name="20% - Accent3 12 2" xfId="390" xr:uid="{00000000-0005-0000-0000-000080010000}"/>
    <cellStyle name="20% - Accent3 12 3" xfId="391" xr:uid="{00000000-0005-0000-0000-000081010000}"/>
    <cellStyle name="20% - Accent3 13" xfId="392" xr:uid="{00000000-0005-0000-0000-000082010000}"/>
    <cellStyle name="20% - Accent3 13 2" xfId="393" xr:uid="{00000000-0005-0000-0000-000083010000}"/>
    <cellStyle name="20% - Accent3 13 3" xfId="394" xr:uid="{00000000-0005-0000-0000-000084010000}"/>
    <cellStyle name="20% - Accent3 14" xfId="395" xr:uid="{00000000-0005-0000-0000-000085010000}"/>
    <cellStyle name="20% - Accent3 14 2" xfId="396" xr:uid="{00000000-0005-0000-0000-000086010000}"/>
    <cellStyle name="20% - Accent3 14 3" xfId="397" xr:uid="{00000000-0005-0000-0000-000087010000}"/>
    <cellStyle name="20% - Accent3 15" xfId="398" xr:uid="{00000000-0005-0000-0000-000088010000}"/>
    <cellStyle name="20% - Accent3 15 2" xfId="399" xr:uid="{00000000-0005-0000-0000-000089010000}"/>
    <cellStyle name="20% - Accent3 15 3" xfId="400" xr:uid="{00000000-0005-0000-0000-00008A010000}"/>
    <cellStyle name="20% - Accent3 16" xfId="401" xr:uid="{00000000-0005-0000-0000-00008B010000}"/>
    <cellStyle name="20% - Accent3 16 2" xfId="402" xr:uid="{00000000-0005-0000-0000-00008C010000}"/>
    <cellStyle name="20% - Accent3 16 3" xfId="403" xr:uid="{00000000-0005-0000-0000-00008D010000}"/>
    <cellStyle name="20% - Accent3 17" xfId="404" xr:uid="{00000000-0005-0000-0000-00008E010000}"/>
    <cellStyle name="20% - Accent3 17 2" xfId="405" xr:uid="{00000000-0005-0000-0000-00008F010000}"/>
    <cellStyle name="20% - Accent3 17 3" xfId="406" xr:uid="{00000000-0005-0000-0000-000090010000}"/>
    <cellStyle name="20% - Accent3 18" xfId="407" xr:uid="{00000000-0005-0000-0000-000091010000}"/>
    <cellStyle name="20% - Accent3 18 2" xfId="408" xr:uid="{00000000-0005-0000-0000-000092010000}"/>
    <cellStyle name="20% - Accent3 18 3" xfId="409" xr:uid="{00000000-0005-0000-0000-000093010000}"/>
    <cellStyle name="20% - Accent3 19" xfId="410" xr:uid="{00000000-0005-0000-0000-000094010000}"/>
    <cellStyle name="20% - Accent3 19 2" xfId="411" xr:uid="{00000000-0005-0000-0000-000095010000}"/>
    <cellStyle name="20% - Accent3 19 3" xfId="412" xr:uid="{00000000-0005-0000-0000-000096010000}"/>
    <cellStyle name="20% - Accent3 2" xfId="413" xr:uid="{00000000-0005-0000-0000-000097010000}"/>
    <cellStyle name="20% - Accent3 2 2" xfId="414" xr:uid="{00000000-0005-0000-0000-000098010000}"/>
    <cellStyle name="20% - Accent3 2 2 2" xfId="415" xr:uid="{00000000-0005-0000-0000-000099010000}"/>
    <cellStyle name="20% - Accent3 2 2 3" xfId="416" xr:uid="{00000000-0005-0000-0000-00009A010000}"/>
    <cellStyle name="20% - Accent3 2 3" xfId="417" xr:uid="{00000000-0005-0000-0000-00009B010000}"/>
    <cellStyle name="20% - Accent3 2 3 2" xfId="418" xr:uid="{00000000-0005-0000-0000-00009C010000}"/>
    <cellStyle name="20% - Accent3 2 3 3" xfId="419" xr:uid="{00000000-0005-0000-0000-00009D010000}"/>
    <cellStyle name="20% - Accent3 2 4" xfId="420" xr:uid="{00000000-0005-0000-0000-00009E010000}"/>
    <cellStyle name="20% - Accent3 2 5" xfId="421" xr:uid="{00000000-0005-0000-0000-00009F010000}"/>
    <cellStyle name="20% - Accent3 2_TOTAL OB COAL" xfId="422" xr:uid="{00000000-0005-0000-0000-0000A0010000}"/>
    <cellStyle name="20% - Accent3 20" xfId="423" xr:uid="{00000000-0005-0000-0000-0000A1010000}"/>
    <cellStyle name="20% - Accent3 20 2" xfId="424" xr:uid="{00000000-0005-0000-0000-0000A2010000}"/>
    <cellStyle name="20% - Accent3 20 3" xfId="425" xr:uid="{00000000-0005-0000-0000-0000A3010000}"/>
    <cellStyle name="20% - Accent3 21" xfId="426" xr:uid="{00000000-0005-0000-0000-0000A4010000}"/>
    <cellStyle name="20% - Accent3 21 2" xfId="427" xr:uid="{00000000-0005-0000-0000-0000A5010000}"/>
    <cellStyle name="20% - Accent3 21 3" xfId="428" xr:uid="{00000000-0005-0000-0000-0000A6010000}"/>
    <cellStyle name="20% - Accent3 22" xfId="429" xr:uid="{00000000-0005-0000-0000-0000A7010000}"/>
    <cellStyle name="20% - Accent3 22 2" xfId="430" xr:uid="{00000000-0005-0000-0000-0000A8010000}"/>
    <cellStyle name="20% - Accent3 22 3" xfId="431" xr:uid="{00000000-0005-0000-0000-0000A9010000}"/>
    <cellStyle name="20% - Accent3 23" xfId="432" xr:uid="{00000000-0005-0000-0000-0000AA010000}"/>
    <cellStyle name="20% - Accent3 23 2" xfId="433" xr:uid="{00000000-0005-0000-0000-0000AB010000}"/>
    <cellStyle name="20% - Accent3 23 3" xfId="434" xr:uid="{00000000-0005-0000-0000-0000AC010000}"/>
    <cellStyle name="20% - Accent3 24" xfId="435" xr:uid="{00000000-0005-0000-0000-0000AD010000}"/>
    <cellStyle name="20% - Accent3 24 2" xfId="436" xr:uid="{00000000-0005-0000-0000-0000AE010000}"/>
    <cellStyle name="20% - Accent3 24 3" xfId="437" xr:uid="{00000000-0005-0000-0000-0000AF010000}"/>
    <cellStyle name="20% - Accent3 25" xfId="438" xr:uid="{00000000-0005-0000-0000-0000B0010000}"/>
    <cellStyle name="20% - Accent3 25 2" xfId="439" xr:uid="{00000000-0005-0000-0000-0000B1010000}"/>
    <cellStyle name="20% - Accent3 25 3" xfId="440" xr:uid="{00000000-0005-0000-0000-0000B2010000}"/>
    <cellStyle name="20% - Accent3 26" xfId="441" xr:uid="{00000000-0005-0000-0000-0000B3010000}"/>
    <cellStyle name="20% - Accent3 26 2" xfId="442" xr:uid="{00000000-0005-0000-0000-0000B4010000}"/>
    <cellStyle name="20% - Accent3 26 3" xfId="443" xr:uid="{00000000-0005-0000-0000-0000B5010000}"/>
    <cellStyle name="20% - Accent3 27" xfId="444" xr:uid="{00000000-0005-0000-0000-0000B6010000}"/>
    <cellStyle name="20% - Accent3 27 2" xfId="445" xr:uid="{00000000-0005-0000-0000-0000B7010000}"/>
    <cellStyle name="20% - Accent3 27 3" xfId="446" xr:uid="{00000000-0005-0000-0000-0000B8010000}"/>
    <cellStyle name="20% - Accent3 3" xfId="447" xr:uid="{00000000-0005-0000-0000-0000B9010000}"/>
    <cellStyle name="20% - Accent3 3 2" xfId="448" xr:uid="{00000000-0005-0000-0000-0000BA010000}"/>
    <cellStyle name="20% - Accent3 3 3" xfId="449" xr:uid="{00000000-0005-0000-0000-0000BB010000}"/>
    <cellStyle name="20% - Accent3 4" xfId="450" xr:uid="{00000000-0005-0000-0000-0000BC010000}"/>
    <cellStyle name="20% - Accent3 4 2" xfId="451" xr:uid="{00000000-0005-0000-0000-0000BD010000}"/>
    <cellStyle name="20% - Accent3 4 3" xfId="452" xr:uid="{00000000-0005-0000-0000-0000BE010000}"/>
    <cellStyle name="20% - Accent3 5" xfId="453" xr:uid="{00000000-0005-0000-0000-0000BF010000}"/>
    <cellStyle name="20% - Accent3 5 2" xfId="454" xr:uid="{00000000-0005-0000-0000-0000C0010000}"/>
    <cellStyle name="20% - Accent3 5 3" xfId="455" xr:uid="{00000000-0005-0000-0000-0000C1010000}"/>
    <cellStyle name="20% - Accent3 6" xfId="456" xr:uid="{00000000-0005-0000-0000-0000C2010000}"/>
    <cellStyle name="20% - Accent3 6 2" xfId="457" xr:uid="{00000000-0005-0000-0000-0000C3010000}"/>
    <cellStyle name="20% - Accent3 6 3" xfId="458" xr:uid="{00000000-0005-0000-0000-0000C4010000}"/>
    <cellStyle name="20% - Accent3 7" xfId="459" xr:uid="{00000000-0005-0000-0000-0000C5010000}"/>
    <cellStyle name="20% - Accent3 7 2" xfId="460" xr:uid="{00000000-0005-0000-0000-0000C6010000}"/>
    <cellStyle name="20% - Accent3 7 3" xfId="461" xr:uid="{00000000-0005-0000-0000-0000C7010000}"/>
    <cellStyle name="20% - Accent3 8" xfId="462" xr:uid="{00000000-0005-0000-0000-0000C8010000}"/>
    <cellStyle name="20% - Accent3 8 2" xfId="463" xr:uid="{00000000-0005-0000-0000-0000C9010000}"/>
    <cellStyle name="20% - Accent3 8 3" xfId="464" xr:uid="{00000000-0005-0000-0000-0000CA010000}"/>
    <cellStyle name="20% - Accent3 9" xfId="465" xr:uid="{00000000-0005-0000-0000-0000CB010000}"/>
    <cellStyle name="20% - Accent3 9 2" xfId="466" xr:uid="{00000000-0005-0000-0000-0000CC010000}"/>
    <cellStyle name="20% - Accent3 9 3" xfId="467" xr:uid="{00000000-0005-0000-0000-0000CD010000}"/>
    <cellStyle name="20% - Accent4 10" xfId="468" xr:uid="{00000000-0005-0000-0000-0000CE010000}"/>
    <cellStyle name="20% - Accent4 10 2" xfId="469" xr:uid="{00000000-0005-0000-0000-0000CF010000}"/>
    <cellStyle name="20% - Accent4 10 3" xfId="470" xr:uid="{00000000-0005-0000-0000-0000D0010000}"/>
    <cellStyle name="20% - Accent4 11" xfId="471" xr:uid="{00000000-0005-0000-0000-0000D1010000}"/>
    <cellStyle name="20% - Accent4 11 2" xfId="472" xr:uid="{00000000-0005-0000-0000-0000D2010000}"/>
    <cellStyle name="20% - Accent4 11 3" xfId="473" xr:uid="{00000000-0005-0000-0000-0000D3010000}"/>
    <cellStyle name="20% - Accent4 12" xfId="474" xr:uid="{00000000-0005-0000-0000-0000D4010000}"/>
    <cellStyle name="20% - Accent4 12 2" xfId="475" xr:uid="{00000000-0005-0000-0000-0000D5010000}"/>
    <cellStyle name="20% - Accent4 12 3" xfId="476" xr:uid="{00000000-0005-0000-0000-0000D6010000}"/>
    <cellStyle name="20% - Accent4 13" xfId="477" xr:uid="{00000000-0005-0000-0000-0000D7010000}"/>
    <cellStyle name="20% - Accent4 13 2" xfId="478" xr:uid="{00000000-0005-0000-0000-0000D8010000}"/>
    <cellStyle name="20% - Accent4 13 3" xfId="479" xr:uid="{00000000-0005-0000-0000-0000D9010000}"/>
    <cellStyle name="20% - Accent4 14" xfId="480" xr:uid="{00000000-0005-0000-0000-0000DA010000}"/>
    <cellStyle name="20% - Accent4 14 2" xfId="481" xr:uid="{00000000-0005-0000-0000-0000DB010000}"/>
    <cellStyle name="20% - Accent4 14 3" xfId="482" xr:uid="{00000000-0005-0000-0000-0000DC010000}"/>
    <cellStyle name="20% - Accent4 15" xfId="483" xr:uid="{00000000-0005-0000-0000-0000DD010000}"/>
    <cellStyle name="20% - Accent4 15 2" xfId="484" xr:uid="{00000000-0005-0000-0000-0000DE010000}"/>
    <cellStyle name="20% - Accent4 15 3" xfId="485" xr:uid="{00000000-0005-0000-0000-0000DF010000}"/>
    <cellStyle name="20% - Accent4 16" xfId="486" xr:uid="{00000000-0005-0000-0000-0000E0010000}"/>
    <cellStyle name="20% - Accent4 16 2" xfId="487" xr:uid="{00000000-0005-0000-0000-0000E1010000}"/>
    <cellStyle name="20% - Accent4 16 3" xfId="488" xr:uid="{00000000-0005-0000-0000-0000E2010000}"/>
    <cellStyle name="20% - Accent4 17" xfId="489" xr:uid="{00000000-0005-0000-0000-0000E3010000}"/>
    <cellStyle name="20% - Accent4 17 2" xfId="490" xr:uid="{00000000-0005-0000-0000-0000E4010000}"/>
    <cellStyle name="20% - Accent4 17 3" xfId="491" xr:uid="{00000000-0005-0000-0000-0000E5010000}"/>
    <cellStyle name="20% - Accent4 18" xfId="492" xr:uid="{00000000-0005-0000-0000-0000E6010000}"/>
    <cellStyle name="20% - Accent4 18 2" xfId="493" xr:uid="{00000000-0005-0000-0000-0000E7010000}"/>
    <cellStyle name="20% - Accent4 18 3" xfId="494" xr:uid="{00000000-0005-0000-0000-0000E8010000}"/>
    <cellStyle name="20% - Accent4 19" xfId="495" xr:uid="{00000000-0005-0000-0000-0000E9010000}"/>
    <cellStyle name="20% - Accent4 19 2" xfId="496" xr:uid="{00000000-0005-0000-0000-0000EA010000}"/>
    <cellStyle name="20% - Accent4 19 3" xfId="497" xr:uid="{00000000-0005-0000-0000-0000EB010000}"/>
    <cellStyle name="20% - Accent4 2" xfId="498" xr:uid="{00000000-0005-0000-0000-0000EC010000}"/>
    <cellStyle name="20% - Accent4 2 2" xfId="499" xr:uid="{00000000-0005-0000-0000-0000ED010000}"/>
    <cellStyle name="20% - Accent4 2 2 2" xfId="500" xr:uid="{00000000-0005-0000-0000-0000EE010000}"/>
    <cellStyle name="20% - Accent4 2 2 3" xfId="501" xr:uid="{00000000-0005-0000-0000-0000EF010000}"/>
    <cellStyle name="20% - Accent4 2 3" xfId="502" xr:uid="{00000000-0005-0000-0000-0000F0010000}"/>
    <cellStyle name="20% - Accent4 2 3 2" xfId="503" xr:uid="{00000000-0005-0000-0000-0000F1010000}"/>
    <cellStyle name="20% - Accent4 2 3 3" xfId="504" xr:uid="{00000000-0005-0000-0000-0000F2010000}"/>
    <cellStyle name="20% - Accent4 2 4" xfId="505" xr:uid="{00000000-0005-0000-0000-0000F3010000}"/>
    <cellStyle name="20% - Accent4 2 5" xfId="506" xr:uid="{00000000-0005-0000-0000-0000F4010000}"/>
    <cellStyle name="20% - Accent4 2_TOTAL OB COAL" xfId="507" xr:uid="{00000000-0005-0000-0000-0000F5010000}"/>
    <cellStyle name="20% - Accent4 20" xfId="508" xr:uid="{00000000-0005-0000-0000-0000F6010000}"/>
    <cellStyle name="20% - Accent4 20 2" xfId="509" xr:uid="{00000000-0005-0000-0000-0000F7010000}"/>
    <cellStyle name="20% - Accent4 20 3" xfId="510" xr:uid="{00000000-0005-0000-0000-0000F8010000}"/>
    <cellStyle name="20% - Accent4 21" xfId="511" xr:uid="{00000000-0005-0000-0000-0000F9010000}"/>
    <cellStyle name="20% - Accent4 21 2" xfId="512" xr:uid="{00000000-0005-0000-0000-0000FA010000}"/>
    <cellStyle name="20% - Accent4 21 3" xfId="513" xr:uid="{00000000-0005-0000-0000-0000FB010000}"/>
    <cellStyle name="20% - Accent4 22" xfId="514" xr:uid="{00000000-0005-0000-0000-0000FC010000}"/>
    <cellStyle name="20% - Accent4 22 2" xfId="515" xr:uid="{00000000-0005-0000-0000-0000FD010000}"/>
    <cellStyle name="20% - Accent4 22 3" xfId="516" xr:uid="{00000000-0005-0000-0000-0000FE010000}"/>
    <cellStyle name="20% - Accent4 23" xfId="517" xr:uid="{00000000-0005-0000-0000-0000FF010000}"/>
    <cellStyle name="20% - Accent4 23 2" xfId="518" xr:uid="{00000000-0005-0000-0000-000000020000}"/>
    <cellStyle name="20% - Accent4 23 3" xfId="519" xr:uid="{00000000-0005-0000-0000-000001020000}"/>
    <cellStyle name="20% - Accent4 24" xfId="520" xr:uid="{00000000-0005-0000-0000-000002020000}"/>
    <cellStyle name="20% - Accent4 24 2" xfId="521" xr:uid="{00000000-0005-0000-0000-000003020000}"/>
    <cellStyle name="20% - Accent4 24 3" xfId="522" xr:uid="{00000000-0005-0000-0000-000004020000}"/>
    <cellStyle name="20% - Accent4 25" xfId="523" xr:uid="{00000000-0005-0000-0000-000005020000}"/>
    <cellStyle name="20% - Accent4 25 2" xfId="524" xr:uid="{00000000-0005-0000-0000-000006020000}"/>
    <cellStyle name="20% - Accent4 25 3" xfId="525" xr:uid="{00000000-0005-0000-0000-000007020000}"/>
    <cellStyle name="20% - Accent4 26" xfId="526" xr:uid="{00000000-0005-0000-0000-000008020000}"/>
    <cellStyle name="20% - Accent4 26 2" xfId="527" xr:uid="{00000000-0005-0000-0000-000009020000}"/>
    <cellStyle name="20% - Accent4 26 3" xfId="528" xr:uid="{00000000-0005-0000-0000-00000A020000}"/>
    <cellStyle name="20% - Accent4 27" xfId="529" xr:uid="{00000000-0005-0000-0000-00000B020000}"/>
    <cellStyle name="20% - Accent4 27 2" xfId="530" xr:uid="{00000000-0005-0000-0000-00000C020000}"/>
    <cellStyle name="20% - Accent4 27 3" xfId="531" xr:uid="{00000000-0005-0000-0000-00000D020000}"/>
    <cellStyle name="20% - Accent4 3" xfId="532" xr:uid="{00000000-0005-0000-0000-00000E020000}"/>
    <cellStyle name="20% - Accent4 3 2" xfId="533" xr:uid="{00000000-0005-0000-0000-00000F020000}"/>
    <cellStyle name="20% - Accent4 3 3" xfId="534" xr:uid="{00000000-0005-0000-0000-000010020000}"/>
    <cellStyle name="20% - Accent4 4" xfId="535" xr:uid="{00000000-0005-0000-0000-000011020000}"/>
    <cellStyle name="20% - Accent4 4 2" xfId="536" xr:uid="{00000000-0005-0000-0000-000012020000}"/>
    <cellStyle name="20% - Accent4 4 3" xfId="537" xr:uid="{00000000-0005-0000-0000-000013020000}"/>
    <cellStyle name="20% - Accent4 5" xfId="538" xr:uid="{00000000-0005-0000-0000-000014020000}"/>
    <cellStyle name="20% - Accent4 5 2" xfId="539" xr:uid="{00000000-0005-0000-0000-000015020000}"/>
    <cellStyle name="20% - Accent4 5 3" xfId="540" xr:uid="{00000000-0005-0000-0000-000016020000}"/>
    <cellStyle name="20% - Accent4 6" xfId="541" xr:uid="{00000000-0005-0000-0000-000017020000}"/>
    <cellStyle name="20% - Accent4 6 2" xfId="542" xr:uid="{00000000-0005-0000-0000-000018020000}"/>
    <cellStyle name="20% - Accent4 6 3" xfId="543" xr:uid="{00000000-0005-0000-0000-000019020000}"/>
    <cellStyle name="20% - Accent4 7" xfId="544" xr:uid="{00000000-0005-0000-0000-00001A020000}"/>
    <cellStyle name="20% - Accent4 7 2" xfId="545" xr:uid="{00000000-0005-0000-0000-00001B020000}"/>
    <cellStyle name="20% - Accent4 7 3" xfId="546" xr:uid="{00000000-0005-0000-0000-00001C020000}"/>
    <cellStyle name="20% - Accent4 8" xfId="547" xr:uid="{00000000-0005-0000-0000-00001D020000}"/>
    <cellStyle name="20% - Accent4 8 2" xfId="548" xr:uid="{00000000-0005-0000-0000-00001E020000}"/>
    <cellStyle name="20% - Accent4 8 3" xfId="549" xr:uid="{00000000-0005-0000-0000-00001F020000}"/>
    <cellStyle name="20% - Accent4 9" xfId="550" xr:uid="{00000000-0005-0000-0000-000020020000}"/>
    <cellStyle name="20% - Accent4 9 2" xfId="551" xr:uid="{00000000-0005-0000-0000-000021020000}"/>
    <cellStyle name="20% - Accent4 9 3" xfId="552" xr:uid="{00000000-0005-0000-0000-000022020000}"/>
    <cellStyle name="20% - Accent5 10" xfId="553" xr:uid="{00000000-0005-0000-0000-000023020000}"/>
    <cellStyle name="20% - Accent5 10 2" xfId="554" xr:uid="{00000000-0005-0000-0000-000024020000}"/>
    <cellStyle name="20% - Accent5 10 3" xfId="555" xr:uid="{00000000-0005-0000-0000-000025020000}"/>
    <cellStyle name="20% - Accent5 11" xfId="556" xr:uid="{00000000-0005-0000-0000-000026020000}"/>
    <cellStyle name="20% - Accent5 11 2" xfId="557" xr:uid="{00000000-0005-0000-0000-000027020000}"/>
    <cellStyle name="20% - Accent5 11 3" xfId="558" xr:uid="{00000000-0005-0000-0000-000028020000}"/>
    <cellStyle name="20% - Accent5 12" xfId="559" xr:uid="{00000000-0005-0000-0000-000029020000}"/>
    <cellStyle name="20% - Accent5 12 2" xfId="560" xr:uid="{00000000-0005-0000-0000-00002A020000}"/>
    <cellStyle name="20% - Accent5 12 3" xfId="561" xr:uid="{00000000-0005-0000-0000-00002B020000}"/>
    <cellStyle name="20% - Accent5 13" xfId="562" xr:uid="{00000000-0005-0000-0000-00002C020000}"/>
    <cellStyle name="20% - Accent5 13 2" xfId="563" xr:uid="{00000000-0005-0000-0000-00002D020000}"/>
    <cellStyle name="20% - Accent5 13 3" xfId="564" xr:uid="{00000000-0005-0000-0000-00002E020000}"/>
    <cellStyle name="20% - Accent5 14" xfId="565" xr:uid="{00000000-0005-0000-0000-00002F020000}"/>
    <cellStyle name="20% - Accent5 14 2" xfId="566" xr:uid="{00000000-0005-0000-0000-000030020000}"/>
    <cellStyle name="20% - Accent5 14 3" xfId="567" xr:uid="{00000000-0005-0000-0000-000031020000}"/>
    <cellStyle name="20% - Accent5 15" xfId="568" xr:uid="{00000000-0005-0000-0000-000032020000}"/>
    <cellStyle name="20% - Accent5 15 2" xfId="569" xr:uid="{00000000-0005-0000-0000-000033020000}"/>
    <cellStyle name="20% - Accent5 15 3" xfId="570" xr:uid="{00000000-0005-0000-0000-000034020000}"/>
    <cellStyle name="20% - Accent5 16" xfId="571" xr:uid="{00000000-0005-0000-0000-000035020000}"/>
    <cellStyle name="20% - Accent5 16 2" xfId="572" xr:uid="{00000000-0005-0000-0000-000036020000}"/>
    <cellStyle name="20% - Accent5 16 3" xfId="573" xr:uid="{00000000-0005-0000-0000-000037020000}"/>
    <cellStyle name="20% - Accent5 17" xfId="574" xr:uid="{00000000-0005-0000-0000-000038020000}"/>
    <cellStyle name="20% - Accent5 17 2" xfId="575" xr:uid="{00000000-0005-0000-0000-000039020000}"/>
    <cellStyle name="20% - Accent5 17 3" xfId="576" xr:uid="{00000000-0005-0000-0000-00003A020000}"/>
    <cellStyle name="20% - Accent5 18" xfId="577" xr:uid="{00000000-0005-0000-0000-00003B020000}"/>
    <cellStyle name="20% - Accent5 18 2" xfId="578" xr:uid="{00000000-0005-0000-0000-00003C020000}"/>
    <cellStyle name="20% - Accent5 18 3" xfId="579" xr:uid="{00000000-0005-0000-0000-00003D020000}"/>
    <cellStyle name="20% - Accent5 19" xfId="580" xr:uid="{00000000-0005-0000-0000-00003E020000}"/>
    <cellStyle name="20% - Accent5 19 2" xfId="581" xr:uid="{00000000-0005-0000-0000-00003F020000}"/>
    <cellStyle name="20% - Accent5 19 3" xfId="582" xr:uid="{00000000-0005-0000-0000-000040020000}"/>
    <cellStyle name="20% - Accent5 2" xfId="583" xr:uid="{00000000-0005-0000-0000-000041020000}"/>
    <cellStyle name="20% - Accent5 2 2" xfId="584" xr:uid="{00000000-0005-0000-0000-000042020000}"/>
    <cellStyle name="20% - Accent5 2 2 2" xfId="585" xr:uid="{00000000-0005-0000-0000-000043020000}"/>
    <cellStyle name="20% - Accent5 2 2 3" xfId="586" xr:uid="{00000000-0005-0000-0000-000044020000}"/>
    <cellStyle name="20% - Accent5 2 3" xfId="587" xr:uid="{00000000-0005-0000-0000-000045020000}"/>
    <cellStyle name="20% - Accent5 2 3 2" xfId="588" xr:uid="{00000000-0005-0000-0000-000046020000}"/>
    <cellStyle name="20% - Accent5 2 3 3" xfId="589" xr:uid="{00000000-0005-0000-0000-000047020000}"/>
    <cellStyle name="20% - Accent5 2 4" xfId="590" xr:uid="{00000000-0005-0000-0000-000048020000}"/>
    <cellStyle name="20% - Accent5 2 5" xfId="591" xr:uid="{00000000-0005-0000-0000-000049020000}"/>
    <cellStyle name="20% - Accent5 20" xfId="592" xr:uid="{00000000-0005-0000-0000-00004A020000}"/>
    <cellStyle name="20% - Accent5 20 2" xfId="593" xr:uid="{00000000-0005-0000-0000-00004B020000}"/>
    <cellStyle name="20% - Accent5 20 3" xfId="594" xr:uid="{00000000-0005-0000-0000-00004C020000}"/>
    <cellStyle name="20% - Accent5 21" xfId="595" xr:uid="{00000000-0005-0000-0000-00004D020000}"/>
    <cellStyle name="20% - Accent5 21 2" xfId="596" xr:uid="{00000000-0005-0000-0000-00004E020000}"/>
    <cellStyle name="20% - Accent5 21 3" xfId="597" xr:uid="{00000000-0005-0000-0000-00004F020000}"/>
    <cellStyle name="20% - Accent5 22" xfId="598" xr:uid="{00000000-0005-0000-0000-000050020000}"/>
    <cellStyle name="20% - Accent5 22 2" xfId="599" xr:uid="{00000000-0005-0000-0000-000051020000}"/>
    <cellStyle name="20% - Accent5 22 3" xfId="600" xr:uid="{00000000-0005-0000-0000-000052020000}"/>
    <cellStyle name="20% - Accent5 23" xfId="601" xr:uid="{00000000-0005-0000-0000-000053020000}"/>
    <cellStyle name="20% - Accent5 23 2" xfId="602" xr:uid="{00000000-0005-0000-0000-000054020000}"/>
    <cellStyle name="20% - Accent5 23 3" xfId="603" xr:uid="{00000000-0005-0000-0000-000055020000}"/>
    <cellStyle name="20% - Accent5 24" xfId="604" xr:uid="{00000000-0005-0000-0000-000056020000}"/>
    <cellStyle name="20% - Accent5 24 2" xfId="605" xr:uid="{00000000-0005-0000-0000-000057020000}"/>
    <cellStyle name="20% - Accent5 24 3" xfId="606" xr:uid="{00000000-0005-0000-0000-000058020000}"/>
    <cellStyle name="20% - Accent5 25" xfId="607" xr:uid="{00000000-0005-0000-0000-000059020000}"/>
    <cellStyle name="20% - Accent5 25 2" xfId="608" xr:uid="{00000000-0005-0000-0000-00005A020000}"/>
    <cellStyle name="20% - Accent5 25 3" xfId="609" xr:uid="{00000000-0005-0000-0000-00005B020000}"/>
    <cellStyle name="20% - Accent5 26" xfId="610" xr:uid="{00000000-0005-0000-0000-00005C020000}"/>
    <cellStyle name="20% - Accent5 26 2" xfId="611" xr:uid="{00000000-0005-0000-0000-00005D020000}"/>
    <cellStyle name="20% - Accent5 26 3" xfId="612" xr:uid="{00000000-0005-0000-0000-00005E020000}"/>
    <cellStyle name="20% - Accent5 27" xfId="613" xr:uid="{00000000-0005-0000-0000-00005F020000}"/>
    <cellStyle name="20% - Accent5 27 2" xfId="614" xr:uid="{00000000-0005-0000-0000-000060020000}"/>
    <cellStyle name="20% - Accent5 27 3" xfId="615" xr:uid="{00000000-0005-0000-0000-000061020000}"/>
    <cellStyle name="20% - Accent5 3" xfId="616" xr:uid="{00000000-0005-0000-0000-000062020000}"/>
    <cellStyle name="20% - Accent5 3 2" xfId="617" xr:uid="{00000000-0005-0000-0000-000063020000}"/>
    <cellStyle name="20% - Accent5 3 3" xfId="618" xr:uid="{00000000-0005-0000-0000-000064020000}"/>
    <cellStyle name="20% - Accent5 4" xfId="619" xr:uid="{00000000-0005-0000-0000-000065020000}"/>
    <cellStyle name="20% - Accent5 4 2" xfId="620" xr:uid="{00000000-0005-0000-0000-000066020000}"/>
    <cellStyle name="20% - Accent5 4 3" xfId="621" xr:uid="{00000000-0005-0000-0000-000067020000}"/>
    <cellStyle name="20% - Accent5 5" xfId="622" xr:uid="{00000000-0005-0000-0000-000068020000}"/>
    <cellStyle name="20% - Accent5 5 2" xfId="623" xr:uid="{00000000-0005-0000-0000-000069020000}"/>
    <cellStyle name="20% - Accent5 5 3" xfId="624" xr:uid="{00000000-0005-0000-0000-00006A020000}"/>
    <cellStyle name="20% - Accent5 6" xfId="625" xr:uid="{00000000-0005-0000-0000-00006B020000}"/>
    <cellStyle name="20% - Accent5 6 2" xfId="626" xr:uid="{00000000-0005-0000-0000-00006C020000}"/>
    <cellStyle name="20% - Accent5 6 3" xfId="627" xr:uid="{00000000-0005-0000-0000-00006D020000}"/>
    <cellStyle name="20% - Accent5 7" xfId="628" xr:uid="{00000000-0005-0000-0000-00006E020000}"/>
    <cellStyle name="20% - Accent5 7 2" xfId="629" xr:uid="{00000000-0005-0000-0000-00006F020000}"/>
    <cellStyle name="20% - Accent5 7 3" xfId="630" xr:uid="{00000000-0005-0000-0000-000070020000}"/>
    <cellStyle name="20% - Accent5 8" xfId="631" xr:uid="{00000000-0005-0000-0000-000071020000}"/>
    <cellStyle name="20% - Accent5 8 2" xfId="632" xr:uid="{00000000-0005-0000-0000-000072020000}"/>
    <cellStyle name="20% - Accent5 8 3" xfId="633" xr:uid="{00000000-0005-0000-0000-000073020000}"/>
    <cellStyle name="20% - Accent5 9" xfId="634" xr:uid="{00000000-0005-0000-0000-000074020000}"/>
    <cellStyle name="20% - Accent5 9 2" xfId="635" xr:uid="{00000000-0005-0000-0000-000075020000}"/>
    <cellStyle name="20% - Accent5 9 3" xfId="636" xr:uid="{00000000-0005-0000-0000-000076020000}"/>
    <cellStyle name="20% - Accent6 10" xfId="637" xr:uid="{00000000-0005-0000-0000-000077020000}"/>
    <cellStyle name="20% - Accent6 10 2" xfId="638" xr:uid="{00000000-0005-0000-0000-000078020000}"/>
    <cellStyle name="20% - Accent6 10 3" xfId="639" xr:uid="{00000000-0005-0000-0000-000079020000}"/>
    <cellStyle name="20% - Accent6 11" xfId="640" xr:uid="{00000000-0005-0000-0000-00007A020000}"/>
    <cellStyle name="20% - Accent6 11 2" xfId="641" xr:uid="{00000000-0005-0000-0000-00007B020000}"/>
    <cellStyle name="20% - Accent6 11 3" xfId="642" xr:uid="{00000000-0005-0000-0000-00007C020000}"/>
    <cellStyle name="20% - Accent6 12" xfId="643" xr:uid="{00000000-0005-0000-0000-00007D020000}"/>
    <cellStyle name="20% - Accent6 12 2" xfId="644" xr:uid="{00000000-0005-0000-0000-00007E020000}"/>
    <cellStyle name="20% - Accent6 12 3" xfId="645" xr:uid="{00000000-0005-0000-0000-00007F020000}"/>
    <cellStyle name="20% - Accent6 13" xfId="646" xr:uid="{00000000-0005-0000-0000-000080020000}"/>
    <cellStyle name="20% - Accent6 13 2" xfId="647" xr:uid="{00000000-0005-0000-0000-000081020000}"/>
    <cellStyle name="20% - Accent6 13 3" xfId="648" xr:uid="{00000000-0005-0000-0000-000082020000}"/>
    <cellStyle name="20% - Accent6 14" xfId="649" xr:uid="{00000000-0005-0000-0000-000083020000}"/>
    <cellStyle name="20% - Accent6 14 2" xfId="650" xr:uid="{00000000-0005-0000-0000-000084020000}"/>
    <cellStyle name="20% - Accent6 14 3" xfId="651" xr:uid="{00000000-0005-0000-0000-000085020000}"/>
    <cellStyle name="20% - Accent6 15" xfId="652" xr:uid="{00000000-0005-0000-0000-000086020000}"/>
    <cellStyle name="20% - Accent6 15 2" xfId="653" xr:uid="{00000000-0005-0000-0000-000087020000}"/>
    <cellStyle name="20% - Accent6 15 3" xfId="654" xr:uid="{00000000-0005-0000-0000-000088020000}"/>
    <cellStyle name="20% - Accent6 16" xfId="655" xr:uid="{00000000-0005-0000-0000-000089020000}"/>
    <cellStyle name="20% - Accent6 16 2" xfId="656" xr:uid="{00000000-0005-0000-0000-00008A020000}"/>
    <cellStyle name="20% - Accent6 16 3" xfId="657" xr:uid="{00000000-0005-0000-0000-00008B020000}"/>
    <cellStyle name="20% - Accent6 17" xfId="658" xr:uid="{00000000-0005-0000-0000-00008C020000}"/>
    <cellStyle name="20% - Accent6 17 2" xfId="659" xr:uid="{00000000-0005-0000-0000-00008D020000}"/>
    <cellStyle name="20% - Accent6 17 3" xfId="660" xr:uid="{00000000-0005-0000-0000-00008E020000}"/>
    <cellStyle name="20% - Accent6 18" xfId="661" xr:uid="{00000000-0005-0000-0000-00008F020000}"/>
    <cellStyle name="20% - Accent6 18 2" xfId="662" xr:uid="{00000000-0005-0000-0000-000090020000}"/>
    <cellStyle name="20% - Accent6 18 3" xfId="663" xr:uid="{00000000-0005-0000-0000-000091020000}"/>
    <cellStyle name="20% - Accent6 19" xfId="664" xr:uid="{00000000-0005-0000-0000-000092020000}"/>
    <cellStyle name="20% - Accent6 19 2" xfId="665" xr:uid="{00000000-0005-0000-0000-000093020000}"/>
    <cellStyle name="20% - Accent6 19 3" xfId="666" xr:uid="{00000000-0005-0000-0000-000094020000}"/>
    <cellStyle name="20% - Accent6 2" xfId="667" xr:uid="{00000000-0005-0000-0000-000095020000}"/>
    <cellStyle name="20% - Accent6 2 2" xfId="668" xr:uid="{00000000-0005-0000-0000-000096020000}"/>
    <cellStyle name="20% - Accent6 2 2 2" xfId="669" xr:uid="{00000000-0005-0000-0000-000097020000}"/>
    <cellStyle name="20% - Accent6 2 2 3" xfId="670" xr:uid="{00000000-0005-0000-0000-000098020000}"/>
    <cellStyle name="20% - Accent6 2 3" xfId="671" xr:uid="{00000000-0005-0000-0000-000099020000}"/>
    <cellStyle name="20% - Accent6 2 3 2" xfId="672" xr:uid="{00000000-0005-0000-0000-00009A020000}"/>
    <cellStyle name="20% - Accent6 2 3 3" xfId="673" xr:uid="{00000000-0005-0000-0000-00009B020000}"/>
    <cellStyle name="20% - Accent6 2 4" xfId="674" xr:uid="{00000000-0005-0000-0000-00009C020000}"/>
    <cellStyle name="20% - Accent6 2 5" xfId="675" xr:uid="{00000000-0005-0000-0000-00009D020000}"/>
    <cellStyle name="20% - Accent6 2_TOTAL OB COAL" xfId="676" xr:uid="{00000000-0005-0000-0000-00009E020000}"/>
    <cellStyle name="20% - Accent6 20" xfId="677" xr:uid="{00000000-0005-0000-0000-00009F020000}"/>
    <cellStyle name="20% - Accent6 20 2" xfId="678" xr:uid="{00000000-0005-0000-0000-0000A0020000}"/>
    <cellStyle name="20% - Accent6 20 3" xfId="679" xr:uid="{00000000-0005-0000-0000-0000A1020000}"/>
    <cellStyle name="20% - Accent6 21" xfId="680" xr:uid="{00000000-0005-0000-0000-0000A2020000}"/>
    <cellStyle name="20% - Accent6 21 2" xfId="681" xr:uid="{00000000-0005-0000-0000-0000A3020000}"/>
    <cellStyle name="20% - Accent6 21 3" xfId="682" xr:uid="{00000000-0005-0000-0000-0000A4020000}"/>
    <cellStyle name="20% - Accent6 22" xfId="683" xr:uid="{00000000-0005-0000-0000-0000A5020000}"/>
    <cellStyle name="20% - Accent6 22 2" xfId="684" xr:uid="{00000000-0005-0000-0000-0000A6020000}"/>
    <cellStyle name="20% - Accent6 22 3" xfId="685" xr:uid="{00000000-0005-0000-0000-0000A7020000}"/>
    <cellStyle name="20% - Accent6 23" xfId="686" xr:uid="{00000000-0005-0000-0000-0000A8020000}"/>
    <cellStyle name="20% - Accent6 23 2" xfId="687" xr:uid="{00000000-0005-0000-0000-0000A9020000}"/>
    <cellStyle name="20% - Accent6 23 3" xfId="688" xr:uid="{00000000-0005-0000-0000-0000AA020000}"/>
    <cellStyle name="20% - Accent6 24" xfId="689" xr:uid="{00000000-0005-0000-0000-0000AB020000}"/>
    <cellStyle name="20% - Accent6 24 2" xfId="690" xr:uid="{00000000-0005-0000-0000-0000AC020000}"/>
    <cellStyle name="20% - Accent6 24 3" xfId="691" xr:uid="{00000000-0005-0000-0000-0000AD020000}"/>
    <cellStyle name="20% - Accent6 25" xfId="692" xr:uid="{00000000-0005-0000-0000-0000AE020000}"/>
    <cellStyle name="20% - Accent6 25 2" xfId="693" xr:uid="{00000000-0005-0000-0000-0000AF020000}"/>
    <cellStyle name="20% - Accent6 25 3" xfId="694" xr:uid="{00000000-0005-0000-0000-0000B0020000}"/>
    <cellStyle name="20% - Accent6 26" xfId="695" xr:uid="{00000000-0005-0000-0000-0000B1020000}"/>
    <cellStyle name="20% - Accent6 26 2" xfId="696" xr:uid="{00000000-0005-0000-0000-0000B2020000}"/>
    <cellStyle name="20% - Accent6 26 3" xfId="697" xr:uid="{00000000-0005-0000-0000-0000B3020000}"/>
    <cellStyle name="20% - Accent6 27" xfId="698" xr:uid="{00000000-0005-0000-0000-0000B4020000}"/>
    <cellStyle name="20% - Accent6 27 2" xfId="699" xr:uid="{00000000-0005-0000-0000-0000B5020000}"/>
    <cellStyle name="20% - Accent6 27 3" xfId="700" xr:uid="{00000000-0005-0000-0000-0000B6020000}"/>
    <cellStyle name="20% - Accent6 3" xfId="701" xr:uid="{00000000-0005-0000-0000-0000B7020000}"/>
    <cellStyle name="20% - Accent6 3 2" xfId="702" xr:uid="{00000000-0005-0000-0000-0000B8020000}"/>
    <cellStyle name="20% - Accent6 3 3" xfId="703" xr:uid="{00000000-0005-0000-0000-0000B9020000}"/>
    <cellStyle name="20% - Accent6 4" xfId="704" xr:uid="{00000000-0005-0000-0000-0000BA020000}"/>
    <cellStyle name="20% - Accent6 4 2" xfId="705" xr:uid="{00000000-0005-0000-0000-0000BB020000}"/>
    <cellStyle name="20% - Accent6 4 3" xfId="706" xr:uid="{00000000-0005-0000-0000-0000BC020000}"/>
    <cellStyle name="20% - Accent6 5" xfId="707" xr:uid="{00000000-0005-0000-0000-0000BD020000}"/>
    <cellStyle name="20% - Accent6 5 2" xfId="708" xr:uid="{00000000-0005-0000-0000-0000BE020000}"/>
    <cellStyle name="20% - Accent6 5 3" xfId="709" xr:uid="{00000000-0005-0000-0000-0000BF020000}"/>
    <cellStyle name="20% - Accent6 6" xfId="710" xr:uid="{00000000-0005-0000-0000-0000C0020000}"/>
    <cellStyle name="20% - Accent6 6 2" xfId="711" xr:uid="{00000000-0005-0000-0000-0000C1020000}"/>
    <cellStyle name="20% - Accent6 6 3" xfId="712" xr:uid="{00000000-0005-0000-0000-0000C2020000}"/>
    <cellStyle name="20% - Accent6 7" xfId="713" xr:uid="{00000000-0005-0000-0000-0000C3020000}"/>
    <cellStyle name="20% - Accent6 7 2" xfId="714" xr:uid="{00000000-0005-0000-0000-0000C4020000}"/>
    <cellStyle name="20% - Accent6 7 3" xfId="715" xr:uid="{00000000-0005-0000-0000-0000C5020000}"/>
    <cellStyle name="20% - Accent6 8" xfId="716" xr:uid="{00000000-0005-0000-0000-0000C6020000}"/>
    <cellStyle name="20% - Accent6 8 2" xfId="717" xr:uid="{00000000-0005-0000-0000-0000C7020000}"/>
    <cellStyle name="20% - Accent6 8 3" xfId="718" xr:uid="{00000000-0005-0000-0000-0000C8020000}"/>
    <cellStyle name="20% - Accent6 9" xfId="719" xr:uid="{00000000-0005-0000-0000-0000C9020000}"/>
    <cellStyle name="20% - Accent6 9 2" xfId="720" xr:uid="{00000000-0005-0000-0000-0000CA020000}"/>
    <cellStyle name="20% - Accent6 9 3" xfId="721" xr:uid="{00000000-0005-0000-0000-0000CB020000}"/>
    <cellStyle name="20% - アクセント 1" xfId="722" xr:uid="{00000000-0005-0000-0000-0000CC020000}"/>
    <cellStyle name="20% - アクセント 1 2" xfId="723" xr:uid="{00000000-0005-0000-0000-0000CD020000}"/>
    <cellStyle name="20% - アクセント 2" xfId="724" xr:uid="{00000000-0005-0000-0000-0000CE020000}"/>
    <cellStyle name="20% - アクセント 2 2" xfId="725" xr:uid="{00000000-0005-0000-0000-0000CF020000}"/>
    <cellStyle name="20% - アクセント 3" xfId="726" xr:uid="{00000000-0005-0000-0000-0000D0020000}"/>
    <cellStyle name="20% - アクセント 3 2" xfId="727" xr:uid="{00000000-0005-0000-0000-0000D1020000}"/>
    <cellStyle name="20% - アクセント 4" xfId="728" xr:uid="{00000000-0005-0000-0000-0000D2020000}"/>
    <cellStyle name="20% - アクセント 4 2" xfId="729" xr:uid="{00000000-0005-0000-0000-0000D3020000}"/>
    <cellStyle name="20% - アクセント 5" xfId="730" xr:uid="{00000000-0005-0000-0000-0000D4020000}"/>
    <cellStyle name="20% - アクセント 5 2" xfId="731" xr:uid="{00000000-0005-0000-0000-0000D5020000}"/>
    <cellStyle name="20% - アクセント 6" xfId="732" xr:uid="{00000000-0005-0000-0000-0000D6020000}"/>
    <cellStyle name="20% - アクセント 6 2" xfId="733" xr:uid="{00000000-0005-0000-0000-0000D7020000}"/>
    <cellStyle name="2DecimalPercent" xfId="734" xr:uid="{00000000-0005-0000-0000-0000D8020000}"/>
    <cellStyle name="2Decimals" xfId="735" xr:uid="{00000000-0005-0000-0000-0000D9020000}"/>
    <cellStyle name="2parte" xfId="736" xr:uid="{00000000-0005-0000-0000-0000DA020000}"/>
    <cellStyle name="3$" xfId="737" xr:uid="{00000000-0005-0000-0000-0000DB020000}"/>
    <cellStyle name="40% - Accent1 10" xfId="738" xr:uid="{00000000-0005-0000-0000-0000DC020000}"/>
    <cellStyle name="40% - Accent1 10 2" xfId="739" xr:uid="{00000000-0005-0000-0000-0000DD020000}"/>
    <cellStyle name="40% - Accent1 10 3" xfId="740" xr:uid="{00000000-0005-0000-0000-0000DE020000}"/>
    <cellStyle name="40% - Accent1 11" xfId="741" xr:uid="{00000000-0005-0000-0000-0000DF020000}"/>
    <cellStyle name="40% - Accent1 11 2" xfId="742" xr:uid="{00000000-0005-0000-0000-0000E0020000}"/>
    <cellStyle name="40% - Accent1 11 3" xfId="743" xr:uid="{00000000-0005-0000-0000-0000E1020000}"/>
    <cellStyle name="40% - Accent1 12" xfId="744" xr:uid="{00000000-0005-0000-0000-0000E2020000}"/>
    <cellStyle name="40% - Accent1 12 2" xfId="745" xr:uid="{00000000-0005-0000-0000-0000E3020000}"/>
    <cellStyle name="40% - Accent1 12 3" xfId="746" xr:uid="{00000000-0005-0000-0000-0000E4020000}"/>
    <cellStyle name="40% - Accent1 13" xfId="747" xr:uid="{00000000-0005-0000-0000-0000E5020000}"/>
    <cellStyle name="40% - Accent1 13 2" xfId="748" xr:uid="{00000000-0005-0000-0000-0000E6020000}"/>
    <cellStyle name="40% - Accent1 13 3" xfId="749" xr:uid="{00000000-0005-0000-0000-0000E7020000}"/>
    <cellStyle name="40% - Accent1 14" xfId="750" xr:uid="{00000000-0005-0000-0000-0000E8020000}"/>
    <cellStyle name="40% - Accent1 14 2" xfId="751" xr:uid="{00000000-0005-0000-0000-0000E9020000}"/>
    <cellStyle name="40% - Accent1 14 3" xfId="752" xr:uid="{00000000-0005-0000-0000-0000EA020000}"/>
    <cellStyle name="40% - Accent1 15" xfId="753" xr:uid="{00000000-0005-0000-0000-0000EB020000}"/>
    <cellStyle name="40% - Accent1 15 2" xfId="754" xr:uid="{00000000-0005-0000-0000-0000EC020000}"/>
    <cellStyle name="40% - Accent1 15 3" xfId="755" xr:uid="{00000000-0005-0000-0000-0000ED020000}"/>
    <cellStyle name="40% - Accent1 16" xfId="756" xr:uid="{00000000-0005-0000-0000-0000EE020000}"/>
    <cellStyle name="40% - Accent1 16 2" xfId="757" xr:uid="{00000000-0005-0000-0000-0000EF020000}"/>
    <cellStyle name="40% - Accent1 16 3" xfId="758" xr:uid="{00000000-0005-0000-0000-0000F0020000}"/>
    <cellStyle name="40% - Accent1 17" xfId="759" xr:uid="{00000000-0005-0000-0000-0000F1020000}"/>
    <cellStyle name="40% - Accent1 17 2" xfId="760" xr:uid="{00000000-0005-0000-0000-0000F2020000}"/>
    <cellStyle name="40% - Accent1 17 3" xfId="761" xr:uid="{00000000-0005-0000-0000-0000F3020000}"/>
    <cellStyle name="40% - Accent1 18" xfId="762" xr:uid="{00000000-0005-0000-0000-0000F4020000}"/>
    <cellStyle name="40% - Accent1 18 2" xfId="763" xr:uid="{00000000-0005-0000-0000-0000F5020000}"/>
    <cellStyle name="40% - Accent1 18 3" xfId="764" xr:uid="{00000000-0005-0000-0000-0000F6020000}"/>
    <cellStyle name="40% - Accent1 19" xfId="765" xr:uid="{00000000-0005-0000-0000-0000F7020000}"/>
    <cellStyle name="40% - Accent1 19 2" xfId="766" xr:uid="{00000000-0005-0000-0000-0000F8020000}"/>
    <cellStyle name="40% - Accent1 19 3" xfId="767" xr:uid="{00000000-0005-0000-0000-0000F9020000}"/>
    <cellStyle name="40% - Accent1 2" xfId="768" xr:uid="{00000000-0005-0000-0000-0000FA020000}"/>
    <cellStyle name="40% - Accent1 2 2" xfId="769" xr:uid="{00000000-0005-0000-0000-0000FB020000}"/>
    <cellStyle name="40% - Accent1 2 2 2" xfId="770" xr:uid="{00000000-0005-0000-0000-0000FC020000}"/>
    <cellStyle name="40% - Accent1 2 2 3" xfId="771" xr:uid="{00000000-0005-0000-0000-0000FD020000}"/>
    <cellStyle name="40% - Accent1 2 3" xfId="772" xr:uid="{00000000-0005-0000-0000-0000FE020000}"/>
    <cellStyle name="40% - Accent1 2 3 2" xfId="773" xr:uid="{00000000-0005-0000-0000-0000FF020000}"/>
    <cellStyle name="40% - Accent1 2 3 3" xfId="774" xr:uid="{00000000-0005-0000-0000-000000030000}"/>
    <cellStyle name="40% - Accent1 2 4" xfId="775" xr:uid="{00000000-0005-0000-0000-000001030000}"/>
    <cellStyle name="40% - Accent1 2 5" xfId="776" xr:uid="{00000000-0005-0000-0000-000002030000}"/>
    <cellStyle name="40% - Accent1 2_TOTAL OB COAL" xfId="777" xr:uid="{00000000-0005-0000-0000-000003030000}"/>
    <cellStyle name="40% - Accent1 20" xfId="778" xr:uid="{00000000-0005-0000-0000-000004030000}"/>
    <cellStyle name="40% - Accent1 20 2" xfId="779" xr:uid="{00000000-0005-0000-0000-000005030000}"/>
    <cellStyle name="40% - Accent1 20 3" xfId="780" xr:uid="{00000000-0005-0000-0000-000006030000}"/>
    <cellStyle name="40% - Accent1 21" xfId="781" xr:uid="{00000000-0005-0000-0000-000007030000}"/>
    <cellStyle name="40% - Accent1 21 2" xfId="782" xr:uid="{00000000-0005-0000-0000-000008030000}"/>
    <cellStyle name="40% - Accent1 21 3" xfId="783" xr:uid="{00000000-0005-0000-0000-000009030000}"/>
    <cellStyle name="40% - Accent1 22" xfId="784" xr:uid="{00000000-0005-0000-0000-00000A030000}"/>
    <cellStyle name="40% - Accent1 22 2" xfId="785" xr:uid="{00000000-0005-0000-0000-00000B030000}"/>
    <cellStyle name="40% - Accent1 22 3" xfId="786" xr:uid="{00000000-0005-0000-0000-00000C030000}"/>
    <cellStyle name="40% - Accent1 23" xfId="787" xr:uid="{00000000-0005-0000-0000-00000D030000}"/>
    <cellStyle name="40% - Accent1 23 2" xfId="788" xr:uid="{00000000-0005-0000-0000-00000E030000}"/>
    <cellStyle name="40% - Accent1 23 3" xfId="789" xr:uid="{00000000-0005-0000-0000-00000F030000}"/>
    <cellStyle name="40% - Accent1 24" xfId="790" xr:uid="{00000000-0005-0000-0000-000010030000}"/>
    <cellStyle name="40% - Accent1 24 2" xfId="791" xr:uid="{00000000-0005-0000-0000-000011030000}"/>
    <cellStyle name="40% - Accent1 24 3" xfId="792" xr:uid="{00000000-0005-0000-0000-000012030000}"/>
    <cellStyle name="40% - Accent1 25" xfId="793" xr:uid="{00000000-0005-0000-0000-000013030000}"/>
    <cellStyle name="40% - Accent1 25 2" xfId="794" xr:uid="{00000000-0005-0000-0000-000014030000}"/>
    <cellStyle name="40% - Accent1 25 3" xfId="795" xr:uid="{00000000-0005-0000-0000-000015030000}"/>
    <cellStyle name="40% - Accent1 26" xfId="796" xr:uid="{00000000-0005-0000-0000-000016030000}"/>
    <cellStyle name="40% - Accent1 26 2" xfId="797" xr:uid="{00000000-0005-0000-0000-000017030000}"/>
    <cellStyle name="40% - Accent1 26 3" xfId="798" xr:uid="{00000000-0005-0000-0000-000018030000}"/>
    <cellStyle name="40% - Accent1 27" xfId="799" xr:uid="{00000000-0005-0000-0000-000019030000}"/>
    <cellStyle name="40% - Accent1 27 2" xfId="800" xr:uid="{00000000-0005-0000-0000-00001A030000}"/>
    <cellStyle name="40% - Accent1 27 3" xfId="801" xr:uid="{00000000-0005-0000-0000-00001B030000}"/>
    <cellStyle name="40% - Accent1 3" xfId="802" xr:uid="{00000000-0005-0000-0000-00001C030000}"/>
    <cellStyle name="40% - Accent1 3 2" xfId="803" xr:uid="{00000000-0005-0000-0000-00001D030000}"/>
    <cellStyle name="40% - Accent1 3 3" xfId="804" xr:uid="{00000000-0005-0000-0000-00001E030000}"/>
    <cellStyle name="40% - Accent1 4" xfId="805" xr:uid="{00000000-0005-0000-0000-00001F030000}"/>
    <cellStyle name="40% - Accent1 4 2" xfId="806" xr:uid="{00000000-0005-0000-0000-000020030000}"/>
    <cellStyle name="40% - Accent1 4 3" xfId="807" xr:uid="{00000000-0005-0000-0000-000021030000}"/>
    <cellStyle name="40% - Accent1 5" xfId="808" xr:uid="{00000000-0005-0000-0000-000022030000}"/>
    <cellStyle name="40% - Accent1 5 2" xfId="809" xr:uid="{00000000-0005-0000-0000-000023030000}"/>
    <cellStyle name="40% - Accent1 5 3" xfId="810" xr:uid="{00000000-0005-0000-0000-000024030000}"/>
    <cellStyle name="40% - Accent1 6" xfId="811" xr:uid="{00000000-0005-0000-0000-000025030000}"/>
    <cellStyle name="40% - Accent1 6 2" xfId="812" xr:uid="{00000000-0005-0000-0000-000026030000}"/>
    <cellStyle name="40% - Accent1 6 3" xfId="813" xr:uid="{00000000-0005-0000-0000-000027030000}"/>
    <cellStyle name="40% - Accent1 7" xfId="814" xr:uid="{00000000-0005-0000-0000-000028030000}"/>
    <cellStyle name="40% - Accent1 7 2" xfId="815" xr:uid="{00000000-0005-0000-0000-000029030000}"/>
    <cellStyle name="40% - Accent1 7 3" xfId="816" xr:uid="{00000000-0005-0000-0000-00002A030000}"/>
    <cellStyle name="40% - Accent1 8" xfId="817" xr:uid="{00000000-0005-0000-0000-00002B030000}"/>
    <cellStyle name="40% - Accent1 8 2" xfId="818" xr:uid="{00000000-0005-0000-0000-00002C030000}"/>
    <cellStyle name="40% - Accent1 8 3" xfId="819" xr:uid="{00000000-0005-0000-0000-00002D030000}"/>
    <cellStyle name="40% - Accent1 9" xfId="820" xr:uid="{00000000-0005-0000-0000-00002E030000}"/>
    <cellStyle name="40% - Accent1 9 2" xfId="821" xr:uid="{00000000-0005-0000-0000-00002F030000}"/>
    <cellStyle name="40% - Accent1 9 3" xfId="822" xr:uid="{00000000-0005-0000-0000-000030030000}"/>
    <cellStyle name="40% - Accent2 10" xfId="823" xr:uid="{00000000-0005-0000-0000-000031030000}"/>
    <cellStyle name="40% - Accent2 10 2" xfId="824" xr:uid="{00000000-0005-0000-0000-000032030000}"/>
    <cellStyle name="40% - Accent2 10 3" xfId="825" xr:uid="{00000000-0005-0000-0000-000033030000}"/>
    <cellStyle name="40% - Accent2 11" xfId="826" xr:uid="{00000000-0005-0000-0000-000034030000}"/>
    <cellStyle name="40% - Accent2 11 2" xfId="827" xr:uid="{00000000-0005-0000-0000-000035030000}"/>
    <cellStyle name="40% - Accent2 11 3" xfId="828" xr:uid="{00000000-0005-0000-0000-000036030000}"/>
    <cellStyle name="40% - Accent2 12" xfId="829" xr:uid="{00000000-0005-0000-0000-000037030000}"/>
    <cellStyle name="40% - Accent2 12 2" xfId="830" xr:uid="{00000000-0005-0000-0000-000038030000}"/>
    <cellStyle name="40% - Accent2 12 3" xfId="831" xr:uid="{00000000-0005-0000-0000-000039030000}"/>
    <cellStyle name="40% - Accent2 13" xfId="832" xr:uid="{00000000-0005-0000-0000-00003A030000}"/>
    <cellStyle name="40% - Accent2 13 2" xfId="833" xr:uid="{00000000-0005-0000-0000-00003B030000}"/>
    <cellStyle name="40% - Accent2 13 3" xfId="834" xr:uid="{00000000-0005-0000-0000-00003C030000}"/>
    <cellStyle name="40% - Accent2 14" xfId="835" xr:uid="{00000000-0005-0000-0000-00003D030000}"/>
    <cellStyle name="40% - Accent2 14 2" xfId="836" xr:uid="{00000000-0005-0000-0000-00003E030000}"/>
    <cellStyle name="40% - Accent2 14 3" xfId="837" xr:uid="{00000000-0005-0000-0000-00003F030000}"/>
    <cellStyle name="40% - Accent2 15" xfId="838" xr:uid="{00000000-0005-0000-0000-000040030000}"/>
    <cellStyle name="40% - Accent2 15 2" xfId="839" xr:uid="{00000000-0005-0000-0000-000041030000}"/>
    <cellStyle name="40% - Accent2 15 3" xfId="840" xr:uid="{00000000-0005-0000-0000-000042030000}"/>
    <cellStyle name="40% - Accent2 16" xfId="841" xr:uid="{00000000-0005-0000-0000-000043030000}"/>
    <cellStyle name="40% - Accent2 16 2" xfId="842" xr:uid="{00000000-0005-0000-0000-000044030000}"/>
    <cellStyle name="40% - Accent2 16 3" xfId="843" xr:uid="{00000000-0005-0000-0000-000045030000}"/>
    <cellStyle name="40% - Accent2 17" xfId="844" xr:uid="{00000000-0005-0000-0000-000046030000}"/>
    <cellStyle name="40% - Accent2 17 2" xfId="845" xr:uid="{00000000-0005-0000-0000-000047030000}"/>
    <cellStyle name="40% - Accent2 17 3" xfId="846" xr:uid="{00000000-0005-0000-0000-000048030000}"/>
    <cellStyle name="40% - Accent2 18" xfId="847" xr:uid="{00000000-0005-0000-0000-000049030000}"/>
    <cellStyle name="40% - Accent2 18 2" xfId="848" xr:uid="{00000000-0005-0000-0000-00004A030000}"/>
    <cellStyle name="40% - Accent2 18 3" xfId="849" xr:uid="{00000000-0005-0000-0000-00004B030000}"/>
    <cellStyle name="40% - Accent2 19" xfId="850" xr:uid="{00000000-0005-0000-0000-00004C030000}"/>
    <cellStyle name="40% - Accent2 19 2" xfId="851" xr:uid="{00000000-0005-0000-0000-00004D030000}"/>
    <cellStyle name="40% - Accent2 19 3" xfId="852" xr:uid="{00000000-0005-0000-0000-00004E030000}"/>
    <cellStyle name="40% - Accent2 2" xfId="853" xr:uid="{00000000-0005-0000-0000-00004F030000}"/>
    <cellStyle name="40% - Accent2 2 2" xfId="854" xr:uid="{00000000-0005-0000-0000-000050030000}"/>
    <cellStyle name="40% - Accent2 2 2 2" xfId="855" xr:uid="{00000000-0005-0000-0000-000051030000}"/>
    <cellStyle name="40% - Accent2 2 2 3" xfId="856" xr:uid="{00000000-0005-0000-0000-000052030000}"/>
    <cellStyle name="40% - Accent2 2 3" xfId="857" xr:uid="{00000000-0005-0000-0000-000053030000}"/>
    <cellStyle name="40% - Accent2 2 3 2" xfId="858" xr:uid="{00000000-0005-0000-0000-000054030000}"/>
    <cellStyle name="40% - Accent2 2 3 3" xfId="859" xr:uid="{00000000-0005-0000-0000-000055030000}"/>
    <cellStyle name="40% - Accent2 2 4" xfId="860" xr:uid="{00000000-0005-0000-0000-000056030000}"/>
    <cellStyle name="40% - Accent2 2 5" xfId="861" xr:uid="{00000000-0005-0000-0000-000057030000}"/>
    <cellStyle name="40% - Accent2 20" xfId="862" xr:uid="{00000000-0005-0000-0000-000058030000}"/>
    <cellStyle name="40% - Accent2 20 2" xfId="863" xr:uid="{00000000-0005-0000-0000-000059030000}"/>
    <cellStyle name="40% - Accent2 20 3" xfId="864" xr:uid="{00000000-0005-0000-0000-00005A030000}"/>
    <cellStyle name="40% - Accent2 21" xfId="865" xr:uid="{00000000-0005-0000-0000-00005B030000}"/>
    <cellStyle name="40% - Accent2 21 2" xfId="866" xr:uid="{00000000-0005-0000-0000-00005C030000}"/>
    <cellStyle name="40% - Accent2 21 3" xfId="867" xr:uid="{00000000-0005-0000-0000-00005D030000}"/>
    <cellStyle name="40% - Accent2 22" xfId="868" xr:uid="{00000000-0005-0000-0000-00005E030000}"/>
    <cellStyle name="40% - Accent2 22 2" xfId="869" xr:uid="{00000000-0005-0000-0000-00005F030000}"/>
    <cellStyle name="40% - Accent2 22 3" xfId="870" xr:uid="{00000000-0005-0000-0000-000060030000}"/>
    <cellStyle name="40% - Accent2 23" xfId="871" xr:uid="{00000000-0005-0000-0000-000061030000}"/>
    <cellStyle name="40% - Accent2 23 2" xfId="872" xr:uid="{00000000-0005-0000-0000-000062030000}"/>
    <cellStyle name="40% - Accent2 23 3" xfId="873" xr:uid="{00000000-0005-0000-0000-000063030000}"/>
    <cellStyle name="40% - Accent2 24" xfId="874" xr:uid="{00000000-0005-0000-0000-000064030000}"/>
    <cellStyle name="40% - Accent2 24 2" xfId="875" xr:uid="{00000000-0005-0000-0000-000065030000}"/>
    <cellStyle name="40% - Accent2 24 3" xfId="876" xr:uid="{00000000-0005-0000-0000-000066030000}"/>
    <cellStyle name="40% - Accent2 25" xfId="877" xr:uid="{00000000-0005-0000-0000-000067030000}"/>
    <cellStyle name="40% - Accent2 25 2" xfId="878" xr:uid="{00000000-0005-0000-0000-000068030000}"/>
    <cellStyle name="40% - Accent2 25 3" xfId="879" xr:uid="{00000000-0005-0000-0000-000069030000}"/>
    <cellStyle name="40% - Accent2 26" xfId="880" xr:uid="{00000000-0005-0000-0000-00006A030000}"/>
    <cellStyle name="40% - Accent2 26 2" xfId="881" xr:uid="{00000000-0005-0000-0000-00006B030000}"/>
    <cellStyle name="40% - Accent2 26 3" xfId="882" xr:uid="{00000000-0005-0000-0000-00006C030000}"/>
    <cellStyle name="40% - Accent2 27" xfId="883" xr:uid="{00000000-0005-0000-0000-00006D030000}"/>
    <cellStyle name="40% - Accent2 27 2" xfId="884" xr:uid="{00000000-0005-0000-0000-00006E030000}"/>
    <cellStyle name="40% - Accent2 27 3" xfId="885" xr:uid="{00000000-0005-0000-0000-00006F030000}"/>
    <cellStyle name="40% - Accent2 3" xfId="886" xr:uid="{00000000-0005-0000-0000-000070030000}"/>
    <cellStyle name="40% - Accent2 3 2" xfId="887" xr:uid="{00000000-0005-0000-0000-000071030000}"/>
    <cellStyle name="40% - Accent2 3 3" xfId="888" xr:uid="{00000000-0005-0000-0000-000072030000}"/>
    <cellStyle name="40% - Accent2 4" xfId="889" xr:uid="{00000000-0005-0000-0000-000073030000}"/>
    <cellStyle name="40% - Accent2 4 2" xfId="890" xr:uid="{00000000-0005-0000-0000-000074030000}"/>
    <cellStyle name="40% - Accent2 4 3" xfId="891" xr:uid="{00000000-0005-0000-0000-000075030000}"/>
    <cellStyle name="40% - Accent2 5" xfId="892" xr:uid="{00000000-0005-0000-0000-000076030000}"/>
    <cellStyle name="40% - Accent2 5 2" xfId="893" xr:uid="{00000000-0005-0000-0000-000077030000}"/>
    <cellStyle name="40% - Accent2 5 3" xfId="894" xr:uid="{00000000-0005-0000-0000-000078030000}"/>
    <cellStyle name="40% - Accent2 6" xfId="895" xr:uid="{00000000-0005-0000-0000-000079030000}"/>
    <cellStyle name="40% - Accent2 6 2" xfId="896" xr:uid="{00000000-0005-0000-0000-00007A030000}"/>
    <cellStyle name="40% - Accent2 6 3" xfId="897" xr:uid="{00000000-0005-0000-0000-00007B030000}"/>
    <cellStyle name="40% - Accent2 7" xfId="898" xr:uid="{00000000-0005-0000-0000-00007C030000}"/>
    <cellStyle name="40% - Accent2 7 2" xfId="899" xr:uid="{00000000-0005-0000-0000-00007D030000}"/>
    <cellStyle name="40% - Accent2 7 3" xfId="900" xr:uid="{00000000-0005-0000-0000-00007E030000}"/>
    <cellStyle name="40% - Accent2 8" xfId="901" xr:uid="{00000000-0005-0000-0000-00007F030000}"/>
    <cellStyle name="40% - Accent2 8 2" xfId="902" xr:uid="{00000000-0005-0000-0000-000080030000}"/>
    <cellStyle name="40% - Accent2 8 3" xfId="903" xr:uid="{00000000-0005-0000-0000-000081030000}"/>
    <cellStyle name="40% - Accent2 9" xfId="904" xr:uid="{00000000-0005-0000-0000-000082030000}"/>
    <cellStyle name="40% - Accent2 9 2" xfId="905" xr:uid="{00000000-0005-0000-0000-000083030000}"/>
    <cellStyle name="40% - Accent2 9 3" xfId="906" xr:uid="{00000000-0005-0000-0000-000084030000}"/>
    <cellStyle name="40% - Accent3 10" xfId="907" xr:uid="{00000000-0005-0000-0000-000085030000}"/>
    <cellStyle name="40% - Accent3 10 2" xfId="908" xr:uid="{00000000-0005-0000-0000-000086030000}"/>
    <cellStyle name="40% - Accent3 10 3" xfId="909" xr:uid="{00000000-0005-0000-0000-000087030000}"/>
    <cellStyle name="40% - Accent3 11" xfId="910" xr:uid="{00000000-0005-0000-0000-000088030000}"/>
    <cellStyle name="40% - Accent3 11 2" xfId="911" xr:uid="{00000000-0005-0000-0000-000089030000}"/>
    <cellStyle name="40% - Accent3 11 3" xfId="912" xr:uid="{00000000-0005-0000-0000-00008A030000}"/>
    <cellStyle name="40% - Accent3 12" xfId="913" xr:uid="{00000000-0005-0000-0000-00008B030000}"/>
    <cellStyle name="40% - Accent3 12 2" xfId="914" xr:uid="{00000000-0005-0000-0000-00008C030000}"/>
    <cellStyle name="40% - Accent3 12 3" xfId="915" xr:uid="{00000000-0005-0000-0000-00008D030000}"/>
    <cellStyle name="40% - Accent3 13" xfId="916" xr:uid="{00000000-0005-0000-0000-00008E030000}"/>
    <cellStyle name="40% - Accent3 13 2" xfId="917" xr:uid="{00000000-0005-0000-0000-00008F030000}"/>
    <cellStyle name="40% - Accent3 13 3" xfId="918" xr:uid="{00000000-0005-0000-0000-000090030000}"/>
    <cellStyle name="40% - Accent3 14" xfId="919" xr:uid="{00000000-0005-0000-0000-000091030000}"/>
    <cellStyle name="40% - Accent3 14 2" xfId="920" xr:uid="{00000000-0005-0000-0000-000092030000}"/>
    <cellStyle name="40% - Accent3 14 3" xfId="921" xr:uid="{00000000-0005-0000-0000-000093030000}"/>
    <cellStyle name="40% - Accent3 15" xfId="922" xr:uid="{00000000-0005-0000-0000-000094030000}"/>
    <cellStyle name="40% - Accent3 15 2" xfId="923" xr:uid="{00000000-0005-0000-0000-000095030000}"/>
    <cellStyle name="40% - Accent3 15 3" xfId="924" xr:uid="{00000000-0005-0000-0000-000096030000}"/>
    <cellStyle name="40% - Accent3 16" xfId="925" xr:uid="{00000000-0005-0000-0000-000097030000}"/>
    <cellStyle name="40% - Accent3 16 2" xfId="926" xr:uid="{00000000-0005-0000-0000-000098030000}"/>
    <cellStyle name="40% - Accent3 16 3" xfId="927" xr:uid="{00000000-0005-0000-0000-000099030000}"/>
    <cellStyle name="40% - Accent3 17" xfId="928" xr:uid="{00000000-0005-0000-0000-00009A030000}"/>
    <cellStyle name="40% - Accent3 17 2" xfId="929" xr:uid="{00000000-0005-0000-0000-00009B030000}"/>
    <cellStyle name="40% - Accent3 17 3" xfId="930" xr:uid="{00000000-0005-0000-0000-00009C030000}"/>
    <cellStyle name="40% - Accent3 18" xfId="931" xr:uid="{00000000-0005-0000-0000-00009D030000}"/>
    <cellStyle name="40% - Accent3 18 2" xfId="932" xr:uid="{00000000-0005-0000-0000-00009E030000}"/>
    <cellStyle name="40% - Accent3 18 3" xfId="933" xr:uid="{00000000-0005-0000-0000-00009F030000}"/>
    <cellStyle name="40% - Accent3 19" xfId="934" xr:uid="{00000000-0005-0000-0000-0000A0030000}"/>
    <cellStyle name="40% - Accent3 19 2" xfId="935" xr:uid="{00000000-0005-0000-0000-0000A1030000}"/>
    <cellStyle name="40% - Accent3 19 3" xfId="936" xr:uid="{00000000-0005-0000-0000-0000A2030000}"/>
    <cellStyle name="40% - Accent3 2" xfId="937" xr:uid="{00000000-0005-0000-0000-0000A3030000}"/>
    <cellStyle name="40% - Accent3 2 2" xfId="938" xr:uid="{00000000-0005-0000-0000-0000A4030000}"/>
    <cellStyle name="40% - Accent3 2 2 2" xfId="939" xr:uid="{00000000-0005-0000-0000-0000A5030000}"/>
    <cellStyle name="40% - Accent3 2 2 3" xfId="940" xr:uid="{00000000-0005-0000-0000-0000A6030000}"/>
    <cellStyle name="40% - Accent3 2 3" xfId="941" xr:uid="{00000000-0005-0000-0000-0000A7030000}"/>
    <cellStyle name="40% - Accent3 2 3 2" xfId="942" xr:uid="{00000000-0005-0000-0000-0000A8030000}"/>
    <cellStyle name="40% - Accent3 2 3 3" xfId="943" xr:uid="{00000000-0005-0000-0000-0000A9030000}"/>
    <cellStyle name="40% - Accent3 2 4" xfId="944" xr:uid="{00000000-0005-0000-0000-0000AA030000}"/>
    <cellStyle name="40% - Accent3 2 5" xfId="945" xr:uid="{00000000-0005-0000-0000-0000AB030000}"/>
    <cellStyle name="40% - Accent3 2_TOTAL OB COAL" xfId="946" xr:uid="{00000000-0005-0000-0000-0000AC030000}"/>
    <cellStyle name="40% - Accent3 20" xfId="947" xr:uid="{00000000-0005-0000-0000-0000AD030000}"/>
    <cellStyle name="40% - Accent3 20 2" xfId="948" xr:uid="{00000000-0005-0000-0000-0000AE030000}"/>
    <cellStyle name="40% - Accent3 20 3" xfId="949" xr:uid="{00000000-0005-0000-0000-0000AF030000}"/>
    <cellStyle name="40% - Accent3 21" xfId="950" xr:uid="{00000000-0005-0000-0000-0000B0030000}"/>
    <cellStyle name="40% - Accent3 21 2" xfId="951" xr:uid="{00000000-0005-0000-0000-0000B1030000}"/>
    <cellStyle name="40% - Accent3 21 3" xfId="952" xr:uid="{00000000-0005-0000-0000-0000B2030000}"/>
    <cellStyle name="40% - Accent3 22" xfId="953" xr:uid="{00000000-0005-0000-0000-0000B3030000}"/>
    <cellStyle name="40% - Accent3 22 2" xfId="954" xr:uid="{00000000-0005-0000-0000-0000B4030000}"/>
    <cellStyle name="40% - Accent3 22 3" xfId="955" xr:uid="{00000000-0005-0000-0000-0000B5030000}"/>
    <cellStyle name="40% - Accent3 23" xfId="956" xr:uid="{00000000-0005-0000-0000-0000B6030000}"/>
    <cellStyle name="40% - Accent3 23 2" xfId="957" xr:uid="{00000000-0005-0000-0000-0000B7030000}"/>
    <cellStyle name="40% - Accent3 23 3" xfId="958" xr:uid="{00000000-0005-0000-0000-0000B8030000}"/>
    <cellStyle name="40% - Accent3 24" xfId="959" xr:uid="{00000000-0005-0000-0000-0000B9030000}"/>
    <cellStyle name="40% - Accent3 24 2" xfId="960" xr:uid="{00000000-0005-0000-0000-0000BA030000}"/>
    <cellStyle name="40% - Accent3 24 3" xfId="961" xr:uid="{00000000-0005-0000-0000-0000BB030000}"/>
    <cellStyle name="40% - Accent3 25" xfId="962" xr:uid="{00000000-0005-0000-0000-0000BC030000}"/>
    <cellStyle name="40% - Accent3 25 2" xfId="963" xr:uid="{00000000-0005-0000-0000-0000BD030000}"/>
    <cellStyle name="40% - Accent3 25 3" xfId="964" xr:uid="{00000000-0005-0000-0000-0000BE030000}"/>
    <cellStyle name="40% - Accent3 26" xfId="965" xr:uid="{00000000-0005-0000-0000-0000BF030000}"/>
    <cellStyle name="40% - Accent3 26 2" xfId="966" xr:uid="{00000000-0005-0000-0000-0000C0030000}"/>
    <cellStyle name="40% - Accent3 26 3" xfId="967" xr:uid="{00000000-0005-0000-0000-0000C1030000}"/>
    <cellStyle name="40% - Accent3 27" xfId="968" xr:uid="{00000000-0005-0000-0000-0000C2030000}"/>
    <cellStyle name="40% - Accent3 27 2" xfId="969" xr:uid="{00000000-0005-0000-0000-0000C3030000}"/>
    <cellStyle name="40% - Accent3 27 3" xfId="970" xr:uid="{00000000-0005-0000-0000-0000C4030000}"/>
    <cellStyle name="40% - Accent3 3" xfId="971" xr:uid="{00000000-0005-0000-0000-0000C5030000}"/>
    <cellStyle name="40% - Accent3 3 2" xfId="972" xr:uid="{00000000-0005-0000-0000-0000C6030000}"/>
    <cellStyle name="40% - Accent3 3 3" xfId="973" xr:uid="{00000000-0005-0000-0000-0000C7030000}"/>
    <cellStyle name="40% - Accent3 4" xfId="974" xr:uid="{00000000-0005-0000-0000-0000C8030000}"/>
    <cellStyle name="40% - Accent3 4 2" xfId="975" xr:uid="{00000000-0005-0000-0000-0000C9030000}"/>
    <cellStyle name="40% - Accent3 4 3" xfId="976" xr:uid="{00000000-0005-0000-0000-0000CA030000}"/>
    <cellStyle name="40% - Accent3 5" xfId="977" xr:uid="{00000000-0005-0000-0000-0000CB030000}"/>
    <cellStyle name="40% - Accent3 5 2" xfId="978" xr:uid="{00000000-0005-0000-0000-0000CC030000}"/>
    <cellStyle name="40% - Accent3 5 3" xfId="979" xr:uid="{00000000-0005-0000-0000-0000CD030000}"/>
    <cellStyle name="40% - Accent3 6" xfId="980" xr:uid="{00000000-0005-0000-0000-0000CE030000}"/>
    <cellStyle name="40% - Accent3 6 2" xfId="981" xr:uid="{00000000-0005-0000-0000-0000CF030000}"/>
    <cellStyle name="40% - Accent3 6 3" xfId="982" xr:uid="{00000000-0005-0000-0000-0000D0030000}"/>
    <cellStyle name="40% - Accent3 7" xfId="983" xr:uid="{00000000-0005-0000-0000-0000D1030000}"/>
    <cellStyle name="40% - Accent3 7 2" xfId="984" xr:uid="{00000000-0005-0000-0000-0000D2030000}"/>
    <cellStyle name="40% - Accent3 7 3" xfId="985" xr:uid="{00000000-0005-0000-0000-0000D3030000}"/>
    <cellStyle name="40% - Accent3 8" xfId="986" xr:uid="{00000000-0005-0000-0000-0000D4030000}"/>
    <cellStyle name="40% - Accent3 8 2" xfId="987" xr:uid="{00000000-0005-0000-0000-0000D5030000}"/>
    <cellStyle name="40% - Accent3 8 3" xfId="988" xr:uid="{00000000-0005-0000-0000-0000D6030000}"/>
    <cellStyle name="40% - Accent3 9" xfId="989" xr:uid="{00000000-0005-0000-0000-0000D7030000}"/>
    <cellStyle name="40% - Accent3 9 2" xfId="990" xr:uid="{00000000-0005-0000-0000-0000D8030000}"/>
    <cellStyle name="40% - Accent3 9 3" xfId="991" xr:uid="{00000000-0005-0000-0000-0000D9030000}"/>
    <cellStyle name="40% - Accent4 10" xfId="992" xr:uid="{00000000-0005-0000-0000-0000DA030000}"/>
    <cellStyle name="40% - Accent4 10 2" xfId="993" xr:uid="{00000000-0005-0000-0000-0000DB030000}"/>
    <cellStyle name="40% - Accent4 10 3" xfId="994" xr:uid="{00000000-0005-0000-0000-0000DC030000}"/>
    <cellStyle name="40% - Accent4 11" xfId="995" xr:uid="{00000000-0005-0000-0000-0000DD030000}"/>
    <cellStyle name="40% - Accent4 11 2" xfId="996" xr:uid="{00000000-0005-0000-0000-0000DE030000}"/>
    <cellStyle name="40% - Accent4 11 3" xfId="997" xr:uid="{00000000-0005-0000-0000-0000DF030000}"/>
    <cellStyle name="40% - Accent4 12" xfId="998" xr:uid="{00000000-0005-0000-0000-0000E0030000}"/>
    <cellStyle name="40% - Accent4 12 2" xfId="999" xr:uid="{00000000-0005-0000-0000-0000E1030000}"/>
    <cellStyle name="40% - Accent4 12 3" xfId="1000" xr:uid="{00000000-0005-0000-0000-0000E2030000}"/>
    <cellStyle name="40% - Accent4 13" xfId="1001" xr:uid="{00000000-0005-0000-0000-0000E3030000}"/>
    <cellStyle name="40% - Accent4 13 2" xfId="1002" xr:uid="{00000000-0005-0000-0000-0000E4030000}"/>
    <cellStyle name="40% - Accent4 13 3" xfId="1003" xr:uid="{00000000-0005-0000-0000-0000E5030000}"/>
    <cellStyle name="40% - Accent4 14" xfId="1004" xr:uid="{00000000-0005-0000-0000-0000E6030000}"/>
    <cellStyle name="40% - Accent4 14 2" xfId="1005" xr:uid="{00000000-0005-0000-0000-0000E7030000}"/>
    <cellStyle name="40% - Accent4 14 3" xfId="1006" xr:uid="{00000000-0005-0000-0000-0000E8030000}"/>
    <cellStyle name="40% - Accent4 15" xfId="1007" xr:uid="{00000000-0005-0000-0000-0000E9030000}"/>
    <cellStyle name="40% - Accent4 15 2" xfId="1008" xr:uid="{00000000-0005-0000-0000-0000EA030000}"/>
    <cellStyle name="40% - Accent4 15 3" xfId="1009" xr:uid="{00000000-0005-0000-0000-0000EB030000}"/>
    <cellStyle name="40% - Accent4 16" xfId="1010" xr:uid="{00000000-0005-0000-0000-0000EC030000}"/>
    <cellStyle name="40% - Accent4 16 2" xfId="1011" xr:uid="{00000000-0005-0000-0000-0000ED030000}"/>
    <cellStyle name="40% - Accent4 16 3" xfId="1012" xr:uid="{00000000-0005-0000-0000-0000EE030000}"/>
    <cellStyle name="40% - Accent4 17" xfId="1013" xr:uid="{00000000-0005-0000-0000-0000EF030000}"/>
    <cellStyle name="40% - Accent4 17 2" xfId="1014" xr:uid="{00000000-0005-0000-0000-0000F0030000}"/>
    <cellStyle name="40% - Accent4 17 3" xfId="1015" xr:uid="{00000000-0005-0000-0000-0000F1030000}"/>
    <cellStyle name="40% - Accent4 18" xfId="1016" xr:uid="{00000000-0005-0000-0000-0000F2030000}"/>
    <cellStyle name="40% - Accent4 18 2" xfId="1017" xr:uid="{00000000-0005-0000-0000-0000F3030000}"/>
    <cellStyle name="40% - Accent4 18 3" xfId="1018" xr:uid="{00000000-0005-0000-0000-0000F4030000}"/>
    <cellStyle name="40% - Accent4 19" xfId="1019" xr:uid="{00000000-0005-0000-0000-0000F5030000}"/>
    <cellStyle name="40% - Accent4 19 2" xfId="1020" xr:uid="{00000000-0005-0000-0000-0000F6030000}"/>
    <cellStyle name="40% - Accent4 19 3" xfId="1021" xr:uid="{00000000-0005-0000-0000-0000F7030000}"/>
    <cellStyle name="40% - Accent4 2" xfId="1022" xr:uid="{00000000-0005-0000-0000-0000F8030000}"/>
    <cellStyle name="40% - Accent4 2 2" xfId="1023" xr:uid="{00000000-0005-0000-0000-0000F9030000}"/>
    <cellStyle name="40% - Accent4 2 2 2" xfId="1024" xr:uid="{00000000-0005-0000-0000-0000FA030000}"/>
    <cellStyle name="40% - Accent4 2 2 3" xfId="1025" xr:uid="{00000000-0005-0000-0000-0000FB030000}"/>
    <cellStyle name="40% - Accent4 2 3" xfId="1026" xr:uid="{00000000-0005-0000-0000-0000FC030000}"/>
    <cellStyle name="40% - Accent4 2 3 2" xfId="1027" xr:uid="{00000000-0005-0000-0000-0000FD030000}"/>
    <cellStyle name="40% - Accent4 2 3 3" xfId="1028" xr:uid="{00000000-0005-0000-0000-0000FE030000}"/>
    <cellStyle name="40% - Accent4 2 4" xfId="1029" xr:uid="{00000000-0005-0000-0000-0000FF030000}"/>
    <cellStyle name="40% - Accent4 2 5" xfId="1030" xr:uid="{00000000-0005-0000-0000-000000040000}"/>
    <cellStyle name="40% - Accent4 2_TOTAL OB COAL" xfId="1031" xr:uid="{00000000-0005-0000-0000-000001040000}"/>
    <cellStyle name="40% - Accent4 20" xfId="1032" xr:uid="{00000000-0005-0000-0000-000002040000}"/>
    <cellStyle name="40% - Accent4 20 2" xfId="1033" xr:uid="{00000000-0005-0000-0000-000003040000}"/>
    <cellStyle name="40% - Accent4 20 3" xfId="1034" xr:uid="{00000000-0005-0000-0000-000004040000}"/>
    <cellStyle name="40% - Accent4 21" xfId="1035" xr:uid="{00000000-0005-0000-0000-000005040000}"/>
    <cellStyle name="40% - Accent4 21 2" xfId="1036" xr:uid="{00000000-0005-0000-0000-000006040000}"/>
    <cellStyle name="40% - Accent4 21 3" xfId="1037" xr:uid="{00000000-0005-0000-0000-000007040000}"/>
    <cellStyle name="40% - Accent4 22" xfId="1038" xr:uid="{00000000-0005-0000-0000-000008040000}"/>
    <cellStyle name="40% - Accent4 22 2" xfId="1039" xr:uid="{00000000-0005-0000-0000-000009040000}"/>
    <cellStyle name="40% - Accent4 22 3" xfId="1040" xr:uid="{00000000-0005-0000-0000-00000A040000}"/>
    <cellStyle name="40% - Accent4 23" xfId="1041" xr:uid="{00000000-0005-0000-0000-00000B040000}"/>
    <cellStyle name="40% - Accent4 23 2" xfId="1042" xr:uid="{00000000-0005-0000-0000-00000C040000}"/>
    <cellStyle name="40% - Accent4 23 3" xfId="1043" xr:uid="{00000000-0005-0000-0000-00000D040000}"/>
    <cellStyle name="40% - Accent4 24" xfId="1044" xr:uid="{00000000-0005-0000-0000-00000E040000}"/>
    <cellStyle name="40% - Accent4 24 2" xfId="1045" xr:uid="{00000000-0005-0000-0000-00000F040000}"/>
    <cellStyle name="40% - Accent4 24 3" xfId="1046" xr:uid="{00000000-0005-0000-0000-000010040000}"/>
    <cellStyle name="40% - Accent4 25" xfId="1047" xr:uid="{00000000-0005-0000-0000-000011040000}"/>
    <cellStyle name="40% - Accent4 25 2" xfId="1048" xr:uid="{00000000-0005-0000-0000-000012040000}"/>
    <cellStyle name="40% - Accent4 25 3" xfId="1049" xr:uid="{00000000-0005-0000-0000-000013040000}"/>
    <cellStyle name="40% - Accent4 26" xfId="1050" xr:uid="{00000000-0005-0000-0000-000014040000}"/>
    <cellStyle name="40% - Accent4 26 2" xfId="1051" xr:uid="{00000000-0005-0000-0000-000015040000}"/>
    <cellStyle name="40% - Accent4 26 3" xfId="1052" xr:uid="{00000000-0005-0000-0000-000016040000}"/>
    <cellStyle name="40% - Accent4 27" xfId="1053" xr:uid="{00000000-0005-0000-0000-000017040000}"/>
    <cellStyle name="40% - Accent4 27 2" xfId="1054" xr:uid="{00000000-0005-0000-0000-000018040000}"/>
    <cellStyle name="40% - Accent4 27 3" xfId="1055" xr:uid="{00000000-0005-0000-0000-000019040000}"/>
    <cellStyle name="40% - Accent4 3" xfId="1056" xr:uid="{00000000-0005-0000-0000-00001A040000}"/>
    <cellStyle name="40% - Accent4 3 2" xfId="1057" xr:uid="{00000000-0005-0000-0000-00001B040000}"/>
    <cellStyle name="40% - Accent4 3 3" xfId="1058" xr:uid="{00000000-0005-0000-0000-00001C040000}"/>
    <cellStyle name="40% - Accent4 4" xfId="1059" xr:uid="{00000000-0005-0000-0000-00001D040000}"/>
    <cellStyle name="40% - Accent4 4 2" xfId="1060" xr:uid="{00000000-0005-0000-0000-00001E040000}"/>
    <cellStyle name="40% - Accent4 4 3" xfId="1061" xr:uid="{00000000-0005-0000-0000-00001F040000}"/>
    <cellStyle name="40% - Accent4 5" xfId="1062" xr:uid="{00000000-0005-0000-0000-000020040000}"/>
    <cellStyle name="40% - Accent4 5 2" xfId="1063" xr:uid="{00000000-0005-0000-0000-000021040000}"/>
    <cellStyle name="40% - Accent4 5 3" xfId="1064" xr:uid="{00000000-0005-0000-0000-000022040000}"/>
    <cellStyle name="40% - Accent4 6" xfId="1065" xr:uid="{00000000-0005-0000-0000-000023040000}"/>
    <cellStyle name="40% - Accent4 6 2" xfId="1066" xr:uid="{00000000-0005-0000-0000-000024040000}"/>
    <cellStyle name="40% - Accent4 6 3" xfId="1067" xr:uid="{00000000-0005-0000-0000-000025040000}"/>
    <cellStyle name="40% - Accent4 7" xfId="1068" xr:uid="{00000000-0005-0000-0000-000026040000}"/>
    <cellStyle name="40% - Accent4 7 2" xfId="1069" xr:uid="{00000000-0005-0000-0000-000027040000}"/>
    <cellStyle name="40% - Accent4 7 3" xfId="1070" xr:uid="{00000000-0005-0000-0000-000028040000}"/>
    <cellStyle name="40% - Accent4 8" xfId="1071" xr:uid="{00000000-0005-0000-0000-000029040000}"/>
    <cellStyle name="40% - Accent4 8 2" xfId="1072" xr:uid="{00000000-0005-0000-0000-00002A040000}"/>
    <cellStyle name="40% - Accent4 8 3" xfId="1073" xr:uid="{00000000-0005-0000-0000-00002B040000}"/>
    <cellStyle name="40% - Accent4 9" xfId="1074" xr:uid="{00000000-0005-0000-0000-00002C040000}"/>
    <cellStyle name="40% - Accent4 9 2" xfId="1075" xr:uid="{00000000-0005-0000-0000-00002D040000}"/>
    <cellStyle name="40% - Accent4 9 3" xfId="1076" xr:uid="{00000000-0005-0000-0000-00002E040000}"/>
    <cellStyle name="40% - Accent5 10" xfId="1077" xr:uid="{00000000-0005-0000-0000-00002F040000}"/>
    <cellStyle name="40% - Accent5 10 2" xfId="1078" xr:uid="{00000000-0005-0000-0000-000030040000}"/>
    <cellStyle name="40% - Accent5 10 3" xfId="1079" xr:uid="{00000000-0005-0000-0000-000031040000}"/>
    <cellStyle name="40% - Accent5 11" xfId="1080" xr:uid="{00000000-0005-0000-0000-000032040000}"/>
    <cellStyle name="40% - Accent5 11 2" xfId="1081" xr:uid="{00000000-0005-0000-0000-000033040000}"/>
    <cellStyle name="40% - Accent5 11 3" xfId="1082" xr:uid="{00000000-0005-0000-0000-000034040000}"/>
    <cellStyle name="40% - Accent5 12" xfId="1083" xr:uid="{00000000-0005-0000-0000-000035040000}"/>
    <cellStyle name="40% - Accent5 12 2" xfId="1084" xr:uid="{00000000-0005-0000-0000-000036040000}"/>
    <cellStyle name="40% - Accent5 12 3" xfId="1085" xr:uid="{00000000-0005-0000-0000-000037040000}"/>
    <cellStyle name="40% - Accent5 13" xfId="1086" xr:uid="{00000000-0005-0000-0000-000038040000}"/>
    <cellStyle name="40% - Accent5 13 2" xfId="1087" xr:uid="{00000000-0005-0000-0000-000039040000}"/>
    <cellStyle name="40% - Accent5 13 3" xfId="1088" xr:uid="{00000000-0005-0000-0000-00003A040000}"/>
    <cellStyle name="40% - Accent5 14" xfId="1089" xr:uid="{00000000-0005-0000-0000-00003B040000}"/>
    <cellStyle name="40% - Accent5 14 2" xfId="1090" xr:uid="{00000000-0005-0000-0000-00003C040000}"/>
    <cellStyle name="40% - Accent5 14 3" xfId="1091" xr:uid="{00000000-0005-0000-0000-00003D040000}"/>
    <cellStyle name="40% - Accent5 15" xfId="1092" xr:uid="{00000000-0005-0000-0000-00003E040000}"/>
    <cellStyle name="40% - Accent5 15 2" xfId="1093" xr:uid="{00000000-0005-0000-0000-00003F040000}"/>
    <cellStyle name="40% - Accent5 15 3" xfId="1094" xr:uid="{00000000-0005-0000-0000-000040040000}"/>
    <cellStyle name="40% - Accent5 16" xfId="1095" xr:uid="{00000000-0005-0000-0000-000041040000}"/>
    <cellStyle name="40% - Accent5 16 2" xfId="1096" xr:uid="{00000000-0005-0000-0000-000042040000}"/>
    <cellStyle name="40% - Accent5 16 3" xfId="1097" xr:uid="{00000000-0005-0000-0000-000043040000}"/>
    <cellStyle name="40% - Accent5 17" xfId="1098" xr:uid="{00000000-0005-0000-0000-000044040000}"/>
    <cellStyle name="40% - Accent5 17 2" xfId="1099" xr:uid="{00000000-0005-0000-0000-000045040000}"/>
    <cellStyle name="40% - Accent5 17 3" xfId="1100" xr:uid="{00000000-0005-0000-0000-000046040000}"/>
    <cellStyle name="40% - Accent5 18" xfId="1101" xr:uid="{00000000-0005-0000-0000-000047040000}"/>
    <cellStyle name="40% - Accent5 18 2" xfId="1102" xr:uid="{00000000-0005-0000-0000-000048040000}"/>
    <cellStyle name="40% - Accent5 18 3" xfId="1103" xr:uid="{00000000-0005-0000-0000-000049040000}"/>
    <cellStyle name="40% - Accent5 19" xfId="1104" xr:uid="{00000000-0005-0000-0000-00004A040000}"/>
    <cellStyle name="40% - Accent5 19 2" xfId="1105" xr:uid="{00000000-0005-0000-0000-00004B040000}"/>
    <cellStyle name="40% - Accent5 19 3" xfId="1106" xr:uid="{00000000-0005-0000-0000-00004C040000}"/>
    <cellStyle name="40% - Accent5 2" xfId="1107" xr:uid="{00000000-0005-0000-0000-00004D040000}"/>
    <cellStyle name="40% - Accent5 2 2" xfId="1108" xr:uid="{00000000-0005-0000-0000-00004E040000}"/>
    <cellStyle name="40% - Accent5 2 2 2" xfId="1109" xr:uid="{00000000-0005-0000-0000-00004F040000}"/>
    <cellStyle name="40% - Accent5 2 2 3" xfId="1110" xr:uid="{00000000-0005-0000-0000-000050040000}"/>
    <cellStyle name="40% - Accent5 2 3" xfId="1111" xr:uid="{00000000-0005-0000-0000-000051040000}"/>
    <cellStyle name="40% - Accent5 2 3 2" xfId="1112" xr:uid="{00000000-0005-0000-0000-000052040000}"/>
    <cellStyle name="40% - Accent5 2 3 3" xfId="1113" xr:uid="{00000000-0005-0000-0000-000053040000}"/>
    <cellStyle name="40% - Accent5 2 4" xfId="1114" xr:uid="{00000000-0005-0000-0000-000054040000}"/>
    <cellStyle name="40% - Accent5 2 5" xfId="1115" xr:uid="{00000000-0005-0000-0000-000055040000}"/>
    <cellStyle name="40% - Accent5 20" xfId="1116" xr:uid="{00000000-0005-0000-0000-000056040000}"/>
    <cellStyle name="40% - Accent5 20 2" xfId="1117" xr:uid="{00000000-0005-0000-0000-000057040000}"/>
    <cellStyle name="40% - Accent5 20 3" xfId="1118" xr:uid="{00000000-0005-0000-0000-000058040000}"/>
    <cellStyle name="40% - Accent5 21" xfId="1119" xr:uid="{00000000-0005-0000-0000-000059040000}"/>
    <cellStyle name="40% - Accent5 21 2" xfId="1120" xr:uid="{00000000-0005-0000-0000-00005A040000}"/>
    <cellStyle name="40% - Accent5 21 3" xfId="1121" xr:uid="{00000000-0005-0000-0000-00005B040000}"/>
    <cellStyle name="40% - Accent5 22" xfId="1122" xr:uid="{00000000-0005-0000-0000-00005C040000}"/>
    <cellStyle name="40% - Accent5 22 2" xfId="1123" xr:uid="{00000000-0005-0000-0000-00005D040000}"/>
    <cellStyle name="40% - Accent5 22 3" xfId="1124" xr:uid="{00000000-0005-0000-0000-00005E040000}"/>
    <cellStyle name="40% - Accent5 23" xfId="1125" xr:uid="{00000000-0005-0000-0000-00005F040000}"/>
    <cellStyle name="40% - Accent5 23 2" xfId="1126" xr:uid="{00000000-0005-0000-0000-000060040000}"/>
    <cellStyle name="40% - Accent5 23 3" xfId="1127" xr:uid="{00000000-0005-0000-0000-000061040000}"/>
    <cellStyle name="40% - Accent5 24" xfId="1128" xr:uid="{00000000-0005-0000-0000-000062040000}"/>
    <cellStyle name="40% - Accent5 24 2" xfId="1129" xr:uid="{00000000-0005-0000-0000-000063040000}"/>
    <cellStyle name="40% - Accent5 24 3" xfId="1130" xr:uid="{00000000-0005-0000-0000-000064040000}"/>
    <cellStyle name="40% - Accent5 25" xfId="1131" xr:uid="{00000000-0005-0000-0000-000065040000}"/>
    <cellStyle name="40% - Accent5 25 2" xfId="1132" xr:uid="{00000000-0005-0000-0000-000066040000}"/>
    <cellStyle name="40% - Accent5 25 3" xfId="1133" xr:uid="{00000000-0005-0000-0000-000067040000}"/>
    <cellStyle name="40% - Accent5 26" xfId="1134" xr:uid="{00000000-0005-0000-0000-000068040000}"/>
    <cellStyle name="40% - Accent5 26 2" xfId="1135" xr:uid="{00000000-0005-0000-0000-000069040000}"/>
    <cellStyle name="40% - Accent5 26 3" xfId="1136" xr:uid="{00000000-0005-0000-0000-00006A040000}"/>
    <cellStyle name="40% - Accent5 27" xfId="1137" xr:uid="{00000000-0005-0000-0000-00006B040000}"/>
    <cellStyle name="40% - Accent5 27 2" xfId="1138" xr:uid="{00000000-0005-0000-0000-00006C040000}"/>
    <cellStyle name="40% - Accent5 27 3" xfId="1139" xr:uid="{00000000-0005-0000-0000-00006D040000}"/>
    <cellStyle name="40% - Accent5 3" xfId="1140" xr:uid="{00000000-0005-0000-0000-00006E040000}"/>
    <cellStyle name="40% - Accent5 3 2" xfId="1141" xr:uid="{00000000-0005-0000-0000-00006F040000}"/>
    <cellStyle name="40% - Accent5 3 3" xfId="1142" xr:uid="{00000000-0005-0000-0000-000070040000}"/>
    <cellStyle name="40% - Accent5 4" xfId="1143" xr:uid="{00000000-0005-0000-0000-000071040000}"/>
    <cellStyle name="40% - Accent5 4 2" xfId="1144" xr:uid="{00000000-0005-0000-0000-000072040000}"/>
    <cellStyle name="40% - Accent5 4 3" xfId="1145" xr:uid="{00000000-0005-0000-0000-000073040000}"/>
    <cellStyle name="40% - Accent5 5" xfId="1146" xr:uid="{00000000-0005-0000-0000-000074040000}"/>
    <cellStyle name="40% - Accent5 5 2" xfId="1147" xr:uid="{00000000-0005-0000-0000-000075040000}"/>
    <cellStyle name="40% - Accent5 5 3" xfId="1148" xr:uid="{00000000-0005-0000-0000-000076040000}"/>
    <cellStyle name="40% - Accent5 6" xfId="1149" xr:uid="{00000000-0005-0000-0000-000077040000}"/>
    <cellStyle name="40% - Accent5 6 2" xfId="1150" xr:uid="{00000000-0005-0000-0000-000078040000}"/>
    <cellStyle name="40% - Accent5 6 3" xfId="1151" xr:uid="{00000000-0005-0000-0000-000079040000}"/>
    <cellStyle name="40% - Accent5 7" xfId="1152" xr:uid="{00000000-0005-0000-0000-00007A040000}"/>
    <cellStyle name="40% - Accent5 7 2" xfId="1153" xr:uid="{00000000-0005-0000-0000-00007B040000}"/>
    <cellStyle name="40% - Accent5 7 3" xfId="1154" xr:uid="{00000000-0005-0000-0000-00007C040000}"/>
    <cellStyle name="40% - Accent5 8" xfId="1155" xr:uid="{00000000-0005-0000-0000-00007D040000}"/>
    <cellStyle name="40% - Accent5 8 2" xfId="1156" xr:uid="{00000000-0005-0000-0000-00007E040000}"/>
    <cellStyle name="40% - Accent5 8 3" xfId="1157" xr:uid="{00000000-0005-0000-0000-00007F040000}"/>
    <cellStyle name="40% - Accent5 9" xfId="1158" xr:uid="{00000000-0005-0000-0000-000080040000}"/>
    <cellStyle name="40% - Accent5 9 2" xfId="1159" xr:uid="{00000000-0005-0000-0000-000081040000}"/>
    <cellStyle name="40% - Accent5 9 3" xfId="1160" xr:uid="{00000000-0005-0000-0000-000082040000}"/>
    <cellStyle name="40% - Accent6 10" xfId="1161" xr:uid="{00000000-0005-0000-0000-000083040000}"/>
    <cellStyle name="40% - Accent6 10 2" xfId="1162" xr:uid="{00000000-0005-0000-0000-000084040000}"/>
    <cellStyle name="40% - Accent6 10 3" xfId="1163" xr:uid="{00000000-0005-0000-0000-000085040000}"/>
    <cellStyle name="40% - Accent6 11" xfId="1164" xr:uid="{00000000-0005-0000-0000-000086040000}"/>
    <cellStyle name="40% - Accent6 11 2" xfId="1165" xr:uid="{00000000-0005-0000-0000-000087040000}"/>
    <cellStyle name="40% - Accent6 11 3" xfId="1166" xr:uid="{00000000-0005-0000-0000-000088040000}"/>
    <cellStyle name="40% - Accent6 12" xfId="1167" xr:uid="{00000000-0005-0000-0000-000089040000}"/>
    <cellStyle name="40% - Accent6 12 2" xfId="1168" xr:uid="{00000000-0005-0000-0000-00008A040000}"/>
    <cellStyle name="40% - Accent6 12 3" xfId="1169" xr:uid="{00000000-0005-0000-0000-00008B040000}"/>
    <cellStyle name="40% - Accent6 13" xfId="1170" xr:uid="{00000000-0005-0000-0000-00008C040000}"/>
    <cellStyle name="40% - Accent6 13 2" xfId="1171" xr:uid="{00000000-0005-0000-0000-00008D040000}"/>
    <cellStyle name="40% - Accent6 13 3" xfId="1172" xr:uid="{00000000-0005-0000-0000-00008E040000}"/>
    <cellStyle name="40% - Accent6 14" xfId="1173" xr:uid="{00000000-0005-0000-0000-00008F040000}"/>
    <cellStyle name="40% - Accent6 14 2" xfId="1174" xr:uid="{00000000-0005-0000-0000-000090040000}"/>
    <cellStyle name="40% - Accent6 14 3" xfId="1175" xr:uid="{00000000-0005-0000-0000-000091040000}"/>
    <cellStyle name="40% - Accent6 15" xfId="1176" xr:uid="{00000000-0005-0000-0000-000092040000}"/>
    <cellStyle name="40% - Accent6 15 2" xfId="1177" xr:uid="{00000000-0005-0000-0000-000093040000}"/>
    <cellStyle name="40% - Accent6 15 3" xfId="1178" xr:uid="{00000000-0005-0000-0000-000094040000}"/>
    <cellStyle name="40% - Accent6 16" xfId="1179" xr:uid="{00000000-0005-0000-0000-000095040000}"/>
    <cellStyle name="40% - Accent6 16 2" xfId="1180" xr:uid="{00000000-0005-0000-0000-000096040000}"/>
    <cellStyle name="40% - Accent6 16 3" xfId="1181" xr:uid="{00000000-0005-0000-0000-000097040000}"/>
    <cellStyle name="40% - Accent6 17" xfId="1182" xr:uid="{00000000-0005-0000-0000-000098040000}"/>
    <cellStyle name="40% - Accent6 17 2" xfId="1183" xr:uid="{00000000-0005-0000-0000-000099040000}"/>
    <cellStyle name="40% - Accent6 17 3" xfId="1184" xr:uid="{00000000-0005-0000-0000-00009A040000}"/>
    <cellStyle name="40% - Accent6 18" xfId="1185" xr:uid="{00000000-0005-0000-0000-00009B040000}"/>
    <cellStyle name="40% - Accent6 18 2" xfId="1186" xr:uid="{00000000-0005-0000-0000-00009C040000}"/>
    <cellStyle name="40% - Accent6 18 3" xfId="1187" xr:uid="{00000000-0005-0000-0000-00009D040000}"/>
    <cellStyle name="40% - Accent6 19" xfId="1188" xr:uid="{00000000-0005-0000-0000-00009E040000}"/>
    <cellStyle name="40% - Accent6 19 2" xfId="1189" xr:uid="{00000000-0005-0000-0000-00009F040000}"/>
    <cellStyle name="40% - Accent6 19 3" xfId="1190" xr:uid="{00000000-0005-0000-0000-0000A0040000}"/>
    <cellStyle name="40% - Accent6 2" xfId="1191" xr:uid="{00000000-0005-0000-0000-0000A1040000}"/>
    <cellStyle name="40% - Accent6 2 2" xfId="1192" xr:uid="{00000000-0005-0000-0000-0000A2040000}"/>
    <cellStyle name="40% - Accent6 2 2 2" xfId="1193" xr:uid="{00000000-0005-0000-0000-0000A3040000}"/>
    <cellStyle name="40% - Accent6 2 2 3" xfId="1194" xr:uid="{00000000-0005-0000-0000-0000A4040000}"/>
    <cellStyle name="40% - Accent6 2 3" xfId="1195" xr:uid="{00000000-0005-0000-0000-0000A5040000}"/>
    <cellStyle name="40% - Accent6 2 3 2" xfId="1196" xr:uid="{00000000-0005-0000-0000-0000A6040000}"/>
    <cellStyle name="40% - Accent6 2 3 3" xfId="1197" xr:uid="{00000000-0005-0000-0000-0000A7040000}"/>
    <cellStyle name="40% - Accent6 2 4" xfId="1198" xr:uid="{00000000-0005-0000-0000-0000A8040000}"/>
    <cellStyle name="40% - Accent6 2 5" xfId="1199" xr:uid="{00000000-0005-0000-0000-0000A9040000}"/>
    <cellStyle name="40% - Accent6 2_TOTAL OB COAL" xfId="1200" xr:uid="{00000000-0005-0000-0000-0000AA040000}"/>
    <cellStyle name="40% - Accent6 20" xfId="1201" xr:uid="{00000000-0005-0000-0000-0000AB040000}"/>
    <cellStyle name="40% - Accent6 20 2" xfId="1202" xr:uid="{00000000-0005-0000-0000-0000AC040000}"/>
    <cellStyle name="40% - Accent6 20 3" xfId="1203" xr:uid="{00000000-0005-0000-0000-0000AD040000}"/>
    <cellStyle name="40% - Accent6 21" xfId="1204" xr:uid="{00000000-0005-0000-0000-0000AE040000}"/>
    <cellStyle name="40% - Accent6 21 2" xfId="1205" xr:uid="{00000000-0005-0000-0000-0000AF040000}"/>
    <cellStyle name="40% - Accent6 21 3" xfId="1206" xr:uid="{00000000-0005-0000-0000-0000B0040000}"/>
    <cellStyle name="40% - Accent6 22" xfId="1207" xr:uid="{00000000-0005-0000-0000-0000B1040000}"/>
    <cellStyle name="40% - Accent6 22 2" xfId="1208" xr:uid="{00000000-0005-0000-0000-0000B2040000}"/>
    <cellStyle name="40% - Accent6 22 3" xfId="1209" xr:uid="{00000000-0005-0000-0000-0000B3040000}"/>
    <cellStyle name="40% - Accent6 23" xfId="1210" xr:uid="{00000000-0005-0000-0000-0000B4040000}"/>
    <cellStyle name="40% - Accent6 23 2" xfId="1211" xr:uid="{00000000-0005-0000-0000-0000B5040000}"/>
    <cellStyle name="40% - Accent6 23 3" xfId="1212" xr:uid="{00000000-0005-0000-0000-0000B6040000}"/>
    <cellStyle name="40% - Accent6 24" xfId="1213" xr:uid="{00000000-0005-0000-0000-0000B7040000}"/>
    <cellStyle name="40% - Accent6 24 2" xfId="1214" xr:uid="{00000000-0005-0000-0000-0000B8040000}"/>
    <cellStyle name="40% - Accent6 24 3" xfId="1215" xr:uid="{00000000-0005-0000-0000-0000B9040000}"/>
    <cellStyle name="40% - Accent6 25" xfId="1216" xr:uid="{00000000-0005-0000-0000-0000BA040000}"/>
    <cellStyle name="40% - Accent6 25 2" xfId="1217" xr:uid="{00000000-0005-0000-0000-0000BB040000}"/>
    <cellStyle name="40% - Accent6 25 3" xfId="1218" xr:uid="{00000000-0005-0000-0000-0000BC040000}"/>
    <cellStyle name="40% - Accent6 26" xfId="1219" xr:uid="{00000000-0005-0000-0000-0000BD040000}"/>
    <cellStyle name="40% - Accent6 26 2" xfId="1220" xr:uid="{00000000-0005-0000-0000-0000BE040000}"/>
    <cellStyle name="40% - Accent6 26 3" xfId="1221" xr:uid="{00000000-0005-0000-0000-0000BF040000}"/>
    <cellStyle name="40% - Accent6 27" xfId="1222" xr:uid="{00000000-0005-0000-0000-0000C0040000}"/>
    <cellStyle name="40% - Accent6 27 2" xfId="1223" xr:uid="{00000000-0005-0000-0000-0000C1040000}"/>
    <cellStyle name="40% - Accent6 27 3" xfId="1224" xr:uid="{00000000-0005-0000-0000-0000C2040000}"/>
    <cellStyle name="40% - Accent6 3" xfId="1225" xr:uid="{00000000-0005-0000-0000-0000C3040000}"/>
    <cellStyle name="40% - Accent6 3 2" xfId="1226" xr:uid="{00000000-0005-0000-0000-0000C4040000}"/>
    <cellStyle name="40% - Accent6 3 3" xfId="1227" xr:uid="{00000000-0005-0000-0000-0000C5040000}"/>
    <cellStyle name="40% - Accent6 4" xfId="1228" xr:uid="{00000000-0005-0000-0000-0000C6040000}"/>
    <cellStyle name="40% - Accent6 4 2" xfId="1229" xr:uid="{00000000-0005-0000-0000-0000C7040000}"/>
    <cellStyle name="40% - Accent6 4 3" xfId="1230" xr:uid="{00000000-0005-0000-0000-0000C8040000}"/>
    <cellStyle name="40% - Accent6 5" xfId="1231" xr:uid="{00000000-0005-0000-0000-0000C9040000}"/>
    <cellStyle name="40% - Accent6 5 2" xfId="1232" xr:uid="{00000000-0005-0000-0000-0000CA040000}"/>
    <cellStyle name="40% - Accent6 5 3" xfId="1233" xr:uid="{00000000-0005-0000-0000-0000CB040000}"/>
    <cellStyle name="40% - Accent6 6" xfId="1234" xr:uid="{00000000-0005-0000-0000-0000CC040000}"/>
    <cellStyle name="40% - Accent6 6 2" xfId="1235" xr:uid="{00000000-0005-0000-0000-0000CD040000}"/>
    <cellStyle name="40% - Accent6 6 3" xfId="1236" xr:uid="{00000000-0005-0000-0000-0000CE040000}"/>
    <cellStyle name="40% - Accent6 7" xfId="1237" xr:uid="{00000000-0005-0000-0000-0000CF040000}"/>
    <cellStyle name="40% - Accent6 7 2" xfId="1238" xr:uid="{00000000-0005-0000-0000-0000D0040000}"/>
    <cellStyle name="40% - Accent6 7 3" xfId="1239" xr:uid="{00000000-0005-0000-0000-0000D1040000}"/>
    <cellStyle name="40% - Accent6 8" xfId="1240" xr:uid="{00000000-0005-0000-0000-0000D2040000}"/>
    <cellStyle name="40% - Accent6 8 2" xfId="1241" xr:uid="{00000000-0005-0000-0000-0000D3040000}"/>
    <cellStyle name="40% - Accent6 8 3" xfId="1242" xr:uid="{00000000-0005-0000-0000-0000D4040000}"/>
    <cellStyle name="40% - Accent6 9" xfId="1243" xr:uid="{00000000-0005-0000-0000-0000D5040000}"/>
    <cellStyle name="40% - Accent6 9 2" xfId="1244" xr:uid="{00000000-0005-0000-0000-0000D6040000}"/>
    <cellStyle name="40% - Accent6 9 3" xfId="1245" xr:uid="{00000000-0005-0000-0000-0000D7040000}"/>
    <cellStyle name="40% - アクセント 1" xfId="1246" xr:uid="{00000000-0005-0000-0000-0000D8040000}"/>
    <cellStyle name="40% - アクセント 1 2" xfId="1247" xr:uid="{00000000-0005-0000-0000-0000D9040000}"/>
    <cellStyle name="40% - アクセント 2" xfId="1248" xr:uid="{00000000-0005-0000-0000-0000DA040000}"/>
    <cellStyle name="40% - アクセント 2 2" xfId="1249" xr:uid="{00000000-0005-0000-0000-0000DB040000}"/>
    <cellStyle name="40% - アクセント 3" xfId="1250" xr:uid="{00000000-0005-0000-0000-0000DC040000}"/>
    <cellStyle name="40% - アクセント 3 2" xfId="1251" xr:uid="{00000000-0005-0000-0000-0000DD040000}"/>
    <cellStyle name="40% - アクセント 4" xfId="1252" xr:uid="{00000000-0005-0000-0000-0000DE040000}"/>
    <cellStyle name="40% - アクセント 4 2" xfId="1253" xr:uid="{00000000-0005-0000-0000-0000DF040000}"/>
    <cellStyle name="40% - アクセント 5" xfId="1254" xr:uid="{00000000-0005-0000-0000-0000E0040000}"/>
    <cellStyle name="40% - アクセント 5 2" xfId="1255" xr:uid="{00000000-0005-0000-0000-0000E1040000}"/>
    <cellStyle name="40% - アクセント 6" xfId="1256" xr:uid="{00000000-0005-0000-0000-0000E2040000}"/>
    <cellStyle name="40% - アクセント 6 2" xfId="1257" xr:uid="{00000000-0005-0000-0000-0000E3040000}"/>
    <cellStyle name="60% - Accent1 10" xfId="1258" xr:uid="{00000000-0005-0000-0000-0000E4040000}"/>
    <cellStyle name="60% - Accent1 10 2" xfId="1259" xr:uid="{00000000-0005-0000-0000-0000E5040000}"/>
    <cellStyle name="60% - Accent1 10 3" xfId="1260" xr:uid="{00000000-0005-0000-0000-0000E6040000}"/>
    <cellStyle name="60% - Accent1 11" xfId="1261" xr:uid="{00000000-0005-0000-0000-0000E7040000}"/>
    <cellStyle name="60% - Accent1 11 2" xfId="1262" xr:uid="{00000000-0005-0000-0000-0000E8040000}"/>
    <cellStyle name="60% - Accent1 11 3" xfId="1263" xr:uid="{00000000-0005-0000-0000-0000E9040000}"/>
    <cellStyle name="60% - Accent1 12" xfId="1264" xr:uid="{00000000-0005-0000-0000-0000EA040000}"/>
    <cellStyle name="60% - Accent1 12 2" xfId="1265" xr:uid="{00000000-0005-0000-0000-0000EB040000}"/>
    <cellStyle name="60% - Accent1 12 3" xfId="1266" xr:uid="{00000000-0005-0000-0000-0000EC040000}"/>
    <cellStyle name="60% - Accent1 13" xfId="1267" xr:uid="{00000000-0005-0000-0000-0000ED040000}"/>
    <cellStyle name="60% - Accent1 13 2" xfId="1268" xr:uid="{00000000-0005-0000-0000-0000EE040000}"/>
    <cellStyle name="60% - Accent1 13 3" xfId="1269" xr:uid="{00000000-0005-0000-0000-0000EF040000}"/>
    <cellStyle name="60% - Accent1 14" xfId="1270" xr:uid="{00000000-0005-0000-0000-0000F0040000}"/>
    <cellStyle name="60% - Accent1 14 2" xfId="1271" xr:uid="{00000000-0005-0000-0000-0000F1040000}"/>
    <cellStyle name="60% - Accent1 14 3" xfId="1272" xr:uid="{00000000-0005-0000-0000-0000F2040000}"/>
    <cellStyle name="60% - Accent1 15" xfId="1273" xr:uid="{00000000-0005-0000-0000-0000F3040000}"/>
    <cellStyle name="60% - Accent1 15 2" xfId="1274" xr:uid="{00000000-0005-0000-0000-0000F4040000}"/>
    <cellStyle name="60% - Accent1 15 3" xfId="1275" xr:uid="{00000000-0005-0000-0000-0000F5040000}"/>
    <cellStyle name="60% - Accent1 16" xfId="1276" xr:uid="{00000000-0005-0000-0000-0000F6040000}"/>
    <cellStyle name="60% - Accent1 16 2" xfId="1277" xr:uid="{00000000-0005-0000-0000-0000F7040000}"/>
    <cellStyle name="60% - Accent1 16 3" xfId="1278" xr:uid="{00000000-0005-0000-0000-0000F8040000}"/>
    <cellStyle name="60% - Accent1 17" xfId="1279" xr:uid="{00000000-0005-0000-0000-0000F9040000}"/>
    <cellStyle name="60% - Accent1 17 2" xfId="1280" xr:uid="{00000000-0005-0000-0000-0000FA040000}"/>
    <cellStyle name="60% - Accent1 17 3" xfId="1281" xr:uid="{00000000-0005-0000-0000-0000FB040000}"/>
    <cellStyle name="60% - Accent1 18" xfId="1282" xr:uid="{00000000-0005-0000-0000-0000FC040000}"/>
    <cellStyle name="60% - Accent1 18 2" xfId="1283" xr:uid="{00000000-0005-0000-0000-0000FD040000}"/>
    <cellStyle name="60% - Accent1 18 3" xfId="1284" xr:uid="{00000000-0005-0000-0000-0000FE040000}"/>
    <cellStyle name="60% - Accent1 19" xfId="1285" xr:uid="{00000000-0005-0000-0000-0000FF040000}"/>
    <cellStyle name="60% - Accent1 19 2" xfId="1286" xr:uid="{00000000-0005-0000-0000-000000050000}"/>
    <cellStyle name="60% - Accent1 19 3" xfId="1287" xr:uid="{00000000-0005-0000-0000-000001050000}"/>
    <cellStyle name="60% - Accent1 2" xfId="1288" xr:uid="{00000000-0005-0000-0000-000002050000}"/>
    <cellStyle name="60% - Accent1 2 2" xfId="1289" xr:uid="{00000000-0005-0000-0000-000003050000}"/>
    <cellStyle name="60% - Accent1 2 2 2" xfId="1290" xr:uid="{00000000-0005-0000-0000-000004050000}"/>
    <cellStyle name="60% - Accent1 2 2 3" xfId="1291" xr:uid="{00000000-0005-0000-0000-000005050000}"/>
    <cellStyle name="60% - Accent1 2 3" xfId="1292" xr:uid="{00000000-0005-0000-0000-000006050000}"/>
    <cellStyle name="60% - Accent1 2 3 2" xfId="1293" xr:uid="{00000000-0005-0000-0000-000007050000}"/>
    <cellStyle name="60% - Accent1 2 3 3" xfId="1294" xr:uid="{00000000-0005-0000-0000-000008050000}"/>
    <cellStyle name="60% - Accent1 2 4" xfId="1295" xr:uid="{00000000-0005-0000-0000-000009050000}"/>
    <cellStyle name="60% - Accent1 2 5" xfId="1296" xr:uid="{00000000-0005-0000-0000-00000A050000}"/>
    <cellStyle name="60% - Accent1 2_TOTAL OB COAL" xfId="1297" xr:uid="{00000000-0005-0000-0000-00000B050000}"/>
    <cellStyle name="60% - Accent1 20" xfId="1298" xr:uid="{00000000-0005-0000-0000-00000C050000}"/>
    <cellStyle name="60% - Accent1 20 2" xfId="1299" xr:uid="{00000000-0005-0000-0000-00000D050000}"/>
    <cellStyle name="60% - Accent1 20 3" xfId="1300" xr:uid="{00000000-0005-0000-0000-00000E050000}"/>
    <cellStyle name="60% - Accent1 21" xfId="1301" xr:uid="{00000000-0005-0000-0000-00000F050000}"/>
    <cellStyle name="60% - Accent1 21 2" xfId="1302" xr:uid="{00000000-0005-0000-0000-000010050000}"/>
    <cellStyle name="60% - Accent1 21 3" xfId="1303" xr:uid="{00000000-0005-0000-0000-000011050000}"/>
    <cellStyle name="60% - Accent1 22" xfId="1304" xr:uid="{00000000-0005-0000-0000-000012050000}"/>
    <cellStyle name="60% - Accent1 22 2" xfId="1305" xr:uid="{00000000-0005-0000-0000-000013050000}"/>
    <cellStyle name="60% - Accent1 22 3" xfId="1306" xr:uid="{00000000-0005-0000-0000-000014050000}"/>
    <cellStyle name="60% - Accent1 23" xfId="1307" xr:uid="{00000000-0005-0000-0000-000015050000}"/>
    <cellStyle name="60% - Accent1 23 2" xfId="1308" xr:uid="{00000000-0005-0000-0000-000016050000}"/>
    <cellStyle name="60% - Accent1 23 3" xfId="1309" xr:uid="{00000000-0005-0000-0000-000017050000}"/>
    <cellStyle name="60% - Accent1 24" xfId="1310" xr:uid="{00000000-0005-0000-0000-000018050000}"/>
    <cellStyle name="60% - Accent1 24 2" xfId="1311" xr:uid="{00000000-0005-0000-0000-000019050000}"/>
    <cellStyle name="60% - Accent1 24 3" xfId="1312" xr:uid="{00000000-0005-0000-0000-00001A050000}"/>
    <cellStyle name="60% - Accent1 25" xfId="1313" xr:uid="{00000000-0005-0000-0000-00001B050000}"/>
    <cellStyle name="60% - Accent1 25 2" xfId="1314" xr:uid="{00000000-0005-0000-0000-00001C050000}"/>
    <cellStyle name="60% - Accent1 25 3" xfId="1315" xr:uid="{00000000-0005-0000-0000-00001D050000}"/>
    <cellStyle name="60% - Accent1 26" xfId="1316" xr:uid="{00000000-0005-0000-0000-00001E050000}"/>
    <cellStyle name="60% - Accent1 26 2" xfId="1317" xr:uid="{00000000-0005-0000-0000-00001F050000}"/>
    <cellStyle name="60% - Accent1 26 3" xfId="1318" xr:uid="{00000000-0005-0000-0000-000020050000}"/>
    <cellStyle name="60% - Accent1 27" xfId="1319" xr:uid="{00000000-0005-0000-0000-000021050000}"/>
    <cellStyle name="60% - Accent1 27 2" xfId="1320" xr:uid="{00000000-0005-0000-0000-000022050000}"/>
    <cellStyle name="60% - Accent1 27 3" xfId="1321" xr:uid="{00000000-0005-0000-0000-000023050000}"/>
    <cellStyle name="60% - Accent1 3" xfId="1322" xr:uid="{00000000-0005-0000-0000-000024050000}"/>
    <cellStyle name="60% - Accent1 3 2" xfId="1323" xr:uid="{00000000-0005-0000-0000-000025050000}"/>
    <cellStyle name="60% - Accent1 3 3" xfId="1324" xr:uid="{00000000-0005-0000-0000-000026050000}"/>
    <cellStyle name="60% - Accent1 4" xfId="1325" xr:uid="{00000000-0005-0000-0000-000027050000}"/>
    <cellStyle name="60% - Accent1 4 2" xfId="1326" xr:uid="{00000000-0005-0000-0000-000028050000}"/>
    <cellStyle name="60% - Accent1 4 3" xfId="1327" xr:uid="{00000000-0005-0000-0000-000029050000}"/>
    <cellStyle name="60% - Accent1 5" xfId="1328" xr:uid="{00000000-0005-0000-0000-00002A050000}"/>
    <cellStyle name="60% - Accent1 5 2" xfId="1329" xr:uid="{00000000-0005-0000-0000-00002B050000}"/>
    <cellStyle name="60% - Accent1 5 3" xfId="1330" xr:uid="{00000000-0005-0000-0000-00002C050000}"/>
    <cellStyle name="60% - Accent1 6" xfId="1331" xr:uid="{00000000-0005-0000-0000-00002D050000}"/>
    <cellStyle name="60% - Accent1 6 2" xfId="1332" xr:uid="{00000000-0005-0000-0000-00002E050000}"/>
    <cellStyle name="60% - Accent1 6 3" xfId="1333" xr:uid="{00000000-0005-0000-0000-00002F050000}"/>
    <cellStyle name="60% - Accent1 7" xfId="1334" xr:uid="{00000000-0005-0000-0000-000030050000}"/>
    <cellStyle name="60% - Accent1 7 2" xfId="1335" xr:uid="{00000000-0005-0000-0000-000031050000}"/>
    <cellStyle name="60% - Accent1 7 3" xfId="1336" xr:uid="{00000000-0005-0000-0000-000032050000}"/>
    <cellStyle name="60% - Accent1 8" xfId="1337" xr:uid="{00000000-0005-0000-0000-000033050000}"/>
    <cellStyle name="60% - Accent1 8 2" xfId="1338" xr:uid="{00000000-0005-0000-0000-000034050000}"/>
    <cellStyle name="60% - Accent1 8 3" xfId="1339" xr:uid="{00000000-0005-0000-0000-000035050000}"/>
    <cellStyle name="60% - Accent1 9" xfId="1340" xr:uid="{00000000-0005-0000-0000-000036050000}"/>
    <cellStyle name="60% - Accent1 9 2" xfId="1341" xr:uid="{00000000-0005-0000-0000-000037050000}"/>
    <cellStyle name="60% - Accent1 9 3" xfId="1342" xr:uid="{00000000-0005-0000-0000-000038050000}"/>
    <cellStyle name="60% - Accent2 10" xfId="1343" xr:uid="{00000000-0005-0000-0000-000039050000}"/>
    <cellStyle name="60% - Accent2 10 2" xfId="1344" xr:uid="{00000000-0005-0000-0000-00003A050000}"/>
    <cellStyle name="60% - Accent2 10 3" xfId="1345" xr:uid="{00000000-0005-0000-0000-00003B050000}"/>
    <cellStyle name="60% - Accent2 11" xfId="1346" xr:uid="{00000000-0005-0000-0000-00003C050000}"/>
    <cellStyle name="60% - Accent2 11 2" xfId="1347" xr:uid="{00000000-0005-0000-0000-00003D050000}"/>
    <cellStyle name="60% - Accent2 11 3" xfId="1348" xr:uid="{00000000-0005-0000-0000-00003E050000}"/>
    <cellStyle name="60% - Accent2 12" xfId="1349" xr:uid="{00000000-0005-0000-0000-00003F050000}"/>
    <cellStyle name="60% - Accent2 12 2" xfId="1350" xr:uid="{00000000-0005-0000-0000-000040050000}"/>
    <cellStyle name="60% - Accent2 12 3" xfId="1351" xr:uid="{00000000-0005-0000-0000-000041050000}"/>
    <cellStyle name="60% - Accent2 13" xfId="1352" xr:uid="{00000000-0005-0000-0000-000042050000}"/>
    <cellStyle name="60% - Accent2 13 2" xfId="1353" xr:uid="{00000000-0005-0000-0000-000043050000}"/>
    <cellStyle name="60% - Accent2 13 3" xfId="1354" xr:uid="{00000000-0005-0000-0000-000044050000}"/>
    <cellStyle name="60% - Accent2 14" xfId="1355" xr:uid="{00000000-0005-0000-0000-000045050000}"/>
    <cellStyle name="60% - Accent2 14 2" xfId="1356" xr:uid="{00000000-0005-0000-0000-000046050000}"/>
    <cellStyle name="60% - Accent2 14 3" xfId="1357" xr:uid="{00000000-0005-0000-0000-000047050000}"/>
    <cellStyle name="60% - Accent2 15" xfId="1358" xr:uid="{00000000-0005-0000-0000-000048050000}"/>
    <cellStyle name="60% - Accent2 15 2" xfId="1359" xr:uid="{00000000-0005-0000-0000-000049050000}"/>
    <cellStyle name="60% - Accent2 15 3" xfId="1360" xr:uid="{00000000-0005-0000-0000-00004A050000}"/>
    <cellStyle name="60% - Accent2 16" xfId="1361" xr:uid="{00000000-0005-0000-0000-00004B050000}"/>
    <cellStyle name="60% - Accent2 16 2" xfId="1362" xr:uid="{00000000-0005-0000-0000-00004C050000}"/>
    <cellStyle name="60% - Accent2 16 3" xfId="1363" xr:uid="{00000000-0005-0000-0000-00004D050000}"/>
    <cellStyle name="60% - Accent2 17" xfId="1364" xr:uid="{00000000-0005-0000-0000-00004E050000}"/>
    <cellStyle name="60% - Accent2 17 2" xfId="1365" xr:uid="{00000000-0005-0000-0000-00004F050000}"/>
    <cellStyle name="60% - Accent2 17 3" xfId="1366" xr:uid="{00000000-0005-0000-0000-000050050000}"/>
    <cellStyle name="60% - Accent2 18" xfId="1367" xr:uid="{00000000-0005-0000-0000-000051050000}"/>
    <cellStyle name="60% - Accent2 18 2" xfId="1368" xr:uid="{00000000-0005-0000-0000-000052050000}"/>
    <cellStyle name="60% - Accent2 18 3" xfId="1369" xr:uid="{00000000-0005-0000-0000-000053050000}"/>
    <cellStyle name="60% - Accent2 19" xfId="1370" xr:uid="{00000000-0005-0000-0000-000054050000}"/>
    <cellStyle name="60% - Accent2 19 2" xfId="1371" xr:uid="{00000000-0005-0000-0000-000055050000}"/>
    <cellStyle name="60% - Accent2 19 3" xfId="1372" xr:uid="{00000000-0005-0000-0000-000056050000}"/>
    <cellStyle name="60% - Accent2 2" xfId="1373" xr:uid="{00000000-0005-0000-0000-000057050000}"/>
    <cellStyle name="60% - Accent2 2 2" xfId="1374" xr:uid="{00000000-0005-0000-0000-000058050000}"/>
    <cellStyle name="60% - Accent2 2 2 2" xfId="1375" xr:uid="{00000000-0005-0000-0000-000059050000}"/>
    <cellStyle name="60% - Accent2 2 2 3" xfId="1376" xr:uid="{00000000-0005-0000-0000-00005A050000}"/>
    <cellStyle name="60% - Accent2 2 3" xfId="1377" xr:uid="{00000000-0005-0000-0000-00005B050000}"/>
    <cellStyle name="60% - Accent2 2 3 2" xfId="1378" xr:uid="{00000000-0005-0000-0000-00005C050000}"/>
    <cellStyle name="60% - Accent2 2 3 3" xfId="1379" xr:uid="{00000000-0005-0000-0000-00005D050000}"/>
    <cellStyle name="60% - Accent2 2 4" xfId="1380" xr:uid="{00000000-0005-0000-0000-00005E050000}"/>
    <cellStyle name="60% - Accent2 2 5" xfId="1381" xr:uid="{00000000-0005-0000-0000-00005F050000}"/>
    <cellStyle name="60% - Accent2 20" xfId="1382" xr:uid="{00000000-0005-0000-0000-000060050000}"/>
    <cellStyle name="60% - Accent2 20 2" xfId="1383" xr:uid="{00000000-0005-0000-0000-000061050000}"/>
    <cellStyle name="60% - Accent2 20 3" xfId="1384" xr:uid="{00000000-0005-0000-0000-000062050000}"/>
    <cellStyle name="60% - Accent2 21" xfId="1385" xr:uid="{00000000-0005-0000-0000-000063050000}"/>
    <cellStyle name="60% - Accent2 21 2" xfId="1386" xr:uid="{00000000-0005-0000-0000-000064050000}"/>
    <cellStyle name="60% - Accent2 21 3" xfId="1387" xr:uid="{00000000-0005-0000-0000-000065050000}"/>
    <cellStyle name="60% - Accent2 22" xfId="1388" xr:uid="{00000000-0005-0000-0000-000066050000}"/>
    <cellStyle name="60% - Accent2 22 2" xfId="1389" xr:uid="{00000000-0005-0000-0000-000067050000}"/>
    <cellStyle name="60% - Accent2 22 3" xfId="1390" xr:uid="{00000000-0005-0000-0000-000068050000}"/>
    <cellStyle name="60% - Accent2 23" xfId="1391" xr:uid="{00000000-0005-0000-0000-000069050000}"/>
    <cellStyle name="60% - Accent2 23 2" xfId="1392" xr:uid="{00000000-0005-0000-0000-00006A050000}"/>
    <cellStyle name="60% - Accent2 23 3" xfId="1393" xr:uid="{00000000-0005-0000-0000-00006B050000}"/>
    <cellStyle name="60% - Accent2 24" xfId="1394" xr:uid="{00000000-0005-0000-0000-00006C050000}"/>
    <cellStyle name="60% - Accent2 24 2" xfId="1395" xr:uid="{00000000-0005-0000-0000-00006D050000}"/>
    <cellStyle name="60% - Accent2 24 3" xfId="1396" xr:uid="{00000000-0005-0000-0000-00006E050000}"/>
    <cellStyle name="60% - Accent2 25" xfId="1397" xr:uid="{00000000-0005-0000-0000-00006F050000}"/>
    <cellStyle name="60% - Accent2 25 2" xfId="1398" xr:uid="{00000000-0005-0000-0000-000070050000}"/>
    <cellStyle name="60% - Accent2 25 3" xfId="1399" xr:uid="{00000000-0005-0000-0000-000071050000}"/>
    <cellStyle name="60% - Accent2 26" xfId="1400" xr:uid="{00000000-0005-0000-0000-000072050000}"/>
    <cellStyle name="60% - Accent2 26 2" xfId="1401" xr:uid="{00000000-0005-0000-0000-000073050000}"/>
    <cellStyle name="60% - Accent2 26 3" xfId="1402" xr:uid="{00000000-0005-0000-0000-000074050000}"/>
    <cellStyle name="60% - Accent2 27" xfId="1403" xr:uid="{00000000-0005-0000-0000-000075050000}"/>
    <cellStyle name="60% - Accent2 27 2" xfId="1404" xr:uid="{00000000-0005-0000-0000-000076050000}"/>
    <cellStyle name="60% - Accent2 27 3" xfId="1405" xr:uid="{00000000-0005-0000-0000-000077050000}"/>
    <cellStyle name="60% - Accent2 3" xfId="1406" xr:uid="{00000000-0005-0000-0000-000078050000}"/>
    <cellStyle name="60% - Accent2 3 2" xfId="1407" xr:uid="{00000000-0005-0000-0000-000079050000}"/>
    <cellStyle name="60% - Accent2 3 3" xfId="1408" xr:uid="{00000000-0005-0000-0000-00007A050000}"/>
    <cellStyle name="60% - Accent2 4" xfId="1409" xr:uid="{00000000-0005-0000-0000-00007B050000}"/>
    <cellStyle name="60% - Accent2 4 2" xfId="1410" xr:uid="{00000000-0005-0000-0000-00007C050000}"/>
    <cellStyle name="60% - Accent2 4 3" xfId="1411" xr:uid="{00000000-0005-0000-0000-00007D050000}"/>
    <cellStyle name="60% - Accent2 5" xfId="1412" xr:uid="{00000000-0005-0000-0000-00007E050000}"/>
    <cellStyle name="60% - Accent2 5 2" xfId="1413" xr:uid="{00000000-0005-0000-0000-00007F050000}"/>
    <cellStyle name="60% - Accent2 5 3" xfId="1414" xr:uid="{00000000-0005-0000-0000-000080050000}"/>
    <cellStyle name="60% - Accent2 6" xfId="1415" xr:uid="{00000000-0005-0000-0000-000081050000}"/>
    <cellStyle name="60% - Accent2 6 2" xfId="1416" xr:uid="{00000000-0005-0000-0000-000082050000}"/>
    <cellStyle name="60% - Accent2 6 3" xfId="1417" xr:uid="{00000000-0005-0000-0000-000083050000}"/>
    <cellStyle name="60% - Accent2 7" xfId="1418" xr:uid="{00000000-0005-0000-0000-000084050000}"/>
    <cellStyle name="60% - Accent2 7 2" xfId="1419" xr:uid="{00000000-0005-0000-0000-000085050000}"/>
    <cellStyle name="60% - Accent2 7 3" xfId="1420" xr:uid="{00000000-0005-0000-0000-000086050000}"/>
    <cellStyle name="60% - Accent2 8" xfId="1421" xr:uid="{00000000-0005-0000-0000-000087050000}"/>
    <cellStyle name="60% - Accent2 8 2" xfId="1422" xr:uid="{00000000-0005-0000-0000-000088050000}"/>
    <cellStyle name="60% - Accent2 8 3" xfId="1423" xr:uid="{00000000-0005-0000-0000-000089050000}"/>
    <cellStyle name="60% - Accent2 9" xfId="1424" xr:uid="{00000000-0005-0000-0000-00008A050000}"/>
    <cellStyle name="60% - Accent2 9 2" xfId="1425" xr:uid="{00000000-0005-0000-0000-00008B050000}"/>
    <cellStyle name="60% - Accent2 9 3" xfId="1426" xr:uid="{00000000-0005-0000-0000-00008C050000}"/>
    <cellStyle name="60% - Accent3 10" xfId="1427" xr:uid="{00000000-0005-0000-0000-00008D050000}"/>
    <cellStyle name="60% - Accent3 10 2" xfId="1428" xr:uid="{00000000-0005-0000-0000-00008E050000}"/>
    <cellStyle name="60% - Accent3 10 3" xfId="1429" xr:uid="{00000000-0005-0000-0000-00008F050000}"/>
    <cellStyle name="60% - Accent3 11" xfId="1430" xr:uid="{00000000-0005-0000-0000-000090050000}"/>
    <cellStyle name="60% - Accent3 11 2" xfId="1431" xr:uid="{00000000-0005-0000-0000-000091050000}"/>
    <cellStyle name="60% - Accent3 11 3" xfId="1432" xr:uid="{00000000-0005-0000-0000-000092050000}"/>
    <cellStyle name="60% - Accent3 12" xfId="1433" xr:uid="{00000000-0005-0000-0000-000093050000}"/>
    <cellStyle name="60% - Accent3 12 2" xfId="1434" xr:uid="{00000000-0005-0000-0000-000094050000}"/>
    <cellStyle name="60% - Accent3 12 3" xfId="1435" xr:uid="{00000000-0005-0000-0000-000095050000}"/>
    <cellStyle name="60% - Accent3 13" xfId="1436" xr:uid="{00000000-0005-0000-0000-000096050000}"/>
    <cellStyle name="60% - Accent3 13 2" xfId="1437" xr:uid="{00000000-0005-0000-0000-000097050000}"/>
    <cellStyle name="60% - Accent3 13 3" xfId="1438" xr:uid="{00000000-0005-0000-0000-000098050000}"/>
    <cellStyle name="60% - Accent3 14" xfId="1439" xr:uid="{00000000-0005-0000-0000-000099050000}"/>
    <cellStyle name="60% - Accent3 14 2" xfId="1440" xr:uid="{00000000-0005-0000-0000-00009A050000}"/>
    <cellStyle name="60% - Accent3 14 3" xfId="1441" xr:uid="{00000000-0005-0000-0000-00009B050000}"/>
    <cellStyle name="60% - Accent3 15" xfId="1442" xr:uid="{00000000-0005-0000-0000-00009C050000}"/>
    <cellStyle name="60% - Accent3 15 2" xfId="1443" xr:uid="{00000000-0005-0000-0000-00009D050000}"/>
    <cellStyle name="60% - Accent3 15 3" xfId="1444" xr:uid="{00000000-0005-0000-0000-00009E050000}"/>
    <cellStyle name="60% - Accent3 16" xfId="1445" xr:uid="{00000000-0005-0000-0000-00009F050000}"/>
    <cellStyle name="60% - Accent3 16 2" xfId="1446" xr:uid="{00000000-0005-0000-0000-0000A0050000}"/>
    <cellStyle name="60% - Accent3 16 3" xfId="1447" xr:uid="{00000000-0005-0000-0000-0000A1050000}"/>
    <cellStyle name="60% - Accent3 17" xfId="1448" xr:uid="{00000000-0005-0000-0000-0000A2050000}"/>
    <cellStyle name="60% - Accent3 17 2" xfId="1449" xr:uid="{00000000-0005-0000-0000-0000A3050000}"/>
    <cellStyle name="60% - Accent3 17 3" xfId="1450" xr:uid="{00000000-0005-0000-0000-0000A4050000}"/>
    <cellStyle name="60% - Accent3 18" xfId="1451" xr:uid="{00000000-0005-0000-0000-0000A5050000}"/>
    <cellStyle name="60% - Accent3 18 2" xfId="1452" xr:uid="{00000000-0005-0000-0000-0000A6050000}"/>
    <cellStyle name="60% - Accent3 18 3" xfId="1453" xr:uid="{00000000-0005-0000-0000-0000A7050000}"/>
    <cellStyle name="60% - Accent3 19" xfId="1454" xr:uid="{00000000-0005-0000-0000-0000A8050000}"/>
    <cellStyle name="60% - Accent3 19 2" xfId="1455" xr:uid="{00000000-0005-0000-0000-0000A9050000}"/>
    <cellStyle name="60% - Accent3 19 3" xfId="1456" xr:uid="{00000000-0005-0000-0000-0000AA050000}"/>
    <cellStyle name="60% - Accent3 2" xfId="1457" xr:uid="{00000000-0005-0000-0000-0000AB050000}"/>
    <cellStyle name="60% - Accent3 2 2" xfId="1458" xr:uid="{00000000-0005-0000-0000-0000AC050000}"/>
    <cellStyle name="60% - Accent3 2 2 2" xfId="1459" xr:uid="{00000000-0005-0000-0000-0000AD050000}"/>
    <cellStyle name="60% - Accent3 2 2 3" xfId="1460" xr:uid="{00000000-0005-0000-0000-0000AE050000}"/>
    <cellStyle name="60% - Accent3 2 3" xfId="1461" xr:uid="{00000000-0005-0000-0000-0000AF050000}"/>
    <cellStyle name="60% - Accent3 2 3 2" xfId="1462" xr:uid="{00000000-0005-0000-0000-0000B0050000}"/>
    <cellStyle name="60% - Accent3 2 3 3" xfId="1463" xr:uid="{00000000-0005-0000-0000-0000B1050000}"/>
    <cellStyle name="60% - Accent3 2 4" xfId="1464" xr:uid="{00000000-0005-0000-0000-0000B2050000}"/>
    <cellStyle name="60% - Accent3 2 5" xfId="1465" xr:uid="{00000000-0005-0000-0000-0000B3050000}"/>
    <cellStyle name="60% - Accent3 2_TOTAL OB COAL" xfId="1466" xr:uid="{00000000-0005-0000-0000-0000B4050000}"/>
    <cellStyle name="60% - Accent3 20" xfId="1467" xr:uid="{00000000-0005-0000-0000-0000B5050000}"/>
    <cellStyle name="60% - Accent3 20 2" xfId="1468" xr:uid="{00000000-0005-0000-0000-0000B6050000}"/>
    <cellStyle name="60% - Accent3 20 3" xfId="1469" xr:uid="{00000000-0005-0000-0000-0000B7050000}"/>
    <cellStyle name="60% - Accent3 21" xfId="1470" xr:uid="{00000000-0005-0000-0000-0000B8050000}"/>
    <cellStyle name="60% - Accent3 21 2" xfId="1471" xr:uid="{00000000-0005-0000-0000-0000B9050000}"/>
    <cellStyle name="60% - Accent3 21 3" xfId="1472" xr:uid="{00000000-0005-0000-0000-0000BA050000}"/>
    <cellStyle name="60% - Accent3 22" xfId="1473" xr:uid="{00000000-0005-0000-0000-0000BB050000}"/>
    <cellStyle name="60% - Accent3 22 2" xfId="1474" xr:uid="{00000000-0005-0000-0000-0000BC050000}"/>
    <cellStyle name="60% - Accent3 22 3" xfId="1475" xr:uid="{00000000-0005-0000-0000-0000BD050000}"/>
    <cellStyle name="60% - Accent3 23" xfId="1476" xr:uid="{00000000-0005-0000-0000-0000BE050000}"/>
    <cellStyle name="60% - Accent3 23 2" xfId="1477" xr:uid="{00000000-0005-0000-0000-0000BF050000}"/>
    <cellStyle name="60% - Accent3 23 3" xfId="1478" xr:uid="{00000000-0005-0000-0000-0000C0050000}"/>
    <cellStyle name="60% - Accent3 24" xfId="1479" xr:uid="{00000000-0005-0000-0000-0000C1050000}"/>
    <cellStyle name="60% - Accent3 24 2" xfId="1480" xr:uid="{00000000-0005-0000-0000-0000C2050000}"/>
    <cellStyle name="60% - Accent3 24 3" xfId="1481" xr:uid="{00000000-0005-0000-0000-0000C3050000}"/>
    <cellStyle name="60% - Accent3 25" xfId="1482" xr:uid="{00000000-0005-0000-0000-0000C4050000}"/>
    <cellStyle name="60% - Accent3 25 2" xfId="1483" xr:uid="{00000000-0005-0000-0000-0000C5050000}"/>
    <cellStyle name="60% - Accent3 25 3" xfId="1484" xr:uid="{00000000-0005-0000-0000-0000C6050000}"/>
    <cellStyle name="60% - Accent3 26" xfId="1485" xr:uid="{00000000-0005-0000-0000-0000C7050000}"/>
    <cellStyle name="60% - Accent3 26 2" xfId="1486" xr:uid="{00000000-0005-0000-0000-0000C8050000}"/>
    <cellStyle name="60% - Accent3 26 3" xfId="1487" xr:uid="{00000000-0005-0000-0000-0000C9050000}"/>
    <cellStyle name="60% - Accent3 27" xfId="1488" xr:uid="{00000000-0005-0000-0000-0000CA050000}"/>
    <cellStyle name="60% - Accent3 27 2" xfId="1489" xr:uid="{00000000-0005-0000-0000-0000CB050000}"/>
    <cellStyle name="60% - Accent3 27 3" xfId="1490" xr:uid="{00000000-0005-0000-0000-0000CC050000}"/>
    <cellStyle name="60% - Accent3 3" xfId="1491" xr:uid="{00000000-0005-0000-0000-0000CD050000}"/>
    <cellStyle name="60% - Accent3 3 2" xfId="1492" xr:uid="{00000000-0005-0000-0000-0000CE050000}"/>
    <cellStyle name="60% - Accent3 3 3" xfId="1493" xr:uid="{00000000-0005-0000-0000-0000CF050000}"/>
    <cellStyle name="60% - Accent3 4" xfId="1494" xr:uid="{00000000-0005-0000-0000-0000D0050000}"/>
    <cellStyle name="60% - Accent3 4 2" xfId="1495" xr:uid="{00000000-0005-0000-0000-0000D1050000}"/>
    <cellStyle name="60% - Accent3 4 3" xfId="1496" xr:uid="{00000000-0005-0000-0000-0000D2050000}"/>
    <cellStyle name="60% - Accent3 5" xfId="1497" xr:uid="{00000000-0005-0000-0000-0000D3050000}"/>
    <cellStyle name="60% - Accent3 5 2" xfId="1498" xr:uid="{00000000-0005-0000-0000-0000D4050000}"/>
    <cellStyle name="60% - Accent3 5 3" xfId="1499" xr:uid="{00000000-0005-0000-0000-0000D5050000}"/>
    <cellStyle name="60% - Accent3 6" xfId="1500" xr:uid="{00000000-0005-0000-0000-0000D6050000}"/>
    <cellStyle name="60% - Accent3 6 2" xfId="1501" xr:uid="{00000000-0005-0000-0000-0000D7050000}"/>
    <cellStyle name="60% - Accent3 6 3" xfId="1502" xr:uid="{00000000-0005-0000-0000-0000D8050000}"/>
    <cellStyle name="60% - Accent3 7" xfId="1503" xr:uid="{00000000-0005-0000-0000-0000D9050000}"/>
    <cellStyle name="60% - Accent3 7 2" xfId="1504" xr:uid="{00000000-0005-0000-0000-0000DA050000}"/>
    <cellStyle name="60% - Accent3 7 3" xfId="1505" xr:uid="{00000000-0005-0000-0000-0000DB050000}"/>
    <cellStyle name="60% - Accent3 8" xfId="1506" xr:uid="{00000000-0005-0000-0000-0000DC050000}"/>
    <cellStyle name="60% - Accent3 8 2" xfId="1507" xr:uid="{00000000-0005-0000-0000-0000DD050000}"/>
    <cellStyle name="60% - Accent3 8 3" xfId="1508" xr:uid="{00000000-0005-0000-0000-0000DE050000}"/>
    <cellStyle name="60% - Accent3 9" xfId="1509" xr:uid="{00000000-0005-0000-0000-0000DF050000}"/>
    <cellStyle name="60% - Accent3 9 2" xfId="1510" xr:uid="{00000000-0005-0000-0000-0000E0050000}"/>
    <cellStyle name="60% - Accent3 9 3" xfId="1511" xr:uid="{00000000-0005-0000-0000-0000E1050000}"/>
    <cellStyle name="60% - Accent4 10" xfId="1512" xr:uid="{00000000-0005-0000-0000-0000E2050000}"/>
    <cellStyle name="60% - Accent4 10 2" xfId="1513" xr:uid="{00000000-0005-0000-0000-0000E3050000}"/>
    <cellStyle name="60% - Accent4 10 3" xfId="1514" xr:uid="{00000000-0005-0000-0000-0000E4050000}"/>
    <cellStyle name="60% - Accent4 11" xfId="1515" xr:uid="{00000000-0005-0000-0000-0000E5050000}"/>
    <cellStyle name="60% - Accent4 11 2" xfId="1516" xr:uid="{00000000-0005-0000-0000-0000E6050000}"/>
    <cellStyle name="60% - Accent4 11 3" xfId="1517" xr:uid="{00000000-0005-0000-0000-0000E7050000}"/>
    <cellStyle name="60% - Accent4 12" xfId="1518" xr:uid="{00000000-0005-0000-0000-0000E8050000}"/>
    <cellStyle name="60% - Accent4 12 2" xfId="1519" xr:uid="{00000000-0005-0000-0000-0000E9050000}"/>
    <cellStyle name="60% - Accent4 12 3" xfId="1520" xr:uid="{00000000-0005-0000-0000-0000EA050000}"/>
    <cellStyle name="60% - Accent4 13" xfId="1521" xr:uid="{00000000-0005-0000-0000-0000EB050000}"/>
    <cellStyle name="60% - Accent4 13 2" xfId="1522" xr:uid="{00000000-0005-0000-0000-0000EC050000}"/>
    <cellStyle name="60% - Accent4 13 3" xfId="1523" xr:uid="{00000000-0005-0000-0000-0000ED050000}"/>
    <cellStyle name="60% - Accent4 14" xfId="1524" xr:uid="{00000000-0005-0000-0000-0000EE050000}"/>
    <cellStyle name="60% - Accent4 14 2" xfId="1525" xr:uid="{00000000-0005-0000-0000-0000EF050000}"/>
    <cellStyle name="60% - Accent4 14 3" xfId="1526" xr:uid="{00000000-0005-0000-0000-0000F0050000}"/>
    <cellStyle name="60% - Accent4 15" xfId="1527" xr:uid="{00000000-0005-0000-0000-0000F1050000}"/>
    <cellStyle name="60% - Accent4 15 2" xfId="1528" xr:uid="{00000000-0005-0000-0000-0000F2050000}"/>
    <cellStyle name="60% - Accent4 15 3" xfId="1529" xr:uid="{00000000-0005-0000-0000-0000F3050000}"/>
    <cellStyle name="60% - Accent4 16" xfId="1530" xr:uid="{00000000-0005-0000-0000-0000F4050000}"/>
    <cellStyle name="60% - Accent4 16 2" xfId="1531" xr:uid="{00000000-0005-0000-0000-0000F5050000}"/>
    <cellStyle name="60% - Accent4 16 3" xfId="1532" xr:uid="{00000000-0005-0000-0000-0000F6050000}"/>
    <cellStyle name="60% - Accent4 17" xfId="1533" xr:uid="{00000000-0005-0000-0000-0000F7050000}"/>
    <cellStyle name="60% - Accent4 17 2" xfId="1534" xr:uid="{00000000-0005-0000-0000-0000F8050000}"/>
    <cellStyle name="60% - Accent4 17 3" xfId="1535" xr:uid="{00000000-0005-0000-0000-0000F9050000}"/>
    <cellStyle name="60% - Accent4 18" xfId="1536" xr:uid="{00000000-0005-0000-0000-0000FA050000}"/>
    <cellStyle name="60% - Accent4 18 2" xfId="1537" xr:uid="{00000000-0005-0000-0000-0000FB050000}"/>
    <cellStyle name="60% - Accent4 18 3" xfId="1538" xr:uid="{00000000-0005-0000-0000-0000FC050000}"/>
    <cellStyle name="60% - Accent4 19" xfId="1539" xr:uid="{00000000-0005-0000-0000-0000FD050000}"/>
    <cellStyle name="60% - Accent4 19 2" xfId="1540" xr:uid="{00000000-0005-0000-0000-0000FE050000}"/>
    <cellStyle name="60% - Accent4 19 3" xfId="1541" xr:uid="{00000000-0005-0000-0000-0000FF050000}"/>
    <cellStyle name="60% - Accent4 2" xfId="1542" xr:uid="{00000000-0005-0000-0000-000000060000}"/>
    <cellStyle name="60% - Accent4 2 2" xfId="1543" xr:uid="{00000000-0005-0000-0000-000001060000}"/>
    <cellStyle name="60% - Accent4 2 2 2" xfId="1544" xr:uid="{00000000-0005-0000-0000-000002060000}"/>
    <cellStyle name="60% - Accent4 2 2 3" xfId="1545" xr:uid="{00000000-0005-0000-0000-000003060000}"/>
    <cellStyle name="60% - Accent4 2 3" xfId="1546" xr:uid="{00000000-0005-0000-0000-000004060000}"/>
    <cellStyle name="60% - Accent4 2 3 2" xfId="1547" xr:uid="{00000000-0005-0000-0000-000005060000}"/>
    <cellStyle name="60% - Accent4 2 3 3" xfId="1548" xr:uid="{00000000-0005-0000-0000-000006060000}"/>
    <cellStyle name="60% - Accent4 2 4" xfId="1549" xr:uid="{00000000-0005-0000-0000-000007060000}"/>
    <cellStyle name="60% - Accent4 2 5" xfId="1550" xr:uid="{00000000-0005-0000-0000-000008060000}"/>
    <cellStyle name="60% - Accent4 2_TOTAL OB COAL" xfId="1551" xr:uid="{00000000-0005-0000-0000-000009060000}"/>
    <cellStyle name="60% - Accent4 20" xfId="1552" xr:uid="{00000000-0005-0000-0000-00000A060000}"/>
    <cellStyle name="60% - Accent4 20 2" xfId="1553" xr:uid="{00000000-0005-0000-0000-00000B060000}"/>
    <cellStyle name="60% - Accent4 20 3" xfId="1554" xr:uid="{00000000-0005-0000-0000-00000C060000}"/>
    <cellStyle name="60% - Accent4 21" xfId="1555" xr:uid="{00000000-0005-0000-0000-00000D060000}"/>
    <cellStyle name="60% - Accent4 21 2" xfId="1556" xr:uid="{00000000-0005-0000-0000-00000E060000}"/>
    <cellStyle name="60% - Accent4 21 3" xfId="1557" xr:uid="{00000000-0005-0000-0000-00000F060000}"/>
    <cellStyle name="60% - Accent4 22" xfId="1558" xr:uid="{00000000-0005-0000-0000-000010060000}"/>
    <cellStyle name="60% - Accent4 22 2" xfId="1559" xr:uid="{00000000-0005-0000-0000-000011060000}"/>
    <cellStyle name="60% - Accent4 22 3" xfId="1560" xr:uid="{00000000-0005-0000-0000-000012060000}"/>
    <cellStyle name="60% - Accent4 23" xfId="1561" xr:uid="{00000000-0005-0000-0000-000013060000}"/>
    <cellStyle name="60% - Accent4 23 2" xfId="1562" xr:uid="{00000000-0005-0000-0000-000014060000}"/>
    <cellStyle name="60% - Accent4 23 3" xfId="1563" xr:uid="{00000000-0005-0000-0000-000015060000}"/>
    <cellStyle name="60% - Accent4 24" xfId="1564" xr:uid="{00000000-0005-0000-0000-000016060000}"/>
    <cellStyle name="60% - Accent4 24 2" xfId="1565" xr:uid="{00000000-0005-0000-0000-000017060000}"/>
    <cellStyle name="60% - Accent4 24 3" xfId="1566" xr:uid="{00000000-0005-0000-0000-000018060000}"/>
    <cellStyle name="60% - Accent4 25" xfId="1567" xr:uid="{00000000-0005-0000-0000-000019060000}"/>
    <cellStyle name="60% - Accent4 25 2" xfId="1568" xr:uid="{00000000-0005-0000-0000-00001A060000}"/>
    <cellStyle name="60% - Accent4 25 3" xfId="1569" xr:uid="{00000000-0005-0000-0000-00001B060000}"/>
    <cellStyle name="60% - Accent4 26" xfId="1570" xr:uid="{00000000-0005-0000-0000-00001C060000}"/>
    <cellStyle name="60% - Accent4 26 2" xfId="1571" xr:uid="{00000000-0005-0000-0000-00001D060000}"/>
    <cellStyle name="60% - Accent4 26 3" xfId="1572" xr:uid="{00000000-0005-0000-0000-00001E060000}"/>
    <cellStyle name="60% - Accent4 27" xfId="1573" xr:uid="{00000000-0005-0000-0000-00001F060000}"/>
    <cellStyle name="60% - Accent4 27 2" xfId="1574" xr:uid="{00000000-0005-0000-0000-000020060000}"/>
    <cellStyle name="60% - Accent4 27 3" xfId="1575" xr:uid="{00000000-0005-0000-0000-000021060000}"/>
    <cellStyle name="60% - Accent4 3" xfId="1576" xr:uid="{00000000-0005-0000-0000-000022060000}"/>
    <cellStyle name="60% - Accent4 3 2" xfId="1577" xr:uid="{00000000-0005-0000-0000-000023060000}"/>
    <cellStyle name="60% - Accent4 3 3" xfId="1578" xr:uid="{00000000-0005-0000-0000-000024060000}"/>
    <cellStyle name="60% - Accent4 4" xfId="1579" xr:uid="{00000000-0005-0000-0000-000025060000}"/>
    <cellStyle name="60% - Accent4 4 2" xfId="1580" xr:uid="{00000000-0005-0000-0000-000026060000}"/>
    <cellStyle name="60% - Accent4 4 3" xfId="1581" xr:uid="{00000000-0005-0000-0000-000027060000}"/>
    <cellStyle name="60% - Accent4 5" xfId="1582" xr:uid="{00000000-0005-0000-0000-000028060000}"/>
    <cellStyle name="60% - Accent4 5 2" xfId="1583" xr:uid="{00000000-0005-0000-0000-000029060000}"/>
    <cellStyle name="60% - Accent4 5 3" xfId="1584" xr:uid="{00000000-0005-0000-0000-00002A060000}"/>
    <cellStyle name="60% - Accent4 6" xfId="1585" xr:uid="{00000000-0005-0000-0000-00002B060000}"/>
    <cellStyle name="60% - Accent4 6 2" xfId="1586" xr:uid="{00000000-0005-0000-0000-00002C060000}"/>
    <cellStyle name="60% - Accent4 6 3" xfId="1587" xr:uid="{00000000-0005-0000-0000-00002D060000}"/>
    <cellStyle name="60% - Accent4 7" xfId="1588" xr:uid="{00000000-0005-0000-0000-00002E060000}"/>
    <cellStyle name="60% - Accent4 7 2" xfId="1589" xr:uid="{00000000-0005-0000-0000-00002F060000}"/>
    <cellStyle name="60% - Accent4 7 3" xfId="1590" xr:uid="{00000000-0005-0000-0000-000030060000}"/>
    <cellStyle name="60% - Accent4 8" xfId="1591" xr:uid="{00000000-0005-0000-0000-000031060000}"/>
    <cellStyle name="60% - Accent4 8 2" xfId="1592" xr:uid="{00000000-0005-0000-0000-000032060000}"/>
    <cellStyle name="60% - Accent4 8 3" xfId="1593" xr:uid="{00000000-0005-0000-0000-000033060000}"/>
    <cellStyle name="60% - Accent4 9" xfId="1594" xr:uid="{00000000-0005-0000-0000-000034060000}"/>
    <cellStyle name="60% - Accent4 9 2" xfId="1595" xr:uid="{00000000-0005-0000-0000-000035060000}"/>
    <cellStyle name="60% - Accent4 9 3" xfId="1596" xr:uid="{00000000-0005-0000-0000-000036060000}"/>
    <cellStyle name="60% - Accent5 10" xfId="1597" xr:uid="{00000000-0005-0000-0000-000037060000}"/>
    <cellStyle name="60% - Accent5 10 2" xfId="1598" xr:uid="{00000000-0005-0000-0000-000038060000}"/>
    <cellStyle name="60% - Accent5 10 3" xfId="1599" xr:uid="{00000000-0005-0000-0000-000039060000}"/>
    <cellStyle name="60% - Accent5 11" xfId="1600" xr:uid="{00000000-0005-0000-0000-00003A060000}"/>
    <cellStyle name="60% - Accent5 11 2" xfId="1601" xr:uid="{00000000-0005-0000-0000-00003B060000}"/>
    <cellStyle name="60% - Accent5 11 3" xfId="1602" xr:uid="{00000000-0005-0000-0000-00003C060000}"/>
    <cellStyle name="60% - Accent5 12" xfId="1603" xr:uid="{00000000-0005-0000-0000-00003D060000}"/>
    <cellStyle name="60% - Accent5 12 2" xfId="1604" xr:uid="{00000000-0005-0000-0000-00003E060000}"/>
    <cellStyle name="60% - Accent5 12 3" xfId="1605" xr:uid="{00000000-0005-0000-0000-00003F060000}"/>
    <cellStyle name="60% - Accent5 13" xfId="1606" xr:uid="{00000000-0005-0000-0000-000040060000}"/>
    <cellStyle name="60% - Accent5 13 2" xfId="1607" xr:uid="{00000000-0005-0000-0000-000041060000}"/>
    <cellStyle name="60% - Accent5 13 3" xfId="1608" xr:uid="{00000000-0005-0000-0000-000042060000}"/>
    <cellStyle name="60% - Accent5 14" xfId="1609" xr:uid="{00000000-0005-0000-0000-000043060000}"/>
    <cellStyle name="60% - Accent5 14 2" xfId="1610" xr:uid="{00000000-0005-0000-0000-000044060000}"/>
    <cellStyle name="60% - Accent5 14 3" xfId="1611" xr:uid="{00000000-0005-0000-0000-000045060000}"/>
    <cellStyle name="60% - Accent5 15" xfId="1612" xr:uid="{00000000-0005-0000-0000-000046060000}"/>
    <cellStyle name="60% - Accent5 15 2" xfId="1613" xr:uid="{00000000-0005-0000-0000-000047060000}"/>
    <cellStyle name="60% - Accent5 15 3" xfId="1614" xr:uid="{00000000-0005-0000-0000-000048060000}"/>
    <cellStyle name="60% - Accent5 16" xfId="1615" xr:uid="{00000000-0005-0000-0000-000049060000}"/>
    <cellStyle name="60% - Accent5 16 2" xfId="1616" xr:uid="{00000000-0005-0000-0000-00004A060000}"/>
    <cellStyle name="60% - Accent5 16 3" xfId="1617" xr:uid="{00000000-0005-0000-0000-00004B060000}"/>
    <cellStyle name="60% - Accent5 17" xfId="1618" xr:uid="{00000000-0005-0000-0000-00004C060000}"/>
    <cellStyle name="60% - Accent5 17 2" xfId="1619" xr:uid="{00000000-0005-0000-0000-00004D060000}"/>
    <cellStyle name="60% - Accent5 17 3" xfId="1620" xr:uid="{00000000-0005-0000-0000-00004E060000}"/>
    <cellStyle name="60% - Accent5 18" xfId="1621" xr:uid="{00000000-0005-0000-0000-00004F060000}"/>
    <cellStyle name="60% - Accent5 18 2" xfId="1622" xr:uid="{00000000-0005-0000-0000-000050060000}"/>
    <cellStyle name="60% - Accent5 18 3" xfId="1623" xr:uid="{00000000-0005-0000-0000-000051060000}"/>
    <cellStyle name="60% - Accent5 19" xfId="1624" xr:uid="{00000000-0005-0000-0000-000052060000}"/>
    <cellStyle name="60% - Accent5 19 2" xfId="1625" xr:uid="{00000000-0005-0000-0000-000053060000}"/>
    <cellStyle name="60% - Accent5 19 3" xfId="1626" xr:uid="{00000000-0005-0000-0000-000054060000}"/>
    <cellStyle name="60% - Accent5 2" xfId="1627" xr:uid="{00000000-0005-0000-0000-000055060000}"/>
    <cellStyle name="60% - Accent5 2 2" xfId="1628" xr:uid="{00000000-0005-0000-0000-000056060000}"/>
    <cellStyle name="60% - Accent5 2 2 2" xfId="1629" xr:uid="{00000000-0005-0000-0000-000057060000}"/>
    <cellStyle name="60% - Accent5 2 2 3" xfId="1630" xr:uid="{00000000-0005-0000-0000-000058060000}"/>
    <cellStyle name="60% - Accent5 2 3" xfId="1631" xr:uid="{00000000-0005-0000-0000-000059060000}"/>
    <cellStyle name="60% - Accent5 2 3 2" xfId="1632" xr:uid="{00000000-0005-0000-0000-00005A060000}"/>
    <cellStyle name="60% - Accent5 2 3 3" xfId="1633" xr:uid="{00000000-0005-0000-0000-00005B060000}"/>
    <cellStyle name="60% - Accent5 2 4" xfId="1634" xr:uid="{00000000-0005-0000-0000-00005C060000}"/>
    <cellStyle name="60% - Accent5 2 5" xfId="1635" xr:uid="{00000000-0005-0000-0000-00005D060000}"/>
    <cellStyle name="60% - Accent5 20" xfId="1636" xr:uid="{00000000-0005-0000-0000-00005E060000}"/>
    <cellStyle name="60% - Accent5 20 2" xfId="1637" xr:uid="{00000000-0005-0000-0000-00005F060000}"/>
    <cellStyle name="60% - Accent5 20 3" xfId="1638" xr:uid="{00000000-0005-0000-0000-000060060000}"/>
    <cellStyle name="60% - Accent5 21" xfId="1639" xr:uid="{00000000-0005-0000-0000-000061060000}"/>
    <cellStyle name="60% - Accent5 21 2" xfId="1640" xr:uid="{00000000-0005-0000-0000-000062060000}"/>
    <cellStyle name="60% - Accent5 21 3" xfId="1641" xr:uid="{00000000-0005-0000-0000-000063060000}"/>
    <cellStyle name="60% - Accent5 22" xfId="1642" xr:uid="{00000000-0005-0000-0000-000064060000}"/>
    <cellStyle name="60% - Accent5 22 2" xfId="1643" xr:uid="{00000000-0005-0000-0000-000065060000}"/>
    <cellStyle name="60% - Accent5 22 3" xfId="1644" xr:uid="{00000000-0005-0000-0000-000066060000}"/>
    <cellStyle name="60% - Accent5 23" xfId="1645" xr:uid="{00000000-0005-0000-0000-000067060000}"/>
    <cellStyle name="60% - Accent5 23 2" xfId="1646" xr:uid="{00000000-0005-0000-0000-000068060000}"/>
    <cellStyle name="60% - Accent5 23 3" xfId="1647" xr:uid="{00000000-0005-0000-0000-000069060000}"/>
    <cellStyle name="60% - Accent5 24" xfId="1648" xr:uid="{00000000-0005-0000-0000-00006A060000}"/>
    <cellStyle name="60% - Accent5 24 2" xfId="1649" xr:uid="{00000000-0005-0000-0000-00006B060000}"/>
    <cellStyle name="60% - Accent5 24 3" xfId="1650" xr:uid="{00000000-0005-0000-0000-00006C060000}"/>
    <cellStyle name="60% - Accent5 25" xfId="1651" xr:uid="{00000000-0005-0000-0000-00006D060000}"/>
    <cellStyle name="60% - Accent5 25 2" xfId="1652" xr:uid="{00000000-0005-0000-0000-00006E060000}"/>
    <cellStyle name="60% - Accent5 25 3" xfId="1653" xr:uid="{00000000-0005-0000-0000-00006F060000}"/>
    <cellStyle name="60% - Accent5 26" xfId="1654" xr:uid="{00000000-0005-0000-0000-000070060000}"/>
    <cellStyle name="60% - Accent5 26 2" xfId="1655" xr:uid="{00000000-0005-0000-0000-000071060000}"/>
    <cellStyle name="60% - Accent5 26 3" xfId="1656" xr:uid="{00000000-0005-0000-0000-000072060000}"/>
    <cellStyle name="60% - Accent5 27" xfId="1657" xr:uid="{00000000-0005-0000-0000-000073060000}"/>
    <cellStyle name="60% - Accent5 27 2" xfId="1658" xr:uid="{00000000-0005-0000-0000-000074060000}"/>
    <cellStyle name="60% - Accent5 27 3" xfId="1659" xr:uid="{00000000-0005-0000-0000-000075060000}"/>
    <cellStyle name="60% - Accent5 3" xfId="1660" xr:uid="{00000000-0005-0000-0000-000076060000}"/>
    <cellStyle name="60% - Accent5 3 2" xfId="1661" xr:uid="{00000000-0005-0000-0000-000077060000}"/>
    <cellStyle name="60% - Accent5 3 3" xfId="1662" xr:uid="{00000000-0005-0000-0000-000078060000}"/>
    <cellStyle name="60% - Accent5 4" xfId="1663" xr:uid="{00000000-0005-0000-0000-000079060000}"/>
    <cellStyle name="60% - Accent5 4 2" xfId="1664" xr:uid="{00000000-0005-0000-0000-00007A060000}"/>
    <cellStyle name="60% - Accent5 4 3" xfId="1665" xr:uid="{00000000-0005-0000-0000-00007B060000}"/>
    <cellStyle name="60% - Accent5 5" xfId="1666" xr:uid="{00000000-0005-0000-0000-00007C060000}"/>
    <cellStyle name="60% - Accent5 5 2" xfId="1667" xr:uid="{00000000-0005-0000-0000-00007D060000}"/>
    <cellStyle name="60% - Accent5 5 3" xfId="1668" xr:uid="{00000000-0005-0000-0000-00007E060000}"/>
    <cellStyle name="60% - Accent5 6" xfId="1669" xr:uid="{00000000-0005-0000-0000-00007F060000}"/>
    <cellStyle name="60% - Accent5 6 2" xfId="1670" xr:uid="{00000000-0005-0000-0000-000080060000}"/>
    <cellStyle name="60% - Accent5 6 3" xfId="1671" xr:uid="{00000000-0005-0000-0000-000081060000}"/>
    <cellStyle name="60% - Accent5 7" xfId="1672" xr:uid="{00000000-0005-0000-0000-000082060000}"/>
    <cellStyle name="60% - Accent5 7 2" xfId="1673" xr:uid="{00000000-0005-0000-0000-000083060000}"/>
    <cellStyle name="60% - Accent5 7 3" xfId="1674" xr:uid="{00000000-0005-0000-0000-000084060000}"/>
    <cellStyle name="60% - Accent5 8" xfId="1675" xr:uid="{00000000-0005-0000-0000-000085060000}"/>
    <cellStyle name="60% - Accent5 8 2" xfId="1676" xr:uid="{00000000-0005-0000-0000-000086060000}"/>
    <cellStyle name="60% - Accent5 8 3" xfId="1677" xr:uid="{00000000-0005-0000-0000-000087060000}"/>
    <cellStyle name="60% - Accent5 9" xfId="1678" xr:uid="{00000000-0005-0000-0000-000088060000}"/>
    <cellStyle name="60% - Accent5 9 2" xfId="1679" xr:uid="{00000000-0005-0000-0000-000089060000}"/>
    <cellStyle name="60% - Accent5 9 3" xfId="1680" xr:uid="{00000000-0005-0000-0000-00008A060000}"/>
    <cellStyle name="60% - Accent6 10" xfId="1681" xr:uid="{00000000-0005-0000-0000-00008B060000}"/>
    <cellStyle name="60% - Accent6 10 2" xfId="1682" xr:uid="{00000000-0005-0000-0000-00008C060000}"/>
    <cellStyle name="60% - Accent6 10 3" xfId="1683" xr:uid="{00000000-0005-0000-0000-00008D060000}"/>
    <cellStyle name="60% - Accent6 11" xfId="1684" xr:uid="{00000000-0005-0000-0000-00008E060000}"/>
    <cellStyle name="60% - Accent6 11 2" xfId="1685" xr:uid="{00000000-0005-0000-0000-00008F060000}"/>
    <cellStyle name="60% - Accent6 11 3" xfId="1686" xr:uid="{00000000-0005-0000-0000-000090060000}"/>
    <cellStyle name="60% - Accent6 12" xfId="1687" xr:uid="{00000000-0005-0000-0000-000091060000}"/>
    <cellStyle name="60% - Accent6 12 2" xfId="1688" xr:uid="{00000000-0005-0000-0000-000092060000}"/>
    <cellStyle name="60% - Accent6 12 3" xfId="1689" xr:uid="{00000000-0005-0000-0000-000093060000}"/>
    <cellStyle name="60% - Accent6 13" xfId="1690" xr:uid="{00000000-0005-0000-0000-000094060000}"/>
    <cellStyle name="60% - Accent6 13 2" xfId="1691" xr:uid="{00000000-0005-0000-0000-000095060000}"/>
    <cellStyle name="60% - Accent6 13 3" xfId="1692" xr:uid="{00000000-0005-0000-0000-000096060000}"/>
    <cellStyle name="60% - Accent6 14" xfId="1693" xr:uid="{00000000-0005-0000-0000-000097060000}"/>
    <cellStyle name="60% - Accent6 14 2" xfId="1694" xr:uid="{00000000-0005-0000-0000-000098060000}"/>
    <cellStyle name="60% - Accent6 14 3" xfId="1695" xr:uid="{00000000-0005-0000-0000-000099060000}"/>
    <cellStyle name="60% - Accent6 15" xfId="1696" xr:uid="{00000000-0005-0000-0000-00009A060000}"/>
    <cellStyle name="60% - Accent6 15 2" xfId="1697" xr:uid="{00000000-0005-0000-0000-00009B060000}"/>
    <cellStyle name="60% - Accent6 15 3" xfId="1698" xr:uid="{00000000-0005-0000-0000-00009C060000}"/>
    <cellStyle name="60% - Accent6 16" xfId="1699" xr:uid="{00000000-0005-0000-0000-00009D060000}"/>
    <cellStyle name="60% - Accent6 16 2" xfId="1700" xr:uid="{00000000-0005-0000-0000-00009E060000}"/>
    <cellStyle name="60% - Accent6 16 3" xfId="1701" xr:uid="{00000000-0005-0000-0000-00009F060000}"/>
    <cellStyle name="60% - Accent6 17" xfId="1702" xr:uid="{00000000-0005-0000-0000-0000A0060000}"/>
    <cellStyle name="60% - Accent6 17 2" xfId="1703" xr:uid="{00000000-0005-0000-0000-0000A1060000}"/>
    <cellStyle name="60% - Accent6 17 3" xfId="1704" xr:uid="{00000000-0005-0000-0000-0000A2060000}"/>
    <cellStyle name="60% - Accent6 18" xfId="1705" xr:uid="{00000000-0005-0000-0000-0000A3060000}"/>
    <cellStyle name="60% - Accent6 18 2" xfId="1706" xr:uid="{00000000-0005-0000-0000-0000A4060000}"/>
    <cellStyle name="60% - Accent6 18 3" xfId="1707" xr:uid="{00000000-0005-0000-0000-0000A5060000}"/>
    <cellStyle name="60% - Accent6 19" xfId="1708" xr:uid="{00000000-0005-0000-0000-0000A6060000}"/>
    <cellStyle name="60% - Accent6 19 2" xfId="1709" xr:uid="{00000000-0005-0000-0000-0000A7060000}"/>
    <cellStyle name="60% - Accent6 19 3" xfId="1710" xr:uid="{00000000-0005-0000-0000-0000A8060000}"/>
    <cellStyle name="60% - Accent6 2" xfId="1711" xr:uid="{00000000-0005-0000-0000-0000A9060000}"/>
    <cellStyle name="60% - Accent6 2 2" xfId="1712" xr:uid="{00000000-0005-0000-0000-0000AA060000}"/>
    <cellStyle name="60% - Accent6 2 2 2" xfId="1713" xr:uid="{00000000-0005-0000-0000-0000AB060000}"/>
    <cellStyle name="60% - Accent6 2 2 3" xfId="1714" xr:uid="{00000000-0005-0000-0000-0000AC060000}"/>
    <cellStyle name="60% - Accent6 2 3" xfId="1715" xr:uid="{00000000-0005-0000-0000-0000AD060000}"/>
    <cellStyle name="60% - Accent6 2 3 2" xfId="1716" xr:uid="{00000000-0005-0000-0000-0000AE060000}"/>
    <cellStyle name="60% - Accent6 2 3 3" xfId="1717" xr:uid="{00000000-0005-0000-0000-0000AF060000}"/>
    <cellStyle name="60% - Accent6 2 4" xfId="1718" xr:uid="{00000000-0005-0000-0000-0000B0060000}"/>
    <cellStyle name="60% - Accent6 2 5" xfId="1719" xr:uid="{00000000-0005-0000-0000-0000B1060000}"/>
    <cellStyle name="60% - Accent6 2_TOTAL OB COAL" xfId="1720" xr:uid="{00000000-0005-0000-0000-0000B2060000}"/>
    <cellStyle name="60% - Accent6 20" xfId="1721" xr:uid="{00000000-0005-0000-0000-0000B3060000}"/>
    <cellStyle name="60% - Accent6 20 2" xfId="1722" xr:uid="{00000000-0005-0000-0000-0000B4060000}"/>
    <cellStyle name="60% - Accent6 20 3" xfId="1723" xr:uid="{00000000-0005-0000-0000-0000B5060000}"/>
    <cellStyle name="60% - Accent6 21" xfId="1724" xr:uid="{00000000-0005-0000-0000-0000B6060000}"/>
    <cellStyle name="60% - Accent6 21 2" xfId="1725" xr:uid="{00000000-0005-0000-0000-0000B7060000}"/>
    <cellStyle name="60% - Accent6 21 3" xfId="1726" xr:uid="{00000000-0005-0000-0000-0000B8060000}"/>
    <cellStyle name="60% - Accent6 22" xfId="1727" xr:uid="{00000000-0005-0000-0000-0000B9060000}"/>
    <cellStyle name="60% - Accent6 22 2" xfId="1728" xr:uid="{00000000-0005-0000-0000-0000BA060000}"/>
    <cellStyle name="60% - Accent6 22 3" xfId="1729" xr:uid="{00000000-0005-0000-0000-0000BB060000}"/>
    <cellStyle name="60% - Accent6 23" xfId="1730" xr:uid="{00000000-0005-0000-0000-0000BC060000}"/>
    <cellStyle name="60% - Accent6 23 2" xfId="1731" xr:uid="{00000000-0005-0000-0000-0000BD060000}"/>
    <cellStyle name="60% - Accent6 23 3" xfId="1732" xr:uid="{00000000-0005-0000-0000-0000BE060000}"/>
    <cellStyle name="60% - Accent6 24" xfId="1733" xr:uid="{00000000-0005-0000-0000-0000BF060000}"/>
    <cellStyle name="60% - Accent6 24 2" xfId="1734" xr:uid="{00000000-0005-0000-0000-0000C0060000}"/>
    <cellStyle name="60% - Accent6 24 3" xfId="1735" xr:uid="{00000000-0005-0000-0000-0000C1060000}"/>
    <cellStyle name="60% - Accent6 25" xfId="1736" xr:uid="{00000000-0005-0000-0000-0000C2060000}"/>
    <cellStyle name="60% - Accent6 25 2" xfId="1737" xr:uid="{00000000-0005-0000-0000-0000C3060000}"/>
    <cellStyle name="60% - Accent6 25 3" xfId="1738" xr:uid="{00000000-0005-0000-0000-0000C4060000}"/>
    <cellStyle name="60% - Accent6 26" xfId="1739" xr:uid="{00000000-0005-0000-0000-0000C5060000}"/>
    <cellStyle name="60% - Accent6 26 2" xfId="1740" xr:uid="{00000000-0005-0000-0000-0000C6060000}"/>
    <cellStyle name="60% - Accent6 26 3" xfId="1741" xr:uid="{00000000-0005-0000-0000-0000C7060000}"/>
    <cellStyle name="60% - Accent6 27" xfId="1742" xr:uid="{00000000-0005-0000-0000-0000C8060000}"/>
    <cellStyle name="60% - Accent6 27 2" xfId="1743" xr:uid="{00000000-0005-0000-0000-0000C9060000}"/>
    <cellStyle name="60% - Accent6 27 3" xfId="1744" xr:uid="{00000000-0005-0000-0000-0000CA060000}"/>
    <cellStyle name="60% - Accent6 3" xfId="1745" xr:uid="{00000000-0005-0000-0000-0000CB060000}"/>
    <cellStyle name="60% - Accent6 3 2" xfId="1746" xr:uid="{00000000-0005-0000-0000-0000CC060000}"/>
    <cellStyle name="60% - Accent6 3 3" xfId="1747" xr:uid="{00000000-0005-0000-0000-0000CD060000}"/>
    <cellStyle name="60% - Accent6 4" xfId="1748" xr:uid="{00000000-0005-0000-0000-0000CE060000}"/>
    <cellStyle name="60% - Accent6 4 2" xfId="1749" xr:uid="{00000000-0005-0000-0000-0000CF060000}"/>
    <cellStyle name="60% - Accent6 4 3" xfId="1750" xr:uid="{00000000-0005-0000-0000-0000D0060000}"/>
    <cellStyle name="60% - Accent6 5" xfId="1751" xr:uid="{00000000-0005-0000-0000-0000D1060000}"/>
    <cellStyle name="60% - Accent6 5 2" xfId="1752" xr:uid="{00000000-0005-0000-0000-0000D2060000}"/>
    <cellStyle name="60% - Accent6 5 3" xfId="1753" xr:uid="{00000000-0005-0000-0000-0000D3060000}"/>
    <cellStyle name="60% - Accent6 6" xfId="1754" xr:uid="{00000000-0005-0000-0000-0000D4060000}"/>
    <cellStyle name="60% - Accent6 6 2" xfId="1755" xr:uid="{00000000-0005-0000-0000-0000D5060000}"/>
    <cellStyle name="60% - Accent6 6 3" xfId="1756" xr:uid="{00000000-0005-0000-0000-0000D6060000}"/>
    <cellStyle name="60% - Accent6 7" xfId="1757" xr:uid="{00000000-0005-0000-0000-0000D7060000}"/>
    <cellStyle name="60% - Accent6 7 2" xfId="1758" xr:uid="{00000000-0005-0000-0000-0000D8060000}"/>
    <cellStyle name="60% - Accent6 7 3" xfId="1759" xr:uid="{00000000-0005-0000-0000-0000D9060000}"/>
    <cellStyle name="60% - Accent6 8" xfId="1760" xr:uid="{00000000-0005-0000-0000-0000DA060000}"/>
    <cellStyle name="60% - Accent6 8 2" xfId="1761" xr:uid="{00000000-0005-0000-0000-0000DB060000}"/>
    <cellStyle name="60% - Accent6 8 3" xfId="1762" xr:uid="{00000000-0005-0000-0000-0000DC060000}"/>
    <cellStyle name="60% - Accent6 9" xfId="1763" xr:uid="{00000000-0005-0000-0000-0000DD060000}"/>
    <cellStyle name="60% - Accent6 9 2" xfId="1764" xr:uid="{00000000-0005-0000-0000-0000DE060000}"/>
    <cellStyle name="60% - Accent6 9 3" xfId="1765" xr:uid="{00000000-0005-0000-0000-0000DF060000}"/>
    <cellStyle name="60% - アクセント 1" xfId="1766" xr:uid="{00000000-0005-0000-0000-0000E0060000}"/>
    <cellStyle name="60% - アクセント 1 2" xfId="1767" xr:uid="{00000000-0005-0000-0000-0000E1060000}"/>
    <cellStyle name="60% - アクセント 2" xfId="1768" xr:uid="{00000000-0005-0000-0000-0000E2060000}"/>
    <cellStyle name="60% - アクセント 2 2" xfId="1769" xr:uid="{00000000-0005-0000-0000-0000E3060000}"/>
    <cellStyle name="60% - アクセント 3" xfId="1770" xr:uid="{00000000-0005-0000-0000-0000E4060000}"/>
    <cellStyle name="60% - アクセント 3 2" xfId="1771" xr:uid="{00000000-0005-0000-0000-0000E5060000}"/>
    <cellStyle name="60% - アクセント 4" xfId="1772" xr:uid="{00000000-0005-0000-0000-0000E6060000}"/>
    <cellStyle name="60% - アクセント 4 2" xfId="1773" xr:uid="{00000000-0005-0000-0000-0000E7060000}"/>
    <cellStyle name="60% - アクセント 5" xfId="1774" xr:uid="{00000000-0005-0000-0000-0000E8060000}"/>
    <cellStyle name="60% - アクセント 5 2" xfId="1775" xr:uid="{00000000-0005-0000-0000-0000E9060000}"/>
    <cellStyle name="60% - アクセント 6" xfId="1776" xr:uid="{00000000-0005-0000-0000-0000EA060000}"/>
    <cellStyle name="60% - アクセント 6 2" xfId="1777" xr:uid="{00000000-0005-0000-0000-0000EB060000}"/>
    <cellStyle name="75" xfId="1778" xr:uid="{00000000-0005-0000-0000-0000EC060000}"/>
    <cellStyle name="86.584" xfId="1779" xr:uid="{00000000-0005-0000-0000-0000ED060000}"/>
    <cellStyle name="a" xfId="1780" xr:uid="{00000000-0005-0000-0000-0000EE060000}"/>
    <cellStyle name="ac" xfId="1781" xr:uid="{00000000-0005-0000-0000-0000EF060000}"/>
    <cellStyle name="Accent1 10" xfId="1782" xr:uid="{00000000-0005-0000-0000-0000F0060000}"/>
    <cellStyle name="Accent1 10 2" xfId="1783" xr:uid="{00000000-0005-0000-0000-0000F1060000}"/>
    <cellStyle name="Accent1 10 3" xfId="1784" xr:uid="{00000000-0005-0000-0000-0000F2060000}"/>
    <cellStyle name="Accent1 11" xfId="1785" xr:uid="{00000000-0005-0000-0000-0000F3060000}"/>
    <cellStyle name="Accent1 11 2" xfId="1786" xr:uid="{00000000-0005-0000-0000-0000F4060000}"/>
    <cellStyle name="Accent1 11 3" xfId="1787" xr:uid="{00000000-0005-0000-0000-0000F5060000}"/>
    <cellStyle name="Accent1 12" xfId="1788" xr:uid="{00000000-0005-0000-0000-0000F6060000}"/>
    <cellStyle name="Accent1 12 2" xfId="1789" xr:uid="{00000000-0005-0000-0000-0000F7060000}"/>
    <cellStyle name="Accent1 12 3" xfId="1790" xr:uid="{00000000-0005-0000-0000-0000F8060000}"/>
    <cellStyle name="Accent1 13" xfId="1791" xr:uid="{00000000-0005-0000-0000-0000F9060000}"/>
    <cellStyle name="Accent1 13 2" xfId="1792" xr:uid="{00000000-0005-0000-0000-0000FA060000}"/>
    <cellStyle name="Accent1 13 3" xfId="1793" xr:uid="{00000000-0005-0000-0000-0000FB060000}"/>
    <cellStyle name="Accent1 14" xfId="1794" xr:uid="{00000000-0005-0000-0000-0000FC060000}"/>
    <cellStyle name="Accent1 14 2" xfId="1795" xr:uid="{00000000-0005-0000-0000-0000FD060000}"/>
    <cellStyle name="Accent1 14 3" xfId="1796" xr:uid="{00000000-0005-0000-0000-0000FE060000}"/>
    <cellStyle name="Accent1 15" xfId="1797" xr:uid="{00000000-0005-0000-0000-0000FF060000}"/>
    <cellStyle name="Accent1 15 2" xfId="1798" xr:uid="{00000000-0005-0000-0000-000000070000}"/>
    <cellStyle name="Accent1 15 3" xfId="1799" xr:uid="{00000000-0005-0000-0000-000001070000}"/>
    <cellStyle name="Accent1 16" xfId="1800" xr:uid="{00000000-0005-0000-0000-000002070000}"/>
    <cellStyle name="Accent1 16 2" xfId="1801" xr:uid="{00000000-0005-0000-0000-000003070000}"/>
    <cellStyle name="Accent1 16 3" xfId="1802" xr:uid="{00000000-0005-0000-0000-000004070000}"/>
    <cellStyle name="Accent1 17" xfId="1803" xr:uid="{00000000-0005-0000-0000-000005070000}"/>
    <cellStyle name="Accent1 17 2" xfId="1804" xr:uid="{00000000-0005-0000-0000-000006070000}"/>
    <cellStyle name="Accent1 17 3" xfId="1805" xr:uid="{00000000-0005-0000-0000-000007070000}"/>
    <cellStyle name="Accent1 18" xfId="1806" xr:uid="{00000000-0005-0000-0000-000008070000}"/>
    <cellStyle name="Accent1 18 2" xfId="1807" xr:uid="{00000000-0005-0000-0000-000009070000}"/>
    <cellStyle name="Accent1 18 3" xfId="1808" xr:uid="{00000000-0005-0000-0000-00000A070000}"/>
    <cellStyle name="Accent1 19" xfId="1809" xr:uid="{00000000-0005-0000-0000-00000B070000}"/>
    <cellStyle name="Accent1 19 2" xfId="1810" xr:uid="{00000000-0005-0000-0000-00000C070000}"/>
    <cellStyle name="Accent1 19 3" xfId="1811" xr:uid="{00000000-0005-0000-0000-00000D070000}"/>
    <cellStyle name="Accent1 2" xfId="1812" xr:uid="{00000000-0005-0000-0000-00000E070000}"/>
    <cellStyle name="Accent1 2 2" xfId="1813" xr:uid="{00000000-0005-0000-0000-00000F070000}"/>
    <cellStyle name="Accent1 2 2 2" xfId="1814" xr:uid="{00000000-0005-0000-0000-000010070000}"/>
    <cellStyle name="Accent1 2 2 3" xfId="1815" xr:uid="{00000000-0005-0000-0000-000011070000}"/>
    <cellStyle name="Accent1 2 3" xfId="1816" xr:uid="{00000000-0005-0000-0000-000012070000}"/>
    <cellStyle name="Accent1 2 3 2" xfId="1817" xr:uid="{00000000-0005-0000-0000-000013070000}"/>
    <cellStyle name="Accent1 2 3 3" xfId="1818" xr:uid="{00000000-0005-0000-0000-000014070000}"/>
    <cellStyle name="Accent1 2 4" xfId="1819" xr:uid="{00000000-0005-0000-0000-000015070000}"/>
    <cellStyle name="Accent1 2 5" xfId="1820" xr:uid="{00000000-0005-0000-0000-000016070000}"/>
    <cellStyle name="Accent1 2_TOTAL OB COAL" xfId="1821" xr:uid="{00000000-0005-0000-0000-000017070000}"/>
    <cellStyle name="Accent1 20" xfId="1822" xr:uid="{00000000-0005-0000-0000-000018070000}"/>
    <cellStyle name="Accent1 20 2" xfId="1823" xr:uid="{00000000-0005-0000-0000-000019070000}"/>
    <cellStyle name="Accent1 20 3" xfId="1824" xr:uid="{00000000-0005-0000-0000-00001A070000}"/>
    <cellStyle name="Accent1 21" xfId="1825" xr:uid="{00000000-0005-0000-0000-00001B070000}"/>
    <cellStyle name="Accent1 21 2" xfId="1826" xr:uid="{00000000-0005-0000-0000-00001C070000}"/>
    <cellStyle name="Accent1 21 3" xfId="1827" xr:uid="{00000000-0005-0000-0000-00001D070000}"/>
    <cellStyle name="Accent1 22" xfId="1828" xr:uid="{00000000-0005-0000-0000-00001E070000}"/>
    <cellStyle name="Accent1 22 2" xfId="1829" xr:uid="{00000000-0005-0000-0000-00001F070000}"/>
    <cellStyle name="Accent1 22 3" xfId="1830" xr:uid="{00000000-0005-0000-0000-000020070000}"/>
    <cellStyle name="Accent1 23" xfId="1831" xr:uid="{00000000-0005-0000-0000-000021070000}"/>
    <cellStyle name="Accent1 23 2" xfId="1832" xr:uid="{00000000-0005-0000-0000-000022070000}"/>
    <cellStyle name="Accent1 23 3" xfId="1833" xr:uid="{00000000-0005-0000-0000-000023070000}"/>
    <cellStyle name="Accent1 24" xfId="1834" xr:uid="{00000000-0005-0000-0000-000024070000}"/>
    <cellStyle name="Accent1 24 2" xfId="1835" xr:uid="{00000000-0005-0000-0000-000025070000}"/>
    <cellStyle name="Accent1 24 3" xfId="1836" xr:uid="{00000000-0005-0000-0000-000026070000}"/>
    <cellStyle name="Accent1 25" xfId="1837" xr:uid="{00000000-0005-0000-0000-000027070000}"/>
    <cellStyle name="Accent1 25 2" xfId="1838" xr:uid="{00000000-0005-0000-0000-000028070000}"/>
    <cellStyle name="Accent1 25 3" xfId="1839" xr:uid="{00000000-0005-0000-0000-000029070000}"/>
    <cellStyle name="Accent1 26" xfId="1840" xr:uid="{00000000-0005-0000-0000-00002A070000}"/>
    <cellStyle name="Accent1 26 2" xfId="1841" xr:uid="{00000000-0005-0000-0000-00002B070000}"/>
    <cellStyle name="Accent1 26 3" xfId="1842" xr:uid="{00000000-0005-0000-0000-00002C070000}"/>
    <cellStyle name="Accent1 27" xfId="1843" xr:uid="{00000000-0005-0000-0000-00002D070000}"/>
    <cellStyle name="Accent1 27 2" xfId="1844" xr:uid="{00000000-0005-0000-0000-00002E070000}"/>
    <cellStyle name="Accent1 27 3" xfId="1845" xr:uid="{00000000-0005-0000-0000-00002F070000}"/>
    <cellStyle name="Accent1 3" xfId="1846" xr:uid="{00000000-0005-0000-0000-000030070000}"/>
    <cellStyle name="Accent1 3 2" xfId="1847" xr:uid="{00000000-0005-0000-0000-000031070000}"/>
    <cellStyle name="Accent1 3 3" xfId="1848" xr:uid="{00000000-0005-0000-0000-000032070000}"/>
    <cellStyle name="Accent1 4" xfId="1849" xr:uid="{00000000-0005-0000-0000-000033070000}"/>
    <cellStyle name="Accent1 4 2" xfId="1850" xr:uid="{00000000-0005-0000-0000-000034070000}"/>
    <cellStyle name="Accent1 4 3" xfId="1851" xr:uid="{00000000-0005-0000-0000-000035070000}"/>
    <cellStyle name="Accent1 5" xfId="1852" xr:uid="{00000000-0005-0000-0000-000036070000}"/>
    <cellStyle name="Accent1 5 2" xfId="1853" xr:uid="{00000000-0005-0000-0000-000037070000}"/>
    <cellStyle name="Accent1 5 3" xfId="1854" xr:uid="{00000000-0005-0000-0000-000038070000}"/>
    <cellStyle name="Accent1 6" xfId="1855" xr:uid="{00000000-0005-0000-0000-000039070000}"/>
    <cellStyle name="Accent1 6 2" xfId="1856" xr:uid="{00000000-0005-0000-0000-00003A070000}"/>
    <cellStyle name="Accent1 6 3" xfId="1857" xr:uid="{00000000-0005-0000-0000-00003B070000}"/>
    <cellStyle name="Accent1 7" xfId="1858" xr:uid="{00000000-0005-0000-0000-00003C070000}"/>
    <cellStyle name="Accent1 7 2" xfId="1859" xr:uid="{00000000-0005-0000-0000-00003D070000}"/>
    <cellStyle name="Accent1 7 3" xfId="1860" xr:uid="{00000000-0005-0000-0000-00003E070000}"/>
    <cellStyle name="Accent1 8" xfId="1861" xr:uid="{00000000-0005-0000-0000-00003F070000}"/>
    <cellStyle name="Accent1 8 2" xfId="1862" xr:uid="{00000000-0005-0000-0000-000040070000}"/>
    <cellStyle name="Accent1 8 3" xfId="1863" xr:uid="{00000000-0005-0000-0000-000041070000}"/>
    <cellStyle name="Accent1 9" xfId="1864" xr:uid="{00000000-0005-0000-0000-000042070000}"/>
    <cellStyle name="Accent1 9 2" xfId="1865" xr:uid="{00000000-0005-0000-0000-000043070000}"/>
    <cellStyle name="Accent1 9 3" xfId="1866" xr:uid="{00000000-0005-0000-0000-000044070000}"/>
    <cellStyle name="Accent2 10" xfId="1867" xr:uid="{00000000-0005-0000-0000-000045070000}"/>
    <cellStyle name="Accent2 10 2" xfId="1868" xr:uid="{00000000-0005-0000-0000-000046070000}"/>
    <cellStyle name="Accent2 10 3" xfId="1869" xr:uid="{00000000-0005-0000-0000-000047070000}"/>
    <cellStyle name="Accent2 11" xfId="1870" xr:uid="{00000000-0005-0000-0000-000048070000}"/>
    <cellStyle name="Accent2 11 2" xfId="1871" xr:uid="{00000000-0005-0000-0000-000049070000}"/>
    <cellStyle name="Accent2 11 3" xfId="1872" xr:uid="{00000000-0005-0000-0000-00004A070000}"/>
    <cellStyle name="Accent2 12" xfId="1873" xr:uid="{00000000-0005-0000-0000-00004B070000}"/>
    <cellStyle name="Accent2 12 2" xfId="1874" xr:uid="{00000000-0005-0000-0000-00004C070000}"/>
    <cellStyle name="Accent2 12 3" xfId="1875" xr:uid="{00000000-0005-0000-0000-00004D070000}"/>
    <cellStyle name="Accent2 13" xfId="1876" xr:uid="{00000000-0005-0000-0000-00004E070000}"/>
    <cellStyle name="Accent2 13 2" xfId="1877" xr:uid="{00000000-0005-0000-0000-00004F070000}"/>
    <cellStyle name="Accent2 13 3" xfId="1878" xr:uid="{00000000-0005-0000-0000-000050070000}"/>
    <cellStyle name="Accent2 14" xfId="1879" xr:uid="{00000000-0005-0000-0000-000051070000}"/>
    <cellStyle name="Accent2 14 2" xfId="1880" xr:uid="{00000000-0005-0000-0000-000052070000}"/>
    <cellStyle name="Accent2 14 3" xfId="1881" xr:uid="{00000000-0005-0000-0000-000053070000}"/>
    <cellStyle name="Accent2 15" xfId="1882" xr:uid="{00000000-0005-0000-0000-000054070000}"/>
    <cellStyle name="Accent2 15 2" xfId="1883" xr:uid="{00000000-0005-0000-0000-000055070000}"/>
    <cellStyle name="Accent2 15 3" xfId="1884" xr:uid="{00000000-0005-0000-0000-000056070000}"/>
    <cellStyle name="Accent2 16" xfId="1885" xr:uid="{00000000-0005-0000-0000-000057070000}"/>
    <cellStyle name="Accent2 16 2" xfId="1886" xr:uid="{00000000-0005-0000-0000-000058070000}"/>
    <cellStyle name="Accent2 16 3" xfId="1887" xr:uid="{00000000-0005-0000-0000-000059070000}"/>
    <cellStyle name="Accent2 17" xfId="1888" xr:uid="{00000000-0005-0000-0000-00005A070000}"/>
    <cellStyle name="Accent2 17 2" xfId="1889" xr:uid="{00000000-0005-0000-0000-00005B070000}"/>
    <cellStyle name="Accent2 17 3" xfId="1890" xr:uid="{00000000-0005-0000-0000-00005C070000}"/>
    <cellStyle name="Accent2 18" xfId="1891" xr:uid="{00000000-0005-0000-0000-00005D070000}"/>
    <cellStyle name="Accent2 18 2" xfId="1892" xr:uid="{00000000-0005-0000-0000-00005E070000}"/>
    <cellStyle name="Accent2 18 3" xfId="1893" xr:uid="{00000000-0005-0000-0000-00005F070000}"/>
    <cellStyle name="Accent2 19" xfId="1894" xr:uid="{00000000-0005-0000-0000-000060070000}"/>
    <cellStyle name="Accent2 19 2" xfId="1895" xr:uid="{00000000-0005-0000-0000-000061070000}"/>
    <cellStyle name="Accent2 19 3" xfId="1896" xr:uid="{00000000-0005-0000-0000-000062070000}"/>
    <cellStyle name="Accent2 2" xfId="1897" xr:uid="{00000000-0005-0000-0000-000063070000}"/>
    <cellStyle name="Accent2 2 2" xfId="1898" xr:uid="{00000000-0005-0000-0000-000064070000}"/>
    <cellStyle name="Accent2 2 2 2" xfId="1899" xr:uid="{00000000-0005-0000-0000-000065070000}"/>
    <cellStyle name="Accent2 2 2 3" xfId="1900" xr:uid="{00000000-0005-0000-0000-000066070000}"/>
    <cellStyle name="Accent2 2 3" xfId="1901" xr:uid="{00000000-0005-0000-0000-000067070000}"/>
    <cellStyle name="Accent2 2 3 2" xfId="1902" xr:uid="{00000000-0005-0000-0000-000068070000}"/>
    <cellStyle name="Accent2 2 3 3" xfId="1903" xr:uid="{00000000-0005-0000-0000-000069070000}"/>
    <cellStyle name="Accent2 2 4" xfId="1904" xr:uid="{00000000-0005-0000-0000-00006A070000}"/>
    <cellStyle name="Accent2 2 5" xfId="1905" xr:uid="{00000000-0005-0000-0000-00006B070000}"/>
    <cellStyle name="Accent2 20" xfId="1906" xr:uid="{00000000-0005-0000-0000-00006C070000}"/>
    <cellStyle name="Accent2 20 2" xfId="1907" xr:uid="{00000000-0005-0000-0000-00006D070000}"/>
    <cellStyle name="Accent2 20 3" xfId="1908" xr:uid="{00000000-0005-0000-0000-00006E070000}"/>
    <cellStyle name="Accent2 21" xfId="1909" xr:uid="{00000000-0005-0000-0000-00006F070000}"/>
    <cellStyle name="Accent2 21 2" xfId="1910" xr:uid="{00000000-0005-0000-0000-000070070000}"/>
    <cellStyle name="Accent2 21 3" xfId="1911" xr:uid="{00000000-0005-0000-0000-000071070000}"/>
    <cellStyle name="Accent2 22" xfId="1912" xr:uid="{00000000-0005-0000-0000-000072070000}"/>
    <cellStyle name="Accent2 22 2" xfId="1913" xr:uid="{00000000-0005-0000-0000-000073070000}"/>
    <cellStyle name="Accent2 22 3" xfId="1914" xr:uid="{00000000-0005-0000-0000-000074070000}"/>
    <cellStyle name="Accent2 23" xfId="1915" xr:uid="{00000000-0005-0000-0000-000075070000}"/>
    <cellStyle name="Accent2 23 2" xfId="1916" xr:uid="{00000000-0005-0000-0000-000076070000}"/>
    <cellStyle name="Accent2 23 3" xfId="1917" xr:uid="{00000000-0005-0000-0000-000077070000}"/>
    <cellStyle name="Accent2 24" xfId="1918" xr:uid="{00000000-0005-0000-0000-000078070000}"/>
    <cellStyle name="Accent2 24 2" xfId="1919" xr:uid="{00000000-0005-0000-0000-000079070000}"/>
    <cellStyle name="Accent2 24 3" xfId="1920" xr:uid="{00000000-0005-0000-0000-00007A070000}"/>
    <cellStyle name="Accent2 25" xfId="1921" xr:uid="{00000000-0005-0000-0000-00007B070000}"/>
    <cellStyle name="Accent2 25 2" xfId="1922" xr:uid="{00000000-0005-0000-0000-00007C070000}"/>
    <cellStyle name="Accent2 25 3" xfId="1923" xr:uid="{00000000-0005-0000-0000-00007D070000}"/>
    <cellStyle name="Accent2 26" xfId="1924" xr:uid="{00000000-0005-0000-0000-00007E070000}"/>
    <cellStyle name="Accent2 26 2" xfId="1925" xr:uid="{00000000-0005-0000-0000-00007F070000}"/>
    <cellStyle name="Accent2 26 3" xfId="1926" xr:uid="{00000000-0005-0000-0000-000080070000}"/>
    <cellStyle name="Accent2 27" xfId="1927" xr:uid="{00000000-0005-0000-0000-000081070000}"/>
    <cellStyle name="Accent2 27 2" xfId="1928" xr:uid="{00000000-0005-0000-0000-000082070000}"/>
    <cellStyle name="Accent2 27 3" xfId="1929" xr:uid="{00000000-0005-0000-0000-000083070000}"/>
    <cellStyle name="Accent2 3" xfId="1930" xr:uid="{00000000-0005-0000-0000-000084070000}"/>
    <cellStyle name="Accent2 3 2" xfId="1931" xr:uid="{00000000-0005-0000-0000-000085070000}"/>
    <cellStyle name="Accent2 3 3" xfId="1932" xr:uid="{00000000-0005-0000-0000-000086070000}"/>
    <cellStyle name="Accent2 4" xfId="1933" xr:uid="{00000000-0005-0000-0000-000087070000}"/>
    <cellStyle name="Accent2 4 2" xfId="1934" xr:uid="{00000000-0005-0000-0000-000088070000}"/>
    <cellStyle name="Accent2 4 3" xfId="1935" xr:uid="{00000000-0005-0000-0000-000089070000}"/>
    <cellStyle name="Accent2 5" xfId="1936" xr:uid="{00000000-0005-0000-0000-00008A070000}"/>
    <cellStyle name="Accent2 5 2" xfId="1937" xr:uid="{00000000-0005-0000-0000-00008B070000}"/>
    <cellStyle name="Accent2 5 3" xfId="1938" xr:uid="{00000000-0005-0000-0000-00008C070000}"/>
    <cellStyle name="Accent2 6" xfId="1939" xr:uid="{00000000-0005-0000-0000-00008D070000}"/>
    <cellStyle name="Accent2 6 2" xfId="1940" xr:uid="{00000000-0005-0000-0000-00008E070000}"/>
    <cellStyle name="Accent2 6 3" xfId="1941" xr:uid="{00000000-0005-0000-0000-00008F070000}"/>
    <cellStyle name="Accent2 7" xfId="1942" xr:uid="{00000000-0005-0000-0000-000090070000}"/>
    <cellStyle name="Accent2 7 2" xfId="1943" xr:uid="{00000000-0005-0000-0000-000091070000}"/>
    <cellStyle name="Accent2 7 3" xfId="1944" xr:uid="{00000000-0005-0000-0000-000092070000}"/>
    <cellStyle name="Accent2 8" xfId="1945" xr:uid="{00000000-0005-0000-0000-000093070000}"/>
    <cellStyle name="Accent2 8 2" xfId="1946" xr:uid="{00000000-0005-0000-0000-000094070000}"/>
    <cellStyle name="Accent2 8 3" xfId="1947" xr:uid="{00000000-0005-0000-0000-000095070000}"/>
    <cellStyle name="Accent2 9" xfId="1948" xr:uid="{00000000-0005-0000-0000-000096070000}"/>
    <cellStyle name="Accent2 9 2" xfId="1949" xr:uid="{00000000-0005-0000-0000-000097070000}"/>
    <cellStyle name="Accent2 9 3" xfId="1950" xr:uid="{00000000-0005-0000-0000-000098070000}"/>
    <cellStyle name="Accent3 10" xfId="1951" xr:uid="{00000000-0005-0000-0000-000099070000}"/>
    <cellStyle name="Accent3 10 2" xfId="1952" xr:uid="{00000000-0005-0000-0000-00009A070000}"/>
    <cellStyle name="Accent3 10 3" xfId="1953" xr:uid="{00000000-0005-0000-0000-00009B070000}"/>
    <cellStyle name="Accent3 11" xfId="1954" xr:uid="{00000000-0005-0000-0000-00009C070000}"/>
    <cellStyle name="Accent3 11 2" xfId="1955" xr:uid="{00000000-0005-0000-0000-00009D070000}"/>
    <cellStyle name="Accent3 11 3" xfId="1956" xr:uid="{00000000-0005-0000-0000-00009E070000}"/>
    <cellStyle name="Accent3 12" xfId="1957" xr:uid="{00000000-0005-0000-0000-00009F070000}"/>
    <cellStyle name="Accent3 12 2" xfId="1958" xr:uid="{00000000-0005-0000-0000-0000A0070000}"/>
    <cellStyle name="Accent3 12 3" xfId="1959" xr:uid="{00000000-0005-0000-0000-0000A1070000}"/>
    <cellStyle name="Accent3 13" xfId="1960" xr:uid="{00000000-0005-0000-0000-0000A2070000}"/>
    <cellStyle name="Accent3 13 2" xfId="1961" xr:uid="{00000000-0005-0000-0000-0000A3070000}"/>
    <cellStyle name="Accent3 13 3" xfId="1962" xr:uid="{00000000-0005-0000-0000-0000A4070000}"/>
    <cellStyle name="Accent3 14" xfId="1963" xr:uid="{00000000-0005-0000-0000-0000A5070000}"/>
    <cellStyle name="Accent3 14 2" xfId="1964" xr:uid="{00000000-0005-0000-0000-0000A6070000}"/>
    <cellStyle name="Accent3 14 3" xfId="1965" xr:uid="{00000000-0005-0000-0000-0000A7070000}"/>
    <cellStyle name="Accent3 15" xfId="1966" xr:uid="{00000000-0005-0000-0000-0000A8070000}"/>
    <cellStyle name="Accent3 15 2" xfId="1967" xr:uid="{00000000-0005-0000-0000-0000A9070000}"/>
    <cellStyle name="Accent3 15 3" xfId="1968" xr:uid="{00000000-0005-0000-0000-0000AA070000}"/>
    <cellStyle name="Accent3 16" xfId="1969" xr:uid="{00000000-0005-0000-0000-0000AB070000}"/>
    <cellStyle name="Accent3 16 2" xfId="1970" xr:uid="{00000000-0005-0000-0000-0000AC070000}"/>
    <cellStyle name="Accent3 16 3" xfId="1971" xr:uid="{00000000-0005-0000-0000-0000AD070000}"/>
    <cellStyle name="Accent3 17" xfId="1972" xr:uid="{00000000-0005-0000-0000-0000AE070000}"/>
    <cellStyle name="Accent3 17 2" xfId="1973" xr:uid="{00000000-0005-0000-0000-0000AF070000}"/>
    <cellStyle name="Accent3 17 3" xfId="1974" xr:uid="{00000000-0005-0000-0000-0000B0070000}"/>
    <cellStyle name="Accent3 18" xfId="1975" xr:uid="{00000000-0005-0000-0000-0000B1070000}"/>
    <cellStyle name="Accent3 18 2" xfId="1976" xr:uid="{00000000-0005-0000-0000-0000B2070000}"/>
    <cellStyle name="Accent3 18 3" xfId="1977" xr:uid="{00000000-0005-0000-0000-0000B3070000}"/>
    <cellStyle name="Accent3 19" xfId="1978" xr:uid="{00000000-0005-0000-0000-0000B4070000}"/>
    <cellStyle name="Accent3 19 2" xfId="1979" xr:uid="{00000000-0005-0000-0000-0000B5070000}"/>
    <cellStyle name="Accent3 19 3" xfId="1980" xr:uid="{00000000-0005-0000-0000-0000B6070000}"/>
    <cellStyle name="Accent3 2" xfId="1981" xr:uid="{00000000-0005-0000-0000-0000B7070000}"/>
    <cellStyle name="Accent3 2 2" xfId="1982" xr:uid="{00000000-0005-0000-0000-0000B8070000}"/>
    <cellStyle name="Accent3 2 2 2" xfId="1983" xr:uid="{00000000-0005-0000-0000-0000B9070000}"/>
    <cellStyle name="Accent3 2 2 3" xfId="1984" xr:uid="{00000000-0005-0000-0000-0000BA070000}"/>
    <cellStyle name="Accent3 2 3" xfId="1985" xr:uid="{00000000-0005-0000-0000-0000BB070000}"/>
    <cellStyle name="Accent3 2 3 2" xfId="1986" xr:uid="{00000000-0005-0000-0000-0000BC070000}"/>
    <cellStyle name="Accent3 2 3 3" xfId="1987" xr:uid="{00000000-0005-0000-0000-0000BD070000}"/>
    <cellStyle name="Accent3 2 4" xfId="1988" xr:uid="{00000000-0005-0000-0000-0000BE070000}"/>
    <cellStyle name="Accent3 2 5" xfId="1989" xr:uid="{00000000-0005-0000-0000-0000BF070000}"/>
    <cellStyle name="Accent3 20" xfId="1990" xr:uid="{00000000-0005-0000-0000-0000C0070000}"/>
    <cellStyle name="Accent3 20 2" xfId="1991" xr:uid="{00000000-0005-0000-0000-0000C1070000}"/>
    <cellStyle name="Accent3 20 3" xfId="1992" xr:uid="{00000000-0005-0000-0000-0000C2070000}"/>
    <cellStyle name="Accent3 21" xfId="1993" xr:uid="{00000000-0005-0000-0000-0000C3070000}"/>
    <cellStyle name="Accent3 21 2" xfId="1994" xr:uid="{00000000-0005-0000-0000-0000C4070000}"/>
    <cellStyle name="Accent3 21 3" xfId="1995" xr:uid="{00000000-0005-0000-0000-0000C5070000}"/>
    <cellStyle name="Accent3 22" xfId="1996" xr:uid="{00000000-0005-0000-0000-0000C6070000}"/>
    <cellStyle name="Accent3 22 2" xfId="1997" xr:uid="{00000000-0005-0000-0000-0000C7070000}"/>
    <cellStyle name="Accent3 22 3" xfId="1998" xr:uid="{00000000-0005-0000-0000-0000C8070000}"/>
    <cellStyle name="Accent3 23" xfId="1999" xr:uid="{00000000-0005-0000-0000-0000C9070000}"/>
    <cellStyle name="Accent3 23 2" xfId="2000" xr:uid="{00000000-0005-0000-0000-0000CA070000}"/>
    <cellStyle name="Accent3 23 3" xfId="2001" xr:uid="{00000000-0005-0000-0000-0000CB070000}"/>
    <cellStyle name="Accent3 24" xfId="2002" xr:uid="{00000000-0005-0000-0000-0000CC070000}"/>
    <cellStyle name="Accent3 24 2" xfId="2003" xr:uid="{00000000-0005-0000-0000-0000CD070000}"/>
    <cellStyle name="Accent3 24 3" xfId="2004" xr:uid="{00000000-0005-0000-0000-0000CE070000}"/>
    <cellStyle name="Accent3 25" xfId="2005" xr:uid="{00000000-0005-0000-0000-0000CF070000}"/>
    <cellStyle name="Accent3 25 2" xfId="2006" xr:uid="{00000000-0005-0000-0000-0000D0070000}"/>
    <cellStyle name="Accent3 25 3" xfId="2007" xr:uid="{00000000-0005-0000-0000-0000D1070000}"/>
    <cellStyle name="Accent3 26" xfId="2008" xr:uid="{00000000-0005-0000-0000-0000D2070000}"/>
    <cellStyle name="Accent3 26 2" xfId="2009" xr:uid="{00000000-0005-0000-0000-0000D3070000}"/>
    <cellStyle name="Accent3 26 3" xfId="2010" xr:uid="{00000000-0005-0000-0000-0000D4070000}"/>
    <cellStyle name="Accent3 27" xfId="2011" xr:uid="{00000000-0005-0000-0000-0000D5070000}"/>
    <cellStyle name="Accent3 27 2" xfId="2012" xr:uid="{00000000-0005-0000-0000-0000D6070000}"/>
    <cellStyle name="Accent3 27 3" xfId="2013" xr:uid="{00000000-0005-0000-0000-0000D7070000}"/>
    <cellStyle name="Accent3 3" xfId="2014" xr:uid="{00000000-0005-0000-0000-0000D8070000}"/>
    <cellStyle name="Accent3 3 2" xfId="2015" xr:uid="{00000000-0005-0000-0000-0000D9070000}"/>
    <cellStyle name="Accent3 3 3" xfId="2016" xr:uid="{00000000-0005-0000-0000-0000DA070000}"/>
    <cellStyle name="Accent3 4" xfId="2017" xr:uid="{00000000-0005-0000-0000-0000DB070000}"/>
    <cellStyle name="Accent3 4 2" xfId="2018" xr:uid="{00000000-0005-0000-0000-0000DC070000}"/>
    <cellStyle name="Accent3 4 3" xfId="2019" xr:uid="{00000000-0005-0000-0000-0000DD070000}"/>
    <cellStyle name="Accent3 5" xfId="2020" xr:uid="{00000000-0005-0000-0000-0000DE070000}"/>
    <cellStyle name="Accent3 5 2" xfId="2021" xr:uid="{00000000-0005-0000-0000-0000DF070000}"/>
    <cellStyle name="Accent3 5 3" xfId="2022" xr:uid="{00000000-0005-0000-0000-0000E0070000}"/>
    <cellStyle name="Accent3 6" xfId="2023" xr:uid="{00000000-0005-0000-0000-0000E1070000}"/>
    <cellStyle name="Accent3 6 2" xfId="2024" xr:uid="{00000000-0005-0000-0000-0000E2070000}"/>
    <cellStyle name="Accent3 6 3" xfId="2025" xr:uid="{00000000-0005-0000-0000-0000E3070000}"/>
    <cellStyle name="Accent3 7" xfId="2026" xr:uid="{00000000-0005-0000-0000-0000E4070000}"/>
    <cellStyle name="Accent3 7 2" xfId="2027" xr:uid="{00000000-0005-0000-0000-0000E5070000}"/>
    <cellStyle name="Accent3 7 3" xfId="2028" xr:uid="{00000000-0005-0000-0000-0000E6070000}"/>
    <cellStyle name="Accent3 8" xfId="2029" xr:uid="{00000000-0005-0000-0000-0000E7070000}"/>
    <cellStyle name="Accent3 8 2" xfId="2030" xr:uid="{00000000-0005-0000-0000-0000E8070000}"/>
    <cellStyle name="Accent3 8 3" xfId="2031" xr:uid="{00000000-0005-0000-0000-0000E9070000}"/>
    <cellStyle name="Accent3 9" xfId="2032" xr:uid="{00000000-0005-0000-0000-0000EA070000}"/>
    <cellStyle name="Accent3 9 2" xfId="2033" xr:uid="{00000000-0005-0000-0000-0000EB070000}"/>
    <cellStyle name="Accent3 9 3" xfId="2034" xr:uid="{00000000-0005-0000-0000-0000EC070000}"/>
    <cellStyle name="Accent4 10" xfId="2035" xr:uid="{00000000-0005-0000-0000-0000ED070000}"/>
    <cellStyle name="Accent4 10 2" xfId="2036" xr:uid="{00000000-0005-0000-0000-0000EE070000}"/>
    <cellStyle name="Accent4 10 3" xfId="2037" xr:uid="{00000000-0005-0000-0000-0000EF070000}"/>
    <cellStyle name="Accent4 11" xfId="2038" xr:uid="{00000000-0005-0000-0000-0000F0070000}"/>
    <cellStyle name="Accent4 11 2" xfId="2039" xr:uid="{00000000-0005-0000-0000-0000F1070000}"/>
    <cellStyle name="Accent4 11 3" xfId="2040" xr:uid="{00000000-0005-0000-0000-0000F2070000}"/>
    <cellStyle name="Accent4 12" xfId="2041" xr:uid="{00000000-0005-0000-0000-0000F3070000}"/>
    <cellStyle name="Accent4 12 2" xfId="2042" xr:uid="{00000000-0005-0000-0000-0000F4070000}"/>
    <cellStyle name="Accent4 12 3" xfId="2043" xr:uid="{00000000-0005-0000-0000-0000F5070000}"/>
    <cellStyle name="Accent4 13" xfId="2044" xr:uid="{00000000-0005-0000-0000-0000F6070000}"/>
    <cellStyle name="Accent4 13 2" xfId="2045" xr:uid="{00000000-0005-0000-0000-0000F7070000}"/>
    <cellStyle name="Accent4 13 3" xfId="2046" xr:uid="{00000000-0005-0000-0000-0000F8070000}"/>
    <cellStyle name="Accent4 14" xfId="2047" xr:uid="{00000000-0005-0000-0000-0000F9070000}"/>
    <cellStyle name="Accent4 14 2" xfId="2048" xr:uid="{00000000-0005-0000-0000-0000FA070000}"/>
    <cellStyle name="Accent4 14 3" xfId="2049" xr:uid="{00000000-0005-0000-0000-0000FB070000}"/>
    <cellStyle name="Accent4 15" xfId="2050" xr:uid="{00000000-0005-0000-0000-0000FC070000}"/>
    <cellStyle name="Accent4 15 2" xfId="2051" xr:uid="{00000000-0005-0000-0000-0000FD070000}"/>
    <cellStyle name="Accent4 15 3" xfId="2052" xr:uid="{00000000-0005-0000-0000-0000FE070000}"/>
    <cellStyle name="Accent4 16" xfId="2053" xr:uid="{00000000-0005-0000-0000-0000FF070000}"/>
    <cellStyle name="Accent4 16 2" xfId="2054" xr:uid="{00000000-0005-0000-0000-000000080000}"/>
    <cellStyle name="Accent4 16 3" xfId="2055" xr:uid="{00000000-0005-0000-0000-000001080000}"/>
    <cellStyle name="Accent4 17" xfId="2056" xr:uid="{00000000-0005-0000-0000-000002080000}"/>
    <cellStyle name="Accent4 17 2" xfId="2057" xr:uid="{00000000-0005-0000-0000-000003080000}"/>
    <cellStyle name="Accent4 17 3" xfId="2058" xr:uid="{00000000-0005-0000-0000-000004080000}"/>
    <cellStyle name="Accent4 18" xfId="2059" xr:uid="{00000000-0005-0000-0000-000005080000}"/>
    <cellStyle name="Accent4 18 2" xfId="2060" xr:uid="{00000000-0005-0000-0000-000006080000}"/>
    <cellStyle name="Accent4 18 3" xfId="2061" xr:uid="{00000000-0005-0000-0000-000007080000}"/>
    <cellStyle name="Accent4 19" xfId="2062" xr:uid="{00000000-0005-0000-0000-000008080000}"/>
    <cellStyle name="Accent4 19 2" xfId="2063" xr:uid="{00000000-0005-0000-0000-000009080000}"/>
    <cellStyle name="Accent4 19 3" xfId="2064" xr:uid="{00000000-0005-0000-0000-00000A080000}"/>
    <cellStyle name="Accent4 2" xfId="2065" xr:uid="{00000000-0005-0000-0000-00000B080000}"/>
    <cellStyle name="Accent4 2 2" xfId="2066" xr:uid="{00000000-0005-0000-0000-00000C080000}"/>
    <cellStyle name="Accent4 2 2 2" xfId="2067" xr:uid="{00000000-0005-0000-0000-00000D080000}"/>
    <cellStyle name="Accent4 2 2 3" xfId="2068" xr:uid="{00000000-0005-0000-0000-00000E080000}"/>
    <cellStyle name="Accent4 2 3" xfId="2069" xr:uid="{00000000-0005-0000-0000-00000F080000}"/>
    <cellStyle name="Accent4 2 3 2" xfId="2070" xr:uid="{00000000-0005-0000-0000-000010080000}"/>
    <cellStyle name="Accent4 2 3 3" xfId="2071" xr:uid="{00000000-0005-0000-0000-000011080000}"/>
    <cellStyle name="Accent4 2 4" xfId="2072" xr:uid="{00000000-0005-0000-0000-000012080000}"/>
    <cellStyle name="Accent4 2 5" xfId="2073" xr:uid="{00000000-0005-0000-0000-000013080000}"/>
    <cellStyle name="Accent4 2_TOTAL OB COAL" xfId="2074" xr:uid="{00000000-0005-0000-0000-000014080000}"/>
    <cellStyle name="Accent4 20" xfId="2075" xr:uid="{00000000-0005-0000-0000-000015080000}"/>
    <cellStyle name="Accent4 20 2" xfId="2076" xr:uid="{00000000-0005-0000-0000-000016080000}"/>
    <cellStyle name="Accent4 20 3" xfId="2077" xr:uid="{00000000-0005-0000-0000-000017080000}"/>
    <cellStyle name="Accent4 21" xfId="2078" xr:uid="{00000000-0005-0000-0000-000018080000}"/>
    <cellStyle name="Accent4 21 2" xfId="2079" xr:uid="{00000000-0005-0000-0000-000019080000}"/>
    <cellStyle name="Accent4 21 3" xfId="2080" xr:uid="{00000000-0005-0000-0000-00001A080000}"/>
    <cellStyle name="Accent4 22" xfId="2081" xr:uid="{00000000-0005-0000-0000-00001B080000}"/>
    <cellStyle name="Accent4 22 2" xfId="2082" xr:uid="{00000000-0005-0000-0000-00001C080000}"/>
    <cellStyle name="Accent4 22 3" xfId="2083" xr:uid="{00000000-0005-0000-0000-00001D080000}"/>
    <cellStyle name="Accent4 23" xfId="2084" xr:uid="{00000000-0005-0000-0000-00001E080000}"/>
    <cellStyle name="Accent4 23 2" xfId="2085" xr:uid="{00000000-0005-0000-0000-00001F080000}"/>
    <cellStyle name="Accent4 23 3" xfId="2086" xr:uid="{00000000-0005-0000-0000-000020080000}"/>
    <cellStyle name="Accent4 24" xfId="2087" xr:uid="{00000000-0005-0000-0000-000021080000}"/>
    <cellStyle name="Accent4 24 2" xfId="2088" xr:uid="{00000000-0005-0000-0000-000022080000}"/>
    <cellStyle name="Accent4 24 3" xfId="2089" xr:uid="{00000000-0005-0000-0000-000023080000}"/>
    <cellStyle name="Accent4 25" xfId="2090" xr:uid="{00000000-0005-0000-0000-000024080000}"/>
    <cellStyle name="Accent4 25 2" xfId="2091" xr:uid="{00000000-0005-0000-0000-000025080000}"/>
    <cellStyle name="Accent4 25 3" xfId="2092" xr:uid="{00000000-0005-0000-0000-000026080000}"/>
    <cellStyle name="Accent4 26" xfId="2093" xr:uid="{00000000-0005-0000-0000-000027080000}"/>
    <cellStyle name="Accent4 26 2" xfId="2094" xr:uid="{00000000-0005-0000-0000-000028080000}"/>
    <cellStyle name="Accent4 26 3" xfId="2095" xr:uid="{00000000-0005-0000-0000-000029080000}"/>
    <cellStyle name="Accent4 27" xfId="2096" xr:uid="{00000000-0005-0000-0000-00002A080000}"/>
    <cellStyle name="Accent4 27 2" xfId="2097" xr:uid="{00000000-0005-0000-0000-00002B080000}"/>
    <cellStyle name="Accent4 27 3" xfId="2098" xr:uid="{00000000-0005-0000-0000-00002C080000}"/>
    <cellStyle name="Accent4 3" xfId="2099" xr:uid="{00000000-0005-0000-0000-00002D080000}"/>
    <cellStyle name="Accent4 3 2" xfId="2100" xr:uid="{00000000-0005-0000-0000-00002E080000}"/>
    <cellStyle name="Accent4 3 3" xfId="2101" xr:uid="{00000000-0005-0000-0000-00002F080000}"/>
    <cellStyle name="Accent4 4" xfId="2102" xr:uid="{00000000-0005-0000-0000-000030080000}"/>
    <cellStyle name="Accent4 4 2" xfId="2103" xr:uid="{00000000-0005-0000-0000-000031080000}"/>
    <cellStyle name="Accent4 4 3" xfId="2104" xr:uid="{00000000-0005-0000-0000-000032080000}"/>
    <cellStyle name="Accent4 5" xfId="2105" xr:uid="{00000000-0005-0000-0000-000033080000}"/>
    <cellStyle name="Accent4 5 2" xfId="2106" xr:uid="{00000000-0005-0000-0000-000034080000}"/>
    <cellStyle name="Accent4 5 3" xfId="2107" xr:uid="{00000000-0005-0000-0000-000035080000}"/>
    <cellStyle name="Accent4 6" xfId="2108" xr:uid="{00000000-0005-0000-0000-000036080000}"/>
    <cellStyle name="Accent4 6 2" xfId="2109" xr:uid="{00000000-0005-0000-0000-000037080000}"/>
    <cellStyle name="Accent4 6 3" xfId="2110" xr:uid="{00000000-0005-0000-0000-000038080000}"/>
    <cellStyle name="Accent4 7" xfId="2111" xr:uid="{00000000-0005-0000-0000-000039080000}"/>
    <cellStyle name="Accent4 7 2" xfId="2112" xr:uid="{00000000-0005-0000-0000-00003A080000}"/>
    <cellStyle name="Accent4 7 3" xfId="2113" xr:uid="{00000000-0005-0000-0000-00003B080000}"/>
    <cellStyle name="Accent4 8" xfId="2114" xr:uid="{00000000-0005-0000-0000-00003C080000}"/>
    <cellStyle name="Accent4 8 2" xfId="2115" xr:uid="{00000000-0005-0000-0000-00003D080000}"/>
    <cellStyle name="Accent4 8 3" xfId="2116" xr:uid="{00000000-0005-0000-0000-00003E080000}"/>
    <cellStyle name="Accent4 9" xfId="2117" xr:uid="{00000000-0005-0000-0000-00003F080000}"/>
    <cellStyle name="Accent4 9 2" xfId="2118" xr:uid="{00000000-0005-0000-0000-000040080000}"/>
    <cellStyle name="Accent4 9 3" xfId="2119" xr:uid="{00000000-0005-0000-0000-000041080000}"/>
    <cellStyle name="Accent5 10" xfId="2120" xr:uid="{00000000-0005-0000-0000-000042080000}"/>
    <cellStyle name="Accent5 10 2" xfId="2121" xr:uid="{00000000-0005-0000-0000-000043080000}"/>
    <cellStyle name="Accent5 10 3" xfId="2122" xr:uid="{00000000-0005-0000-0000-000044080000}"/>
    <cellStyle name="Accent5 11" xfId="2123" xr:uid="{00000000-0005-0000-0000-000045080000}"/>
    <cellStyle name="Accent5 11 2" xfId="2124" xr:uid="{00000000-0005-0000-0000-000046080000}"/>
    <cellStyle name="Accent5 11 3" xfId="2125" xr:uid="{00000000-0005-0000-0000-000047080000}"/>
    <cellStyle name="Accent5 12" xfId="2126" xr:uid="{00000000-0005-0000-0000-000048080000}"/>
    <cellStyle name="Accent5 12 2" xfId="2127" xr:uid="{00000000-0005-0000-0000-000049080000}"/>
    <cellStyle name="Accent5 12 3" xfId="2128" xr:uid="{00000000-0005-0000-0000-00004A080000}"/>
    <cellStyle name="Accent5 13" xfId="2129" xr:uid="{00000000-0005-0000-0000-00004B080000}"/>
    <cellStyle name="Accent5 13 2" xfId="2130" xr:uid="{00000000-0005-0000-0000-00004C080000}"/>
    <cellStyle name="Accent5 13 3" xfId="2131" xr:uid="{00000000-0005-0000-0000-00004D080000}"/>
    <cellStyle name="Accent5 14" xfId="2132" xr:uid="{00000000-0005-0000-0000-00004E080000}"/>
    <cellStyle name="Accent5 14 2" xfId="2133" xr:uid="{00000000-0005-0000-0000-00004F080000}"/>
    <cellStyle name="Accent5 14 3" xfId="2134" xr:uid="{00000000-0005-0000-0000-000050080000}"/>
    <cellStyle name="Accent5 15" xfId="2135" xr:uid="{00000000-0005-0000-0000-000051080000}"/>
    <cellStyle name="Accent5 15 2" xfId="2136" xr:uid="{00000000-0005-0000-0000-000052080000}"/>
    <cellStyle name="Accent5 15 3" xfId="2137" xr:uid="{00000000-0005-0000-0000-000053080000}"/>
    <cellStyle name="Accent5 16" xfId="2138" xr:uid="{00000000-0005-0000-0000-000054080000}"/>
    <cellStyle name="Accent5 16 2" xfId="2139" xr:uid="{00000000-0005-0000-0000-000055080000}"/>
    <cellStyle name="Accent5 16 3" xfId="2140" xr:uid="{00000000-0005-0000-0000-000056080000}"/>
    <cellStyle name="Accent5 17" xfId="2141" xr:uid="{00000000-0005-0000-0000-000057080000}"/>
    <cellStyle name="Accent5 17 2" xfId="2142" xr:uid="{00000000-0005-0000-0000-000058080000}"/>
    <cellStyle name="Accent5 17 3" xfId="2143" xr:uid="{00000000-0005-0000-0000-000059080000}"/>
    <cellStyle name="Accent5 18" xfId="2144" xr:uid="{00000000-0005-0000-0000-00005A080000}"/>
    <cellStyle name="Accent5 18 2" xfId="2145" xr:uid="{00000000-0005-0000-0000-00005B080000}"/>
    <cellStyle name="Accent5 18 3" xfId="2146" xr:uid="{00000000-0005-0000-0000-00005C080000}"/>
    <cellStyle name="Accent5 19" xfId="2147" xr:uid="{00000000-0005-0000-0000-00005D080000}"/>
    <cellStyle name="Accent5 19 2" xfId="2148" xr:uid="{00000000-0005-0000-0000-00005E080000}"/>
    <cellStyle name="Accent5 19 3" xfId="2149" xr:uid="{00000000-0005-0000-0000-00005F080000}"/>
    <cellStyle name="Accent5 2" xfId="2150" xr:uid="{00000000-0005-0000-0000-000060080000}"/>
    <cellStyle name="Accent5 2 2" xfId="2151" xr:uid="{00000000-0005-0000-0000-000061080000}"/>
    <cellStyle name="Accent5 2 2 2" xfId="2152" xr:uid="{00000000-0005-0000-0000-000062080000}"/>
    <cellStyle name="Accent5 2 2 3" xfId="2153" xr:uid="{00000000-0005-0000-0000-000063080000}"/>
    <cellStyle name="Accent5 2 3" xfId="2154" xr:uid="{00000000-0005-0000-0000-000064080000}"/>
    <cellStyle name="Accent5 2 3 2" xfId="2155" xr:uid="{00000000-0005-0000-0000-000065080000}"/>
    <cellStyle name="Accent5 2 3 3" xfId="2156" xr:uid="{00000000-0005-0000-0000-000066080000}"/>
    <cellStyle name="Accent5 2 4" xfId="2157" xr:uid="{00000000-0005-0000-0000-000067080000}"/>
    <cellStyle name="Accent5 2 5" xfId="2158" xr:uid="{00000000-0005-0000-0000-000068080000}"/>
    <cellStyle name="Accent5 20" xfId="2159" xr:uid="{00000000-0005-0000-0000-000069080000}"/>
    <cellStyle name="Accent5 20 2" xfId="2160" xr:uid="{00000000-0005-0000-0000-00006A080000}"/>
    <cellStyle name="Accent5 20 3" xfId="2161" xr:uid="{00000000-0005-0000-0000-00006B080000}"/>
    <cellStyle name="Accent5 21" xfId="2162" xr:uid="{00000000-0005-0000-0000-00006C080000}"/>
    <cellStyle name="Accent5 21 2" xfId="2163" xr:uid="{00000000-0005-0000-0000-00006D080000}"/>
    <cellStyle name="Accent5 21 3" xfId="2164" xr:uid="{00000000-0005-0000-0000-00006E080000}"/>
    <cellStyle name="Accent5 22" xfId="2165" xr:uid="{00000000-0005-0000-0000-00006F080000}"/>
    <cellStyle name="Accent5 22 2" xfId="2166" xr:uid="{00000000-0005-0000-0000-000070080000}"/>
    <cellStyle name="Accent5 22 3" xfId="2167" xr:uid="{00000000-0005-0000-0000-000071080000}"/>
    <cellStyle name="Accent5 23" xfId="2168" xr:uid="{00000000-0005-0000-0000-000072080000}"/>
    <cellStyle name="Accent5 23 2" xfId="2169" xr:uid="{00000000-0005-0000-0000-000073080000}"/>
    <cellStyle name="Accent5 23 3" xfId="2170" xr:uid="{00000000-0005-0000-0000-000074080000}"/>
    <cellStyle name="Accent5 24" xfId="2171" xr:uid="{00000000-0005-0000-0000-000075080000}"/>
    <cellStyle name="Accent5 24 2" xfId="2172" xr:uid="{00000000-0005-0000-0000-000076080000}"/>
    <cellStyle name="Accent5 24 3" xfId="2173" xr:uid="{00000000-0005-0000-0000-000077080000}"/>
    <cellStyle name="Accent5 25" xfId="2174" xr:uid="{00000000-0005-0000-0000-000078080000}"/>
    <cellStyle name="Accent5 25 2" xfId="2175" xr:uid="{00000000-0005-0000-0000-000079080000}"/>
    <cellStyle name="Accent5 25 3" xfId="2176" xr:uid="{00000000-0005-0000-0000-00007A080000}"/>
    <cellStyle name="Accent5 26" xfId="2177" xr:uid="{00000000-0005-0000-0000-00007B080000}"/>
    <cellStyle name="Accent5 26 2" xfId="2178" xr:uid="{00000000-0005-0000-0000-00007C080000}"/>
    <cellStyle name="Accent5 26 3" xfId="2179" xr:uid="{00000000-0005-0000-0000-00007D080000}"/>
    <cellStyle name="Accent5 27" xfId="2180" xr:uid="{00000000-0005-0000-0000-00007E080000}"/>
    <cellStyle name="Accent5 27 2" xfId="2181" xr:uid="{00000000-0005-0000-0000-00007F080000}"/>
    <cellStyle name="Accent5 27 3" xfId="2182" xr:uid="{00000000-0005-0000-0000-000080080000}"/>
    <cellStyle name="Accent5 3" xfId="2183" xr:uid="{00000000-0005-0000-0000-000081080000}"/>
    <cellStyle name="Accent5 3 2" xfId="2184" xr:uid="{00000000-0005-0000-0000-000082080000}"/>
    <cellStyle name="Accent5 3 3" xfId="2185" xr:uid="{00000000-0005-0000-0000-000083080000}"/>
    <cellStyle name="Accent5 4" xfId="2186" xr:uid="{00000000-0005-0000-0000-000084080000}"/>
    <cellStyle name="Accent5 4 2" xfId="2187" xr:uid="{00000000-0005-0000-0000-000085080000}"/>
    <cellStyle name="Accent5 4 3" xfId="2188" xr:uid="{00000000-0005-0000-0000-000086080000}"/>
    <cellStyle name="Accent5 5" xfId="2189" xr:uid="{00000000-0005-0000-0000-000087080000}"/>
    <cellStyle name="Accent5 5 2" xfId="2190" xr:uid="{00000000-0005-0000-0000-000088080000}"/>
    <cellStyle name="Accent5 5 3" xfId="2191" xr:uid="{00000000-0005-0000-0000-000089080000}"/>
    <cellStyle name="Accent5 6" xfId="2192" xr:uid="{00000000-0005-0000-0000-00008A080000}"/>
    <cellStyle name="Accent5 6 2" xfId="2193" xr:uid="{00000000-0005-0000-0000-00008B080000}"/>
    <cellStyle name="Accent5 6 3" xfId="2194" xr:uid="{00000000-0005-0000-0000-00008C080000}"/>
    <cellStyle name="Accent5 7" xfId="2195" xr:uid="{00000000-0005-0000-0000-00008D080000}"/>
    <cellStyle name="Accent5 7 2" xfId="2196" xr:uid="{00000000-0005-0000-0000-00008E080000}"/>
    <cellStyle name="Accent5 7 3" xfId="2197" xr:uid="{00000000-0005-0000-0000-00008F080000}"/>
    <cellStyle name="Accent5 8" xfId="2198" xr:uid="{00000000-0005-0000-0000-000090080000}"/>
    <cellStyle name="Accent5 8 2" xfId="2199" xr:uid="{00000000-0005-0000-0000-000091080000}"/>
    <cellStyle name="Accent5 8 3" xfId="2200" xr:uid="{00000000-0005-0000-0000-000092080000}"/>
    <cellStyle name="Accent5 9" xfId="2201" xr:uid="{00000000-0005-0000-0000-000093080000}"/>
    <cellStyle name="Accent5 9 2" xfId="2202" xr:uid="{00000000-0005-0000-0000-000094080000}"/>
    <cellStyle name="Accent5 9 3" xfId="2203" xr:uid="{00000000-0005-0000-0000-000095080000}"/>
    <cellStyle name="Accent6 10" xfId="2204" xr:uid="{00000000-0005-0000-0000-000096080000}"/>
    <cellStyle name="Accent6 10 2" xfId="2205" xr:uid="{00000000-0005-0000-0000-000097080000}"/>
    <cellStyle name="Accent6 10 3" xfId="2206" xr:uid="{00000000-0005-0000-0000-000098080000}"/>
    <cellStyle name="Accent6 11" xfId="2207" xr:uid="{00000000-0005-0000-0000-000099080000}"/>
    <cellStyle name="Accent6 11 2" xfId="2208" xr:uid="{00000000-0005-0000-0000-00009A080000}"/>
    <cellStyle name="Accent6 11 3" xfId="2209" xr:uid="{00000000-0005-0000-0000-00009B080000}"/>
    <cellStyle name="Accent6 12" xfId="2210" xr:uid="{00000000-0005-0000-0000-00009C080000}"/>
    <cellStyle name="Accent6 12 2" xfId="2211" xr:uid="{00000000-0005-0000-0000-00009D080000}"/>
    <cellStyle name="Accent6 12 3" xfId="2212" xr:uid="{00000000-0005-0000-0000-00009E080000}"/>
    <cellStyle name="Accent6 13" xfId="2213" xr:uid="{00000000-0005-0000-0000-00009F080000}"/>
    <cellStyle name="Accent6 13 2" xfId="2214" xr:uid="{00000000-0005-0000-0000-0000A0080000}"/>
    <cellStyle name="Accent6 13 3" xfId="2215" xr:uid="{00000000-0005-0000-0000-0000A1080000}"/>
    <cellStyle name="Accent6 14" xfId="2216" xr:uid="{00000000-0005-0000-0000-0000A2080000}"/>
    <cellStyle name="Accent6 14 2" xfId="2217" xr:uid="{00000000-0005-0000-0000-0000A3080000}"/>
    <cellStyle name="Accent6 14 3" xfId="2218" xr:uid="{00000000-0005-0000-0000-0000A4080000}"/>
    <cellStyle name="Accent6 15" xfId="2219" xr:uid="{00000000-0005-0000-0000-0000A5080000}"/>
    <cellStyle name="Accent6 15 2" xfId="2220" xr:uid="{00000000-0005-0000-0000-0000A6080000}"/>
    <cellStyle name="Accent6 15 3" xfId="2221" xr:uid="{00000000-0005-0000-0000-0000A7080000}"/>
    <cellStyle name="Accent6 16" xfId="2222" xr:uid="{00000000-0005-0000-0000-0000A8080000}"/>
    <cellStyle name="Accent6 16 2" xfId="2223" xr:uid="{00000000-0005-0000-0000-0000A9080000}"/>
    <cellStyle name="Accent6 16 3" xfId="2224" xr:uid="{00000000-0005-0000-0000-0000AA080000}"/>
    <cellStyle name="Accent6 17" xfId="2225" xr:uid="{00000000-0005-0000-0000-0000AB080000}"/>
    <cellStyle name="Accent6 17 2" xfId="2226" xr:uid="{00000000-0005-0000-0000-0000AC080000}"/>
    <cellStyle name="Accent6 17 3" xfId="2227" xr:uid="{00000000-0005-0000-0000-0000AD080000}"/>
    <cellStyle name="Accent6 18" xfId="2228" xr:uid="{00000000-0005-0000-0000-0000AE080000}"/>
    <cellStyle name="Accent6 18 2" xfId="2229" xr:uid="{00000000-0005-0000-0000-0000AF080000}"/>
    <cellStyle name="Accent6 18 3" xfId="2230" xr:uid="{00000000-0005-0000-0000-0000B0080000}"/>
    <cellStyle name="Accent6 19" xfId="2231" xr:uid="{00000000-0005-0000-0000-0000B1080000}"/>
    <cellStyle name="Accent6 19 2" xfId="2232" xr:uid="{00000000-0005-0000-0000-0000B2080000}"/>
    <cellStyle name="Accent6 19 3" xfId="2233" xr:uid="{00000000-0005-0000-0000-0000B3080000}"/>
    <cellStyle name="Accent6 2" xfId="2234" xr:uid="{00000000-0005-0000-0000-0000B4080000}"/>
    <cellStyle name="Accent6 2 2" xfId="2235" xr:uid="{00000000-0005-0000-0000-0000B5080000}"/>
    <cellStyle name="Accent6 2 2 2" xfId="2236" xr:uid="{00000000-0005-0000-0000-0000B6080000}"/>
    <cellStyle name="Accent6 2 2 3" xfId="2237" xr:uid="{00000000-0005-0000-0000-0000B7080000}"/>
    <cellStyle name="Accent6 2 3" xfId="2238" xr:uid="{00000000-0005-0000-0000-0000B8080000}"/>
    <cellStyle name="Accent6 2 3 2" xfId="2239" xr:uid="{00000000-0005-0000-0000-0000B9080000}"/>
    <cellStyle name="Accent6 2 3 3" xfId="2240" xr:uid="{00000000-0005-0000-0000-0000BA080000}"/>
    <cellStyle name="Accent6 2 4" xfId="2241" xr:uid="{00000000-0005-0000-0000-0000BB080000}"/>
    <cellStyle name="Accent6 2 5" xfId="2242" xr:uid="{00000000-0005-0000-0000-0000BC080000}"/>
    <cellStyle name="Accent6 20" xfId="2243" xr:uid="{00000000-0005-0000-0000-0000BD080000}"/>
    <cellStyle name="Accent6 20 2" xfId="2244" xr:uid="{00000000-0005-0000-0000-0000BE080000}"/>
    <cellStyle name="Accent6 20 3" xfId="2245" xr:uid="{00000000-0005-0000-0000-0000BF080000}"/>
    <cellStyle name="Accent6 21" xfId="2246" xr:uid="{00000000-0005-0000-0000-0000C0080000}"/>
    <cellStyle name="Accent6 21 2" xfId="2247" xr:uid="{00000000-0005-0000-0000-0000C1080000}"/>
    <cellStyle name="Accent6 21 3" xfId="2248" xr:uid="{00000000-0005-0000-0000-0000C2080000}"/>
    <cellStyle name="Accent6 22" xfId="2249" xr:uid="{00000000-0005-0000-0000-0000C3080000}"/>
    <cellStyle name="Accent6 22 2" xfId="2250" xr:uid="{00000000-0005-0000-0000-0000C4080000}"/>
    <cellStyle name="Accent6 22 3" xfId="2251" xr:uid="{00000000-0005-0000-0000-0000C5080000}"/>
    <cellStyle name="Accent6 23" xfId="2252" xr:uid="{00000000-0005-0000-0000-0000C6080000}"/>
    <cellStyle name="Accent6 23 2" xfId="2253" xr:uid="{00000000-0005-0000-0000-0000C7080000}"/>
    <cellStyle name="Accent6 23 3" xfId="2254" xr:uid="{00000000-0005-0000-0000-0000C8080000}"/>
    <cellStyle name="Accent6 24" xfId="2255" xr:uid="{00000000-0005-0000-0000-0000C9080000}"/>
    <cellStyle name="Accent6 24 2" xfId="2256" xr:uid="{00000000-0005-0000-0000-0000CA080000}"/>
    <cellStyle name="Accent6 24 3" xfId="2257" xr:uid="{00000000-0005-0000-0000-0000CB080000}"/>
    <cellStyle name="Accent6 25" xfId="2258" xr:uid="{00000000-0005-0000-0000-0000CC080000}"/>
    <cellStyle name="Accent6 25 2" xfId="2259" xr:uid="{00000000-0005-0000-0000-0000CD080000}"/>
    <cellStyle name="Accent6 25 3" xfId="2260" xr:uid="{00000000-0005-0000-0000-0000CE080000}"/>
    <cellStyle name="Accent6 26" xfId="2261" xr:uid="{00000000-0005-0000-0000-0000CF080000}"/>
    <cellStyle name="Accent6 26 2" xfId="2262" xr:uid="{00000000-0005-0000-0000-0000D0080000}"/>
    <cellStyle name="Accent6 26 3" xfId="2263" xr:uid="{00000000-0005-0000-0000-0000D1080000}"/>
    <cellStyle name="Accent6 27" xfId="2264" xr:uid="{00000000-0005-0000-0000-0000D2080000}"/>
    <cellStyle name="Accent6 27 2" xfId="2265" xr:uid="{00000000-0005-0000-0000-0000D3080000}"/>
    <cellStyle name="Accent6 27 3" xfId="2266" xr:uid="{00000000-0005-0000-0000-0000D4080000}"/>
    <cellStyle name="Accent6 3" xfId="2267" xr:uid="{00000000-0005-0000-0000-0000D5080000}"/>
    <cellStyle name="Accent6 3 2" xfId="2268" xr:uid="{00000000-0005-0000-0000-0000D6080000}"/>
    <cellStyle name="Accent6 3 3" xfId="2269" xr:uid="{00000000-0005-0000-0000-0000D7080000}"/>
    <cellStyle name="Accent6 4" xfId="2270" xr:uid="{00000000-0005-0000-0000-0000D8080000}"/>
    <cellStyle name="Accent6 4 2" xfId="2271" xr:uid="{00000000-0005-0000-0000-0000D9080000}"/>
    <cellStyle name="Accent6 4 3" xfId="2272" xr:uid="{00000000-0005-0000-0000-0000DA080000}"/>
    <cellStyle name="Accent6 5" xfId="2273" xr:uid="{00000000-0005-0000-0000-0000DB080000}"/>
    <cellStyle name="Accent6 5 2" xfId="2274" xr:uid="{00000000-0005-0000-0000-0000DC080000}"/>
    <cellStyle name="Accent6 5 3" xfId="2275" xr:uid="{00000000-0005-0000-0000-0000DD080000}"/>
    <cellStyle name="Accent6 6" xfId="2276" xr:uid="{00000000-0005-0000-0000-0000DE080000}"/>
    <cellStyle name="Accent6 6 2" xfId="2277" xr:uid="{00000000-0005-0000-0000-0000DF080000}"/>
    <cellStyle name="Accent6 6 3" xfId="2278" xr:uid="{00000000-0005-0000-0000-0000E0080000}"/>
    <cellStyle name="Accent6 7" xfId="2279" xr:uid="{00000000-0005-0000-0000-0000E1080000}"/>
    <cellStyle name="Accent6 7 2" xfId="2280" xr:uid="{00000000-0005-0000-0000-0000E2080000}"/>
    <cellStyle name="Accent6 7 3" xfId="2281" xr:uid="{00000000-0005-0000-0000-0000E3080000}"/>
    <cellStyle name="Accent6 8" xfId="2282" xr:uid="{00000000-0005-0000-0000-0000E4080000}"/>
    <cellStyle name="Accent6 8 2" xfId="2283" xr:uid="{00000000-0005-0000-0000-0000E5080000}"/>
    <cellStyle name="Accent6 8 3" xfId="2284" xr:uid="{00000000-0005-0000-0000-0000E6080000}"/>
    <cellStyle name="Accent6 9" xfId="2285" xr:uid="{00000000-0005-0000-0000-0000E7080000}"/>
    <cellStyle name="Accent6 9 2" xfId="2286" xr:uid="{00000000-0005-0000-0000-0000E8080000}"/>
    <cellStyle name="Accent6 9 3" xfId="2287" xr:uid="{00000000-0005-0000-0000-0000E9080000}"/>
    <cellStyle name="Account[0]" xfId="2288" xr:uid="{00000000-0005-0000-0000-0000EA080000}"/>
    <cellStyle name="Account[1]" xfId="2289" xr:uid="{00000000-0005-0000-0000-0000EB080000}"/>
    <cellStyle name="Account[2]" xfId="2290" xr:uid="{00000000-0005-0000-0000-0000EC080000}"/>
    <cellStyle name="Account[3]" xfId="2291" xr:uid="{00000000-0005-0000-0000-0000ED080000}"/>
    <cellStyle name="Accounting" xfId="2292" xr:uid="{00000000-0005-0000-0000-0000EE080000}"/>
    <cellStyle name="active" xfId="2293" xr:uid="{00000000-0005-0000-0000-0000EF080000}"/>
    <cellStyle name="Actual Date" xfId="2294" xr:uid="{00000000-0005-0000-0000-0000F0080000}"/>
    <cellStyle name="ÅëÈ­ [0]_±âÅ¸" xfId="2295" xr:uid="{00000000-0005-0000-0000-0000F1080000}"/>
    <cellStyle name="ÅëÈ­_±âÅ¸" xfId="2296" xr:uid="{00000000-0005-0000-0000-0000F2080000}"/>
    <cellStyle name="AFE" xfId="2297" xr:uid="{00000000-0005-0000-0000-0000F3080000}"/>
    <cellStyle name="Andre's Title" xfId="2298" xr:uid="{00000000-0005-0000-0000-0000F4080000}"/>
    <cellStyle name="args.style" xfId="2299" xr:uid="{00000000-0005-0000-0000-0000F5080000}"/>
    <cellStyle name="Arial 10" xfId="2300" xr:uid="{00000000-0005-0000-0000-0000F6080000}"/>
    <cellStyle name="Arial 12" xfId="2301" xr:uid="{00000000-0005-0000-0000-0000F7080000}"/>
    <cellStyle name="Arial6Bold" xfId="2302" xr:uid="{00000000-0005-0000-0000-0000F8080000}"/>
    <cellStyle name="Arial8Bold" xfId="2303" xr:uid="{00000000-0005-0000-0000-0000F9080000}"/>
    <cellStyle name="Arial8Italic" xfId="2304" xr:uid="{00000000-0005-0000-0000-0000FA080000}"/>
    <cellStyle name="ArialNormal" xfId="2305" xr:uid="{00000000-0005-0000-0000-0000FB080000}"/>
    <cellStyle name="Aus $.00" xfId="2308" xr:uid="{00000000-0005-0000-0000-0000FE080000}"/>
    <cellStyle name="Availability" xfId="2309" xr:uid="{00000000-0005-0000-0000-0000FF080000}"/>
    <cellStyle name="ÄÞ¸¶ [0]_±âÅ¸" xfId="2306" xr:uid="{00000000-0005-0000-0000-0000FC080000}"/>
    <cellStyle name="ÄÞ¸¶_±âÅ¸" xfId="2307" xr:uid="{00000000-0005-0000-0000-0000FD080000}"/>
    <cellStyle name="b_Advent - Tech M - BT Stake - vCurrent" xfId="2311" xr:uid="{00000000-0005-0000-0000-000001090000}"/>
    <cellStyle name="b_CaseStudyTemplate" xfId="2312" xr:uid="{00000000-0005-0000-0000-000002090000}"/>
    <cellStyle name="Bad 10" xfId="2313" xr:uid="{00000000-0005-0000-0000-000003090000}"/>
    <cellStyle name="Bad 10 2" xfId="2314" xr:uid="{00000000-0005-0000-0000-000004090000}"/>
    <cellStyle name="Bad 10 3" xfId="2315" xr:uid="{00000000-0005-0000-0000-000005090000}"/>
    <cellStyle name="Bad 11" xfId="2316" xr:uid="{00000000-0005-0000-0000-000006090000}"/>
    <cellStyle name="Bad 11 2" xfId="2317" xr:uid="{00000000-0005-0000-0000-000007090000}"/>
    <cellStyle name="Bad 11 3" xfId="2318" xr:uid="{00000000-0005-0000-0000-000008090000}"/>
    <cellStyle name="Bad 12" xfId="2319" xr:uid="{00000000-0005-0000-0000-000009090000}"/>
    <cellStyle name="Bad 12 2" xfId="2320" xr:uid="{00000000-0005-0000-0000-00000A090000}"/>
    <cellStyle name="Bad 12 3" xfId="2321" xr:uid="{00000000-0005-0000-0000-00000B090000}"/>
    <cellStyle name="Bad 13" xfId="2322" xr:uid="{00000000-0005-0000-0000-00000C090000}"/>
    <cellStyle name="Bad 13 2" xfId="2323" xr:uid="{00000000-0005-0000-0000-00000D090000}"/>
    <cellStyle name="Bad 13 3" xfId="2324" xr:uid="{00000000-0005-0000-0000-00000E090000}"/>
    <cellStyle name="Bad 14" xfId="2325" xr:uid="{00000000-0005-0000-0000-00000F090000}"/>
    <cellStyle name="Bad 14 2" xfId="2326" xr:uid="{00000000-0005-0000-0000-000010090000}"/>
    <cellStyle name="Bad 14 3" xfId="2327" xr:uid="{00000000-0005-0000-0000-000011090000}"/>
    <cellStyle name="Bad 15" xfId="2328" xr:uid="{00000000-0005-0000-0000-000012090000}"/>
    <cellStyle name="Bad 15 2" xfId="2329" xr:uid="{00000000-0005-0000-0000-000013090000}"/>
    <cellStyle name="Bad 15 3" xfId="2330" xr:uid="{00000000-0005-0000-0000-000014090000}"/>
    <cellStyle name="Bad 16" xfId="2331" xr:uid="{00000000-0005-0000-0000-000015090000}"/>
    <cellStyle name="Bad 16 2" xfId="2332" xr:uid="{00000000-0005-0000-0000-000016090000}"/>
    <cellStyle name="Bad 16 3" xfId="2333" xr:uid="{00000000-0005-0000-0000-000017090000}"/>
    <cellStyle name="Bad 17" xfId="2334" xr:uid="{00000000-0005-0000-0000-000018090000}"/>
    <cellStyle name="Bad 17 2" xfId="2335" xr:uid="{00000000-0005-0000-0000-000019090000}"/>
    <cellStyle name="Bad 17 3" xfId="2336" xr:uid="{00000000-0005-0000-0000-00001A090000}"/>
    <cellStyle name="Bad 18" xfId="2337" xr:uid="{00000000-0005-0000-0000-00001B090000}"/>
    <cellStyle name="Bad 18 2" xfId="2338" xr:uid="{00000000-0005-0000-0000-00001C090000}"/>
    <cellStyle name="Bad 18 3" xfId="2339" xr:uid="{00000000-0005-0000-0000-00001D090000}"/>
    <cellStyle name="Bad 19" xfId="2340" xr:uid="{00000000-0005-0000-0000-00001E090000}"/>
    <cellStyle name="Bad 19 2" xfId="2341" xr:uid="{00000000-0005-0000-0000-00001F090000}"/>
    <cellStyle name="Bad 19 3" xfId="2342" xr:uid="{00000000-0005-0000-0000-000020090000}"/>
    <cellStyle name="Bad 2" xfId="2343" xr:uid="{00000000-0005-0000-0000-000021090000}"/>
    <cellStyle name="Bad 2 2" xfId="2344" xr:uid="{00000000-0005-0000-0000-000022090000}"/>
    <cellStyle name="Bad 2 2 2" xfId="2345" xr:uid="{00000000-0005-0000-0000-000023090000}"/>
    <cellStyle name="Bad 2 2 3" xfId="2346" xr:uid="{00000000-0005-0000-0000-000024090000}"/>
    <cellStyle name="Bad 2 3" xfId="2347" xr:uid="{00000000-0005-0000-0000-000025090000}"/>
    <cellStyle name="Bad 2 3 2" xfId="2348" xr:uid="{00000000-0005-0000-0000-000026090000}"/>
    <cellStyle name="Bad 2 3 3" xfId="2349" xr:uid="{00000000-0005-0000-0000-000027090000}"/>
    <cellStyle name="Bad 2 4" xfId="2350" xr:uid="{00000000-0005-0000-0000-000028090000}"/>
    <cellStyle name="Bad 2 5" xfId="2351" xr:uid="{00000000-0005-0000-0000-000029090000}"/>
    <cellStyle name="Bad 20" xfId="2352" xr:uid="{00000000-0005-0000-0000-00002A090000}"/>
    <cellStyle name="Bad 20 2" xfId="2353" xr:uid="{00000000-0005-0000-0000-00002B090000}"/>
    <cellStyle name="Bad 20 3" xfId="2354" xr:uid="{00000000-0005-0000-0000-00002C090000}"/>
    <cellStyle name="Bad 21" xfId="2355" xr:uid="{00000000-0005-0000-0000-00002D090000}"/>
    <cellStyle name="Bad 21 2" xfId="2356" xr:uid="{00000000-0005-0000-0000-00002E090000}"/>
    <cellStyle name="Bad 21 3" xfId="2357" xr:uid="{00000000-0005-0000-0000-00002F090000}"/>
    <cellStyle name="Bad 22" xfId="2358" xr:uid="{00000000-0005-0000-0000-000030090000}"/>
    <cellStyle name="Bad 22 2" xfId="2359" xr:uid="{00000000-0005-0000-0000-000031090000}"/>
    <cellStyle name="Bad 22 3" xfId="2360" xr:uid="{00000000-0005-0000-0000-000032090000}"/>
    <cellStyle name="Bad 23" xfId="2361" xr:uid="{00000000-0005-0000-0000-000033090000}"/>
    <cellStyle name="Bad 23 2" xfId="2362" xr:uid="{00000000-0005-0000-0000-000034090000}"/>
    <cellStyle name="Bad 23 3" xfId="2363" xr:uid="{00000000-0005-0000-0000-000035090000}"/>
    <cellStyle name="Bad 24" xfId="2364" xr:uid="{00000000-0005-0000-0000-000036090000}"/>
    <cellStyle name="Bad 24 2" xfId="2365" xr:uid="{00000000-0005-0000-0000-000037090000}"/>
    <cellStyle name="Bad 24 3" xfId="2366" xr:uid="{00000000-0005-0000-0000-000038090000}"/>
    <cellStyle name="Bad 25" xfId="2367" xr:uid="{00000000-0005-0000-0000-000039090000}"/>
    <cellStyle name="Bad 25 2" xfId="2368" xr:uid="{00000000-0005-0000-0000-00003A090000}"/>
    <cellStyle name="Bad 25 3" xfId="2369" xr:uid="{00000000-0005-0000-0000-00003B090000}"/>
    <cellStyle name="Bad 26" xfId="2370" xr:uid="{00000000-0005-0000-0000-00003C090000}"/>
    <cellStyle name="Bad 26 2" xfId="2371" xr:uid="{00000000-0005-0000-0000-00003D090000}"/>
    <cellStyle name="Bad 26 3" xfId="2372" xr:uid="{00000000-0005-0000-0000-00003E090000}"/>
    <cellStyle name="Bad 27" xfId="2373" xr:uid="{00000000-0005-0000-0000-00003F090000}"/>
    <cellStyle name="Bad 27 2" xfId="2374" xr:uid="{00000000-0005-0000-0000-000040090000}"/>
    <cellStyle name="Bad 27 3" xfId="2375" xr:uid="{00000000-0005-0000-0000-000041090000}"/>
    <cellStyle name="Bad 3" xfId="2376" xr:uid="{00000000-0005-0000-0000-000042090000}"/>
    <cellStyle name="Bad 3 2" xfId="2377" xr:uid="{00000000-0005-0000-0000-000043090000}"/>
    <cellStyle name="Bad 3 3" xfId="2378" xr:uid="{00000000-0005-0000-0000-000044090000}"/>
    <cellStyle name="Bad 4" xfId="2379" xr:uid="{00000000-0005-0000-0000-000045090000}"/>
    <cellStyle name="Bad 4 2" xfId="2380" xr:uid="{00000000-0005-0000-0000-000046090000}"/>
    <cellStyle name="Bad 4 3" xfId="2381" xr:uid="{00000000-0005-0000-0000-000047090000}"/>
    <cellStyle name="Bad 5" xfId="2382" xr:uid="{00000000-0005-0000-0000-000048090000}"/>
    <cellStyle name="Bad 5 2" xfId="2383" xr:uid="{00000000-0005-0000-0000-000049090000}"/>
    <cellStyle name="Bad 5 3" xfId="2384" xr:uid="{00000000-0005-0000-0000-00004A090000}"/>
    <cellStyle name="Bad 6" xfId="2385" xr:uid="{00000000-0005-0000-0000-00004B090000}"/>
    <cellStyle name="Bad 6 2" xfId="2386" xr:uid="{00000000-0005-0000-0000-00004C090000}"/>
    <cellStyle name="Bad 6 3" xfId="2387" xr:uid="{00000000-0005-0000-0000-00004D090000}"/>
    <cellStyle name="Bad 7" xfId="2388" xr:uid="{00000000-0005-0000-0000-00004E090000}"/>
    <cellStyle name="Bad 7 2" xfId="2389" xr:uid="{00000000-0005-0000-0000-00004F090000}"/>
    <cellStyle name="Bad 7 3" xfId="2390" xr:uid="{00000000-0005-0000-0000-000050090000}"/>
    <cellStyle name="Bad 8" xfId="2391" xr:uid="{00000000-0005-0000-0000-000051090000}"/>
    <cellStyle name="Bad 8 2" xfId="2392" xr:uid="{00000000-0005-0000-0000-000052090000}"/>
    <cellStyle name="Bad 8 3" xfId="2393" xr:uid="{00000000-0005-0000-0000-000053090000}"/>
    <cellStyle name="Bad 9" xfId="2394" xr:uid="{00000000-0005-0000-0000-000054090000}"/>
    <cellStyle name="Bad 9 2" xfId="2395" xr:uid="{00000000-0005-0000-0000-000055090000}"/>
    <cellStyle name="Bad 9 3" xfId="2396" xr:uid="{00000000-0005-0000-0000-000056090000}"/>
    <cellStyle name="BALANCE VER" xfId="2397" xr:uid="{00000000-0005-0000-0000-000057090000}"/>
    <cellStyle name="Bao - num" xfId="2398" xr:uid="{00000000-0005-0000-0000-000058090000}"/>
    <cellStyle name="Bao - per" xfId="2399" xr:uid="{00000000-0005-0000-0000-000059090000}"/>
    <cellStyle name="BLACK" xfId="2400" xr:uid="{00000000-0005-0000-0000-00005A090000}"/>
    <cellStyle name="BlackStrike" xfId="2401" xr:uid="{00000000-0005-0000-0000-00005B090000}"/>
    <cellStyle name="BlackText" xfId="2402" xr:uid="{00000000-0005-0000-0000-00005C090000}"/>
    <cellStyle name="Blank[,]" xfId="2404" xr:uid="{00000000-0005-0000-0000-00005E090000}"/>
    <cellStyle name="Blank[$]" xfId="2403" xr:uid="{00000000-0005-0000-0000-00005D090000}"/>
    <cellStyle name="Blank[1]" xfId="2407" xr:uid="{00000000-0005-0000-0000-000061090000}"/>
    <cellStyle name="Blank[1%]" xfId="2406" xr:uid="{00000000-0005-0000-0000-000060090000}"/>
    <cellStyle name="Blank[1$]" xfId="2405" xr:uid="{00000000-0005-0000-0000-00005F090000}"/>
    <cellStyle name="Blank[2]" xfId="2410" xr:uid="{00000000-0005-0000-0000-000064090000}"/>
    <cellStyle name="Blank[2%]" xfId="2409" xr:uid="{00000000-0005-0000-0000-000063090000}"/>
    <cellStyle name="Blank[2$]" xfId="2408" xr:uid="{00000000-0005-0000-0000-000062090000}"/>
    <cellStyle name="Blank[3]" xfId="2412" xr:uid="{00000000-0005-0000-0000-000066090000}"/>
    <cellStyle name="Blank[3$]" xfId="2411" xr:uid="{00000000-0005-0000-0000-000065090000}"/>
    <cellStyle name="BLUE" xfId="2413" xr:uid="{00000000-0005-0000-0000-000067090000}"/>
    <cellStyle name="blue currency" xfId="2414" xr:uid="{00000000-0005-0000-0000-000068090000}"/>
    <cellStyle name="BLUE date" xfId="2415" xr:uid="{00000000-0005-0000-0000-000069090000}"/>
    <cellStyle name="blue shading" xfId="2416" xr:uid="{00000000-0005-0000-0000-00006A090000}"/>
    <cellStyle name="Blue Title" xfId="2417" xr:uid="{00000000-0005-0000-0000-00006B090000}"/>
    <cellStyle name="Blue_Accretion Dilution Model v6" xfId="2419" xr:uid="{00000000-0005-0000-0000-00006D090000}"/>
    <cellStyle name="blue$00" xfId="2418" xr:uid="{00000000-0005-0000-0000-00006C090000}"/>
    <cellStyle name="bluepercent" xfId="2420" xr:uid="{00000000-0005-0000-0000-00006E090000}"/>
    <cellStyle name="Body" xfId="2421" xr:uid="{00000000-0005-0000-0000-00006F090000}"/>
    <cellStyle name="bold" xfId="2422" xr:uid="{00000000-0005-0000-0000-000070090000}"/>
    <cellStyle name="bold big" xfId="2423" xr:uid="{00000000-0005-0000-0000-000071090000}"/>
    <cellStyle name="bold_Cellular 3Q01_no NextWave_in progress" xfId="2425" xr:uid="{00000000-0005-0000-0000-000073090000}"/>
    <cellStyle name="Bold/Border" xfId="2424" xr:uid="{00000000-0005-0000-0000-000072090000}"/>
    <cellStyle name="BoldCen" xfId="2426" xr:uid="{00000000-0005-0000-0000-000074090000}"/>
    <cellStyle name="BoldCenUnd" xfId="2427" xr:uid="{00000000-0005-0000-0000-000075090000}"/>
    <cellStyle name="BoldText" xfId="2428" xr:uid="{00000000-0005-0000-0000-000076090000}"/>
    <cellStyle name="BOM-DOWN" xfId="2429" xr:uid="{00000000-0005-0000-0000-000077090000}"/>
    <cellStyle name="Border" xfId="2430" xr:uid="{00000000-0005-0000-0000-000078090000}"/>
    <cellStyle name="Border Heavy" xfId="2431" xr:uid="{00000000-0005-0000-0000-000079090000}"/>
    <cellStyle name="Border Thin" xfId="2432" xr:uid="{00000000-0005-0000-0000-00007A090000}"/>
    <cellStyle name="Border_TLCP Profile Info" xfId="2437" xr:uid="{00000000-0005-0000-0000-00007F090000}"/>
    <cellStyle name="Border, Bottom" xfId="2433" xr:uid="{00000000-0005-0000-0000-00007B090000}"/>
    <cellStyle name="Border, Left" xfId="2434" xr:uid="{00000000-0005-0000-0000-00007C090000}"/>
    <cellStyle name="Border, Right" xfId="2435" xr:uid="{00000000-0005-0000-0000-00007D090000}"/>
    <cellStyle name="Border, Top" xfId="2436" xr:uid="{00000000-0005-0000-0000-00007E090000}"/>
    <cellStyle name="Break" xfId="2438" xr:uid="{00000000-0005-0000-0000-000080090000}"/>
    <cellStyle name="British Pound" xfId="2439" xr:uid="{00000000-0005-0000-0000-000081090000}"/>
    <cellStyle name="British Pound[1]" xfId="2440" xr:uid="{00000000-0005-0000-0000-000082090000}"/>
    <cellStyle name="British Pound[2]" xfId="2441" xr:uid="{00000000-0005-0000-0000-000083090000}"/>
    <cellStyle name="BritPound" xfId="2442" xr:uid="{00000000-0005-0000-0000-000085090000}"/>
    <cellStyle name="bt" xfId="2443" xr:uid="{00000000-0005-0000-0000-000086090000}"/>
    <cellStyle name="Bullet" xfId="2444" xr:uid="{00000000-0005-0000-0000-000087090000}"/>
    <cellStyle name="Business Description" xfId="2445" xr:uid="{00000000-0005-0000-0000-000088090000}"/>
    <cellStyle name="c" xfId="2447" xr:uid="{00000000-0005-0000-0000-00008A090000}"/>
    <cellStyle name="C_HCL - Excel Backup" xfId="2448" xr:uid="{00000000-0005-0000-0000-00008B090000}"/>
    <cellStyle name="c_HCL Excel" xfId="2449" xr:uid="{00000000-0005-0000-0000-00008C090000}"/>
    <cellStyle name="Ç¥ÁØ_¿¬°£´©°è¿¹»ó" xfId="2450" xr:uid="{00000000-0005-0000-0000-00008D090000}"/>
    <cellStyle name="c2" xfId="2451" xr:uid="{00000000-0005-0000-0000-00008E090000}"/>
    <cellStyle name="Calc Currency (0)" xfId="2452" xr:uid="{00000000-0005-0000-0000-00008F090000}"/>
    <cellStyle name="Calc Currency (2)" xfId="2453" xr:uid="{00000000-0005-0000-0000-000090090000}"/>
    <cellStyle name="Calc Currency (2) 2" xfId="2454" xr:uid="{00000000-0005-0000-0000-000091090000}"/>
    <cellStyle name="Calc Percent (0)" xfId="2455" xr:uid="{00000000-0005-0000-0000-000092090000}"/>
    <cellStyle name="Calc Percent (0) 2" xfId="2456" xr:uid="{00000000-0005-0000-0000-000093090000}"/>
    <cellStyle name="Calc Percent (1)" xfId="2457" xr:uid="{00000000-0005-0000-0000-000094090000}"/>
    <cellStyle name="Calc Percent (1) 2" xfId="2458" xr:uid="{00000000-0005-0000-0000-000095090000}"/>
    <cellStyle name="Calc Percent (2)" xfId="2459" xr:uid="{00000000-0005-0000-0000-000096090000}"/>
    <cellStyle name="Calc Percent (2) 2" xfId="2460" xr:uid="{00000000-0005-0000-0000-000097090000}"/>
    <cellStyle name="Calc Units (0)" xfId="2461" xr:uid="{00000000-0005-0000-0000-000098090000}"/>
    <cellStyle name="Calc Units (0) 2" xfId="2462" xr:uid="{00000000-0005-0000-0000-000099090000}"/>
    <cellStyle name="Calc Units (1)" xfId="2463" xr:uid="{00000000-0005-0000-0000-00009A090000}"/>
    <cellStyle name="Calc Units (1) 2" xfId="2464" xr:uid="{00000000-0005-0000-0000-00009B090000}"/>
    <cellStyle name="Calc Units (2)" xfId="2465" xr:uid="{00000000-0005-0000-0000-00009C090000}"/>
    <cellStyle name="Calc Units (2) 2" xfId="2466" xr:uid="{00000000-0005-0000-0000-00009D090000}"/>
    <cellStyle name="Calculation 10" xfId="2467" xr:uid="{00000000-0005-0000-0000-00009E090000}"/>
    <cellStyle name="Calculation 10 2" xfId="2468" xr:uid="{00000000-0005-0000-0000-00009F090000}"/>
    <cellStyle name="Calculation 10 2 2" xfId="2469" xr:uid="{00000000-0005-0000-0000-0000A0090000}"/>
    <cellStyle name="Calculation 10 3" xfId="2470" xr:uid="{00000000-0005-0000-0000-0000A1090000}"/>
    <cellStyle name="Calculation 10 3 2" xfId="2471" xr:uid="{00000000-0005-0000-0000-0000A2090000}"/>
    <cellStyle name="Calculation 10 4" xfId="2472" xr:uid="{00000000-0005-0000-0000-0000A3090000}"/>
    <cellStyle name="Calculation 11" xfId="2473" xr:uid="{00000000-0005-0000-0000-0000A4090000}"/>
    <cellStyle name="Calculation 11 2" xfId="2474" xr:uid="{00000000-0005-0000-0000-0000A5090000}"/>
    <cellStyle name="Calculation 11 2 2" xfId="2475" xr:uid="{00000000-0005-0000-0000-0000A6090000}"/>
    <cellStyle name="Calculation 11 3" xfId="2476" xr:uid="{00000000-0005-0000-0000-0000A7090000}"/>
    <cellStyle name="Calculation 11 3 2" xfId="2477" xr:uid="{00000000-0005-0000-0000-0000A8090000}"/>
    <cellStyle name="Calculation 11 4" xfId="2478" xr:uid="{00000000-0005-0000-0000-0000A9090000}"/>
    <cellStyle name="Calculation 12" xfId="2479" xr:uid="{00000000-0005-0000-0000-0000AA090000}"/>
    <cellStyle name="Calculation 12 2" xfId="2480" xr:uid="{00000000-0005-0000-0000-0000AB090000}"/>
    <cellStyle name="Calculation 12 2 2" xfId="2481" xr:uid="{00000000-0005-0000-0000-0000AC090000}"/>
    <cellStyle name="Calculation 12 3" xfId="2482" xr:uid="{00000000-0005-0000-0000-0000AD090000}"/>
    <cellStyle name="Calculation 12 3 2" xfId="2483" xr:uid="{00000000-0005-0000-0000-0000AE090000}"/>
    <cellStyle name="Calculation 12 4" xfId="2484" xr:uid="{00000000-0005-0000-0000-0000AF090000}"/>
    <cellStyle name="Calculation 13" xfId="2485" xr:uid="{00000000-0005-0000-0000-0000B0090000}"/>
    <cellStyle name="Calculation 13 2" xfId="2486" xr:uid="{00000000-0005-0000-0000-0000B1090000}"/>
    <cellStyle name="Calculation 13 2 2" xfId="2487" xr:uid="{00000000-0005-0000-0000-0000B2090000}"/>
    <cellStyle name="Calculation 13 3" xfId="2488" xr:uid="{00000000-0005-0000-0000-0000B3090000}"/>
    <cellStyle name="Calculation 13 3 2" xfId="2489" xr:uid="{00000000-0005-0000-0000-0000B4090000}"/>
    <cellStyle name="Calculation 13 4" xfId="2490" xr:uid="{00000000-0005-0000-0000-0000B5090000}"/>
    <cellStyle name="Calculation 14" xfId="2491" xr:uid="{00000000-0005-0000-0000-0000B6090000}"/>
    <cellStyle name="Calculation 14 2" xfId="2492" xr:uid="{00000000-0005-0000-0000-0000B7090000}"/>
    <cellStyle name="Calculation 14 2 2" xfId="2493" xr:uid="{00000000-0005-0000-0000-0000B8090000}"/>
    <cellStyle name="Calculation 14 3" xfId="2494" xr:uid="{00000000-0005-0000-0000-0000B9090000}"/>
    <cellStyle name="Calculation 14 3 2" xfId="2495" xr:uid="{00000000-0005-0000-0000-0000BA090000}"/>
    <cellStyle name="Calculation 14 4" xfId="2496" xr:uid="{00000000-0005-0000-0000-0000BB090000}"/>
    <cellStyle name="Calculation 15" xfId="2497" xr:uid="{00000000-0005-0000-0000-0000BC090000}"/>
    <cellStyle name="Calculation 15 2" xfId="2498" xr:uid="{00000000-0005-0000-0000-0000BD090000}"/>
    <cellStyle name="Calculation 15 2 2" xfId="2499" xr:uid="{00000000-0005-0000-0000-0000BE090000}"/>
    <cellStyle name="Calculation 15 3" xfId="2500" xr:uid="{00000000-0005-0000-0000-0000BF090000}"/>
    <cellStyle name="Calculation 15 3 2" xfId="2501" xr:uid="{00000000-0005-0000-0000-0000C0090000}"/>
    <cellStyle name="Calculation 15 4" xfId="2502" xr:uid="{00000000-0005-0000-0000-0000C1090000}"/>
    <cellStyle name="Calculation 16" xfId="2503" xr:uid="{00000000-0005-0000-0000-0000C2090000}"/>
    <cellStyle name="Calculation 16 2" xfId="2504" xr:uid="{00000000-0005-0000-0000-0000C3090000}"/>
    <cellStyle name="Calculation 16 2 2" xfId="2505" xr:uid="{00000000-0005-0000-0000-0000C4090000}"/>
    <cellStyle name="Calculation 16 3" xfId="2506" xr:uid="{00000000-0005-0000-0000-0000C5090000}"/>
    <cellStyle name="Calculation 16 3 2" xfId="2507" xr:uid="{00000000-0005-0000-0000-0000C6090000}"/>
    <cellStyle name="Calculation 16 4" xfId="2508" xr:uid="{00000000-0005-0000-0000-0000C7090000}"/>
    <cellStyle name="Calculation 17" xfId="2509" xr:uid="{00000000-0005-0000-0000-0000C8090000}"/>
    <cellStyle name="Calculation 17 2" xfId="2510" xr:uid="{00000000-0005-0000-0000-0000C9090000}"/>
    <cellStyle name="Calculation 17 2 2" xfId="2511" xr:uid="{00000000-0005-0000-0000-0000CA090000}"/>
    <cellStyle name="Calculation 17 3" xfId="2512" xr:uid="{00000000-0005-0000-0000-0000CB090000}"/>
    <cellStyle name="Calculation 17 3 2" xfId="2513" xr:uid="{00000000-0005-0000-0000-0000CC090000}"/>
    <cellStyle name="Calculation 17 4" xfId="2514" xr:uid="{00000000-0005-0000-0000-0000CD090000}"/>
    <cellStyle name="Calculation 18" xfId="2515" xr:uid="{00000000-0005-0000-0000-0000CE090000}"/>
    <cellStyle name="Calculation 18 2" xfId="2516" xr:uid="{00000000-0005-0000-0000-0000CF090000}"/>
    <cellStyle name="Calculation 18 2 2" xfId="2517" xr:uid="{00000000-0005-0000-0000-0000D0090000}"/>
    <cellStyle name="Calculation 18 3" xfId="2518" xr:uid="{00000000-0005-0000-0000-0000D1090000}"/>
    <cellStyle name="Calculation 18 3 2" xfId="2519" xr:uid="{00000000-0005-0000-0000-0000D2090000}"/>
    <cellStyle name="Calculation 18 4" xfId="2520" xr:uid="{00000000-0005-0000-0000-0000D3090000}"/>
    <cellStyle name="Calculation 19" xfId="2521" xr:uid="{00000000-0005-0000-0000-0000D4090000}"/>
    <cellStyle name="Calculation 19 2" xfId="2522" xr:uid="{00000000-0005-0000-0000-0000D5090000}"/>
    <cellStyle name="Calculation 19 2 2" xfId="2523" xr:uid="{00000000-0005-0000-0000-0000D6090000}"/>
    <cellStyle name="Calculation 19 3" xfId="2524" xr:uid="{00000000-0005-0000-0000-0000D7090000}"/>
    <cellStyle name="Calculation 19 3 2" xfId="2525" xr:uid="{00000000-0005-0000-0000-0000D8090000}"/>
    <cellStyle name="Calculation 19 4" xfId="2526" xr:uid="{00000000-0005-0000-0000-0000D9090000}"/>
    <cellStyle name="Calculation 2" xfId="2527" xr:uid="{00000000-0005-0000-0000-0000DA090000}"/>
    <cellStyle name="Calculation 2 2" xfId="2528" xr:uid="{00000000-0005-0000-0000-0000DB090000}"/>
    <cellStyle name="Calculation 2 2 2" xfId="2529" xr:uid="{00000000-0005-0000-0000-0000DC090000}"/>
    <cellStyle name="Calculation 2 2 2 2" xfId="2530" xr:uid="{00000000-0005-0000-0000-0000DD090000}"/>
    <cellStyle name="Calculation 2 2 3" xfId="2531" xr:uid="{00000000-0005-0000-0000-0000DE090000}"/>
    <cellStyle name="Calculation 2 2 3 2" xfId="2532" xr:uid="{00000000-0005-0000-0000-0000DF090000}"/>
    <cellStyle name="Calculation 2 2 4" xfId="2533" xr:uid="{00000000-0005-0000-0000-0000E0090000}"/>
    <cellStyle name="Calculation 2 3" xfId="2534" xr:uid="{00000000-0005-0000-0000-0000E1090000}"/>
    <cellStyle name="Calculation 2 3 2" xfId="2535" xr:uid="{00000000-0005-0000-0000-0000E2090000}"/>
    <cellStyle name="Calculation 2 3 2 2" xfId="2536" xr:uid="{00000000-0005-0000-0000-0000E3090000}"/>
    <cellStyle name="Calculation 2 3 3" xfId="2537" xr:uid="{00000000-0005-0000-0000-0000E4090000}"/>
    <cellStyle name="Calculation 2 3 3 2" xfId="2538" xr:uid="{00000000-0005-0000-0000-0000E5090000}"/>
    <cellStyle name="Calculation 2 3 4" xfId="2539" xr:uid="{00000000-0005-0000-0000-0000E6090000}"/>
    <cellStyle name="Calculation 2 4" xfId="2540" xr:uid="{00000000-0005-0000-0000-0000E7090000}"/>
    <cellStyle name="Calculation 2 4 2" xfId="2541" xr:uid="{00000000-0005-0000-0000-0000E8090000}"/>
    <cellStyle name="Calculation 2 5" xfId="2542" xr:uid="{00000000-0005-0000-0000-0000E9090000}"/>
    <cellStyle name="Calculation 2 5 2" xfId="2543" xr:uid="{00000000-0005-0000-0000-0000EA090000}"/>
    <cellStyle name="Calculation 2 6" xfId="2544" xr:uid="{00000000-0005-0000-0000-0000EB090000}"/>
    <cellStyle name="Calculation 2_TOTAL OB COAL" xfId="2545" xr:uid="{00000000-0005-0000-0000-0000EC090000}"/>
    <cellStyle name="Calculation 20" xfId="2546" xr:uid="{00000000-0005-0000-0000-0000ED090000}"/>
    <cellStyle name="Calculation 20 2" xfId="2547" xr:uid="{00000000-0005-0000-0000-0000EE090000}"/>
    <cellStyle name="Calculation 20 2 2" xfId="2548" xr:uid="{00000000-0005-0000-0000-0000EF090000}"/>
    <cellStyle name="Calculation 20 3" xfId="2549" xr:uid="{00000000-0005-0000-0000-0000F0090000}"/>
    <cellStyle name="Calculation 20 3 2" xfId="2550" xr:uid="{00000000-0005-0000-0000-0000F1090000}"/>
    <cellStyle name="Calculation 20 4" xfId="2551" xr:uid="{00000000-0005-0000-0000-0000F2090000}"/>
    <cellStyle name="Calculation 21" xfId="2552" xr:uid="{00000000-0005-0000-0000-0000F3090000}"/>
    <cellStyle name="Calculation 21 2" xfId="2553" xr:uid="{00000000-0005-0000-0000-0000F4090000}"/>
    <cellStyle name="Calculation 21 2 2" xfId="2554" xr:uid="{00000000-0005-0000-0000-0000F5090000}"/>
    <cellStyle name="Calculation 21 3" xfId="2555" xr:uid="{00000000-0005-0000-0000-0000F6090000}"/>
    <cellStyle name="Calculation 21 3 2" xfId="2556" xr:uid="{00000000-0005-0000-0000-0000F7090000}"/>
    <cellStyle name="Calculation 21 4" xfId="2557" xr:uid="{00000000-0005-0000-0000-0000F8090000}"/>
    <cellStyle name="Calculation 22" xfId="2558" xr:uid="{00000000-0005-0000-0000-0000F9090000}"/>
    <cellStyle name="Calculation 22 2" xfId="2559" xr:uid="{00000000-0005-0000-0000-0000FA090000}"/>
    <cellStyle name="Calculation 22 2 2" xfId="2560" xr:uid="{00000000-0005-0000-0000-0000FB090000}"/>
    <cellStyle name="Calculation 22 3" xfId="2561" xr:uid="{00000000-0005-0000-0000-0000FC090000}"/>
    <cellStyle name="Calculation 22 3 2" xfId="2562" xr:uid="{00000000-0005-0000-0000-0000FD090000}"/>
    <cellStyle name="Calculation 22 4" xfId="2563" xr:uid="{00000000-0005-0000-0000-0000FE090000}"/>
    <cellStyle name="Calculation 23" xfId="2564" xr:uid="{00000000-0005-0000-0000-0000FF090000}"/>
    <cellStyle name="Calculation 23 2" xfId="2565" xr:uid="{00000000-0005-0000-0000-0000000A0000}"/>
    <cellStyle name="Calculation 23 2 2" xfId="2566" xr:uid="{00000000-0005-0000-0000-0000010A0000}"/>
    <cellStyle name="Calculation 23 3" xfId="2567" xr:uid="{00000000-0005-0000-0000-0000020A0000}"/>
    <cellStyle name="Calculation 23 3 2" xfId="2568" xr:uid="{00000000-0005-0000-0000-0000030A0000}"/>
    <cellStyle name="Calculation 23 4" xfId="2569" xr:uid="{00000000-0005-0000-0000-0000040A0000}"/>
    <cellStyle name="Calculation 24" xfId="2570" xr:uid="{00000000-0005-0000-0000-0000050A0000}"/>
    <cellStyle name="Calculation 24 2" xfId="2571" xr:uid="{00000000-0005-0000-0000-0000060A0000}"/>
    <cellStyle name="Calculation 24 2 2" xfId="2572" xr:uid="{00000000-0005-0000-0000-0000070A0000}"/>
    <cellStyle name="Calculation 24 3" xfId="2573" xr:uid="{00000000-0005-0000-0000-0000080A0000}"/>
    <cellStyle name="Calculation 24 3 2" xfId="2574" xr:uid="{00000000-0005-0000-0000-0000090A0000}"/>
    <cellStyle name="Calculation 24 4" xfId="2575" xr:uid="{00000000-0005-0000-0000-00000A0A0000}"/>
    <cellStyle name="Calculation 25" xfId="2576" xr:uid="{00000000-0005-0000-0000-00000B0A0000}"/>
    <cellStyle name="Calculation 25 2" xfId="2577" xr:uid="{00000000-0005-0000-0000-00000C0A0000}"/>
    <cellStyle name="Calculation 25 2 2" xfId="2578" xr:uid="{00000000-0005-0000-0000-00000D0A0000}"/>
    <cellStyle name="Calculation 25 3" xfId="2579" xr:uid="{00000000-0005-0000-0000-00000E0A0000}"/>
    <cellStyle name="Calculation 25 3 2" xfId="2580" xr:uid="{00000000-0005-0000-0000-00000F0A0000}"/>
    <cellStyle name="Calculation 25 4" xfId="2581" xr:uid="{00000000-0005-0000-0000-0000100A0000}"/>
    <cellStyle name="Calculation 26" xfId="2582" xr:uid="{00000000-0005-0000-0000-0000110A0000}"/>
    <cellStyle name="Calculation 26 2" xfId="2583" xr:uid="{00000000-0005-0000-0000-0000120A0000}"/>
    <cellStyle name="Calculation 26 2 2" xfId="2584" xr:uid="{00000000-0005-0000-0000-0000130A0000}"/>
    <cellStyle name="Calculation 26 3" xfId="2585" xr:uid="{00000000-0005-0000-0000-0000140A0000}"/>
    <cellStyle name="Calculation 26 3 2" xfId="2586" xr:uid="{00000000-0005-0000-0000-0000150A0000}"/>
    <cellStyle name="Calculation 26 4" xfId="2587" xr:uid="{00000000-0005-0000-0000-0000160A0000}"/>
    <cellStyle name="Calculation 27" xfId="2588" xr:uid="{00000000-0005-0000-0000-0000170A0000}"/>
    <cellStyle name="Calculation 27 2" xfId="2589" xr:uid="{00000000-0005-0000-0000-0000180A0000}"/>
    <cellStyle name="Calculation 27 2 2" xfId="2590" xr:uid="{00000000-0005-0000-0000-0000190A0000}"/>
    <cellStyle name="Calculation 27 3" xfId="2591" xr:uid="{00000000-0005-0000-0000-00001A0A0000}"/>
    <cellStyle name="Calculation 27 3 2" xfId="2592" xr:uid="{00000000-0005-0000-0000-00001B0A0000}"/>
    <cellStyle name="Calculation 27 4" xfId="2593" xr:uid="{00000000-0005-0000-0000-00001C0A0000}"/>
    <cellStyle name="Calculation 3" xfId="2594" xr:uid="{00000000-0005-0000-0000-00001D0A0000}"/>
    <cellStyle name="Calculation 3 2" xfId="2595" xr:uid="{00000000-0005-0000-0000-00001E0A0000}"/>
    <cellStyle name="Calculation 3 2 2" xfId="2596" xr:uid="{00000000-0005-0000-0000-00001F0A0000}"/>
    <cellStyle name="Calculation 3 3" xfId="2597" xr:uid="{00000000-0005-0000-0000-0000200A0000}"/>
    <cellStyle name="Calculation 3 3 2" xfId="2598" xr:uid="{00000000-0005-0000-0000-0000210A0000}"/>
    <cellStyle name="Calculation 3 4" xfId="2599" xr:uid="{00000000-0005-0000-0000-0000220A0000}"/>
    <cellStyle name="Calculation 4" xfId="2600" xr:uid="{00000000-0005-0000-0000-0000230A0000}"/>
    <cellStyle name="Calculation 4 2" xfId="2601" xr:uid="{00000000-0005-0000-0000-0000240A0000}"/>
    <cellStyle name="Calculation 4 2 2" xfId="2602" xr:uid="{00000000-0005-0000-0000-0000250A0000}"/>
    <cellStyle name="Calculation 4 3" xfId="2603" xr:uid="{00000000-0005-0000-0000-0000260A0000}"/>
    <cellStyle name="Calculation 4 3 2" xfId="2604" xr:uid="{00000000-0005-0000-0000-0000270A0000}"/>
    <cellStyle name="Calculation 4 4" xfId="2605" xr:uid="{00000000-0005-0000-0000-0000280A0000}"/>
    <cellStyle name="Calculation 5" xfId="2606" xr:uid="{00000000-0005-0000-0000-0000290A0000}"/>
    <cellStyle name="Calculation 5 2" xfId="2607" xr:uid="{00000000-0005-0000-0000-00002A0A0000}"/>
    <cellStyle name="Calculation 5 2 2" xfId="2608" xr:uid="{00000000-0005-0000-0000-00002B0A0000}"/>
    <cellStyle name="Calculation 5 3" xfId="2609" xr:uid="{00000000-0005-0000-0000-00002C0A0000}"/>
    <cellStyle name="Calculation 5 3 2" xfId="2610" xr:uid="{00000000-0005-0000-0000-00002D0A0000}"/>
    <cellStyle name="Calculation 5 4" xfId="2611" xr:uid="{00000000-0005-0000-0000-00002E0A0000}"/>
    <cellStyle name="Calculation 6" xfId="2612" xr:uid="{00000000-0005-0000-0000-00002F0A0000}"/>
    <cellStyle name="Calculation 6 2" xfId="2613" xr:uid="{00000000-0005-0000-0000-0000300A0000}"/>
    <cellStyle name="Calculation 6 2 2" xfId="2614" xr:uid="{00000000-0005-0000-0000-0000310A0000}"/>
    <cellStyle name="Calculation 6 3" xfId="2615" xr:uid="{00000000-0005-0000-0000-0000320A0000}"/>
    <cellStyle name="Calculation 6 3 2" xfId="2616" xr:uid="{00000000-0005-0000-0000-0000330A0000}"/>
    <cellStyle name="Calculation 6 4" xfId="2617" xr:uid="{00000000-0005-0000-0000-0000340A0000}"/>
    <cellStyle name="Calculation 7" xfId="2618" xr:uid="{00000000-0005-0000-0000-0000350A0000}"/>
    <cellStyle name="Calculation 7 2" xfId="2619" xr:uid="{00000000-0005-0000-0000-0000360A0000}"/>
    <cellStyle name="Calculation 7 2 2" xfId="2620" xr:uid="{00000000-0005-0000-0000-0000370A0000}"/>
    <cellStyle name="Calculation 7 3" xfId="2621" xr:uid="{00000000-0005-0000-0000-0000380A0000}"/>
    <cellStyle name="Calculation 7 3 2" xfId="2622" xr:uid="{00000000-0005-0000-0000-0000390A0000}"/>
    <cellStyle name="Calculation 7 4" xfId="2623" xr:uid="{00000000-0005-0000-0000-00003A0A0000}"/>
    <cellStyle name="Calculation 8" xfId="2624" xr:uid="{00000000-0005-0000-0000-00003B0A0000}"/>
    <cellStyle name="Calculation 8 2" xfId="2625" xr:uid="{00000000-0005-0000-0000-00003C0A0000}"/>
    <cellStyle name="Calculation 8 2 2" xfId="2626" xr:uid="{00000000-0005-0000-0000-00003D0A0000}"/>
    <cellStyle name="Calculation 8 3" xfId="2627" xr:uid="{00000000-0005-0000-0000-00003E0A0000}"/>
    <cellStyle name="Calculation 8 3 2" xfId="2628" xr:uid="{00000000-0005-0000-0000-00003F0A0000}"/>
    <cellStyle name="Calculation 8 4" xfId="2629" xr:uid="{00000000-0005-0000-0000-0000400A0000}"/>
    <cellStyle name="Calculation 9" xfId="2630" xr:uid="{00000000-0005-0000-0000-0000410A0000}"/>
    <cellStyle name="Calculation 9 2" xfId="2631" xr:uid="{00000000-0005-0000-0000-0000420A0000}"/>
    <cellStyle name="Calculation 9 2 2" xfId="2632" xr:uid="{00000000-0005-0000-0000-0000430A0000}"/>
    <cellStyle name="Calculation 9 3" xfId="2633" xr:uid="{00000000-0005-0000-0000-0000440A0000}"/>
    <cellStyle name="Calculation 9 3 2" xfId="2634" xr:uid="{00000000-0005-0000-0000-0000450A0000}"/>
    <cellStyle name="Calculation 9 4" xfId="2635" xr:uid="{00000000-0005-0000-0000-0000460A0000}"/>
    <cellStyle name="CAPS1" xfId="2636" xr:uid="{00000000-0005-0000-0000-0000470A0000}"/>
    <cellStyle name="Case" xfId="2637" xr:uid="{00000000-0005-0000-0000-0000480A0000}"/>
    <cellStyle name="Cash Flow Statement" xfId="2638" xr:uid="{00000000-0005-0000-0000-0000490A0000}"/>
    <cellStyle name="Category Name" xfId="2639" xr:uid="{00000000-0005-0000-0000-00004A0A0000}"/>
    <cellStyle name="CCP worksheet" xfId="2640" xr:uid="{00000000-0005-0000-0000-00004B0A0000}"/>
    <cellStyle name="center" xfId="2641" xr:uid="{00000000-0005-0000-0000-00004C0A0000}"/>
    <cellStyle name="Center Across" xfId="2642" xr:uid="{00000000-0005-0000-0000-00004D0A0000}"/>
    <cellStyle name="Changeable" xfId="2643" xr:uid="{00000000-0005-0000-0000-00004E0A0000}"/>
    <cellStyle name="check" xfId="2644" xr:uid="{00000000-0005-0000-0000-00004F0A0000}"/>
    <cellStyle name="Check Cell 10" xfId="2645" xr:uid="{00000000-0005-0000-0000-0000500A0000}"/>
    <cellStyle name="Check Cell 10 2" xfId="2646" xr:uid="{00000000-0005-0000-0000-0000510A0000}"/>
    <cellStyle name="Check Cell 10 3" xfId="2647" xr:uid="{00000000-0005-0000-0000-0000520A0000}"/>
    <cellStyle name="Check Cell 11" xfId="2648" xr:uid="{00000000-0005-0000-0000-0000530A0000}"/>
    <cellStyle name="Check Cell 11 2" xfId="2649" xr:uid="{00000000-0005-0000-0000-0000540A0000}"/>
    <cellStyle name="Check Cell 11 3" xfId="2650" xr:uid="{00000000-0005-0000-0000-0000550A0000}"/>
    <cellStyle name="Check Cell 12" xfId="2651" xr:uid="{00000000-0005-0000-0000-0000560A0000}"/>
    <cellStyle name="Check Cell 12 2" xfId="2652" xr:uid="{00000000-0005-0000-0000-0000570A0000}"/>
    <cellStyle name="Check Cell 12 3" xfId="2653" xr:uid="{00000000-0005-0000-0000-0000580A0000}"/>
    <cellStyle name="Check Cell 13" xfId="2654" xr:uid="{00000000-0005-0000-0000-0000590A0000}"/>
    <cellStyle name="Check Cell 13 2" xfId="2655" xr:uid="{00000000-0005-0000-0000-00005A0A0000}"/>
    <cellStyle name="Check Cell 13 3" xfId="2656" xr:uid="{00000000-0005-0000-0000-00005B0A0000}"/>
    <cellStyle name="Check Cell 14" xfId="2657" xr:uid="{00000000-0005-0000-0000-00005C0A0000}"/>
    <cellStyle name="Check Cell 14 2" xfId="2658" xr:uid="{00000000-0005-0000-0000-00005D0A0000}"/>
    <cellStyle name="Check Cell 14 3" xfId="2659" xr:uid="{00000000-0005-0000-0000-00005E0A0000}"/>
    <cellStyle name="Check Cell 15" xfId="2660" xr:uid="{00000000-0005-0000-0000-00005F0A0000}"/>
    <cellStyle name="Check Cell 15 2" xfId="2661" xr:uid="{00000000-0005-0000-0000-0000600A0000}"/>
    <cellStyle name="Check Cell 15 3" xfId="2662" xr:uid="{00000000-0005-0000-0000-0000610A0000}"/>
    <cellStyle name="Check Cell 16" xfId="2663" xr:uid="{00000000-0005-0000-0000-0000620A0000}"/>
    <cellStyle name="Check Cell 16 2" xfId="2664" xr:uid="{00000000-0005-0000-0000-0000630A0000}"/>
    <cellStyle name="Check Cell 16 3" xfId="2665" xr:uid="{00000000-0005-0000-0000-0000640A0000}"/>
    <cellStyle name="Check Cell 17" xfId="2666" xr:uid="{00000000-0005-0000-0000-0000650A0000}"/>
    <cellStyle name="Check Cell 17 2" xfId="2667" xr:uid="{00000000-0005-0000-0000-0000660A0000}"/>
    <cellStyle name="Check Cell 17 3" xfId="2668" xr:uid="{00000000-0005-0000-0000-0000670A0000}"/>
    <cellStyle name="Check Cell 18" xfId="2669" xr:uid="{00000000-0005-0000-0000-0000680A0000}"/>
    <cellStyle name="Check Cell 18 2" xfId="2670" xr:uid="{00000000-0005-0000-0000-0000690A0000}"/>
    <cellStyle name="Check Cell 18 3" xfId="2671" xr:uid="{00000000-0005-0000-0000-00006A0A0000}"/>
    <cellStyle name="Check Cell 19" xfId="2672" xr:uid="{00000000-0005-0000-0000-00006B0A0000}"/>
    <cellStyle name="Check Cell 19 2" xfId="2673" xr:uid="{00000000-0005-0000-0000-00006C0A0000}"/>
    <cellStyle name="Check Cell 19 3" xfId="2674" xr:uid="{00000000-0005-0000-0000-00006D0A0000}"/>
    <cellStyle name="Check Cell 2" xfId="2675" xr:uid="{00000000-0005-0000-0000-00006E0A0000}"/>
    <cellStyle name="Check Cell 2 2" xfId="2676" xr:uid="{00000000-0005-0000-0000-00006F0A0000}"/>
    <cellStyle name="Check Cell 2 2 2" xfId="2677" xr:uid="{00000000-0005-0000-0000-0000700A0000}"/>
    <cellStyle name="Check Cell 2 2 3" xfId="2678" xr:uid="{00000000-0005-0000-0000-0000710A0000}"/>
    <cellStyle name="Check Cell 2 3" xfId="2679" xr:uid="{00000000-0005-0000-0000-0000720A0000}"/>
    <cellStyle name="Check Cell 2 3 2" xfId="2680" xr:uid="{00000000-0005-0000-0000-0000730A0000}"/>
    <cellStyle name="Check Cell 2 3 3" xfId="2681" xr:uid="{00000000-0005-0000-0000-0000740A0000}"/>
    <cellStyle name="Check Cell 2 4" xfId="2682" xr:uid="{00000000-0005-0000-0000-0000750A0000}"/>
    <cellStyle name="Check Cell 2 5" xfId="2683" xr:uid="{00000000-0005-0000-0000-0000760A0000}"/>
    <cellStyle name="Check Cell 2_TOTAL OB COAL" xfId="2684" xr:uid="{00000000-0005-0000-0000-0000770A0000}"/>
    <cellStyle name="Check Cell 20" xfId="2685" xr:uid="{00000000-0005-0000-0000-0000780A0000}"/>
    <cellStyle name="Check Cell 20 2" xfId="2686" xr:uid="{00000000-0005-0000-0000-0000790A0000}"/>
    <cellStyle name="Check Cell 20 3" xfId="2687" xr:uid="{00000000-0005-0000-0000-00007A0A0000}"/>
    <cellStyle name="Check Cell 21" xfId="2688" xr:uid="{00000000-0005-0000-0000-00007B0A0000}"/>
    <cellStyle name="Check Cell 21 2" xfId="2689" xr:uid="{00000000-0005-0000-0000-00007C0A0000}"/>
    <cellStyle name="Check Cell 21 3" xfId="2690" xr:uid="{00000000-0005-0000-0000-00007D0A0000}"/>
    <cellStyle name="Check Cell 22" xfId="2691" xr:uid="{00000000-0005-0000-0000-00007E0A0000}"/>
    <cellStyle name="Check Cell 22 2" xfId="2692" xr:uid="{00000000-0005-0000-0000-00007F0A0000}"/>
    <cellStyle name="Check Cell 22 3" xfId="2693" xr:uid="{00000000-0005-0000-0000-0000800A0000}"/>
    <cellStyle name="Check Cell 23" xfId="2694" xr:uid="{00000000-0005-0000-0000-0000810A0000}"/>
    <cellStyle name="Check Cell 23 2" xfId="2695" xr:uid="{00000000-0005-0000-0000-0000820A0000}"/>
    <cellStyle name="Check Cell 23 3" xfId="2696" xr:uid="{00000000-0005-0000-0000-0000830A0000}"/>
    <cellStyle name="Check Cell 24" xfId="2697" xr:uid="{00000000-0005-0000-0000-0000840A0000}"/>
    <cellStyle name="Check Cell 24 2" xfId="2698" xr:uid="{00000000-0005-0000-0000-0000850A0000}"/>
    <cellStyle name="Check Cell 24 3" xfId="2699" xr:uid="{00000000-0005-0000-0000-0000860A0000}"/>
    <cellStyle name="Check Cell 25" xfId="2700" xr:uid="{00000000-0005-0000-0000-0000870A0000}"/>
    <cellStyle name="Check Cell 25 2" xfId="2701" xr:uid="{00000000-0005-0000-0000-0000880A0000}"/>
    <cellStyle name="Check Cell 25 3" xfId="2702" xr:uid="{00000000-0005-0000-0000-0000890A0000}"/>
    <cellStyle name="Check Cell 26" xfId="2703" xr:uid="{00000000-0005-0000-0000-00008A0A0000}"/>
    <cellStyle name="Check Cell 26 2" xfId="2704" xr:uid="{00000000-0005-0000-0000-00008B0A0000}"/>
    <cellStyle name="Check Cell 26 3" xfId="2705" xr:uid="{00000000-0005-0000-0000-00008C0A0000}"/>
    <cellStyle name="Check Cell 27" xfId="2706" xr:uid="{00000000-0005-0000-0000-00008D0A0000}"/>
    <cellStyle name="Check Cell 27 2" xfId="2707" xr:uid="{00000000-0005-0000-0000-00008E0A0000}"/>
    <cellStyle name="Check Cell 27 3" xfId="2708" xr:uid="{00000000-0005-0000-0000-00008F0A0000}"/>
    <cellStyle name="Check Cell 3" xfId="2709" xr:uid="{00000000-0005-0000-0000-0000900A0000}"/>
    <cellStyle name="Check Cell 3 2" xfId="2710" xr:uid="{00000000-0005-0000-0000-0000910A0000}"/>
    <cellStyle name="Check Cell 3 3" xfId="2711" xr:uid="{00000000-0005-0000-0000-0000920A0000}"/>
    <cellStyle name="Check Cell 4" xfId="2712" xr:uid="{00000000-0005-0000-0000-0000930A0000}"/>
    <cellStyle name="Check Cell 4 2" xfId="2713" xr:uid="{00000000-0005-0000-0000-0000940A0000}"/>
    <cellStyle name="Check Cell 4 3" xfId="2714" xr:uid="{00000000-0005-0000-0000-0000950A0000}"/>
    <cellStyle name="Check Cell 5" xfId="2715" xr:uid="{00000000-0005-0000-0000-0000960A0000}"/>
    <cellStyle name="Check Cell 5 2" xfId="2716" xr:uid="{00000000-0005-0000-0000-0000970A0000}"/>
    <cellStyle name="Check Cell 5 3" xfId="2717" xr:uid="{00000000-0005-0000-0000-0000980A0000}"/>
    <cellStyle name="Check Cell 6" xfId="2718" xr:uid="{00000000-0005-0000-0000-0000990A0000}"/>
    <cellStyle name="Check Cell 6 2" xfId="2719" xr:uid="{00000000-0005-0000-0000-00009A0A0000}"/>
    <cellStyle name="Check Cell 6 3" xfId="2720" xr:uid="{00000000-0005-0000-0000-00009B0A0000}"/>
    <cellStyle name="Check Cell 7" xfId="2721" xr:uid="{00000000-0005-0000-0000-00009C0A0000}"/>
    <cellStyle name="Check Cell 7 2" xfId="2722" xr:uid="{00000000-0005-0000-0000-00009D0A0000}"/>
    <cellStyle name="Check Cell 7 3" xfId="2723" xr:uid="{00000000-0005-0000-0000-00009E0A0000}"/>
    <cellStyle name="Check Cell 8" xfId="2724" xr:uid="{00000000-0005-0000-0000-00009F0A0000}"/>
    <cellStyle name="Check Cell 8 2" xfId="2725" xr:uid="{00000000-0005-0000-0000-0000A00A0000}"/>
    <cellStyle name="Check Cell 8 3" xfId="2726" xr:uid="{00000000-0005-0000-0000-0000A10A0000}"/>
    <cellStyle name="Check Cell 9" xfId="2727" xr:uid="{00000000-0005-0000-0000-0000A20A0000}"/>
    <cellStyle name="Check Cell 9 2" xfId="2728" xr:uid="{00000000-0005-0000-0000-0000A30A0000}"/>
    <cellStyle name="Check Cell 9 3" xfId="2729" xr:uid="{00000000-0005-0000-0000-0000A40A0000}"/>
    <cellStyle name="Classic" xfId="2730" xr:uid="{00000000-0005-0000-0000-0000A50A0000}"/>
    <cellStyle name="Co. Names" xfId="2731" xr:uid="{00000000-0005-0000-0000-0000A60A0000}"/>
    <cellStyle name="Co. Names - Bold" xfId="2732" xr:uid="{00000000-0005-0000-0000-0000A70A0000}"/>
    <cellStyle name="Co. Names_Accretion Model" xfId="2733" xr:uid="{00000000-0005-0000-0000-0000A80A0000}"/>
    <cellStyle name="Code" xfId="2734" xr:uid="{00000000-0005-0000-0000-0000A90A0000}"/>
    <cellStyle name="Code Section" xfId="2735" xr:uid="{00000000-0005-0000-0000-0000AA0A0000}"/>
    <cellStyle name="col" xfId="2736" xr:uid="{00000000-0005-0000-0000-0000AB0A0000}"/>
    <cellStyle name="COL HEADINGS" xfId="2737" xr:uid="{00000000-0005-0000-0000-0000AC0A0000}"/>
    <cellStyle name="colheadleft" xfId="2738" xr:uid="{00000000-0005-0000-0000-0000AD0A0000}"/>
    <cellStyle name="colheadright" xfId="2739" xr:uid="{00000000-0005-0000-0000-0000AE0A0000}"/>
    <cellStyle name="Collegamento ipertestuale_PLDT" xfId="2740" xr:uid="{00000000-0005-0000-0000-0000AF0A0000}"/>
    <cellStyle name="Color" xfId="2741" xr:uid="{00000000-0005-0000-0000-0000B00A0000}"/>
    <cellStyle name="Column Header" xfId="2742" xr:uid="{00000000-0005-0000-0000-0000B10A0000}"/>
    <cellStyle name="Column Heading" xfId="2743" xr:uid="{00000000-0005-0000-0000-0000B20A0000}"/>
    <cellStyle name="column1" xfId="2744" xr:uid="{00000000-0005-0000-0000-0000B30A0000}"/>
    <cellStyle name="column1Big" xfId="2745" xr:uid="{00000000-0005-0000-0000-0000B40A0000}"/>
    <cellStyle name="column1Date" xfId="2746" xr:uid="{00000000-0005-0000-0000-0000B50A0000}"/>
    <cellStyle name="Com" xfId="2747" xr:uid="{00000000-0005-0000-0000-0000B60A0000}"/>
    <cellStyle name="Comma" xfId="5254" builtinId="3"/>
    <cellStyle name="Comma  - Style1" xfId="2748" xr:uid="{00000000-0005-0000-0000-0000B80A0000}"/>
    <cellStyle name="Comma  - Style2" xfId="2749" xr:uid="{00000000-0005-0000-0000-0000B90A0000}"/>
    <cellStyle name="Comma  - Style3" xfId="2750" xr:uid="{00000000-0005-0000-0000-0000BA0A0000}"/>
    <cellStyle name="Comma  - Style4" xfId="2751" xr:uid="{00000000-0005-0000-0000-0000BB0A0000}"/>
    <cellStyle name="Comma  - Style5" xfId="2752" xr:uid="{00000000-0005-0000-0000-0000BC0A0000}"/>
    <cellStyle name="Comma  - Style6" xfId="2753" xr:uid="{00000000-0005-0000-0000-0000BD0A0000}"/>
    <cellStyle name="Comma  - Style7" xfId="2754" xr:uid="{00000000-0005-0000-0000-0000BE0A0000}"/>
    <cellStyle name="Comma  - Style8" xfId="2755" xr:uid="{00000000-0005-0000-0000-0000BF0A0000}"/>
    <cellStyle name="comma (1)" xfId="2756" xr:uid="{00000000-0005-0000-0000-0000C00A0000}"/>
    <cellStyle name="Comma [0] 2" xfId="2757" xr:uid="{00000000-0005-0000-0000-0000C10A0000}"/>
    <cellStyle name="Comma [0] 3" xfId="2758" xr:uid="{00000000-0005-0000-0000-0000C20A0000}"/>
    <cellStyle name="Comma [0] 3 2" xfId="2759" xr:uid="{00000000-0005-0000-0000-0000C30A0000}"/>
    <cellStyle name="Comma [0] 3_Daily_Activity_OP" xfId="2760" xr:uid="{00000000-0005-0000-0000-0000C40A0000}"/>
    <cellStyle name="Comma [0] 4" xfId="2761" xr:uid="{00000000-0005-0000-0000-0000C50A0000}"/>
    <cellStyle name="Comma [0] 6" xfId="2762" xr:uid="{00000000-0005-0000-0000-0000C60A0000}"/>
    <cellStyle name="Comma [00]" xfId="2763" xr:uid="{00000000-0005-0000-0000-0000C70A0000}"/>
    <cellStyle name="Comma [00] 2" xfId="2764" xr:uid="{00000000-0005-0000-0000-0000C80A0000}"/>
    <cellStyle name="Comma [1]" xfId="2765" xr:uid="{00000000-0005-0000-0000-0000C90A0000}"/>
    <cellStyle name="Comma [2]" xfId="2766" xr:uid="{00000000-0005-0000-0000-0000CA0A0000}"/>
    <cellStyle name="Comma [3]" xfId="2767" xr:uid="{00000000-0005-0000-0000-0000CB0A0000}"/>
    <cellStyle name="Comma 0" xfId="2768" xr:uid="{00000000-0005-0000-0000-0000CC0A0000}"/>
    <cellStyle name="Comma 0*" xfId="2769" xr:uid="{00000000-0005-0000-0000-0000CD0A0000}"/>
    <cellStyle name="Comma 10" xfId="2770" xr:uid="{00000000-0005-0000-0000-0000CF0A0000}"/>
    <cellStyle name="Comma 10 2" xfId="2771" xr:uid="{00000000-0005-0000-0000-0000D00A0000}"/>
    <cellStyle name="Comma 10 2 2" xfId="2772" xr:uid="{00000000-0005-0000-0000-0000D10A0000}"/>
    <cellStyle name="Comma 10 3" xfId="2773" xr:uid="{00000000-0005-0000-0000-0000D20A0000}"/>
    <cellStyle name="Comma 10 4" xfId="2774" xr:uid="{00000000-0005-0000-0000-0000D30A0000}"/>
    <cellStyle name="Comma 10 5" xfId="2775" xr:uid="{00000000-0005-0000-0000-0000D40A0000}"/>
    <cellStyle name="Comma 10 6" xfId="2776" xr:uid="{00000000-0005-0000-0000-0000D50A0000}"/>
    <cellStyle name="Comma 11" xfId="2777" xr:uid="{00000000-0005-0000-0000-0000D60A0000}"/>
    <cellStyle name="Comma 11 2" xfId="5252" xr:uid="{00000000-0005-0000-0000-0000D70A0000}"/>
    <cellStyle name="Comma 12" xfId="2778" xr:uid="{00000000-0005-0000-0000-0000D80A0000}"/>
    <cellStyle name="Comma 13" xfId="2779" xr:uid="{00000000-0005-0000-0000-0000D90A0000}"/>
    <cellStyle name="Comma 14" xfId="2780" xr:uid="{00000000-0005-0000-0000-0000DA0A0000}"/>
    <cellStyle name="Comma 15" xfId="2781" xr:uid="{00000000-0005-0000-0000-0000DB0A0000}"/>
    <cellStyle name="Comma 16" xfId="2782" xr:uid="{00000000-0005-0000-0000-0000DC0A0000}"/>
    <cellStyle name="Comma 17" xfId="2783" xr:uid="{00000000-0005-0000-0000-0000DD0A0000}"/>
    <cellStyle name="Comma 18" xfId="2784" xr:uid="{00000000-0005-0000-0000-0000DE0A0000}"/>
    <cellStyle name="Comma 19" xfId="5251" xr:uid="{00000000-0005-0000-0000-0000DF0A0000}"/>
    <cellStyle name="Comma 2" xfId="8" xr:uid="{00000000-0005-0000-0000-0000E00A0000}"/>
    <cellStyle name="Comma 2 2" xfId="2785" xr:uid="{00000000-0005-0000-0000-0000E10A0000}"/>
    <cellStyle name="Comma 2 2 2" xfId="2786" xr:uid="{00000000-0005-0000-0000-0000E20A0000}"/>
    <cellStyle name="Comma 2 2 3" xfId="2787" xr:uid="{00000000-0005-0000-0000-0000E30A0000}"/>
    <cellStyle name="Comma 2 3" xfId="2788" xr:uid="{00000000-0005-0000-0000-0000E40A0000}"/>
    <cellStyle name="Comma 2 3 2" xfId="2789" xr:uid="{00000000-0005-0000-0000-0000E50A0000}"/>
    <cellStyle name="Comma 2 3 3" xfId="2790" xr:uid="{00000000-0005-0000-0000-0000E60A0000}"/>
    <cellStyle name="Comma 2 3 4" xfId="5293" xr:uid="{00000000-0005-0000-0000-0000E70A0000}"/>
    <cellStyle name="Comma 2 3 4 2" xfId="5302" xr:uid="{C68B4A70-5412-4C55-B7EB-C8AF1A170E91}"/>
    <cellStyle name="Comma 2 3 4 2 2" xfId="5338" xr:uid="{18BDDD39-F322-4A37-8DAC-11AED1B6E7E2}"/>
    <cellStyle name="Comma 2 3 4 2 2 2" xfId="5340" xr:uid="{DBD4F2DA-6738-484D-BFD4-3E94A61FE9B0}"/>
    <cellStyle name="Comma 2 3 4 3" xfId="5312" xr:uid="{8092C72B-2120-454C-981F-3A7728C0B3F2}"/>
    <cellStyle name="Comma 2 4" xfId="2791" xr:uid="{00000000-0005-0000-0000-0000E80A0000}"/>
    <cellStyle name="Comma 2 4 2" xfId="2792" xr:uid="{00000000-0005-0000-0000-0000E90A0000}"/>
    <cellStyle name="Comma 2 4 2 2" xfId="5295" xr:uid="{00000000-0005-0000-0000-0000EA0A0000}"/>
    <cellStyle name="Comma 2 4 2 2 2" xfId="5313" xr:uid="{BC47AD37-0BBF-4A77-9179-8ACCDF9C839B}"/>
    <cellStyle name="Comma 2 4 3" xfId="2793" xr:uid="{00000000-0005-0000-0000-0000EB0A0000}"/>
    <cellStyle name="Comma 2 4 4" xfId="5292" xr:uid="{00000000-0005-0000-0000-0000EC0A0000}"/>
    <cellStyle name="Comma 2 4 4 2" xfId="5309" xr:uid="{EE0157B4-9DCB-4E19-A567-2468B6595505}"/>
    <cellStyle name="Comma 2 5" xfId="2794" xr:uid="{00000000-0005-0000-0000-0000ED0A0000}"/>
    <cellStyle name="Comma 2 5 2" xfId="2795" xr:uid="{00000000-0005-0000-0000-0000EE0A0000}"/>
    <cellStyle name="Comma 2 5 3" xfId="2796" xr:uid="{00000000-0005-0000-0000-0000EF0A0000}"/>
    <cellStyle name="Comma 2 6" xfId="2797" xr:uid="{00000000-0005-0000-0000-0000F00A0000}"/>
    <cellStyle name="Comma 2 7" xfId="2798" xr:uid="{00000000-0005-0000-0000-0000F10A0000}"/>
    <cellStyle name="Comma 2 8" xfId="5260" xr:uid="{00000000-0005-0000-0000-0000F20A0000}"/>
    <cellStyle name="Comma 2_Daily_Activity_OP" xfId="2799" xr:uid="{00000000-0005-0000-0000-0000F30A0000}"/>
    <cellStyle name="Comma 20" xfId="5272" xr:uid="{00000000-0005-0000-0000-0000F40A0000}"/>
    <cellStyle name="Comma 20 2" xfId="5330" xr:uid="{863ED3B8-F990-41DD-89FB-638049BD82E9}"/>
    <cellStyle name="Comma 20 3" xfId="5333" xr:uid="{A215714F-586D-4F67-A9E2-D01DC3B0B595}"/>
    <cellStyle name="Comma 21" xfId="5274" xr:uid="{00000000-0005-0000-0000-0000F50A0000}"/>
    <cellStyle name="Comma 22" xfId="5281" xr:uid="{00000000-0005-0000-0000-0000F60A0000}"/>
    <cellStyle name="Comma 23" xfId="5289" xr:uid="{00000000-0005-0000-0000-0000F70A0000}"/>
    <cellStyle name="Comma 23 2" xfId="5308" xr:uid="{129F4488-1D0F-4497-A788-FB78685D31C9}"/>
    <cellStyle name="Comma 23 2 2" xfId="5337" xr:uid="{9251DE8D-862F-462E-8DEB-B0A501549FE9}"/>
    <cellStyle name="Comma 23 3" xfId="5316" xr:uid="{67623B6B-5DAA-40F6-9594-1A62E0365BC9}"/>
    <cellStyle name="Comma 23 3 2" xfId="5344" xr:uid="{7C611C3E-8A55-499F-845C-19B9A17D559B}"/>
    <cellStyle name="Comma 23 4" xfId="5318" xr:uid="{4AE14B56-A901-4F7D-9468-F5094ABFA083}"/>
    <cellStyle name="Comma 24" xfId="5294" xr:uid="{00000000-0005-0000-0000-0000F80A0000}"/>
    <cellStyle name="Comma 25" xfId="5336" xr:uid="{1D43866A-475F-43E8-BDC0-C864E8848DCC}"/>
    <cellStyle name="Comma 3" xfId="9" xr:uid="{00000000-0005-0000-0000-0000F90A0000}"/>
    <cellStyle name="Comma 3 2" xfId="2800" xr:uid="{00000000-0005-0000-0000-0000FA0A0000}"/>
    <cellStyle name="Comma 3 3" xfId="5261" xr:uid="{00000000-0005-0000-0000-0000FB0A0000}"/>
    <cellStyle name="Comma 3*" xfId="2801" xr:uid="{00000000-0005-0000-0000-0000FC0A0000}"/>
    <cellStyle name="Comma 4" xfId="2802" xr:uid="{00000000-0005-0000-0000-0000FD0A0000}"/>
    <cellStyle name="Comma 4 2" xfId="2803" xr:uid="{00000000-0005-0000-0000-0000FE0A0000}"/>
    <cellStyle name="Comma 4 2 2" xfId="2804" xr:uid="{00000000-0005-0000-0000-0000FF0A0000}"/>
    <cellStyle name="Comma 5" xfId="2805" xr:uid="{00000000-0005-0000-0000-0000000B0000}"/>
    <cellStyle name="Comma 5 2" xfId="2806" xr:uid="{00000000-0005-0000-0000-0000010B0000}"/>
    <cellStyle name="Comma 5 3" xfId="2807" xr:uid="{00000000-0005-0000-0000-0000020B0000}"/>
    <cellStyle name="Comma 5 4" xfId="5290" xr:uid="{00000000-0005-0000-0000-0000030B0000}"/>
    <cellStyle name="Comma 6" xfId="2808" xr:uid="{00000000-0005-0000-0000-0000040B0000}"/>
    <cellStyle name="Comma 6 2" xfId="2809" xr:uid="{00000000-0005-0000-0000-0000050B0000}"/>
    <cellStyle name="Comma 6 2 2" xfId="2810" xr:uid="{00000000-0005-0000-0000-0000060B0000}"/>
    <cellStyle name="Comma 6 3" xfId="2811" xr:uid="{00000000-0005-0000-0000-0000070B0000}"/>
    <cellStyle name="Comma 6 4" xfId="2812" xr:uid="{00000000-0005-0000-0000-0000080B0000}"/>
    <cellStyle name="Comma 6 5" xfId="2813" xr:uid="{00000000-0005-0000-0000-0000090B0000}"/>
    <cellStyle name="Comma 6 6" xfId="2814" xr:uid="{00000000-0005-0000-0000-00000A0B0000}"/>
    <cellStyle name="Comma 7" xfId="2815" xr:uid="{00000000-0005-0000-0000-00000B0B0000}"/>
    <cellStyle name="Comma 8" xfId="2816" xr:uid="{00000000-0005-0000-0000-00000C0B0000}"/>
    <cellStyle name="Comma 9" xfId="2817" xr:uid="{00000000-0005-0000-0000-00000D0B0000}"/>
    <cellStyle name="Comma 9 2" xfId="2818" xr:uid="{00000000-0005-0000-0000-00000E0B0000}"/>
    <cellStyle name="Comma 9 3" xfId="2819" xr:uid="{00000000-0005-0000-0000-00000F0B0000}"/>
    <cellStyle name="Comma 9 4" xfId="2820" xr:uid="{00000000-0005-0000-0000-0000100B0000}"/>
    <cellStyle name="Comma 9 5" xfId="2821" xr:uid="{00000000-0005-0000-0000-0000110B0000}"/>
    <cellStyle name="Comma 9 6" xfId="2822" xr:uid="{00000000-0005-0000-0000-0000120B0000}"/>
    <cellStyle name="Comma Input" xfId="2823" xr:uid="{00000000-0005-0000-0000-0000130B0000}"/>
    <cellStyle name="Comma[1]" xfId="2825" xr:uid="{00000000-0005-0000-0000-0000150B0000}"/>
    <cellStyle name="Comma*" xfId="2824" xr:uid="{00000000-0005-0000-0000-0000140B0000}"/>
    <cellStyle name="Comma0" xfId="2826" xr:uid="{00000000-0005-0000-0000-0000160B0000}"/>
    <cellStyle name="Comma0 - Style5" xfId="2827" xr:uid="{00000000-0005-0000-0000-0000170B0000}"/>
    <cellStyle name="Comma0_Mindtree Financial Model vCurrent" xfId="2828" xr:uid="{00000000-0005-0000-0000-0000180B0000}"/>
    <cellStyle name="Comma1" xfId="2829" xr:uid="{00000000-0005-0000-0000-0000190B0000}"/>
    <cellStyle name="Comma1 - Style1" xfId="2830" xr:uid="{00000000-0005-0000-0000-00001A0B0000}"/>
    <cellStyle name="CommaKM" xfId="2831" xr:uid="{00000000-0005-0000-0000-00001B0B0000}"/>
    <cellStyle name="commas" xfId="2832" xr:uid="{00000000-0005-0000-0000-00001C0B0000}"/>
    <cellStyle name="Comment" xfId="2833" xr:uid="{00000000-0005-0000-0000-00001D0B0000}"/>
    <cellStyle name="Component" xfId="2834" xr:uid="{00000000-0005-0000-0000-00001E0B0000}"/>
    <cellStyle name="Compressed" xfId="2835" xr:uid="{00000000-0005-0000-0000-00001F0B0000}"/>
    <cellStyle name="Copied" xfId="2836" xr:uid="{00000000-0005-0000-0000-0000200B0000}"/>
    <cellStyle name="Cover Date" xfId="2837" xr:uid="{00000000-0005-0000-0000-0000210B0000}"/>
    <cellStyle name="Cover Subtitle" xfId="2838" xr:uid="{00000000-0005-0000-0000-0000220B0000}"/>
    <cellStyle name="Cover Title" xfId="2839" xr:uid="{00000000-0005-0000-0000-0000230B0000}"/>
    <cellStyle name="Curren - Style2" xfId="2840" xr:uid="{00000000-0005-0000-0000-0000240B0000}"/>
    <cellStyle name="Currency (0.00)" xfId="2841" xr:uid="{00000000-0005-0000-0000-0000250B0000}"/>
    <cellStyle name="Currency (1)" xfId="2842" xr:uid="{00000000-0005-0000-0000-0000260B0000}"/>
    <cellStyle name="Currency [00]" xfId="2843" xr:uid="{00000000-0005-0000-0000-0000270B0000}"/>
    <cellStyle name="Currency [00] 2" xfId="2844" xr:uid="{00000000-0005-0000-0000-0000280B0000}"/>
    <cellStyle name="Currency [1]" xfId="2845" xr:uid="{00000000-0005-0000-0000-0000290B0000}"/>
    <cellStyle name="Currency [2]" xfId="2846" xr:uid="{00000000-0005-0000-0000-00002A0B0000}"/>
    <cellStyle name="Currency [3]" xfId="2847" xr:uid="{00000000-0005-0000-0000-00002B0B0000}"/>
    <cellStyle name="Currency 0" xfId="2848" xr:uid="{00000000-0005-0000-0000-00002C0B0000}"/>
    <cellStyle name="Currency 2" xfId="2849" xr:uid="{00000000-0005-0000-0000-00002D0B0000}"/>
    <cellStyle name="Currency 2*" xfId="2850" xr:uid="{00000000-0005-0000-0000-00002E0B0000}"/>
    <cellStyle name="Currency 3" xfId="2851" xr:uid="{00000000-0005-0000-0000-0000300B0000}"/>
    <cellStyle name="Currency 3*" xfId="2852" xr:uid="{00000000-0005-0000-0000-0000310B0000}"/>
    <cellStyle name="Currency 4" xfId="2853" xr:uid="{00000000-0005-0000-0000-0000320B0000}"/>
    <cellStyle name="Currency 5" xfId="2854" xr:uid="{00000000-0005-0000-0000-0000330B0000}"/>
    <cellStyle name="Currency 6" xfId="5276" xr:uid="{00000000-0005-0000-0000-0000340B0000}"/>
    <cellStyle name="Currency Input" xfId="2855" xr:uid="{00000000-0005-0000-0000-0000350B0000}"/>
    <cellStyle name="Currency[0]" xfId="2857" xr:uid="{00000000-0005-0000-0000-0000370B0000}"/>
    <cellStyle name="Currency[1]" xfId="2858" xr:uid="{00000000-0005-0000-0000-0000380B0000}"/>
    <cellStyle name="Currency[2]" xfId="2859" xr:uid="{00000000-0005-0000-0000-0000390B0000}"/>
    <cellStyle name="Currency*" xfId="2856" xr:uid="{00000000-0005-0000-0000-0000360B0000}"/>
    <cellStyle name="Currency0" xfId="2860" xr:uid="{00000000-0005-0000-0000-00003A0B0000}"/>
    <cellStyle name="Currency0 2" xfId="2861" xr:uid="{00000000-0005-0000-0000-00003B0B0000}"/>
    <cellStyle name="Currency1" xfId="2862" xr:uid="{00000000-0005-0000-0000-00003C0B0000}"/>
    <cellStyle name="Currency1Blue" xfId="2863" xr:uid="{00000000-0005-0000-0000-00003D0B0000}"/>
    <cellStyle name="Currency2" xfId="2864" xr:uid="{00000000-0005-0000-0000-00003E0B0000}"/>
    <cellStyle name="Currsmall" xfId="2865" xr:uid="{00000000-0005-0000-0000-00003F0B0000}"/>
    <cellStyle name="custom" xfId="2866" xr:uid="{00000000-0005-0000-0000-0000400B0000}"/>
    <cellStyle name="Custom - Style1" xfId="2867" xr:uid="{00000000-0005-0000-0000-0000410B0000}"/>
    <cellStyle name="Custom - Style8" xfId="2868" xr:uid="{00000000-0005-0000-0000-0000420B0000}"/>
    <cellStyle name="d-mmm-yy" xfId="2906" xr:uid="{00000000-0005-0000-0000-0000690B0000}"/>
    <cellStyle name="darren" xfId="2869" xr:uid="{00000000-0005-0000-0000-0000430B0000}"/>
    <cellStyle name="Dash" xfId="2870" xr:uid="{00000000-0005-0000-0000-0000440B0000}"/>
    <cellStyle name="data" xfId="2871" xr:uid="{00000000-0005-0000-0000-0000450B0000}"/>
    <cellStyle name="Data   - Style2" xfId="2872" xr:uid="{00000000-0005-0000-0000-0000460B0000}"/>
    <cellStyle name="Data Area" xfId="2873" xr:uid="{00000000-0005-0000-0000-0000470B0000}"/>
    <cellStyle name="Data Link" xfId="2874" xr:uid="{00000000-0005-0000-0000-0000480B0000}"/>
    <cellStyle name="data_Tower Comps_v4" xfId="2875" xr:uid="{00000000-0005-0000-0000-0000490B0000}"/>
    <cellStyle name="Date" xfId="2876" xr:uid="{00000000-0005-0000-0000-00004A0B0000}"/>
    <cellStyle name="Date [d-mmm-yy]" xfId="2877" xr:uid="{00000000-0005-0000-0000-00004B0B0000}"/>
    <cellStyle name="Date [mm-d-yy]" xfId="2878" xr:uid="{00000000-0005-0000-0000-00004C0B0000}"/>
    <cellStyle name="Date [mm-d-yyyy]" xfId="2879" xr:uid="{00000000-0005-0000-0000-00004D0B0000}"/>
    <cellStyle name="Date [mmm-d-yyyy]" xfId="2880" xr:uid="{00000000-0005-0000-0000-00004E0B0000}"/>
    <cellStyle name="Date [mmm-yy]" xfId="2881" xr:uid="{00000000-0005-0000-0000-00004F0B0000}"/>
    <cellStyle name="Date Aligned" xfId="2882" xr:uid="{00000000-0005-0000-0000-0000500B0000}"/>
    <cellStyle name="Date Aligned*" xfId="2883" xr:uid="{00000000-0005-0000-0000-0000510B0000}"/>
    <cellStyle name="Date Blue" xfId="2884" xr:uid="{00000000-0005-0000-0000-0000530B0000}"/>
    <cellStyle name="Date Blue Bold" xfId="2885" xr:uid="{00000000-0005-0000-0000-0000540B0000}"/>
    <cellStyle name="Date Green" xfId="2886" xr:uid="{00000000-0005-0000-0000-0000550B0000}"/>
    <cellStyle name="Date Short" xfId="2887" xr:uid="{00000000-0005-0000-0000-0000560B0000}"/>
    <cellStyle name="Date_040106 Smartcards, Tech comps and ePayment v1" xfId="2888" xr:uid="{00000000-0005-0000-0000-0000570B0000}"/>
    <cellStyle name="Date1" xfId="2889" xr:uid="{00000000-0005-0000-0000-0000580B0000}"/>
    <cellStyle name="date2" xfId="2890" xr:uid="{00000000-0005-0000-0000-0000590B0000}"/>
    <cellStyle name="date3" xfId="2891" xr:uid="{00000000-0005-0000-0000-00005A0B0000}"/>
    <cellStyle name="DATES" xfId="2892" xr:uid="{00000000-0005-0000-0000-00005B0B0000}"/>
    <cellStyle name="DateYear" xfId="2893" xr:uid="{00000000-0005-0000-0000-00005C0B0000}"/>
    <cellStyle name="DateYearEstimate" xfId="2894" xr:uid="{00000000-0005-0000-0000-00005D0B0000}"/>
    <cellStyle name="DateYearWholeEstimate" xfId="2895" xr:uid="{00000000-0005-0000-0000-00005E0B0000}"/>
    <cellStyle name="Dec_0" xfId="2896" xr:uid="{00000000-0005-0000-0000-00005F0B0000}"/>
    <cellStyle name="default" xfId="2897" xr:uid="{00000000-0005-0000-0000-0000600B0000}"/>
    <cellStyle name="Define your own named style" xfId="2898" xr:uid="{00000000-0005-0000-0000-0000610B0000}"/>
    <cellStyle name="DELTA" xfId="2899" xr:uid="{00000000-0005-0000-0000-0000620B0000}"/>
    <cellStyle name="Dezimal [+line]" xfId="2900" xr:uid="{00000000-0005-0000-0000-0000630B0000}"/>
    <cellStyle name="Dezimal [0]_Absolut" xfId="2901" xr:uid="{00000000-0005-0000-0000-0000640B0000}"/>
    <cellStyle name="Dezimal_ Magirus " xfId="2902" xr:uid="{00000000-0005-0000-0000-0000650B0000}"/>
    <cellStyle name="Dfc" xfId="2903" xr:uid="{00000000-0005-0000-0000-0000660B0000}"/>
    <cellStyle name="Dfc%" xfId="2904" xr:uid="{00000000-0005-0000-0000-0000670B0000}"/>
    <cellStyle name="Divider" xfId="2905" xr:uid="{00000000-0005-0000-0000-0000680B0000}"/>
    <cellStyle name="Dollar" xfId="2907" xr:uid="{00000000-0005-0000-0000-00006A0B0000}"/>
    <cellStyle name="Dollar[1]" xfId="2908" xr:uid="{00000000-0005-0000-0000-00006B0B0000}"/>
    <cellStyle name="Dollar[2]" xfId="2909" xr:uid="{00000000-0005-0000-0000-00006C0B0000}"/>
    <cellStyle name="Dollar1" xfId="2910" xr:uid="{00000000-0005-0000-0000-00006E0B0000}"/>
    <cellStyle name="Dollar1Blue" xfId="2911" xr:uid="{00000000-0005-0000-0000-00006F0B0000}"/>
    <cellStyle name="Dollar2" xfId="2912" xr:uid="{00000000-0005-0000-0000-0000700B0000}"/>
    <cellStyle name="dollars" xfId="2913" xr:uid="{00000000-0005-0000-0000-0000710B0000}"/>
    <cellStyle name="DollarWhole" xfId="2914" xr:uid="{00000000-0005-0000-0000-0000720B0000}"/>
    <cellStyle name="Dotted Line" xfId="2915" xr:uid="{00000000-0005-0000-0000-0000730B0000}"/>
    <cellStyle name="Double Accounting" xfId="2916" xr:uid="{00000000-0005-0000-0000-0000740B0000}"/>
    <cellStyle name="DownLoad" xfId="2917" xr:uid="{00000000-0005-0000-0000-0000750B0000}"/>
    <cellStyle name="dp*Accent" xfId="2918" xr:uid="{00000000-0005-0000-0000-0000760B0000}"/>
    <cellStyle name="dp*ChartSubTitle" xfId="2919" xr:uid="{00000000-0005-0000-0000-0000770B0000}"/>
    <cellStyle name="dp*ChartTitle" xfId="2920" xr:uid="{00000000-0005-0000-0000-0000780B0000}"/>
    <cellStyle name="dp*ColumnHeading1" xfId="2921" xr:uid="{00000000-0005-0000-0000-0000790B0000}"/>
    <cellStyle name="dp*ColumnHeading2" xfId="2922" xr:uid="{00000000-0005-0000-0000-00007A0B0000}"/>
    <cellStyle name="dp*ColumnHeadingDate" xfId="2923" xr:uid="{00000000-0005-0000-0000-00007B0B0000}"/>
    <cellStyle name="dp*FiscalDate" xfId="2924" xr:uid="{00000000-0005-0000-0000-00007C0B0000}"/>
    <cellStyle name="dp*Footnote" xfId="2925" xr:uid="{00000000-0005-0000-0000-00007D0B0000}"/>
    <cellStyle name="dp*Information" xfId="2926" xr:uid="{00000000-0005-0000-0000-00007E0B0000}"/>
    <cellStyle name="dp*LabelItalics" xfId="2927" xr:uid="{00000000-0005-0000-0000-00007F0B0000}"/>
    <cellStyle name="dp*LabelItalicsLineAbove" xfId="2928" xr:uid="{00000000-0005-0000-0000-0000800B0000}"/>
    <cellStyle name="dp*LabelLine" xfId="2929" xr:uid="{00000000-0005-0000-0000-0000810B0000}"/>
    <cellStyle name="dp*Labels" xfId="2930" xr:uid="{00000000-0005-0000-0000-0000820B0000}"/>
    <cellStyle name="dp*Normal" xfId="2931" xr:uid="{00000000-0005-0000-0000-0000830B0000}"/>
    <cellStyle name="dp*NormalCurrency1Dec." xfId="2932" xr:uid="{00000000-0005-0000-0000-0000840B0000}"/>
    <cellStyle name="dp*NormalCurrency2Dec." xfId="2933" xr:uid="{00000000-0005-0000-0000-0000850B0000}"/>
    <cellStyle name="dp*Number%Italics" xfId="2934" xr:uid="{00000000-0005-0000-0000-0000860B0000}"/>
    <cellStyle name="dp*Number%ItalicsLineAbove" xfId="2935" xr:uid="{00000000-0005-0000-0000-0000870B0000}"/>
    <cellStyle name="dp*NumberCurrencyLine" xfId="2936" xr:uid="{00000000-0005-0000-0000-0000880B0000}"/>
    <cellStyle name="dp*NumberGeneral" xfId="2937" xr:uid="{00000000-0005-0000-0000-0000890B0000}"/>
    <cellStyle name="dp*NumberGeneral2Dec." xfId="2938" xr:uid="{00000000-0005-0000-0000-00008A0B0000}"/>
    <cellStyle name="dp*NumberLine" xfId="2939" xr:uid="{00000000-0005-0000-0000-00008B0B0000}"/>
    <cellStyle name="dp*NumberLineEPS" xfId="2940" xr:uid="{00000000-0005-0000-0000-00008C0B0000}"/>
    <cellStyle name="dp*NumberSpecial" xfId="2941" xr:uid="{00000000-0005-0000-0000-00008D0B0000}"/>
    <cellStyle name="dp*RatioX" xfId="2942" xr:uid="{00000000-0005-0000-0000-00008E0B0000}"/>
    <cellStyle name="dp*SeriesName" xfId="2943" xr:uid="{00000000-0005-0000-0000-00008F0B0000}"/>
    <cellStyle name="dp*SheetSubTitle" xfId="2944" xr:uid="{00000000-0005-0000-0000-0000900B0000}"/>
    <cellStyle name="dp*SheetTitle" xfId="2945" xr:uid="{00000000-0005-0000-0000-0000910B0000}"/>
    <cellStyle name="dp*SubTitle" xfId="2946" xr:uid="{00000000-0005-0000-0000-0000920B0000}"/>
    <cellStyle name="dp*ThickLineAbove" xfId="2947" xr:uid="{00000000-0005-0000-0000-0000930B0000}"/>
    <cellStyle name="dp*ThickLineBelow" xfId="2948" xr:uid="{00000000-0005-0000-0000-0000940B0000}"/>
    <cellStyle name="dp*ThinLineAbove" xfId="2949" xr:uid="{00000000-0005-0000-0000-0000950B0000}"/>
    <cellStyle name="dp*ThinLineBelow" xfId="2950" xr:uid="{00000000-0005-0000-0000-0000960B0000}"/>
    <cellStyle name="dp*XAxisTitle" xfId="2951" xr:uid="{00000000-0005-0000-0000-0000970B0000}"/>
    <cellStyle name="dp*Y2AxisTitle" xfId="2952" xr:uid="{00000000-0005-0000-0000-0000980B0000}"/>
    <cellStyle name="dp*YAxisTitle" xfId="2953" xr:uid="{00000000-0005-0000-0000-0000990B0000}"/>
    <cellStyle name="Driver" xfId="2954" xr:uid="{00000000-0005-0000-0000-00009A0B0000}"/>
    <cellStyle name="Drop down" xfId="5265" xr:uid="{00000000-0005-0000-0000-00009B0B0000}"/>
    <cellStyle name="DSYSPROJ" xfId="2955" xr:uid="{00000000-0005-0000-0000-00009C0B0000}"/>
    <cellStyle name="Enlarge title text, yellow on blue" xfId="2956" xr:uid="{00000000-0005-0000-0000-00009D0B0000}"/>
    <cellStyle name="Enter Currency (0)" xfId="2957" xr:uid="{00000000-0005-0000-0000-00009E0B0000}"/>
    <cellStyle name="Enter Currency (0) 2" xfId="2958" xr:uid="{00000000-0005-0000-0000-00009F0B0000}"/>
    <cellStyle name="Enter Currency (2)" xfId="2959" xr:uid="{00000000-0005-0000-0000-0000A00B0000}"/>
    <cellStyle name="Enter Currency (2) 2" xfId="2960" xr:uid="{00000000-0005-0000-0000-0000A10B0000}"/>
    <cellStyle name="Enter Units (0)" xfId="2961" xr:uid="{00000000-0005-0000-0000-0000A20B0000}"/>
    <cellStyle name="Enter Units (0) 2" xfId="2962" xr:uid="{00000000-0005-0000-0000-0000A30B0000}"/>
    <cellStyle name="Enter Units (1)" xfId="2963" xr:uid="{00000000-0005-0000-0000-0000A40B0000}"/>
    <cellStyle name="Enter Units (1) 2" xfId="2964" xr:uid="{00000000-0005-0000-0000-0000A50B0000}"/>
    <cellStyle name="Enter Units (2)" xfId="2965" xr:uid="{00000000-0005-0000-0000-0000A60B0000}"/>
    <cellStyle name="Enter Units (2) 2" xfId="2966" xr:uid="{00000000-0005-0000-0000-0000A70B0000}"/>
    <cellStyle name="Entered" xfId="2967" xr:uid="{00000000-0005-0000-0000-0000A80B0000}"/>
    <cellStyle name="EnterpriseTable[1]" xfId="2968" xr:uid="{00000000-0005-0000-0000-0000A90B0000}"/>
    <cellStyle name="Entry0" xfId="2969" xr:uid="{00000000-0005-0000-0000-0000AA0B0000}"/>
    <cellStyle name="EntryCell" xfId="2970" xr:uid="{00000000-0005-0000-0000-0000AB0B0000}"/>
    <cellStyle name="EntryCurrency" xfId="2971" xr:uid="{00000000-0005-0000-0000-0000AC0B0000}"/>
    <cellStyle name="EntryCurrency0" xfId="2972" xr:uid="{00000000-0005-0000-0000-0000AD0B0000}"/>
    <cellStyle name="EntryCurrency2" xfId="2973" xr:uid="{00000000-0005-0000-0000-0000AE0B0000}"/>
    <cellStyle name="EntryPerc0" xfId="2974" xr:uid="{00000000-0005-0000-0000-0000AF0B0000}"/>
    <cellStyle name="EntryPerc2" xfId="2975" xr:uid="{00000000-0005-0000-0000-0000B00B0000}"/>
    <cellStyle name="EntryPercent" xfId="2976" xr:uid="{00000000-0005-0000-0000-0000B10B0000}"/>
    <cellStyle name="EntryPercent(1)" xfId="2977" xr:uid="{00000000-0005-0000-0000-0000B20B0000}"/>
    <cellStyle name="ERROR" xfId="2978" xr:uid="{00000000-0005-0000-0000-0000B40B0000}"/>
    <cellStyle name="Est - %" xfId="2980" xr:uid="{00000000-0005-0000-0000-0000B60B0000}"/>
    <cellStyle name="Est - $" xfId="2979" xr:uid="{00000000-0005-0000-0000-0000B50B0000}"/>
    <cellStyle name="Est 0,000.0" xfId="2981" xr:uid="{00000000-0005-0000-0000-0000B70B0000}"/>
    <cellStyle name="Euro" xfId="2982" xr:uid="{00000000-0005-0000-0000-0000B80B0000}"/>
    <cellStyle name="Explanatory Text 10" xfId="2983" xr:uid="{00000000-0005-0000-0000-0000B90B0000}"/>
    <cellStyle name="Explanatory Text 10 2" xfId="2984" xr:uid="{00000000-0005-0000-0000-0000BA0B0000}"/>
    <cellStyle name="Explanatory Text 10 3" xfId="2985" xr:uid="{00000000-0005-0000-0000-0000BB0B0000}"/>
    <cellStyle name="Explanatory Text 11" xfId="2986" xr:uid="{00000000-0005-0000-0000-0000BC0B0000}"/>
    <cellStyle name="Explanatory Text 11 2" xfId="2987" xr:uid="{00000000-0005-0000-0000-0000BD0B0000}"/>
    <cellStyle name="Explanatory Text 11 3" xfId="2988" xr:uid="{00000000-0005-0000-0000-0000BE0B0000}"/>
    <cellStyle name="Explanatory Text 12" xfId="2989" xr:uid="{00000000-0005-0000-0000-0000BF0B0000}"/>
    <cellStyle name="Explanatory Text 12 2" xfId="2990" xr:uid="{00000000-0005-0000-0000-0000C00B0000}"/>
    <cellStyle name="Explanatory Text 12 3" xfId="2991" xr:uid="{00000000-0005-0000-0000-0000C10B0000}"/>
    <cellStyle name="Explanatory Text 13" xfId="2992" xr:uid="{00000000-0005-0000-0000-0000C20B0000}"/>
    <cellStyle name="Explanatory Text 13 2" xfId="2993" xr:uid="{00000000-0005-0000-0000-0000C30B0000}"/>
    <cellStyle name="Explanatory Text 13 3" xfId="2994" xr:uid="{00000000-0005-0000-0000-0000C40B0000}"/>
    <cellStyle name="Explanatory Text 14" xfId="2995" xr:uid="{00000000-0005-0000-0000-0000C50B0000}"/>
    <cellStyle name="Explanatory Text 14 2" xfId="2996" xr:uid="{00000000-0005-0000-0000-0000C60B0000}"/>
    <cellStyle name="Explanatory Text 14 3" xfId="2997" xr:uid="{00000000-0005-0000-0000-0000C70B0000}"/>
    <cellStyle name="Explanatory Text 15" xfId="2998" xr:uid="{00000000-0005-0000-0000-0000C80B0000}"/>
    <cellStyle name="Explanatory Text 15 2" xfId="2999" xr:uid="{00000000-0005-0000-0000-0000C90B0000}"/>
    <cellStyle name="Explanatory Text 15 3" xfId="3000" xr:uid="{00000000-0005-0000-0000-0000CA0B0000}"/>
    <cellStyle name="Explanatory Text 16" xfId="3001" xr:uid="{00000000-0005-0000-0000-0000CB0B0000}"/>
    <cellStyle name="Explanatory Text 16 2" xfId="3002" xr:uid="{00000000-0005-0000-0000-0000CC0B0000}"/>
    <cellStyle name="Explanatory Text 16 3" xfId="3003" xr:uid="{00000000-0005-0000-0000-0000CD0B0000}"/>
    <cellStyle name="Explanatory Text 17" xfId="3004" xr:uid="{00000000-0005-0000-0000-0000CE0B0000}"/>
    <cellStyle name="Explanatory Text 17 2" xfId="3005" xr:uid="{00000000-0005-0000-0000-0000CF0B0000}"/>
    <cellStyle name="Explanatory Text 17 3" xfId="3006" xr:uid="{00000000-0005-0000-0000-0000D00B0000}"/>
    <cellStyle name="Explanatory Text 18" xfId="3007" xr:uid="{00000000-0005-0000-0000-0000D10B0000}"/>
    <cellStyle name="Explanatory Text 18 2" xfId="3008" xr:uid="{00000000-0005-0000-0000-0000D20B0000}"/>
    <cellStyle name="Explanatory Text 18 3" xfId="3009" xr:uid="{00000000-0005-0000-0000-0000D30B0000}"/>
    <cellStyle name="Explanatory Text 19" xfId="3010" xr:uid="{00000000-0005-0000-0000-0000D40B0000}"/>
    <cellStyle name="Explanatory Text 19 2" xfId="3011" xr:uid="{00000000-0005-0000-0000-0000D50B0000}"/>
    <cellStyle name="Explanatory Text 19 3" xfId="3012" xr:uid="{00000000-0005-0000-0000-0000D60B0000}"/>
    <cellStyle name="Explanatory Text 2" xfId="3013" xr:uid="{00000000-0005-0000-0000-0000D70B0000}"/>
    <cellStyle name="Explanatory Text 2 2" xfId="3014" xr:uid="{00000000-0005-0000-0000-0000D80B0000}"/>
    <cellStyle name="Explanatory Text 2 2 2" xfId="3015" xr:uid="{00000000-0005-0000-0000-0000D90B0000}"/>
    <cellStyle name="Explanatory Text 2 2 3" xfId="3016" xr:uid="{00000000-0005-0000-0000-0000DA0B0000}"/>
    <cellStyle name="Explanatory Text 2 3" xfId="3017" xr:uid="{00000000-0005-0000-0000-0000DB0B0000}"/>
    <cellStyle name="Explanatory Text 2 3 2" xfId="3018" xr:uid="{00000000-0005-0000-0000-0000DC0B0000}"/>
    <cellStyle name="Explanatory Text 2 3 3" xfId="3019" xr:uid="{00000000-0005-0000-0000-0000DD0B0000}"/>
    <cellStyle name="Explanatory Text 2 4" xfId="3020" xr:uid="{00000000-0005-0000-0000-0000DE0B0000}"/>
    <cellStyle name="Explanatory Text 2 5" xfId="3021" xr:uid="{00000000-0005-0000-0000-0000DF0B0000}"/>
    <cellStyle name="Explanatory Text 20" xfId="3022" xr:uid="{00000000-0005-0000-0000-0000E00B0000}"/>
    <cellStyle name="Explanatory Text 20 2" xfId="3023" xr:uid="{00000000-0005-0000-0000-0000E10B0000}"/>
    <cellStyle name="Explanatory Text 20 3" xfId="3024" xr:uid="{00000000-0005-0000-0000-0000E20B0000}"/>
    <cellStyle name="Explanatory Text 21" xfId="3025" xr:uid="{00000000-0005-0000-0000-0000E30B0000}"/>
    <cellStyle name="Explanatory Text 21 2" xfId="3026" xr:uid="{00000000-0005-0000-0000-0000E40B0000}"/>
    <cellStyle name="Explanatory Text 21 3" xfId="3027" xr:uid="{00000000-0005-0000-0000-0000E50B0000}"/>
    <cellStyle name="Explanatory Text 22" xfId="3028" xr:uid="{00000000-0005-0000-0000-0000E60B0000}"/>
    <cellStyle name="Explanatory Text 22 2" xfId="3029" xr:uid="{00000000-0005-0000-0000-0000E70B0000}"/>
    <cellStyle name="Explanatory Text 22 3" xfId="3030" xr:uid="{00000000-0005-0000-0000-0000E80B0000}"/>
    <cellStyle name="Explanatory Text 23" xfId="3031" xr:uid="{00000000-0005-0000-0000-0000E90B0000}"/>
    <cellStyle name="Explanatory Text 23 2" xfId="3032" xr:uid="{00000000-0005-0000-0000-0000EA0B0000}"/>
    <cellStyle name="Explanatory Text 23 3" xfId="3033" xr:uid="{00000000-0005-0000-0000-0000EB0B0000}"/>
    <cellStyle name="Explanatory Text 24" xfId="3034" xr:uid="{00000000-0005-0000-0000-0000EC0B0000}"/>
    <cellStyle name="Explanatory Text 24 2" xfId="3035" xr:uid="{00000000-0005-0000-0000-0000ED0B0000}"/>
    <cellStyle name="Explanatory Text 24 3" xfId="3036" xr:uid="{00000000-0005-0000-0000-0000EE0B0000}"/>
    <cellStyle name="Explanatory Text 25" xfId="3037" xr:uid="{00000000-0005-0000-0000-0000EF0B0000}"/>
    <cellStyle name="Explanatory Text 25 2" xfId="3038" xr:uid="{00000000-0005-0000-0000-0000F00B0000}"/>
    <cellStyle name="Explanatory Text 25 3" xfId="3039" xr:uid="{00000000-0005-0000-0000-0000F10B0000}"/>
    <cellStyle name="Explanatory Text 26" xfId="3040" xr:uid="{00000000-0005-0000-0000-0000F20B0000}"/>
    <cellStyle name="Explanatory Text 26 2" xfId="3041" xr:uid="{00000000-0005-0000-0000-0000F30B0000}"/>
    <cellStyle name="Explanatory Text 26 3" xfId="3042" xr:uid="{00000000-0005-0000-0000-0000F40B0000}"/>
    <cellStyle name="Explanatory Text 27" xfId="3043" xr:uid="{00000000-0005-0000-0000-0000F50B0000}"/>
    <cellStyle name="Explanatory Text 27 2" xfId="3044" xr:uid="{00000000-0005-0000-0000-0000F60B0000}"/>
    <cellStyle name="Explanatory Text 27 3" xfId="3045" xr:uid="{00000000-0005-0000-0000-0000F70B0000}"/>
    <cellStyle name="Explanatory Text 3" xfId="3046" xr:uid="{00000000-0005-0000-0000-0000F80B0000}"/>
    <cellStyle name="Explanatory Text 3 2" xfId="3047" xr:uid="{00000000-0005-0000-0000-0000F90B0000}"/>
    <cellStyle name="Explanatory Text 3 3" xfId="3048" xr:uid="{00000000-0005-0000-0000-0000FA0B0000}"/>
    <cellStyle name="Explanatory Text 4" xfId="3049" xr:uid="{00000000-0005-0000-0000-0000FB0B0000}"/>
    <cellStyle name="Explanatory Text 4 2" xfId="3050" xr:uid="{00000000-0005-0000-0000-0000FC0B0000}"/>
    <cellStyle name="Explanatory Text 4 3" xfId="3051" xr:uid="{00000000-0005-0000-0000-0000FD0B0000}"/>
    <cellStyle name="Explanatory Text 5" xfId="3052" xr:uid="{00000000-0005-0000-0000-0000FE0B0000}"/>
    <cellStyle name="Explanatory Text 5 2" xfId="3053" xr:uid="{00000000-0005-0000-0000-0000FF0B0000}"/>
    <cellStyle name="Explanatory Text 5 3" xfId="3054" xr:uid="{00000000-0005-0000-0000-0000000C0000}"/>
    <cellStyle name="Explanatory Text 6" xfId="3055" xr:uid="{00000000-0005-0000-0000-0000010C0000}"/>
    <cellStyle name="Explanatory Text 6 2" xfId="3056" xr:uid="{00000000-0005-0000-0000-0000020C0000}"/>
    <cellStyle name="Explanatory Text 6 3" xfId="3057" xr:uid="{00000000-0005-0000-0000-0000030C0000}"/>
    <cellStyle name="Explanatory Text 7" xfId="3058" xr:uid="{00000000-0005-0000-0000-0000040C0000}"/>
    <cellStyle name="Explanatory Text 7 2" xfId="3059" xr:uid="{00000000-0005-0000-0000-0000050C0000}"/>
    <cellStyle name="Explanatory Text 7 3" xfId="3060" xr:uid="{00000000-0005-0000-0000-0000060C0000}"/>
    <cellStyle name="Explanatory Text 8" xfId="3061" xr:uid="{00000000-0005-0000-0000-0000070C0000}"/>
    <cellStyle name="Explanatory Text 8 2" xfId="3062" xr:uid="{00000000-0005-0000-0000-0000080C0000}"/>
    <cellStyle name="Explanatory Text 8 3" xfId="3063" xr:uid="{00000000-0005-0000-0000-0000090C0000}"/>
    <cellStyle name="Explanatory Text 9" xfId="3064" xr:uid="{00000000-0005-0000-0000-00000A0C0000}"/>
    <cellStyle name="Explanatory Text 9 2" xfId="3065" xr:uid="{00000000-0005-0000-0000-00000B0C0000}"/>
    <cellStyle name="Explanatory Text 9 3" xfId="3066" xr:uid="{00000000-0005-0000-0000-00000C0C0000}"/>
    <cellStyle name="Ẹ롑㿎_x0008__x0001_" xfId="3067" xr:uid="{00000000-0005-0000-0000-00000D0C0000}"/>
    <cellStyle name="F2" xfId="3068" xr:uid="{00000000-0005-0000-0000-00000E0C0000}"/>
    <cellStyle name="F3" xfId="3069" xr:uid="{00000000-0005-0000-0000-00000F0C0000}"/>
    <cellStyle name="F4" xfId="3070" xr:uid="{00000000-0005-0000-0000-0000100C0000}"/>
    <cellStyle name="F5" xfId="3071" xr:uid="{00000000-0005-0000-0000-0000110C0000}"/>
    <cellStyle name="F6" xfId="3072" xr:uid="{00000000-0005-0000-0000-0000120C0000}"/>
    <cellStyle name="F7" xfId="3073" xr:uid="{00000000-0005-0000-0000-0000130C0000}"/>
    <cellStyle name="F8" xfId="3074" xr:uid="{00000000-0005-0000-0000-0000140C0000}"/>
    <cellStyle name="FF_EURO" xfId="3075" xr:uid="{00000000-0005-0000-0000-0000150C0000}"/>
    <cellStyle name="Figures[0]" xfId="3076" xr:uid="{00000000-0005-0000-0000-0000160C0000}"/>
    <cellStyle name="First Column" xfId="3077" xr:uid="{00000000-0005-0000-0000-0000170C0000}"/>
    <cellStyle name="Fixed" xfId="3078" xr:uid="{00000000-0005-0000-0000-0000180C0000}"/>
    <cellStyle name="Fixed [0]" xfId="3079" xr:uid="{00000000-0005-0000-0000-0000190C0000}"/>
    <cellStyle name="Fixed_Advent - Tech M - BT Stake - vCurrent" xfId="3080" xr:uid="{00000000-0005-0000-0000-00001A0C0000}"/>
    <cellStyle name="Fixed4 - Style4" xfId="3081" xr:uid="{00000000-0005-0000-0000-00001B0C0000}"/>
    <cellStyle name="Fixlong" xfId="3082" xr:uid="{00000000-0005-0000-0000-00001C0C0000}"/>
    <cellStyle name="FOOTER - Style1" xfId="3083" xr:uid="{00000000-0005-0000-0000-00001D0C0000}"/>
    <cellStyle name="Footer SBILogo1" xfId="3084" xr:uid="{00000000-0005-0000-0000-00001E0C0000}"/>
    <cellStyle name="Footer SBILogo2" xfId="3085" xr:uid="{00000000-0005-0000-0000-00001F0C0000}"/>
    <cellStyle name="Footnote" xfId="3086" xr:uid="{00000000-0005-0000-0000-0000200C0000}"/>
    <cellStyle name="Footnote Reference" xfId="3087" xr:uid="{00000000-0005-0000-0000-0000210C0000}"/>
    <cellStyle name="Footnote_Deals" xfId="3088" xr:uid="{00000000-0005-0000-0000-0000220C0000}"/>
    <cellStyle name="footnote2" xfId="3089" xr:uid="{00000000-0005-0000-0000-0000230C0000}"/>
    <cellStyle name="Footnotes" xfId="3090" xr:uid="{00000000-0005-0000-0000-0000240C0000}"/>
    <cellStyle name="Formula" xfId="3091" xr:uid="{00000000-0005-0000-0000-0000250C0000}"/>
    <cellStyle name="fourdecplace" xfId="3092" xr:uid="{00000000-0005-0000-0000-0000260C0000}"/>
    <cellStyle name="Fraction 2D Blue" xfId="3093" xr:uid="{00000000-0005-0000-0000-0000270C0000}"/>
    <cellStyle name="general" xfId="3094" xr:uid="{00000000-0005-0000-0000-0000280C0000}"/>
    <cellStyle name="GerBOM1" xfId="3095" xr:uid="{00000000-0005-0000-0000-0000290C0000}"/>
    <cellStyle name="Global" xfId="3096" xr:uid="{00000000-0005-0000-0000-00002A0C0000}"/>
    <cellStyle name="Good 10" xfId="3097" xr:uid="{00000000-0005-0000-0000-00002B0C0000}"/>
    <cellStyle name="Good 10 2" xfId="3098" xr:uid="{00000000-0005-0000-0000-00002C0C0000}"/>
    <cellStyle name="Good 10 3" xfId="3099" xr:uid="{00000000-0005-0000-0000-00002D0C0000}"/>
    <cellStyle name="Good 11" xfId="3100" xr:uid="{00000000-0005-0000-0000-00002E0C0000}"/>
    <cellStyle name="Good 11 2" xfId="3101" xr:uid="{00000000-0005-0000-0000-00002F0C0000}"/>
    <cellStyle name="Good 11 3" xfId="3102" xr:uid="{00000000-0005-0000-0000-0000300C0000}"/>
    <cellStyle name="Good 12" xfId="3103" xr:uid="{00000000-0005-0000-0000-0000310C0000}"/>
    <cellStyle name="Good 12 2" xfId="3104" xr:uid="{00000000-0005-0000-0000-0000320C0000}"/>
    <cellStyle name="Good 12 3" xfId="3105" xr:uid="{00000000-0005-0000-0000-0000330C0000}"/>
    <cellStyle name="Good 13" xfId="3106" xr:uid="{00000000-0005-0000-0000-0000340C0000}"/>
    <cellStyle name="Good 13 2" xfId="3107" xr:uid="{00000000-0005-0000-0000-0000350C0000}"/>
    <cellStyle name="Good 13 3" xfId="3108" xr:uid="{00000000-0005-0000-0000-0000360C0000}"/>
    <cellStyle name="Good 14" xfId="3109" xr:uid="{00000000-0005-0000-0000-0000370C0000}"/>
    <cellStyle name="Good 14 2" xfId="3110" xr:uid="{00000000-0005-0000-0000-0000380C0000}"/>
    <cellStyle name="Good 14 3" xfId="3111" xr:uid="{00000000-0005-0000-0000-0000390C0000}"/>
    <cellStyle name="Good 15" xfId="3112" xr:uid="{00000000-0005-0000-0000-00003A0C0000}"/>
    <cellStyle name="Good 15 2" xfId="3113" xr:uid="{00000000-0005-0000-0000-00003B0C0000}"/>
    <cellStyle name="Good 15 3" xfId="3114" xr:uid="{00000000-0005-0000-0000-00003C0C0000}"/>
    <cellStyle name="Good 16" xfId="3115" xr:uid="{00000000-0005-0000-0000-00003D0C0000}"/>
    <cellStyle name="Good 16 2" xfId="3116" xr:uid="{00000000-0005-0000-0000-00003E0C0000}"/>
    <cellStyle name="Good 16 3" xfId="3117" xr:uid="{00000000-0005-0000-0000-00003F0C0000}"/>
    <cellStyle name="Good 17" xfId="3118" xr:uid="{00000000-0005-0000-0000-0000400C0000}"/>
    <cellStyle name="Good 17 2" xfId="3119" xr:uid="{00000000-0005-0000-0000-0000410C0000}"/>
    <cellStyle name="Good 17 3" xfId="3120" xr:uid="{00000000-0005-0000-0000-0000420C0000}"/>
    <cellStyle name="Good 18" xfId="3121" xr:uid="{00000000-0005-0000-0000-0000430C0000}"/>
    <cellStyle name="Good 18 2" xfId="3122" xr:uid="{00000000-0005-0000-0000-0000440C0000}"/>
    <cellStyle name="Good 18 3" xfId="3123" xr:uid="{00000000-0005-0000-0000-0000450C0000}"/>
    <cellStyle name="Good 19" xfId="3124" xr:uid="{00000000-0005-0000-0000-0000460C0000}"/>
    <cellStyle name="Good 19 2" xfId="3125" xr:uid="{00000000-0005-0000-0000-0000470C0000}"/>
    <cellStyle name="Good 19 3" xfId="3126" xr:uid="{00000000-0005-0000-0000-0000480C0000}"/>
    <cellStyle name="Good 2" xfId="3127" xr:uid="{00000000-0005-0000-0000-0000490C0000}"/>
    <cellStyle name="Good 2 2" xfId="3128" xr:uid="{00000000-0005-0000-0000-00004A0C0000}"/>
    <cellStyle name="Good 2 2 2" xfId="3129" xr:uid="{00000000-0005-0000-0000-00004B0C0000}"/>
    <cellStyle name="Good 2 2 3" xfId="3130" xr:uid="{00000000-0005-0000-0000-00004C0C0000}"/>
    <cellStyle name="Good 2 3" xfId="3131" xr:uid="{00000000-0005-0000-0000-00004D0C0000}"/>
    <cellStyle name="Good 2 3 2" xfId="3132" xr:uid="{00000000-0005-0000-0000-00004E0C0000}"/>
    <cellStyle name="Good 2 3 3" xfId="3133" xr:uid="{00000000-0005-0000-0000-00004F0C0000}"/>
    <cellStyle name="Good 2 4" xfId="3134" xr:uid="{00000000-0005-0000-0000-0000500C0000}"/>
    <cellStyle name="Good 2 5" xfId="3135" xr:uid="{00000000-0005-0000-0000-0000510C0000}"/>
    <cellStyle name="Good 20" xfId="3136" xr:uid="{00000000-0005-0000-0000-0000520C0000}"/>
    <cellStyle name="Good 20 2" xfId="3137" xr:uid="{00000000-0005-0000-0000-0000530C0000}"/>
    <cellStyle name="Good 20 3" xfId="3138" xr:uid="{00000000-0005-0000-0000-0000540C0000}"/>
    <cellStyle name="Good 21" xfId="3139" xr:uid="{00000000-0005-0000-0000-0000550C0000}"/>
    <cellStyle name="Good 21 2" xfId="3140" xr:uid="{00000000-0005-0000-0000-0000560C0000}"/>
    <cellStyle name="Good 21 3" xfId="3141" xr:uid="{00000000-0005-0000-0000-0000570C0000}"/>
    <cellStyle name="Good 22" xfId="3142" xr:uid="{00000000-0005-0000-0000-0000580C0000}"/>
    <cellStyle name="Good 22 2" xfId="3143" xr:uid="{00000000-0005-0000-0000-0000590C0000}"/>
    <cellStyle name="Good 22 3" xfId="3144" xr:uid="{00000000-0005-0000-0000-00005A0C0000}"/>
    <cellStyle name="Good 23" xfId="3145" xr:uid="{00000000-0005-0000-0000-00005B0C0000}"/>
    <cellStyle name="Good 23 2" xfId="3146" xr:uid="{00000000-0005-0000-0000-00005C0C0000}"/>
    <cellStyle name="Good 23 3" xfId="3147" xr:uid="{00000000-0005-0000-0000-00005D0C0000}"/>
    <cellStyle name="Good 24" xfId="3148" xr:uid="{00000000-0005-0000-0000-00005E0C0000}"/>
    <cellStyle name="Good 24 2" xfId="3149" xr:uid="{00000000-0005-0000-0000-00005F0C0000}"/>
    <cellStyle name="Good 24 3" xfId="3150" xr:uid="{00000000-0005-0000-0000-0000600C0000}"/>
    <cellStyle name="Good 25" xfId="3151" xr:uid="{00000000-0005-0000-0000-0000610C0000}"/>
    <cellStyle name="Good 25 2" xfId="3152" xr:uid="{00000000-0005-0000-0000-0000620C0000}"/>
    <cellStyle name="Good 25 3" xfId="3153" xr:uid="{00000000-0005-0000-0000-0000630C0000}"/>
    <cellStyle name="Good 26" xfId="3154" xr:uid="{00000000-0005-0000-0000-0000640C0000}"/>
    <cellStyle name="Good 26 2" xfId="3155" xr:uid="{00000000-0005-0000-0000-0000650C0000}"/>
    <cellStyle name="Good 26 3" xfId="3156" xr:uid="{00000000-0005-0000-0000-0000660C0000}"/>
    <cellStyle name="Good 27" xfId="3157" xr:uid="{00000000-0005-0000-0000-0000670C0000}"/>
    <cellStyle name="Good 27 2" xfId="3158" xr:uid="{00000000-0005-0000-0000-0000680C0000}"/>
    <cellStyle name="Good 27 3" xfId="3159" xr:uid="{00000000-0005-0000-0000-0000690C0000}"/>
    <cellStyle name="Good 3" xfId="3160" xr:uid="{00000000-0005-0000-0000-00006A0C0000}"/>
    <cellStyle name="Good 3 2" xfId="3161" xr:uid="{00000000-0005-0000-0000-00006B0C0000}"/>
    <cellStyle name="Good 3 3" xfId="3162" xr:uid="{00000000-0005-0000-0000-00006C0C0000}"/>
    <cellStyle name="Good 4" xfId="3163" xr:uid="{00000000-0005-0000-0000-00006D0C0000}"/>
    <cellStyle name="Good 4 2" xfId="3164" xr:uid="{00000000-0005-0000-0000-00006E0C0000}"/>
    <cellStyle name="Good 4 3" xfId="3165" xr:uid="{00000000-0005-0000-0000-00006F0C0000}"/>
    <cellStyle name="Good 5" xfId="3166" xr:uid="{00000000-0005-0000-0000-0000700C0000}"/>
    <cellStyle name="Good 5 2" xfId="3167" xr:uid="{00000000-0005-0000-0000-0000710C0000}"/>
    <cellStyle name="Good 5 3" xfId="3168" xr:uid="{00000000-0005-0000-0000-0000720C0000}"/>
    <cellStyle name="Good 6" xfId="3169" xr:uid="{00000000-0005-0000-0000-0000730C0000}"/>
    <cellStyle name="Good 6 2" xfId="3170" xr:uid="{00000000-0005-0000-0000-0000740C0000}"/>
    <cellStyle name="Good 6 3" xfId="3171" xr:uid="{00000000-0005-0000-0000-0000750C0000}"/>
    <cellStyle name="Good 7" xfId="3172" xr:uid="{00000000-0005-0000-0000-0000760C0000}"/>
    <cellStyle name="Good 7 2" xfId="3173" xr:uid="{00000000-0005-0000-0000-0000770C0000}"/>
    <cellStyle name="Good 7 3" xfId="3174" xr:uid="{00000000-0005-0000-0000-0000780C0000}"/>
    <cellStyle name="Good 8" xfId="3175" xr:uid="{00000000-0005-0000-0000-0000790C0000}"/>
    <cellStyle name="Good 8 2" xfId="3176" xr:uid="{00000000-0005-0000-0000-00007A0C0000}"/>
    <cellStyle name="Good 8 3" xfId="3177" xr:uid="{00000000-0005-0000-0000-00007B0C0000}"/>
    <cellStyle name="Good 9" xfId="3178" xr:uid="{00000000-0005-0000-0000-00007C0C0000}"/>
    <cellStyle name="Good 9 2" xfId="3179" xr:uid="{00000000-0005-0000-0000-00007D0C0000}"/>
    <cellStyle name="Good 9 3" xfId="3180" xr:uid="{00000000-0005-0000-0000-00007E0C0000}"/>
    <cellStyle name="grayText2" xfId="3181" xr:uid="{00000000-0005-0000-0000-00007F0C0000}"/>
    <cellStyle name="grayText2Big" xfId="3182" xr:uid="{00000000-0005-0000-0000-0000800C0000}"/>
    <cellStyle name="Green" xfId="3183" xr:uid="{00000000-0005-0000-0000-0000810C0000}"/>
    <cellStyle name="Grey" xfId="3184" xr:uid="{00000000-0005-0000-0000-0000820C0000}"/>
    <cellStyle name="Growth" xfId="3185" xr:uid="{00000000-0005-0000-0000-0000830C0000}"/>
    <cellStyle name="GrowthRate" xfId="3186" xr:uid="{00000000-0005-0000-0000-0000840C0000}"/>
    <cellStyle name="h" xfId="3187" xr:uid="{00000000-0005-0000-0000-0000850C0000}"/>
    <cellStyle name="Hard Percent" xfId="3188" xr:uid="{00000000-0005-0000-0000-0000860C0000}"/>
    <cellStyle name="Head 1" xfId="3189" xr:uid="{00000000-0005-0000-0000-0000870C0000}"/>
    <cellStyle name="Head1" xfId="3190" xr:uid="{00000000-0005-0000-0000-0000880C0000}"/>
    <cellStyle name="head2" xfId="3191" xr:uid="{00000000-0005-0000-0000-0000890C0000}"/>
    <cellStyle name="header" xfId="3192" xr:uid="{00000000-0005-0000-0000-00008A0C0000}"/>
    <cellStyle name="Header Draft Stamp" xfId="3193" xr:uid="{00000000-0005-0000-0000-00008B0C0000}"/>
    <cellStyle name="Header_Advent - Tech M - BT Stake - vCurrent" xfId="3194" xr:uid="{00000000-0005-0000-0000-00008C0C0000}"/>
    <cellStyle name="Header1" xfId="3195" xr:uid="{00000000-0005-0000-0000-00008D0C0000}"/>
    <cellStyle name="Header2" xfId="3196" xr:uid="{00000000-0005-0000-0000-00008E0C0000}"/>
    <cellStyle name="Headers" xfId="3197" xr:uid="{00000000-0005-0000-0000-00008F0C0000}"/>
    <cellStyle name="Heading" xfId="3198" xr:uid="{00000000-0005-0000-0000-0000900C0000}"/>
    <cellStyle name="Heading 1 10" xfId="3199" xr:uid="{00000000-0005-0000-0000-0000910C0000}"/>
    <cellStyle name="Heading 1 10 2" xfId="3200" xr:uid="{00000000-0005-0000-0000-0000920C0000}"/>
    <cellStyle name="Heading 1 10 3" xfId="3201" xr:uid="{00000000-0005-0000-0000-0000930C0000}"/>
    <cellStyle name="Heading 1 11" xfId="3202" xr:uid="{00000000-0005-0000-0000-0000940C0000}"/>
    <cellStyle name="Heading 1 11 2" xfId="3203" xr:uid="{00000000-0005-0000-0000-0000950C0000}"/>
    <cellStyle name="Heading 1 11 3" xfId="3204" xr:uid="{00000000-0005-0000-0000-0000960C0000}"/>
    <cellStyle name="Heading 1 12" xfId="3205" xr:uid="{00000000-0005-0000-0000-0000970C0000}"/>
    <cellStyle name="Heading 1 12 2" xfId="3206" xr:uid="{00000000-0005-0000-0000-0000980C0000}"/>
    <cellStyle name="Heading 1 12 3" xfId="3207" xr:uid="{00000000-0005-0000-0000-0000990C0000}"/>
    <cellStyle name="Heading 1 13" xfId="3208" xr:uid="{00000000-0005-0000-0000-00009A0C0000}"/>
    <cellStyle name="Heading 1 13 2" xfId="3209" xr:uid="{00000000-0005-0000-0000-00009B0C0000}"/>
    <cellStyle name="Heading 1 13 3" xfId="3210" xr:uid="{00000000-0005-0000-0000-00009C0C0000}"/>
    <cellStyle name="Heading 1 14" xfId="3211" xr:uid="{00000000-0005-0000-0000-00009D0C0000}"/>
    <cellStyle name="Heading 1 14 2" xfId="3212" xr:uid="{00000000-0005-0000-0000-00009E0C0000}"/>
    <cellStyle name="Heading 1 14 3" xfId="3213" xr:uid="{00000000-0005-0000-0000-00009F0C0000}"/>
    <cellStyle name="Heading 1 15" xfId="3214" xr:uid="{00000000-0005-0000-0000-0000A00C0000}"/>
    <cellStyle name="Heading 1 15 2" xfId="3215" xr:uid="{00000000-0005-0000-0000-0000A10C0000}"/>
    <cellStyle name="Heading 1 15 3" xfId="3216" xr:uid="{00000000-0005-0000-0000-0000A20C0000}"/>
    <cellStyle name="Heading 1 16" xfId="3217" xr:uid="{00000000-0005-0000-0000-0000A30C0000}"/>
    <cellStyle name="Heading 1 16 2" xfId="3218" xr:uid="{00000000-0005-0000-0000-0000A40C0000}"/>
    <cellStyle name="Heading 1 16 3" xfId="3219" xr:uid="{00000000-0005-0000-0000-0000A50C0000}"/>
    <cellStyle name="Heading 1 17" xfId="3220" xr:uid="{00000000-0005-0000-0000-0000A60C0000}"/>
    <cellStyle name="Heading 1 17 2" xfId="3221" xr:uid="{00000000-0005-0000-0000-0000A70C0000}"/>
    <cellStyle name="Heading 1 17 3" xfId="3222" xr:uid="{00000000-0005-0000-0000-0000A80C0000}"/>
    <cellStyle name="Heading 1 18" xfId="3223" xr:uid="{00000000-0005-0000-0000-0000A90C0000}"/>
    <cellStyle name="Heading 1 18 2" xfId="3224" xr:uid="{00000000-0005-0000-0000-0000AA0C0000}"/>
    <cellStyle name="Heading 1 18 3" xfId="3225" xr:uid="{00000000-0005-0000-0000-0000AB0C0000}"/>
    <cellStyle name="Heading 1 19" xfId="3226" xr:uid="{00000000-0005-0000-0000-0000AC0C0000}"/>
    <cellStyle name="Heading 1 19 2" xfId="3227" xr:uid="{00000000-0005-0000-0000-0000AD0C0000}"/>
    <cellStyle name="Heading 1 19 3" xfId="3228" xr:uid="{00000000-0005-0000-0000-0000AE0C0000}"/>
    <cellStyle name="Heading 1 2" xfId="3229" xr:uid="{00000000-0005-0000-0000-0000AF0C0000}"/>
    <cellStyle name="Heading 1 2 2" xfId="3230" xr:uid="{00000000-0005-0000-0000-0000B00C0000}"/>
    <cellStyle name="Heading 1 2 2 2" xfId="3231" xr:uid="{00000000-0005-0000-0000-0000B10C0000}"/>
    <cellStyle name="Heading 1 2 2 3" xfId="3232" xr:uid="{00000000-0005-0000-0000-0000B20C0000}"/>
    <cellStyle name="Heading 1 2 3" xfId="3233" xr:uid="{00000000-0005-0000-0000-0000B30C0000}"/>
    <cellStyle name="Heading 1 2 3 2" xfId="3234" xr:uid="{00000000-0005-0000-0000-0000B40C0000}"/>
    <cellStyle name="Heading 1 2 3 3" xfId="3235" xr:uid="{00000000-0005-0000-0000-0000B50C0000}"/>
    <cellStyle name="Heading 1 2 4" xfId="3236" xr:uid="{00000000-0005-0000-0000-0000B60C0000}"/>
    <cellStyle name="Heading 1 2 5" xfId="3237" xr:uid="{00000000-0005-0000-0000-0000B70C0000}"/>
    <cellStyle name="Heading 1 2_TOTAL OB COAL" xfId="3238" xr:uid="{00000000-0005-0000-0000-0000B80C0000}"/>
    <cellStyle name="Heading 1 20" xfId="3239" xr:uid="{00000000-0005-0000-0000-0000B90C0000}"/>
    <cellStyle name="Heading 1 20 2" xfId="3240" xr:uid="{00000000-0005-0000-0000-0000BA0C0000}"/>
    <cellStyle name="Heading 1 20 3" xfId="3241" xr:uid="{00000000-0005-0000-0000-0000BB0C0000}"/>
    <cellStyle name="Heading 1 21" xfId="3242" xr:uid="{00000000-0005-0000-0000-0000BC0C0000}"/>
    <cellStyle name="Heading 1 21 2" xfId="3243" xr:uid="{00000000-0005-0000-0000-0000BD0C0000}"/>
    <cellStyle name="Heading 1 21 3" xfId="3244" xr:uid="{00000000-0005-0000-0000-0000BE0C0000}"/>
    <cellStyle name="Heading 1 22" xfId="3245" xr:uid="{00000000-0005-0000-0000-0000BF0C0000}"/>
    <cellStyle name="Heading 1 22 2" xfId="3246" xr:uid="{00000000-0005-0000-0000-0000C00C0000}"/>
    <cellStyle name="Heading 1 22 3" xfId="3247" xr:uid="{00000000-0005-0000-0000-0000C10C0000}"/>
    <cellStyle name="Heading 1 23" xfId="3248" xr:uid="{00000000-0005-0000-0000-0000C20C0000}"/>
    <cellStyle name="Heading 1 23 2" xfId="3249" xr:uid="{00000000-0005-0000-0000-0000C30C0000}"/>
    <cellStyle name="Heading 1 23 3" xfId="3250" xr:uid="{00000000-0005-0000-0000-0000C40C0000}"/>
    <cellStyle name="Heading 1 24" xfId="3251" xr:uid="{00000000-0005-0000-0000-0000C50C0000}"/>
    <cellStyle name="Heading 1 24 2" xfId="3252" xr:uid="{00000000-0005-0000-0000-0000C60C0000}"/>
    <cellStyle name="Heading 1 24 3" xfId="3253" xr:uid="{00000000-0005-0000-0000-0000C70C0000}"/>
    <cellStyle name="Heading 1 25" xfId="3254" xr:uid="{00000000-0005-0000-0000-0000C80C0000}"/>
    <cellStyle name="Heading 1 25 2" xfId="3255" xr:uid="{00000000-0005-0000-0000-0000C90C0000}"/>
    <cellStyle name="Heading 1 25 3" xfId="3256" xr:uid="{00000000-0005-0000-0000-0000CA0C0000}"/>
    <cellStyle name="Heading 1 26" xfId="3257" xr:uid="{00000000-0005-0000-0000-0000CB0C0000}"/>
    <cellStyle name="Heading 1 26 2" xfId="3258" xr:uid="{00000000-0005-0000-0000-0000CC0C0000}"/>
    <cellStyle name="Heading 1 26 3" xfId="3259" xr:uid="{00000000-0005-0000-0000-0000CD0C0000}"/>
    <cellStyle name="Heading 1 27" xfId="3260" xr:uid="{00000000-0005-0000-0000-0000CE0C0000}"/>
    <cellStyle name="Heading 1 27 2" xfId="3261" xr:uid="{00000000-0005-0000-0000-0000CF0C0000}"/>
    <cellStyle name="Heading 1 27 3" xfId="3262" xr:uid="{00000000-0005-0000-0000-0000D00C0000}"/>
    <cellStyle name="Heading 1 3" xfId="3263" xr:uid="{00000000-0005-0000-0000-0000D10C0000}"/>
    <cellStyle name="Heading 1 3 2" xfId="3264" xr:uid="{00000000-0005-0000-0000-0000D20C0000}"/>
    <cellStyle name="Heading 1 3 3" xfId="3265" xr:uid="{00000000-0005-0000-0000-0000D30C0000}"/>
    <cellStyle name="Heading 1 4" xfId="3266" xr:uid="{00000000-0005-0000-0000-0000D40C0000}"/>
    <cellStyle name="Heading 1 4 2" xfId="3267" xr:uid="{00000000-0005-0000-0000-0000D50C0000}"/>
    <cellStyle name="Heading 1 4 3" xfId="3268" xr:uid="{00000000-0005-0000-0000-0000D60C0000}"/>
    <cellStyle name="Heading 1 5" xfId="3269" xr:uid="{00000000-0005-0000-0000-0000D70C0000}"/>
    <cellStyle name="Heading 1 5 2" xfId="3270" xr:uid="{00000000-0005-0000-0000-0000D80C0000}"/>
    <cellStyle name="Heading 1 5 3" xfId="3271" xr:uid="{00000000-0005-0000-0000-0000D90C0000}"/>
    <cellStyle name="Heading 1 6" xfId="3272" xr:uid="{00000000-0005-0000-0000-0000DA0C0000}"/>
    <cellStyle name="Heading 1 6 2" xfId="3273" xr:uid="{00000000-0005-0000-0000-0000DB0C0000}"/>
    <cellStyle name="Heading 1 6 3" xfId="3274" xr:uid="{00000000-0005-0000-0000-0000DC0C0000}"/>
    <cellStyle name="Heading 1 7" xfId="3275" xr:uid="{00000000-0005-0000-0000-0000DD0C0000}"/>
    <cellStyle name="Heading 1 7 2" xfId="3276" xr:uid="{00000000-0005-0000-0000-0000DE0C0000}"/>
    <cellStyle name="Heading 1 7 3" xfId="3277" xr:uid="{00000000-0005-0000-0000-0000DF0C0000}"/>
    <cellStyle name="Heading 1 8" xfId="3278" xr:uid="{00000000-0005-0000-0000-0000E00C0000}"/>
    <cellStyle name="Heading 1 8 2" xfId="3279" xr:uid="{00000000-0005-0000-0000-0000E10C0000}"/>
    <cellStyle name="Heading 1 8 3" xfId="3280" xr:uid="{00000000-0005-0000-0000-0000E20C0000}"/>
    <cellStyle name="Heading 1 9" xfId="3281" xr:uid="{00000000-0005-0000-0000-0000E30C0000}"/>
    <cellStyle name="Heading 1 9 2" xfId="3282" xr:uid="{00000000-0005-0000-0000-0000E40C0000}"/>
    <cellStyle name="Heading 1 9 3" xfId="3283" xr:uid="{00000000-0005-0000-0000-0000E50C0000}"/>
    <cellStyle name="Heading 1 Above" xfId="3284" xr:uid="{00000000-0005-0000-0000-0000E60C0000}"/>
    <cellStyle name="Heading 1+" xfId="3285" xr:uid="{00000000-0005-0000-0000-0000E70C0000}"/>
    <cellStyle name="Heading 2 10" xfId="3286" xr:uid="{00000000-0005-0000-0000-0000E80C0000}"/>
    <cellStyle name="Heading 2 10 2" xfId="3287" xr:uid="{00000000-0005-0000-0000-0000E90C0000}"/>
    <cellStyle name="Heading 2 10 3" xfId="3288" xr:uid="{00000000-0005-0000-0000-0000EA0C0000}"/>
    <cellStyle name="Heading 2 11" xfId="3289" xr:uid="{00000000-0005-0000-0000-0000EB0C0000}"/>
    <cellStyle name="Heading 2 11 2" xfId="3290" xr:uid="{00000000-0005-0000-0000-0000EC0C0000}"/>
    <cellStyle name="Heading 2 11 3" xfId="3291" xr:uid="{00000000-0005-0000-0000-0000ED0C0000}"/>
    <cellStyle name="Heading 2 12" xfId="3292" xr:uid="{00000000-0005-0000-0000-0000EE0C0000}"/>
    <cellStyle name="Heading 2 12 2" xfId="3293" xr:uid="{00000000-0005-0000-0000-0000EF0C0000}"/>
    <cellStyle name="Heading 2 12 3" xfId="3294" xr:uid="{00000000-0005-0000-0000-0000F00C0000}"/>
    <cellStyle name="Heading 2 13" xfId="3295" xr:uid="{00000000-0005-0000-0000-0000F10C0000}"/>
    <cellStyle name="Heading 2 13 2" xfId="3296" xr:uid="{00000000-0005-0000-0000-0000F20C0000}"/>
    <cellStyle name="Heading 2 13 3" xfId="3297" xr:uid="{00000000-0005-0000-0000-0000F30C0000}"/>
    <cellStyle name="Heading 2 14" xfId="3298" xr:uid="{00000000-0005-0000-0000-0000F40C0000}"/>
    <cellStyle name="Heading 2 14 2" xfId="3299" xr:uid="{00000000-0005-0000-0000-0000F50C0000}"/>
    <cellStyle name="Heading 2 14 3" xfId="3300" xr:uid="{00000000-0005-0000-0000-0000F60C0000}"/>
    <cellStyle name="Heading 2 15" xfId="3301" xr:uid="{00000000-0005-0000-0000-0000F70C0000}"/>
    <cellStyle name="Heading 2 15 2" xfId="3302" xr:uid="{00000000-0005-0000-0000-0000F80C0000}"/>
    <cellStyle name="Heading 2 15 3" xfId="3303" xr:uid="{00000000-0005-0000-0000-0000F90C0000}"/>
    <cellStyle name="Heading 2 16" xfId="3304" xr:uid="{00000000-0005-0000-0000-0000FA0C0000}"/>
    <cellStyle name="Heading 2 16 2" xfId="3305" xr:uid="{00000000-0005-0000-0000-0000FB0C0000}"/>
    <cellStyle name="Heading 2 16 3" xfId="3306" xr:uid="{00000000-0005-0000-0000-0000FC0C0000}"/>
    <cellStyle name="Heading 2 17" xfId="3307" xr:uid="{00000000-0005-0000-0000-0000FD0C0000}"/>
    <cellStyle name="Heading 2 17 2" xfId="3308" xr:uid="{00000000-0005-0000-0000-0000FE0C0000}"/>
    <cellStyle name="Heading 2 17 3" xfId="3309" xr:uid="{00000000-0005-0000-0000-0000FF0C0000}"/>
    <cellStyle name="Heading 2 18" xfId="3310" xr:uid="{00000000-0005-0000-0000-0000000D0000}"/>
    <cellStyle name="Heading 2 18 2" xfId="3311" xr:uid="{00000000-0005-0000-0000-0000010D0000}"/>
    <cellStyle name="Heading 2 18 3" xfId="3312" xr:uid="{00000000-0005-0000-0000-0000020D0000}"/>
    <cellStyle name="Heading 2 19" xfId="3313" xr:uid="{00000000-0005-0000-0000-0000030D0000}"/>
    <cellStyle name="Heading 2 19 2" xfId="3314" xr:uid="{00000000-0005-0000-0000-0000040D0000}"/>
    <cellStyle name="Heading 2 19 3" xfId="3315" xr:uid="{00000000-0005-0000-0000-0000050D0000}"/>
    <cellStyle name="Heading 2 2" xfId="3316" xr:uid="{00000000-0005-0000-0000-0000060D0000}"/>
    <cellStyle name="Heading 2 2 2" xfId="3317" xr:uid="{00000000-0005-0000-0000-0000070D0000}"/>
    <cellStyle name="Heading 2 2 2 2" xfId="3318" xr:uid="{00000000-0005-0000-0000-0000080D0000}"/>
    <cellStyle name="Heading 2 2 2 3" xfId="3319" xr:uid="{00000000-0005-0000-0000-0000090D0000}"/>
    <cellStyle name="Heading 2 2 3" xfId="3320" xr:uid="{00000000-0005-0000-0000-00000A0D0000}"/>
    <cellStyle name="Heading 2 2 3 2" xfId="3321" xr:uid="{00000000-0005-0000-0000-00000B0D0000}"/>
    <cellStyle name="Heading 2 2 3 3" xfId="3322" xr:uid="{00000000-0005-0000-0000-00000C0D0000}"/>
    <cellStyle name="Heading 2 2 4" xfId="3323" xr:uid="{00000000-0005-0000-0000-00000D0D0000}"/>
    <cellStyle name="Heading 2 2 5" xfId="3324" xr:uid="{00000000-0005-0000-0000-00000E0D0000}"/>
    <cellStyle name="Heading 2 2_TOTAL OB COAL" xfId="3325" xr:uid="{00000000-0005-0000-0000-00000F0D0000}"/>
    <cellStyle name="Heading 2 20" xfId="3326" xr:uid="{00000000-0005-0000-0000-0000100D0000}"/>
    <cellStyle name="Heading 2 20 2" xfId="3327" xr:uid="{00000000-0005-0000-0000-0000110D0000}"/>
    <cellStyle name="Heading 2 20 3" xfId="3328" xr:uid="{00000000-0005-0000-0000-0000120D0000}"/>
    <cellStyle name="Heading 2 21" xfId="3329" xr:uid="{00000000-0005-0000-0000-0000130D0000}"/>
    <cellStyle name="Heading 2 21 2" xfId="3330" xr:uid="{00000000-0005-0000-0000-0000140D0000}"/>
    <cellStyle name="Heading 2 21 3" xfId="3331" xr:uid="{00000000-0005-0000-0000-0000150D0000}"/>
    <cellStyle name="Heading 2 22" xfId="3332" xr:uid="{00000000-0005-0000-0000-0000160D0000}"/>
    <cellStyle name="Heading 2 22 2" xfId="3333" xr:uid="{00000000-0005-0000-0000-0000170D0000}"/>
    <cellStyle name="Heading 2 22 3" xfId="3334" xr:uid="{00000000-0005-0000-0000-0000180D0000}"/>
    <cellStyle name="Heading 2 23" xfId="3335" xr:uid="{00000000-0005-0000-0000-0000190D0000}"/>
    <cellStyle name="Heading 2 23 2" xfId="3336" xr:uid="{00000000-0005-0000-0000-00001A0D0000}"/>
    <cellStyle name="Heading 2 23 3" xfId="3337" xr:uid="{00000000-0005-0000-0000-00001B0D0000}"/>
    <cellStyle name="Heading 2 24" xfId="3338" xr:uid="{00000000-0005-0000-0000-00001C0D0000}"/>
    <cellStyle name="Heading 2 24 2" xfId="3339" xr:uid="{00000000-0005-0000-0000-00001D0D0000}"/>
    <cellStyle name="Heading 2 24 3" xfId="3340" xr:uid="{00000000-0005-0000-0000-00001E0D0000}"/>
    <cellStyle name="Heading 2 25" xfId="3341" xr:uid="{00000000-0005-0000-0000-00001F0D0000}"/>
    <cellStyle name="Heading 2 25 2" xfId="3342" xr:uid="{00000000-0005-0000-0000-0000200D0000}"/>
    <cellStyle name="Heading 2 25 3" xfId="3343" xr:uid="{00000000-0005-0000-0000-0000210D0000}"/>
    <cellStyle name="Heading 2 26" xfId="3344" xr:uid="{00000000-0005-0000-0000-0000220D0000}"/>
    <cellStyle name="Heading 2 26 2" xfId="3345" xr:uid="{00000000-0005-0000-0000-0000230D0000}"/>
    <cellStyle name="Heading 2 26 3" xfId="3346" xr:uid="{00000000-0005-0000-0000-0000240D0000}"/>
    <cellStyle name="Heading 2 27" xfId="3347" xr:uid="{00000000-0005-0000-0000-0000250D0000}"/>
    <cellStyle name="Heading 2 27 2" xfId="3348" xr:uid="{00000000-0005-0000-0000-0000260D0000}"/>
    <cellStyle name="Heading 2 27 3" xfId="3349" xr:uid="{00000000-0005-0000-0000-0000270D0000}"/>
    <cellStyle name="Heading 2 3" xfId="3350" xr:uid="{00000000-0005-0000-0000-0000280D0000}"/>
    <cellStyle name="Heading 2 3 2" xfId="3351" xr:uid="{00000000-0005-0000-0000-0000290D0000}"/>
    <cellStyle name="Heading 2 3 3" xfId="3352" xr:uid="{00000000-0005-0000-0000-00002A0D0000}"/>
    <cellStyle name="Heading 2 4" xfId="3353" xr:uid="{00000000-0005-0000-0000-00002B0D0000}"/>
    <cellStyle name="Heading 2 4 2" xfId="3354" xr:uid="{00000000-0005-0000-0000-00002C0D0000}"/>
    <cellStyle name="Heading 2 4 3" xfId="3355" xr:uid="{00000000-0005-0000-0000-00002D0D0000}"/>
    <cellStyle name="Heading 2 5" xfId="3356" xr:uid="{00000000-0005-0000-0000-00002E0D0000}"/>
    <cellStyle name="Heading 2 5 2" xfId="3357" xr:uid="{00000000-0005-0000-0000-00002F0D0000}"/>
    <cellStyle name="Heading 2 5 3" xfId="3358" xr:uid="{00000000-0005-0000-0000-0000300D0000}"/>
    <cellStyle name="Heading 2 6" xfId="3359" xr:uid="{00000000-0005-0000-0000-0000310D0000}"/>
    <cellStyle name="Heading 2 6 2" xfId="3360" xr:uid="{00000000-0005-0000-0000-0000320D0000}"/>
    <cellStyle name="Heading 2 6 3" xfId="3361" xr:uid="{00000000-0005-0000-0000-0000330D0000}"/>
    <cellStyle name="Heading 2 7" xfId="3362" xr:uid="{00000000-0005-0000-0000-0000340D0000}"/>
    <cellStyle name="Heading 2 7 2" xfId="3363" xr:uid="{00000000-0005-0000-0000-0000350D0000}"/>
    <cellStyle name="Heading 2 7 3" xfId="3364" xr:uid="{00000000-0005-0000-0000-0000360D0000}"/>
    <cellStyle name="Heading 2 8" xfId="3365" xr:uid="{00000000-0005-0000-0000-0000370D0000}"/>
    <cellStyle name="Heading 2 8 2" xfId="3366" xr:uid="{00000000-0005-0000-0000-0000380D0000}"/>
    <cellStyle name="Heading 2 8 3" xfId="3367" xr:uid="{00000000-0005-0000-0000-0000390D0000}"/>
    <cellStyle name="Heading 2 9" xfId="3368" xr:uid="{00000000-0005-0000-0000-00003A0D0000}"/>
    <cellStyle name="Heading 2 9 2" xfId="3369" xr:uid="{00000000-0005-0000-0000-00003B0D0000}"/>
    <cellStyle name="Heading 2 9 3" xfId="3370" xr:uid="{00000000-0005-0000-0000-00003C0D0000}"/>
    <cellStyle name="Heading 2 Below" xfId="3371" xr:uid="{00000000-0005-0000-0000-00003D0D0000}"/>
    <cellStyle name="Heading 2+" xfId="3372" xr:uid="{00000000-0005-0000-0000-00003E0D0000}"/>
    <cellStyle name="Heading 3 10" xfId="3373" xr:uid="{00000000-0005-0000-0000-00003F0D0000}"/>
    <cellStyle name="Heading 3 10 2" xfId="3374" xr:uid="{00000000-0005-0000-0000-0000400D0000}"/>
    <cellStyle name="Heading 3 10 3" xfId="3375" xr:uid="{00000000-0005-0000-0000-0000410D0000}"/>
    <cellStyle name="Heading 3 11" xfId="3376" xr:uid="{00000000-0005-0000-0000-0000420D0000}"/>
    <cellStyle name="Heading 3 11 2" xfId="3377" xr:uid="{00000000-0005-0000-0000-0000430D0000}"/>
    <cellStyle name="Heading 3 11 3" xfId="3378" xr:uid="{00000000-0005-0000-0000-0000440D0000}"/>
    <cellStyle name="Heading 3 12" xfId="3379" xr:uid="{00000000-0005-0000-0000-0000450D0000}"/>
    <cellStyle name="Heading 3 12 2" xfId="3380" xr:uid="{00000000-0005-0000-0000-0000460D0000}"/>
    <cellStyle name="Heading 3 12 3" xfId="3381" xr:uid="{00000000-0005-0000-0000-0000470D0000}"/>
    <cellStyle name="Heading 3 13" xfId="3382" xr:uid="{00000000-0005-0000-0000-0000480D0000}"/>
    <cellStyle name="Heading 3 13 2" xfId="3383" xr:uid="{00000000-0005-0000-0000-0000490D0000}"/>
    <cellStyle name="Heading 3 13 3" xfId="3384" xr:uid="{00000000-0005-0000-0000-00004A0D0000}"/>
    <cellStyle name="Heading 3 14" xfId="3385" xr:uid="{00000000-0005-0000-0000-00004B0D0000}"/>
    <cellStyle name="Heading 3 14 2" xfId="3386" xr:uid="{00000000-0005-0000-0000-00004C0D0000}"/>
    <cellStyle name="Heading 3 14 3" xfId="3387" xr:uid="{00000000-0005-0000-0000-00004D0D0000}"/>
    <cellStyle name="Heading 3 15" xfId="3388" xr:uid="{00000000-0005-0000-0000-00004E0D0000}"/>
    <cellStyle name="Heading 3 15 2" xfId="3389" xr:uid="{00000000-0005-0000-0000-00004F0D0000}"/>
    <cellStyle name="Heading 3 15 3" xfId="3390" xr:uid="{00000000-0005-0000-0000-0000500D0000}"/>
    <cellStyle name="Heading 3 16" xfId="3391" xr:uid="{00000000-0005-0000-0000-0000510D0000}"/>
    <cellStyle name="Heading 3 16 2" xfId="3392" xr:uid="{00000000-0005-0000-0000-0000520D0000}"/>
    <cellStyle name="Heading 3 16 3" xfId="3393" xr:uid="{00000000-0005-0000-0000-0000530D0000}"/>
    <cellStyle name="Heading 3 17" xfId="3394" xr:uid="{00000000-0005-0000-0000-0000540D0000}"/>
    <cellStyle name="Heading 3 17 2" xfId="3395" xr:uid="{00000000-0005-0000-0000-0000550D0000}"/>
    <cellStyle name="Heading 3 17 3" xfId="3396" xr:uid="{00000000-0005-0000-0000-0000560D0000}"/>
    <cellStyle name="Heading 3 18" xfId="3397" xr:uid="{00000000-0005-0000-0000-0000570D0000}"/>
    <cellStyle name="Heading 3 18 2" xfId="3398" xr:uid="{00000000-0005-0000-0000-0000580D0000}"/>
    <cellStyle name="Heading 3 18 3" xfId="3399" xr:uid="{00000000-0005-0000-0000-0000590D0000}"/>
    <cellStyle name="Heading 3 19" xfId="3400" xr:uid="{00000000-0005-0000-0000-00005A0D0000}"/>
    <cellStyle name="Heading 3 19 2" xfId="3401" xr:uid="{00000000-0005-0000-0000-00005B0D0000}"/>
    <cellStyle name="Heading 3 19 3" xfId="3402" xr:uid="{00000000-0005-0000-0000-00005C0D0000}"/>
    <cellStyle name="Heading 3 2" xfId="3403" xr:uid="{00000000-0005-0000-0000-00005D0D0000}"/>
    <cellStyle name="Heading 3 2 2" xfId="3404" xr:uid="{00000000-0005-0000-0000-00005E0D0000}"/>
    <cellStyle name="Heading 3 2 2 2" xfId="3405" xr:uid="{00000000-0005-0000-0000-00005F0D0000}"/>
    <cellStyle name="Heading 3 2 2 3" xfId="3406" xr:uid="{00000000-0005-0000-0000-0000600D0000}"/>
    <cellStyle name="Heading 3 2 3" xfId="3407" xr:uid="{00000000-0005-0000-0000-0000610D0000}"/>
    <cellStyle name="Heading 3 2 3 2" xfId="3408" xr:uid="{00000000-0005-0000-0000-0000620D0000}"/>
    <cellStyle name="Heading 3 2 3 3" xfId="3409" xr:uid="{00000000-0005-0000-0000-0000630D0000}"/>
    <cellStyle name="Heading 3 2 4" xfId="3410" xr:uid="{00000000-0005-0000-0000-0000640D0000}"/>
    <cellStyle name="Heading 3 2 5" xfId="3411" xr:uid="{00000000-0005-0000-0000-0000650D0000}"/>
    <cellStyle name="Heading 3 2_TOTAL OB COAL" xfId="3412" xr:uid="{00000000-0005-0000-0000-0000660D0000}"/>
    <cellStyle name="Heading 3 20" xfId="3413" xr:uid="{00000000-0005-0000-0000-0000670D0000}"/>
    <cellStyle name="Heading 3 20 2" xfId="3414" xr:uid="{00000000-0005-0000-0000-0000680D0000}"/>
    <cellStyle name="Heading 3 20 3" xfId="3415" xr:uid="{00000000-0005-0000-0000-0000690D0000}"/>
    <cellStyle name="Heading 3 21" xfId="3416" xr:uid="{00000000-0005-0000-0000-00006A0D0000}"/>
    <cellStyle name="Heading 3 21 2" xfId="3417" xr:uid="{00000000-0005-0000-0000-00006B0D0000}"/>
    <cellStyle name="Heading 3 21 3" xfId="3418" xr:uid="{00000000-0005-0000-0000-00006C0D0000}"/>
    <cellStyle name="Heading 3 22" xfId="3419" xr:uid="{00000000-0005-0000-0000-00006D0D0000}"/>
    <cellStyle name="Heading 3 22 2" xfId="3420" xr:uid="{00000000-0005-0000-0000-00006E0D0000}"/>
    <cellStyle name="Heading 3 22 3" xfId="3421" xr:uid="{00000000-0005-0000-0000-00006F0D0000}"/>
    <cellStyle name="Heading 3 23" xfId="3422" xr:uid="{00000000-0005-0000-0000-0000700D0000}"/>
    <cellStyle name="Heading 3 23 2" xfId="3423" xr:uid="{00000000-0005-0000-0000-0000710D0000}"/>
    <cellStyle name="Heading 3 23 3" xfId="3424" xr:uid="{00000000-0005-0000-0000-0000720D0000}"/>
    <cellStyle name="Heading 3 24" xfId="3425" xr:uid="{00000000-0005-0000-0000-0000730D0000}"/>
    <cellStyle name="Heading 3 24 2" xfId="3426" xr:uid="{00000000-0005-0000-0000-0000740D0000}"/>
    <cellStyle name="Heading 3 24 3" xfId="3427" xr:uid="{00000000-0005-0000-0000-0000750D0000}"/>
    <cellStyle name="Heading 3 25" xfId="3428" xr:uid="{00000000-0005-0000-0000-0000760D0000}"/>
    <cellStyle name="Heading 3 25 2" xfId="3429" xr:uid="{00000000-0005-0000-0000-0000770D0000}"/>
    <cellStyle name="Heading 3 25 3" xfId="3430" xr:uid="{00000000-0005-0000-0000-0000780D0000}"/>
    <cellStyle name="Heading 3 26" xfId="3431" xr:uid="{00000000-0005-0000-0000-0000790D0000}"/>
    <cellStyle name="Heading 3 26 2" xfId="3432" xr:uid="{00000000-0005-0000-0000-00007A0D0000}"/>
    <cellStyle name="Heading 3 26 3" xfId="3433" xr:uid="{00000000-0005-0000-0000-00007B0D0000}"/>
    <cellStyle name="Heading 3 27" xfId="3434" xr:uid="{00000000-0005-0000-0000-00007C0D0000}"/>
    <cellStyle name="Heading 3 27 2" xfId="3435" xr:uid="{00000000-0005-0000-0000-00007D0D0000}"/>
    <cellStyle name="Heading 3 27 3" xfId="3436" xr:uid="{00000000-0005-0000-0000-00007E0D0000}"/>
    <cellStyle name="Heading 3 3" xfId="3437" xr:uid="{00000000-0005-0000-0000-00007F0D0000}"/>
    <cellStyle name="Heading 3 3 2" xfId="3438" xr:uid="{00000000-0005-0000-0000-0000800D0000}"/>
    <cellStyle name="Heading 3 3 3" xfId="3439" xr:uid="{00000000-0005-0000-0000-0000810D0000}"/>
    <cellStyle name="Heading 3 4" xfId="3440" xr:uid="{00000000-0005-0000-0000-0000820D0000}"/>
    <cellStyle name="Heading 3 4 2" xfId="3441" xr:uid="{00000000-0005-0000-0000-0000830D0000}"/>
    <cellStyle name="Heading 3 4 3" xfId="3442" xr:uid="{00000000-0005-0000-0000-0000840D0000}"/>
    <cellStyle name="Heading 3 5" xfId="3443" xr:uid="{00000000-0005-0000-0000-0000850D0000}"/>
    <cellStyle name="Heading 3 5 2" xfId="3444" xr:uid="{00000000-0005-0000-0000-0000860D0000}"/>
    <cellStyle name="Heading 3 5 3" xfId="3445" xr:uid="{00000000-0005-0000-0000-0000870D0000}"/>
    <cellStyle name="Heading 3 6" xfId="3446" xr:uid="{00000000-0005-0000-0000-0000880D0000}"/>
    <cellStyle name="Heading 3 6 2" xfId="3447" xr:uid="{00000000-0005-0000-0000-0000890D0000}"/>
    <cellStyle name="Heading 3 6 3" xfId="3448" xr:uid="{00000000-0005-0000-0000-00008A0D0000}"/>
    <cellStyle name="Heading 3 7" xfId="3449" xr:uid="{00000000-0005-0000-0000-00008B0D0000}"/>
    <cellStyle name="Heading 3 7 2" xfId="3450" xr:uid="{00000000-0005-0000-0000-00008C0D0000}"/>
    <cellStyle name="Heading 3 7 3" xfId="3451" xr:uid="{00000000-0005-0000-0000-00008D0D0000}"/>
    <cellStyle name="Heading 3 8" xfId="3452" xr:uid="{00000000-0005-0000-0000-00008E0D0000}"/>
    <cellStyle name="Heading 3 8 2" xfId="3453" xr:uid="{00000000-0005-0000-0000-00008F0D0000}"/>
    <cellStyle name="Heading 3 8 3" xfId="3454" xr:uid="{00000000-0005-0000-0000-0000900D0000}"/>
    <cellStyle name="Heading 3 9" xfId="3455" xr:uid="{00000000-0005-0000-0000-0000910D0000}"/>
    <cellStyle name="Heading 3 9 2" xfId="3456" xr:uid="{00000000-0005-0000-0000-0000920D0000}"/>
    <cellStyle name="Heading 3 9 3" xfId="3457" xr:uid="{00000000-0005-0000-0000-0000930D0000}"/>
    <cellStyle name="Heading 3+" xfId="3458" xr:uid="{00000000-0005-0000-0000-0000940D0000}"/>
    <cellStyle name="Heading 4 10" xfId="3459" xr:uid="{00000000-0005-0000-0000-0000950D0000}"/>
    <cellStyle name="Heading 4 10 2" xfId="3460" xr:uid="{00000000-0005-0000-0000-0000960D0000}"/>
    <cellStyle name="Heading 4 10 3" xfId="3461" xr:uid="{00000000-0005-0000-0000-0000970D0000}"/>
    <cellStyle name="Heading 4 11" xfId="3462" xr:uid="{00000000-0005-0000-0000-0000980D0000}"/>
    <cellStyle name="Heading 4 11 2" xfId="3463" xr:uid="{00000000-0005-0000-0000-0000990D0000}"/>
    <cellStyle name="Heading 4 11 3" xfId="3464" xr:uid="{00000000-0005-0000-0000-00009A0D0000}"/>
    <cellStyle name="Heading 4 12" xfId="3465" xr:uid="{00000000-0005-0000-0000-00009B0D0000}"/>
    <cellStyle name="Heading 4 12 2" xfId="3466" xr:uid="{00000000-0005-0000-0000-00009C0D0000}"/>
    <cellStyle name="Heading 4 12 3" xfId="3467" xr:uid="{00000000-0005-0000-0000-00009D0D0000}"/>
    <cellStyle name="Heading 4 13" xfId="3468" xr:uid="{00000000-0005-0000-0000-00009E0D0000}"/>
    <cellStyle name="Heading 4 13 2" xfId="3469" xr:uid="{00000000-0005-0000-0000-00009F0D0000}"/>
    <cellStyle name="Heading 4 13 3" xfId="3470" xr:uid="{00000000-0005-0000-0000-0000A00D0000}"/>
    <cellStyle name="Heading 4 14" xfId="3471" xr:uid="{00000000-0005-0000-0000-0000A10D0000}"/>
    <cellStyle name="Heading 4 14 2" xfId="3472" xr:uid="{00000000-0005-0000-0000-0000A20D0000}"/>
    <cellStyle name="Heading 4 14 3" xfId="3473" xr:uid="{00000000-0005-0000-0000-0000A30D0000}"/>
    <cellStyle name="Heading 4 15" xfId="3474" xr:uid="{00000000-0005-0000-0000-0000A40D0000}"/>
    <cellStyle name="Heading 4 15 2" xfId="3475" xr:uid="{00000000-0005-0000-0000-0000A50D0000}"/>
    <cellStyle name="Heading 4 15 3" xfId="3476" xr:uid="{00000000-0005-0000-0000-0000A60D0000}"/>
    <cellStyle name="Heading 4 16" xfId="3477" xr:uid="{00000000-0005-0000-0000-0000A70D0000}"/>
    <cellStyle name="Heading 4 16 2" xfId="3478" xr:uid="{00000000-0005-0000-0000-0000A80D0000}"/>
    <cellStyle name="Heading 4 16 3" xfId="3479" xr:uid="{00000000-0005-0000-0000-0000A90D0000}"/>
    <cellStyle name="Heading 4 17" xfId="3480" xr:uid="{00000000-0005-0000-0000-0000AA0D0000}"/>
    <cellStyle name="Heading 4 17 2" xfId="3481" xr:uid="{00000000-0005-0000-0000-0000AB0D0000}"/>
    <cellStyle name="Heading 4 17 3" xfId="3482" xr:uid="{00000000-0005-0000-0000-0000AC0D0000}"/>
    <cellStyle name="Heading 4 18" xfId="3483" xr:uid="{00000000-0005-0000-0000-0000AD0D0000}"/>
    <cellStyle name="Heading 4 18 2" xfId="3484" xr:uid="{00000000-0005-0000-0000-0000AE0D0000}"/>
    <cellStyle name="Heading 4 18 3" xfId="3485" xr:uid="{00000000-0005-0000-0000-0000AF0D0000}"/>
    <cellStyle name="Heading 4 19" xfId="3486" xr:uid="{00000000-0005-0000-0000-0000B00D0000}"/>
    <cellStyle name="Heading 4 19 2" xfId="3487" xr:uid="{00000000-0005-0000-0000-0000B10D0000}"/>
    <cellStyle name="Heading 4 19 3" xfId="3488" xr:uid="{00000000-0005-0000-0000-0000B20D0000}"/>
    <cellStyle name="Heading 4 2" xfId="3489" xr:uid="{00000000-0005-0000-0000-0000B30D0000}"/>
    <cellStyle name="Heading 4 2 2" xfId="3490" xr:uid="{00000000-0005-0000-0000-0000B40D0000}"/>
    <cellStyle name="Heading 4 2 2 2" xfId="3491" xr:uid="{00000000-0005-0000-0000-0000B50D0000}"/>
    <cellStyle name="Heading 4 2 2 3" xfId="3492" xr:uid="{00000000-0005-0000-0000-0000B60D0000}"/>
    <cellStyle name="Heading 4 2 3" xfId="3493" xr:uid="{00000000-0005-0000-0000-0000B70D0000}"/>
    <cellStyle name="Heading 4 2 3 2" xfId="3494" xr:uid="{00000000-0005-0000-0000-0000B80D0000}"/>
    <cellStyle name="Heading 4 2 3 3" xfId="3495" xr:uid="{00000000-0005-0000-0000-0000B90D0000}"/>
    <cellStyle name="Heading 4 2 4" xfId="3496" xr:uid="{00000000-0005-0000-0000-0000BA0D0000}"/>
    <cellStyle name="Heading 4 2 5" xfId="3497" xr:uid="{00000000-0005-0000-0000-0000BB0D0000}"/>
    <cellStyle name="Heading 4 2_TOTAL OB COAL" xfId="3498" xr:uid="{00000000-0005-0000-0000-0000BC0D0000}"/>
    <cellStyle name="Heading 4 20" xfId="3499" xr:uid="{00000000-0005-0000-0000-0000BD0D0000}"/>
    <cellStyle name="Heading 4 20 2" xfId="3500" xr:uid="{00000000-0005-0000-0000-0000BE0D0000}"/>
    <cellStyle name="Heading 4 20 3" xfId="3501" xr:uid="{00000000-0005-0000-0000-0000BF0D0000}"/>
    <cellStyle name="Heading 4 21" xfId="3502" xr:uid="{00000000-0005-0000-0000-0000C00D0000}"/>
    <cellStyle name="Heading 4 21 2" xfId="3503" xr:uid="{00000000-0005-0000-0000-0000C10D0000}"/>
    <cellStyle name="Heading 4 21 3" xfId="3504" xr:uid="{00000000-0005-0000-0000-0000C20D0000}"/>
    <cellStyle name="Heading 4 22" xfId="3505" xr:uid="{00000000-0005-0000-0000-0000C30D0000}"/>
    <cellStyle name="Heading 4 22 2" xfId="3506" xr:uid="{00000000-0005-0000-0000-0000C40D0000}"/>
    <cellStyle name="Heading 4 22 3" xfId="3507" xr:uid="{00000000-0005-0000-0000-0000C50D0000}"/>
    <cellStyle name="Heading 4 23" xfId="3508" xr:uid="{00000000-0005-0000-0000-0000C60D0000}"/>
    <cellStyle name="Heading 4 23 2" xfId="3509" xr:uid="{00000000-0005-0000-0000-0000C70D0000}"/>
    <cellStyle name="Heading 4 23 3" xfId="3510" xr:uid="{00000000-0005-0000-0000-0000C80D0000}"/>
    <cellStyle name="Heading 4 24" xfId="3511" xr:uid="{00000000-0005-0000-0000-0000C90D0000}"/>
    <cellStyle name="Heading 4 24 2" xfId="3512" xr:uid="{00000000-0005-0000-0000-0000CA0D0000}"/>
    <cellStyle name="Heading 4 24 3" xfId="3513" xr:uid="{00000000-0005-0000-0000-0000CB0D0000}"/>
    <cellStyle name="Heading 4 25" xfId="3514" xr:uid="{00000000-0005-0000-0000-0000CC0D0000}"/>
    <cellStyle name="Heading 4 25 2" xfId="3515" xr:uid="{00000000-0005-0000-0000-0000CD0D0000}"/>
    <cellStyle name="Heading 4 25 3" xfId="3516" xr:uid="{00000000-0005-0000-0000-0000CE0D0000}"/>
    <cellStyle name="Heading 4 26" xfId="3517" xr:uid="{00000000-0005-0000-0000-0000CF0D0000}"/>
    <cellStyle name="Heading 4 26 2" xfId="3518" xr:uid="{00000000-0005-0000-0000-0000D00D0000}"/>
    <cellStyle name="Heading 4 26 3" xfId="3519" xr:uid="{00000000-0005-0000-0000-0000D10D0000}"/>
    <cellStyle name="Heading 4 27" xfId="3520" xr:uid="{00000000-0005-0000-0000-0000D20D0000}"/>
    <cellStyle name="Heading 4 27 2" xfId="3521" xr:uid="{00000000-0005-0000-0000-0000D30D0000}"/>
    <cellStyle name="Heading 4 27 3" xfId="3522" xr:uid="{00000000-0005-0000-0000-0000D40D0000}"/>
    <cellStyle name="Heading 4 3" xfId="3523" xr:uid="{00000000-0005-0000-0000-0000D50D0000}"/>
    <cellStyle name="Heading 4 3 2" xfId="3524" xr:uid="{00000000-0005-0000-0000-0000D60D0000}"/>
    <cellStyle name="Heading 4 3 3" xfId="3525" xr:uid="{00000000-0005-0000-0000-0000D70D0000}"/>
    <cellStyle name="Heading 4 4" xfId="3526" xr:uid="{00000000-0005-0000-0000-0000D80D0000}"/>
    <cellStyle name="Heading 4 4 2" xfId="3527" xr:uid="{00000000-0005-0000-0000-0000D90D0000}"/>
    <cellStyle name="Heading 4 4 3" xfId="3528" xr:uid="{00000000-0005-0000-0000-0000DA0D0000}"/>
    <cellStyle name="Heading 4 5" xfId="3529" xr:uid="{00000000-0005-0000-0000-0000DB0D0000}"/>
    <cellStyle name="Heading 4 5 2" xfId="3530" xr:uid="{00000000-0005-0000-0000-0000DC0D0000}"/>
    <cellStyle name="Heading 4 5 3" xfId="3531" xr:uid="{00000000-0005-0000-0000-0000DD0D0000}"/>
    <cellStyle name="Heading 4 6" xfId="3532" xr:uid="{00000000-0005-0000-0000-0000DE0D0000}"/>
    <cellStyle name="Heading 4 6 2" xfId="3533" xr:uid="{00000000-0005-0000-0000-0000DF0D0000}"/>
    <cellStyle name="Heading 4 6 3" xfId="3534" xr:uid="{00000000-0005-0000-0000-0000E00D0000}"/>
    <cellStyle name="Heading 4 7" xfId="3535" xr:uid="{00000000-0005-0000-0000-0000E10D0000}"/>
    <cellStyle name="Heading 4 7 2" xfId="3536" xr:uid="{00000000-0005-0000-0000-0000E20D0000}"/>
    <cellStyle name="Heading 4 7 3" xfId="3537" xr:uid="{00000000-0005-0000-0000-0000E30D0000}"/>
    <cellStyle name="Heading 4 8" xfId="3538" xr:uid="{00000000-0005-0000-0000-0000E40D0000}"/>
    <cellStyle name="Heading 4 8 2" xfId="3539" xr:uid="{00000000-0005-0000-0000-0000E50D0000}"/>
    <cellStyle name="Heading 4 8 3" xfId="3540" xr:uid="{00000000-0005-0000-0000-0000E60D0000}"/>
    <cellStyle name="Heading 4 9" xfId="3541" xr:uid="{00000000-0005-0000-0000-0000E70D0000}"/>
    <cellStyle name="Heading 4 9 2" xfId="3542" xr:uid="{00000000-0005-0000-0000-0000E80D0000}"/>
    <cellStyle name="Heading 4 9 3" xfId="3543" xr:uid="{00000000-0005-0000-0000-0000E90D0000}"/>
    <cellStyle name="Heading Left" xfId="3544" xr:uid="{00000000-0005-0000-0000-0000EA0D0000}"/>
    <cellStyle name="Heading Right" xfId="3545" xr:uid="{00000000-0005-0000-0000-0000EB0D0000}"/>
    <cellStyle name="Heading1" xfId="3546" xr:uid="{00000000-0005-0000-0000-0000EC0D0000}"/>
    <cellStyle name="Heading2" xfId="3547" xr:uid="{00000000-0005-0000-0000-0000ED0D0000}"/>
    <cellStyle name="Heading3" xfId="3548" xr:uid="{00000000-0005-0000-0000-0000EE0D0000}"/>
    <cellStyle name="Heading4" xfId="3549" xr:uid="{00000000-0005-0000-0000-0000EF0D0000}"/>
    <cellStyle name="Heading5" xfId="3550" xr:uid="{00000000-0005-0000-0000-0000F00D0000}"/>
    <cellStyle name="Heading6" xfId="3551" xr:uid="{00000000-0005-0000-0000-0000F10D0000}"/>
    <cellStyle name="HeadingB" xfId="3552" xr:uid="{00000000-0005-0000-0000-0000F20D0000}"/>
    <cellStyle name="HeadingBU" xfId="3553" xr:uid="{00000000-0005-0000-0000-0000F30D0000}"/>
    <cellStyle name="HeadingS" xfId="3554" xr:uid="{00000000-0005-0000-0000-0000F40D0000}"/>
    <cellStyle name="HEADINGSTOP" xfId="3555" xr:uid="{00000000-0005-0000-0000-0000F50D0000}"/>
    <cellStyle name="Headline2" xfId="3556" xr:uid="{00000000-0005-0000-0000-0000F60D0000}"/>
    <cellStyle name="Headline3" xfId="3557" xr:uid="{00000000-0005-0000-0000-0000F70D0000}"/>
    <cellStyle name="HIDDEN" xfId="3558" xr:uid="{00000000-0005-0000-0000-0000F80D0000}"/>
    <cellStyle name="Hide" xfId="3559" xr:uid="{00000000-0005-0000-0000-0000F90D0000}"/>
    <cellStyle name="HIGHLIGHT" xfId="3560" xr:uid="{00000000-0005-0000-0000-0000FA0D0000}"/>
    <cellStyle name="Hipervínculo_Cashflow Sogedasa" xfId="3561" xr:uid="{00000000-0005-0000-0000-0000FB0D0000}"/>
    <cellStyle name="Hyperlink" xfId="5286" builtinId="8"/>
    <cellStyle name="Hyperlink 2" xfId="3562" xr:uid="{00000000-0005-0000-0000-0000FD0D0000}"/>
    <cellStyle name="Hyperlink 3" xfId="3563" xr:uid="{00000000-0005-0000-0000-0000FE0D0000}"/>
    <cellStyle name="Hyperlink 4" xfId="5287" xr:uid="{00000000-0005-0000-0000-0000FF0D0000}"/>
    <cellStyle name="Hyperlink 5" xfId="5321" xr:uid="{D987590E-0394-4626-B1F4-F5D6C68C0ABC}"/>
    <cellStyle name="Ï" xfId="3564" xr:uid="{00000000-0005-0000-0000-0000000E0000}"/>
    <cellStyle name="IncomeStatement" xfId="3565" xr:uid="{00000000-0005-0000-0000-0000010E0000}"/>
    <cellStyle name="Indent" xfId="3566" xr:uid="{00000000-0005-0000-0000-0000020E0000}"/>
    <cellStyle name="Input [%0]" xfId="3567" xr:uid="{00000000-0005-0000-0000-0000030E0000}"/>
    <cellStyle name="Input [%00]" xfId="3568" xr:uid="{00000000-0005-0000-0000-0000040E0000}"/>
    <cellStyle name="Input [yellow]" xfId="3569" xr:uid="{00000000-0005-0000-0000-0000050E0000}"/>
    <cellStyle name="Input 10" xfId="3570" xr:uid="{00000000-0005-0000-0000-0000060E0000}"/>
    <cellStyle name="Input 10 2" xfId="3571" xr:uid="{00000000-0005-0000-0000-0000070E0000}"/>
    <cellStyle name="Input 10 2 2" xfId="3572" xr:uid="{00000000-0005-0000-0000-0000080E0000}"/>
    <cellStyle name="Input 10 3" xfId="3573" xr:uid="{00000000-0005-0000-0000-0000090E0000}"/>
    <cellStyle name="Input 10 3 2" xfId="3574" xr:uid="{00000000-0005-0000-0000-00000A0E0000}"/>
    <cellStyle name="Input 10 4" xfId="3575" xr:uid="{00000000-0005-0000-0000-00000B0E0000}"/>
    <cellStyle name="Input 11" xfId="3576" xr:uid="{00000000-0005-0000-0000-00000C0E0000}"/>
    <cellStyle name="Input 11 2" xfId="3577" xr:uid="{00000000-0005-0000-0000-00000D0E0000}"/>
    <cellStyle name="Input 11 2 2" xfId="3578" xr:uid="{00000000-0005-0000-0000-00000E0E0000}"/>
    <cellStyle name="Input 11 3" xfId="3579" xr:uid="{00000000-0005-0000-0000-00000F0E0000}"/>
    <cellStyle name="Input 11 3 2" xfId="3580" xr:uid="{00000000-0005-0000-0000-0000100E0000}"/>
    <cellStyle name="Input 11 4" xfId="3581" xr:uid="{00000000-0005-0000-0000-0000110E0000}"/>
    <cellStyle name="Input 12" xfId="3582" xr:uid="{00000000-0005-0000-0000-0000120E0000}"/>
    <cellStyle name="Input 12 2" xfId="3583" xr:uid="{00000000-0005-0000-0000-0000130E0000}"/>
    <cellStyle name="Input 12 2 2" xfId="3584" xr:uid="{00000000-0005-0000-0000-0000140E0000}"/>
    <cellStyle name="Input 12 3" xfId="3585" xr:uid="{00000000-0005-0000-0000-0000150E0000}"/>
    <cellStyle name="Input 12 3 2" xfId="3586" xr:uid="{00000000-0005-0000-0000-0000160E0000}"/>
    <cellStyle name="Input 12 4" xfId="3587" xr:uid="{00000000-0005-0000-0000-0000170E0000}"/>
    <cellStyle name="Input 13" xfId="3588" xr:uid="{00000000-0005-0000-0000-0000180E0000}"/>
    <cellStyle name="Input 13 2" xfId="3589" xr:uid="{00000000-0005-0000-0000-0000190E0000}"/>
    <cellStyle name="Input 13 2 2" xfId="3590" xr:uid="{00000000-0005-0000-0000-00001A0E0000}"/>
    <cellStyle name="Input 13 3" xfId="3591" xr:uid="{00000000-0005-0000-0000-00001B0E0000}"/>
    <cellStyle name="Input 13 3 2" xfId="3592" xr:uid="{00000000-0005-0000-0000-00001C0E0000}"/>
    <cellStyle name="Input 13 4" xfId="3593" xr:uid="{00000000-0005-0000-0000-00001D0E0000}"/>
    <cellStyle name="Input 14" xfId="3594" xr:uid="{00000000-0005-0000-0000-00001E0E0000}"/>
    <cellStyle name="Input 14 2" xfId="3595" xr:uid="{00000000-0005-0000-0000-00001F0E0000}"/>
    <cellStyle name="Input 14 2 2" xfId="3596" xr:uid="{00000000-0005-0000-0000-0000200E0000}"/>
    <cellStyle name="Input 14 3" xfId="3597" xr:uid="{00000000-0005-0000-0000-0000210E0000}"/>
    <cellStyle name="Input 14 3 2" xfId="3598" xr:uid="{00000000-0005-0000-0000-0000220E0000}"/>
    <cellStyle name="Input 14 4" xfId="3599" xr:uid="{00000000-0005-0000-0000-0000230E0000}"/>
    <cellStyle name="Input 15" xfId="3600" xr:uid="{00000000-0005-0000-0000-0000240E0000}"/>
    <cellStyle name="Input 15 2" xfId="3601" xr:uid="{00000000-0005-0000-0000-0000250E0000}"/>
    <cellStyle name="Input 15 2 2" xfId="3602" xr:uid="{00000000-0005-0000-0000-0000260E0000}"/>
    <cellStyle name="Input 15 3" xfId="3603" xr:uid="{00000000-0005-0000-0000-0000270E0000}"/>
    <cellStyle name="Input 15 3 2" xfId="3604" xr:uid="{00000000-0005-0000-0000-0000280E0000}"/>
    <cellStyle name="Input 15 4" xfId="3605" xr:uid="{00000000-0005-0000-0000-0000290E0000}"/>
    <cellStyle name="Input 16" xfId="3606" xr:uid="{00000000-0005-0000-0000-00002A0E0000}"/>
    <cellStyle name="Input 16 2" xfId="3607" xr:uid="{00000000-0005-0000-0000-00002B0E0000}"/>
    <cellStyle name="Input 16 2 2" xfId="3608" xr:uid="{00000000-0005-0000-0000-00002C0E0000}"/>
    <cellStyle name="Input 16 3" xfId="3609" xr:uid="{00000000-0005-0000-0000-00002D0E0000}"/>
    <cellStyle name="Input 16 3 2" xfId="3610" xr:uid="{00000000-0005-0000-0000-00002E0E0000}"/>
    <cellStyle name="Input 16 4" xfId="3611" xr:uid="{00000000-0005-0000-0000-00002F0E0000}"/>
    <cellStyle name="Input 17" xfId="3612" xr:uid="{00000000-0005-0000-0000-0000300E0000}"/>
    <cellStyle name="Input 17 2" xfId="3613" xr:uid="{00000000-0005-0000-0000-0000310E0000}"/>
    <cellStyle name="Input 17 2 2" xfId="3614" xr:uid="{00000000-0005-0000-0000-0000320E0000}"/>
    <cellStyle name="Input 17 3" xfId="3615" xr:uid="{00000000-0005-0000-0000-0000330E0000}"/>
    <cellStyle name="Input 17 3 2" xfId="3616" xr:uid="{00000000-0005-0000-0000-0000340E0000}"/>
    <cellStyle name="Input 17 4" xfId="3617" xr:uid="{00000000-0005-0000-0000-0000350E0000}"/>
    <cellStyle name="Input 18" xfId="3618" xr:uid="{00000000-0005-0000-0000-0000360E0000}"/>
    <cellStyle name="Input 18 2" xfId="3619" xr:uid="{00000000-0005-0000-0000-0000370E0000}"/>
    <cellStyle name="Input 18 2 2" xfId="3620" xr:uid="{00000000-0005-0000-0000-0000380E0000}"/>
    <cellStyle name="Input 18 3" xfId="3621" xr:uid="{00000000-0005-0000-0000-0000390E0000}"/>
    <cellStyle name="Input 18 3 2" xfId="3622" xr:uid="{00000000-0005-0000-0000-00003A0E0000}"/>
    <cellStyle name="Input 18 4" xfId="3623" xr:uid="{00000000-0005-0000-0000-00003B0E0000}"/>
    <cellStyle name="Input 19" xfId="3624" xr:uid="{00000000-0005-0000-0000-00003C0E0000}"/>
    <cellStyle name="Input 19 2" xfId="3625" xr:uid="{00000000-0005-0000-0000-00003D0E0000}"/>
    <cellStyle name="Input 19 2 2" xfId="3626" xr:uid="{00000000-0005-0000-0000-00003E0E0000}"/>
    <cellStyle name="Input 19 3" xfId="3627" xr:uid="{00000000-0005-0000-0000-00003F0E0000}"/>
    <cellStyle name="Input 19 3 2" xfId="3628" xr:uid="{00000000-0005-0000-0000-0000400E0000}"/>
    <cellStyle name="Input 19 4" xfId="3629" xr:uid="{00000000-0005-0000-0000-0000410E0000}"/>
    <cellStyle name="Input 2" xfId="3630" xr:uid="{00000000-0005-0000-0000-0000420E0000}"/>
    <cellStyle name="Input 2 2" xfId="3631" xr:uid="{00000000-0005-0000-0000-0000430E0000}"/>
    <cellStyle name="Input 2 2 2" xfId="3632" xr:uid="{00000000-0005-0000-0000-0000440E0000}"/>
    <cellStyle name="Input 2 2 2 2" xfId="3633" xr:uid="{00000000-0005-0000-0000-0000450E0000}"/>
    <cellStyle name="Input 2 2 3" xfId="3634" xr:uid="{00000000-0005-0000-0000-0000460E0000}"/>
    <cellStyle name="Input 2 2 3 2" xfId="3635" xr:uid="{00000000-0005-0000-0000-0000470E0000}"/>
    <cellStyle name="Input 2 2 4" xfId="3636" xr:uid="{00000000-0005-0000-0000-0000480E0000}"/>
    <cellStyle name="Input 2 3" xfId="3637" xr:uid="{00000000-0005-0000-0000-0000490E0000}"/>
    <cellStyle name="Input 2 3 2" xfId="3638" xr:uid="{00000000-0005-0000-0000-00004A0E0000}"/>
    <cellStyle name="Input 2 3 2 2" xfId="3639" xr:uid="{00000000-0005-0000-0000-00004B0E0000}"/>
    <cellStyle name="Input 2 3 3" xfId="3640" xr:uid="{00000000-0005-0000-0000-00004C0E0000}"/>
    <cellStyle name="Input 2 3 3 2" xfId="3641" xr:uid="{00000000-0005-0000-0000-00004D0E0000}"/>
    <cellStyle name="Input 2 3 4" xfId="3642" xr:uid="{00000000-0005-0000-0000-00004E0E0000}"/>
    <cellStyle name="Input 2 4" xfId="3643" xr:uid="{00000000-0005-0000-0000-00004F0E0000}"/>
    <cellStyle name="Input 2 4 2" xfId="3644" xr:uid="{00000000-0005-0000-0000-0000500E0000}"/>
    <cellStyle name="Input 2 5" xfId="3645" xr:uid="{00000000-0005-0000-0000-0000510E0000}"/>
    <cellStyle name="Input 2 5 2" xfId="3646" xr:uid="{00000000-0005-0000-0000-0000520E0000}"/>
    <cellStyle name="Input 2 6" xfId="3647" xr:uid="{00000000-0005-0000-0000-0000530E0000}"/>
    <cellStyle name="Input 2_TOTAL OB COAL" xfId="3648" xr:uid="{00000000-0005-0000-0000-0000540E0000}"/>
    <cellStyle name="Input 20" xfId="3649" xr:uid="{00000000-0005-0000-0000-0000550E0000}"/>
    <cellStyle name="Input 20 2" xfId="3650" xr:uid="{00000000-0005-0000-0000-0000560E0000}"/>
    <cellStyle name="Input 20 2 2" xfId="3651" xr:uid="{00000000-0005-0000-0000-0000570E0000}"/>
    <cellStyle name="Input 20 3" xfId="3652" xr:uid="{00000000-0005-0000-0000-0000580E0000}"/>
    <cellStyle name="Input 20 3 2" xfId="3653" xr:uid="{00000000-0005-0000-0000-0000590E0000}"/>
    <cellStyle name="Input 20 4" xfId="3654" xr:uid="{00000000-0005-0000-0000-00005A0E0000}"/>
    <cellStyle name="Input 21" xfId="3655" xr:uid="{00000000-0005-0000-0000-00005B0E0000}"/>
    <cellStyle name="Input 21 2" xfId="3656" xr:uid="{00000000-0005-0000-0000-00005C0E0000}"/>
    <cellStyle name="Input 21 2 2" xfId="3657" xr:uid="{00000000-0005-0000-0000-00005D0E0000}"/>
    <cellStyle name="Input 21 3" xfId="3658" xr:uid="{00000000-0005-0000-0000-00005E0E0000}"/>
    <cellStyle name="Input 21 3 2" xfId="3659" xr:uid="{00000000-0005-0000-0000-00005F0E0000}"/>
    <cellStyle name="Input 21 4" xfId="3660" xr:uid="{00000000-0005-0000-0000-0000600E0000}"/>
    <cellStyle name="Input 22" xfId="3661" xr:uid="{00000000-0005-0000-0000-0000610E0000}"/>
    <cellStyle name="Input 22 2" xfId="3662" xr:uid="{00000000-0005-0000-0000-0000620E0000}"/>
    <cellStyle name="Input 22 2 2" xfId="3663" xr:uid="{00000000-0005-0000-0000-0000630E0000}"/>
    <cellStyle name="Input 22 3" xfId="3664" xr:uid="{00000000-0005-0000-0000-0000640E0000}"/>
    <cellStyle name="Input 22 3 2" xfId="3665" xr:uid="{00000000-0005-0000-0000-0000650E0000}"/>
    <cellStyle name="Input 22 4" xfId="3666" xr:uid="{00000000-0005-0000-0000-0000660E0000}"/>
    <cellStyle name="Input 23" xfId="3667" xr:uid="{00000000-0005-0000-0000-0000670E0000}"/>
    <cellStyle name="Input 23 2" xfId="3668" xr:uid="{00000000-0005-0000-0000-0000680E0000}"/>
    <cellStyle name="Input 23 2 2" xfId="3669" xr:uid="{00000000-0005-0000-0000-0000690E0000}"/>
    <cellStyle name="Input 23 3" xfId="3670" xr:uid="{00000000-0005-0000-0000-00006A0E0000}"/>
    <cellStyle name="Input 23 3 2" xfId="3671" xr:uid="{00000000-0005-0000-0000-00006B0E0000}"/>
    <cellStyle name="Input 23 4" xfId="3672" xr:uid="{00000000-0005-0000-0000-00006C0E0000}"/>
    <cellStyle name="Input 24" xfId="3673" xr:uid="{00000000-0005-0000-0000-00006D0E0000}"/>
    <cellStyle name="Input 24 2" xfId="3674" xr:uid="{00000000-0005-0000-0000-00006E0E0000}"/>
    <cellStyle name="Input 24 2 2" xfId="3675" xr:uid="{00000000-0005-0000-0000-00006F0E0000}"/>
    <cellStyle name="Input 24 3" xfId="3676" xr:uid="{00000000-0005-0000-0000-0000700E0000}"/>
    <cellStyle name="Input 24 3 2" xfId="3677" xr:uid="{00000000-0005-0000-0000-0000710E0000}"/>
    <cellStyle name="Input 24 4" xfId="3678" xr:uid="{00000000-0005-0000-0000-0000720E0000}"/>
    <cellStyle name="Input 25" xfId="3679" xr:uid="{00000000-0005-0000-0000-0000730E0000}"/>
    <cellStyle name="Input 25 2" xfId="3680" xr:uid="{00000000-0005-0000-0000-0000740E0000}"/>
    <cellStyle name="Input 25 2 2" xfId="3681" xr:uid="{00000000-0005-0000-0000-0000750E0000}"/>
    <cellStyle name="Input 25 3" xfId="3682" xr:uid="{00000000-0005-0000-0000-0000760E0000}"/>
    <cellStyle name="Input 25 3 2" xfId="3683" xr:uid="{00000000-0005-0000-0000-0000770E0000}"/>
    <cellStyle name="Input 25 4" xfId="3684" xr:uid="{00000000-0005-0000-0000-0000780E0000}"/>
    <cellStyle name="Input 26" xfId="3685" xr:uid="{00000000-0005-0000-0000-0000790E0000}"/>
    <cellStyle name="Input 26 2" xfId="3686" xr:uid="{00000000-0005-0000-0000-00007A0E0000}"/>
    <cellStyle name="Input 26 2 2" xfId="3687" xr:uid="{00000000-0005-0000-0000-00007B0E0000}"/>
    <cellStyle name="Input 26 3" xfId="3688" xr:uid="{00000000-0005-0000-0000-00007C0E0000}"/>
    <cellStyle name="Input 26 3 2" xfId="3689" xr:uid="{00000000-0005-0000-0000-00007D0E0000}"/>
    <cellStyle name="Input 26 4" xfId="3690" xr:uid="{00000000-0005-0000-0000-00007E0E0000}"/>
    <cellStyle name="Input 27" xfId="3691" xr:uid="{00000000-0005-0000-0000-00007F0E0000}"/>
    <cellStyle name="Input 27 2" xfId="3692" xr:uid="{00000000-0005-0000-0000-0000800E0000}"/>
    <cellStyle name="Input 27 2 2" xfId="3693" xr:uid="{00000000-0005-0000-0000-0000810E0000}"/>
    <cellStyle name="Input 27 3" xfId="3694" xr:uid="{00000000-0005-0000-0000-0000820E0000}"/>
    <cellStyle name="Input 27 3 2" xfId="3695" xr:uid="{00000000-0005-0000-0000-0000830E0000}"/>
    <cellStyle name="Input 27 4" xfId="3696" xr:uid="{00000000-0005-0000-0000-0000840E0000}"/>
    <cellStyle name="Input 3" xfId="3697" xr:uid="{00000000-0005-0000-0000-0000850E0000}"/>
    <cellStyle name="Input 3 2" xfId="3698" xr:uid="{00000000-0005-0000-0000-0000860E0000}"/>
    <cellStyle name="Input 3 2 2" xfId="3699" xr:uid="{00000000-0005-0000-0000-0000870E0000}"/>
    <cellStyle name="Input 3 3" xfId="3700" xr:uid="{00000000-0005-0000-0000-0000880E0000}"/>
    <cellStyle name="Input 3 3 2" xfId="3701" xr:uid="{00000000-0005-0000-0000-0000890E0000}"/>
    <cellStyle name="Input 3 4" xfId="3702" xr:uid="{00000000-0005-0000-0000-00008A0E0000}"/>
    <cellStyle name="Input 4" xfId="3703" xr:uid="{00000000-0005-0000-0000-00008B0E0000}"/>
    <cellStyle name="Input 4 2" xfId="3704" xr:uid="{00000000-0005-0000-0000-00008C0E0000}"/>
    <cellStyle name="Input 4 2 2" xfId="3705" xr:uid="{00000000-0005-0000-0000-00008D0E0000}"/>
    <cellStyle name="Input 4 3" xfId="3706" xr:uid="{00000000-0005-0000-0000-00008E0E0000}"/>
    <cellStyle name="Input 4 3 2" xfId="3707" xr:uid="{00000000-0005-0000-0000-00008F0E0000}"/>
    <cellStyle name="Input 4 4" xfId="3708" xr:uid="{00000000-0005-0000-0000-0000900E0000}"/>
    <cellStyle name="Input 5" xfId="3709" xr:uid="{00000000-0005-0000-0000-0000910E0000}"/>
    <cellStyle name="Input 5 2" xfId="3710" xr:uid="{00000000-0005-0000-0000-0000920E0000}"/>
    <cellStyle name="Input 5 2 2" xfId="3711" xr:uid="{00000000-0005-0000-0000-0000930E0000}"/>
    <cellStyle name="Input 5 3" xfId="3712" xr:uid="{00000000-0005-0000-0000-0000940E0000}"/>
    <cellStyle name="Input 5 3 2" xfId="3713" xr:uid="{00000000-0005-0000-0000-0000950E0000}"/>
    <cellStyle name="Input 5 4" xfId="3714" xr:uid="{00000000-0005-0000-0000-0000960E0000}"/>
    <cellStyle name="Input 6" xfId="3715" xr:uid="{00000000-0005-0000-0000-0000970E0000}"/>
    <cellStyle name="Input 6 2" xfId="3716" xr:uid="{00000000-0005-0000-0000-0000980E0000}"/>
    <cellStyle name="Input 6 2 2" xfId="3717" xr:uid="{00000000-0005-0000-0000-0000990E0000}"/>
    <cellStyle name="Input 6 3" xfId="3718" xr:uid="{00000000-0005-0000-0000-00009A0E0000}"/>
    <cellStyle name="Input 6 3 2" xfId="3719" xr:uid="{00000000-0005-0000-0000-00009B0E0000}"/>
    <cellStyle name="Input 6 4" xfId="3720" xr:uid="{00000000-0005-0000-0000-00009C0E0000}"/>
    <cellStyle name="Input 7" xfId="3721" xr:uid="{00000000-0005-0000-0000-00009D0E0000}"/>
    <cellStyle name="Input 7 2" xfId="3722" xr:uid="{00000000-0005-0000-0000-00009E0E0000}"/>
    <cellStyle name="Input 7 2 2" xfId="3723" xr:uid="{00000000-0005-0000-0000-00009F0E0000}"/>
    <cellStyle name="Input 7 3" xfId="3724" xr:uid="{00000000-0005-0000-0000-0000A00E0000}"/>
    <cellStyle name="Input 7 3 2" xfId="3725" xr:uid="{00000000-0005-0000-0000-0000A10E0000}"/>
    <cellStyle name="Input 7 4" xfId="3726" xr:uid="{00000000-0005-0000-0000-0000A20E0000}"/>
    <cellStyle name="Input 8" xfId="3727" xr:uid="{00000000-0005-0000-0000-0000A30E0000}"/>
    <cellStyle name="Input 8 2" xfId="3728" xr:uid="{00000000-0005-0000-0000-0000A40E0000}"/>
    <cellStyle name="Input 8 2 2" xfId="3729" xr:uid="{00000000-0005-0000-0000-0000A50E0000}"/>
    <cellStyle name="Input 8 3" xfId="3730" xr:uid="{00000000-0005-0000-0000-0000A60E0000}"/>
    <cellStyle name="Input 8 3 2" xfId="3731" xr:uid="{00000000-0005-0000-0000-0000A70E0000}"/>
    <cellStyle name="Input 8 4" xfId="3732" xr:uid="{00000000-0005-0000-0000-0000A80E0000}"/>
    <cellStyle name="Input 9" xfId="3733" xr:uid="{00000000-0005-0000-0000-0000A90E0000}"/>
    <cellStyle name="Input 9 2" xfId="3734" xr:uid="{00000000-0005-0000-0000-0000AA0E0000}"/>
    <cellStyle name="Input 9 2 2" xfId="3735" xr:uid="{00000000-0005-0000-0000-0000AB0E0000}"/>
    <cellStyle name="Input 9 3" xfId="3736" xr:uid="{00000000-0005-0000-0000-0000AC0E0000}"/>
    <cellStyle name="Input 9 3 2" xfId="3737" xr:uid="{00000000-0005-0000-0000-0000AD0E0000}"/>
    <cellStyle name="Input 9 4" xfId="3738" xr:uid="{00000000-0005-0000-0000-0000AE0E0000}"/>
    <cellStyle name="Input Cell #" xfId="3739" xr:uid="{00000000-0005-0000-0000-0000AF0E0000}"/>
    <cellStyle name="Input Currency" xfId="3740" xr:uid="{00000000-0005-0000-0000-0000B00E0000}"/>
    <cellStyle name="Input Currency 2" xfId="3741" xr:uid="{00000000-0005-0000-0000-0000B10E0000}"/>
    <cellStyle name="Input Currency_CABLE SATELLITE ENTERTAINMENT COMPS (wip)" xfId="3742" xr:uid="{00000000-0005-0000-0000-0000B20E0000}"/>
    <cellStyle name="Input Date" xfId="3743" xr:uid="{00000000-0005-0000-0000-0000B30E0000}"/>
    <cellStyle name="Input Fixed [0]" xfId="3744" xr:uid="{00000000-0005-0000-0000-0000B40E0000}"/>
    <cellStyle name="Input Multiple" xfId="3745" xr:uid="{00000000-0005-0000-0000-0000B50E0000}"/>
    <cellStyle name="Input Normal" xfId="3746" xr:uid="{00000000-0005-0000-0000-0000B60E0000}"/>
    <cellStyle name="Input Percent" xfId="3747" xr:uid="{00000000-0005-0000-0000-0000B70E0000}"/>
    <cellStyle name="Input Percent [2]" xfId="3748" xr:uid="{00000000-0005-0000-0000-0000B80E0000}"/>
    <cellStyle name="Input Percent_DTV Lehman Model 6-18-07" xfId="3749" xr:uid="{00000000-0005-0000-0000-0000B90E0000}"/>
    <cellStyle name="Input Titles" xfId="3750" xr:uid="{00000000-0005-0000-0000-0000BA0E0000}"/>
    <cellStyle name="Input,1d" xfId="3751" xr:uid="{00000000-0005-0000-0000-0000BB0E0000}"/>
    <cellStyle name="Input0" xfId="3752" xr:uid="{00000000-0005-0000-0000-0000BC0E0000}"/>
    <cellStyle name="Input1" xfId="3753" xr:uid="{00000000-0005-0000-0000-0000BD0E0000}"/>
    <cellStyle name="Input2" xfId="3754" xr:uid="{00000000-0005-0000-0000-0000BE0E0000}"/>
    <cellStyle name="InputBlueFont" xfId="3755" xr:uid="{00000000-0005-0000-0000-0000BF0E0000}"/>
    <cellStyle name="InputBlueFontLocked" xfId="3756" xr:uid="{00000000-0005-0000-0000-0000C00E0000}"/>
    <cellStyle name="InputCurrency" xfId="3757" xr:uid="{00000000-0005-0000-0000-0000C10E0000}"/>
    <cellStyle name="InputCurrency2" xfId="3758" xr:uid="{00000000-0005-0000-0000-0000C20E0000}"/>
    <cellStyle name="InputNormal" xfId="3759" xr:uid="{00000000-0005-0000-0000-0000C30E0000}"/>
    <cellStyle name="InputNumberA" xfId="3760" xr:uid="{00000000-0005-0000-0000-0000C40E0000}"/>
    <cellStyle name="InputNumberB" xfId="3761" xr:uid="{00000000-0005-0000-0000-0000C50E0000}"/>
    <cellStyle name="InputPercent1" xfId="3762" xr:uid="{00000000-0005-0000-0000-0000C60E0000}"/>
    <cellStyle name="InputPercentA" xfId="3763" xr:uid="{00000000-0005-0000-0000-0000C70E0000}"/>
    <cellStyle name="InputPercentB" xfId="3764" xr:uid="{00000000-0005-0000-0000-0000C80E0000}"/>
    <cellStyle name="InputPop" xfId="3765" xr:uid="{00000000-0005-0000-0000-0000C90E0000}"/>
    <cellStyle name="Inputs" xfId="3766" xr:uid="{00000000-0005-0000-0000-0000CA0E0000}"/>
    <cellStyle name="IntInput" xfId="3767" xr:uid="{00000000-0005-0000-0000-0000CB0E0000}"/>
    <cellStyle name="IntInputBk" xfId="3768" xr:uid="{00000000-0005-0000-0000-0000CC0E0000}"/>
    <cellStyle name="IntInputBu" xfId="3769" xr:uid="{00000000-0005-0000-0000-0000CD0E0000}"/>
    <cellStyle name="Intl Coal Data" xfId="3770" xr:uid="{00000000-0005-0000-0000-0000CE0E0000}"/>
    <cellStyle name="ITAL1" xfId="3771" xr:uid="{00000000-0005-0000-0000-0000CF0E0000}"/>
    <cellStyle name="Italics" xfId="3772" xr:uid="{00000000-0005-0000-0000-0000D00E0000}"/>
    <cellStyle name="Item Descriptions" xfId="3773" xr:uid="{00000000-0005-0000-0000-0000D10E0000}"/>
    <cellStyle name="Item Descriptions - Bold" xfId="3774" xr:uid="{00000000-0005-0000-0000-0000D20E0000}"/>
    <cellStyle name="Item Descriptions_6079BX" xfId="3775" xr:uid="{00000000-0005-0000-0000-0000D30E0000}"/>
    <cellStyle name="JustOneDec" xfId="3777" xr:uid="{00000000-0005-0000-0000-0000D50E0000}"/>
    <cellStyle name="Komma [0]_laroux" xfId="3778" xr:uid="{00000000-0005-0000-0000-0000D60E0000}"/>
    <cellStyle name="Komma_laroux" xfId="3779" xr:uid="{00000000-0005-0000-0000-0000D70E0000}"/>
    <cellStyle name="kopregel" xfId="3780" xr:uid="{00000000-0005-0000-0000-0000D80E0000}"/>
    <cellStyle name="KPMG Heading 1" xfId="3781" xr:uid="{00000000-0005-0000-0000-0000D90E0000}"/>
    <cellStyle name="KPMG Heading 2" xfId="3782" xr:uid="{00000000-0005-0000-0000-0000DA0E0000}"/>
    <cellStyle name="KPMG Heading 3" xfId="3783" xr:uid="{00000000-0005-0000-0000-0000DB0E0000}"/>
    <cellStyle name="KPMG Heading 4" xfId="3784" xr:uid="{00000000-0005-0000-0000-0000DC0E0000}"/>
    <cellStyle name="KPMG Normal" xfId="3785" xr:uid="{00000000-0005-0000-0000-0000DD0E0000}"/>
    <cellStyle name="KPMG Normal Text" xfId="3786" xr:uid="{00000000-0005-0000-0000-0000DE0E0000}"/>
    <cellStyle name="Label_Manual" xfId="3787" xr:uid="{00000000-0005-0000-0000-0000DF0E0000}"/>
    <cellStyle name="Labels - Style3" xfId="3788" xr:uid="{00000000-0005-0000-0000-0000E00E0000}"/>
    <cellStyle name="Lable8Left" xfId="3789" xr:uid="{00000000-0005-0000-0000-0000E10E0000}"/>
    <cellStyle name="LarsTowerChart" xfId="3790" xr:uid="{00000000-0005-0000-0000-0000E20E0000}"/>
    <cellStyle name="Line" xfId="3791" xr:uid="{00000000-0005-0000-0000-0000E30E0000}"/>
    <cellStyle name="LineItem" xfId="3792" xr:uid="{00000000-0005-0000-0000-0000E40E0000}"/>
    <cellStyle name="LineItems" xfId="3793" xr:uid="{00000000-0005-0000-0000-0000E50E0000}"/>
    <cellStyle name="Link Currency (0)" xfId="3794" xr:uid="{00000000-0005-0000-0000-0000E60E0000}"/>
    <cellStyle name="Link Currency (0) 2" xfId="3795" xr:uid="{00000000-0005-0000-0000-0000E70E0000}"/>
    <cellStyle name="Link Currency (2)" xfId="3796" xr:uid="{00000000-0005-0000-0000-0000E80E0000}"/>
    <cellStyle name="Link Currency (2) 2" xfId="3797" xr:uid="{00000000-0005-0000-0000-0000E90E0000}"/>
    <cellStyle name="Link Units (0)" xfId="3798" xr:uid="{00000000-0005-0000-0000-0000EA0E0000}"/>
    <cellStyle name="Link Units (0) 2" xfId="3799" xr:uid="{00000000-0005-0000-0000-0000EB0E0000}"/>
    <cellStyle name="Link Units (1)" xfId="3800" xr:uid="{00000000-0005-0000-0000-0000EC0E0000}"/>
    <cellStyle name="Link Units (1) 2" xfId="3801" xr:uid="{00000000-0005-0000-0000-0000ED0E0000}"/>
    <cellStyle name="Link Units (2)" xfId="3802" xr:uid="{00000000-0005-0000-0000-0000EE0E0000}"/>
    <cellStyle name="Link Units (2) 2" xfId="3803" xr:uid="{00000000-0005-0000-0000-0000EF0E0000}"/>
    <cellStyle name="Linked" xfId="3804" xr:uid="{00000000-0005-0000-0000-0000F00E0000}"/>
    <cellStyle name="Linked Cell #" xfId="3805" xr:uid="{00000000-0005-0000-0000-0000F10E0000}"/>
    <cellStyle name="Linked Cell 10" xfId="3806" xr:uid="{00000000-0005-0000-0000-0000F20E0000}"/>
    <cellStyle name="Linked Cell 10 2" xfId="3807" xr:uid="{00000000-0005-0000-0000-0000F30E0000}"/>
    <cellStyle name="Linked Cell 10 3" xfId="3808" xr:uid="{00000000-0005-0000-0000-0000F40E0000}"/>
    <cellStyle name="Linked Cell 11" xfId="3809" xr:uid="{00000000-0005-0000-0000-0000F50E0000}"/>
    <cellStyle name="Linked Cell 11 2" xfId="3810" xr:uid="{00000000-0005-0000-0000-0000F60E0000}"/>
    <cellStyle name="Linked Cell 11 3" xfId="3811" xr:uid="{00000000-0005-0000-0000-0000F70E0000}"/>
    <cellStyle name="Linked Cell 12" xfId="3812" xr:uid="{00000000-0005-0000-0000-0000F80E0000}"/>
    <cellStyle name="Linked Cell 12 2" xfId="3813" xr:uid="{00000000-0005-0000-0000-0000F90E0000}"/>
    <cellStyle name="Linked Cell 12 3" xfId="3814" xr:uid="{00000000-0005-0000-0000-0000FA0E0000}"/>
    <cellStyle name="Linked Cell 13" xfId="3815" xr:uid="{00000000-0005-0000-0000-0000FB0E0000}"/>
    <cellStyle name="Linked Cell 13 2" xfId="3816" xr:uid="{00000000-0005-0000-0000-0000FC0E0000}"/>
    <cellStyle name="Linked Cell 13 3" xfId="3817" xr:uid="{00000000-0005-0000-0000-0000FD0E0000}"/>
    <cellStyle name="Linked Cell 14" xfId="3818" xr:uid="{00000000-0005-0000-0000-0000FE0E0000}"/>
    <cellStyle name="Linked Cell 14 2" xfId="3819" xr:uid="{00000000-0005-0000-0000-0000FF0E0000}"/>
    <cellStyle name="Linked Cell 14 3" xfId="3820" xr:uid="{00000000-0005-0000-0000-0000000F0000}"/>
    <cellStyle name="Linked Cell 15" xfId="3821" xr:uid="{00000000-0005-0000-0000-0000010F0000}"/>
    <cellStyle name="Linked Cell 15 2" xfId="3822" xr:uid="{00000000-0005-0000-0000-0000020F0000}"/>
    <cellStyle name="Linked Cell 15 3" xfId="3823" xr:uid="{00000000-0005-0000-0000-0000030F0000}"/>
    <cellStyle name="Linked Cell 16" xfId="3824" xr:uid="{00000000-0005-0000-0000-0000040F0000}"/>
    <cellStyle name="Linked Cell 16 2" xfId="3825" xr:uid="{00000000-0005-0000-0000-0000050F0000}"/>
    <cellStyle name="Linked Cell 16 3" xfId="3826" xr:uid="{00000000-0005-0000-0000-0000060F0000}"/>
    <cellStyle name="Linked Cell 17" xfId="3827" xr:uid="{00000000-0005-0000-0000-0000070F0000}"/>
    <cellStyle name="Linked Cell 17 2" xfId="3828" xr:uid="{00000000-0005-0000-0000-0000080F0000}"/>
    <cellStyle name="Linked Cell 17 3" xfId="3829" xr:uid="{00000000-0005-0000-0000-0000090F0000}"/>
    <cellStyle name="Linked Cell 18" xfId="3830" xr:uid="{00000000-0005-0000-0000-00000A0F0000}"/>
    <cellStyle name="Linked Cell 18 2" xfId="3831" xr:uid="{00000000-0005-0000-0000-00000B0F0000}"/>
    <cellStyle name="Linked Cell 18 3" xfId="3832" xr:uid="{00000000-0005-0000-0000-00000C0F0000}"/>
    <cellStyle name="Linked Cell 19" xfId="3833" xr:uid="{00000000-0005-0000-0000-00000D0F0000}"/>
    <cellStyle name="Linked Cell 19 2" xfId="3834" xr:uid="{00000000-0005-0000-0000-00000E0F0000}"/>
    <cellStyle name="Linked Cell 19 3" xfId="3835" xr:uid="{00000000-0005-0000-0000-00000F0F0000}"/>
    <cellStyle name="Linked Cell 2" xfId="3836" xr:uid="{00000000-0005-0000-0000-0000100F0000}"/>
    <cellStyle name="Linked Cell 2 2" xfId="3837" xr:uid="{00000000-0005-0000-0000-0000110F0000}"/>
    <cellStyle name="Linked Cell 2 2 2" xfId="3838" xr:uid="{00000000-0005-0000-0000-0000120F0000}"/>
    <cellStyle name="Linked Cell 2 2 3" xfId="3839" xr:uid="{00000000-0005-0000-0000-0000130F0000}"/>
    <cellStyle name="Linked Cell 2 3" xfId="3840" xr:uid="{00000000-0005-0000-0000-0000140F0000}"/>
    <cellStyle name="Linked Cell 2 3 2" xfId="3841" xr:uid="{00000000-0005-0000-0000-0000150F0000}"/>
    <cellStyle name="Linked Cell 2 3 3" xfId="3842" xr:uid="{00000000-0005-0000-0000-0000160F0000}"/>
    <cellStyle name="Linked Cell 2 4" xfId="3843" xr:uid="{00000000-0005-0000-0000-0000170F0000}"/>
    <cellStyle name="Linked Cell 2 5" xfId="3844" xr:uid="{00000000-0005-0000-0000-0000180F0000}"/>
    <cellStyle name="Linked Cell 2_TOTAL OB COAL" xfId="3845" xr:uid="{00000000-0005-0000-0000-0000190F0000}"/>
    <cellStyle name="Linked Cell 20" xfId="3846" xr:uid="{00000000-0005-0000-0000-00001A0F0000}"/>
    <cellStyle name="Linked Cell 20 2" xfId="3847" xr:uid="{00000000-0005-0000-0000-00001B0F0000}"/>
    <cellStyle name="Linked Cell 20 3" xfId="3848" xr:uid="{00000000-0005-0000-0000-00001C0F0000}"/>
    <cellStyle name="Linked Cell 21" xfId="3849" xr:uid="{00000000-0005-0000-0000-00001D0F0000}"/>
    <cellStyle name="Linked Cell 21 2" xfId="3850" xr:uid="{00000000-0005-0000-0000-00001E0F0000}"/>
    <cellStyle name="Linked Cell 21 3" xfId="3851" xr:uid="{00000000-0005-0000-0000-00001F0F0000}"/>
    <cellStyle name="Linked Cell 22" xfId="3852" xr:uid="{00000000-0005-0000-0000-0000200F0000}"/>
    <cellStyle name="Linked Cell 22 2" xfId="3853" xr:uid="{00000000-0005-0000-0000-0000210F0000}"/>
    <cellStyle name="Linked Cell 22 3" xfId="3854" xr:uid="{00000000-0005-0000-0000-0000220F0000}"/>
    <cellStyle name="Linked Cell 23" xfId="3855" xr:uid="{00000000-0005-0000-0000-0000230F0000}"/>
    <cellStyle name="Linked Cell 23 2" xfId="3856" xr:uid="{00000000-0005-0000-0000-0000240F0000}"/>
    <cellStyle name="Linked Cell 23 3" xfId="3857" xr:uid="{00000000-0005-0000-0000-0000250F0000}"/>
    <cellStyle name="Linked Cell 24" xfId="3858" xr:uid="{00000000-0005-0000-0000-0000260F0000}"/>
    <cellStyle name="Linked Cell 24 2" xfId="3859" xr:uid="{00000000-0005-0000-0000-0000270F0000}"/>
    <cellStyle name="Linked Cell 24 3" xfId="3860" xr:uid="{00000000-0005-0000-0000-0000280F0000}"/>
    <cellStyle name="Linked Cell 25" xfId="3861" xr:uid="{00000000-0005-0000-0000-0000290F0000}"/>
    <cellStyle name="Linked Cell 25 2" xfId="3862" xr:uid="{00000000-0005-0000-0000-00002A0F0000}"/>
    <cellStyle name="Linked Cell 25 3" xfId="3863" xr:uid="{00000000-0005-0000-0000-00002B0F0000}"/>
    <cellStyle name="Linked Cell 26" xfId="3864" xr:uid="{00000000-0005-0000-0000-00002C0F0000}"/>
    <cellStyle name="Linked Cell 26 2" xfId="3865" xr:uid="{00000000-0005-0000-0000-00002D0F0000}"/>
    <cellStyle name="Linked Cell 26 3" xfId="3866" xr:uid="{00000000-0005-0000-0000-00002E0F0000}"/>
    <cellStyle name="Linked Cell 27" xfId="3867" xr:uid="{00000000-0005-0000-0000-00002F0F0000}"/>
    <cellStyle name="Linked Cell 27 2" xfId="3868" xr:uid="{00000000-0005-0000-0000-0000300F0000}"/>
    <cellStyle name="Linked Cell 27 3" xfId="3869" xr:uid="{00000000-0005-0000-0000-0000310F0000}"/>
    <cellStyle name="Linked Cell 3" xfId="3870" xr:uid="{00000000-0005-0000-0000-0000320F0000}"/>
    <cellStyle name="Linked Cell 3 2" xfId="3871" xr:uid="{00000000-0005-0000-0000-0000330F0000}"/>
    <cellStyle name="Linked Cell 3 3" xfId="3872" xr:uid="{00000000-0005-0000-0000-0000340F0000}"/>
    <cellStyle name="Linked Cell 4" xfId="3873" xr:uid="{00000000-0005-0000-0000-0000350F0000}"/>
    <cellStyle name="Linked Cell 4 2" xfId="3874" xr:uid="{00000000-0005-0000-0000-0000360F0000}"/>
    <cellStyle name="Linked Cell 4 3" xfId="3875" xr:uid="{00000000-0005-0000-0000-0000370F0000}"/>
    <cellStyle name="Linked Cell 5" xfId="3876" xr:uid="{00000000-0005-0000-0000-0000380F0000}"/>
    <cellStyle name="Linked Cell 5 2" xfId="3877" xr:uid="{00000000-0005-0000-0000-0000390F0000}"/>
    <cellStyle name="Linked Cell 5 3" xfId="3878" xr:uid="{00000000-0005-0000-0000-00003A0F0000}"/>
    <cellStyle name="Linked Cell 6" xfId="3879" xr:uid="{00000000-0005-0000-0000-00003B0F0000}"/>
    <cellStyle name="Linked Cell 6 2" xfId="3880" xr:uid="{00000000-0005-0000-0000-00003C0F0000}"/>
    <cellStyle name="Linked Cell 6 3" xfId="3881" xr:uid="{00000000-0005-0000-0000-00003D0F0000}"/>
    <cellStyle name="Linked Cell 7" xfId="3882" xr:uid="{00000000-0005-0000-0000-00003E0F0000}"/>
    <cellStyle name="Linked Cell 7 2" xfId="3883" xr:uid="{00000000-0005-0000-0000-00003F0F0000}"/>
    <cellStyle name="Linked Cell 7 3" xfId="3884" xr:uid="{00000000-0005-0000-0000-0000400F0000}"/>
    <cellStyle name="Linked Cell 8" xfId="3885" xr:uid="{00000000-0005-0000-0000-0000410F0000}"/>
    <cellStyle name="Linked Cell 8 2" xfId="3886" xr:uid="{00000000-0005-0000-0000-0000420F0000}"/>
    <cellStyle name="Linked Cell 8 3" xfId="3887" xr:uid="{00000000-0005-0000-0000-0000430F0000}"/>
    <cellStyle name="Linked Cell 9" xfId="3888" xr:uid="{00000000-0005-0000-0000-0000440F0000}"/>
    <cellStyle name="Linked Cell 9 2" xfId="3889" xr:uid="{00000000-0005-0000-0000-0000450F0000}"/>
    <cellStyle name="Linked Cell 9 3" xfId="3890" xr:uid="{00000000-0005-0000-0000-0000460F0000}"/>
    <cellStyle name="m" xfId="3891" xr:uid="{00000000-0005-0000-0000-0000470F0000}"/>
    <cellStyle name="m_CaseStudyTemplate" xfId="3892" xr:uid="{00000000-0005-0000-0000-0000480F0000}"/>
    <cellStyle name="Map Labels" xfId="3893" xr:uid="{00000000-0005-0000-0000-0000490F0000}"/>
    <cellStyle name="Map Legend" xfId="3894" xr:uid="{00000000-0005-0000-0000-00004A0F0000}"/>
    <cellStyle name="Map Title" xfId="3895" xr:uid="{00000000-0005-0000-0000-00004B0F0000}"/>
    <cellStyle name="Margins" xfId="3896" xr:uid="{00000000-0005-0000-0000-00004C0F0000}"/>
    <cellStyle name="Message" xfId="3897" xr:uid="{00000000-0005-0000-0000-00004D0F0000}"/>
    <cellStyle name="Migliaia (0)_PLDT" xfId="3898" xr:uid="{00000000-0005-0000-0000-00004E0F0000}"/>
    <cellStyle name="Migliaia_PLDT" xfId="3899" xr:uid="{00000000-0005-0000-0000-00004F0F0000}"/>
    <cellStyle name="Millares [0]_CARPETA MENSUAL AGOSTO" xfId="3900" xr:uid="{00000000-0005-0000-0000-0000500F0000}"/>
    <cellStyle name="Millares_CARPETA MENSUAL AGOSTO" xfId="3901" xr:uid="{00000000-0005-0000-0000-0000510F0000}"/>
    <cellStyle name="Milliers [0]_EDYAN" xfId="3902" xr:uid="{00000000-0005-0000-0000-0000520F0000}"/>
    <cellStyle name="Milliers_EDYAN" xfId="3903" xr:uid="{00000000-0005-0000-0000-0000530F0000}"/>
    <cellStyle name="Millions" xfId="3904" xr:uid="{00000000-0005-0000-0000-0000540F0000}"/>
    <cellStyle name="mm/dd/yy" xfId="3905" xr:uid="{00000000-0005-0000-0000-0000550F0000}"/>
    <cellStyle name="mmm" xfId="3906" xr:uid="{00000000-0005-0000-0000-0000560F0000}"/>
    <cellStyle name="mmm-yy" xfId="3907" xr:uid="{00000000-0005-0000-0000-0000570F0000}"/>
    <cellStyle name="Moeda [0]_Proyección de ingresos" xfId="3908" xr:uid="{00000000-0005-0000-0000-0000580F0000}"/>
    <cellStyle name="Moeda_Proyección de ingresos" xfId="3909" xr:uid="{00000000-0005-0000-0000-0000590F0000}"/>
    <cellStyle name="Moneda [0]_CARPETA MENSUAL AGOSTO" xfId="3910" xr:uid="{00000000-0005-0000-0000-00005A0F0000}"/>
    <cellStyle name="Moneda_CARPETA MENSUAL AGOSTO" xfId="3911" xr:uid="{00000000-0005-0000-0000-00005B0F0000}"/>
    <cellStyle name="Monétaire [0]_EDYAN" xfId="3912" xr:uid="{00000000-0005-0000-0000-00005C0F0000}"/>
    <cellStyle name="Monétaire_EDYAN" xfId="3913" xr:uid="{00000000-0005-0000-0000-00005D0F0000}"/>
    <cellStyle name="MSectionHeadings" xfId="3914" xr:uid="{00000000-0005-0000-0000-00005E0F0000}"/>
    <cellStyle name="mt" xfId="3915" xr:uid="{00000000-0005-0000-0000-00005F0F0000}"/>
    <cellStyle name="Mult No x" xfId="3916" xr:uid="{00000000-0005-0000-0000-0000600F0000}"/>
    <cellStyle name="Mult With x" xfId="3917" xr:uid="{00000000-0005-0000-0000-0000610F0000}"/>
    <cellStyle name="Multiple" xfId="3918" xr:uid="{00000000-0005-0000-0000-0000620F0000}"/>
    <cellStyle name="Multiple (no x)" xfId="3919" xr:uid="{00000000-0005-0000-0000-0000630F0000}"/>
    <cellStyle name="Multiple (x)" xfId="3920" xr:uid="{00000000-0005-0000-0000-0000640F0000}"/>
    <cellStyle name="Multiple [0]" xfId="3921" xr:uid="{00000000-0005-0000-0000-0000650F0000}"/>
    <cellStyle name="Multiple [1]" xfId="3922" xr:uid="{00000000-0005-0000-0000-0000660F0000}"/>
    <cellStyle name="Multiple 1D Black" xfId="3923" xr:uid="{00000000-0005-0000-0000-0000670F0000}"/>
    <cellStyle name="Multiple 1D Blue" xfId="3924" xr:uid="{00000000-0005-0000-0000-0000680F0000}"/>
    <cellStyle name="Multiple 1D Green" xfId="3925" xr:uid="{00000000-0005-0000-0000-0000690F0000}"/>
    <cellStyle name="Multiple 2D" xfId="3926" xr:uid="{00000000-0005-0000-0000-00006A0F0000}"/>
    <cellStyle name="Multiple 2D Black" xfId="3927" xr:uid="{00000000-0005-0000-0000-00006B0F0000}"/>
    <cellStyle name="Multiple 2D Black Bold" xfId="3928" xr:uid="{00000000-0005-0000-0000-00006C0F0000}"/>
    <cellStyle name="Multiple_040106 Smartcards, Tech comps and ePayment v1" xfId="3932" xr:uid="{00000000-0005-0000-0000-0000700F0000}"/>
    <cellStyle name="Multiple[,]" xfId="3929" xr:uid="{00000000-0005-0000-0000-00006D0F0000}"/>
    <cellStyle name="Multiple[1]" xfId="3930" xr:uid="{00000000-0005-0000-0000-00006E0F0000}"/>
    <cellStyle name="Multiple[2]" xfId="3931" xr:uid="{00000000-0005-0000-0000-00006F0F0000}"/>
    <cellStyle name="Multiple1" xfId="3933" xr:uid="{00000000-0005-0000-0000-0000710F0000}"/>
    <cellStyle name="multiples" xfId="3934" xr:uid="{00000000-0005-0000-0000-0000720F0000}"/>
    <cellStyle name="multipoles" xfId="3935" xr:uid="{00000000-0005-0000-0000-0000730F0000}"/>
    <cellStyle name="N/Y" xfId="3936" xr:uid="{00000000-0005-0000-0000-0000740F0000}"/>
    <cellStyle name="NA is zero" xfId="3937" xr:uid="{00000000-0005-0000-0000-0000750F0000}"/>
    <cellStyle name="NavStyleDefault" xfId="3938" xr:uid="{00000000-0005-0000-0000-0000760F0000}"/>
    <cellStyle name="Neutral 10" xfId="3939" xr:uid="{00000000-0005-0000-0000-0000770F0000}"/>
    <cellStyle name="Neutral 10 2" xfId="3940" xr:uid="{00000000-0005-0000-0000-0000780F0000}"/>
    <cellStyle name="Neutral 10 3" xfId="3941" xr:uid="{00000000-0005-0000-0000-0000790F0000}"/>
    <cellStyle name="Neutral 11" xfId="3942" xr:uid="{00000000-0005-0000-0000-00007A0F0000}"/>
    <cellStyle name="Neutral 11 2" xfId="3943" xr:uid="{00000000-0005-0000-0000-00007B0F0000}"/>
    <cellStyle name="Neutral 11 3" xfId="3944" xr:uid="{00000000-0005-0000-0000-00007C0F0000}"/>
    <cellStyle name="Neutral 12" xfId="3945" xr:uid="{00000000-0005-0000-0000-00007D0F0000}"/>
    <cellStyle name="Neutral 12 2" xfId="3946" xr:uid="{00000000-0005-0000-0000-00007E0F0000}"/>
    <cellStyle name="Neutral 12 3" xfId="3947" xr:uid="{00000000-0005-0000-0000-00007F0F0000}"/>
    <cellStyle name="Neutral 13" xfId="3948" xr:uid="{00000000-0005-0000-0000-0000800F0000}"/>
    <cellStyle name="Neutral 13 2" xfId="3949" xr:uid="{00000000-0005-0000-0000-0000810F0000}"/>
    <cellStyle name="Neutral 13 3" xfId="3950" xr:uid="{00000000-0005-0000-0000-0000820F0000}"/>
    <cellStyle name="Neutral 14" xfId="3951" xr:uid="{00000000-0005-0000-0000-0000830F0000}"/>
    <cellStyle name="Neutral 14 2" xfId="3952" xr:uid="{00000000-0005-0000-0000-0000840F0000}"/>
    <cellStyle name="Neutral 14 3" xfId="3953" xr:uid="{00000000-0005-0000-0000-0000850F0000}"/>
    <cellStyle name="Neutral 15" xfId="3954" xr:uid="{00000000-0005-0000-0000-0000860F0000}"/>
    <cellStyle name="Neutral 15 2" xfId="3955" xr:uid="{00000000-0005-0000-0000-0000870F0000}"/>
    <cellStyle name="Neutral 15 3" xfId="3956" xr:uid="{00000000-0005-0000-0000-0000880F0000}"/>
    <cellStyle name="Neutral 16" xfId="3957" xr:uid="{00000000-0005-0000-0000-0000890F0000}"/>
    <cellStyle name="Neutral 16 2" xfId="3958" xr:uid="{00000000-0005-0000-0000-00008A0F0000}"/>
    <cellStyle name="Neutral 16 3" xfId="3959" xr:uid="{00000000-0005-0000-0000-00008B0F0000}"/>
    <cellStyle name="Neutral 17" xfId="3960" xr:uid="{00000000-0005-0000-0000-00008C0F0000}"/>
    <cellStyle name="Neutral 17 2" xfId="3961" xr:uid="{00000000-0005-0000-0000-00008D0F0000}"/>
    <cellStyle name="Neutral 17 3" xfId="3962" xr:uid="{00000000-0005-0000-0000-00008E0F0000}"/>
    <cellStyle name="Neutral 18" xfId="3963" xr:uid="{00000000-0005-0000-0000-00008F0F0000}"/>
    <cellStyle name="Neutral 18 2" xfId="3964" xr:uid="{00000000-0005-0000-0000-0000900F0000}"/>
    <cellStyle name="Neutral 18 3" xfId="3965" xr:uid="{00000000-0005-0000-0000-0000910F0000}"/>
    <cellStyle name="Neutral 19" xfId="3966" xr:uid="{00000000-0005-0000-0000-0000920F0000}"/>
    <cellStyle name="Neutral 19 2" xfId="3967" xr:uid="{00000000-0005-0000-0000-0000930F0000}"/>
    <cellStyle name="Neutral 19 3" xfId="3968" xr:uid="{00000000-0005-0000-0000-0000940F0000}"/>
    <cellStyle name="Neutral 2" xfId="3969" xr:uid="{00000000-0005-0000-0000-0000950F0000}"/>
    <cellStyle name="Neutral 2 2" xfId="3970" xr:uid="{00000000-0005-0000-0000-0000960F0000}"/>
    <cellStyle name="Neutral 2 2 2" xfId="3971" xr:uid="{00000000-0005-0000-0000-0000970F0000}"/>
    <cellStyle name="Neutral 2 2 3" xfId="3972" xr:uid="{00000000-0005-0000-0000-0000980F0000}"/>
    <cellStyle name="Neutral 2 3" xfId="3973" xr:uid="{00000000-0005-0000-0000-0000990F0000}"/>
    <cellStyle name="Neutral 2 3 2" xfId="3974" xr:uid="{00000000-0005-0000-0000-00009A0F0000}"/>
    <cellStyle name="Neutral 2 3 3" xfId="3975" xr:uid="{00000000-0005-0000-0000-00009B0F0000}"/>
    <cellStyle name="Neutral 2 4" xfId="3976" xr:uid="{00000000-0005-0000-0000-00009C0F0000}"/>
    <cellStyle name="Neutral 2 5" xfId="3977" xr:uid="{00000000-0005-0000-0000-00009D0F0000}"/>
    <cellStyle name="Neutral 20" xfId="3978" xr:uid="{00000000-0005-0000-0000-00009E0F0000}"/>
    <cellStyle name="Neutral 20 2" xfId="3979" xr:uid="{00000000-0005-0000-0000-00009F0F0000}"/>
    <cellStyle name="Neutral 20 3" xfId="3980" xr:uid="{00000000-0005-0000-0000-0000A00F0000}"/>
    <cellStyle name="Neutral 21" xfId="3981" xr:uid="{00000000-0005-0000-0000-0000A10F0000}"/>
    <cellStyle name="Neutral 21 2" xfId="3982" xr:uid="{00000000-0005-0000-0000-0000A20F0000}"/>
    <cellStyle name="Neutral 21 3" xfId="3983" xr:uid="{00000000-0005-0000-0000-0000A30F0000}"/>
    <cellStyle name="Neutral 22" xfId="3984" xr:uid="{00000000-0005-0000-0000-0000A40F0000}"/>
    <cellStyle name="Neutral 22 2" xfId="3985" xr:uid="{00000000-0005-0000-0000-0000A50F0000}"/>
    <cellStyle name="Neutral 22 3" xfId="3986" xr:uid="{00000000-0005-0000-0000-0000A60F0000}"/>
    <cellStyle name="Neutral 23" xfId="3987" xr:uid="{00000000-0005-0000-0000-0000A70F0000}"/>
    <cellStyle name="Neutral 23 2" xfId="3988" xr:uid="{00000000-0005-0000-0000-0000A80F0000}"/>
    <cellStyle name="Neutral 23 3" xfId="3989" xr:uid="{00000000-0005-0000-0000-0000A90F0000}"/>
    <cellStyle name="Neutral 24" xfId="3990" xr:uid="{00000000-0005-0000-0000-0000AA0F0000}"/>
    <cellStyle name="Neutral 24 2" xfId="3991" xr:uid="{00000000-0005-0000-0000-0000AB0F0000}"/>
    <cellStyle name="Neutral 24 3" xfId="3992" xr:uid="{00000000-0005-0000-0000-0000AC0F0000}"/>
    <cellStyle name="Neutral 25" xfId="3993" xr:uid="{00000000-0005-0000-0000-0000AD0F0000}"/>
    <cellStyle name="Neutral 25 2" xfId="3994" xr:uid="{00000000-0005-0000-0000-0000AE0F0000}"/>
    <cellStyle name="Neutral 25 3" xfId="3995" xr:uid="{00000000-0005-0000-0000-0000AF0F0000}"/>
    <cellStyle name="Neutral 26" xfId="3996" xr:uid="{00000000-0005-0000-0000-0000B00F0000}"/>
    <cellStyle name="Neutral 26 2" xfId="3997" xr:uid="{00000000-0005-0000-0000-0000B10F0000}"/>
    <cellStyle name="Neutral 26 3" xfId="3998" xr:uid="{00000000-0005-0000-0000-0000B20F0000}"/>
    <cellStyle name="Neutral 27" xfId="3999" xr:uid="{00000000-0005-0000-0000-0000B30F0000}"/>
    <cellStyle name="Neutral 27 2" xfId="4000" xr:uid="{00000000-0005-0000-0000-0000B40F0000}"/>
    <cellStyle name="Neutral 27 3" xfId="4001" xr:uid="{00000000-0005-0000-0000-0000B50F0000}"/>
    <cellStyle name="Neutral 3" xfId="4002" xr:uid="{00000000-0005-0000-0000-0000B60F0000}"/>
    <cellStyle name="Neutral 3 2" xfId="4003" xr:uid="{00000000-0005-0000-0000-0000B70F0000}"/>
    <cellStyle name="Neutral 3 3" xfId="4004" xr:uid="{00000000-0005-0000-0000-0000B80F0000}"/>
    <cellStyle name="Neutral 4" xfId="4005" xr:uid="{00000000-0005-0000-0000-0000B90F0000}"/>
    <cellStyle name="Neutral 4 2" xfId="4006" xr:uid="{00000000-0005-0000-0000-0000BA0F0000}"/>
    <cellStyle name="Neutral 4 3" xfId="4007" xr:uid="{00000000-0005-0000-0000-0000BB0F0000}"/>
    <cellStyle name="Neutral 5" xfId="4008" xr:uid="{00000000-0005-0000-0000-0000BC0F0000}"/>
    <cellStyle name="Neutral 5 2" xfId="4009" xr:uid="{00000000-0005-0000-0000-0000BD0F0000}"/>
    <cellStyle name="Neutral 5 3" xfId="4010" xr:uid="{00000000-0005-0000-0000-0000BE0F0000}"/>
    <cellStyle name="Neutral 6" xfId="4011" xr:uid="{00000000-0005-0000-0000-0000BF0F0000}"/>
    <cellStyle name="Neutral 6 2" xfId="4012" xr:uid="{00000000-0005-0000-0000-0000C00F0000}"/>
    <cellStyle name="Neutral 6 3" xfId="4013" xr:uid="{00000000-0005-0000-0000-0000C10F0000}"/>
    <cellStyle name="Neutral 7" xfId="4014" xr:uid="{00000000-0005-0000-0000-0000C20F0000}"/>
    <cellStyle name="Neutral 7 2" xfId="4015" xr:uid="{00000000-0005-0000-0000-0000C30F0000}"/>
    <cellStyle name="Neutral 7 3" xfId="4016" xr:uid="{00000000-0005-0000-0000-0000C40F0000}"/>
    <cellStyle name="Neutral 8" xfId="4017" xr:uid="{00000000-0005-0000-0000-0000C50F0000}"/>
    <cellStyle name="Neutral 8 2" xfId="4018" xr:uid="{00000000-0005-0000-0000-0000C60F0000}"/>
    <cellStyle name="Neutral 8 3" xfId="4019" xr:uid="{00000000-0005-0000-0000-0000C70F0000}"/>
    <cellStyle name="Neutral 9" xfId="4020" xr:uid="{00000000-0005-0000-0000-0000C80F0000}"/>
    <cellStyle name="Neutral 9 2" xfId="4021" xr:uid="{00000000-0005-0000-0000-0000C90F0000}"/>
    <cellStyle name="Neutral 9 3" xfId="4022" xr:uid="{00000000-0005-0000-0000-0000CA0F0000}"/>
    <cellStyle name="new" xfId="4023" xr:uid="{00000000-0005-0000-0000-0000CB0F0000}"/>
    <cellStyle name="NINA" xfId="4024" xr:uid="{00000000-0005-0000-0000-0000CC0F0000}"/>
    <cellStyle name="no dec" xfId="4025" xr:uid="{00000000-0005-0000-0000-0000CD0F0000}"/>
    <cellStyle name="nonmultiple" xfId="4026" xr:uid="{00000000-0005-0000-0000-0000CE0F0000}"/>
    <cellStyle name="Noríal_silicon_object_tcsi" xfId="4027" xr:uid="{00000000-0005-0000-0000-0000CF0F0000}"/>
    <cellStyle name="norm" xfId="4028" xr:uid="{00000000-0005-0000-0000-0000D00F0000}"/>
    <cellStyle name="norma" xfId="4029" xr:uid="{00000000-0005-0000-0000-0000D10F0000}"/>
    <cellStyle name="Normal" xfId="0" builtinId="0"/>
    <cellStyle name="Normal - Style1" xfId="4030" xr:uid="{00000000-0005-0000-0000-0000D30F0000}"/>
    <cellStyle name="Normal - Style1 2" xfId="4031" xr:uid="{00000000-0005-0000-0000-0000D40F0000}"/>
    <cellStyle name="Normal [0]" xfId="4032" xr:uid="{00000000-0005-0000-0000-0000D50F0000}"/>
    <cellStyle name="Normal [1]" xfId="4033" xr:uid="{00000000-0005-0000-0000-0000D60F0000}"/>
    <cellStyle name="Normal [2]" xfId="4034" xr:uid="{00000000-0005-0000-0000-0000D70F0000}"/>
    <cellStyle name="Normal [3]" xfId="4035" xr:uid="{00000000-0005-0000-0000-0000D80F0000}"/>
    <cellStyle name="Normal 10" xfId="4036" xr:uid="{00000000-0005-0000-0000-0000D90F0000}"/>
    <cellStyle name="Normal 10 2" xfId="4037" xr:uid="{00000000-0005-0000-0000-0000DA0F0000}"/>
    <cellStyle name="Normal 10 2 2" xfId="4038" xr:uid="{00000000-0005-0000-0000-0000DB0F0000}"/>
    <cellStyle name="Normal 10 2 3" xfId="4039" xr:uid="{00000000-0005-0000-0000-0000DC0F0000}"/>
    <cellStyle name="Normal 10 3" xfId="4040" xr:uid="{00000000-0005-0000-0000-0000DD0F0000}"/>
    <cellStyle name="Normal 10 4" xfId="4041" xr:uid="{00000000-0005-0000-0000-0000DE0F0000}"/>
    <cellStyle name="Normal 10 5" xfId="5278" xr:uid="{00000000-0005-0000-0000-0000DF0F0000}"/>
    <cellStyle name="Normal 11" xfId="4042" xr:uid="{00000000-0005-0000-0000-0000E00F0000}"/>
    <cellStyle name="Normal 11 2" xfId="4043" xr:uid="{00000000-0005-0000-0000-0000E10F0000}"/>
    <cellStyle name="Normal 11 2 2" xfId="4044" xr:uid="{00000000-0005-0000-0000-0000E20F0000}"/>
    <cellStyle name="Normal 11 2 3" xfId="4045" xr:uid="{00000000-0005-0000-0000-0000E30F0000}"/>
    <cellStyle name="Normal 11 3" xfId="4046" xr:uid="{00000000-0005-0000-0000-0000E40F0000}"/>
    <cellStyle name="Normal 11 4" xfId="4047" xr:uid="{00000000-0005-0000-0000-0000E50F0000}"/>
    <cellStyle name="Normal 12" xfId="4048" xr:uid="{00000000-0005-0000-0000-0000E60F0000}"/>
    <cellStyle name="Normal 12 2" xfId="4049" xr:uid="{00000000-0005-0000-0000-0000E70F0000}"/>
    <cellStyle name="Normal 12 2 2" xfId="4050" xr:uid="{00000000-0005-0000-0000-0000E80F0000}"/>
    <cellStyle name="Normal 12 2 3" xfId="4051" xr:uid="{00000000-0005-0000-0000-0000E90F0000}"/>
    <cellStyle name="Normal 12 3" xfId="4052" xr:uid="{00000000-0005-0000-0000-0000EA0F0000}"/>
    <cellStyle name="Normal 12 4" xfId="4053" xr:uid="{00000000-0005-0000-0000-0000EB0F0000}"/>
    <cellStyle name="Normal 13" xfId="4054" xr:uid="{00000000-0005-0000-0000-0000EC0F0000}"/>
    <cellStyle name="Normal 13 2" xfId="4055" xr:uid="{00000000-0005-0000-0000-0000ED0F0000}"/>
    <cellStyle name="Normal 13 2 2" xfId="4056" xr:uid="{00000000-0005-0000-0000-0000EE0F0000}"/>
    <cellStyle name="Normal 13 2 3" xfId="4057" xr:uid="{00000000-0005-0000-0000-0000EF0F0000}"/>
    <cellStyle name="Normal 13 3" xfId="4058" xr:uid="{00000000-0005-0000-0000-0000F00F0000}"/>
    <cellStyle name="Normal 13 4" xfId="4059" xr:uid="{00000000-0005-0000-0000-0000F10F0000}"/>
    <cellStyle name="Normal 14" xfId="4060" xr:uid="{00000000-0005-0000-0000-0000F20F0000}"/>
    <cellStyle name="Normal 14 2" xfId="4061" xr:uid="{00000000-0005-0000-0000-0000F30F0000}"/>
    <cellStyle name="Normal 14 2 2" xfId="4062" xr:uid="{00000000-0005-0000-0000-0000F40F0000}"/>
    <cellStyle name="Normal 14 2 3" xfId="4063" xr:uid="{00000000-0005-0000-0000-0000F50F0000}"/>
    <cellStyle name="Normal 14 3" xfId="4064" xr:uid="{00000000-0005-0000-0000-0000F60F0000}"/>
    <cellStyle name="Normal 14 4" xfId="4065" xr:uid="{00000000-0005-0000-0000-0000F70F0000}"/>
    <cellStyle name="Normal 15" xfId="4066" xr:uid="{00000000-0005-0000-0000-0000F80F0000}"/>
    <cellStyle name="Normal 15 2" xfId="4067" xr:uid="{00000000-0005-0000-0000-0000F90F0000}"/>
    <cellStyle name="Normal 15 2 2" xfId="4068" xr:uid="{00000000-0005-0000-0000-0000FA0F0000}"/>
    <cellStyle name="Normal 15 2 3" xfId="4069" xr:uid="{00000000-0005-0000-0000-0000FB0F0000}"/>
    <cellStyle name="Normal 15 3" xfId="4070" xr:uid="{00000000-0005-0000-0000-0000FC0F0000}"/>
    <cellStyle name="Normal 15 4" xfId="4071" xr:uid="{00000000-0005-0000-0000-0000FD0F0000}"/>
    <cellStyle name="Normal 16" xfId="4072" xr:uid="{00000000-0005-0000-0000-0000FE0F0000}"/>
    <cellStyle name="Normal 16 2" xfId="4073" xr:uid="{00000000-0005-0000-0000-0000FF0F0000}"/>
    <cellStyle name="Normal 16 2 2" xfId="4074" xr:uid="{00000000-0005-0000-0000-000000100000}"/>
    <cellStyle name="Normal 16 2 3" xfId="4075" xr:uid="{00000000-0005-0000-0000-000001100000}"/>
    <cellStyle name="Normal 16 3" xfId="4076" xr:uid="{00000000-0005-0000-0000-000002100000}"/>
    <cellStyle name="Normal 16 4" xfId="4077" xr:uid="{00000000-0005-0000-0000-000003100000}"/>
    <cellStyle name="Normal 17" xfId="4078" xr:uid="{00000000-0005-0000-0000-000004100000}"/>
    <cellStyle name="Normal 17 2" xfId="4079" xr:uid="{00000000-0005-0000-0000-000005100000}"/>
    <cellStyle name="Normal 17 2 2" xfId="4080" xr:uid="{00000000-0005-0000-0000-000006100000}"/>
    <cellStyle name="Normal 17 2 3" xfId="4081" xr:uid="{00000000-0005-0000-0000-000007100000}"/>
    <cellStyle name="Normal 17 3" xfId="4082" xr:uid="{00000000-0005-0000-0000-000008100000}"/>
    <cellStyle name="Normal 17 4" xfId="4083" xr:uid="{00000000-0005-0000-0000-000009100000}"/>
    <cellStyle name="Normal 18" xfId="4084" xr:uid="{00000000-0005-0000-0000-00000A100000}"/>
    <cellStyle name="Normal 18 2" xfId="4085" xr:uid="{00000000-0005-0000-0000-00000B100000}"/>
    <cellStyle name="Normal 18 2 2" xfId="4086" xr:uid="{00000000-0005-0000-0000-00000C100000}"/>
    <cellStyle name="Normal 18 2 3" xfId="4087" xr:uid="{00000000-0005-0000-0000-00000D100000}"/>
    <cellStyle name="Normal 18 3" xfId="4088" xr:uid="{00000000-0005-0000-0000-00000E100000}"/>
    <cellStyle name="Normal 18 4" xfId="4089" xr:uid="{00000000-0005-0000-0000-00000F100000}"/>
    <cellStyle name="Normal 19" xfId="4090" xr:uid="{00000000-0005-0000-0000-000010100000}"/>
    <cellStyle name="Normal 19 2" xfId="4091" xr:uid="{00000000-0005-0000-0000-000011100000}"/>
    <cellStyle name="Normal 19 2 2" xfId="4092" xr:uid="{00000000-0005-0000-0000-000012100000}"/>
    <cellStyle name="Normal 19 2 3" xfId="4093" xr:uid="{00000000-0005-0000-0000-000013100000}"/>
    <cellStyle name="Normal 19 3" xfId="4094" xr:uid="{00000000-0005-0000-0000-000014100000}"/>
    <cellStyle name="Normal 19 4" xfId="4095" xr:uid="{00000000-0005-0000-0000-000015100000}"/>
    <cellStyle name="Normal 2" xfId="2" xr:uid="{00000000-0005-0000-0000-000016100000}"/>
    <cellStyle name="Normal 2 10" xfId="5259" xr:uid="{00000000-0005-0000-0000-000017100000}"/>
    <cellStyle name="Normal 2 10 2" xfId="5264" xr:uid="{00000000-0005-0000-0000-000018100000}"/>
    <cellStyle name="Normal 2 11" xfId="5299" xr:uid="{C04EB36B-68E6-4D68-8CC6-E6F8E9709EFA}"/>
    <cellStyle name="Normal 2 2" xfId="4096" xr:uid="{00000000-0005-0000-0000-000019100000}"/>
    <cellStyle name="Normal 2 2 2" xfId="4097" xr:uid="{00000000-0005-0000-0000-00001A100000}"/>
    <cellStyle name="Normal 2 2 3" xfId="4098" xr:uid="{00000000-0005-0000-0000-00001B100000}"/>
    <cellStyle name="Normal 2 3" xfId="4099" xr:uid="{00000000-0005-0000-0000-00001C100000}"/>
    <cellStyle name="Normal 2 3 2" xfId="4100" xr:uid="{00000000-0005-0000-0000-00001D100000}"/>
    <cellStyle name="Normal 2 3 2 2" xfId="4101" xr:uid="{00000000-0005-0000-0000-00001E100000}"/>
    <cellStyle name="Normal 2 3 3" xfId="4102" xr:uid="{00000000-0005-0000-0000-00001F100000}"/>
    <cellStyle name="Normal 2 4" xfId="4103" xr:uid="{00000000-0005-0000-0000-000020100000}"/>
    <cellStyle name="Normal 2 4 2" xfId="4104" xr:uid="{00000000-0005-0000-0000-000021100000}"/>
    <cellStyle name="Normal 2 4 3" xfId="4105" xr:uid="{00000000-0005-0000-0000-000022100000}"/>
    <cellStyle name="Normal 2 5" xfId="4106" xr:uid="{00000000-0005-0000-0000-000023100000}"/>
    <cellStyle name="Normal 2 5 2" xfId="4107" xr:uid="{00000000-0005-0000-0000-000024100000}"/>
    <cellStyle name="Normal 2 5 3" xfId="4108" xr:uid="{00000000-0005-0000-0000-000025100000}"/>
    <cellStyle name="Normal 2 6" xfId="4109" xr:uid="{00000000-0005-0000-0000-000026100000}"/>
    <cellStyle name="Normal 2 6 2" xfId="4110" xr:uid="{00000000-0005-0000-0000-000027100000}"/>
    <cellStyle name="Normal 2 6 3" xfId="4111" xr:uid="{00000000-0005-0000-0000-000028100000}"/>
    <cellStyle name="Normal 2 7" xfId="4112" xr:uid="{00000000-0005-0000-0000-000029100000}"/>
    <cellStyle name="Normal 2 8" xfId="4113" xr:uid="{00000000-0005-0000-0000-00002A100000}"/>
    <cellStyle name="Normal 2 9" xfId="4114" xr:uid="{00000000-0005-0000-0000-00002B100000}"/>
    <cellStyle name="Normal 2_Daily_Activity_OP" xfId="4115" xr:uid="{00000000-0005-0000-0000-00002C100000}"/>
    <cellStyle name="Normal 20" xfId="4116" xr:uid="{00000000-0005-0000-0000-00002D100000}"/>
    <cellStyle name="Normal 20 2" xfId="4117" xr:uid="{00000000-0005-0000-0000-00002E100000}"/>
    <cellStyle name="Normal 20 2 2" xfId="4118" xr:uid="{00000000-0005-0000-0000-00002F100000}"/>
    <cellStyle name="Normal 20 2 3" xfId="4119" xr:uid="{00000000-0005-0000-0000-000030100000}"/>
    <cellStyle name="Normal 20 3" xfId="4120" xr:uid="{00000000-0005-0000-0000-000031100000}"/>
    <cellStyle name="Normal 20 4" xfId="4121" xr:uid="{00000000-0005-0000-0000-000032100000}"/>
    <cellStyle name="Normal 21" xfId="4122" xr:uid="{00000000-0005-0000-0000-000033100000}"/>
    <cellStyle name="Normal 21 2" xfId="4123" xr:uid="{00000000-0005-0000-0000-000034100000}"/>
    <cellStyle name="Normal 21 2 2" xfId="4124" xr:uid="{00000000-0005-0000-0000-000035100000}"/>
    <cellStyle name="Normal 21 2 3" xfId="4125" xr:uid="{00000000-0005-0000-0000-000036100000}"/>
    <cellStyle name="Normal 21 3" xfId="4126" xr:uid="{00000000-0005-0000-0000-000037100000}"/>
    <cellStyle name="Normal 21 4" xfId="4127" xr:uid="{00000000-0005-0000-0000-000038100000}"/>
    <cellStyle name="Normal 22" xfId="4128" xr:uid="{00000000-0005-0000-0000-000039100000}"/>
    <cellStyle name="Normal 22 2" xfId="4129" xr:uid="{00000000-0005-0000-0000-00003A100000}"/>
    <cellStyle name="Normal 22 2 2" xfId="4130" xr:uid="{00000000-0005-0000-0000-00003B100000}"/>
    <cellStyle name="Normal 22 2 3" xfId="4131" xr:uid="{00000000-0005-0000-0000-00003C100000}"/>
    <cellStyle name="Normal 22 3" xfId="4132" xr:uid="{00000000-0005-0000-0000-00003D100000}"/>
    <cellStyle name="Normal 22 4" xfId="4133" xr:uid="{00000000-0005-0000-0000-00003E100000}"/>
    <cellStyle name="Normal 23" xfId="4134" xr:uid="{00000000-0005-0000-0000-00003F100000}"/>
    <cellStyle name="Normal 23 2" xfId="4135" xr:uid="{00000000-0005-0000-0000-000040100000}"/>
    <cellStyle name="Normal 23 2 2" xfId="4136" xr:uid="{00000000-0005-0000-0000-000041100000}"/>
    <cellStyle name="Normal 23 2 3" xfId="4137" xr:uid="{00000000-0005-0000-0000-000042100000}"/>
    <cellStyle name="Normal 23 3" xfId="4138" xr:uid="{00000000-0005-0000-0000-000043100000}"/>
    <cellStyle name="Normal 23 4" xfId="4139" xr:uid="{00000000-0005-0000-0000-000044100000}"/>
    <cellStyle name="Normal 24" xfId="4140" xr:uid="{00000000-0005-0000-0000-000045100000}"/>
    <cellStyle name="Normal 24 2" xfId="4141" xr:uid="{00000000-0005-0000-0000-000046100000}"/>
    <cellStyle name="Normal 24 2 2" xfId="4142" xr:uid="{00000000-0005-0000-0000-000047100000}"/>
    <cellStyle name="Normal 24 2 3" xfId="4143" xr:uid="{00000000-0005-0000-0000-000048100000}"/>
    <cellStyle name="Normal 24 3" xfId="4144" xr:uid="{00000000-0005-0000-0000-000049100000}"/>
    <cellStyle name="Normal 24 4" xfId="4145" xr:uid="{00000000-0005-0000-0000-00004A100000}"/>
    <cellStyle name="Normal 25" xfId="4146" xr:uid="{00000000-0005-0000-0000-00004B100000}"/>
    <cellStyle name="Normal 25 2" xfId="4147" xr:uid="{00000000-0005-0000-0000-00004C100000}"/>
    <cellStyle name="Normal 25 2 2" xfId="4148" xr:uid="{00000000-0005-0000-0000-00004D100000}"/>
    <cellStyle name="Normal 25 2 3" xfId="4149" xr:uid="{00000000-0005-0000-0000-00004E100000}"/>
    <cellStyle name="Normal 25 3" xfId="4150" xr:uid="{00000000-0005-0000-0000-00004F100000}"/>
    <cellStyle name="Normal 25 4" xfId="4151" xr:uid="{00000000-0005-0000-0000-000050100000}"/>
    <cellStyle name="Normal 26" xfId="4152" xr:uid="{00000000-0005-0000-0000-000051100000}"/>
    <cellStyle name="Normal 26 2" xfId="4153" xr:uid="{00000000-0005-0000-0000-000052100000}"/>
    <cellStyle name="Normal 26 2 2" xfId="4154" xr:uid="{00000000-0005-0000-0000-000053100000}"/>
    <cellStyle name="Normal 26 2 3" xfId="4155" xr:uid="{00000000-0005-0000-0000-000054100000}"/>
    <cellStyle name="Normal 26 3" xfId="4156" xr:uid="{00000000-0005-0000-0000-000055100000}"/>
    <cellStyle name="Normal 26 4" xfId="4157" xr:uid="{00000000-0005-0000-0000-000056100000}"/>
    <cellStyle name="Normal 27" xfId="4158" xr:uid="{00000000-0005-0000-0000-000057100000}"/>
    <cellStyle name="Normal 27 2" xfId="4159" xr:uid="{00000000-0005-0000-0000-000058100000}"/>
    <cellStyle name="Normal 27 2 2" xfId="4160" xr:uid="{00000000-0005-0000-0000-000059100000}"/>
    <cellStyle name="Normal 27 2 3" xfId="4161" xr:uid="{00000000-0005-0000-0000-00005A100000}"/>
    <cellStyle name="Normal 27 3" xfId="4162" xr:uid="{00000000-0005-0000-0000-00005B100000}"/>
    <cellStyle name="Normal 27 4" xfId="4163" xr:uid="{00000000-0005-0000-0000-00005C100000}"/>
    <cellStyle name="Normal 28" xfId="4164" xr:uid="{00000000-0005-0000-0000-00005D100000}"/>
    <cellStyle name="Normal 28 2" xfId="4165" xr:uid="{00000000-0005-0000-0000-00005E100000}"/>
    <cellStyle name="Normal 28 3" xfId="4166" xr:uid="{00000000-0005-0000-0000-00005F100000}"/>
    <cellStyle name="Normal 29" xfId="4167" xr:uid="{00000000-0005-0000-0000-000060100000}"/>
    <cellStyle name="Normal 29 2" xfId="4168" xr:uid="{00000000-0005-0000-0000-000061100000}"/>
    <cellStyle name="Normal 29 3" xfId="4169" xr:uid="{00000000-0005-0000-0000-000062100000}"/>
    <cellStyle name="Normal 3" xfId="4170" xr:uid="{00000000-0005-0000-0000-000063100000}"/>
    <cellStyle name="Normal 3 2" xfId="4171" xr:uid="{00000000-0005-0000-0000-000064100000}"/>
    <cellStyle name="Normal 3 2 2" xfId="4172" xr:uid="{00000000-0005-0000-0000-000065100000}"/>
    <cellStyle name="Normal 3 2 2 2" xfId="4173" xr:uid="{00000000-0005-0000-0000-000066100000}"/>
    <cellStyle name="Normal 3 2 2 3" xfId="4174" xr:uid="{00000000-0005-0000-0000-000067100000}"/>
    <cellStyle name="Normal 3 2 3" xfId="4175" xr:uid="{00000000-0005-0000-0000-000068100000}"/>
    <cellStyle name="Normal 3 2 4" xfId="4176" xr:uid="{00000000-0005-0000-0000-000069100000}"/>
    <cellStyle name="Normal 3 3" xfId="4177" xr:uid="{00000000-0005-0000-0000-00006A100000}"/>
    <cellStyle name="Normal 3 4" xfId="4178" xr:uid="{00000000-0005-0000-0000-00006B100000}"/>
    <cellStyle name="Normal 3 5" xfId="5322" xr:uid="{8FBD0F7F-9C92-4EC8-ACD5-9144636B9188}"/>
    <cellStyle name="Normal 3_Xl0000008" xfId="4179" xr:uid="{00000000-0005-0000-0000-00006C100000}"/>
    <cellStyle name="Normal 30" xfId="4180" xr:uid="{00000000-0005-0000-0000-00006D100000}"/>
    <cellStyle name="Normal 30 2" xfId="4181" xr:uid="{00000000-0005-0000-0000-00006E100000}"/>
    <cellStyle name="Normal 30 3" xfId="4182" xr:uid="{00000000-0005-0000-0000-00006F100000}"/>
    <cellStyle name="Normal 31" xfId="4183" xr:uid="{00000000-0005-0000-0000-000070100000}"/>
    <cellStyle name="Normal 31 2" xfId="4184" xr:uid="{00000000-0005-0000-0000-000071100000}"/>
    <cellStyle name="Normal 31 3" xfId="4185" xr:uid="{00000000-0005-0000-0000-000072100000}"/>
    <cellStyle name="Normal 32" xfId="4186" xr:uid="{00000000-0005-0000-0000-000073100000}"/>
    <cellStyle name="Normal 32 2" xfId="4187" xr:uid="{00000000-0005-0000-0000-000074100000}"/>
    <cellStyle name="Normal 32 3" xfId="4188" xr:uid="{00000000-0005-0000-0000-000075100000}"/>
    <cellStyle name="Normal 33" xfId="4189" xr:uid="{00000000-0005-0000-0000-000076100000}"/>
    <cellStyle name="Normal 33 2" xfId="4190" xr:uid="{00000000-0005-0000-0000-000077100000}"/>
    <cellStyle name="Normal 33 3" xfId="4191" xr:uid="{00000000-0005-0000-0000-000078100000}"/>
    <cellStyle name="Normal 34" xfId="4192" xr:uid="{00000000-0005-0000-0000-000079100000}"/>
    <cellStyle name="Normal 34 2" xfId="4193" xr:uid="{00000000-0005-0000-0000-00007A100000}"/>
    <cellStyle name="Normal 34 3" xfId="4194" xr:uid="{00000000-0005-0000-0000-00007B100000}"/>
    <cellStyle name="Normal 35" xfId="4195" xr:uid="{00000000-0005-0000-0000-00007C100000}"/>
    <cellStyle name="Normal 36" xfId="4196" xr:uid="{00000000-0005-0000-0000-00007D100000}"/>
    <cellStyle name="Normal 36 2" xfId="4197" xr:uid="{00000000-0005-0000-0000-00007E100000}"/>
    <cellStyle name="Normal 36 3" xfId="4198" xr:uid="{00000000-0005-0000-0000-00007F100000}"/>
    <cellStyle name="Normal 37" xfId="4199" xr:uid="{00000000-0005-0000-0000-000080100000}"/>
    <cellStyle name="Normal 38" xfId="4200" xr:uid="{00000000-0005-0000-0000-000081100000}"/>
    <cellStyle name="Normal 39" xfId="4201" xr:uid="{00000000-0005-0000-0000-000082100000}"/>
    <cellStyle name="Normal 4" xfId="4202" xr:uid="{00000000-0005-0000-0000-000083100000}"/>
    <cellStyle name="Normal 4 2" xfId="4203" xr:uid="{00000000-0005-0000-0000-000084100000}"/>
    <cellStyle name="Normal 4 2 2" xfId="4204" xr:uid="{00000000-0005-0000-0000-000085100000}"/>
    <cellStyle name="Normal 4 2 3" xfId="4205" xr:uid="{00000000-0005-0000-0000-000086100000}"/>
    <cellStyle name="Normal 4 3" xfId="4206" xr:uid="{00000000-0005-0000-0000-000087100000}"/>
    <cellStyle name="Normal 4 4" xfId="4207" xr:uid="{00000000-0005-0000-0000-000088100000}"/>
    <cellStyle name="Normal 4 5" xfId="5280" xr:uid="{00000000-0005-0000-0000-000089100000}"/>
    <cellStyle name="Normal 4 5 2" xfId="5334" xr:uid="{F583671C-618C-4553-95B5-7C3C769C78F9}"/>
    <cellStyle name="Normal 40" xfId="4208" xr:uid="{00000000-0005-0000-0000-00008A100000}"/>
    <cellStyle name="Normal 41" xfId="4209" xr:uid="{00000000-0005-0000-0000-00008B100000}"/>
    <cellStyle name="Normal 42" xfId="5250" xr:uid="{00000000-0005-0000-0000-00008C100000}"/>
    <cellStyle name="Normal 42 2" xfId="5263" xr:uid="{00000000-0005-0000-0000-00008D100000}"/>
    <cellStyle name="Normal 42 3" xfId="5345" xr:uid="{CEC50F94-A400-4859-89DC-45C928099640}"/>
    <cellStyle name="Normal 43" xfId="5255" xr:uid="{00000000-0005-0000-0000-00008E100000}"/>
    <cellStyle name="Normal 43 2" xfId="5296" xr:uid="{F17B772D-0ADA-4C97-BA61-11DA7557F798}"/>
    <cellStyle name="Normal 44" xfId="5256" xr:uid="{00000000-0005-0000-0000-00008F100000}"/>
    <cellStyle name="Normal 45" xfId="5257" xr:uid="{00000000-0005-0000-0000-000090100000}"/>
    <cellStyle name="Normal 45 2" xfId="5267" xr:uid="{00000000-0005-0000-0000-000091100000}"/>
    <cellStyle name="Normal 45 2 2" xfId="5269" xr:uid="{00000000-0005-0000-0000-000092100000}"/>
    <cellStyle name="Normal 45 2 3" xfId="5326" xr:uid="{32448634-180A-48F7-BFE6-326D7A6CD8A5}"/>
    <cellStyle name="Normal 46" xfId="5266" xr:uid="{00000000-0005-0000-0000-000093100000}"/>
    <cellStyle name="Normal 47" xfId="5268" xr:uid="{00000000-0005-0000-0000-000094100000}"/>
    <cellStyle name="Normal 48" xfId="5270" xr:uid="{00000000-0005-0000-0000-000095100000}"/>
    <cellStyle name="Normal 48 2" xfId="5328" xr:uid="{C5E94B3B-D07E-44BE-A900-8D0FC0987B7E}"/>
    <cellStyle name="Normal 48 3" xfId="5332" xr:uid="{615DDB08-655D-41BA-8777-6F9C3F732A16}"/>
    <cellStyle name="Normal 49" xfId="5273" xr:uid="{00000000-0005-0000-0000-000096100000}"/>
    <cellStyle name="Normal 5" xfId="4210" xr:uid="{00000000-0005-0000-0000-000097100000}"/>
    <cellStyle name="Normal 5 2" xfId="4211" xr:uid="{00000000-0005-0000-0000-000098100000}"/>
    <cellStyle name="Normal 5 2 2" xfId="4212" xr:uid="{00000000-0005-0000-0000-000099100000}"/>
    <cellStyle name="Normal 5 2 3" xfId="4213" xr:uid="{00000000-0005-0000-0000-00009A100000}"/>
    <cellStyle name="Normal 5 3" xfId="4214" xr:uid="{00000000-0005-0000-0000-00009B100000}"/>
    <cellStyle name="Normal 5 4" xfId="4215" xr:uid="{00000000-0005-0000-0000-00009C100000}"/>
    <cellStyle name="Normal 50" xfId="5277" xr:uid="{00000000-0005-0000-0000-00009D100000}"/>
    <cellStyle name="Normal 50 2" xfId="5324" xr:uid="{8B5CA8FE-FA41-4333-BF00-ADE06505B6BD}"/>
    <cellStyle name="Normal 51" xfId="5279" xr:uid="{00000000-0005-0000-0000-00009E100000}"/>
    <cellStyle name="Normal 52" xfId="5284" xr:uid="{00000000-0005-0000-0000-00009F100000}"/>
    <cellStyle name="Normal 53" xfId="5288" xr:uid="{00000000-0005-0000-0000-0000A0100000}"/>
    <cellStyle name="Normal 53 2" xfId="5301" xr:uid="{EAB15810-2E9B-495D-A5A9-F8D8DB71BD25}"/>
    <cellStyle name="Normal 53 2 2" xfId="5335" xr:uid="{E939B1E4-2D12-4B7A-9F10-3D6D71BCFA37}"/>
    <cellStyle name="Normal 53 2 2 2" xfId="5342" xr:uid="{7CECC28F-D48D-4BD7-B0EC-C521D7F52DC5}"/>
    <cellStyle name="Normal 53 3" xfId="5307" xr:uid="{3B0E4FA5-B27C-4D61-9ED8-8F1E715124FA}"/>
    <cellStyle name="Normal 53 4" xfId="5311" xr:uid="{EB0F3AA5-A710-42F5-ADAB-E20FECBFD50B}"/>
    <cellStyle name="Normal 53 5" xfId="5315" xr:uid="{C5C12F6F-2039-449C-9237-62B0D5DEF411}"/>
    <cellStyle name="Normal 53 5 2" xfId="5343" xr:uid="{EF0E4241-15E0-4C84-A0B8-32F5D7E79710}"/>
    <cellStyle name="Normal 53 6" xfId="5317" xr:uid="{48D8317D-1925-4C36-9A96-BB5EBA108A07}"/>
    <cellStyle name="Normal 54" xfId="5298" xr:uid="{4A533889-0BC1-4844-99A9-AF6BC1CF91B2}"/>
    <cellStyle name="Normal 55" xfId="5300" xr:uid="{068B4517-3053-4713-8279-215395FC30AF}"/>
    <cellStyle name="Normal 56" xfId="5319" xr:uid="{CCA34FD6-8D59-444E-B4B9-B24603855430}"/>
    <cellStyle name="Normal 57" xfId="5320" xr:uid="{7B5CDEF8-9366-4DC5-B92F-18EF205C1C45}"/>
    <cellStyle name="Normal 57 2" xfId="5331" xr:uid="{475F84F6-EF8E-4F30-A74F-4481D8A6BF9F}"/>
    <cellStyle name="Normal 58" xfId="5323" xr:uid="{09B396A2-6974-4112-AA5D-4051E6089E55}"/>
    <cellStyle name="Normal 59" xfId="5339" xr:uid="{7F3D53FB-E4AD-4696-A3E1-30EAD3C3823D}"/>
    <cellStyle name="Normal 6" xfId="4216" xr:uid="{00000000-0005-0000-0000-0000A1100000}"/>
    <cellStyle name="Normal 6 2" xfId="4217" xr:uid="{00000000-0005-0000-0000-0000A2100000}"/>
    <cellStyle name="Normal 6 2 2" xfId="4218" xr:uid="{00000000-0005-0000-0000-0000A3100000}"/>
    <cellStyle name="Normal 6 2 3" xfId="4219" xr:uid="{00000000-0005-0000-0000-0000A4100000}"/>
    <cellStyle name="Normal 6 3" xfId="4220" xr:uid="{00000000-0005-0000-0000-0000A5100000}"/>
    <cellStyle name="Normal 6 3 2" xfId="4221" xr:uid="{00000000-0005-0000-0000-0000A6100000}"/>
    <cellStyle name="Normal 6 3 3" xfId="4222" xr:uid="{00000000-0005-0000-0000-0000A7100000}"/>
    <cellStyle name="Normal 6 4" xfId="4223" xr:uid="{00000000-0005-0000-0000-0000A8100000}"/>
    <cellStyle name="Normal 6 4 2" xfId="4224" xr:uid="{00000000-0005-0000-0000-0000A9100000}"/>
    <cellStyle name="Normal 6 4 3" xfId="4225" xr:uid="{00000000-0005-0000-0000-0000AA100000}"/>
    <cellStyle name="Normal 6 5" xfId="4226" xr:uid="{00000000-0005-0000-0000-0000AB100000}"/>
    <cellStyle name="Normal 6 6" xfId="4227" xr:uid="{00000000-0005-0000-0000-0000AC100000}"/>
    <cellStyle name="Normal 6_TOTAL OB COAL" xfId="4228" xr:uid="{00000000-0005-0000-0000-0000AD100000}"/>
    <cellStyle name="Normal 60" xfId="5327" xr:uid="{6A01E87B-434F-4EFE-A623-EF8A370FAC16}"/>
    <cellStyle name="Normal 61" xfId="5348" xr:uid="{9FC68063-0115-48C1-952B-75F1789C4C40}"/>
    <cellStyle name="Normal 62" xfId="5349" xr:uid="{1AD39FD3-7B27-43FF-B2F9-77DA120D3065}"/>
    <cellStyle name="Normal 63" xfId="5350" xr:uid="{E19AC6D1-94EE-4ABE-8742-184A6DFA6075}"/>
    <cellStyle name="Normal 7" xfId="4229" xr:uid="{00000000-0005-0000-0000-0000AE100000}"/>
    <cellStyle name="Normal 7 2" xfId="4230" xr:uid="{00000000-0005-0000-0000-0000AF100000}"/>
    <cellStyle name="Normal 7 2 2" xfId="4231" xr:uid="{00000000-0005-0000-0000-0000B0100000}"/>
    <cellStyle name="Normal 7 2 3" xfId="4232" xr:uid="{00000000-0005-0000-0000-0000B1100000}"/>
    <cellStyle name="Normal 7 3" xfId="4233" xr:uid="{00000000-0005-0000-0000-0000B2100000}"/>
    <cellStyle name="Normal 7 4" xfId="4234" xr:uid="{00000000-0005-0000-0000-0000B3100000}"/>
    <cellStyle name="Normal 8" xfId="4235" xr:uid="{00000000-0005-0000-0000-0000B4100000}"/>
    <cellStyle name="Normal 8 2" xfId="4236" xr:uid="{00000000-0005-0000-0000-0000B5100000}"/>
    <cellStyle name="Normal 8 2 2" xfId="4237" xr:uid="{00000000-0005-0000-0000-0000B6100000}"/>
    <cellStyle name="Normal 8 2 3" xfId="4238" xr:uid="{00000000-0005-0000-0000-0000B7100000}"/>
    <cellStyle name="Normal 8 3" xfId="4239" xr:uid="{00000000-0005-0000-0000-0000B8100000}"/>
    <cellStyle name="Normal 8 4" xfId="4240" xr:uid="{00000000-0005-0000-0000-0000B9100000}"/>
    <cellStyle name="Normal 9" xfId="4241" xr:uid="{00000000-0005-0000-0000-0000BA100000}"/>
    <cellStyle name="Normal 9 2" xfId="4242" xr:uid="{00000000-0005-0000-0000-0000BB100000}"/>
    <cellStyle name="Normal 9 2 2" xfId="4243" xr:uid="{00000000-0005-0000-0000-0000BC100000}"/>
    <cellStyle name="Normal 9 2 2 2" xfId="4244" xr:uid="{00000000-0005-0000-0000-0000BD100000}"/>
    <cellStyle name="Normal 9 2 3" xfId="4245" xr:uid="{00000000-0005-0000-0000-0000BE100000}"/>
    <cellStyle name="Normal 9 3" xfId="4246" xr:uid="{00000000-0005-0000-0000-0000BF100000}"/>
    <cellStyle name="Normal 9 3 2" xfId="4247" xr:uid="{00000000-0005-0000-0000-0000C0100000}"/>
    <cellStyle name="Normal 9 4" xfId="4248" xr:uid="{00000000-0005-0000-0000-0000C1100000}"/>
    <cellStyle name="Normal Bold" xfId="4249" xr:uid="{00000000-0005-0000-0000-0000C2100000}"/>
    <cellStyle name="Normal Bold Italics" xfId="4250" xr:uid="{00000000-0005-0000-0000-0000C3100000}"/>
    <cellStyle name="Normal Bold_Accretion Dilution Model v6" xfId="4251" xr:uid="{00000000-0005-0000-0000-0000C4100000}"/>
    <cellStyle name="Normal Pct" xfId="4252" xr:uid="{00000000-0005-0000-0000-0000C5100000}"/>
    <cellStyle name="Normal_Power_Model_V7" xfId="5285" xr:uid="{00000000-0005-0000-0000-0000C8100000}"/>
    <cellStyle name="Normal_tikak A.2 &amp; A.8 dept" xfId="5347" xr:uid="{017CA162-9D6D-4BB5-B0A6-C813CC1C119F}"/>
    <cellStyle name="Normal-%-1" xfId="4253" xr:uid="{00000000-0005-0000-0000-0000C6100000}"/>
    <cellStyle name="Normal0" xfId="4254" xr:uid="{00000000-0005-0000-0000-0000CA100000}"/>
    <cellStyle name="Normal1" xfId="4255" xr:uid="{00000000-0005-0000-0000-0000CB100000}"/>
    <cellStyle name="Normal2" xfId="4256" xr:uid="{00000000-0005-0000-0000-0000CC100000}"/>
    <cellStyle name="Normal8" xfId="4257" xr:uid="{00000000-0005-0000-0000-0000CD100000}"/>
    <cellStyle name="NormalBlue" xfId="4258" xr:uid="{00000000-0005-0000-0000-0000CE100000}"/>
    <cellStyle name="NormalBold" xfId="4259" xr:uid="{00000000-0005-0000-0000-0000CF100000}"/>
    <cellStyle name="NormalCurrency" xfId="4260" xr:uid="{00000000-0005-0000-0000-0000D0100000}"/>
    <cellStyle name="Normale_Intro (gotty)" xfId="4261" xr:uid="{00000000-0005-0000-0000-0000D1100000}"/>
    <cellStyle name="NormalEPS" xfId="4262" xr:uid="{00000000-0005-0000-0000-0000D2100000}"/>
    <cellStyle name="NormalGB" xfId="4263" xr:uid="{00000000-0005-0000-0000-0000D3100000}"/>
    <cellStyle name="NormalHelv" xfId="4264" xr:uid="{00000000-0005-0000-0000-0000D4100000}"/>
    <cellStyle name="Normall" xfId="4265" xr:uid="{00000000-0005-0000-0000-0000D5100000}"/>
    <cellStyle name="NormalNumber%" xfId="4266" xr:uid="{00000000-0005-0000-0000-0000D6100000}"/>
    <cellStyle name="NormalPop" xfId="4267" xr:uid="{00000000-0005-0000-0000-0000D7100000}"/>
    <cellStyle name="NOT" xfId="4268" xr:uid="{00000000-0005-0000-0000-0000D8100000}"/>
    <cellStyle name="Note 10" xfId="4269" xr:uid="{00000000-0005-0000-0000-0000D9100000}"/>
    <cellStyle name="Note 10 2" xfId="4270" xr:uid="{00000000-0005-0000-0000-0000DA100000}"/>
    <cellStyle name="Note 10 3" xfId="4271" xr:uid="{00000000-0005-0000-0000-0000DB100000}"/>
    <cellStyle name="Note 11" xfId="4272" xr:uid="{00000000-0005-0000-0000-0000DC100000}"/>
    <cellStyle name="Note 11 2" xfId="4273" xr:uid="{00000000-0005-0000-0000-0000DD100000}"/>
    <cellStyle name="Note 11 3" xfId="4274" xr:uid="{00000000-0005-0000-0000-0000DE100000}"/>
    <cellStyle name="Note 12" xfId="4275" xr:uid="{00000000-0005-0000-0000-0000DF100000}"/>
    <cellStyle name="Note 12 2" xfId="4276" xr:uid="{00000000-0005-0000-0000-0000E0100000}"/>
    <cellStyle name="Note 12 3" xfId="4277" xr:uid="{00000000-0005-0000-0000-0000E1100000}"/>
    <cellStyle name="Note 13" xfId="4278" xr:uid="{00000000-0005-0000-0000-0000E2100000}"/>
    <cellStyle name="Note 13 2" xfId="4279" xr:uid="{00000000-0005-0000-0000-0000E3100000}"/>
    <cellStyle name="Note 13 3" xfId="4280" xr:uid="{00000000-0005-0000-0000-0000E4100000}"/>
    <cellStyle name="Note 14" xfId="4281" xr:uid="{00000000-0005-0000-0000-0000E5100000}"/>
    <cellStyle name="Note 14 2" xfId="4282" xr:uid="{00000000-0005-0000-0000-0000E6100000}"/>
    <cellStyle name="Note 14 3" xfId="4283" xr:uid="{00000000-0005-0000-0000-0000E7100000}"/>
    <cellStyle name="Note 15" xfId="4284" xr:uid="{00000000-0005-0000-0000-0000E8100000}"/>
    <cellStyle name="Note 15 2" xfId="4285" xr:uid="{00000000-0005-0000-0000-0000E9100000}"/>
    <cellStyle name="Note 15 3" xfId="4286" xr:uid="{00000000-0005-0000-0000-0000EA100000}"/>
    <cellStyle name="Note 16" xfId="4287" xr:uid="{00000000-0005-0000-0000-0000EB100000}"/>
    <cellStyle name="Note 16 2" xfId="4288" xr:uid="{00000000-0005-0000-0000-0000EC100000}"/>
    <cellStyle name="Note 16 3" xfId="4289" xr:uid="{00000000-0005-0000-0000-0000ED100000}"/>
    <cellStyle name="Note 17" xfId="4290" xr:uid="{00000000-0005-0000-0000-0000EE100000}"/>
    <cellStyle name="Note 17 2" xfId="4291" xr:uid="{00000000-0005-0000-0000-0000EF100000}"/>
    <cellStyle name="Note 17 3" xfId="4292" xr:uid="{00000000-0005-0000-0000-0000F0100000}"/>
    <cellStyle name="Note 18" xfId="4293" xr:uid="{00000000-0005-0000-0000-0000F1100000}"/>
    <cellStyle name="Note 18 2" xfId="4294" xr:uid="{00000000-0005-0000-0000-0000F2100000}"/>
    <cellStyle name="Note 18 3" xfId="4295" xr:uid="{00000000-0005-0000-0000-0000F3100000}"/>
    <cellStyle name="Note 19" xfId="4296" xr:uid="{00000000-0005-0000-0000-0000F4100000}"/>
    <cellStyle name="Note 19 2" xfId="4297" xr:uid="{00000000-0005-0000-0000-0000F5100000}"/>
    <cellStyle name="Note 19 3" xfId="4298" xr:uid="{00000000-0005-0000-0000-0000F6100000}"/>
    <cellStyle name="Note 2" xfId="4299" xr:uid="{00000000-0005-0000-0000-0000F7100000}"/>
    <cellStyle name="Note 2 2" xfId="4300" xr:uid="{00000000-0005-0000-0000-0000F8100000}"/>
    <cellStyle name="Note 2 2 2" xfId="4301" xr:uid="{00000000-0005-0000-0000-0000F9100000}"/>
    <cellStyle name="Note 2 2 3" xfId="4302" xr:uid="{00000000-0005-0000-0000-0000FA100000}"/>
    <cellStyle name="Note 2 3" xfId="4303" xr:uid="{00000000-0005-0000-0000-0000FB100000}"/>
    <cellStyle name="Note 2 3 2" xfId="4304" xr:uid="{00000000-0005-0000-0000-0000FC100000}"/>
    <cellStyle name="Note 2 3 3" xfId="4305" xr:uid="{00000000-0005-0000-0000-0000FD100000}"/>
    <cellStyle name="Note 2 4" xfId="4306" xr:uid="{00000000-0005-0000-0000-0000FE100000}"/>
    <cellStyle name="Note 2 5" xfId="4307" xr:uid="{00000000-0005-0000-0000-0000FF100000}"/>
    <cellStyle name="Note 2_TOTAL OB COAL" xfId="4308" xr:uid="{00000000-0005-0000-0000-000000110000}"/>
    <cellStyle name="Note 20" xfId="4309" xr:uid="{00000000-0005-0000-0000-000001110000}"/>
    <cellStyle name="Note 20 2" xfId="4310" xr:uid="{00000000-0005-0000-0000-000002110000}"/>
    <cellStyle name="Note 20 3" xfId="4311" xr:uid="{00000000-0005-0000-0000-000003110000}"/>
    <cellStyle name="Note 21" xfId="4312" xr:uid="{00000000-0005-0000-0000-000004110000}"/>
    <cellStyle name="Note 21 2" xfId="4313" xr:uid="{00000000-0005-0000-0000-000005110000}"/>
    <cellStyle name="Note 21 3" xfId="4314" xr:uid="{00000000-0005-0000-0000-000006110000}"/>
    <cellStyle name="Note 22" xfId="4315" xr:uid="{00000000-0005-0000-0000-000007110000}"/>
    <cellStyle name="Note 22 2" xfId="4316" xr:uid="{00000000-0005-0000-0000-000008110000}"/>
    <cellStyle name="Note 22 3" xfId="4317" xr:uid="{00000000-0005-0000-0000-000009110000}"/>
    <cellStyle name="Note 23" xfId="4318" xr:uid="{00000000-0005-0000-0000-00000A110000}"/>
    <cellStyle name="Note 23 2" xfId="4319" xr:uid="{00000000-0005-0000-0000-00000B110000}"/>
    <cellStyle name="Note 23 3" xfId="4320" xr:uid="{00000000-0005-0000-0000-00000C110000}"/>
    <cellStyle name="Note 24" xfId="4321" xr:uid="{00000000-0005-0000-0000-00000D110000}"/>
    <cellStyle name="Note 24 2" xfId="4322" xr:uid="{00000000-0005-0000-0000-00000E110000}"/>
    <cellStyle name="Note 24 3" xfId="4323" xr:uid="{00000000-0005-0000-0000-00000F110000}"/>
    <cellStyle name="Note 25" xfId="4324" xr:uid="{00000000-0005-0000-0000-000010110000}"/>
    <cellStyle name="Note 25 2" xfId="4325" xr:uid="{00000000-0005-0000-0000-000011110000}"/>
    <cellStyle name="Note 25 3" xfId="4326" xr:uid="{00000000-0005-0000-0000-000012110000}"/>
    <cellStyle name="Note 26" xfId="4327" xr:uid="{00000000-0005-0000-0000-000013110000}"/>
    <cellStyle name="Note 26 2" xfId="4328" xr:uid="{00000000-0005-0000-0000-000014110000}"/>
    <cellStyle name="Note 26 3" xfId="4329" xr:uid="{00000000-0005-0000-0000-000015110000}"/>
    <cellStyle name="Note 27" xfId="4330" xr:uid="{00000000-0005-0000-0000-000016110000}"/>
    <cellStyle name="Note 27 2" xfId="4331" xr:uid="{00000000-0005-0000-0000-000017110000}"/>
    <cellStyle name="Note 27 3" xfId="4332" xr:uid="{00000000-0005-0000-0000-000018110000}"/>
    <cellStyle name="Note 3" xfId="4333" xr:uid="{00000000-0005-0000-0000-000019110000}"/>
    <cellStyle name="Note 3 2" xfId="4334" xr:uid="{00000000-0005-0000-0000-00001A110000}"/>
    <cellStyle name="Note 3 3" xfId="4335" xr:uid="{00000000-0005-0000-0000-00001B110000}"/>
    <cellStyle name="Note 4" xfId="4336" xr:uid="{00000000-0005-0000-0000-00001C110000}"/>
    <cellStyle name="Note 4 2" xfId="4337" xr:uid="{00000000-0005-0000-0000-00001D110000}"/>
    <cellStyle name="Note 4 3" xfId="4338" xr:uid="{00000000-0005-0000-0000-00001E110000}"/>
    <cellStyle name="Note 5" xfId="4339" xr:uid="{00000000-0005-0000-0000-00001F110000}"/>
    <cellStyle name="Note 5 2" xfId="4340" xr:uid="{00000000-0005-0000-0000-000020110000}"/>
    <cellStyle name="Note 5 3" xfId="4341" xr:uid="{00000000-0005-0000-0000-000021110000}"/>
    <cellStyle name="Note 6" xfId="4342" xr:uid="{00000000-0005-0000-0000-000022110000}"/>
    <cellStyle name="Note 6 2" xfId="4343" xr:uid="{00000000-0005-0000-0000-000023110000}"/>
    <cellStyle name="Note 6 3" xfId="4344" xr:uid="{00000000-0005-0000-0000-000024110000}"/>
    <cellStyle name="Note 7" xfId="4345" xr:uid="{00000000-0005-0000-0000-000025110000}"/>
    <cellStyle name="Note 7 2" xfId="4346" xr:uid="{00000000-0005-0000-0000-000026110000}"/>
    <cellStyle name="Note 7 3" xfId="4347" xr:uid="{00000000-0005-0000-0000-000027110000}"/>
    <cellStyle name="Note 8" xfId="4348" xr:uid="{00000000-0005-0000-0000-000028110000}"/>
    <cellStyle name="Note 8 2" xfId="4349" xr:uid="{00000000-0005-0000-0000-000029110000}"/>
    <cellStyle name="Note 8 3" xfId="4350" xr:uid="{00000000-0005-0000-0000-00002A110000}"/>
    <cellStyle name="Note 9" xfId="4351" xr:uid="{00000000-0005-0000-0000-00002B110000}"/>
    <cellStyle name="Note 9 2" xfId="4352" xr:uid="{00000000-0005-0000-0000-00002C110000}"/>
    <cellStyle name="Note 9 3" xfId="4353" xr:uid="{00000000-0005-0000-0000-00002D110000}"/>
    <cellStyle name="Notes" xfId="4354" xr:uid="{00000000-0005-0000-0000-00002E110000}"/>
    <cellStyle name="Notes bold" xfId="4355" xr:uid="{00000000-0005-0000-0000-00002F110000}"/>
    <cellStyle name="Notes_Tower Comps_v4" xfId="4356" xr:uid="{00000000-0005-0000-0000-000030110000}"/>
    <cellStyle name="NPLODE" xfId="4357" xr:uid="{00000000-0005-0000-0000-000031110000}"/>
    <cellStyle name="NPPESalesPct" xfId="4358" xr:uid="{00000000-0005-0000-0000-000032110000}"/>
    <cellStyle name="Num 0D Black" xfId="4359" xr:uid="{00000000-0005-0000-0000-000033110000}"/>
    <cellStyle name="Num 0D Black Bold" xfId="4360" xr:uid="{00000000-0005-0000-0000-000034110000}"/>
    <cellStyle name="Num 0D Blue" xfId="4361" xr:uid="{00000000-0005-0000-0000-000035110000}"/>
    <cellStyle name="Num 0D Green" xfId="4362" xr:uid="{00000000-0005-0000-0000-000036110000}"/>
    <cellStyle name="Num 0D Green Bold" xfId="4363" xr:uid="{00000000-0005-0000-0000-000037110000}"/>
    <cellStyle name="Num 1D Black" xfId="4364" xr:uid="{00000000-0005-0000-0000-000038110000}"/>
    <cellStyle name="Num 1D Black 1B" xfId="4365" xr:uid="{00000000-0005-0000-0000-000039110000}"/>
    <cellStyle name="Num 1D Black 1T" xfId="4366" xr:uid="{00000000-0005-0000-0000-00003A110000}"/>
    <cellStyle name="Num 1D Black Bold" xfId="4367" xr:uid="{00000000-0005-0000-0000-00003B110000}"/>
    <cellStyle name="Num 1D Blue" xfId="4368" xr:uid="{00000000-0005-0000-0000-00003C110000}"/>
    <cellStyle name="Num 1D Blue 1B" xfId="4369" xr:uid="{00000000-0005-0000-0000-00003D110000}"/>
    <cellStyle name="Num 1D Blue Bold" xfId="4370" xr:uid="{00000000-0005-0000-0000-00003E110000}"/>
    <cellStyle name="Num 1D Greem" xfId="4371" xr:uid="{00000000-0005-0000-0000-00003F110000}"/>
    <cellStyle name="Num 1D Green 1B" xfId="4372" xr:uid="{00000000-0005-0000-0000-000040110000}"/>
    <cellStyle name="Num 1D Red" xfId="4373" xr:uid="{00000000-0005-0000-0000-000041110000}"/>
    <cellStyle name="Num 2D Black" xfId="4374" xr:uid="{00000000-0005-0000-0000-000042110000}"/>
    <cellStyle name="Num 2D Blue" xfId="4375" xr:uid="{00000000-0005-0000-0000-000043110000}"/>
    <cellStyle name="Num 3D Black" xfId="4376" xr:uid="{00000000-0005-0000-0000-000044110000}"/>
    <cellStyle name="Num 3D Black 1B" xfId="4377" xr:uid="{00000000-0005-0000-0000-000045110000}"/>
    <cellStyle name="Num 3D Blue" xfId="4378" xr:uid="{00000000-0005-0000-0000-000046110000}"/>
    <cellStyle name="Num 4D Black" xfId="4379" xr:uid="{00000000-0005-0000-0000-000047110000}"/>
    <cellStyle name="Num 6D Black" xfId="4380" xr:uid="{00000000-0005-0000-0000-000048110000}"/>
    <cellStyle name="Num0Un" xfId="4381" xr:uid="{00000000-0005-0000-0000-000049110000}"/>
    <cellStyle name="Num1" xfId="4382" xr:uid="{00000000-0005-0000-0000-00004A110000}"/>
    <cellStyle name="Num1Blue" xfId="4383" xr:uid="{00000000-0005-0000-0000-00004B110000}"/>
    <cellStyle name="num1Style" xfId="4384" xr:uid="{00000000-0005-0000-0000-00004C110000}"/>
    <cellStyle name="num1Styleb" xfId="4385" xr:uid="{00000000-0005-0000-0000-00004D110000}"/>
    <cellStyle name="Num2" xfId="4386" xr:uid="{00000000-0005-0000-0000-00004E110000}"/>
    <cellStyle name="Num2Un" xfId="4387" xr:uid="{00000000-0005-0000-0000-00004F110000}"/>
    <cellStyle name="num4Style" xfId="4388" xr:uid="{00000000-0005-0000-0000-000050110000}"/>
    <cellStyle name="num4Styleb" xfId="4389" xr:uid="{00000000-0005-0000-0000-000051110000}"/>
    <cellStyle name="number" xfId="4390" xr:uid="{00000000-0005-0000-0000-000052110000}"/>
    <cellStyle name="Number 0d" xfId="4391" xr:uid="{00000000-0005-0000-0000-000053110000}"/>
    <cellStyle name="Number 1d" xfId="4392" xr:uid="{00000000-0005-0000-0000-000054110000}"/>
    <cellStyle name="Number 2d" xfId="4393" xr:uid="{00000000-0005-0000-0000-000055110000}"/>
    <cellStyle name="Number 3d" xfId="4394" xr:uid="{00000000-0005-0000-0000-000056110000}"/>
    <cellStyle name="Number 3d big" xfId="4395" xr:uid="{00000000-0005-0000-0000-000057110000}"/>
    <cellStyle name="Number 3d_6501P_CO" xfId="4396" xr:uid="{00000000-0005-0000-0000-000058110000}"/>
    <cellStyle name="Number_HCL - Excel Backup" xfId="4399" xr:uid="{00000000-0005-0000-0000-00005B110000}"/>
    <cellStyle name="Number, 3d big" xfId="4397" xr:uid="{00000000-0005-0000-0000-000059110000}"/>
    <cellStyle name="Number,1d" xfId="4398" xr:uid="{00000000-0005-0000-0000-00005A110000}"/>
    <cellStyle name="Numbers" xfId="4400" xr:uid="{00000000-0005-0000-0000-00005C110000}"/>
    <cellStyle name="Numbers - Bold" xfId="4401" xr:uid="{00000000-0005-0000-0000-00005D110000}"/>
    <cellStyle name="Numbers - Bold - Italic" xfId="4402" xr:uid="{00000000-0005-0000-0000-00005E110000}"/>
    <cellStyle name="Numbers - Bold_Book1" xfId="4403" xr:uid="{00000000-0005-0000-0000-00005F110000}"/>
    <cellStyle name="Numbers - Large" xfId="4404" xr:uid="{00000000-0005-0000-0000-000060110000}"/>
    <cellStyle name="Numbers_6079BX" xfId="4405" xr:uid="{00000000-0005-0000-0000-000061110000}"/>
    <cellStyle name="numPStyle" xfId="4406" xr:uid="{00000000-0005-0000-0000-000062110000}"/>
    <cellStyle name="numPStyleb" xfId="4407" xr:uid="{00000000-0005-0000-0000-000063110000}"/>
    <cellStyle name="numXStyle" xfId="4408" xr:uid="{00000000-0005-0000-0000-000064110000}"/>
    <cellStyle name="numXStyleb" xfId="4409" xr:uid="{00000000-0005-0000-0000-000065110000}"/>
    <cellStyle name="Œ…‹æØ‚è [0.00]_GE 3 MINIMUM" xfId="4410" xr:uid="{00000000-0005-0000-0000-000066110000}"/>
    <cellStyle name="Œ…‹æØ‚è_GE 3 MINIMUM" xfId="4411" xr:uid="{00000000-0005-0000-0000-000067110000}"/>
    <cellStyle name="onedec" xfId="4412" xr:uid="{00000000-0005-0000-0000-000068110000}"/>
    <cellStyle name="OSW_ColumnLabels" xfId="4413" xr:uid="{00000000-0005-0000-0000-000069110000}"/>
    <cellStyle name="Output 10" xfId="4414" xr:uid="{00000000-0005-0000-0000-00006A110000}"/>
    <cellStyle name="Output 10 2" xfId="4415" xr:uid="{00000000-0005-0000-0000-00006B110000}"/>
    <cellStyle name="Output 10 3" xfId="4416" xr:uid="{00000000-0005-0000-0000-00006C110000}"/>
    <cellStyle name="Output 11" xfId="4417" xr:uid="{00000000-0005-0000-0000-00006D110000}"/>
    <cellStyle name="Output 11 2" xfId="4418" xr:uid="{00000000-0005-0000-0000-00006E110000}"/>
    <cellStyle name="Output 11 3" xfId="4419" xr:uid="{00000000-0005-0000-0000-00006F110000}"/>
    <cellStyle name="Output 12" xfId="4420" xr:uid="{00000000-0005-0000-0000-000070110000}"/>
    <cellStyle name="Output 12 2" xfId="4421" xr:uid="{00000000-0005-0000-0000-000071110000}"/>
    <cellStyle name="Output 12 3" xfId="4422" xr:uid="{00000000-0005-0000-0000-000072110000}"/>
    <cellStyle name="Output 13" xfId="4423" xr:uid="{00000000-0005-0000-0000-000073110000}"/>
    <cellStyle name="Output 13 2" xfId="4424" xr:uid="{00000000-0005-0000-0000-000074110000}"/>
    <cellStyle name="Output 13 3" xfId="4425" xr:uid="{00000000-0005-0000-0000-000075110000}"/>
    <cellStyle name="Output 14" xfId="4426" xr:uid="{00000000-0005-0000-0000-000076110000}"/>
    <cellStyle name="Output 14 2" xfId="4427" xr:uid="{00000000-0005-0000-0000-000077110000}"/>
    <cellStyle name="Output 14 3" xfId="4428" xr:uid="{00000000-0005-0000-0000-000078110000}"/>
    <cellStyle name="Output 15" xfId="4429" xr:uid="{00000000-0005-0000-0000-000079110000}"/>
    <cellStyle name="Output 15 2" xfId="4430" xr:uid="{00000000-0005-0000-0000-00007A110000}"/>
    <cellStyle name="Output 15 3" xfId="4431" xr:uid="{00000000-0005-0000-0000-00007B110000}"/>
    <cellStyle name="Output 16" xfId="4432" xr:uid="{00000000-0005-0000-0000-00007C110000}"/>
    <cellStyle name="Output 16 2" xfId="4433" xr:uid="{00000000-0005-0000-0000-00007D110000}"/>
    <cellStyle name="Output 16 3" xfId="4434" xr:uid="{00000000-0005-0000-0000-00007E110000}"/>
    <cellStyle name="Output 17" xfId="4435" xr:uid="{00000000-0005-0000-0000-00007F110000}"/>
    <cellStyle name="Output 17 2" xfId="4436" xr:uid="{00000000-0005-0000-0000-000080110000}"/>
    <cellStyle name="Output 17 3" xfId="4437" xr:uid="{00000000-0005-0000-0000-000081110000}"/>
    <cellStyle name="Output 18" xfId="4438" xr:uid="{00000000-0005-0000-0000-000082110000}"/>
    <cellStyle name="Output 18 2" xfId="4439" xr:uid="{00000000-0005-0000-0000-000083110000}"/>
    <cellStyle name="Output 18 3" xfId="4440" xr:uid="{00000000-0005-0000-0000-000084110000}"/>
    <cellStyle name="Output 19" xfId="4441" xr:uid="{00000000-0005-0000-0000-000085110000}"/>
    <cellStyle name="Output 19 2" xfId="4442" xr:uid="{00000000-0005-0000-0000-000086110000}"/>
    <cellStyle name="Output 19 3" xfId="4443" xr:uid="{00000000-0005-0000-0000-000087110000}"/>
    <cellStyle name="Output 2" xfId="4444" xr:uid="{00000000-0005-0000-0000-000088110000}"/>
    <cellStyle name="Output 2 2" xfId="4445" xr:uid="{00000000-0005-0000-0000-000089110000}"/>
    <cellStyle name="Output 2 2 2" xfId="4446" xr:uid="{00000000-0005-0000-0000-00008A110000}"/>
    <cellStyle name="Output 2 2 3" xfId="4447" xr:uid="{00000000-0005-0000-0000-00008B110000}"/>
    <cellStyle name="Output 2 3" xfId="4448" xr:uid="{00000000-0005-0000-0000-00008C110000}"/>
    <cellStyle name="Output 2 3 2" xfId="4449" xr:uid="{00000000-0005-0000-0000-00008D110000}"/>
    <cellStyle name="Output 2 3 3" xfId="4450" xr:uid="{00000000-0005-0000-0000-00008E110000}"/>
    <cellStyle name="Output 2 4" xfId="4451" xr:uid="{00000000-0005-0000-0000-00008F110000}"/>
    <cellStyle name="Output 2 5" xfId="4452" xr:uid="{00000000-0005-0000-0000-000090110000}"/>
    <cellStyle name="Output 2_TOTAL OB COAL" xfId="4453" xr:uid="{00000000-0005-0000-0000-000091110000}"/>
    <cellStyle name="Output 20" xfId="4454" xr:uid="{00000000-0005-0000-0000-000092110000}"/>
    <cellStyle name="Output 20 2" xfId="4455" xr:uid="{00000000-0005-0000-0000-000093110000}"/>
    <cellStyle name="Output 20 3" xfId="4456" xr:uid="{00000000-0005-0000-0000-000094110000}"/>
    <cellStyle name="Output 21" xfId="4457" xr:uid="{00000000-0005-0000-0000-000095110000}"/>
    <cellStyle name="Output 21 2" xfId="4458" xr:uid="{00000000-0005-0000-0000-000096110000}"/>
    <cellStyle name="Output 21 3" xfId="4459" xr:uid="{00000000-0005-0000-0000-000097110000}"/>
    <cellStyle name="Output 22" xfId="4460" xr:uid="{00000000-0005-0000-0000-000098110000}"/>
    <cellStyle name="Output 22 2" xfId="4461" xr:uid="{00000000-0005-0000-0000-000099110000}"/>
    <cellStyle name="Output 22 3" xfId="4462" xr:uid="{00000000-0005-0000-0000-00009A110000}"/>
    <cellStyle name="Output 23" xfId="4463" xr:uid="{00000000-0005-0000-0000-00009B110000}"/>
    <cellStyle name="Output 23 2" xfId="4464" xr:uid="{00000000-0005-0000-0000-00009C110000}"/>
    <cellStyle name="Output 23 3" xfId="4465" xr:uid="{00000000-0005-0000-0000-00009D110000}"/>
    <cellStyle name="Output 24" xfId="4466" xr:uid="{00000000-0005-0000-0000-00009E110000}"/>
    <cellStyle name="Output 24 2" xfId="4467" xr:uid="{00000000-0005-0000-0000-00009F110000}"/>
    <cellStyle name="Output 24 3" xfId="4468" xr:uid="{00000000-0005-0000-0000-0000A0110000}"/>
    <cellStyle name="Output 25" xfId="4469" xr:uid="{00000000-0005-0000-0000-0000A1110000}"/>
    <cellStyle name="Output 25 2" xfId="4470" xr:uid="{00000000-0005-0000-0000-0000A2110000}"/>
    <cellStyle name="Output 25 3" xfId="4471" xr:uid="{00000000-0005-0000-0000-0000A3110000}"/>
    <cellStyle name="Output 26" xfId="4472" xr:uid="{00000000-0005-0000-0000-0000A4110000}"/>
    <cellStyle name="Output 26 2" xfId="4473" xr:uid="{00000000-0005-0000-0000-0000A5110000}"/>
    <cellStyle name="Output 26 3" xfId="4474" xr:uid="{00000000-0005-0000-0000-0000A6110000}"/>
    <cellStyle name="Output 27" xfId="4475" xr:uid="{00000000-0005-0000-0000-0000A7110000}"/>
    <cellStyle name="Output 27 2" xfId="4476" xr:uid="{00000000-0005-0000-0000-0000A8110000}"/>
    <cellStyle name="Output 27 3" xfId="4477" xr:uid="{00000000-0005-0000-0000-0000A9110000}"/>
    <cellStyle name="Output 3" xfId="4478" xr:uid="{00000000-0005-0000-0000-0000AA110000}"/>
    <cellStyle name="Output 3 2" xfId="4479" xr:uid="{00000000-0005-0000-0000-0000AB110000}"/>
    <cellStyle name="Output 3 3" xfId="4480" xr:uid="{00000000-0005-0000-0000-0000AC110000}"/>
    <cellStyle name="Output 4" xfId="4481" xr:uid="{00000000-0005-0000-0000-0000AD110000}"/>
    <cellStyle name="Output 4 2" xfId="4482" xr:uid="{00000000-0005-0000-0000-0000AE110000}"/>
    <cellStyle name="Output 4 3" xfId="4483" xr:uid="{00000000-0005-0000-0000-0000AF110000}"/>
    <cellStyle name="Output 5" xfId="4484" xr:uid="{00000000-0005-0000-0000-0000B0110000}"/>
    <cellStyle name="Output 5 2" xfId="4485" xr:uid="{00000000-0005-0000-0000-0000B1110000}"/>
    <cellStyle name="Output 5 3" xfId="4486" xr:uid="{00000000-0005-0000-0000-0000B2110000}"/>
    <cellStyle name="Output 6" xfId="4487" xr:uid="{00000000-0005-0000-0000-0000B3110000}"/>
    <cellStyle name="Output 6 2" xfId="4488" xr:uid="{00000000-0005-0000-0000-0000B4110000}"/>
    <cellStyle name="Output 6 3" xfId="4489" xr:uid="{00000000-0005-0000-0000-0000B5110000}"/>
    <cellStyle name="Output 7" xfId="4490" xr:uid="{00000000-0005-0000-0000-0000B6110000}"/>
    <cellStyle name="Output 7 2" xfId="4491" xr:uid="{00000000-0005-0000-0000-0000B7110000}"/>
    <cellStyle name="Output 7 3" xfId="4492" xr:uid="{00000000-0005-0000-0000-0000B8110000}"/>
    <cellStyle name="Output 8" xfId="4493" xr:uid="{00000000-0005-0000-0000-0000B9110000}"/>
    <cellStyle name="Output 8 2" xfId="4494" xr:uid="{00000000-0005-0000-0000-0000BA110000}"/>
    <cellStyle name="Output 8 3" xfId="4495" xr:uid="{00000000-0005-0000-0000-0000BB110000}"/>
    <cellStyle name="Output 9" xfId="4496" xr:uid="{00000000-0005-0000-0000-0000BC110000}"/>
    <cellStyle name="Output 9 2" xfId="4497" xr:uid="{00000000-0005-0000-0000-0000BD110000}"/>
    <cellStyle name="Output 9 3" xfId="4498" xr:uid="{00000000-0005-0000-0000-0000BE110000}"/>
    <cellStyle name="Output Amounts" xfId="4499" xr:uid="{00000000-0005-0000-0000-0000BF110000}"/>
    <cellStyle name="Output Line Items" xfId="4500" xr:uid="{00000000-0005-0000-0000-0000C0110000}"/>
    <cellStyle name="Output1_Back" xfId="4501" xr:uid="{00000000-0005-0000-0000-0000C1110000}"/>
    <cellStyle name="Outputs" xfId="4502" xr:uid="{00000000-0005-0000-0000-0000C2110000}"/>
    <cellStyle name="Outputs (Locked)" xfId="4503" xr:uid="{00000000-0005-0000-0000-0000C3110000}"/>
    <cellStyle name="Outputtitle" xfId="4504" xr:uid="{00000000-0005-0000-0000-0000C4110000}"/>
    <cellStyle name="OverWr0" xfId="4505" xr:uid="{00000000-0005-0000-0000-0000C5110000}"/>
    <cellStyle name="OverWrCurrency2" xfId="4506" xr:uid="{00000000-0005-0000-0000-0000C6110000}"/>
    <cellStyle name="OverWrForm" xfId="4507" xr:uid="{00000000-0005-0000-0000-0000C7110000}"/>
    <cellStyle name="overwriteformula" xfId="4508" xr:uid="{00000000-0005-0000-0000-0000C8110000}"/>
    <cellStyle name="OverWrPerc0" xfId="4509" xr:uid="{00000000-0005-0000-0000-0000C9110000}"/>
    <cellStyle name="OverWrPerc2" xfId="4510" xr:uid="{00000000-0005-0000-0000-0000CA110000}"/>
    <cellStyle name="p" xfId="4511" xr:uid="{00000000-0005-0000-0000-0000CB110000}"/>
    <cellStyle name="p_DCF" xfId="4512" xr:uid="{00000000-0005-0000-0000-0000CC110000}"/>
    <cellStyle name="p_DCF_ES061199" xfId="4513" xr:uid="{00000000-0005-0000-0000-0000CD110000}"/>
    <cellStyle name="p_DCF_FNVComps1" xfId="4514" xr:uid="{00000000-0005-0000-0000-0000CE110000}"/>
    <cellStyle name="p_DCF_hazmodel14" xfId="4515" xr:uid="{00000000-0005-0000-0000-0000CF110000}"/>
    <cellStyle name="p_DCF_HISTFIN" xfId="4516" xr:uid="{00000000-0005-0000-0000-0000D0110000}"/>
    <cellStyle name="p_DCF_JP061799" xfId="4517" xr:uid="{00000000-0005-0000-0000-0000D1110000}"/>
    <cellStyle name="p_DCF_MODEL1" xfId="4518" xr:uid="{00000000-0005-0000-0000-0000D2110000}"/>
    <cellStyle name="p_DCF_Owens 11.27.00" xfId="4519" xr:uid="{00000000-0005-0000-0000-0000D3110000}"/>
    <cellStyle name="p_DCF_SITE 5.1.02" xfId="4520" xr:uid="{00000000-0005-0000-0000-0000D4110000}"/>
    <cellStyle name="p_DCF_Tower Comps_v4" xfId="4521" xr:uid="{00000000-0005-0000-0000-0000D5110000}"/>
    <cellStyle name="p_DTV Lehman Model 6-18-07" xfId="4522" xr:uid="{00000000-0005-0000-0000-0000D6110000}"/>
    <cellStyle name="p_ES061199" xfId="4523" xr:uid="{00000000-0005-0000-0000-0000D7110000}"/>
    <cellStyle name="p_FNVComps1" xfId="4524" xr:uid="{00000000-0005-0000-0000-0000D8110000}"/>
    <cellStyle name="p_hazmodel14" xfId="4525" xr:uid="{00000000-0005-0000-0000-0000D9110000}"/>
    <cellStyle name="p_HISTFIN" xfId="4526" xr:uid="{00000000-0005-0000-0000-0000DA110000}"/>
    <cellStyle name="p_JP061799" xfId="4527" xr:uid="{00000000-0005-0000-0000-0000DB110000}"/>
    <cellStyle name="p_MODEL1" xfId="4528" xr:uid="{00000000-0005-0000-0000-0000DC110000}"/>
    <cellStyle name="p_Owens 11.27.00" xfId="4529" xr:uid="{00000000-0005-0000-0000-0000DD110000}"/>
    <cellStyle name="p_SITE 5.1.02" xfId="4530" xr:uid="{00000000-0005-0000-0000-0000DE110000}"/>
    <cellStyle name="p_Tower Comps_v4" xfId="4531" xr:uid="{00000000-0005-0000-0000-0000DF110000}"/>
    <cellStyle name="Page Heading" xfId="4532" xr:uid="{00000000-0005-0000-0000-0000E0110000}"/>
    <cellStyle name="Page Heading Large" xfId="4533" xr:uid="{00000000-0005-0000-0000-0000E1110000}"/>
    <cellStyle name="Page Heading Small" xfId="4534" xr:uid="{00000000-0005-0000-0000-0000E2110000}"/>
    <cellStyle name="Page Number" xfId="4535" xr:uid="{00000000-0005-0000-0000-0000E3110000}"/>
    <cellStyle name="page_title" xfId="4536" xr:uid="{00000000-0005-0000-0000-0000E4110000}"/>
    <cellStyle name="PageSubTitle" xfId="4537" xr:uid="{00000000-0005-0000-0000-0000E5110000}"/>
    <cellStyle name="PageTitle" xfId="4538" xr:uid="{00000000-0005-0000-0000-0000E6110000}"/>
    <cellStyle name="Parent" xfId="4539" xr:uid="{00000000-0005-0000-0000-0000E7110000}"/>
    <cellStyle name="patterns" xfId="4540" xr:uid="{00000000-0005-0000-0000-0000E8110000}"/>
    <cellStyle name="PB Table Heading" xfId="4541" xr:uid="{00000000-0005-0000-0000-0000E9110000}"/>
    <cellStyle name="PB Table Highlight1" xfId="4542" xr:uid="{00000000-0005-0000-0000-0000EA110000}"/>
    <cellStyle name="PB Table Highlight2" xfId="4543" xr:uid="{00000000-0005-0000-0000-0000EB110000}"/>
    <cellStyle name="PB Table Highlight3" xfId="4544" xr:uid="{00000000-0005-0000-0000-0000EC110000}"/>
    <cellStyle name="PB Table Standard Row" xfId="4545" xr:uid="{00000000-0005-0000-0000-0000ED110000}"/>
    <cellStyle name="PB Table Subtotal Row" xfId="4546" xr:uid="{00000000-0005-0000-0000-0000EE110000}"/>
    <cellStyle name="PB Table Total Row" xfId="4547" xr:uid="{00000000-0005-0000-0000-0000EF110000}"/>
    <cellStyle name="pc1" xfId="4548" xr:uid="{00000000-0005-0000-0000-0000F0110000}"/>
    <cellStyle name="Pence" xfId="4549" xr:uid="{00000000-0005-0000-0000-0000F1110000}"/>
    <cellStyle name="PER" xfId="4550" xr:uid="{00000000-0005-0000-0000-0000F2110000}"/>
    <cellStyle name="Per cent" xfId="1" builtinId="5"/>
    <cellStyle name="per.style" xfId="4551" xr:uid="{00000000-0005-0000-0000-0000F3110000}"/>
    <cellStyle name="Perc1" xfId="4552" xr:uid="{00000000-0005-0000-0000-0000F4110000}"/>
    <cellStyle name="Percen - Style1" xfId="4553" xr:uid="{00000000-0005-0000-0000-0000F5110000}"/>
    <cellStyle name="Percen - Style3" xfId="4554" xr:uid="{00000000-0005-0000-0000-0000F6110000}"/>
    <cellStyle name="Percent (1)" xfId="4555" xr:uid="{00000000-0005-0000-0000-0000F8110000}"/>
    <cellStyle name="Percent [0]" xfId="4556" xr:uid="{00000000-0005-0000-0000-0000F9110000}"/>
    <cellStyle name="Percent [0] 2" xfId="4557" xr:uid="{00000000-0005-0000-0000-0000FA110000}"/>
    <cellStyle name="Percent [00]" xfId="4558" xr:uid="{00000000-0005-0000-0000-0000FB110000}"/>
    <cellStyle name="Percent [1]" xfId="4559" xr:uid="{00000000-0005-0000-0000-0000FC110000}"/>
    <cellStyle name="Percent [2]" xfId="4560" xr:uid="{00000000-0005-0000-0000-0000FD110000}"/>
    <cellStyle name="Percent [2] 2" xfId="4561" xr:uid="{00000000-0005-0000-0000-0000FE110000}"/>
    <cellStyle name="Percent [3]" xfId="4562" xr:uid="{00000000-0005-0000-0000-0000FF110000}"/>
    <cellStyle name="Percent 10" xfId="4563" xr:uid="{00000000-0005-0000-0000-000000120000}"/>
    <cellStyle name="Percent 11" xfId="5253" xr:uid="{00000000-0005-0000-0000-000001120000}"/>
    <cellStyle name="Percent 12" xfId="5258" xr:uid="{00000000-0005-0000-0000-000002120000}"/>
    <cellStyle name="Percent 13" xfId="5271" xr:uid="{00000000-0005-0000-0000-000003120000}"/>
    <cellStyle name="Percent 14" xfId="5275" xr:uid="{00000000-0005-0000-0000-000004120000}"/>
    <cellStyle name="Percent 15" xfId="5282" xr:uid="{00000000-0005-0000-0000-000005120000}"/>
    <cellStyle name="Percent 16" xfId="5291" xr:uid="{00000000-0005-0000-0000-000006120000}"/>
    <cellStyle name="Percent 16 2" xfId="5304" xr:uid="{639CCBF7-4591-492D-B30E-314015624329}"/>
    <cellStyle name="Percent 16 2 2" xfId="5341" xr:uid="{E4E620BF-55A7-466E-A051-9CC018FAB5A0}"/>
    <cellStyle name="Percent 16 3" xfId="5310" xr:uid="{24658DA6-0094-474B-921D-B0FEF5C804D3}"/>
    <cellStyle name="Percent 16 4" xfId="5314" xr:uid="{F27B71E2-4C23-4F48-A233-62D87873FF2C}"/>
    <cellStyle name="Percent 17" xfId="5297" xr:uid="{6B40D0DB-41B3-426B-9FC4-CEC01D51096C}"/>
    <cellStyle name="Percent 1d" xfId="4564" xr:uid="{00000000-0005-0000-0000-000007120000}"/>
    <cellStyle name="Percent 1D Blue" xfId="4565" xr:uid="{00000000-0005-0000-0000-000008120000}"/>
    <cellStyle name="Percent 1D Blue 8P" xfId="4566" xr:uid="{00000000-0005-0000-0000-000009120000}"/>
    <cellStyle name="Percent 1D Green" xfId="4567" xr:uid="{00000000-0005-0000-0000-00000A120000}"/>
    <cellStyle name="Percent 1D_DTV Lehman Model 6-18-07" xfId="4568" xr:uid="{00000000-0005-0000-0000-00000B120000}"/>
    <cellStyle name="Percent 2" xfId="5" xr:uid="{00000000-0005-0000-0000-00000C120000}"/>
    <cellStyle name="Percent 2 2" xfId="4569" xr:uid="{00000000-0005-0000-0000-00000D120000}"/>
    <cellStyle name="Percent 2 3" xfId="4570" xr:uid="{00000000-0005-0000-0000-00000E120000}"/>
    <cellStyle name="Percent 2 3 2" xfId="4571" xr:uid="{00000000-0005-0000-0000-00000F120000}"/>
    <cellStyle name="Percent 2 3 2 2" xfId="4572" xr:uid="{00000000-0005-0000-0000-000010120000}"/>
    <cellStyle name="Percent 2 3 3" xfId="4573" xr:uid="{00000000-0005-0000-0000-000011120000}"/>
    <cellStyle name="Percent 2 4" xfId="4574" xr:uid="{00000000-0005-0000-0000-000012120000}"/>
    <cellStyle name="Percent 2 4 2" xfId="4575" xr:uid="{00000000-0005-0000-0000-000013120000}"/>
    <cellStyle name="Percent 2 5" xfId="4576" xr:uid="{00000000-0005-0000-0000-000014120000}"/>
    <cellStyle name="Percent 2 6" xfId="4577" xr:uid="{00000000-0005-0000-0000-000015120000}"/>
    <cellStyle name="Percent 2 7" xfId="5283" xr:uid="{00000000-0005-0000-0000-000016120000}"/>
    <cellStyle name="Percent 2D Black" xfId="4578" xr:uid="{00000000-0005-0000-0000-000017120000}"/>
    <cellStyle name="Percent 2D Black Bold" xfId="4579" xr:uid="{00000000-0005-0000-0000-000018120000}"/>
    <cellStyle name="Percent 2D Blue" xfId="4580" xr:uid="{00000000-0005-0000-0000-000019120000}"/>
    <cellStyle name="Percent 3" xfId="10" xr:uid="{00000000-0005-0000-0000-00001A120000}"/>
    <cellStyle name="Percent 3 2" xfId="5249" xr:uid="{00000000-0005-0000-0000-00001B120000}"/>
    <cellStyle name="Percent 3 3" xfId="5262" xr:uid="{00000000-0005-0000-0000-00001C120000}"/>
    <cellStyle name="Percent 3D Black" xfId="4581" xr:uid="{00000000-0005-0000-0000-00001D120000}"/>
    <cellStyle name="Percent 3D Blue" xfId="4582" xr:uid="{00000000-0005-0000-0000-00001E120000}"/>
    <cellStyle name="Percent 4" xfId="4583" xr:uid="{00000000-0005-0000-0000-00001F120000}"/>
    <cellStyle name="Percent 4 2" xfId="4584" xr:uid="{00000000-0005-0000-0000-000020120000}"/>
    <cellStyle name="Percent 4 3" xfId="4585" xr:uid="{00000000-0005-0000-0000-000021120000}"/>
    <cellStyle name="Percent 4D Blue" xfId="4586" xr:uid="{00000000-0005-0000-0000-000022120000}"/>
    <cellStyle name="Percent 5" xfId="4587" xr:uid="{00000000-0005-0000-0000-000023120000}"/>
    <cellStyle name="Percent 5 2" xfId="4588" xr:uid="{00000000-0005-0000-0000-000024120000}"/>
    <cellStyle name="Percent 5 2 2" xfId="4589" xr:uid="{00000000-0005-0000-0000-000025120000}"/>
    <cellStyle name="Percent 5 3" xfId="4590" xr:uid="{00000000-0005-0000-0000-000026120000}"/>
    <cellStyle name="Percent 6" xfId="4591" xr:uid="{00000000-0005-0000-0000-000027120000}"/>
    <cellStyle name="Percent 7" xfId="4592" xr:uid="{00000000-0005-0000-0000-000028120000}"/>
    <cellStyle name="Percent 8" xfId="4593" xr:uid="{00000000-0005-0000-0000-000029120000}"/>
    <cellStyle name="Percent 8 2" xfId="4594" xr:uid="{00000000-0005-0000-0000-00002A120000}"/>
    <cellStyle name="Percent 8 2 2" xfId="4595" xr:uid="{00000000-0005-0000-0000-00002B120000}"/>
    <cellStyle name="Percent 8 3" xfId="4596" xr:uid="{00000000-0005-0000-0000-00002C120000}"/>
    <cellStyle name="Percent 9" xfId="4597" xr:uid="{00000000-0005-0000-0000-00002D120000}"/>
    <cellStyle name="Percent 9 2" xfId="4598" xr:uid="{00000000-0005-0000-0000-00002E120000}"/>
    <cellStyle name="percent har" xfId="4599" xr:uid="{00000000-0005-0000-0000-00002F120000}"/>
    <cellStyle name="Percent Hard" xfId="4600" xr:uid="{00000000-0005-0000-0000-000030120000}"/>
    <cellStyle name="Percent Input" xfId="4601" xr:uid="{00000000-0005-0000-0000-000031120000}"/>
    <cellStyle name="Percent(1)" xfId="4602" xr:uid="{00000000-0005-0000-0000-000032120000}"/>
    <cellStyle name="Percent[0]" xfId="4604" xr:uid="{00000000-0005-0000-0000-000034120000}"/>
    <cellStyle name="Percent[1]" xfId="4605" xr:uid="{00000000-0005-0000-0000-000035120000}"/>
    <cellStyle name="Percent[2]" xfId="4606" xr:uid="{00000000-0005-0000-0000-000036120000}"/>
    <cellStyle name="Percent[3]" xfId="4607" xr:uid="{00000000-0005-0000-0000-000037120000}"/>
    <cellStyle name="Percent*" xfId="4603" xr:uid="{00000000-0005-0000-0000-000033120000}"/>
    <cellStyle name="Percent0" xfId="4608" xr:uid="{00000000-0005-0000-0000-000038120000}"/>
    <cellStyle name="Percent1" xfId="4609" xr:uid="{00000000-0005-0000-0000-000039120000}"/>
    <cellStyle name="Percent1Blue" xfId="4610" xr:uid="{00000000-0005-0000-0000-00003A120000}"/>
    <cellStyle name="Percent2" xfId="4611" xr:uid="{00000000-0005-0000-0000-00003B120000}"/>
    <cellStyle name="Percent2Blue" xfId="4612" xr:uid="{00000000-0005-0000-0000-00003C120000}"/>
    <cellStyle name="percentage" xfId="4613" xr:uid="{00000000-0005-0000-0000-00003D120000}"/>
    <cellStyle name="PercentERR" xfId="4614" xr:uid="{00000000-0005-0000-0000-00003E120000}"/>
    <cellStyle name="PercentSales" xfId="4615" xr:uid="{00000000-0005-0000-0000-00003F120000}"/>
    <cellStyle name="perecent" xfId="4616" xr:uid="{00000000-0005-0000-0000-000040120000}"/>
    <cellStyle name="Perlong" xfId="4617" xr:uid="{00000000-0005-0000-0000-000041120000}"/>
    <cellStyle name="PETable[1]" xfId="4618" xr:uid="{00000000-0005-0000-0000-000042120000}"/>
    <cellStyle name="Pound" xfId="4619" xr:uid="{00000000-0005-0000-0000-000043120000}"/>
    <cellStyle name="Pounds" xfId="4620" xr:uid="{00000000-0005-0000-0000-000044120000}"/>
    <cellStyle name="Pounds1" xfId="4621" xr:uid="{00000000-0005-0000-0000-000045120000}"/>
    <cellStyle name="ppt" xfId="4622" xr:uid="{00000000-0005-0000-0000-000046120000}"/>
    <cellStyle name="ppt[1]" xfId="4623" xr:uid="{00000000-0005-0000-0000-000047120000}"/>
    <cellStyle name="PrePop Currency (0)" xfId="4624" xr:uid="{00000000-0005-0000-0000-000049120000}"/>
    <cellStyle name="PrePop Currency (0) 2" xfId="4625" xr:uid="{00000000-0005-0000-0000-00004A120000}"/>
    <cellStyle name="PrePop Currency (2)" xfId="4626" xr:uid="{00000000-0005-0000-0000-00004B120000}"/>
    <cellStyle name="PrePop Currency (2) 2" xfId="4627" xr:uid="{00000000-0005-0000-0000-00004C120000}"/>
    <cellStyle name="PrePop Units (0)" xfId="4628" xr:uid="{00000000-0005-0000-0000-00004D120000}"/>
    <cellStyle name="PrePop Units (0) 2" xfId="4629" xr:uid="{00000000-0005-0000-0000-00004E120000}"/>
    <cellStyle name="PrePop Units (1)" xfId="4630" xr:uid="{00000000-0005-0000-0000-00004F120000}"/>
    <cellStyle name="PrePop Units (1) 2" xfId="4631" xr:uid="{00000000-0005-0000-0000-000050120000}"/>
    <cellStyle name="PrePop Units (2)" xfId="4632" xr:uid="{00000000-0005-0000-0000-000051120000}"/>
    <cellStyle name="PrePop Units (2) 2" xfId="4633" xr:uid="{00000000-0005-0000-0000-000052120000}"/>
    <cellStyle name="Price" xfId="4634" xr:uid="{00000000-0005-0000-0000-000053120000}"/>
    <cellStyle name="PriceUn" xfId="4635" xr:uid="{00000000-0005-0000-0000-000054120000}"/>
    <cellStyle name="prin" xfId="4636" xr:uid="{00000000-0005-0000-0000-000055120000}"/>
    <cellStyle name="Private" xfId="4637" xr:uid="{00000000-0005-0000-0000-000056120000}"/>
    <cellStyle name="Private1" xfId="4638" xr:uid="{00000000-0005-0000-0000-000057120000}"/>
    <cellStyle name="ProjectionInput" xfId="4639" xr:uid="{00000000-0005-0000-0000-000058120000}"/>
    <cellStyle name="Protected" xfId="4640" xr:uid="{00000000-0005-0000-0000-000059120000}"/>
    <cellStyle name="Provisional" xfId="4641" xr:uid="{00000000-0005-0000-0000-00005A120000}"/>
    <cellStyle name="Prozent_Lehman-Tool" xfId="4642" xr:uid="{00000000-0005-0000-0000-00005B120000}"/>
    <cellStyle name="PS_Deptls" xfId="4643" xr:uid="{00000000-0005-0000-0000-00005C120000}"/>
    <cellStyle name="PSChar" xfId="4644" xr:uid="{00000000-0005-0000-0000-00005D120000}"/>
    <cellStyle name="PSDate" xfId="4645" xr:uid="{00000000-0005-0000-0000-00005E120000}"/>
    <cellStyle name="PSDec" xfId="4646" xr:uid="{00000000-0005-0000-0000-00005F120000}"/>
    <cellStyle name="PSHeading" xfId="4647" xr:uid="{00000000-0005-0000-0000-000060120000}"/>
    <cellStyle name="PSInt" xfId="4648" xr:uid="{00000000-0005-0000-0000-000061120000}"/>
    <cellStyle name="PSSpacer" xfId="4649" xr:uid="{00000000-0005-0000-0000-000062120000}"/>
    <cellStyle name="pt" xfId="4650" xr:uid="{00000000-0005-0000-0000-000063120000}"/>
    <cellStyle name="Pub percent" xfId="4651" xr:uid="{00000000-0005-0000-0000-000064120000}"/>
    <cellStyle name="r" xfId="4652" xr:uid="{00000000-0005-0000-0000-000065120000}"/>
    <cellStyle name="r_Accretion " xfId="4653" xr:uid="{00000000-0005-0000-0000-000066120000}"/>
    <cellStyle name="r_Accretion Dilution Model v6" xfId="4654" xr:uid="{00000000-0005-0000-0000-000067120000}"/>
    <cellStyle name="r_Accretion Dilution Model vFinal" xfId="4655" xr:uid="{00000000-0005-0000-0000-000068120000}"/>
    <cellStyle name="r_Accretion Model" xfId="4656" xr:uid="{00000000-0005-0000-0000-000069120000}"/>
    <cellStyle name="r_C-ANALYSIS" xfId="4657" xr:uid="{00000000-0005-0000-0000-00006A120000}"/>
    <cellStyle name="r_CDP Model JAK Update" xfId="4658" xr:uid="{00000000-0005-0000-0000-00006B120000}"/>
    <cellStyle name="r_Mindtree Financial Model vCurrent" xfId="4659" xr:uid="{00000000-0005-0000-0000-00006C120000}"/>
    <cellStyle name="r_navajo1" xfId="4660" xr:uid="{00000000-0005-0000-0000-00006D120000}"/>
    <cellStyle name="r_PROFORMA" xfId="4661" xr:uid="{00000000-0005-0000-0000-00006E120000}"/>
    <cellStyle name="r_Tower Comps_v4" xfId="4662" xr:uid="{00000000-0005-0000-0000-00006F120000}"/>
    <cellStyle name="Ratios[1]" xfId="4663" xr:uid="{00000000-0005-0000-0000-000070120000}"/>
    <cellStyle name="Red" xfId="4664" xr:uid="{00000000-0005-0000-0000-000071120000}"/>
    <cellStyle name="Red font" xfId="4665" xr:uid="{00000000-0005-0000-0000-000072120000}"/>
    <cellStyle name="Reference" xfId="4666" xr:uid="{00000000-0005-0000-0000-000073120000}"/>
    <cellStyle name="Reference (O%)" xfId="4667" xr:uid="{00000000-0005-0000-0000-000074120000}"/>
    <cellStyle name="regstoresfromspecstores" xfId="4668" xr:uid="{00000000-0005-0000-0000-000075120000}"/>
    <cellStyle name="Reset  - Style4" xfId="4669" xr:uid="{00000000-0005-0000-0000-000076120000}"/>
    <cellStyle name="Reset  - Style7" xfId="4670" xr:uid="{00000000-0005-0000-0000-000077120000}"/>
    <cellStyle name="Reset range style to defaults" xfId="4671" xr:uid="{00000000-0005-0000-0000-000078120000}"/>
    <cellStyle name="RevList" xfId="4672" xr:uid="{00000000-0005-0000-0000-000079120000}"/>
    <cellStyle name="Right" xfId="4673" xr:uid="{00000000-0005-0000-0000-00007A120000}"/>
    <cellStyle name="Rmess" xfId="4674" xr:uid="{00000000-0005-0000-0000-00007B120000}"/>
    <cellStyle name="Rnumber" xfId="4675" xr:uid="{00000000-0005-0000-0000-00007C120000}"/>
    <cellStyle name="Rnumber 0d" xfId="4676" xr:uid="{00000000-0005-0000-0000-00007D120000}"/>
    <cellStyle name="Rnumber_JT_DCF" xfId="4677" xr:uid="{00000000-0005-0000-0000-00007E120000}"/>
    <cellStyle name="Rnumber3" xfId="4678" xr:uid="{00000000-0005-0000-0000-00007F120000}"/>
    <cellStyle name="Row Ignore" xfId="4679" xr:uid="{00000000-0005-0000-0000-000080120000}"/>
    <cellStyle name="Row Sub Total" xfId="4680" xr:uid="{00000000-0005-0000-0000-000081120000}"/>
    <cellStyle name="Row Title 1" xfId="4681" xr:uid="{00000000-0005-0000-0000-000082120000}"/>
    <cellStyle name="Row Title 2" xfId="4682" xr:uid="{00000000-0005-0000-0000-000083120000}"/>
    <cellStyle name="Row Title 3" xfId="4683" xr:uid="{00000000-0005-0000-0000-000084120000}"/>
    <cellStyle name="Row Total" xfId="4684" xr:uid="{00000000-0005-0000-0000-000085120000}"/>
    <cellStyle name="s" xfId="4685" xr:uid="{00000000-0005-0000-0000-000086120000}"/>
    <cellStyle name="s_DCFLBO1" xfId="4687" xr:uid="{00000000-0005-0000-0000-000088120000}"/>
    <cellStyle name="s_DCFLBO1_1" xfId="4688" xr:uid="{00000000-0005-0000-0000-000089120000}"/>
    <cellStyle name="s_GILT Model (MP) vCurr4 (NewCapStr) (2)" xfId="4689" xr:uid="{00000000-0005-0000-0000-00008A120000}"/>
    <cellStyle name="s_HCL - Excel Backup" xfId="4690" xr:uid="{00000000-0005-0000-0000-00008B120000}"/>
    <cellStyle name="s_HCL Excel" xfId="4691" xr:uid="{00000000-0005-0000-0000-00008C120000}"/>
    <cellStyle name="s_Standard WACC Template" xfId="4692" xr:uid="{00000000-0005-0000-0000-00008D120000}"/>
    <cellStyle name="s_Tower Comps_v4" xfId="4693" xr:uid="{00000000-0005-0000-0000-00008E120000}"/>
    <cellStyle name="s]_x000d__x000a_spooler=yes_x000d__x000a_run=_x000d__x000a_Beep=yes_x000d__x000a_NullPort=None_x000d__x000a_BorderWidth=3_x000d__x000a_CursorBlinkRate=530_x000d__x000a_DoubleClickSpeed=452_x000d__x000a_Programs=com " xfId="4686" xr:uid="{00000000-0005-0000-0000-000087120000}"/>
    <cellStyle name="Salomon Logo" xfId="4694" xr:uid="{00000000-0005-0000-0000-00008F120000}"/>
    <cellStyle name="SAV" xfId="4695" xr:uid="{00000000-0005-0000-0000-000090120000}"/>
    <cellStyle name="SAVE" xfId="4696" xr:uid="{00000000-0005-0000-0000-000091120000}"/>
    <cellStyle name="sbt2" xfId="4697" xr:uid="{00000000-0005-0000-0000-000092120000}"/>
    <cellStyle name="scenario" xfId="4698" xr:uid="{00000000-0005-0000-0000-000093120000}"/>
    <cellStyle name="ScotchRule" xfId="4699" xr:uid="{00000000-0005-0000-0000-000094120000}"/>
    <cellStyle name="Separador de milhares [0]_Proyección de ingresos" xfId="4700" xr:uid="{00000000-0005-0000-0000-000095120000}"/>
    <cellStyle name="Separador de milhares_Proyección de ingresos" xfId="4701" xr:uid="{00000000-0005-0000-0000-000096120000}"/>
    <cellStyle name="Shade" xfId="4702" xr:uid="{00000000-0005-0000-0000-000097120000}"/>
    <cellStyle name="Shaded" xfId="4703" xr:uid="{00000000-0005-0000-0000-000098120000}"/>
    <cellStyle name="SHADEDSTORES" xfId="4704" xr:uid="{00000000-0005-0000-0000-000099120000}"/>
    <cellStyle name="Shares" xfId="4705" xr:uid="{00000000-0005-0000-0000-00009A120000}"/>
    <cellStyle name="sharesout" xfId="4706" xr:uid="{00000000-0005-0000-0000-00009B120000}"/>
    <cellStyle name="Sheetmult" xfId="4707" xr:uid="{00000000-0005-0000-0000-00009C120000}"/>
    <cellStyle name="ShOut" xfId="4708" xr:uid="{00000000-0005-0000-0000-00009D120000}"/>
    <cellStyle name="Shtmultx" xfId="4709" xr:uid="{00000000-0005-0000-0000-00009E120000}"/>
    <cellStyle name="Single Accounting" xfId="4710" xr:uid="{00000000-0005-0000-0000-00009F120000}"/>
    <cellStyle name="Small Headings" xfId="4711" xr:uid="{00000000-0005-0000-0000-0000A0120000}"/>
    <cellStyle name="SMGC_Calculat" xfId="4712" xr:uid="{00000000-0005-0000-0000-0000A1120000}"/>
    <cellStyle name="Source" xfId="4713" xr:uid="{00000000-0005-0000-0000-0000A2120000}"/>
    <cellStyle name="specstores" xfId="4714" xr:uid="{00000000-0005-0000-0000-0000A3120000}"/>
    <cellStyle name="SPOl" xfId="4715" xr:uid="{00000000-0005-0000-0000-0000A4120000}"/>
    <cellStyle name="SS Col Hdr" xfId="4716" xr:uid="{00000000-0005-0000-0000-0000A5120000}"/>
    <cellStyle name="SS Dim 1 Blank" xfId="4717" xr:uid="{00000000-0005-0000-0000-0000A6120000}"/>
    <cellStyle name="SS Dim 1 Title" xfId="4718" xr:uid="{00000000-0005-0000-0000-0000A7120000}"/>
    <cellStyle name="SS Dim 1 Value" xfId="4719" xr:uid="{00000000-0005-0000-0000-0000A8120000}"/>
    <cellStyle name="SS Dim 2 Blank" xfId="4720" xr:uid="{00000000-0005-0000-0000-0000A9120000}"/>
    <cellStyle name="SS Dim 2 Title" xfId="4721" xr:uid="{00000000-0005-0000-0000-0000AA120000}"/>
    <cellStyle name="SS Dim 2 Value" xfId="4722" xr:uid="{00000000-0005-0000-0000-0000AB120000}"/>
    <cellStyle name="SS Dim 3 Blank" xfId="4723" xr:uid="{00000000-0005-0000-0000-0000AC120000}"/>
    <cellStyle name="SS Dim 3 Title" xfId="4724" xr:uid="{00000000-0005-0000-0000-0000AD120000}"/>
    <cellStyle name="SS Dim 3 Value" xfId="4725" xr:uid="{00000000-0005-0000-0000-0000AE120000}"/>
    <cellStyle name="SS Dim 4 Blank" xfId="4726" xr:uid="{00000000-0005-0000-0000-0000AF120000}"/>
    <cellStyle name="SS Dim 4 Title" xfId="4727" xr:uid="{00000000-0005-0000-0000-0000B0120000}"/>
    <cellStyle name="SS Dim 4 Value" xfId="4728" xr:uid="{00000000-0005-0000-0000-0000B1120000}"/>
    <cellStyle name="SS Dim 5 Blank" xfId="4729" xr:uid="{00000000-0005-0000-0000-0000B2120000}"/>
    <cellStyle name="SS Dim 5 Title" xfId="4730" xr:uid="{00000000-0005-0000-0000-0000B3120000}"/>
    <cellStyle name="SS Dim 5 Value" xfId="4731" xr:uid="{00000000-0005-0000-0000-0000B4120000}"/>
    <cellStyle name="SS Other Measure" xfId="4732" xr:uid="{00000000-0005-0000-0000-0000B5120000}"/>
    <cellStyle name="SS Sum Measure" xfId="4733" xr:uid="{00000000-0005-0000-0000-0000B6120000}"/>
    <cellStyle name="SS Unbound Dim" xfId="4734" xr:uid="{00000000-0005-0000-0000-0000B7120000}"/>
    <cellStyle name="SS WAvg Measure" xfId="4735" xr:uid="{00000000-0005-0000-0000-0000B8120000}"/>
    <cellStyle name="ssp " xfId="4736" xr:uid="{00000000-0005-0000-0000-0000B9120000}"/>
    <cellStyle name="Standaard_laroux" xfId="4737" xr:uid="{00000000-0005-0000-0000-0000BA120000}"/>
    <cellStyle name="Standard_2. Balance Sheet Telekom" xfId="4738" xr:uid="{00000000-0005-0000-0000-0000BB120000}"/>
    <cellStyle name="Std Currency" xfId="4739" xr:uid="{00000000-0005-0000-0000-0000BC120000}"/>
    <cellStyle name="Std Input" xfId="4740" xr:uid="{00000000-0005-0000-0000-0000BD120000}"/>
    <cellStyle name="Std Number" xfId="4741" xr:uid="{00000000-0005-0000-0000-0000BE120000}"/>
    <cellStyle name="Std Percent" xfId="4742" xr:uid="{00000000-0005-0000-0000-0000BF120000}"/>
    <cellStyle name="Std Text" xfId="4743" xr:uid="{00000000-0005-0000-0000-0000C0120000}"/>
    <cellStyle name="StdComma(0)" xfId="4744" xr:uid="{00000000-0005-0000-0000-0000C1120000}"/>
    <cellStyle name="Stock Price" xfId="4745" xr:uid="{00000000-0005-0000-0000-0000C2120000}"/>
    <cellStyle name="Strange" xfId="4746" xr:uid="{00000000-0005-0000-0000-0000C3120000}"/>
    <cellStyle name="STYL1 - Style1" xfId="4747" xr:uid="{00000000-0005-0000-0000-0000C4120000}"/>
    <cellStyle name="Style 1" xfId="4748" xr:uid="{00000000-0005-0000-0000-0000C5120000}"/>
    <cellStyle name="Style 2" xfId="4749" xr:uid="{00000000-0005-0000-0000-0000C6120000}"/>
    <cellStyle name="Sub-Heading" xfId="4753" xr:uid="{00000000-0005-0000-0000-0000CA120000}"/>
    <cellStyle name="Subhead" xfId="4750" xr:uid="{00000000-0005-0000-0000-0000C7120000}"/>
    <cellStyle name="Subheader" xfId="4751" xr:uid="{00000000-0005-0000-0000-0000C8120000}"/>
    <cellStyle name="Subheader 2" xfId="4752" xr:uid="{00000000-0005-0000-0000-0000C9120000}"/>
    <cellStyle name="SubHeading 1" xfId="4754" xr:uid="{00000000-0005-0000-0000-0000CB120000}"/>
    <cellStyle name="SubHeading 2" xfId="4755" xr:uid="{00000000-0005-0000-0000-0000CC120000}"/>
    <cellStyle name="SubHeading1" xfId="4756" xr:uid="{00000000-0005-0000-0000-0000CD120000}"/>
    <cellStyle name="Subscribers" xfId="4757" xr:uid="{00000000-0005-0000-0000-0000CE120000}"/>
    <cellStyle name="subt1" xfId="4758" xr:uid="{00000000-0005-0000-0000-0000CF120000}"/>
    <cellStyle name="Subtitle" xfId="4759" xr:uid="{00000000-0005-0000-0000-0000D0120000}"/>
    <cellStyle name="Subtotal" xfId="4760" xr:uid="{00000000-0005-0000-0000-0000D1120000}"/>
    <cellStyle name="SubTotalRow" xfId="4761" xr:uid="{00000000-0005-0000-0000-0000D2120000}"/>
    <cellStyle name="Sum" xfId="4762" xr:uid="{00000000-0005-0000-0000-0000D3120000}"/>
    <cellStyle name="Summary" xfId="4763" xr:uid="{00000000-0005-0000-0000-0000D4120000}"/>
    <cellStyle name="summary info only" xfId="4764" xr:uid="{00000000-0005-0000-0000-0000D5120000}"/>
    <cellStyle name="Summe" xfId="4765" xr:uid="{00000000-0005-0000-0000-0000D6120000}"/>
    <cellStyle name="SymbolBlue" xfId="4766" xr:uid="{00000000-0005-0000-0000-0000D7120000}"/>
    <cellStyle name="t" xfId="4767" xr:uid="{00000000-0005-0000-0000-0000D8120000}"/>
    <cellStyle name="t_Accretion Dilution Model v6" xfId="4768" xr:uid="{00000000-0005-0000-0000-0000D9120000}"/>
    <cellStyle name="t_Accretion Dilution Model vFinal" xfId="4769" xr:uid="{00000000-0005-0000-0000-0000DA120000}"/>
    <cellStyle name="t_CDP Model JAK Update" xfId="4770" xr:uid="{00000000-0005-0000-0000-0000DB120000}"/>
    <cellStyle name="t_CHARTERHOUSE OPERATING MODEL- Revised July 25" xfId="4771" xr:uid="{00000000-0005-0000-0000-0000DC120000}"/>
    <cellStyle name="t_CHARTERHOUSE OPERATING MODEL- Revised July 25_Mindtree Financial Model vCurrent" xfId="4772" xr:uid="{00000000-0005-0000-0000-0000DD120000}"/>
    <cellStyle name="t_HCL - Excel Backup" xfId="4773" xr:uid="{00000000-0005-0000-0000-0000DE120000}"/>
    <cellStyle name="t_HCL Excel" xfId="4774" xr:uid="{00000000-0005-0000-0000-0000DF120000}"/>
    <cellStyle name="t_Laurel" xfId="4775" xr:uid="{00000000-0005-0000-0000-0000E0120000}"/>
    <cellStyle name="t_Laurel_Mindtree Financial Model vCurrent" xfId="4776" xr:uid="{00000000-0005-0000-0000-0000E1120000}"/>
    <cellStyle name="t_Laurel_Refi_027" xfId="4777" xr:uid="{00000000-0005-0000-0000-0000E2120000}"/>
    <cellStyle name="t_Laurel_Refi_027_Mindtree Financial Model vCurrent" xfId="4778" xr:uid="{00000000-0005-0000-0000-0000E3120000}"/>
    <cellStyle name="t_LEHMAN CHARTERHOUSE MODEL_27" xfId="4779" xr:uid="{00000000-0005-0000-0000-0000E4120000}"/>
    <cellStyle name="t_LEHMAN CHARTERHOUSE MODEL_27_Mindtree Financial Model vCurrent" xfId="4780" xr:uid="{00000000-0005-0000-0000-0000E5120000}"/>
    <cellStyle name="t_model for lehman 19jul02" xfId="4781" xr:uid="{00000000-0005-0000-0000-0000E6120000}"/>
    <cellStyle name="t_model for lehman 19jul02_Mindtree Financial Model vCurrent" xfId="4782" xr:uid="{00000000-0005-0000-0000-0000E7120000}"/>
    <cellStyle name="t_Revised Downside Case 25 July" xfId="4783" xr:uid="{00000000-0005-0000-0000-0000E8120000}"/>
    <cellStyle name="t_Revised Downside Case 25 July_Mindtree Financial Model vCurrent" xfId="4784" xr:uid="{00000000-0005-0000-0000-0000E9120000}"/>
    <cellStyle name="t_Standard WACC Template" xfId="4785" xr:uid="{00000000-0005-0000-0000-0000EA120000}"/>
    <cellStyle name="t_Valuation" xfId="4786" xr:uid="{00000000-0005-0000-0000-0000EB120000}"/>
    <cellStyle name="t_Valuation_Mindtree Financial Model vCurrent" xfId="4787" xr:uid="{00000000-0005-0000-0000-0000EC120000}"/>
    <cellStyle name="t_Viterra LBO model - Dec02 - v20" xfId="4788" xr:uid="{00000000-0005-0000-0000-0000ED120000}"/>
    <cellStyle name="t_Viterra LBO model - Dec02 - v20_Mindtree Financial Model vCurrent" xfId="4789" xr:uid="{00000000-0005-0000-0000-0000EE120000}"/>
    <cellStyle name="table" xfId="4790" xr:uid="{00000000-0005-0000-0000-0000EF120000}"/>
    <cellStyle name="Table  - Style5" xfId="4791" xr:uid="{00000000-0005-0000-0000-0000F0120000}"/>
    <cellStyle name="Table  - Style6" xfId="4792" xr:uid="{00000000-0005-0000-0000-0000F1120000}"/>
    <cellStyle name="Table Col Head" xfId="4793" xr:uid="{00000000-0005-0000-0000-0000F2120000}"/>
    <cellStyle name="table column heading" xfId="4794" xr:uid="{00000000-0005-0000-0000-0000F3120000}"/>
    <cellStyle name="Table Head" xfId="4795" xr:uid="{00000000-0005-0000-0000-0000F4120000}"/>
    <cellStyle name="Table Head Aligned" xfId="4796" xr:uid="{00000000-0005-0000-0000-0000F5120000}"/>
    <cellStyle name="Table Head Blue" xfId="4797" xr:uid="{00000000-0005-0000-0000-0000F6120000}"/>
    <cellStyle name="Table Head Green" xfId="4798" xr:uid="{00000000-0005-0000-0000-0000F7120000}"/>
    <cellStyle name="Table Head_1g conso3" xfId="4799" xr:uid="{00000000-0005-0000-0000-0000F8120000}"/>
    <cellStyle name="Table Source" xfId="4800" xr:uid="{00000000-0005-0000-0000-0000F9120000}"/>
    <cellStyle name="Table Sub Head" xfId="4801" xr:uid="{00000000-0005-0000-0000-0000FA120000}"/>
    <cellStyle name="Table Text" xfId="4802" xr:uid="{00000000-0005-0000-0000-0000FB120000}"/>
    <cellStyle name="Table Title" xfId="4803" xr:uid="{00000000-0005-0000-0000-0000FC120000}"/>
    <cellStyle name="Table Units" xfId="4804" xr:uid="{00000000-0005-0000-0000-0000FD120000}"/>
    <cellStyle name="Table_Header" xfId="4805" xr:uid="{00000000-0005-0000-0000-0000FE120000}"/>
    <cellStyle name="TableBase" xfId="4806" xr:uid="{00000000-0005-0000-0000-0000FF120000}"/>
    <cellStyle name="TableColumnHeading" xfId="4807" xr:uid="{00000000-0005-0000-0000-000000130000}"/>
    <cellStyle name="TableHead" xfId="4808" xr:uid="{00000000-0005-0000-0000-000001130000}"/>
    <cellStyle name="TableSubTitleItalic" xfId="4809" xr:uid="{00000000-0005-0000-0000-000002130000}"/>
    <cellStyle name="TableText" xfId="4810" xr:uid="{00000000-0005-0000-0000-000003130000}"/>
    <cellStyle name="TableTitle" xfId="4811" xr:uid="{00000000-0005-0000-0000-000004130000}"/>
    <cellStyle name="Test [green]" xfId="4812" xr:uid="{00000000-0005-0000-0000-000005130000}"/>
    <cellStyle name="Text" xfId="4813" xr:uid="{00000000-0005-0000-0000-000006130000}"/>
    <cellStyle name="Text _Titles" xfId="4816" xr:uid="{00000000-0005-0000-0000-000009130000}"/>
    <cellStyle name="Text [3]" xfId="4814" xr:uid="{00000000-0005-0000-0000-000007130000}"/>
    <cellStyle name="Text [5]" xfId="4815" xr:uid="{00000000-0005-0000-0000-000008130000}"/>
    <cellStyle name="Text 1" xfId="4817" xr:uid="{00000000-0005-0000-0000-00000A130000}"/>
    <cellStyle name="Text 2" xfId="4818" xr:uid="{00000000-0005-0000-0000-00000B130000}"/>
    <cellStyle name="Text 8" xfId="4819" xr:uid="{00000000-0005-0000-0000-00000C130000}"/>
    <cellStyle name="Text Head 1" xfId="4820" xr:uid="{00000000-0005-0000-0000-00000D130000}"/>
    <cellStyle name="Text Head 2" xfId="4821" xr:uid="{00000000-0005-0000-0000-00000E130000}"/>
    <cellStyle name="Text Indent 1" xfId="4822" xr:uid="{00000000-0005-0000-0000-00000F130000}"/>
    <cellStyle name="Text Indent 2" xfId="4823" xr:uid="{00000000-0005-0000-0000-000010130000}"/>
    <cellStyle name="Text Indent A" xfId="4824" xr:uid="{00000000-0005-0000-0000-000011130000}"/>
    <cellStyle name="Text Indent B" xfId="4825" xr:uid="{00000000-0005-0000-0000-000012130000}"/>
    <cellStyle name="Text Indent B 2" xfId="4826" xr:uid="{00000000-0005-0000-0000-000013130000}"/>
    <cellStyle name="Text Indent C" xfId="4827" xr:uid="{00000000-0005-0000-0000-000014130000}"/>
    <cellStyle name="Text Indent C 2" xfId="4828" xr:uid="{00000000-0005-0000-0000-000015130000}"/>
    <cellStyle name="Text Wrap" xfId="4829" xr:uid="{00000000-0005-0000-0000-000016130000}"/>
    <cellStyle name="text_Accretion Dilution Model v6" xfId="4830" xr:uid="{00000000-0005-0000-0000-000017130000}"/>
    <cellStyle name="text2" xfId="4831" xr:uid="{00000000-0005-0000-0000-000018130000}"/>
    <cellStyle name="TFCF" xfId="4832" xr:uid="{00000000-0005-0000-0000-000019130000}"/>
    <cellStyle name="thenums" xfId="4833" xr:uid="{00000000-0005-0000-0000-00001A130000}"/>
    <cellStyle name="threedecplace" xfId="4834" xr:uid="{00000000-0005-0000-0000-00001B130000}"/>
    <cellStyle name="Time" xfId="4835" xr:uid="{00000000-0005-0000-0000-00001C130000}"/>
    <cellStyle name="Times 10" xfId="4836" xr:uid="{00000000-0005-0000-0000-00001D130000}"/>
    <cellStyle name="Times 12" xfId="4837" xr:uid="{00000000-0005-0000-0000-00001E130000}"/>
    <cellStyle name="Times New Roman" xfId="4838" xr:uid="{00000000-0005-0000-0000-00001F130000}"/>
    <cellStyle name="times roman" xfId="4839" xr:uid="{00000000-0005-0000-0000-000020130000}"/>
    <cellStyle name="Title  - Style1" xfId="4840" xr:uid="{00000000-0005-0000-0000-000021130000}"/>
    <cellStyle name="Title  - Style6" xfId="4841" xr:uid="{00000000-0005-0000-0000-000022130000}"/>
    <cellStyle name="Title - PROJECT" xfId="4842" xr:uid="{00000000-0005-0000-0000-000023130000}"/>
    <cellStyle name="Title - Underline" xfId="4843" xr:uid="{00000000-0005-0000-0000-000024130000}"/>
    <cellStyle name="Title 10" xfId="4844" xr:uid="{00000000-0005-0000-0000-000025130000}"/>
    <cellStyle name="Title 10 2" xfId="4845" xr:uid="{00000000-0005-0000-0000-000026130000}"/>
    <cellStyle name="Title 10 3" xfId="4846" xr:uid="{00000000-0005-0000-0000-000027130000}"/>
    <cellStyle name="Title 11" xfId="4847" xr:uid="{00000000-0005-0000-0000-000028130000}"/>
    <cellStyle name="Title 11 2" xfId="4848" xr:uid="{00000000-0005-0000-0000-000029130000}"/>
    <cellStyle name="Title 11 3" xfId="4849" xr:uid="{00000000-0005-0000-0000-00002A130000}"/>
    <cellStyle name="Title 12" xfId="4850" xr:uid="{00000000-0005-0000-0000-00002B130000}"/>
    <cellStyle name="Title 12 2" xfId="4851" xr:uid="{00000000-0005-0000-0000-00002C130000}"/>
    <cellStyle name="Title 12 3" xfId="4852" xr:uid="{00000000-0005-0000-0000-00002D130000}"/>
    <cellStyle name="Title 13" xfId="4853" xr:uid="{00000000-0005-0000-0000-00002E130000}"/>
    <cellStyle name="Title 13 2" xfId="4854" xr:uid="{00000000-0005-0000-0000-00002F130000}"/>
    <cellStyle name="Title 13 3" xfId="4855" xr:uid="{00000000-0005-0000-0000-000030130000}"/>
    <cellStyle name="Title 14" xfId="4856" xr:uid="{00000000-0005-0000-0000-000031130000}"/>
    <cellStyle name="Title 14 2" xfId="4857" xr:uid="{00000000-0005-0000-0000-000032130000}"/>
    <cellStyle name="Title 14 3" xfId="4858" xr:uid="{00000000-0005-0000-0000-000033130000}"/>
    <cellStyle name="Title 15" xfId="4859" xr:uid="{00000000-0005-0000-0000-000034130000}"/>
    <cellStyle name="Title 15 2" xfId="4860" xr:uid="{00000000-0005-0000-0000-000035130000}"/>
    <cellStyle name="Title 15 3" xfId="4861" xr:uid="{00000000-0005-0000-0000-000036130000}"/>
    <cellStyle name="Title 16" xfId="4862" xr:uid="{00000000-0005-0000-0000-000037130000}"/>
    <cellStyle name="Title 16 2" xfId="4863" xr:uid="{00000000-0005-0000-0000-000038130000}"/>
    <cellStyle name="Title 16 3" xfId="4864" xr:uid="{00000000-0005-0000-0000-000039130000}"/>
    <cellStyle name="Title 17" xfId="4865" xr:uid="{00000000-0005-0000-0000-00003A130000}"/>
    <cellStyle name="Title 17 2" xfId="4866" xr:uid="{00000000-0005-0000-0000-00003B130000}"/>
    <cellStyle name="Title 17 3" xfId="4867" xr:uid="{00000000-0005-0000-0000-00003C130000}"/>
    <cellStyle name="Title 18" xfId="4868" xr:uid="{00000000-0005-0000-0000-00003D130000}"/>
    <cellStyle name="Title 18 2" xfId="4869" xr:uid="{00000000-0005-0000-0000-00003E130000}"/>
    <cellStyle name="Title 18 3" xfId="4870" xr:uid="{00000000-0005-0000-0000-00003F130000}"/>
    <cellStyle name="Title 19" xfId="4871" xr:uid="{00000000-0005-0000-0000-000040130000}"/>
    <cellStyle name="Title 19 2" xfId="4872" xr:uid="{00000000-0005-0000-0000-000041130000}"/>
    <cellStyle name="Title 19 3" xfId="4873" xr:uid="{00000000-0005-0000-0000-000042130000}"/>
    <cellStyle name="Title 2" xfId="4874" xr:uid="{00000000-0005-0000-0000-000043130000}"/>
    <cellStyle name="Title 2 2" xfId="4875" xr:uid="{00000000-0005-0000-0000-000044130000}"/>
    <cellStyle name="Title 2 2 2" xfId="4876" xr:uid="{00000000-0005-0000-0000-000045130000}"/>
    <cellStyle name="Title 2 2 3" xfId="4877" xr:uid="{00000000-0005-0000-0000-000046130000}"/>
    <cellStyle name="Title 2 3" xfId="4878" xr:uid="{00000000-0005-0000-0000-000047130000}"/>
    <cellStyle name="Title 2 3 2" xfId="4879" xr:uid="{00000000-0005-0000-0000-000048130000}"/>
    <cellStyle name="Title 2 3 3" xfId="4880" xr:uid="{00000000-0005-0000-0000-000049130000}"/>
    <cellStyle name="Title 2 4" xfId="4881" xr:uid="{00000000-0005-0000-0000-00004A130000}"/>
    <cellStyle name="Title 2 5" xfId="4882" xr:uid="{00000000-0005-0000-0000-00004B130000}"/>
    <cellStyle name="Title 2_TOTAL OB COAL" xfId="4883" xr:uid="{00000000-0005-0000-0000-00004C130000}"/>
    <cellStyle name="Title 20" xfId="4884" xr:uid="{00000000-0005-0000-0000-00004D130000}"/>
    <cellStyle name="Title 20 2" xfId="4885" xr:uid="{00000000-0005-0000-0000-00004E130000}"/>
    <cellStyle name="Title 20 3" xfId="4886" xr:uid="{00000000-0005-0000-0000-00004F130000}"/>
    <cellStyle name="Title 21" xfId="4887" xr:uid="{00000000-0005-0000-0000-000050130000}"/>
    <cellStyle name="Title 21 2" xfId="4888" xr:uid="{00000000-0005-0000-0000-000051130000}"/>
    <cellStyle name="Title 21 3" xfId="4889" xr:uid="{00000000-0005-0000-0000-000052130000}"/>
    <cellStyle name="Title 22" xfId="4890" xr:uid="{00000000-0005-0000-0000-000053130000}"/>
    <cellStyle name="Title 22 2" xfId="4891" xr:uid="{00000000-0005-0000-0000-000054130000}"/>
    <cellStyle name="Title 22 3" xfId="4892" xr:uid="{00000000-0005-0000-0000-000055130000}"/>
    <cellStyle name="Title 23" xfId="4893" xr:uid="{00000000-0005-0000-0000-000056130000}"/>
    <cellStyle name="Title 23 2" xfId="4894" xr:uid="{00000000-0005-0000-0000-000057130000}"/>
    <cellStyle name="Title 23 3" xfId="4895" xr:uid="{00000000-0005-0000-0000-000058130000}"/>
    <cellStyle name="Title 24" xfId="4896" xr:uid="{00000000-0005-0000-0000-000059130000}"/>
    <cellStyle name="Title 24 2" xfId="4897" xr:uid="{00000000-0005-0000-0000-00005A130000}"/>
    <cellStyle name="Title 24 3" xfId="4898" xr:uid="{00000000-0005-0000-0000-00005B130000}"/>
    <cellStyle name="Title 25" xfId="4899" xr:uid="{00000000-0005-0000-0000-00005C130000}"/>
    <cellStyle name="Title 25 2" xfId="4900" xr:uid="{00000000-0005-0000-0000-00005D130000}"/>
    <cellStyle name="Title 25 3" xfId="4901" xr:uid="{00000000-0005-0000-0000-00005E130000}"/>
    <cellStyle name="Title 26" xfId="4902" xr:uid="{00000000-0005-0000-0000-00005F130000}"/>
    <cellStyle name="Title 26 2" xfId="4903" xr:uid="{00000000-0005-0000-0000-000060130000}"/>
    <cellStyle name="Title 26 3" xfId="4904" xr:uid="{00000000-0005-0000-0000-000061130000}"/>
    <cellStyle name="Title 27" xfId="4905" xr:uid="{00000000-0005-0000-0000-000062130000}"/>
    <cellStyle name="Title 27 2" xfId="4906" xr:uid="{00000000-0005-0000-0000-000063130000}"/>
    <cellStyle name="Title 27 3" xfId="4907" xr:uid="{00000000-0005-0000-0000-000064130000}"/>
    <cellStyle name="Title 3" xfId="4908" xr:uid="{00000000-0005-0000-0000-000065130000}"/>
    <cellStyle name="Title 3 2" xfId="4909" xr:uid="{00000000-0005-0000-0000-000066130000}"/>
    <cellStyle name="Title 3 3" xfId="4910" xr:uid="{00000000-0005-0000-0000-000067130000}"/>
    <cellStyle name="Title 4" xfId="4911" xr:uid="{00000000-0005-0000-0000-000068130000}"/>
    <cellStyle name="Title 4 2" xfId="4912" xr:uid="{00000000-0005-0000-0000-000069130000}"/>
    <cellStyle name="Title 4 3" xfId="4913" xr:uid="{00000000-0005-0000-0000-00006A130000}"/>
    <cellStyle name="Title 5" xfId="4914" xr:uid="{00000000-0005-0000-0000-00006B130000}"/>
    <cellStyle name="Title 5 2" xfId="4915" xr:uid="{00000000-0005-0000-0000-00006C130000}"/>
    <cellStyle name="Title 5 3" xfId="4916" xr:uid="{00000000-0005-0000-0000-00006D130000}"/>
    <cellStyle name="Title 6" xfId="4917" xr:uid="{00000000-0005-0000-0000-00006E130000}"/>
    <cellStyle name="Title 6 2" xfId="4918" xr:uid="{00000000-0005-0000-0000-00006F130000}"/>
    <cellStyle name="Title 6 3" xfId="4919" xr:uid="{00000000-0005-0000-0000-000070130000}"/>
    <cellStyle name="Title 7" xfId="4920" xr:uid="{00000000-0005-0000-0000-000071130000}"/>
    <cellStyle name="Title 7 2" xfId="4921" xr:uid="{00000000-0005-0000-0000-000072130000}"/>
    <cellStyle name="Title 7 3" xfId="4922" xr:uid="{00000000-0005-0000-0000-000073130000}"/>
    <cellStyle name="Title 8" xfId="4923" xr:uid="{00000000-0005-0000-0000-000074130000}"/>
    <cellStyle name="Title 8 2" xfId="4924" xr:uid="{00000000-0005-0000-0000-000075130000}"/>
    <cellStyle name="Title 8 3" xfId="4925" xr:uid="{00000000-0005-0000-0000-000076130000}"/>
    <cellStyle name="Title 9" xfId="4926" xr:uid="{00000000-0005-0000-0000-000077130000}"/>
    <cellStyle name="Title 9 2" xfId="4927" xr:uid="{00000000-0005-0000-0000-000078130000}"/>
    <cellStyle name="Title 9 3" xfId="4928" xr:uid="{00000000-0005-0000-0000-000079130000}"/>
    <cellStyle name="Title Header" xfId="4929" xr:uid="{00000000-0005-0000-0000-00007A130000}"/>
    <cellStyle name="title1" xfId="4930" xr:uid="{00000000-0005-0000-0000-00007B130000}"/>
    <cellStyle name="Title10" xfId="4931" xr:uid="{00000000-0005-0000-0000-00007C130000}"/>
    <cellStyle name="Title2" xfId="4932" xr:uid="{00000000-0005-0000-0000-00007D130000}"/>
    <cellStyle name="Title8" xfId="4933" xr:uid="{00000000-0005-0000-0000-00007E130000}"/>
    <cellStyle name="Title8Left" xfId="4934" xr:uid="{00000000-0005-0000-0000-00007F130000}"/>
    <cellStyle name="TitleCenter" xfId="4935" xr:uid="{00000000-0005-0000-0000-000080130000}"/>
    <cellStyle name="TitleII" xfId="4936" xr:uid="{00000000-0005-0000-0000-000081130000}"/>
    <cellStyle name="TitleLeft" xfId="4937" xr:uid="{00000000-0005-0000-0000-000082130000}"/>
    <cellStyle name="Titles" xfId="4938" xr:uid="{00000000-0005-0000-0000-000083130000}"/>
    <cellStyle name="Titles - Col. Headings" xfId="4939" xr:uid="{00000000-0005-0000-0000-000084130000}"/>
    <cellStyle name="Titles - Other" xfId="4940" xr:uid="{00000000-0005-0000-0000-000085130000}"/>
    <cellStyle name="Titles_Mindtree Financial Model vCurrent" xfId="4941" xr:uid="{00000000-0005-0000-0000-000086130000}"/>
    <cellStyle name="TOC 1" xfId="4942" xr:uid="{00000000-0005-0000-0000-000087130000}"/>
    <cellStyle name="TOC 2" xfId="4943" xr:uid="{00000000-0005-0000-0000-000088130000}"/>
    <cellStyle name="Top_$" xfId="4944" xr:uid="{00000000-0005-0000-0000-000089130000}"/>
    <cellStyle name="TopCaption" xfId="4945" xr:uid="{00000000-0005-0000-0000-00008A130000}"/>
    <cellStyle name="topline" xfId="4946" xr:uid="{00000000-0005-0000-0000-00008B130000}"/>
    <cellStyle name="Total 10" xfId="4947" xr:uid="{00000000-0005-0000-0000-00008C130000}"/>
    <cellStyle name="Total 10 2" xfId="4948" xr:uid="{00000000-0005-0000-0000-00008D130000}"/>
    <cellStyle name="Total 10 3" xfId="4949" xr:uid="{00000000-0005-0000-0000-00008E130000}"/>
    <cellStyle name="Total 11" xfId="4950" xr:uid="{00000000-0005-0000-0000-00008F130000}"/>
    <cellStyle name="Total 11 2" xfId="4951" xr:uid="{00000000-0005-0000-0000-000090130000}"/>
    <cellStyle name="Total 11 3" xfId="4952" xr:uid="{00000000-0005-0000-0000-000091130000}"/>
    <cellStyle name="Total 12" xfId="4953" xr:uid="{00000000-0005-0000-0000-000092130000}"/>
    <cellStyle name="Total 12 2" xfId="4954" xr:uid="{00000000-0005-0000-0000-000093130000}"/>
    <cellStyle name="Total 12 3" xfId="4955" xr:uid="{00000000-0005-0000-0000-000094130000}"/>
    <cellStyle name="Total 13" xfId="4956" xr:uid="{00000000-0005-0000-0000-000095130000}"/>
    <cellStyle name="Total 13 2" xfId="4957" xr:uid="{00000000-0005-0000-0000-000096130000}"/>
    <cellStyle name="Total 13 3" xfId="4958" xr:uid="{00000000-0005-0000-0000-000097130000}"/>
    <cellStyle name="Total 14" xfId="4959" xr:uid="{00000000-0005-0000-0000-000098130000}"/>
    <cellStyle name="Total 14 2" xfId="4960" xr:uid="{00000000-0005-0000-0000-000099130000}"/>
    <cellStyle name="Total 14 3" xfId="4961" xr:uid="{00000000-0005-0000-0000-00009A130000}"/>
    <cellStyle name="Total 15" xfId="4962" xr:uid="{00000000-0005-0000-0000-00009B130000}"/>
    <cellStyle name="Total 15 2" xfId="4963" xr:uid="{00000000-0005-0000-0000-00009C130000}"/>
    <cellStyle name="Total 15 3" xfId="4964" xr:uid="{00000000-0005-0000-0000-00009D130000}"/>
    <cellStyle name="Total 16" xfId="4965" xr:uid="{00000000-0005-0000-0000-00009E130000}"/>
    <cellStyle name="Total 16 2" xfId="4966" xr:uid="{00000000-0005-0000-0000-00009F130000}"/>
    <cellStyle name="Total 16 3" xfId="4967" xr:uid="{00000000-0005-0000-0000-0000A0130000}"/>
    <cellStyle name="Total 17" xfId="4968" xr:uid="{00000000-0005-0000-0000-0000A1130000}"/>
    <cellStyle name="Total 17 2" xfId="4969" xr:uid="{00000000-0005-0000-0000-0000A2130000}"/>
    <cellStyle name="Total 17 3" xfId="4970" xr:uid="{00000000-0005-0000-0000-0000A3130000}"/>
    <cellStyle name="Total 18" xfId="4971" xr:uid="{00000000-0005-0000-0000-0000A4130000}"/>
    <cellStyle name="Total 18 2" xfId="4972" xr:uid="{00000000-0005-0000-0000-0000A5130000}"/>
    <cellStyle name="Total 18 3" xfId="4973" xr:uid="{00000000-0005-0000-0000-0000A6130000}"/>
    <cellStyle name="Total 19" xfId="4974" xr:uid="{00000000-0005-0000-0000-0000A7130000}"/>
    <cellStyle name="Total 19 2" xfId="4975" xr:uid="{00000000-0005-0000-0000-0000A8130000}"/>
    <cellStyle name="Total 19 3" xfId="4976" xr:uid="{00000000-0005-0000-0000-0000A9130000}"/>
    <cellStyle name="Total 2" xfId="4977" xr:uid="{00000000-0005-0000-0000-0000AA130000}"/>
    <cellStyle name="Total 2 2" xfId="4978" xr:uid="{00000000-0005-0000-0000-0000AB130000}"/>
    <cellStyle name="Total 2 2 2" xfId="4979" xr:uid="{00000000-0005-0000-0000-0000AC130000}"/>
    <cellStyle name="Total 2 2 3" xfId="4980" xr:uid="{00000000-0005-0000-0000-0000AD130000}"/>
    <cellStyle name="Total 2 3" xfId="4981" xr:uid="{00000000-0005-0000-0000-0000AE130000}"/>
    <cellStyle name="Total 2 3 2" xfId="4982" xr:uid="{00000000-0005-0000-0000-0000AF130000}"/>
    <cellStyle name="Total 2 3 3" xfId="4983" xr:uid="{00000000-0005-0000-0000-0000B0130000}"/>
    <cellStyle name="Total 2 4" xfId="4984" xr:uid="{00000000-0005-0000-0000-0000B1130000}"/>
    <cellStyle name="Total 2 5" xfId="4985" xr:uid="{00000000-0005-0000-0000-0000B2130000}"/>
    <cellStyle name="Total 2_TOTAL OB COAL" xfId="4986" xr:uid="{00000000-0005-0000-0000-0000B3130000}"/>
    <cellStyle name="Total 20" xfId="4987" xr:uid="{00000000-0005-0000-0000-0000B4130000}"/>
    <cellStyle name="Total 20 2" xfId="4988" xr:uid="{00000000-0005-0000-0000-0000B5130000}"/>
    <cellStyle name="Total 20 3" xfId="4989" xr:uid="{00000000-0005-0000-0000-0000B6130000}"/>
    <cellStyle name="Total 21" xfId="4990" xr:uid="{00000000-0005-0000-0000-0000B7130000}"/>
    <cellStyle name="Total 21 2" xfId="4991" xr:uid="{00000000-0005-0000-0000-0000B8130000}"/>
    <cellStyle name="Total 21 3" xfId="4992" xr:uid="{00000000-0005-0000-0000-0000B9130000}"/>
    <cellStyle name="Total 22" xfId="4993" xr:uid="{00000000-0005-0000-0000-0000BA130000}"/>
    <cellStyle name="Total 22 2" xfId="4994" xr:uid="{00000000-0005-0000-0000-0000BB130000}"/>
    <cellStyle name="Total 22 3" xfId="4995" xr:uid="{00000000-0005-0000-0000-0000BC130000}"/>
    <cellStyle name="Total 23" xfId="4996" xr:uid="{00000000-0005-0000-0000-0000BD130000}"/>
    <cellStyle name="Total 23 2" xfId="4997" xr:uid="{00000000-0005-0000-0000-0000BE130000}"/>
    <cellStyle name="Total 23 3" xfId="4998" xr:uid="{00000000-0005-0000-0000-0000BF130000}"/>
    <cellStyle name="Total 24" xfId="4999" xr:uid="{00000000-0005-0000-0000-0000C0130000}"/>
    <cellStyle name="Total 24 2" xfId="5000" xr:uid="{00000000-0005-0000-0000-0000C1130000}"/>
    <cellStyle name="Total 24 3" xfId="5001" xr:uid="{00000000-0005-0000-0000-0000C2130000}"/>
    <cellStyle name="Total 25" xfId="5002" xr:uid="{00000000-0005-0000-0000-0000C3130000}"/>
    <cellStyle name="Total 25 2" xfId="5003" xr:uid="{00000000-0005-0000-0000-0000C4130000}"/>
    <cellStyle name="Total 25 3" xfId="5004" xr:uid="{00000000-0005-0000-0000-0000C5130000}"/>
    <cellStyle name="Total 26" xfId="5005" xr:uid="{00000000-0005-0000-0000-0000C6130000}"/>
    <cellStyle name="Total 26 2" xfId="5006" xr:uid="{00000000-0005-0000-0000-0000C7130000}"/>
    <cellStyle name="Total 26 3" xfId="5007" xr:uid="{00000000-0005-0000-0000-0000C8130000}"/>
    <cellStyle name="Total 27" xfId="5008" xr:uid="{00000000-0005-0000-0000-0000C9130000}"/>
    <cellStyle name="Total 27 2" xfId="5009" xr:uid="{00000000-0005-0000-0000-0000CA130000}"/>
    <cellStyle name="Total 27 3" xfId="5010" xr:uid="{00000000-0005-0000-0000-0000CB130000}"/>
    <cellStyle name="Total 3" xfId="5011" xr:uid="{00000000-0005-0000-0000-0000CC130000}"/>
    <cellStyle name="Total 3 2" xfId="5012" xr:uid="{00000000-0005-0000-0000-0000CD130000}"/>
    <cellStyle name="Total 3 3" xfId="5013" xr:uid="{00000000-0005-0000-0000-0000CE130000}"/>
    <cellStyle name="Total 4" xfId="5014" xr:uid="{00000000-0005-0000-0000-0000CF130000}"/>
    <cellStyle name="Total 4 2" xfId="5015" xr:uid="{00000000-0005-0000-0000-0000D0130000}"/>
    <cellStyle name="Total 4 3" xfId="5016" xr:uid="{00000000-0005-0000-0000-0000D1130000}"/>
    <cellStyle name="Total 5" xfId="5017" xr:uid="{00000000-0005-0000-0000-0000D2130000}"/>
    <cellStyle name="Total 5 2" xfId="5018" xr:uid="{00000000-0005-0000-0000-0000D3130000}"/>
    <cellStyle name="Total 5 3" xfId="5019" xr:uid="{00000000-0005-0000-0000-0000D4130000}"/>
    <cellStyle name="Total 6" xfId="5020" xr:uid="{00000000-0005-0000-0000-0000D5130000}"/>
    <cellStyle name="Total 6 2" xfId="5021" xr:uid="{00000000-0005-0000-0000-0000D6130000}"/>
    <cellStyle name="Total 6 3" xfId="5022" xr:uid="{00000000-0005-0000-0000-0000D7130000}"/>
    <cellStyle name="Total 7" xfId="5023" xr:uid="{00000000-0005-0000-0000-0000D8130000}"/>
    <cellStyle name="Total 7 2" xfId="5024" xr:uid="{00000000-0005-0000-0000-0000D9130000}"/>
    <cellStyle name="Total 7 3" xfId="5025" xr:uid="{00000000-0005-0000-0000-0000DA130000}"/>
    <cellStyle name="Total 8" xfId="5026" xr:uid="{00000000-0005-0000-0000-0000DB130000}"/>
    <cellStyle name="Total 8 2" xfId="5027" xr:uid="{00000000-0005-0000-0000-0000DC130000}"/>
    <cellStyle name="Total 8 3" xfId="5028" xr:uid="{00000000-0005-0000-0000-0000DD130000}"/>
    <cellStyle name="Total 9" xfId="5029" xr:uid="{00000000-0005-0000-0000-0000DE130000}"/>
    <cellStyle name="Total 9 2" xfId="5030" xr:uid="{00000000-0005-0000-0000-0000DF130000}"/>
    <cellStyle name="Total 9 3" xfId="5031" xr:uid="{00000000-0005-0000-0000-0000E0130000}"/>
    <cellStyle name="Total Currency" xfId="5032" xr:uid="{00000000-0005-0000-0000-0000E1130000}"/>
    <cellStyle name="Total Normal" xfId="5033" xr:uid="{00000000-0005-0000-0000-0000E2130000}"/>
    <cellStyle name="TotalRow" xfId="5034" xr:uid="{00000000-0005-0000-0000-0000E3130000}"/>
    <cellStyle name="TotCol - Style5" xfId="5035" xr:uid="{00000000-0005-0000-0000-0000E4130000}"/>
    <cellStyle name="TotCol - Style7" xfId="5036" xr:uid="{00000000-0005-0000-0000-0000E5130000}"/>
    <cellStyle name="TotRow - Style4" xfId="5037" xr:uid="{00000000-0005-0000-0000-0000E6130000}"/>
    <cellStyle name="TotRow - Style8" xfId="5038" xr:uid="{00000000-0005-0000-0000-0000E7130000}"/>
    <cellStyle name="TransVal" xfId="5039" xr:uid="{00000000-0005-0000-0000-0000E8130000}"/>
    <cellStyle name="TTS" xfId="5040" xr:uid="{00000000-0005-0000-0000-0000E9130000}"/>
    <cellStyle name="twodecplace" xfId="5041" xr:uid="{00000000-0005-0000-0000-0000EA130000}"/>
    <cellStyle name="ubordinated Debt" xfId="5042" xr:uid="{00000000-0005-0000-0000-0000EB130000}"/>
    <cellStyle name="ưì０O" xfId="5043" xr:uid="{00000000-0005-0000-0000-0000EC130000}"/>
    <cellStyle name="Underline_Double" xfId="5044" xr:uid="{00000000-0005-0000-0000-0000ED130000}"/>
    <cellStyle name="UNLocked" xfId="5045" xr:uid="{00000000-0005-0000-0000-0000EE130000}"/>
    <cellStyle name="Unprot" xfId="5046" xr:uid="{00000000-0005-0000-0000-0000EF130000}"/>
    <cellStyle name="Unprot$" xfId="5047" xr:uid="{00000000-0005-0000-0000-0000F0130000}"/>
    <cellStyle name="Unprotect" xfId="5048" xr:uid="{00000000-0005-0000-0000-0000F1130000}"/>
    <cellStyle name="Upload Only" xfId="5049" xr:uid="{00000000-0005-0000-0000-0000F2130000}"/>
    <cellStyle name="USD 0D Black" xfId="5050" xr:uid="{00000000-0005-0000-0000-0000F3130000}"/>
    <cellStyle name="USD 0D Green" xfId="5051" xr:uid="{00000000-0005-0000-0000-0000F4130000}"/>
    <cellStyle name="USD 1D Black" xfId="5052" xr:uid="{00000000-0005-0000-0000-0000F5130000}"/>
    <cellStyle name="USD 1D Black 2B" xfId="5053" xr:uid="{00000000-0005-0000-0000-0000F6130000}"/>
    <cellStyle name="USD 1D Blue" xfId="5054" xr:uid="{00000000-0005-0000-0000-0000F7130000}"/>
    <cellStyle name="USD 1D Green" xfId="5055" xr:uid="{00000000-0005-0000-0000-0000F8130000}"/>
    <cellStyle name="USD 3D Black" xfId="5056" xr:uid="{00000000-0005-0000-0000-0000F9130000}"/>
    <cellStyle name="USD 3D Blue" xfId="5057" xr:uid="{00000000-0005-0000-0000-0000FA130000}"/>
    <cellStyle name="User_Defined_A" xfId="5058" xr:uid="{00000000-0005-0000-0000-0000FB130000}"/>
    <cellStyle name="Validation" xfId="5059" xr:uid="{00000000-0005-0000-0000-0000FC130000}"/>
    <cellStyle name="Valuation" xfId="5060" xr:uid="{00000000-0005-0000-0000-0000FD130000}"/>
    <cellStyle name="Valuta (0)_riep" xfId="5061" xr:uid="{00000000-0005-0000-0000-0000FE130000}"/>
    <cellStyle name="Valuta [0]_laroux" xfId="5062" xr:uid="{00000000-0005-0000-0000-0000FF130000}"/>
    <cellStyle name="Valuta_laroux" xfId="5063" xr:uid="{00000000-0005-0000-0000-000000140000}"/>
    <cellStyle name="Währung [0]_Absolut" xfId="5064" xr:uid="{00000000-0005-0000-0000-000001140000}"/>
    <cellStyle name="Währung_2. Balance Sheet Telekom" xfId="5065" xr:uid="{00000000-0005-0000-0000-000002140000}"/>
    <cellStyle name="Warning Text 10" xfId="5066" xr:uid="{00000000-0005-0000-0000-000003140000}"/>
    <cellStyle name="Warning Text 10 2" xfId="5067" xr:uid="{00000000-0005-0000-0000-000004140000}"/>
    <cellStyle name="Warning Text 10 3" xfId="5068" xr:uid="{00000000-0005-0000-0000-000005140000}"/>
    <cellStyle name="Warning Text 11" xfId="5069" xr:uid="{00000000-0005-0000-0000-000006140000}"/>
    <cellStyle name="Warning Text 11 2" xfId="5070" xr:uid="{00000000-0005-0000-0000-000007140000}"/>
    <cellStyle name="Warning Text 11 3" xfId="5071" xr:uid="{00000000-0005-0000-0000-000008140000}"/>
    <cellStyle name="Warning Text 12" xfId="5072" xr:uid="{00000000-0005-0000-0000-000009140000}"/>
    <cellStyle name="Warning Text 12 2" xfId="5073" xr:uid="{00000000-0005-0000-0000-00000A140000}"/>
    <cellStyle name="Warning Text 12 3" xfId="5074" xr:uid="{00000000-0005-0000-0000-00000B140000}"/>
    <cellStyle name="Warning Text 13" xfId="5075" xr:uid="{00000000-0005-0000-0000-00000C140000}"/>
    <cellStyle name="Warning Text 13 2" xfId="5076" xr:uid="{00000000-0005-0000-0000-00000D140000}"/>
    <cellStyle name="Warning Text 13 3" xfId="5077" xr:uid="{00000000-0005-0000-0000-00000E140000}"/>
    <cellStyle name="Warning Text 14" xfId="5078" xr:uid="{00000000-0005-0000-0000-00000F140000}"/>
    <cellStyle name="Warning Text 14 2" xfId="5079" xr:uid="{00000000-0005-0000-0000-000010140000}"/>
    <cellStyle name="Warning Text 14 3" xfId="5080" xr:uid="{00000000-0005-0000-0000-000011140000}"/>
    <cellStyle name="Warning Text 15" xfId="5081" xr:uid="{00000000-0005-0000-0000-000012140000}"/>
    <cellStyle name="Warning Text 15 2" xfId="5082" xr:uid="{00000000-0005-0000-0000-000013140000}"/>
    <cellStyle name="Warning Text 15 3" xfId="5083" xr:uid="{00000000-0005-0000-0000-000014140000}"/>
    <cellStyle name="Warning Text 16" xfId="5084" xr:uid="{00000000-0005-0000-0000-000015140000}"/>
    <cellStyle name="Warning Text 16 2" xfId="5085" xr:uid="{00000000-0005-0000-0000-000016140000}"/>
    <cellStyle name="Warning Text 16 3" xfId="5086" xr:uid="{00000000-0005-0000-0000-000017140000}"/>
    <cellStyle name="Warning Text 17" xfId="5087" xr:uid="{00000000-0005-0000-0000-000018140000}"/>
    <cellStyle name="Warning Text 17 2" xfId="5088" xr:uid="{00000000-0005-0000-0000-000019140000}"/>
    <cellStyle name="Warning Text 17 3" xfId="5089" xr:uid="{00000000-0005-0000-0000-00001A140000}"/>
    <cellStyle name="Warning Text 18" xfId="5090" xr:uid="{00000000-0005-0000-0000-00001B140000}"/>
    <cellStyle name="Warning Text 18 2" xfId="5091" xr:uid="{00000000-0005-0000-0000-00001C140000}"/>
    <cellStyle name="Warning Text 18 3" xfId="5092" xr:uid="{00000000-0005-0000-0000-00001D140000}"/>
    <cellStyle name="Warning Text 19" xfId="5093" xr:uid="{00000000-0005-0000-0000-00001E140000}"/>
    <cellStyle name="Warning Text 19 2" xfId="5094" xr:uid="{00000000-0005-0000-0000-00001F140000}"/>
    <cellStyle name="Warning Text 19 3" xfId="5095" xr:uid="{00000000-0005-0000-0000-000020140000}"/>
    <cellStyle name="Warning Text 2" xfId="5096" xr:uid="{00000000-0005-0000-0000-000021140000}"/>
    <cellStyle name="Warning Text 2 2" xfId="5097" xr:uid="{00000000-0005-0000-0000-000022140000}"/>
    <cellStyle name="Warning Text 2 2 2" xfId="5098" xr:uid="{00000000-0005-0000-0000-000023140000}"/>
    <cellStyle name="Warning Text 2 2 3" xfId="5099" xr:uid="{00000000-0005-0000-0000-000024140000}"/>
    <cellStyle name="Warning Text 2 3" xfId="5100" xr:uid="{00000000-0005-0000-0000-000025140000}"/>
    <cellStyle name="Warning Text 2 3 2" xfId="5101" xr:uid="{00000000-0005-0000-0000-000026140000}"/>
    <cellStyle name="Warning Text 2 3 3" xfId="5102" xr:uid="{00000000-0005-0000-0000-000027140000}"/>
    <cellStyle name="Warning Text 2 4" xfId="5103" xr:uid="{00000000-0005-0000-0000-000028140000}"/>
    <cellStyle name="Warning Text 2 5" xfId="5104" xr:uid="{00000000-0005-0000-0000-000029140000}"/>
    <cellStyle name="Warning Text 20" xfId="5105" xr:uid="{00000000-0005-0000-0000-00002A140000}"/>
    <cellStyle name="Warning Text 20 2" xfId="5106" xr:uid="{00000000-0005-0000-0000-00002B140000}"/>
    <cellStyle name="Warning Text 20 3" xfId="5107" xr:uid="{00000000-0005-0000-0000-00002C140000}"/>
    <cellStyle name="Warning Text 21" xfId="5108" xr:uid="{00000000-0005-0000-0000-00002D140000}"/>
    <cellStyle name="Warning Text 21 2" xfId="5109" xr:uid="{00000000-0005-0000-0000-00002E140000}"/>
    <cellStyle name="Warning Text 21 3" xfId="5110" xr:uid="{00000000-0005-0000-0000-00002F140000}"/>
    <cellStyle name="Warning Text 22" xfId="5111" xr:uid="{00000000-0005-0000-0000-000030140000}"/>
    <cellStyle name="Warning Text 22 2" xfId="5112" xr:uid="{00000000-0005-0000-0000-000031140000}"/>
    <cellStyle name="Warning Text 22 3" xfId="5113" xr:uid="{00000000-0005-0000-0000-000032140000}"/>
    <cellStyle name="Warning Text 23" xfId="5114" xr:uid="{00000000-0005-0000-0000-000033140000}"/>
    <cellStyle name="Warning Text 23 2" xfId="5115" xr:uid="{00000000-0005-0000-0000-000034140000}"/>
    <cellStyle name="Warning Text 23 3" xfId="5116" xr:uid="{00000000-0005-0000-0000-000035140000}"/>
    <cellStyle name="Warning Text 24" xfId="5117" xr:uid="{00000000-0005-0000-0000-000036140000}"/>
    <cellStyle name="Warning Text 24 2" xfId="5118" xr:uid="{00000000-0005-0000-0000-000037140000}"/>
    <cellStyle name="Warning Text 24 3" xfId="5119" xr:uid="{00000000-0005-0000-0000-000038140000}"/>
    <cellStyle name="Warning Text 25" xfId="5120" xr:uid="{00000000-0005-0000-0000-000039140000}"/>
    <cellStyle name="Warning Text 25 2" xfId="5121" xr:uid="{00000000-0005-0000-0000-00003A140000}"/>
    <cellStyle name="Warning Text 25 3" xfId="5122" xr:uid="{00000000-0005-0000-0000-00003B140000}"/>
    <cellStyle name="Warning Text 26" xfId="5123" xr:uid="{00000000-0005-0000-0000-00003C140000}"/>
    <cellStyle name="Warning Text 26 2" xfId="5124" xr:uid="{00000000-0005-0000-0000-00003D140000}"/>
    <cellStyle name="Warning Text 26 3" xfId="5125" xr:uid="{00000000-0005-0000-0000-00003E140000}"/>
    <cellStyle name="Warning Text 27" xfId="5126" xr:uid="{00000000-0005-0000-0000-00003F140000}"/>
    <cellStyle name="Warning Text 27 2" xfId="5127" xr:uid="{00000000-0005-0000-0000-000040140000}"/>
    <cellStyle name="Warning Text 27 3" xfId="5128" xr:uid="{00000000-0005-0000-0000-000041140000}"/>
    <cellStyle name="Warning Text 3" xfId="5129" xr:uid="{00000000-0005-0000-0000-000042140000}"/>
    <cellStyle name="Warning Text 3 2" xfId="5130" xr:uid="{00000000-0005-0000-0000-000043140000}"/>
    <cellStyle name="Warning Text 3 3" xfId="5131" xr:uid="{00000000-0005-0000-0000-000044140000}"/>
    <cellStyle name="Warning Text 4" xfId="5132" xr:uid="{00000000-0005-0000-0000-000045140000}"/>
    <cellStyle name="Warning Text 4 2" xfId="5133" xr:uid="{00000000-0005-0000-0000-000046140000}"/>
    <cellStyle name="Warning Text 4 3" xfId="5134" xr:uid="{00000000-0005-0000-0000-000047140000}"/>
    <cellStyle name="Warning Text 5" xfId="5135" xr:uid="{00000000-0005-0000-0000-000048140000}"/>
    <cellStyle name="Warning Text 5 2" xfId="5136" xr:uid="{00000000-0005-0000-0000-000049140000}"/>
    <cellStyle name="Warning Text 5 3" xfId="5137" xr:uid="{00000000-0005-0000-0000-00004A140000}"/>
    <cellStyle name="Warning Text 6" xfId="5138" xr:uid="{00000000-0005-0000-0000-00004B140000}"/>
    <cellStyle name="Warning Text 6 2" xfId="5139" xr:uid="{00000000-0005-0000-0000-00004C140000}"/>
    <cellStyle name="Warning Text 6 3" xfId="5140" xr:uid="{00000000-0005-0000-0000-00004D140000}"/>
    <cellStyle name="Warning Text 7" xfId="5141" xr:uid="{00000000-0005-0000-0000-00004E140000}"/>
    <cellStyle name="Warning Text 7 2" xfId="5142" xr:uid="{00000000-0005-0000-0000-00004F140000}"/>
    <cellStyle name="Warning Text 7 3" xfId="5143" xr:uid="{00000000-0005-0000-0000-000050140000}"/>
    <cellStyle name="Warning Text 8" xfId="5144" xr:uid="{00000000-0005-0000-0000-000051140000}"/>
    <cellStyle name="Warning Text 8 2" xfId="5145" xr:uid="{00000000-0005-0000-0000-000052140000}"/>
    <cellStyle name="Warning Text 8 3" xfId="5146" xr:uid="{00000000-0005-0000-0000-000053140000}"/>
    <cellStyle name="Warning Text 9" xfId="5147" xr:uid="{00000000-0005-0000-0000-000054140000}"/>
    <cellStyle name="Warning Text 9 2" xfId="5148" xr:uid="{00000000-0005-0000-0000-000055140000}"/>
    <cellStyle name="Warning Text 9 3" xfId="5149" xr:uid="{00000000-0005-0000-0000-000056140000}"/>
    <cellStyle name="Web Row Title 1" xfId="5150" xr:uid="{00000000-0005-0000-0000-000057140000}"/>
    <cellStyle name="Web Row Title 2" xfId="5151" xr:uid="{00000000-0005-0000-0000-000058140000}"/>
    <cellStyle name="web_ normal" xfId="5152" xr:uid="{00000000-0005-0000-0000-000059140000}"/>
    <cellStyle name="White" xfId="5153" xr:uid="{00000000-0005-0000-0000-00005A140000}"/>
    <cellStyle name="WhiteCells" xfId="5154" xr:uid="{00000000-0005-0000-0000-00005B140000}"/>
    <cellStyle name="WhitePattern" xfId="5155" xr:uid="{00000000-0005-0000-0000-00005C140000}"/>
    <cellStyle name="WhitePattern1" xfId="5156" xr:uid="{00000000-0005-0000-0000-00005D140000}"/>
    <cellStyle name="WhiteText" xfId="5157" xr:uid="{00000000-0005-0000-0000-00005E140000}"/>
    <cellStyle name="WingDing" xfId="5158" xr:uid="{00000000-0005-0000-0000-00005F140000}"/>
    <cellStyle name="WingdingsBlack" xfId="5159" xr:uid="{00000000-0005-0000-0000-000060140000}"/>
    <cellStyle name="WingdingsRed" xfId="5160" xr:uid="{00000000-0005-0000-0000-000061140000}"/>
    <cellStyle name="WingdingsWhite" xfId="5161" xr:uid="{00000000-0005-0000-0000-000062140000}"/>
    <cellStyle name="WrappedBold" xfId="5162" xr:uid="{00000000-0005-0000-0000-000063140000}"/>
    <cellStyle name="xstyle" xfId="5163" xr:uid="{00000000-0005-0000-0000-000064140000}"/>
    <cellStyle name="y" xfId="5164" xr:uid="{00000000-0005-0000-0000-000065140000}"/>
    <cellStyle name="y_Citrix_2pgr2" xfId="5166" xr:uid="{00000000-0005-0000-0000-000067140000}"/>
    <cellStyle name="y_Citrix_2pgr2_Mindtree Financial Model vCurrent" xfId="5167" xr:uid="{00000000-0005-0000-0000-000068140000}"/>
    <cellStyle name="y_financial summary" xfId="5168" xr:uid="{00000000-0005-0000-0000-000069140000}"/>
    <cellStyle name="y_financial summary_Mindtree Financial Model vCurrent" xfId="5169" xr:uid="{00000000-0005-0000-0000-00006A140000}"/>
    <cellStyle name="y_GILT Model (MP) vCurr4 (NewCapStr) (2)" xfId="5170" xr:uid="{00000000-0005-0000-0000-00006B140000}"/>
    <cellStyle name="y_Iron-Steel" xfId="5171" xr:uid="{00000000-0005-0000-0000-00006C140000}"/>
    <cellStyle name="y_Lightning 4-pager_v1_orb" xfId="5172" xr:uid="{00000000-0005-0000-0000-00006D140000}"/>
    <cellStyle name="y_Lightning 4-pager_v1_orb_Mindtree Financial Model vCurrent" xfId="5173" xr:uid="{00000000-0005-0000-0000-00006E140000}"/>
    <cellStyle name="y_MERQ_6-14_V8" xfId="5174" xr:uid="{00000000-0005-0000-0000-00006F140000}"/>
    <cellStyle name="y_Mindtree Financial Model vCurrent" xfId="5175" xr:uid="{00000000-0005-0000-0000-000070140000}"/>
    <cellStyle name="y_RATL_SRNA synergies" xfId="5176" xr:uid="{00000000-0005-0000-0000-000071140000}"/>
    <cellStyle name="y_Tower Comps_v4" xfId="5177" xr:uid="{00000000-0005-0000-0000-000072140000}"/>
    <cellStyle name="y_Valuation_Jan2" xfId="5178" xr:uid="{00000000-0005-0000-0000-000073140000}"/>
    <cellStyle name="Y/N" xfId="5165" xr:uid="{00000000-0005-0000-0000-000066140000}"/>
    <cellStyle name="year" xfId="5179" xr:uid="{00000000-0005-0000-0000-000074140000}"/>
    <cellStyle name="year [1]" xfId="5180" xr:uid="{00000000-0005-0000-0000-000075140000}"/>
    <cellStyle name="Year_Bubble Chart Newv2" xfId="5181" xr:uid="{00000000-0005-0000-0000-000076140000}"/>
    <cellStyle name="YearInput" xfId="5182" xr:uid="{00000000-0005-0000-0000-000077140000}"/>
    <cellStyle name="YearInputBk" xfId="5183" xr:uid="{00000000-0005-0000-0000-000078140000}"/>
    <cellStyle name="YearInputBu" xfId="5184" xr:uid="{00000000-0005-0000-0000-000079140000}"/>
    <cellStyle name="yellow" xfId="5185" xr:uid="{00000000-0005-0000-0000-00007A140000}"/>
    <cellStyle name="Yen" xfId="5186" xr:uid="{00000000-0005-0000-0000-00007B140000}"/>
    <cellStyle name="Yes No" xfId="5187" xr:uid="{00000000-0005-0000-0000-00007C140000}"/>
    <cellStyle name="Yes_No" xfId="5189" xr:uid="{00000000-0005-0000-0000-00007E140000}"/>
    <cellStyle name="Yes/No" xfId="5188" xr:uid="{00000000-0005-0000-0000-00007D140000}"/>
    <cellStyle name="yyyy" xfId="5190" xr:uid="{00000000-0005-0000-0000-00007F140000}"/>
    <cellStyle name="쉼표_india cement IC June 2004" xfId="5214" xr:uid="{00000000-0005-0000-0000-000097140000}"/>
    <cellStyle name="콤마 [0]_Book1" xfId="5215" xr:uid="{00000000-0005-0000-0000-000098140000}"/>
    <cellStyle name="콤마_Book1" xfId="5216" xr:uid="{00000000-0005-0000-0000-000099140000}"/>
    <cellStyle name="통화 [0]_9634매출 " xfId="5217" xr:uid="{00000000-0005-0000-0000-00009A140000}"/>
    <cellStyle name="통화_9634매출 " xfId="5218" xr:uid="{00000000-0005-0000-0000-00009B140000}"/>
    <cellStyle name="표준_0N-HANDLING " xfId="5219" xr:uid="{00000000-0005-0000-0000-00009C140000}"/>
    <cellStyle name="하이퍼링크_india cement IC June 2004" xfId="5220" xr:uid="{00000000-0005-0000-0000-00009D140000}"/>
    <cellStyle name="アクセント 1" xfId="5191" xr:uid="{00000000-0005-0000-0000-000080140000}"/>
    <cellStyle name="アクセント 1 2" xfId="5192" xr:uid="{00000000-0005-0000-0000-000081140000}"/>
    <cellStyle name="アクセント 2" xfId="5193" xr:uid="{00000000-0005-0000-0000-000082140000}"/>
    <cellStyle name="アクセント 2 2" xfId="5194" xr:uid="{00000000-0005-0000-0000-000083140000}"/>
    <cellStyle name="アクセント 3" xfId="5195" xr:uid="{00000000-0005-0000-0000-000084140000}"/>
    <cellStyle name="アクセント 3 2" xfId="5196" xr:uid="{00000000-0005-0000-0000-000085140000}"/>
    <cellStyle name="アクセント 4" xfId="5197" xr:uid="{00000000-0005-0000-0000-000086140000}"/>
    <cellStyle name="アクセント 4 2" xfId="5198" xr:uid="{00000000-0005-0000-0000-000087140000}"/>
    <cellStyle name="アクセント 5" xfId="5199" xr:uid="{00000000-0005-0000-0000-000088140000}"/>
    <cellStyle name="アクセント 5 2" xfId="5200" xr:uid="{00000000-0005-0000-0000-000089140000}"/>
    <cellStyle name="アクセント 6" xfId="5201" xr:uid="{00000000-0005-0000-0000-00008A140000}"/>
    <cellStyle name="アクセント 6 2" xfId="5202" xr:uid="{00000000-0005-0000-0000-00008B140000}"/>
    <cellStyle name="タイトル" xfId="5203" xr:uid="{00000000-0005-0000-0000-00008C140000}"/>
    <cellStyle name="タイトル 2" xfId="5204" xr:uid="{00000000-0005-0000-0000-00008D140000}"/>
    <cellStyle name="チェック セル" xfId="5205" xr:uid="{00000000-0005-0000-0000-00008E140000}"/>
    <cellStyle name="チェック セル 2" xfId="5206" xr:uid="{00000000-0005-0000-0000-00008F140000}"/>
    <cellStyle name="どちらでもない" xfId="5207" xr:uid="{00000000-0005-0000-0000-000090140000}"/>
    <cellStyle name="どちらでもない 2" xfId="5208" xr:uid="{00000000-0005-0000-0000-000091140000}"/>
    <cellStyle name="メモ" xfId="5209" xr:uid="{00000000-0005-0000-0000-000092140000}"/>
    <cellStyle name="メモ 2" xfId="5210" xr:uid="{00000000-0005-0000-0000-000093140000}"/>
    <cellStyle name="リンク セル" xfId="5211" xr:uid="{00000000-0005-0000-0000-000094140000}"/>
    <cellStyle name="リンク セル 2" xfId="5212" xr:uid="{00000000-0005-0000-0000-000095140000}"/>
    <cellStyle name="一般 7" xfId="5221" xr:uid="{00000000-0005-0000-0000-00009E140000}"/>
    <cellStyle name="一般 7 2" xfId="5222" xr:uid="{00000000-0005-0000-0000-00009F140000}"/>
    <cellStyle name="入力" xfId="5223" xr:uid="{00000000-0005-0000-0000-0000A0140000}"/>
    <cellStyle name="入力 2" xfId="5224" xr:uid="{00000000-0005-0000-0000-0000A1140000}"/>
    <cellStyle name="出力" xfId="5225" xr:uid="{00000000-0005-0000-0000-0000A2140000}"/>
    <cellStyle name="出力 2" xfId="5226" xr:uid="{00000000-0005-0000-0000-0000A3140000}"/>
    <cellStyle name="悪い" xfId="5227" xr:uid="{00000000-0005-0000-0000-0000A4140000}"/>
    <cellStyle name="悪い 2" xfId="5228" xr:uid="{00000000-0005-0000-0000-0000A5140000}"/>
    <cellStyle name="桁区切り [0.00]_Global Mobile2" xfId="5229" xr:uid="{00000000-0005-0000-0000-0000A6140000}"/>
    <cellStyle name="標準_9433" xfId="5230" xr:uid="{00000000-0005-0000-0000-0000A7140000}"/>
    <cellStyle name="良い" xfId="5231" xr:uid="{00000000-0005-0000-0000-0000A8140000}"/>
    <cellStyle name="良い 2" xfId="5232" xr:uid="{00000000-0005-0000-0000-0000A9140000}"/>
    <cellStyle name="見出し 1" xfId="5233" xr:uid="{00000000-0005-0000-0000-0000AA140000}"/>
    <cellStyle name="見出し 1 2" xfId="5234" xr:uid="{00000000-0005-0000-0000-0000AB140000}"/>
    <cellStyle name="見出し 2" xfId="5235" xr:uid="{00000000-0005-0000-0000-0000AC140000}"/>
    <cellStyle name="見出し 2 2" xfId="5236" xr:uid="{00000000-0005-0000-0000-0000AD140000}"/>
    <cellStyle name="見出し 3" xfId="5237" xr:uid="{00000000-0005-0000-0000-0000AE140000}"/>
    <cellStyle name="見出し 3 2" xfId="5238" xr:uid="{00000000-0005-0000-0000-0000AF140000}"/>
    <cellStyle name="見出し 4" xfId="5239" xr:uid="{00000000-0005-0000-0000-0000B0140000}"/>
    <cellStyle name="見出し 4 2" xfId="5240" xr:uid="{00000000-0005-0000-0000-0000B1140000}"/>
    <cellStyle name="計算" xfId="5241" xr:uid="{00000000-0005-0000-0000-0000B2140000}"/>
    <cellStyle name="計算 2" xfId="5242" xr:uid="{00000000-0005-0000-0000-0000B3140000}"/>
    <cellStyle name="説明文" xfId="5243" xr:uid="{00000000-0005-0000-0000-0000B4140000}"/>
    <cellStyle name="説明文 2" xfId="5244" xr:uid="{00000000-0005-0000-0000-0000B5140000}"/>
    <cellStyle name="警告文" xfId="5245" xr:uid="{00000000-0005-0000-0000-0000B6140000}"/>
    <cellStyle name="警告文 2" xfId="5246" xr:uid="{00000000-0005-0000-0000-0000B7140000}"/>
    <cellStyle name="集計" xfId="5247" xr:uid="{00000000-0005-0000-0000-0000B8140000}"/>
    <cellStyle name="集計 2" xfId="5248" xr:uid="{00000000-0005-0000-0000-0000B9140000}"/>
    <cellStyle name="꬈b_xffff__xffff_" xfId="2310" xr:uid="{00000000-0005-0000-0000-000000090000}"/>
    <cellStyle name="꬜bѬÍ֠ÍѬÍդÍ֤Í" xfId="2446" xr:uid="{00000000-0005-0000-0000-000089090000}"/>
  </cellStyles>
  <dxfs count="1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bgColor theme="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00B050"/>
        </patternFill>
      </fill>
    </dxf>
    <dxf>
      <fill>
        <patternFill>
          <bgColor rgb="FF00B050"/>
        </patternFill>
      </fill>
    </dxf>
    <dxf>
      <fill>
        <patternFill>
          <bgColor rgb="FFFF0000"/>
        </patternFill>
      </fill>
    </dxf>
  </dxfs>
  <tableStyles count="0" defaultTableStyle="TableStyleMedium9" defaultPivotStyle="PivotStyleLight16"/>
  <colors>
    <mruColors>
      <color rgb="FF00CC00"/>
      <color rgb="FFFFFFCC"/>
      <color rgb="FFFFFF99"/>
      <color rgb="FF0000FF"/>
      <color rgb="FF006699"/>
      <color rgb="FFFF6600"/>
      <color rgb="FFFFA893"/>
      <color rgb="FFB540C8"/>
      <color rgb="FFFF00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ACBC-4BA4-A9E8-F3EEABD46B4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CBC-4BA4-A9E8-F3EEABD46B4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CBC-4BA4-A9E8-F3EEABD46B4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CBC-4BA4-A9E8-F3EEABD46B4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CBC-4BA4-A9E8-F3EEABD46B4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CBC-4BA4-A9E8-F3EEABD46B4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CBC-4BA4-A9E8-F3EEABD46B4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CBC-4BA4-A9E8-F3EEABD46B4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84A-4F05-811F-35AFFF2A719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CBC-4BA4-A9E8-F3EEABD46B4E}"/>
              </c:ext>
            </c:extLst>
          </c:dPt>
          <c:dLbls>
            <c:dLbl>
              <c:idx val="0"/>
              <c:layout>
                <c:manualLayout>
                  <c:x val="3.6431996833285137E-2"/>
                  <c:y val="-9.30140485358761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CBC-4BA4-A9E8-F3EEABD46B4E}"/>
                </c:ext>
              </c:extLst>
            </c:dLbl>
            <c:dLbl>
              <c:idx val="1"/>
              <c:layout>
                <c:manualLayout>
                  <c:x val="0.11567628955480912"/>
                  <c:y val="5.3602863726663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BC-4BA4-A9E8-F3EEABD46B4E}"/>
                </c:ext>
              </c:extLst>
            </c:dLbl>
            <c:dLbl>
              <c:idx val="2"/>
              <c:layout>
                <c:manualLayout>
                  <c:x val="-8.1477323291231876E-2"/>
                  <c:y val="6.18058730141058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CBC-4BA4-A9E8-F3EEABD46B4E}"/>
                </c:ext>
              </c:extLst>
            </c:dLbl>
            <c:dLbl>
              <c:idx val="3"/>
              <c:layout>
                <c:manualLayout>
                  <c:x val="-0.11989072034078994"/>
                  <c:y val="3.10411918254836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CBC-4BA4-A9E8-F3EEABD46B4E}"/>
                </c:ext>
              </c:extLst>
            </c:dLbl>
            <c:dLbl>
              <c:idx val="4"/>
              <c:layout>
                <c:manualLayout>
                  <c:x val="-0.11525989238716926"/>
                  <c:y val="-4.32557798802960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CBC-4BA4-A9E8-F3EEABD46B4E}"/>
                </c:ext>
              </c:extLst>
            </c:dLbl>
            <c:dLbl>
              <c:idx val="5"/>
              <c:layout>
                <c:manualLayout>
                  <c:x val="-8.9735641782749523E-2"/>
                  <c:y val="-8.99165907459431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CBC-4BA4-A9E8-F3EEABD46B4E}"/>
                </c:ext>
              </c:extLst>
            </c:dLbl>
            <c:dLbl>
              <c:idx val="6"/>
              <c:layout>
                <c:manualLayout>
                  <c:x val="-9.1907188961355191E-2"/>
                  <c:y val="-8.36204674135951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BC-4BA4-A9E8-F3EEABD46B4E}"/>
                </c:ext>
              </c:extLst>
            </c:dLbl>
            <c:dLbl>
              <c:idx val="9"/>
              <c:layout>
                <c:manualLayout>
                  <c:x val="-4.5953594480677595E-2"/>
                  <c:y val="-9.21969256098612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CBC-4BA4-A9E8-F3EEABD46B4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Assumptions_Dashboard!$K$79:$K$88</c:f>
              <c:strCache>
                <c:ptCount val="7"/>
                <c:pt idx="0">
                  <c:v>Pre-operative</c:v>
                </c:pt>
                <c:pt idx="1">
                  <c:v>Land and R&amp;R</c:v>
                </c:pt>
                <c:pt idx="2">
                  <c:v>HEMM</c:v>
                </c:pt>
                <c:pt idx="3">
                  <c:v>CHP and Infrastructure</c:v>
                </c:pt>
                <c:pt idx="4">
                  <c:v>Railway Siding</c:v>
                </c:pt>
                <c:pt idx="5">
                  <c:v>Others</c:v>
                </c:pt>
                <c:pt idx="6">
                  <c:v>Contingency</c:v>
                </c:pt>
              </c:strCache>
            </c:strRef>
          </c:cat>
          <c:val>
            <c:numRef>
              <c:f>Assumptions_Dashboard!$L$79:$L$88</c:f>
              <c:numCache>
                <c:formatCode>"₹"\ #,##0</c:formatCode>
                <c:ptCount val="10"/>
                <c:pt idx="0">
                  <c:v>313.19704000000002</c:v>
                </c:pt>
                <c:pt idx="1">
                  <c:v>2033.6480487587787</c:v>
                </c:pt>
                <c:pt idx="2">
                  <c:v>701.5158371549536</c:v>
                </c:pt>
                <c:pt idx="3">
                  <c:v>567.91000000000008</c:v>
                </c:pt>
                <c:pt idx="4">
                  <c:v>540</c:v>
                </c:pt>
                <c:pt idx="5">
                  <c:v>59.35</c:v>
                </c:pt>
                <c:pt idx="6">
                  <c:v>617.48263888705969</c:v>
                </c:pt>
              </c:numCache>
            </c:numRef>
          </c:val>
          <c:extLst>
            <c:ext xmlns:c16="http://schemas.microsoft.com/office/drawing/2014/chart" uri="{C3380CC4-5D6E-409C-BE32-E72D297353CC}">
              <c16:uniqueId val="{00000000-ACBC-4BA4-A9E8-F3EEABD46B4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6DF-4B5C-80E9-E1B35C93C1D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DF-4B5C-80E9-E1B35C93C1D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6DF-4B5C-80E9-E1B35C93C1D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6DF-4B5C-80E9-E1B35C93C1D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6DF-4B5C-80E9-E1B35C93C1D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6DF-4B5C-80E9-E1B35C93C1D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6DF-4B5C-80E9-E1B35C93C1D4}"/>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6DF-4B5C-80E9-E1B35C93C1D4}"/>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6DF-4B5C-80E9-E1B35C93C1D4}"/>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36DF-4B5C-80E9-E1B35C93C1D4}"/>
              </c:ext>
            </c:extLst>
          </c:dPt>
          <c:dLbls>
            <c:dLbl>
              <c:idx val="0"/>
              <c:layout>
                <c:manualLayout>
                  <c:x val="0.12839504508667313"/>
                  <c:y val="2.73637799075879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DF-4B5C-80E9-E1B35C93C1D4}"/>
                </c:ext>
              </c:extLst>
            </c:dLbl>
            <c:dLbl>
              <c:idx val="1"/>
              <c:layout>
                <c:manualLayout>
                  <c:x val="0.16028813065033537"/>
                  <c:y val="2.42345680171194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DF-4B5C-80E9-E1B35C93C1D4}"/>
                </c:ext>
              </c:extLst>
            </c:dLbl>
            <c:dLbl>
              <c:idx val="2"/>
              <c:layout>
                <c:manualLayout>
                  <c:x val="0.13251035287255761"/>
                  <c:y val="0.106672713823346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DF-4B5C-80E9-E1B35C93C1D4}"/>
                </c:ext>
              </c:extLst>
            </c:dLbl>
            <c:dLbl>
              <c:idx val="3"/>
              <c:layout>
                <c:manualLayout>
                  <c:x val="-0.13333333333333333"/>
                  <c:y val="-9.72565033072009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DF-4B5C-80E9-E1B35C93C1D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Assumptions_Dashboard!$K$95:$K$104</c:f>
              <c:strCache>
                <c:ptCount val="4"/>
                <c:pt idx="0">
                  <c:v>Electrical </c:v>
                </c:pt>
                <c:pt idx="1">
                  <c:v>Mine Dewatering System</c:v>
                </c:pt>
                <c:pt idx="2">
                  <c:v>Digitalisation</c:v>
                </c:pt>
                <c:pt idx="3">
                  <c:v>IDC</c:v>
                </c:pt>
              </c:strCache>
            </c:strRef>
          </c:cat>
          <c:val>
            <c:numRef>
              <c:f>Assumptions_Dashboard!$L$95:$L$104</c:f>
              <c:numCache>
                <c:formatCode>"₹"\ #,##0</c:formatCode>
                <c:ptCount val="10"/>
                <c:pt idx="0">
                  <c:v>34.35</c:v>
                </c:pt>
                <c:pt idx="1">
                  <c:v>15</c:v>
                </c:pt>
                <c:pt idx="2">
                  <c:v>10</c:v>
                </c:pt>
                <c:pt idx="3">
                  <c:v>0</c:v>
                </c:pt>
              </c:numCache>
            </c:numRef>
          </c:val>
          <c:extLst>
            <c:ext xmlns:c16="http://schemas.microsoft.com/office/drawing/2014/chart" uri="{C3380CC4-5D6E-409C-BE32-E72D297353CC}">
              <c16:uniqueId val="{00000014-36DF-4B5C-80E9-E1B35C93C1D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267-47BF-8BFA-97DF9306D1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267-47BF-8BFA-97DF9306D1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267-47BF-8BFA-97DF9306D112}"/>
              </c:ext>
            </c:extLst>
          </c:dPt>
          <c:dLbls>
            <c:dLbl>
              <c:idx val="0"/>
              <c:layout>
                <c:manualLayout>
                  <c:x val="0.10035704953921118"/>
                  <c:y val="-0.248327873304312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67-47BF-8BFA-97DF9306D112}"/>
                </c:ext>
              </c:extLst>
            </c:dLbl>
            <c:dLbl>
              <c:idx val="1"/>
              <c:layout>
                <c:manualLayout>
                  <c:x val="0.18049334416157609"/>
                  <c:y val="5.63735051084927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67-47BF-8BFA-97DF9306D112}"/>
                </c:ext>
              </c:extLst>
            </c:dLbl>
            <c:dLbl>
              <c:idx val="2"/>
              <c:layout>
                <c:manualLayout>
                  <c:x val="-0.15185185185185185"/>
                  <c:y val="9.59501526250757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67-47BF-8BFA-97DF9306D11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Assumptions_Dashboard!$K$109:$K$111</c:f>
              <c:strCache>
                <c:ptCount val="3"/>
                <c:pt idx="0">
                  <c:v> MDO/ Contractor Cost </c:v>
                </c:pt>
                <c:pt idx="1">
                  <c:v> Owner's Mining cost </c:v>
                </c:pt>
                <c:pt idx="2">
                  <c:v> Government Fees &amp; Charges </c:v>
                </c:pt>
              </c:strCache>
            </c:strRef>
          </c:cat>
          <c:val>
            <c:numRef>
              <c:f>Assumptions_Dashboard!$L$109:$L$111</c:f>
              <c:numCache>
                <c:formatCode>_(* #,##0_);_(* \(#,##0\);_(* "-"??_);_(@_)</c:formatCode>
                <c:ptCount val="3"/>
                <c:pt idx="0">
                  <c:v>0</c:v>
                </c:pt>
                <c:pt idx="1">
                  <c:v>435.83284286857162</c:v>
                </c:pt>
                <c:pt idx="2">
                  <c:v>442.47507952467447</c:v>
                </c:pt>
              </c:numCache>
            </c:numRef>
          </c:val>
          <c:extLst>
            <c:ext xmlns:c16="http://schemas.microsoft.com/office/drawing/2014/chart" uri="{C3380CC4-5D6E-409C-BE32-E72D297353CC}">
              <c16:uniqueId val="{00000014-A267-47BF-8BFA-97DF9306D11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ABE-4CBE-A60C-146246F994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ABE-4CBE-A60C-146246F994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ABE-4CBE-A60C-146246F994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ABE-4CBE-A60C-146246F994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2ABE-4CBE-A60C-146246F994F2}"/>
              </c:ext>
            </c:extLst>
          </c:dPt>
          <c:dLbls>
            <c:dLbl>
              <c:idx val="0"/>
              <c:layout>
                <c:manualLayout>
                  <c:x val="0.15721393034825865"/>
                  <c:y val="-5.5312567962689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BE-4CBE-A60C-146246F994F2}"/>
                </c:ext>
              </c:extLst>
            </c:dLbl>
            <c:dLbl>
              <c:idx val="1"/>
              <c:layout>
                <c:manualLayout>
                  <c:x val="2.3880597014925301E-2"/>
                  <c:y val="8.36713488285388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BE-4CBE-A60C-146246F994F2}"/>
                </c:ext>
              </c:extLst>
            </c:dLbl>
            <c:dLbl>
              <c:idx val="2"/>
              <c:layout>
                <c:manualLayout>
                  <c:x val="-0.13532338308457714"/>
                  <c:y val="0.106856852882998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BE-4CBE-A60C-146246F994F2}"/>
                </c:ext>
              </c:extLst>
            </c:dLbl>
            <c:dLbl>
              <c:idx val="3"/>
              <c:layout>
                <c:manualLayout>
                  <c:x val="-0.17910447761194034"/>
                  <c:y val="2.05248762144105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BE-4CBE-A60C-146246F994F2}"/>
                </c:ext>
              </c:extLst>
            </c:dLbl>
            <c:dLbl>
              <c:idx val="4"/>
              <c:layout>
                <c:manualLayout>
                  <c:x val="-0.17512437810945278"/>
                  <c:y val="-4.48238985497527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ABE-4CBE-A60C-146246F994F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Assumptions_Dashboard!$K$116:$K$120</c:f>
              <c:strCache>
                <c:ptCount val="5"/>
                <c:pt idx="0">
                  <c:v>HEMM Consumable</c:v>
                </c:pt>
                <c:pt idx="1">
                  <c:v>Owner Wage</c:v>
                </c:pt>
                <c:pt idx="2">
                  <c:v>Explosives</c:v>
                </c:pt>
                <c:pt idx="3">
                  <c:v>Others</c:v>
                </c:pt>
                <c:pt idx="4">
                  <c:v>Contingency</c:v>
                </c:pt>
              </c:strCache>
            </c:strRef>
          </c:cat>
          <c:val>
            <c:numRef>
              <c:f>Assumptions_Dashboard!$L$116:$L$120</c:f>
              <c:numCache>
                <c:formatCode>"₹"\ #,##0</c:formatCode>
                <c:ptCount val="5"/>
                <c:pt idx="0">
                  <c:v>196.25009508139709</c:v>
                </c:pt>
                <c:pt idx="1">
                  <c:v>41.628473919864355</c:v>
                </c:pt>
                <c:pt idx="2">
                  <c:v>56.41307818787574</c:v>
                </c:pt>
                <c:pt idx="3">
                  <c:v>84.655003155422548</c:v>
                </c:pt>
                <c:pt idx="4">
                  <c:v>56.886192524011889</c:v>
                </c:pt>
              </c:numCache>
            </c:numRef>
          </c:val>
          <c:extLst>
            <c:ext xmlns:c16="http://schemas.microsoft.com/office/drawing/2014/chart" uri="{C3380CC4-5D6E-409C-BE32-E72D297353CC}">
              <c16:uniqueId val="{00000006-2ABE-4CBE-A60C-146246F994F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8E2-47AF-97B3-65E73EF94CB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E2-47AF-97B3-65E73EF94CB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8E2-47AF-97B3-65E73EF94CB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8E2-47AF-97B3-65E73EF94CB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8E2-47AF-97B3-65E73EF94CB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8E2-47AF-97B3-65E73EF94CB1}"/>
              </c:ext>
            </c:extLst>
          </c:dPt>
          <c:dLbls>
            <c:dLbl>
              <c:idx val="0"/>
              <c:layout>
                <c:manualLayout>
                  <c:x val="0.13930348258706468"/>
                  <c:y val="8.66595371961886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E2-47AF-97B3-65E73EF94CB1}"/>
                </c:ext>
              </c:extLst>
            </c:dLbl>
            <c:dLbl>
              <c:idx val="1"/>
              <c:layout>
                <c:manualLayout>
                  <c:x val="0.17711442786069645"/>
                  <c:y val="2.39060792265348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E2-47AF-97B3-65E73EF94CB1}"/>
                </c:ext>
              </c:extLst>
            </c:dLbl>
            <c:dLbl>
              <c:idx val="2"/>
              <c:layout>
                <c:manualLayout>
                  <c:x val="-0.1253731343283582"/>
                  <c:y val="1.49412995165842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E2-47AF-97B3-65E73EF94CB1}"/>
                </c:ext>
              </c:extLst>
            </c:dLbl>
            <c:dLbl>
              <c:idx val="3"/>
              <c:layout>
                <c:manualLayout>
                  <c:x val="-0.16517412935323383"/>
                  <c:y val="-8.9647797099505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E2-47AF-97B3-65E73EF94CB1}"/>
                </c:ext>
              </c:extLst>
            </c:dLbl>
            <c:dLbl>
              <c:idx val="4"/>
              <c:layout>
                <c:manualLayout>
                  <c:x val="-1.5920398009950213E-2"/>
                  <c:y val="-7.76947574862381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8E2-47AF-97B3-65E73EF94CB1}"/>
                </c:ext>
              </c:extLst>
            </c:dLbl>
            <c:dLbl>
              <c:idx val="5"/>
              <c:layout>
                <c:manualLayout>
                  <c:x val="0.19502487562189047"/>
                  <c:y val="-5.37886782597033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8E2-47AF-97B3-65E73EF94CB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Assumptions_Dashboard!$K$122:$K$127</c:f>
              <c:strCache>
                <c:ptCount val="6"/>
                <c:pt idx="0">
                  <c:v>Revenue Sharing</c:v>
                </c:pt>
                <c:pt idx="1">
                  <c:v>GST on Revenue Sharing</c:v>
                </c:pt>
                <c:pt idx="2">
                  <c:v>Royalty</c:v>
                </c:pt>
                <c:pt idx="3">
                  <c:v>DMF, NMET etc.</c:v>
                </c:pt>
                <c:pt idx="4">
                  <c:v>GST on Royalty etc.</c:v>
                </c:pt>
                <c:pt idx="5">
                  <c:v>Progressive Mine Closure</c:v>
                </c:pt>
              </c:strCache>
            </c:strRef>
          </c:cat>
          <c:val>
            <c:numRef>
              <c:f>Assumptions_Dashboard!$L$122:$L$127</c:f>
              <c:numCache>
                <c:formatCode>"₹"\ #,##0</c:formatCode>
                <c:ptCount val="6"/>
                <c:pt idx="0">
                  <c:v>204.54301073408092</c:v>
                </c:pt>
                <c:pt idx="1">
                  <c:v>36.817741932134567</c:v>
                </c:pt>
                <c:pt idx="2">
                  <c:v>139.28825337729199</c:v>
                </c:pt>
                <c:pt idx="3">
                  <c:v>20.499304841435215</c:v>
                </c:pt>
                <c:pt idx="4" formatCode="#,##0;[Red]\(#,##0\);\-">
                  <c:v>28.362990506769531</c:v>
                </c:pt>
                <c:pt idx="5" formatCode="#,##0;[Red]\(#,##0\);\-">
                  <c:v>12.963778132962286</c:v>
                </c:pt>
              </c:numCache>
            </c:numRef>
          </c:val>
          <c:extLst>
            <c:ext xmlns:c16="http://schemas.microsoft.com/office/drawing/2014/chart" uri="{C3380CC4-5D6E-409C-BE32-E72D297353CC}">
              <c16:uniqueId val="{0000000A-78E2-47AF-97B3-65E73EF94CB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Assumptions_Dashboard!$L$78</c:f>
              <c:strCache>
                <c:ptCount val="1"/>
                <c:pt idx="0">
                  <c:v>INR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19A-4BEA-8302-0C9E87D325B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19A-4BEA-8302-0C9E87D325B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19A-4BEA-8302-0C9E87D325B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19A-4BEA-8302-0C9E87D325B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19A-4BEA-8302-0C9E87D325B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319A-4BEA-8302-0C9E87D325B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19A-4BEA-8302-0C9E87D325B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319A-4BEA-8302-0C9E87D325B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19A-4BEA-8302-0C9E87D325BF}"/>
              </c:ext>
            </c:extLst>
          </c:dPt>
          <c:dLbls>
            <c:dLbl>
              <c:idx val="0"/>
              <c:layout>
                <c:manualLayout>
                  <c:x val="8.9887633380507953E-2"/>
                  <c:y val="-6.68490393850063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9A-4BEA-8302-0C9E87D325BF}"/>
                </c:ext>
              </c:extLst>
            </c:dLbl>
            <c:dLbl>
              <c:idx val="1"/>
              <c:layout>
                <c:manualLayout>
                  <c:x val="9.1885136344519239E-2"/>
                  <c:y val="-6.68490393850063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9A-4BEA-8302-0C9E87D325BF}"/>
                </c:ext>
              </c:extLst>
            </c:dLbl>
            <c:dLbl>
              <c:idx val="2"/>
              <c:layout>
                <c:manualLayout>
                  <c:x val="0.15181022526485788"/>
                  <c:y val="-5.1064648515924927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9A-4BEA-8302-0C9E87D325BF}"/>
                </c:ext>
              </c:extLst>
            </c:dLbl>
            <c:dLbl>
              <c:idx val="3"/>
              <c:layout>
                <c:manualLayout>
                  <c:x val="0.17777776379700447"/>
                  <c:y val="6.9634416026048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9A-4BEA-8302-0C9E87D325BF}"/>
                </c:ext>
              </c:extLst>
            </c:dLbl>
            <c:dLbl>
              <c:idx val="4"/>
              <c:layout>
                <c:manualLayout>
                  <c:x val="0.13383269858875629"/>
                  <c:y val="0.108629689000635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19A-4BEA-8302-0C9E87D325BF}"/>
                </c:ext>
              </c:extLst>
            </c:dLbl>
            <c:dLbl>
              <c:idx val="5"/>
              <c:layout>
                <c:manualLayout>
                  <c:x val="-0.11985017784067731"/>
                  <c:y val="7.24197926670903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319A-4BEA-8302-0C9E87D325BF}"/>
                </c:ext>
              </c:extLst>
            </c:dLbl>
            <c:dLbl>
              <c:idx val="6"/>
              <c:layout>
                <c:manualLayout>
                  <c:x val="-0.1438202134088127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19A-4BEA-8302-0C9E87D325BF}"/>
                </c:ext>
              </c:extLst>
            </c:dLbl>
            <c:dLbl>
              <c:idx val="7"/>
              <c:layout>
                <c:manualLayout>
                  <c:x val="-0.12983769266073372"/>
                  <c:y val="-3.34245196925031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19A-4BEA-8302-0C9E87D325BF}"/>
                </c:ext>
              </c:extLst>
            </c:dLbl>
            <c:dLbl>
              <c:idx val="8"/>
              <c:layout>
                <c:manualLayout>
                  <c:x val="1.9975029640112879E-3"/>
                  <c:y val="-9.19174291543837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19A-4BEA-8302-0C9E87D325B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Assumptions_Dashboard!$K$131:$K$139</c:f>
              <c:strCache>
                <c:ptCount val="9"/>
                <c:pt idx="0">
                  <c:v>CHP</c:v>
                </c:pt>
                <c:pt idx="1">
                  <c:v>Power</c:v>
                </c:pt>
                <c:pt idx="2">
                  <c:v>Civil Infrastructure Maintenance</c:v>
                </c:pt>
                <c:pt idx="3">
                  <c:v>Railway Track &amp; Siding Repair &amp; Maintenance</c:v>
                </c:pt>
                <c:pt idx="4">
                  <c:v>Fire Fighting &amp; Dust Suppression </c:v>
                </c:pt>
                <c:pt idx="5">
                  <c:v>Rehandling</c:v>
                </c:pt>
                <c:pt idx="6">
                  <c:v>Environment Management &amp; OHS  costs</c:v>
                </c:pt>
                <c:pt idx="7">
                  <c:v>Admin and Overhead </c:v>
                </c:pt>
                <c:pt idx="8">
                  <c:v>R&amp;R (Resettlement &amp; Rehabilitation)</c:v>
                </c:pt>
              </c:strCache>
            </c:strRef>
          </c:cat>
          <c:val>
            <c:numRef>
              <c:f>Assumptions_Dashboard!$L$131:$L$139</c:f>
              <c:numCache>
                <c:formatCode>_(* #,##0_);_(* \(#,##0\);_(* "-"??_);_(@_)</c:formatCode>
                <c:ptCount val="9"/>
                <c:pt idx="0">
                  <c:v>9.7551601186946595</c:v>
                </c:pt>
                <c:pt idx="1">
                  <c:v>10.001118940936532</c:v>
                </c:pt>
                <c:pt idx="2">
                  <c:v>4.0196379593492946</c:v>
                </c:pt>
                <c:pt idx="3">
                  <c:v>15.910190038052706</c:v>
                </c:pt>
                <c:pt idx="4">
                  <c:v>1</c:v>
                </c:pt>
                <c:pt idx="5">
                  <c:v>23.459001451818843</c:v>
                </c:pt>
                <c:pt idx="6">
                  <c:v>2.6937887895115691</c:v>
                </c:pt>
                <c:pt idx="7">
                  <c:v>14.999999999999998</c:v>
                </c:pt>
                <c:pt idx="8">
                  <c:v>3.2669140981709233</c:v>
                </c:pt>
              </c:numCache>
            </c:numRef>
          </c:val>
          <c:extLst>
            <c:ext xmlns:c16="http://schemas.microsoft.com/office/drawing/2014/chart" uri="{C3380CC4-5D6E-409C-BE32-E72D297353CC}">
              <c16:uniqueId val="{00000006-2ABE-4CBE-A60C-146246F994F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OPEX</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'Owner OPEX'!$B$13:$B$30</c:f>
              <c:strCache>
                <c:ptCount val="18"/>
                <c:pt idx="0">
                  <c:v>Diesel </c:v>
                </c:pt>
                <c:pt idx="1">
                  <c:v>Lubrication</c:v>
                </c:pt>
                <c:pt idx="2">
                  <c:v>HEMM Spares (including drill consumables)</c:v>
                </c:pt>
                <c:pt idx="3">
                  <c:v>Tyres</c:v>
                </c:pt>
                <c:pt idx="4">
                  <c:v>CHP</c:v>
                </c:pt>
                <c:pt idx="5">
                  <c:v>Power</c:v>
                </c:pt>
                <c:pt idx="6">
                  <c:v>Owner Wage</c:v>
                </c:pt>
                <c:pt idx="7">
                  <c:v>Explosives</c:v>
                </c:pt>
                <c:pt idx="8">
                  <c:v>Civil Infrastructure</c:v>
                </c:pt>
                <c:pt idx="9">
                  <c:v>Railway Track &amp; Siding</c:v>
                </c:pt>
                <c:pt idx="10">
                  <c:v>Fire Fighting &amp; Dust Suppression </c:v>
                </c:pt>
                <c:pt idx="11">
                  <c:v>Rehandling</c:v>
                </c:pt>
                <c:pt idx="12">
                  <c:v>Digitalisation (AMC)</c:v>
                </c:pt>
                <c:pt idx="13">
                  <c:v>Environment Management &amp; OHS  costs</c:v>
                </c:pt>
                <c:pt idx="14">
                  <c:v>Other Misc.</c:v>
                </c:pt>
                <c:pt idx="15">
                  <c:v>Admin and Overhead </c:v>
                </c:pt>
                <c:pt idx="16">
                  <c:v>R&amp;R</c:v>
                </c:pt>
                <c:pt idx="17">
                  <c:v>Contingency</c:v>
                </c:pt>
              </c:strCache>
            </c:strRef>
          </c:cat>
          <c:val>
            <c:numRef>
              <c:f>'Owner OPEX'!$D$13:$D$30</c:f>
              <c:numCache>
                <c:formatCode>#,##0;[Red]\(#,##0\);\-</c:formatCode>
                <c:ptCount val="18"/>
                <c:pt idx="0">
                  <c:v>128.69363752327683</c:v>
                </c:pt>
                <c:pt idx="1">
                  <c:v>7.4349181000981588</c:v>
                </c:pt>
                <c:pt idx="2">
                  <c:v>47.514654954956939</c:v>
                </c:pt>
                <c:pt idx="3">
                  <c:v>12.606884503065155</c:v>
                </c:pt>
                <c:pt idx="4">
                  <c:v>9.7551601186946595</c:v>
                </c:pt>
                <c:pt idx="5">
                  <c:v>10.001118940936532</c:v>
                </c:pt>
                <c:pt idx="6">
                  <c:v>41.628473919864355</c:v>
                </c:pt>
                <c:pt idx="7">
                  <c:v>56.41307818787574</c:v>
                </c:pt>
                <c:pt idx="8">
                  <c:v>4.0196379593492946</c:v>
                </c:pt>
                <c:pt idx="9">
                  <c:v>15.910190038052706</c:v>
                </c:pt>
                <c:pt idx="10">
                  <c:v>0.42574490009233629</c:v>
                </c:pt>
                <c:pt idx="11">
                  <c:v>23.459001451818843</c:v>
                </c:pt>
                <c:pt idx="12">
                  <c:v>0.29463314885282793</c:v>
                </c:pt>
                <c:pt idx="13">
                  <c:v>2.6937887895115691</c:v>
                </c:pt>
                <c:pt idx="14" formatCode="#,##0.0;[Red]\(#,##0.0\);\-">
                  <c:v>0.1234468587956679</c:v>
                </c:pt>
                <c:pt idx="15">
                  <c:v>14.999999999999998</c:v>
                </c:pt>
                <c:pt idx="16">
                  <c:v>3.2669140981709233</c:v>
                </c:pt>
                <c:pt idx="17">
                  <c:v>56.886192524011889</c:v>
                </c:pt>
              </c:numCache>
            </c:numRef>
          </c:val>
          <c:extLst>
            <c:ext xmlns:c16="http://schemas.microsoft.com/office/drawing/2014/chart" uri="{C3380CC4-5D6E-409C-BE32-E72D297353CC}">
              <c16:uniqueId val="{00000000-8FD9-4411-84FB-82DFF4A8F62D}"/>
            </c:ext>
          </c:extLst>
        </c:ser>
        <c:dLbls>
          <c:showLegendKey val="0"/>
          <c:showVal val="0"/>
          <c:showCatName val="0"/>
          <c:showSerName val="0"/>
          <c:showPercent val="0"/>
          <c:showBubbleSize val="0"/>
        </c:dLbls>
        <c:gapWidth val="219"/>
        <c:overlap val="-27"/>
        <c:axId val="1652822016"/>
        <c:axId val="1652816736"/>
      </c:barChart>
      <c:catAx>
        <c:axId val="16528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816736"/>
        <c:crosses val="autoZero"/>
        <c:auto val="1"/>
        <c:lblAlgn val="ctr"/>
        <c:lblOffset val="100"/>
        <c:noMultiLvlLbl val="0"/>
      </c:catAx>
      <c:valAx>
        <c:axId val="1652816736"/>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82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Waste volume in Mbcm</c:v>
          </c:tx>
          <c:spPr>
            <a:solidFill>
              <a:schemeClr val="bg1">
                <a:lumMod val="65000"/>
              </a:schemeClr>
            </a:solidFill>
          </c:spPr>
          <c:invertIfNegative val="0"/>
          <c:cat>
            <c:numRef>
              <c:f>'Production Schedule'!$E$50:$AB$50</c:f>
              <c:numCache>
                <c:formatCode>General</c:formatCode>
                <c:ptCount val="24"/>
                <c:pt idx="5">
                  <c:v>9</c:v>
                </c:pt>
                <c:pt idx="6" formatCode="_(* #,##0.0_);_(* \(#,##0.0\);_(* &quot;-&quot;??_);_(@_)">
                  <c:v>15.000003719999999</c:v>
                </c:pt>
                <c:pt idx="7" formatCode="_(* #,##0_);_(* \(#,##0\);_(* &quot;-&quot;??_);_(@_)">
                  <c:v>3190</c:v>
                </c:pt>
                <c:pt idx="8" formatCode="_(* #,##0_);_(* \(#,##0\);_(* &quot;-&quot;??_);_(@_)">
                  <c:v>3190</c:v>
                </c:pt>
                <c:pt idx="9" formatCode="_(* #,##0.0_);_(* \(#,##0.0\);_(* &quot;-&quot;??_);_(@_)">
                  <c:v>100.99999917</c:v>
                </c:pt>
                <c:pt idx="10" formatCode="_(* #,##0.0_);_(* \(#,##0.0\);_(* &quot;-&quot;??_);_(@_)">
                  <c:v>37.865191711111116</c:v>
                </c:pt>
              </c:numCache>
            </c:numRef>
          </c:cat>
          <c:val>
            <c:numRef>
              <c:f>'Production Schedule'!$E$54:$AB$54</c:f>
              <c:numCache>
                <c:formatCode>General</c:formatCode>
                <c:ptCount val="24"/>
                <c:pt idx="5">
                  <c:v>13</c:v>
                </c:pt>
                <c:pt idx="6" formatCode="_(* #,##0.0_);_(* \(#,##0.0\);_(* &quot;-&quot;??_);_(@_)">
                  <c:v>15.00001569</c:v>
                </c:pt>
                <c:pt idx="7" formatCode="_(* #,##0_);_(* \(#,##0\);_(* &quot;-&quot;??_);_(@_)">
                  <c:v>3120</c:v>
                </c:pt>
                <c:pt idx="8" formatCode="_(* #,##0_);_(* \(#,##0\);_(* &quot;-&quot;??_);_(@_)">
                  <c:v>3120</c:v>
                </c:pt>
                <c:pt idx="9" formatCode="_(* #,##0.0_);_(* \(#,##0.0\);_(* &quot;-&quot;??_);_(@_)">
                  <c:v>161.00000892</c:v>
                </c:pt>
                <c:pt idx="10" formatCode="_(* #,##0.0_);_(* \(#,##0.0\);_(* &quot;-&quot;??_);_(@_)">
                  <c:v>25.4498801284916</c:v>
                </c:pt>
              </c:numCache>
            </c:numRef>
          </c:val>
          <c:extLst>
            <c:ext xmlns:c16="http://schemas.microsoft.com/office/drawing/2014/chart" uri="{C3380CC4-5D6E-409C-BE32-E72D297353CC}">
              <c16:uniqueId val="{00000000-0746-49ED-96A6-A2719998B8AD}"/>
            </c:ext>
          </c:extLst>
        </c:ser>
        <c:ser>
          <c:idx val="1"/>
          <c:order val="1"/>
          <c:tx>
            <c:v>Waste rehandle volume in Mbcm</c:v>
          </c:tx>
          <c:spPr>
            <a:solidFill>
              <a:srgbClr val="FFC000"/>
            </a:solidFill>
          </c:spPr>
          <c:invertIfNegative val="0"/>
          <c:cat>
            <c:numRef>
              <c:f>'Production Schedule'!$E$50:$AB$50</c:f>
              <c:numCache>
                <c:formatCode>General</c:formatCode>
                <c:ptCount val="24"/>
                <c:pt idx="5">
                  <c:v>9</c:v>
                </c:pt>
                <c:pt idx="6" formatCode="_(* #,##0.0_);_(* \(#,##0.0\);_(* &quot;-&quot;??_);_(@_)">
                  <c:v>15.000003719999999</c:v>
                </c:pt>
                <c:pt idx="7" formatCode="_(* #,##0_);_(* \(#,##0\);_(* &quot;-&quot;??_);_(@_)">
                  <c:v>3190</c:v>
                </c:pt>
                <c:pt idx="8" formatCode="_(* #,##0_);_(* \(#,##0\);_(* &quot;-&quot;??_);_(@_)">
                  <c:v>3190</c:v>
                </c:pt>
                <c:pt idx="9" formatCode="_(* #,##0.0_);_(* \(#,##0.0\);_(* &quot;-&quot;??_);_(@_)">
                  <c:v>100.99999917</c:v>
                </c:pt>
                <c:pt idx="10" formatCode="_(* #,##0.0_);_(* \(#,##0.0\);_(* &quot;-&quot;??_);_(@_)">
                  <c:v>37.865191711111116</c:v>
                </c:pt>
              </c:numCache>
            </c:numRef>
          </c:cat>
          <c:val>
            <c:numLit>
              <c:formatCode>General</c:formatCode>
              <c:ptCount val="24"/>
            </c:numLit>
          </c:val>
          <c:extLst xmlns:c15="http://schemas.microsoft.com/office/drawing/2012/chart">
            <c:ext xmlns:c16="http://schemas.microsoft.com/office/drawing/2014/chart" uri="{C3380CC4-5D6E-409C-BE32-E72D297353CC}">
              <c16:uniqueId val="{00000004-0746-49ED-96A6-A2719998B8AD}"/>
            </c:ext>
          </c:extLst>
        </c:ser>
        <c:ser>
          <c:idx val="3"/>
          <c:order val="3"/>
          <c:tx>
            <c:v>RoM in Mt</c:v>
          </c:tx>
          <c:spPr>
            <a:solidFill>
              <a:schemeClr val="tx1"/>
            </a:solidFill>
          </c:spPr>
          <c:invertIfNegative val="0"/>
          <c:cat>
            <c:numRef>
              <c:f>'Production Schedule'!$E$50:$AB$50</c:f>
              <c:numCache>
                <c:formatCode>General</c:formatCode>
                <c:ptCount val="24"/>
                <c:pt idx="5">
                  <c:v>9</c:v>
                </c:pt>
                <c:pt idx="6" formatCode="_(* #,##0.0_);_(* \(#,##0.0\);_(* &quot;-&quot;??_);_(@_)">
                  <c:v>15.000003719999999</c:v>
                </c:pt>
                <c:pt idx="7" formatCode="_(* #,##0_);_(* \(#,##0\);_(* &quot;-&quot;??_);_(@_)">
                  <c:v>3190</c:v>
                </c:pt>
                <c:pt idx="8" formatCode="_(* #,##0_);_(* \(#,##0\);_(* &quot;-&quot;??_);_(@_)">
                  <c:v>3190</c:v>
                </c:pt>
                <c:pt idx="9" formatCode="_(* #,##0.0_);_(* \(#,##0.0\);_(* &quot;-&quot;??_);_(@_)">
                  <c:v>100.99999917</c:v>
                </c:pt>
                <c:pt idx="10" formatCode="_(* #,##0.0_);_(* \(#,##0.0\);_(* &quot;-&quot;??_);_(@_)">
                  <c:v>37.865191711111116</c:v>
                </c:pt>
              </c:numCache>
            </c:numRef>
          </c:cat>
          <c:val>
            <c:numRef>
              <c:f>'Production Schedule'!$E$68:$AB$68</c:f>
              <c:numCache>
                <c:formatCode>General</c:formatCode>
                <c:ptCount val="24"/>
              </c:numCache>
            </c:numRef>
          </c:val>
          <c:extLst>
            <c:ext xmlns:c16="http://schemas.microsoft.com/office/drawing/2014/chart" uri="{C3380CC4-5D6E-409C-BE32-E72D297353CC}">
              <c16:uniqueId val="{00000001-0746-49ED-96A6-A2719998B8AD}"/>
            </c:ext>
          </c:extLst>
        </c:ser>
        <c:dLbls>
          <c:showLegendKey val="0"/>
          <c:showVal val="0"/>
          <c:showCatName val="0"/>
          <c:showSerName val="0"/>
          <c:showPercent val="0"/>
          <c:showBubbleSize val="0"/>
        </c:dLbls>
        <c:gapWidth val="150"/>
        <c:axId val="443352232"/>
        <c:axId val="509424512"/>
        <c:extLst/>
      </c:barChart>
      <c:lineChart>
        <c:grouping val="standard"/>
        <c:varyColors val="0"/>
        <c:ser>
          <c:idx val="2"/>
          <c:order val="2"/>
          <c:tx>
            <c:v>Strip Ratio</c:v>
          </c:tx>
          <c:spPr>
            <a:ln>
              <a:solidFill>
                <a:schemeClr val="accent6">
                  <a:lumMod val="75000"/>
                </a:schemeClr>
              </a:solidFill>
            </a:ln>
          </c:spPr>
          <c:marker>
            <c:symbol val="none"/>
          </c:marker>
          <c:cat>
            <c:numRef>
              <c:f>'Production Schedule'!$E$9:$AB$9</c:f>
              <c:numCache>
                <c:formatCode>#,##0.0</c:formatCode>
                <c:ptCount val="24"/>
                <c:pt idx="4">
                  <c:v>6.1151144999999997E-2</c:v>
                </c:pt>
                <c:pt idx="5">
                  <c:v>8.6432905000000004E-2</c:v>
                </c:pt>
                <c:pt idx="6">
                  <c:v>0.17890220499999998</c:v>
                </c:pt>
                <c:pt idx="7">
                  <c:v>0.20884342</c:v>
                </c:pt>
                <c:pt idx="8">
                  <c:v>0.161722595</c:v>
                </c:pt>
                <c:pt idx="9">
                  <c:v>9.4374156000000001E-2</c:v>
                </c:pt>
                <c:pt idx="10">
                  <c:v>9.4374156000000001E-2</c:v>
                </c:pt>
                <c:pt idx="11">
                  <c:v>9.4374156000000001E-2</c:v>
                </c:pt>
                <c:pt idx="12">
                  <c:v>9.4374156000000001E-2</c:v>
                </c:pt>
                <c:pt idx="13">
                  <c:v>9.4374156000000001E-2</c:v>
                </c:pt>
                <c:pt idx="14">
                  <c:v>5.8265400000000002E-2</c:v>
                </c:pt>
                <c:pt idx="15">
                  <c:v>5.8265400000000002E-2</c:v>
                </c:pt>
                <c:pt idx="16">
                  <c:v>5.8265400000000002E-2</c:v>
                </c:pt>
                <c:pt idx="17">
                  <c:v>5.8265400000000002E-2</c:v>
                </c:pt>
                <c:pt idx="18">
                  <c:v>5.8265400000000002E-2</c:v>
                </c:pt>
                <c:pt idx="19">
                  <c:v>5.1695409499999997E-2</c:v>
                </c:pt>
                <c:pt idx="20">
                  <c:v>5.1695409499999997E-2</c:v>
                </c:pt>
                <c:pt idx="21">
                  <c:v>5.1695409499999997E-2</c:v>
                </c:pt>
                <c:pt idx="22">
                  <c:v>5.1695409499999997E-2</c:v>
                </c:pt>
              </c:numCache>
            </c:numRef>
          </c:cat>
          <c:val>
            <c:numRef>
              <c:f>'Production Schedule'!$E$70:$AB$70</c:f>
              <c:numCache>
                <c:formatCode>General</c:formatCode>
                <c:ptCount val="24"/>
              </c:numCache>
            </c:numRef>
          </c:val>
          <c:smooth val="0"/>
          <c:extLst>
            <c:ext xmlns:c16="http://schemas.microsoft.com/office/drawing/2014/chart" uri="{C3380CC4-5D6E-409C-BE32-E72D297353CC}">
              <c16:uniqueId val="{00000002-0746-49ED-96A6-A2719998B8AD}"/>
            </c:ext>
          </c:extLst>
        </c:ser>
        <c:dLbls>
          <c:showLegendKey val="0"/>
          <c:showVal val="0"/>
          <c:showCatName val="0"/>
          <c:showSerName val="0"/>
          <c:showPercent val="0"/>
          <c:showBubbleSize val="0"/>
        </c:dLbls>
        <c:marker val="1"/>
        <c:smooth val="0"/>
        <c:axId val="443352232"/>
        <c:axId val="509424512"/>
      </c:lineChart>
      <c:lineChart>
        <c:grouping val="standard"/>
        <c:varyColors val="0"/>
        <c:ser>
          <c:idx val="4"/>
          <c:order val="4"/>
          <c:tx>
            <c:strRef>
              <c:f>'Production Schedule'!$B$67</c:f>
              <c:strCache>
                <c:ptCount val="1"/>
              </c:strCache>
            </c:strRef>
          </c:tx>
          <c:marker>
            <c:symbol val="none"/>
          </c:marker>
          <c:cat>
            <c:numRef>
              <c:f>'Production Schedule'!$E$9:$AB$9</c:f>
              <c:numCache>
                <c:formatCode>#,##0.0</c:formatCode>
                <c:ptCount val="24"/>
                <c:pt idx="4">
                  <c:v>6.1151144999999997E-2</c:v>
                </c:pt>
                <c:pt idx="5">
                  <c:v>8.6432905000000004E-2</c:v>
                </c:pt>
                <c:pt idx="6">
                  <c:v>0.17890220499999998</c:v>
                </c:pt>
                <c:pt idx="7">
                  <c:v>0.20884342</c:v>
                </c:pt>
                <c:pt idx="8">
                  <c:v>0.161722595</c:v>
                </c:pt>
                <c:pt idx="9">
                  <c:v>9.4374156000000001E-2</c:v>
                </c:pt>
                <c:pt idx="10">
                  <c:v>9.4374156000000001E-2</c:v>
                </c:pt>
                <c:pt idx="11">
                  <c:v>9.4374156000000001E-2</c:v>
                </c:pt>
                <c:pt idx="12">
                  <c:v>9.4374156000000001E-2</c:v>
                </c:pt>
                <c:pt idx="13">
                  <c:v>9.4374156000000001E-2</c:v>
                </c:pt>
                <c:pt idx="14">
                  <c:v>5.8265400000000002E-2</c:v>
                </c:pt>
                <c:pt idx="15">
                  <c:v>5.8265400000000002E-2</c:v>
                </c:pt>
                <c:pt idx="16">
                  <c:v>5.8265400000000002E-2</c:v>
                </c:pt>
                <c:pt idx="17">
                  <c:v>5.8265400000000002E-2</c:v>
                </c:pt>
                <c:pt idx="18">
                  <c:v>5.8265400000000002E-2</c:v>
                </c:pt>
                <c:pt idx="19">
                  <c:v>5.1695409499999997E-2</c:v>
                </c:pt>
                <c:pt idx="20">
                  <c:v>5.1695409499999997E-2</c:v>
                </c:pt>
                <c:pt idx="21">
                  <c:v>5.1695409499999997E-2</c:v>
                </c:pt>
                <c:pt idx="22">
                  <c:v>5.1695409499999997E-2</c:v>
                </c:pt>
              </c:numCache>
            </c:numRef>
          </c:cat>
          <c:val>
            <c:numRef>
              <c:f>'Production Schedule'!$E$67:$AB$67</c:f>
              <c:numCache>
                <c:formatCode>General</c:formatCode>
                <c:ptCount val="24"/>
              </c:numCache>
            </c:numRef>
          </c:val>
          <c:smooth val="0"/>
          <c:extLst>
            <c:ext xmlns:c16="http://schemas.microsoft.com/office/drawing/2014/chart" uri="{C3380CC4-5D6E-409C-BE32-E72D297353CC}">
              <c16:uniqueId val="{00000003-0746-49ED-96A6-A2719998B8AD}"/>
            </c:ext>
          </c:extLst>
        </c:ser>
        <c:dLbls>
          <c:showLegendKey val="0"/>
          <c:showVal val="0"/>
          <c:showCatName val="0"/>
          <c:showSerName val="0"/>
          <c:showPercent val="0"/>
          <c:showBubbleSize val="0"/>
        </c:dLbls>
        <c:marker val="1"/>
        <c:smooth val="0"/>
        <c:axId val="509424120"/>
        <c:axId val="509429608"/>
      </c:lineChart>
      <c:catAx>
        <c:axId val="443352232"/>
        <c:scaling>
          <c:orientation val="minMax"/>
        </c:scaling>
        <c:delete val="0"/>
        <c:axPos val="b"/>
        <c:numFmt formatCode="General" sourceLinked="1"/>
        <c:majorTickMark val="out"/>
        <c:minorTickMark val="none"/>
        <c:tickLblPos val="nextTo"/>
        <c:crossAx val="509424512"/>
        <c:crosses val="autoZero"/>
        <c:auto val="1"/>
        <c:lblAlgn val="ctr"/>
        <c:lblOffset val="100"/>
        <c:noMultiLvlLbl val="0"/>
      </c:catAx>
      <c:valAx>
        <c:axId val="509424512"/>
        <c:scaling>
          <c:orientation val="minMax"/>
        </c:scaling>
        <c:delete val="0"/>
        <c:axPos val="l"/>
        <c:majorGridlines/>
        <c:numFmt formatCode="General" sourceLinked="1"/>
        <c:majorTickMark val="out"/>
        <c:minorTickMark val="none"/>
        <c:tickLblPos val="nextTo"/>
        <c:crossAx val="443352232"/>
        <c:crosses val="autoZero"/>
        <c:crossBetween val="between"/>
        <c:majorUnit val="2"/>
      </c:valAx>
      <c:valAx>
        <c:axId val="509429608"/>
        <c:scaling>
          <c:orientation val="minMax"/>
          <c:max val="5000"/>
          <c:min val="2500"/>
        </c:scaling>
        <c:delete val="0"/>
        <c:axPos val="r"/>
        <c:numFmt formatCode="General" sourceLinked="1"/>
        <c:majorTickMark val="out"/>
        <c:minorTickMark val="none"/>
        <c:tickLblPos val="nextTo"/>
        <c:crossAx val="509424120"/>
        <c:crosses val="max"/>
        <c:crossBetween val="between"/>
        <c:majorUnit val="500"/>
      </c:valAx>
      <c:catAx>
        <c:axId val="509424120"/>
        <c:scaling>
          <c:orientation val="minMax"/>
        </c:scaling>
        <c:delete val="1"/>
        <c:axPos val="b"/>
        <c:numFmt formatCode="#,##0.0" sourceLinked="1"/>
        <c:majorTickMark val="out"/>
        <c:minorTickMark val="none"/>
        <c:tickLblPos val="nextTo"/>
        <c:crossAx val="509429608"/>
        <c:crosses val="autoZero"/>
        <c:auto val="1"/>
        <c:lblAlgn val="ctr"/>
        <c:lblOffset val="100"/>
        <c:noMultiLvlLbl val="0"/>
      </c:catAx>
    </c:plotArea>
    <c:legend>
      <c:legendPos val="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cost components</a:t>
            </a:r>
          </a:p>
        </c:rich>
      </c:tx>
      <c:overlay val="0"/>
    </c:title>
    <c:autoTitleDeleted val="0"/>
    <c:plotArea>
      <c:layout>
        <c:manualLayout>
          <c:layoutTarget val="inner"/>
          <c:xMode val="edge"/>
          <c:yMode val="edge"/>
          <c:x val="7.174660402112977E-2"/>
          <c:y val="0.16604468075535891"/>
          <c:w val="0.32421626133688097"/>
          <c:h val="0.80247836807798945"/>
        </c:manualLayout>
      </c:layout>
      <c:pieChart>
        <c:varyColors val="1"/>
        <c:ser>
          <c:idx val="0"/>
          <c:order val="0"/>
          <c:dLbls>
            <c:numFmt formatCode="0.00%" sourceLinked="0"/>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Dashboard!$C$30:$C$45</c:f>
              <c:strCache>
                <c:ptCount val="16"/>
                <c:pt idx="0">
                  <c:v>Tyres</c:v>
                </c:pt>
                <c:pt idx="1">
                  <c:v>CHP</c:v>
                </c:pt>
                <c:pt idx="2">
                  <c:v>Power</c:v>
                </c:pt>
                <c:pt idx="3">
                  <c:v>Owner Wage</c:v>
                </c:pt>
                <c:pt idx="4">
                  <c:v>Explosives</c:v>
                </c:pt>
                <c:pt idx="5">
                  <c:v>Civil Infrastructure</c:v>
                </c:pt>
                <c:pt idx="6">
                  <c:v>Railway Track &amp; Siding</c:v>
                </c:pt>
                <c:pt idx="7">
                  <c:v>Fire Fighting &amp; Dust Suppression </c:v>
                </c:pt>
                <c:pt idx="8">
                  <c:v>Rehandling</c:v>
                </c:pt>
                <c:pt idx="9">
                  <c:v>Digitalisation (AMC)</c:v>
                </c:pt>
                <c:pt idx="10">
                  <c:v>Environment Management &amp; OHS  costs</c:v>
                </c:pt>
                <c:pt idx="11">
                  <c:v>Other Misc.</c:v>
                </c:pt>
                <c:pt idx="12">
                  <c:v>Admin and Overhead </c:v>
                </c:pt>
                <c:pt idx="13">
                  <c:v>R&amp;R</c:v>
                </c:pt>
                <c:pt idx="14">
                  <c:v>Contingency</c:v>
                </c:pt>
                <c:pt idx="15">
                  <c:v>Sub Total </c:v>
                </c:pt>
              </c:strCache>
            </c:strRef>
          </c:cat>
          <c:val>
            <c:numRef>
              <c:f>Dashboard!$D$30:$D$45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0942-417D-BCB8-BF384B13017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4859296697017754"/>
          <c:y val="9.9660206809033897E-2"/>
          <c:w val="0.32701242025990457"/>
          <c:h val="0.84350778204630017"/>
        </c:manualLayout>
      </c:layout>
      <c:overlay val="0"/>
      <c:txPr>
        <a:bodyPr/>
        <a:lstStyle/>
        <a:p>
          <a:pPr rtl="0">
            <a:defRPr/>
          </a:pPr>
          <a:endParaRPr lang="en-US"/>
        </a:p>
      </c:txPr>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Dashboard!$C$101</c:f>
              <c:strCache>
                <c:ptCount val="1"/>
                <c:pt idx="0">
                  <c:v>Year</c:v>
                </c:pt>
              </c:strCache>
            </c:strRef>
          </c:tx>
          <c:spPr>
            <a:solidFill>
              <a:schemeClr val="accent1"/>
            </a:solidFill>
            <a:ln>
              <a:noFill/>
            </a:ln>
            <a:effectLst/>
          </c:spPr>
          <c:invertIfNegative val="0"/>
          <c:val>
            <c:numRef>
              <c:f>Dashboard!$D$101:$X$101</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8B49-424B-9BD2-939C7217791B}"/>
            </c:ext>
          </c:extLst>
        </c:ser>
        <c:ser>
          <c:idx val="1"/>
          <c:order val="1"/>
          <c:tx>
            <c:strRef>
              <c:f>Dashboard!$C$102</c:f>
              <c:strCache>
                <c:ptCount val="1"/>
                <c:pt idx="0">
                  <c:v>Haul Distance - Coal</c:v>
                </c:pt>
              </c:strCache>
            </c:strRef>
          </c:tx>
          <c:spPr>
            <a:solidFill>
              <a:schemeClr val="accent2"/>
            </a:solidFill>
            <a:ln>
              <a:noFill/>
            </a:ln>
            <a:effectLst/>
          </c:spPr>
          <c:invertIfNegative val="0"/>
          <c:val>
            <c:numRef>
              <c:f>Dashboard!$D$102:$X$102</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formatCode="0.00">
                  <c:v>0</c:v>
                </c:pt>
              </c:numCache>
            </c:numRef>
          </c:val>
          <c:extLst>
            <c:ext xmlns:c16="http://schemas.microsoft.com/office/drawing/2014/chart" uri="{C3380CC4-5D6E-409C-BE32-E72D297353CC}">
              <c16:uniqueId val="{00000001-8B49-424B-9BD2-939C7217791B}"/>
            </c:ext>
          </c:extLst>
        </c:ser>
        <c:dLbls>
          <c:showLegendKey val="0"/>
          <c:showVal val="0"/>
          <c:showCatName val="0"/>
          <c:showSerName val="0"/>
          <c:showPercent val="0"/>
          <c:showBubbleSize val="0"/>
        </c:dLbls>
        <c:gapWidth val="219"/>
        <c:axId val="1082406304"/>
        <c:axId val="1026954384"/>
      </c:barChart>
      <c:lineChart>
        <c:grouping val="standard"/>
        <c:varyColors val="0"/>
        <c:ser>
          <c:idx val="2"/>
          <c:order val="2"/>
          <c:tx>
            <c:strRef>
              <c:f>Dashboard!$C$103</c:f>
              <c:strCache>
                <c:ptCount val="1"/>
                <c:pt idx="0">
                  <c:v>Haul Distance - Waste</c:v>
                </c:pt>
              </c:strCache>
            </c:strRef>
          </c:tx>
          <c:spPr>
            <a:ln w="28575" cap="rnd">
              <a:solidFill>
                <a:schemeClr val="accent3"/>
              </a:solidFill>
              <a:round/>
            </a:ln>
            <a:effectLst/>
          </c:spPr>
          <c:marker>
            <c:symbol val="none"/>
          </c:marker>
          <c:val>
            <c:numRef>
              <c:f>Dashboard!$D$103:$X$103</c:f>
              <c:numCache>
                <c:formatCode>0.0</c:formatCode>
                <c:ptCount val="21"/>
                <c:pt idx="0">
                  <c:v>0</c:v>
                </c:pt>
                <c:pt idx="1">
                  <c:v>6</c:v>
                </c:pt>
                <c:pt idx="2">
                  <c:v>15.000007140000001</c:v>
                </c:pt>
                <c:pt idx="3">
                  <c:v>3190</c:v>
                </c:pt>
                <c:pt idx="4">
                  <c:v>3190</c:v>
                </c:pt>
                <c:pt idx="5">
                  <c:v>55.999999979999998</c:v>
                </c:pt>
                <c:pt idx="6">
                  <c:v>47.463611318435753</c:v>
                </c:pt>
                <c:pt idx="7">
                  <c:v>0</c:v>
                </c:pt>
                <c:pt idx="8">
                  <c:v>0</c:v>
                </c:pt>
                <c:pt idx="9">
                  <c:v>0</c:v>
                </c:pt>
                <c:pt idx="10">
                  <c:v>0</c:v>
                </c:pt>
                <c:pt idx="11">
                  <c:v>0</c:v>
                </c:pt>
                <c:pt idx="12">
                  <c:v>0</c:v>
                </c:pt>
                <c:pt idx="13">
                  <c:v>0</c:v>
                </c:pt>
                <c:pt idx="14">
                  <c:v>0</c:v>
                </c:pt>
                <c:pt idx="15">
                  <c:v>0</c:v>
                </c:pt>
                <c:pt idx="16">
                  <c:v>0</c:v>
                </c:pt>
                <c:pt idx="17">
                  <c:v>0</c:v>
                </c:pt>
                <c:pt idx="18">
                  <c:v>0</c:v>
                </c:pt>
                <c:pt idx="19">
                  <c:v>0</c:v>
                </c:pt>
                <c:pt idx="20" formatCode="0.00">
                  <c:v>0</c:v>
                </c:pt>
              </c:numCache>
            </c:numRef>
          </c:val>
          <c:smooth val="0"/>
          <c:extLst>
            <c:ext xmlns:c16="http://schemas.microsoft.com/office/drawing/2014/chart" uri="{C3380CC4-5D6E-409C-BE32-E72D297353CC}">
              <c16:uniqueId val="{00000002-8B49-424B-9BD2-939C7217791B}"/>
            </c:ext>
          </c:extLst>
        </c:ser>
        <c:ser>
          <c:idx val="3"/>
          <c:order val="3"/>
          <c:tx>
            <c:strRef>
              <c:f>Dashboard!$C$104</c:f>
              <c:strCache>
                <c:ptCount val="1"/>
                <c:pt idx="0">
                  <c:v>Truck Cycle Time - Coal</c:v>
                </c:pt>
              </c:strCache>
            </c:strRef>
          </c:tx>
          <c:spPr>
            <a:ln w="28575" cap="rnd">
              <a:solidFill>
                <a:schemeClr val="accent4"/>
              </a:solidFill>
              <a:round/>
            </a:ln>
            <a:effectLst/>
          </c:spPr>
          <c:marker>
            <c:symbol val="none"/>
          </c:marker>
          <c:val>
            <c:numRef>
              <c:f>Dashboard!$D$104:$X$104</c:f>
              <c:numCache>
                <c:formatCode>0</c:formatCode>
                <c:ptCount val="21"/>
                <c:pt idx="0">
                  <c:v>0</c:v>
                </c:pt>
                <c:pt idx="1">
                  <c:v>0</c:v>
                </c:pt>
                <c:pt idx="2">
                  <c:v>0</c:v>
                </c:pt>
                <c:pt idx="3">
                  <c:v>0</c:v>
                </c:pt>
                <c:pt idx="4">
                  <c:v>654885.00000000012</c:v>
                </c:pt>
                <c:pt idx="5">
                  <c:v>592515.00000000012</c:v>
                </c:pt>
                <c:pt idx="6">
                  <c:v>486486.00000000012</c:v>
                </c:pt>
                <c:pt idx="7">
                  <c:v>461538.00000000006</c:v>
                </c:pt>
                <c:pt idx="8">
                  <c:v>436590.00000000006</c:v>
                </c:pt>
                <c:pt idx="9">
                  <c:v>417879.00000000006</c:v>
                </c:pt>
                <c:pt idx="10">
                  <c:v>399168.00000000006</c:v>
                </c:pt>
                <c:pt idx="11">
                  <c:v>405405.00000000006</c:v>
                </c:pt>
                <c:pt idx="12">
                  <c:v>405405.00000000006</c:v>
                </c:pt>
                <c:pt idx="13">
                  <c:v>411642.00000000006</c:v>
                </c:pt>
                <c:pt idx="14">
                  <c:v>417879.00000000006</c:v>
                </c:pt>
                <c:pt idx="15">
                  <c:v>424116</c:v>
                </c:pt>
                <c:pt idx="16">
                  <c:v>436590.00000000006</c:v>
                </c:pt>
                <c:pt idx="17">
                  <c:v>442827.00000000006</c:v>
                </c:pt>
                <c:pt idx="18">
                  <c:v>455301</c:v>
                </c:pt>
                <c:pt idx="19">
                  <c:v>474012.00000000006</c:v>
                </c:pt>
                <c:pt idx="20" formatCode="0.00">
                  <c:v>0</c:v>
                </c:pt>
              </c:numCache>
            </c:numRef>
          </c:val>
          <c:smooth val="0"/>
          <c:extLst>
            <c:ext xmlns:c16="http://schemas.microsoft.com/office/drawing/2014/chart" uri="{C3380CC4-5D6E-409C-BE32-E72D297353CC}">
              <c16:uniqueId val="{00000003-8B49-424B-9BD2-939C7217791B}"/>
            </c:ext>
          </c:extLst>
        </c:ser>
        <c:ser>
          <c:idx val="4"/>
          <c:order val="4"/>
          <c:tx>
            <c:strRef>
              <c:f>Dashboard!$C$105</c:f>
              <c:strCache>
                <c:ptCount val="1"/>
                <c:pt idx="0">
                  <c:v>Truck Cycle Time - Waste</c:v>
                </c:pt>
              </c:strCache>
            </c:strRef>
          </c:tx>
          <c:spPr>
            <a:ln w="28575" cap="rnd">
              <a:solidFill>
                <a:schemeClr val="accent5"/>
              </a:solidFill>
              <a:round/>
            </a:ln>
            <a:effectLst/>
          </c:spPr>
          <c:marker>
            <c:symbol val="none"/>
          </c:marker>
          <c:val>
            <c:numRef>
              <c:f>Dashboard!$D$105:$X$105</c:f>
              <c:numCache>
                <c:formatCode>0</c:formatCode>
                <c:ptCount val="2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formatCode="0.00">
                  <c:v>0</c:v>
                </c:pt>
              </c:numCache>
            </c:numRef>
          </c:val>
          <c:smooth val="0"/>
          <c:extLst>
            <c:ext xmlns:c16="http://schemas.microsoft.com/office/drawing/2014/chart" uri="{C3380CC4-5D6E-409C-BE32-E72D297353CC}">
              <c16:uniqueId val="{00000004-8B49-424B-9BD2-939C7217791B}"/>
            </c:ext>
          </c:extLst>
        </c:ser>
        <c:dLbls>
          <c:showLegendKey val="0"/>
          <c:showVal val="0"/>
          <c:showCatName val="0"/>
          <c:showSerName val="0"/>
          <c:showPercent val="0"/>
          <c:showBubbleSize val="0"/>
        </c:dLbls>
        <c:marker val="1"/>
        <c:smooth val="0"/>
        <c:axId val="1082491104"/>
        <c:axId val="1170338752"/>
      </c:lineChart>
      <c:catAx>
        <c:axId val="10824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6954384"/>
        <c:crosses val="autoZero"/>
        <c:auto val="1"/>
        <c:lblAlgn val="ctr"/>
        <c:lblOffset val="100"/>
        <c:noMultiLvlLbl val="0"/>
      </c:catAx>
      <c:valAx>
        <c:axId val="1026954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Distance (km)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82406304"/>
        <c:crosses val="autoZero"/>
        <c:crossBetween val="between"/>
      </c:valAx>
      <c:valAx>
        <c:axId val="117033875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Time (min)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82491104"/>
        <c:crosses val="max"/>
        <c:crossBetween val="between"/>
      </c:valAx>
      <c:catAx>
        <c:axId val="1082491104"/>
        <c:scaling>
          <c:orientation val="minMax"/>
        </c:scaling>
        <c:delete val="1"/>
        <c:axPos val="b"/>
        <c:numFmt formatCode="General" sourceLinked="1"/>
        <c:majorTickMark val="out"/>
        <c:minorTickMark val="none"/>
        <c:tickLblPos val="nextTo"/>
        <c:crossAx val="1170338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Dashboard!$C$125</c:f>
              <c:strCache>
                <c:ptCount val="1"/>
                <c:pt idx="0">
                  <c:v>Drill machine for Coal &amp; Thin Partings</c:v>
                </c:pt>
              </c:strCache>
            </c:strRef>
          </c:tx>
          <c:spPr>
            <a:solidFill>
              <a:schemeClr val="accent1"/>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Dashboard!$D$125:$X$125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F3F-4B6C-9862-50DD8F6DA2A0}"/>
            </c:ext>
          </c:extLst>
        </c:ser>
        <c:ser>
          <c:idx val="1"/>
          <c:order val="1"/>
          <c:tx>
            <c:strRef>
              <c:f>Dashboard!$C$126</c:f>
              <c:strCache>
                <c:ptCount val="1"/>
                <c:pt idx="0">
                  <c:v>Drill machine for OB &amp; Thick Partings</c:v>
                </c:pt>
              </c:strCache>
            </c:strRef>
          </c:tx>
          <c:spPr>
            <a:solidFill>
              <a:schemeClr val="accent2"/>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Dashboard!$D$126:$X$126</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1-4F3F-4B6C-9862-50DD8F6DA2A0}"/>
            </c:ext>
          </c:extLst>
        </c:ser>
        <c:ser>
          <c:idx val="2"/>
          <c:order val="2"/>
          <c:tx>
            <c:strRef>
              <c:f>Dashboard!$C$127</c:f>
              <c:strCache>
                <c:ptCount val="1"/>
                <c:pt idx="0">
                  <c:v>Surface Miner for Coal</c:v>
                </c:pt>
              </c:strCache>
            </c:strRef>
          </c:tx>
          <c:spPr>
            <a:solidFill>
              <a:schemeClr val="accent3"/>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Dashboard!$D$127:$X$127</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2-4F3F-4B6C-9862-50DD8F6DA2A0}"/>
            </c:ext>
          </c:extLst>
        </c:ser>
        <c:ser>
          <c:idx val="6"/>
          <c:order val="3"/>
          <c:tx>
            <c:strRef>
              <c:f>Dashboard!$C$128</c:f>
              <c:strCache>
                <c:ptCount val="1"/>
                <c:pt idx="0">
                  <c:v>Excavators for OB &amp; Thick Partings</c:v>
                </c:pt>
              </c:strCache>
            </c:strRef>
          </c:tx>
          <c:spPr>
            <a:solidFill>
              <a:schemeClr val="accent1">
                <a:lumMod val="60000"/>
              </a:schemeClr>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Dashboard!$D$128:$X$128</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3-4F3F-4B6C-9862-50DD8F6DA2A0}"/>
            </c:ext>
          </c:extLst>
        </c:ser>
        <c:ser>
          <c:idx val="3"/>
          <c:order val="4"/>
          <c:tx>
            <c:strRef>
              <c:f>Dashboard!$C$129</c:f>
              <c:strCache>
                <c:ptCount val="1"/>
                <c:pt idx="0">
                  <c:v>Excavators for Thin Partings</c:v>
                </c:pt>
              </c:strCache>
            </c:strRef>
          </c:tx>
          <c:spPr>
            <a:solidFill>
              <a:schemeClr val="accent4"/>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Dashboard!$D$129:$X$129</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4-4F3F-4B6C-9862-50DD8F6DA2A0}"/>
            </c:ext>
          </c:extLst>
        </c:ser>
        <c:ser>
          <c:idx val="4"/>
          <c:order val="5"/>
          <c:tx>
            <c:strRef>
              <c:f>Dashboard!$C$130</c:f>
              <c:strCache>
                <c:ptCount val="1"/>
                <c:pt idx="0">
                  <c:v>Mining Truck for Coal</c:v>
                </c:pt>
              </c:strCache>
            </c:strRef>
          </c:tx>
          <c:spPr>
            <a:solidFill>
              <a:schemeClr val="accent5"/>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Dashboard!$D$130:$X$130</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5-4F3F-4B6C-9862-50DD8F6DA2A0}"/>
            </c:ext>
          </c:extLst>
        </c:ser>
        <c:ser>
          <c:idx val="7"/>
          <c:order val="6"/>
          <c:tx>
            <c:strRef>
              <c:f>Dashboard!$C$131</c:f>
              <c:strCache>
                <c:ptCount val="1"/>
                <c:pt idx="0">
                  <c:v>Mining Truck for OB &amp; Thick Partings</c:v>
                </c:pt>
              </c:strCache>
            </c:strRef>
          </c:tx>
          <c:spPr>
            <a:solidFill>
              <a:schemeClr val="accent2">
                <a:lumMod val="60000"/>
              </a:schemeClr>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Dashboard!$D$131:$X$131</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6-4F3F-4B6C-9862-50DD8F6DA2A0}"/>
            </c:ext>
          </c:extLst>
        </c:ser>
        <c:ser>
          <c:idx val="5"/>
          <c:order val="7"/>
          <c:tx>
            <c:strRef>
              <c:f>Dashboard!$C$132</c:f>
              <c:strCache>
                <c:ptCount val="1"/>
                <c:pt idx="0">
                  <c:v>Mining Truck for Thin Partings</c:v>
                </c:pt>
              </c:strCache>
            </c:strRef>
          </c:tx>
          <c:spPr>
            <a:solidFill>
              <a:schemeClr val="accent6"/>
            </a:solidFill>
            <a:ln>
              <a:noFill/>
            </a:ln>
            <a:effectLst/>
          </c:spPr>
          <c:invertIfNegative val="0"/>
          <c:cat>
            <c:strRef>
              <c:f>Dashboard!$D$124:$X$124</c:f>
              <c:strCache>
                <c:ptCount val="21"/>
                <c:pt idx="0">
                  <c:v>#REF!</c:v>
                </c:pt>
                <c:pt idx="1">
                  <c:v>Year</c:v>
                </c:pt>
                <c:pt idx="2">
                  <c:v>Coal (Mt)</c:v>
                </c:pt>
                <c:pt idx="3">
                  <c:v>GCV Dil (Kcal/Kg)</c:v>
                </c:pt>
                <c:pt idx="4">
                  <c:v>GCV Dil (Kcal/Kg)</c:v>
                </c:pt>
                <c:pt idx="5">
                  <c:v>Coal (Mt)</c:v>
                </c:pt>
                <c:pt idx="6">
                  <c:v>Waste (Mcum)</c:v>
                </c:pt>
                <c:pt idx="7">
                  <c:v>#REF!</c:v>
                </c:pt>
                <c:pt idx="8">
                  <c:v>0</c:v>
                </c:pt>
                <c:pt idx="9">
                  <c:v>0</c:v>
                </c:pt>
                <c:pt idx="10">
                  <c:v>0</c:v>
                </c:pt>
                <c:pt idx="11">
                  <c:v>0</c:v>
                </c:pt>
                <c:pt idx="12">
                  <c:v>0</c:v>
                </c:pt>
                <c:pt idx="13">
                  <c:v>0</c:v>
                </c:pt>
                <c:pt idx="14">
                  <c:v>0</c:v>
                </c:pt>
                <c:pt idx="15">
                  <c:v>0</c:v>
                </c:pt>
                <c:pt idx="16">
                  <c:v>0</c:v>
                </c:pt>
                <c:pt idx="17">
                  <c:v>0</c:v>
                </c:pt>
                <c:pt idx="18">
                  <c:v>0</c:v>
                </c:pt>
                <c:pt idx="19">
                  <c:v>0</c:v>
                </c:pt>
                <c:pt idx="20">
                  <c:v>0</c:v>
                </c:pt>
              </c:strCache>
            </c:strRef>
          </c:cat>
          <c:val>
            <c:numRef>
              <c:f>Dashboard!$D$132:$X$132</c:f>
              <c:numCache>
                <c:formatCode>0</c:formatCode>
                <c:ptCount val="21"/>
                <c:pt idx="0">
                  <c:v>1</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1</c:v>
                </c:pt>
                <c:pt idx="17">
                  <c:v>1</c:v>
                </c:pt>
                <c:pt idx="18">
                  <c:v>0</c:v>
                </c:pt>
                <c:pt idx="19">
                  <c:v>0</c:v>
                </c:pt>
                <c:pt idx="20">
                  <c:v>0</c:v>
                </c:pt>
              </c:numCache>
            </c:numRef>
          </c:val>
          <c:extLst>
            <c:ext xmlns:c16="http://schemas.microsoft.com/office/drawing/2014/chart" uri="{C3380CC4-5D6E-409C-BE32-E72D297353CC}">
              <c16:uniqueId val="{00000007-4F3F-4B6C-9862-50DD8F6DA2A0}"/>
            </c:ext>
          </c:extLst>
        </c:ser>
        <c:dLbls>
          <c:showLegendKey val="0"/>
          <c:showVal val="0"/>
          <c:showCatName val="0"/>
          <c:showSerName val="0"/>
          <c:showPercent val="0"/>
          <c:showBubbleSize val="0"/>
        </c:dLbls>
        <c:gapWidth val="269"/>
        <c:axId val="1303730688"/>
        <c:axId val="1303902352"/>
      </c:barChart>
      <c:catAx>
        <c:axId val="130373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3902352"/>
        <c:crosses val="autoZero"/>
        <c:auto val="1"/>
        <c:lblAlgn val="ctr"/>
        <c:lblOffset val="100"/>
        <c:noMultiLvlLbl val="0"/>
      </c:catAx>
      <c:valAx>
        <c:axId val="13039023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37306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Operating Cost Component (without Govt Fees &amp; Charges)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3901465937480162E-2"/>
          <c:y val="0.12578100983094651"/>
          <c:w val="0.47603427849602525"/>
          <c:h val="0.8589216445373638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1C-48AA-9B70-C14A8A04AB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C-48AA-9B70-C14A8A04AB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1C-48AA-9B70-C14A8A04AB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1C-48AA-9B70-C14A8A04AB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1C-48AA-9B70-C14A8A04AB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1C-48AA-9B70-C14A8A04AB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1C-48AA-9B70-C14A8A04AB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81C-48AA-9B70-C14A8A04AB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81C-48AA-9B70-C14A8A04AB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81C-48AA-9B70-C14A8A04ABB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81C-48AA-9B70-C14A8A04ABB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81C-48AA-9B70-C14A8A04ABB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81C-48AA-9B70-C14A8A04ABB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81C-48AA-9B70-C14A8A04ABB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81C-48AA-9B70-C14A8A04ABB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81C-48AA-9B70-C14A8A04ABB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81C-48AA-9B70-C14A8A04ABB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81C-48AA-9B70-C14A8A04ABB2}"/>
              </c:ext>
            </c:extLst>
          </c:dPt>
          <c:dLbls>
            <c:dLbl>
              <c:idx val="0"/>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B81C-48AA-9B70-C14A8A04ABB2}"/>
                </c:ext>
              </c:extLst>
            </c:dLbl>
            <c:dLbl>
              <c:idx val="3"/>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B81C-48AA-9B70-C14A8A04ABB2}"/>
                </c:ext>
              </c:extLst>
            </c:dLbl>
            <c:dLbl>
              <c:idx val="6"/>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D-B81C-48AA-9B70-C14A8A04ABB2}"/>
                </c:ext>
              </c:extLst>
            </c:dLbl>
            <c:dLbl>
              <c:idx val="9"/>
              <c:layout>
                <c:manualLayout>
                  <c:x val="5.0298363439864137E-2"/>
                  <c:y val="-7.0656932525070089E-3"/>
                </c:manualLayout>
              </c:layout>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81C-48AA-9B70-C14A8A04ABB2}"/>
                </c:ext>
              </c:extLst>
            </c:dLbl>
            <c:dLbl>
              <c:idx val="10"/>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15-B81C-48AA-9B70-C14A8A04ABB2}"/>
                </c:ext>
              </c:extLst>
            </c:dLbl>
            <c:dLbl>
              <c:idx val="11"/>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17-B81C-48AA-9B70-C14A8A04ABB2}"/>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Dashboard!$C$30:$C$41</c:f>
              <c:strCache>
                <c:ptCount val="12"/>
                <c:pt idx="0">
                  <c:v>Tyres</c:v>
                </c:pt>
                <c:pt idx="1">
                  <c:v>CHP</c:v>
                </c:pt>
                <c:pt idx="2">
                  <c:v>Power</c:v>
                </c:pt>
                <c:pt idx="3">
                  <c:v>Owner Wage</c:v>
                </c:pt>
                <c:pt idx="4">
                  <c:v>Explosives</c:v>
                </c:pt>
                <c:pt idx="5">
                  <c:v>Civil Infrastructure</c:v>
                </c:pt>
                <c:pt idx="6">
                  <c:v>Railway Track &amp; Siding</c:v>
                </c:pt>
                <c:pt idx="7">
                  <c:v>Fire Fighting &amp; Dust Suppression </c:v>
                </c:pt>
                <c:pt idx="8">
                  <c:v>Rehandling</c:v>
                </c:pt>
                <c:pt idx="9">
                  <c:v>Digitalisation (AMC)</c:v>
                </c:pt>
                <c:pt idx="10">
                  <c:v>Environment Management &amp; OHS  costs</c:v>
                </c:pt>
                <c:pt idx="11">
                  <c:v>Other Misc.</c:v>
                </c:pt>
              </c:strCache>
            </c:strRef>
          </c:cat>
          <c:val>
            <c:numRef>
              <c:f>Dashboard!$D$30:$D$41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4-B81C-48AA-9B70-C14A8A04AB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204139135888825"/>
          <c:y val="0.13336998519043872"/>
          <c:w val="0.36718454292015923"/>
          <c:h val="0.8145837824461414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en-US"/>
              <a:t>Operating Cost Component </a:t>
            </a:r>
          </a:p>
        </c:rich>
      </c:tx>
      <c:overlay val="0"/>
      <c:spPr>
        <a:noFill/>
        <a:ln>
          <a:noFill/>
        </a:ln>
        <a:effectLst/>
      </c:spPr>
      <c:txPr>
        <a:bodyPr rot="0" spcFirstLastPara="1" vertOverflow="ellipsis" vert="horz" wrap="square" anchor="ctr" anchorCtr="1"/>
        <a:lstStyle/>
        <a:p>
          <a:pPr>
            <a:defRPr sz="108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Dashboard!$C$50:$C$56</c:f>
              <c:strCache>
                <c:ptCount val="7"/>
                <c:pt idx="0">
                  <c:v>Mining Cost </c:v>
                </c:pt>
                <c:pt idx="1">
                  <c:v>Coal handling, Loading and Power</c:v>
                </c:pt>
                <c:pt idx="2">
                  <c:v>Infrastructure Maintenance Costs, Admin </c:v>
                </c:pt>
                <c:pt idx="3">
                  <c:v>Mine Closure, Env Costs, R&amp;R</c:v>
                </c:pt>
                <c:pt idx="4">
                  <c:v>Contingency</c:v>
                </c:pt>
                <c:pt idx="5">
                  <c:v>Bid Premium</c:v>
                </c:pt>
                <c:pt idx="6">
                  <c:v>Govt Taxes &amp; GST</c:v>
                </c:pt>
              </c:strCache>
            </c:strRef>
          </c:cat>
          <c:val>
            <c:numRef>
              <c:f>Dashboard!$D$50:$D$56</c:f>
              <c:numCache>
                <c:formatCode>#,##0;\-#,##0;\-</c:formatCode>
                <c:ptCount val="7"/>
                <c:pt idx="0">
                  <c:v>424.57783018195835</c:v>
                </c:pt>
                <c:pt idx="1">
                  <c:v>45.648111879213651</c:v>
                </c:pt>
                <c:pt idx="2">
                  <c:v>16.204823186905532</c:v>
                </c:pt>
                <c:pt idx="3">
                  <c:v>38.58244831061451</c:v>
                </c:pt>
                <c:pt idx="4">
                  <c:v>3.2669140981709233</c:v>
                </c:pt>
                <c:pt idx="6">
                  <c:v>0</c:v>
                </c:pt>
              </c:numCache>
            </c:numRef>
          </c:val>
          <c:extLst>
            <c:ext xmlns:c16="http://schemas.microsoft.com/office/drawing/2014/chart" uri="{C3380CC4-5D6E-409C-BE32-E72D297353CC}">
              <c16:uniqueId val="{00000000-61E9-4416-BADF-36FB7976D4D9}"/>
            </c:ext>
          </c:extLst>
        </c:ser>
        <c:dLbls>
          <c:showLegendKey val="0"/>
          <c:showVal val="0"/>
          <c:showCatName val="0"/>
          <c:showSerName val="0"/>
          <c:showPercent val="0"/>
          <c:showBubbleSize val="0"/>
        </c:dLbls>
        <c:gapWidth val="164"/>
        <c:overlap val="-22"/>
        <c:axId val="585595672"/>
        <c:axId val="585594688"/>
      </c:barChart>
      <c:catAx>
        <c:axId val="5855956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5594688"/>
        <c:crosses val="autoZero"/>
        <c:auto val="1"/>
        <c:lblAlgn val="ctr"/>
        <c:lblOffset val="100"/>
        <c:noMultiLvlLbl val="0"/>
      </c:catAx>
      <c:valAx>
        <c:axId val="5855946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5595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32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en-IN"/>
              <a:t>CAPEX</a:t>
            </a:r>
            <a:r>
              <a:rPr lang="en-IN" baseline="0"/>
              <a:t> Distribution </a:t>
            </a:r>
            <a:endParaRPr lang="en-IN"/>
          </a:p>
        </c:rich>
      </c:tx>
      <c:overlay val="0"/>
      <c:spPr>
        <a:noFill/>
        <a:ln>
          <a:noFill/>
        </a:ln>
        <a:effectLst/>
      </c:spPr>
      <c:txPr>
        <a:bodyPr rot="0" spcFirstLastPara="1" vertOverflow="ellipsis" vert="horz" wrap="square" anchor="ctr" anchorCtr="1"/>
        <a:lstStyle/>
        <a:p>
          <a:pPr>
            <a:defRPr sz="132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IN"/>
        </a:p>
      </c:txPr>
    </c:title>
    <c:autoTitleDeleted val="0"/>
    <c:plotArea>
      <c:layout>
        <c:manualLayout>
          <c:layoutTarget val="inner"/>
          <c:xMode val="edge"/>
          <c:yMode val="edge"/>
          <c:x val="3.5234815111121816E-2"/>
          <c:y val="8.1667419652174097E-2"/>
          <c:w val="0.95347360700766481"/>
          <c:h val="0.79551644811777289"/>
        </c:manualLayout>
      </c:layout>
      <c:barChart>
        <c:barDir val="col"/>
        <c:grouping val="clustered"/>
        <c:varyColors val="0"/>
        <c:ser>
          <c:idx val="0"/>
          <c:order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dPt>
            <c:idx val="3"/>
            <c:invertIfNegative val="0"/>
            <c:bubble3D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extLst>
              <c:ext xmlns:c16="http://schemas.microsoft.com/office/drawing/2014/chart" uri="{C3380CC4-5D6E-409C-BE32-E72D297353CC}">
                <c16:uniqueId val="{00000001-24BB-4DB2-B5A4-2DF7EE70B1FB}"/>
              </c:ext>
            </c:extLst>
          </c:dPt>
          <c:dPt>
            <c:idx val="4"/>
            <c:invertIfNegative val="0"/>
            <c:bubble3D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extLst>
              <c:ext xmlns:c16="http://schemas.microsoft.com/office/drawing/2014/chart" uri="{C3380CC4-5D6E-409C-BE32-E72D297353CC}">
                <c16:uniqueId val="{00000003-24BB-4DB2-B5A4-2DF7EE70B1F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1"/>
              <c:pt idx="0">
                <c:v>Pre-operative costs </c:v>
              </c:pt>
              <c:pt idx="1">
                <c:v>Land Cost</c:v>
              </c:pt>
              <c:pt idx="2">
                <c:v>R&amp;R Cost</c:v>
              </c:pt>
              <c:pt idx="3">
                <c:v>Mining Equipment </c:v>
              </c:pt>
              <c:pt idx="4">
                <c:v>Coal handling and conveyor transport system </c:v>
              </c:pt>
              <c:pt idx="5">
                <c:v>Railway Siding</c:v>
              </c:pt>
              <c:pt idx="6">
                <c:v>Railway Line Construction</c:v>
              </c:pt>
              <c:pt idx="7">
                <c:v>Civil Infrastructure, Roads, Water Supply etc.</c:v>
              </c:pt>
              <c:pt idx="8">
                <c:v>Nalah Diversion </c:v>
              </c:pt>
              <c:pt idx="9">
                <c:v>Workshop E&amp;M</c:v>
              </c:pt>
              <c:pt idx="10">
                <c:v>Electrical </c:v>
              </c:pt>
            </c:strLit>
          </c:cat>
          <c:val>
            <c:numLit>
              <c:formatCode>General</c:formatCode>
              <c:ptCount val="11"/>
              <c:pt idx="0">
                <c:v>307.42466661549997</c:v>
              </c:pt>
              <c:pt idx="1">
                <c:v>659.2116511686196</c:v>
              </c:pt>
              <c:pt idx="2">
                <c:v>40.971249999999998</c:v>
              </c:pt>
              <c:pt idx="3">
                <c:v>589.29392455820982</c:v>
              </c:pt>
              <c:pt idx="4">
                <c:v>523.08844999999997</c:v>
              </c:pt>
              <c:pt idx="5">
                <c:v>95.564099999999996</c:v>
              </c:pt>
              <c:pt idx="6">
                <c:v>0</c:v>
              </c:pt>
              <c:pt idx="7">
                <c:v>70.529427935000001</c:v>
              </c:pt>
              <c:pt idx="8">
                <c:v>10.0252922753</c:v>
              </c:pt>
              <c:pt idx="9">
                <c:v>23.6</c:v>
              </c:pt>
              <c:pt idx="10">
                <c:v>87.75000500000003</c:v>
              </c:pt>
            </c:numLit>
          </c:val>
          <c:extLst>
            <c:ext xmlns:c16="http://schemas.microsoft.com/office/drawing/2014/chart" uri="{C3380CC4-5D6E-409C-BE32-E72D297353CC}">
              <c16:uniqueId val="{00000004-24BB-4DB2-B5A4-2DF7EE70B1FB}"/>
            </c:ext>
          </c:extLst>
        </c:ser>
        <c:dLbls>
          <c:dLblPos val="outEnd"/>
          <c:showLegendKey val="0"/>
          <c:showVal val="1"/>
          <c:showCatName val="0"/>
          <c:showSerName val="0"/>
          <c:showPercent val="0"/>
          <c:showBubbleSize val="0"/>
        </c:dLbls>
        <c:gapWidth val="53"/>
        <c:overlap val="-11"/>
        <c:axId val="1948261248"/>
        <c:axId val="908918224"/>
      </c:barChart>
      <c:catAx>
        <c:axId val="1948261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08918224"/>
        <c:crosses val="autoZero"/>
        <c:auto val="1"/>
        <c:lblAlgn val="ctr"/>
        <c:lblOffset val="100"/>
        <c:noMultiLvlLbl val="0"/>
      </c:catAx>
      <c:valAx>
        <c:axId val="908918224"/>
        <c:scaling>
          <c:orientation val="minMax"/>
          <c:max val="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48261248"/>
        <c:crosses val="autoZero"/>
        <c:crossBetween val="between"/>
        <c:majorUnit val="5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MINING</a:t>
            </a:r>
            <a:r>
              <a:rPr lang="en-IN" baseline="0"/>
              <a:t> COST DISTRIBUTION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Diesel </c:v>
          </c:tx>
          <c:spPr>
            <a:solidFill>
              <a:schemeClr val="accent1"/>
            </a:solidFill>
            <a:ln>
              <a:noFill/>
            </a:ln>
            <a:effectLst/>
          </c:spPr>
          <c:invertIfNegative val="0"/>
          <c:val>
            <c:numLit>
              <c:formatCode>General</c:formatCode>
              <c:ptCount val="1"/>
              <c:pt idx="0">
                <c:v>425.7429315407166</c:v>
              </c:pt>
            </c:numLit>
          </c:val>
          <c:extLst>
            <c:ext xmlns:c16="http://schemas.microsoft.com/office/drawing/2014/chart" uri="{C3380CC4-5D6E-409C-BE32-E72D297353CC}">
              <c16:uniqueId val="{00000000-CFE1-4473-9494-9FAD0E6AC2B7}"/>
            </c:ext>
          </c:extLst>
        </c:ser>
        <c:ser>
          <c:idx val="1"/>
          <c:order val="1"/>
          <c:tx>
            <c:v>Lubrication </c:v>
          </c:tx>
          <c:spPr>
            <a:solidFill>
              <a:schemeClr val="accent2"/>
            </a:solidFill>
            <a:ln>
              <a:noFill/>
            </a:ln>
            <a:effectLst/>
          </c:spPr>
          <c:invertIfNegative val="0"/>
          <c:val>
            <c:numLit>
              <c:formatCode>General</c:formatCode>
              <c:ptCount val="1"/>
              <c:pt idx="0">
                <c:v>31.531013191392141</c:v>
              </c:pt>
            </c:numLit>
          </c:val>
          <c:extLst>
            <c:ext xmlns:c16="http://schemas.microsoft.com/office/drawing/2014/chart" uri="{C3380CC4-5D6E-409C-BE32-E72D297353CC}">
              <c16:uniqueId val="{00000001-CFE1-4473-9494-9FAD0E6AC2B7}"/>
            </c:ext>
          </c:extLst>
        </c:ser>
        <c:ser>
          <c:idx val="2"/>
          <c:order val="2"/>
          <c:tx>
            <c:v>HEMM Spares (including drill consumables)</c:v>
          </c:tx>
          <c:spPr>
            <a:solidFill>
              <a:schemeClr val="accent3"/>
            </a:solidFill>
            <a:ln>
              <a:noFill/>
            </a:ln>
            <a:effectLst/>
          </c:spPr>
          <c:invertIfNegative val="0"/>
          <c:val>
            <c:numLit>
              <c:formatCode>General</c:formatCode>
              <c:ptCount val="1"/>
              <c:pt idx="0">
                <c:v>136.01062423439225</c:v>
              </c:pt>
            </c:numLit>
          </c:val>
          <c:extLst>
            <c:ext xmlns:c16="http://schemas.microsoft.com/office/drawing/2014/chart" uri="{C3380CC4-5D6E-409C-BE32-E72D297353CC}">
              <c16:uniqueId val="{00000002-CFE1-4473-9494-9FAD0E6AC2B7}"/>
            </c:ext>
          </c:extLst>
        </c:ser>
        <c:ser>
          <c:idx val="3"/>
          <c:order val="3"/>
          <c:tx>
            <c:v>Tyres </c:v>
          </c:tx>
          <c:spPr>
            <a:solidFill>
              <a:schemeClr val="accent4"/>
            </a:solidFill>
            <a:ln>
              <a:noFill/>
            </a:ln>
            <a:effectLst/>
          </c:spPr>
          <c:invertIfNegative val="0"/>
          <c:val>
            <c:numLit>
              <c:formatCode>General</c:formatCode>
              <c:ptCount val="1"/>
              <c:pt idx="0">
                <c:v>40.450639187513602</c:v>
              </c:pt>
            </c:numLit>
          </c:val>
          <c:extLst>
            <c:ext xmlns:c16="http://schemas.microsoft.com/office/drawing/2014/chart" uri="{C3380CC4-5D6E-409C-BE32-E72D297353CC}">
              <c16:uniqueId val="{00000003-CFE1-4473-9494-9FAD0E6AC2B7}"/>
            </c:ext>
          </c:extLst>
        </c:ser>
        <c:ser>
          <c:idx val="4"/>
          <c:order val="4"/>
          <c:tx>
            <c:v>Explosives </c:v>
          </c:tx>
          <c:spPr>
            <a:solidFill>
              <a:schemeClr val="accent5"/>
            </a:solidFill>
            <a:ln>
              <a:noFill/>
            </a:ln>
            <a:effectLst/>
          </c:spPr>
          <c:invertIfNegative val="0"/>
          <c:val>
            <c:numLit>
              <c:formatCode>General</c:formatCode>
              <c:ptCount val="1"/>
              <c:pt idx="0">
                <c:v>60.124466552919507</c:v>
              </c:pt>
            </c:numLit>
          </c:val>
          <c:extLst>
            <c:ext xmlns:c16="http://schemas.microsoft.com/office/drawing/2014/chart" uri="{C3380CC4-5D6E-409C-BE32-E72D297353CC}">
              <c16:uniqueId val="{00000004-CFE1-4473-9494-9FAD0E6AC2B7}"/>
            </c:ext>
          </c:extLst>
        </c:ser>
        <c:ser>
          <c:idx val="5"/>
          <c:order val="5"/>
          <c:tx>
            <c:v>Salary &amp; Wages</c:v>
          </c:tx>
          <c:spPr>
            <a:solidFill>
              <a:schemeClr val="accent6"/>
            </a:solidFill>
            <a:ln>
              <a:noFill/>
            </a:ln>
            <a:effectLst/>
          </c:spPr>
          <c:invertIfNegative val="0"/>
          <c:val>
            <c:numLit>
              <c:formatCode>General</c:formatCode>
              <c:ptCount val="1"/>
              <c:pt idx="0">
                <c:v>135.13626380351215</c:v>
              </c:pt>
            </c:numLit>
          </c:val>
          <c:extLst>
            <c:ext xmlns:c16="http://schemas.microsoft.com/office/drawing/2014/chart" uri="{C3380CC4-5D6E-409C-BE32-E72D297353CC}">
              <c16:uniqueId val="{00000005-CFE1-4473-9494-9FAD0E6AC2B7}"/>
            </c:ext>
          </c:extLst>
        </c:ser>
        <c:dLbls>
          <c:showLegendKey val="0"/>
          <c:showVal val="0"/>
          <c:showCatName val="0"/>
          <c:showSerName val="0"/>
          <c:showPercent val="0"/>
          <c:showBubbleSize val="0"/>
        </c:dLbls>
        <c:gapWidth val="219"/>
        <c:overlap val="-27"/>
        <c:axId val="632819648"/>
        <c:axId val="632818664"/>
      </c:barChart>
      <c:catAx>
        <c:axId val="6328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18664"/>
        <c:crosses val="autoZero"/>
        <c:auto val="1"/>
        <c:lblAlgn val="ctr"/>
        <c:lblOffset val="100"/>
        <c:noMultiLvlLbl val="0"/>
      </c:catAx>
      <c:valAx>
        <c:axId val="63281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1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7</xdr:col>
      <xdr:colOff>2038212</xdr:colOff>
      <xdr:row>18</xdr:row>
      <xdr:rowOff>139700</xdr:rowOff>
    </xdr:from>
    <xdr:to>
      <xdr:col>8</xdr:col>
      <xdr:colOff>1184275</xdr:colOff>
      <xdr:row>20</xdr:row>
      <xdr:rowOff>17023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24762" y="4578350"/>
          <a:ext cx="1917838" cy="248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2</xdr:row>
      <xdr:rowOff>47625</xdr:rowOff>
    </xdr:from>
    <xdr:to>
      <xdr:col>5</xdr:col>
      <xdr:colOff>3591006</xdr:colOff>
      <xdr:row>11</xdr:row>
      <xdr:rowOff>93793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04850" y="361950"/>
          <a:ext cx="9514286" cy="14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1704976</xdr:colOff>
      <xdr:row>4</xdr:row>
      <xdr:rowOff>95251</xdr:rowOff>
    </xdr:from>
    <xdr:to>
      <xdr:col>8</xdr:col>
      <xdr:colOff>561976</xdr:colOff>
      <xdr:row>8</xdr:row>
      <xdr:rowOff>139129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3228976" y="933451"/>
          <a:ext cx="4438650" cy="6915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925284</xdr:colOff>
      <xdr:row>1</xdr:row>
      <xdr:rowOff>95701</xdr:rowOff>
    </xdr:from>
    <xdr:to>
      <xdr:col>8</xdr:col>
      <xdr:colOff>650875</xdr:colOff>
      <xdr:row>23</xdr:row>
      <xdr:rowOff>79375</xdr:rowOff>
    </xdr:to>
    <xdr:graphicFrame macro="">
      <xdr:nvGraphicFramePr>
        <xdr:cNvPr id="2" name="Chart 1">
          <a:extLst>
            <a:ext uri="{FF2B5EF4-FFF2-40B4-BE49-F238E27FC236}">
              <a16:creationId xmlns:a16="http://schemas.microsoft.com/office/drawing/2014/main" id="{E7C052FD-6671-639C-5F35-D5435D9CB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1031876</xdr:colOff>
      <xdr:row>27</xdr:row>
      <xdr:rowOff>120197</xdr:rowOff>
    </xdr:from>
    <xdr:to>
      <xdr:col>8</xdr:col>
      <xdr:colOff>508000</xdr:colOff>
      <xdr:row>51</xdr:row>
      <xdr:rowOff>52161</xdr:rowOff>
    </xdr:to>
    <xdr:graphicFrame macro="">
      <xdr:nvGraphicFramePr>
        <xdr:cNvPr id="3" name="Chart 2">
          <a:extLst>
            <a:ext uri="{FF2B5EF4-FFF2-40B4-BE49-F238E27FC236}">
              <a16:creationId xmlns:a16="http://schemas.microsoft.com/office/drawing/2014/main" id="{9DD1B687-A87A-4573-A977-73A5916DA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966107</xdr:colOff>
      <xdr:row>7</xdr:row>
      <xdr:rowOff>61232</xdr:rowOff>
    </xdr:from>
    <xdr:to>
      <xdr:col>7</xdr:col>
      <xdr:colOff>693964</xdr:colOff>
      <xdr:row>11</xdr:row>
      <xdr:rowOff>11340</xdr:rowOff>
    </xdr:to>
    <xdr:sp macro="" textlink="">
      <xdr:nvSpPr>
        <xdr:cNvPr id="4" name="TextBox 3">
          <a:extLst>
            <a:ext uri="{FF2B5EF4-FFF2-40B4-BE49-F238E27FC236}">
              <a16:creationId xmlns:a16="http://schemas.microsoft.com/office/drawing/2014/main" id="{ACA393D4-412B-0799-EB7C-D0E2BE0F28B3}"/>
            </a:ext>
          </a:extLst>
        </xdr:cNvPr>
        <xdr:cNvSpPr txBox="1"/>
      </xdr:nvSpPr>
      <xdr:spPr>
        <a:xfrm>
          <a:off x="15063107" y="2648857"/>
          <a:ext cx="2442482" cy="107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baseline="0">
              <a:latin typeface="Arial" panose="020B0604020202020204" pitchFamily="34" charset="0"/>
              <a:cs typeface="Arial" panose="020B0604020202020204" pitchFamily="34" charset="0"/>
            </a:rPr>
            <a:t>CAPEX (Owner)</a:t>
          </a:r>
          <a:endParaRPr lang="en-IN" sz="3200" b="1">
            <a:latin typeface="Arial" panose="020B0604020202020204" pitchFamily="34" charset="0"/>
            <a:cs typeface="Arial" panose="020B0604020202020204" pitchFamily="34" charset="0"/>
          </a:endParaRPr>
        </a:p>
      </xdr:txBody>
    </xdr:sp>
    <xdr:clientData/>
  </xdr:twoCellAnchor>
  <xdr:twoCellAnchor>
    <xdr:from>
      <xdr:col>6</xdr:col>
      <xdr:colOff>1061811</xdr:colOff>
      <xdr:row>34</xdr:row>
      <xdr:rowOff>100239</xdr:rowOff>
    </xdr:from>
    <xdr:to>
      <xdr:col>7</xdr:col>
      <xdr:colOff>503918</xdr:colOff>
      <xdr:row>40</xdr:row>
      <xdr:rowOff>129722</xdr:rowOff>
    </xdr:to>
    <xdr:sp macro="" textlink="">
      <xdr:nvSpPr>
        <xdr:cNvPr id="5" name="TextBox 4">
          <a:extLst>
            <a:ext uri="{FF2B5EF4-FFF2-40B4-BE49-F238E27FC236}">
              <a16:creationId xmlns:a16="http://schemas.microsoft.com/office/drawing/2014/main" id="{05C8883F-0513-4F8F-8C00-4ADCBC2D6CEA}"/>
            </a:ext>
          </a:extLst>
        </xdr:cNvPr>
        <xdr:cNvSpPr txBox="1"/>
      </xdr:nvSpPr>
      <xdr:spPr>
        <a:xfrm>
          <a:off x="15158811" y="8355239"/>
          <a:ext cx="2156732" cy="107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latin typeface="Arial" panose="020B0604020202020204" pitchFamily="34" charset="0"/>
              <a:cs typeface="Arial" panose="020B0604020202020204" pitchFamily="34" charset="0"/>
            </a:rPr>
            <a:t>CAPEX - "Others"</a:t>
          </a:r>
          <a:endParaRPr lang="en-IN" sz="1600" b="1">
            <a:latin typeface="Arial" panose="020B0604020202020204" pitchFamily="34" charset="0"/>
            <a:cs typeface="Arial" panose="020B0604020202020204" pitchFamily="34" charset="0"/>
          </a:endParaRPr>
        </a:p>
      </xdr:txBody>
    </xdr:sp>
    <xdr:clientData/>
  </xdr:twoCellAnchor>
  <xdr:twoCellAnchor>
    <xdr:from>
      <xdr:col>8</xdr:col>
      <xdr:colOff>1603375</xdr:colOff>
      <xdr:row>38</xdr:row>
      <xdr:rowOff>95250</xdr:rowOff>
    </xdr:from>
    <xdr:to>
      <xdr:col>12</xdr:col>
      <xdr:colOff>31750</xdr:colOff>
      <xdr:row>65</xdr:row>
      <xdr:rowOff>58965</xdr:rowOff>
    </xdr:to>
    <xdr:graphicFrame macro="">
      <xdr:nvGraphicFramePr>
        <xdr:cNvPr id="6" name="Chart 5">
          <a:extLst>
            <a:ext uri="{FF2B5EF4-FFF2-40B4-BE49-F238E27FC236}">
              <a16:creationId xmlns:a16="http://schemas.microsoft.com/office/drawing/2014/main" id="{D2F97BFF-0774-4ACC-A345-FA1276480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2023381</xdr:colOff>
      <xdr:row>47</xdr:row>
      <xdr:rowOff>95251</xdr:rowOff>
    </xdr:from>
    <xdr:to>
      <xdr:col>10</xdr:col>
      <xdr:colOff>3841750</xdr:colOff>
      <xdr:row>56</xdr:row>
      <xdr:rowOff>47625</xdr:rowOff>
    </xdr:to>
    <xdr:sp macro="" textlink="">
      <xdr:nvSpPr>
        <xdr:cNvPr id="7" name="TextBox 6">
          <a:extLst>
            <a:ext uri="{FF2B5EF4-FFF2-40B4-BE49-F238E27FC236}">
              <a16:creationId xmlns:a16="http://schemas.microsoft.com/office/drawing/2014/main" id="{D9E8034C-F5C8-49AC-93B1-87E6A7A6B89F}"/>
            </a:ext>
          </a:extLst>
        </xdr:cNvPr>
        <xdr:cNvSpPr txBox="1"/>
      </xdr:nvSpPr>
      <xdr:spPr>
        <a:xfrm>
          <a:off x="23740381" y="10509251"/>
          <a:ext cx="1818369" cy="1476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Arial" panose="020B0604020202020204" pitchFamily="34" charset="0"/>
              <a:cs typeface="Arial" panose="020B0604020202020204" pitchFamily="34" charset="0"/>
            </a:rPr>
            <a:t>LOM</a:t>
          </a:r>
          <a:r>
            <a:rPr lang="en-IN" sz="3200" b="1" baseline="0">
              <a:latin typeface="Arial" panose="020B0604020202020204" pitchFamily="34" charset="0"/>
              <a:cs typeface="Arial" panose="020B0604020202020204" pitchFamily="34" charset="0"/>
            </a:rPr>
            <a:t> OPEX</a:t>
          </a:r>
          <a:endParaRPr lang="en-IN" sz="3200" b="1">
            <a:latin typeface="Arial" panose="020B0604020202020204" pitchFamily="34" charset="0"/>
            <a:cs typeface="Arial" panose="020B0604020202020204" pitchFamily="34" charset="0"/>
          </a:endParaRPr>
        </a:p>
      </xdr:txBody>
    </xdr:sp>
    <xdr:clientData/>
  </xdr:twoCellAnchor>
  <xdr:twoCellAnchor>
    <xdr:from>
      <xdr:col>12</xdr:col>
      <xdr:colOff>349250</xdr:colOff>
      <xdr:row>38</xdr:row>
      <xdr:rowOff>111125</xdr:rowOff>
    </xdr:from>
    <xdr:to>
      <xdr:col>17</xdr:col>
      <xdr:colOff>396875</xdr:colOff>
      <xdr:row>65</xdr:row>
      <xdr:rowOff>74840</xdr:rowOff>
    </xdr:to>
    <xdr:graphicFrame macro="">
      <xdr:nvGraphicFramePr>
        <xdr:cNvPr id="10" name="Chart 9">
          <a:extLst>
            <a:ext uri="{FF2B5EF4-FFF2-40B4-BE49-F238E27FC236}">
              <a16:creationId xmlns:a16="http://schemas.microsoft.com/office/drawing/2014/main" id="{7467A7B6-3851-499D-A484-9C3B97892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186870</xdr:colOff>
      <xdr:row>49</xdr:row>
      <xdr:rowOff>63500</xdr:rowOff>
    </xdr:from>
    <xdr:to>
      <xdr:col>16</xdr:col>
      <xdr:colOff>1190625</xdr:colOff>
      <xdr:row>53</xdr:row>
      <xdr:rowOff>116115</xdr:rowOff>
    </xdr:to>
    <xdr:sp macro="" textlink="">
      <xdr:nvSpPr>
        <xdr:cNvPr id="9" name="TextBox 8">
          <a:extLst>
            <a:ext uri="{FF2B5EF4-FFF2-40B4-BE49-F238E27FC236}">
              <a16:creationId xmlns:a16="http://schemas.microsoft.com/office/drawing/2014/main" id="{99193C99-EC7E-40D4-93AC-57E990A22311}"/>
            </a:ext>
          </a:extLst>
        </xdr:cNvPr>
        <xdr:cNvSpPr txBox="1"/>
      </xdr:nvSpPr>
      <xdr:spPr>
        <a:xfrm>
          <a:off x="30793870" y="10795000"/>
          <a:ext cx="1876880" cy="78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panose="020B0604020202020204" pitchFamily="34" charset="0"/>
              <a:cs typeface="Arial" panose="020B0604020202020204" pitchFamily="34" charset="0"/>
            </a:rPr>
            <a:t>Owner's </a:t>
          </a:r>
          <a:r>
            <a:rPr lang="en-IN" sz="2000" b="0">
              <a:latin typeface="Arial" panose="020B0604020202020204" pitchFamily="34" charset="0"/>
              <a:cs typeface="Arial" panose="020B0604020202020204" pitchFamily="34" charset="0"/>
            </a:rPr>
            <a:t>OPEX</a:t>
          </a:r>
        </a:p>
      </xdr:txBody>
    </xdr:sp>
    <xdr:clientData/>
  </xdr:twoCellAnchor>
  <xdr:twoCellAnchor>
    <xdr:from>
      <xdr:col>17</xdr:col>
      <xdr:colOff>587375</xdr:colOff>
      <xdr:row>38</xdr:row>
      <xdr:rowOff>79375</xdr:rowOff>
    </xdr:from>
    <xdr:to>
      <xdr:col>23</xdr:col>
      <xdr:colOff>730250</xdr:colOff>
      <xdr:row>65</xdr:row>
      <xdr:rowOff>43090</xdr:rowOff>
    </xdr:to>
    <xdr:graphicFrame macro="">
      <xdr:nvGraphicFramePr>
        <xdr:cNvPr id="11" name="Chart 10">
          <a:extLst>
            <a:ext uri="{FF2B5EF4-FFF2-40B4-BE49-F238E27FC236}">
              <a16:creationId xmlns:a16="http://schemas.microsoft.com/office/drawing/2014/main" id="{54969D2B-3C8C-4C16-A6ED-45F63000B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1412876</xdr:colOff>
      <xdr:row>48</xdr:row>
      <xdr:rowOff>158749</xdr:rowOff>
    </xdr:from>
    <xdr:to>
      <xdr:col>21</xdr:col>
      <xdr:colOff>476250</xdr:colOff>
      <xdr:row>54</xdr:row>
      <xdr:rowOff>142874</xdr:rowOff>
    </xdr:to>
    <xdr:sp macro="" textlink="">
      <xdr:nvSpPr>
        <xdr:cNvPr id="12" name="TextBox 11">
          <a:extLst>
            <a:ext uri="{FF2B5EF4-FFF2-40B4-BE49-F238E27FC236}">
              <a16:creationId xmlns:a16="http://schemas.microsoft.com/office/drawing/2014/main" id="{0C04DCF8-FDBD-43DE-BA81-B64421687521}"/>
            </a:ext>
          </a:extLst>
        </xdr:cNvPr>
        <xdr:cNvSpPr txBox="1"/>
      </xdr:nvSpPr>
      <xdr:spPr>
        <a:xfrm>
          <a:off x="37401501" y="10731499"/>
          <a:ext cx="1825624" cy="1031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panose="020B0604020202020204" pitchFamily="34" charset="0"/>
              <a:cs typeface="Arial" panose="020B0604020202020204" pitchFamily="34" charset="0"/>
            </a:rPr>
            <a:t>Government Fees &amp; Charges</a:t>
          </a:r>
        </a:p>
      </xdr:txBody>
    </xdr:sp>
    <xdr:clientData/>
  </xdr:twoCellAnchor>
  <xdr:twoCellAnchor>
    <xdr:from>
      <xdr:col>6</xdr:col>
      <xdr:colOff>571500</xdr:colOff>
      <xdr:row>5</xdr:row>
      <xdr:rowOff>47625</xdr:rowOff>
    </xdr:from>
    <xdr:to>
      <xdr:col>6</xdr:col>
      <xdr:colOff>2127250</xdr:colOff>
      <xdr:row>27</xdr:row>
      <xdr:rowOff>120197</xdr:rowOff>
    </xdr:to>
    <xdr:cxnSp macro="">
      <xdr:nvCxnSpPr>
        <xdr:cNvPr id="15" name="Straight Arrow Connector 14">
          <a:extLst>
            <a:ext uri="{FF2B5EF4-FFF2-40B4-BE49-F238E27FC236}">
              <a16:creationId xmlns:a16="http://schemas.microsoft.com/office/drawing/2014/main" id="{EAFD711F-5349-00BD-3053-69DBADD4E9C3}"/>
            </a:ext>
          </a:extLst>
        </xdr:cNvPr>
        <xdr:cNvCxnSpPr>
          <a:endCxn id="3" idx="0"/>
        </xdr:cNvCxnSpPr>
      </xdr:nvCxnSpPr>
      <xdr:spPr>
        <a:xfrm>
          <a:off x="14668500" y="1873250"/>
          <a:ext cx="1555750" cy="49303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392906</xdr:colOff>
      <xdr:row>71</xdr:row>
      <xdr:rowOff>154781</xdr:rowOff>
    </xdr:from>
    <xdr:to>
      <xdr:col>17</xdr:col>
      <xdr:colOff>440531</xdr:colOff>
      <xdr:row>97</xdr:row>
      <xdr:rowOff>106590</xdr:rowOff>
    </xdr:to>
    <xdr:graphicFrame macro="">
      <xdr:nvGraphicFramePr>
        <xdr:cNvPr id="44" name="Chart 7">
          <a:extLst>
            <a:ext uri="{FF2B5EF4-FFF2-40B4-BE49-F238E27FC236}">
              <a16:creationId xmlns:a16="http://schemas.microsoft.com/office/drawing/2014/main" id="{FCAB9616-B899-424E-863D-21AA6168E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1535665</xdr:colOff>
      <xdr:row>146</xdr:row>
      <xdr:rowOff>114589</xdr:rowOff>
    </xdr:from>
    <xdr:to>
      <xdr:col>12</xdr:col>
      <xdr:colOff>602604</xdr:colOff>
      <xdr:row>175</xdr:row>
      <xdr:rowOff>92326</xdr:rowOff>
    </xdr:to>
    <xdr:pic>
      <xdr:nvPicPr>
        <xdr:cNvPr id="45" name="Picture 44">
          <a:extLst>
            <a:ext uri="{FF2B5EF4-FFF2-40B4-BE49-F238E27FC236}">
              <a16:creationId xmlns:a16="http://schemas.microsoft.com/office/drawing/2014/main" id="{0D17FD08-6315-955D-6DE0-5B62DC8A71D9}"/>
            </a:ext>
          </a:extLst>
        </xdr:cNvPr>
        <xdr:cNvPicPr>
          <a:picLocks noChangeAspect="1"/>
        </xdr:cNvPicPr>
      </xdr:nvPicPr>
      <xdr:blipFill>
        <a:blip xmlns:r="http://schemas.openxmlformats.org/officeDocument/2006/relationships" r:embed="rId7"/>
        <a:stretch>
          <a:fillRect/>
        </a:stretch>
      </xdr:blipFill>
      <xdr:spPr>
        <a:xfrm>
          <a:off x="21091073" y="26784589"/>
          <a:ext cx="7717194" cy="5031819"/>
        </a:xfrm>
        <a:prstGeom prst="rect">
          <a:avLst/>
        </a:prstGeom>
      </xdr:spPr>
    </xdr:pic>
    <xdr:clientData/>
  </xdr:twoCellAnchor>
  <xdr:twoCellAnchor editAs="oneCell">
    <xdr:from>
      <xdr:col>8</xdr:col>
      <xdr:colOff>1534583</xdr:colOff>
      <xdr:row>178</xdr:row>
      <xdr:rowOff>63501</xdr:rowOff>
    </xdr:from>
    <xdr:to>
      <xdr:col>11</xdr:col>
      <xdr:colOff>928960</xdr:colOff>
      <xdr:row>230</xdr:row>
      <xdr:rowOff>20197</xdr:rowOff>
    </xdr:to>
    <xdr:pic>
      <xdr:nvPicPr>
        <xdr:cNvPr id="46" name="Picture 45">
          <a:extLst>
            <a:ext uri="{FF2B5EF4-FFF2-40B4-BE49-F238E27FC236}">
              <a16:creationId xmlns:a16="http://schemas.microsoft.com/office/drawing/2014/main" id="{DC19AD4D-E539-B91F-ABF7-00A7448D19A6}"/>
            </a:ext>
          </a:extLst>
        </xdr:cNvPr>
        <xdr:cNvPicPr>
          <a:picLocks noChangeAspect="1"/>
        </xdr:cNvPicPr>
      </xdr:nvPicPr>
      <xdr:blipFill>
        <a:blip xmlns:r="http://schemas.openxmlformats.org/officeDocument/2006/relationships" r:embed="rId8"/>
        <a:stretch>
          <a:fillRect/>
        </a:stretch>
      </xdr:blipFill>
      <xdr:spPr>
        <a:xfrm>
          <a:off x="21082000" y="32702501"/>
          <a:ext cx="5744377" cy="8211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xdr:colOff>
      <xdr:row>20</xdr:row>
      <xdr:rowOff>6732</xdr:rowOff>
    </xdr:from>
    <xdr:to>
      <xdr:col>14</xdr:col>
      <xdr:colOff>583406</xdr:colOff>
      <xdr:row>20</xdr:row>
      <xdr:rowOff>226219</xdr:rowOff>
    </xdr:to>
    <xdr:sp macro="" textlink="">
      <xdr:nvSpPr>
        <xdr:cNvPr id="4" name="Rectangle: Rounded Corners 3">
          <a:extLst>
            <a:ext uri="{FF2B5EF4-FFF2-40B4-BE49-F238E27FC236}">
              <a16:creationId xmlns:a16="http://schemas.microsoft.com/office/drawing/2014/main" id="{9CA0FCCC-5E57-46B3-B8F8-B52264599A73}"/>
            </a:ext>
          </a:extLst>
        </xdr:cNvPr>
        <xdr:cNvSpPr/>
      </xdr:nvSpPr>
      <xdr:spPr>
        <a:xfrm>
          <a:off x="4895850" y="4639692"/>
          <a:ext cx="5227796" cy="219487"/>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3669</xdr:colOff>
      <xdr:row>15</xdr:row>
      <xdr:rowOff>6848</xdr:rowOff>
    </xdr:from>
    <xdr:to>
      <xdr:col>12</xdr:col>
      <xdr:colOff>8847</xdr:colOff>
      <xdr:row>23</xdr:row>
      <xdr:rowOff>201580</xdr:rowOff>
    </xdr:to>
    <xdr:sp macro="" textlink="">
      <xdr:nvSpPr>
        <xdr:cNvPr id="5" name="Rectangle: Rounded Corners 4">
          <a:extLst>
            <a:ext uri="{FF2B5EF4-FFF2-40B4-BE49-F238E27FC236}">
              <a16:creationId xmlns:a16="http://schemas.microsoft.com/office/drawing/2014/main" id="{AFBCA137-5DFF-4083-A774-F5B2871AA512}"/>
            </a:ext>
          </a:extLst>
        </xdr:cNvPr>
        <xdr:cNvSpPr/>
      </xdr:nvSpPr>
      <xdr:spPr>
        <a:xfrm rot="16200000">
          <a:off x="7010732" y="4201185"/>
          <a:ext cx="2023532" cy="614778"/>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2964</xdr:colOff>
      <xdr:row>32</xdr:row>
      <xdr:rowOff>0</xdr:rowOff>
    </xdr:from>
    <xdr:to>
      <xdr:col>15</xdr:col>
      <xdr:colOff>0</xdr:colOff>
      <xdr:row>33</xdr:row>
      <xdr:rowOff>23812</xdr:rowOff>
    </xdr:to>
    <xdr:sp macro="" textlink="">
      <xdr:nvSpPr>
        <xdr:cNvPr id="6" name="Rectangle: Rounded Corners 5">
          <a:extLst>
            <a:ext uri="{FF2B5EF4-FFF2-40B4-BE49-F238E27FC236}">
              <a16:creationId xmlns:a16="http://schemas.microsoft.com/office/drawing/2014/main" id="{15F8540E-9878-4F52-BFBD-C15E8688CF84}"/>
            </a:ext>
          </a:extLst>
        </xdr:cNvPr>
        <xdr:cNvSpPr/>
      </xdr:nvSpPr>
      <xdr:spPr>
        <a:xfrm>
          <a:off x="4887384" y="7482840"/>
          <a:ext cx="5262456" cy="252412"/>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2064</xdr:colOff>
      <xdr:row>27</xdr:row>
      <xdr:rowOff>19460</xdr:rowOff>
    </xdr:from>
    <xdr:to>
      <xdr:col>12</xdr:col>
      <xdr:colOff>45341</xdr:colOff>
      <xdr:row>35</xdr:row>
      <xdr:rowOff>245533</xdr:rowOff>
    </xdr:to>
    <xdr:sp macro="" textlink="">
      <xdr:nvSpPr>
        <xdr:cNvPr id="7" name="Rectangle: Rounded Corners 6">
          <a:extLst>
            <a:ext uri="{FF2B5EF4-FFF2-40B4-BE49-F238E27FC236}">
              <a16:creationId xmlns:a16="http://schemas.microsoft.com/office/drawing/2014/main" id="{8374CCA0-E1FA-47F8-BE36-366E4A5F5417}"/>
            </a:ext>
          </a:extLst>
        </xdr:cNvPr>
        <xdr:cNvSpPr/>
      </xdr:nvSpPr>
      <xdr:spPr>
        <a:xfrm rot="16200000">
          <a:off x="6959166" y="6991718"/>
          <a:ext cx="2161553" cy="652877"/>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44</xdr:col>
      <xdr:colOff>285749</xdr:colOff>
      <xdr:row>42</xdr:row>
      <xdr:rowOff>118783</xdr:rowOff>
    </xdr:from>
    <xdr:to>
      <xdr:col>52</xdr:col>
      <xdr:colOff>16808</xdr:colOff>
      <xdr:row>59</xdr:row>
      <xdr:rowOff>172571</xdr:rowOff>
    </xdr:to>
    <xdr:graphicFrame macro="">
      <xdr:nvGraphicFramePr>
        <xdr:cNvPr id="33" name="Chart 1">
          <a:extLst>
            <a:ext uri="{FF2B5EF4-FFF2-40B4-BE49-F238E27FC236}">
              <a16:creationId xmlns:a16="http://schemas.microsoft.com/office/drawing/2014/main" id="{93CD5353-540F-58D5-86AA-EC377AEDE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57150</xdr:colOff>
      <xdr:row>0</xdr:row>
      <xdr:rowOff>0</xdr:rowOff>
    </xdr:from>
    <xdr:to>
      <xdr:col>24</xdr:col>
      <xdr:colOff>429444</xdr:colOff>
      <xdr:row>48</xdr:row>
      <xdr:rowOff>86872</xdr:rowOff>
    </xdr:to>
    <xdr:pic>
      <xdr:nvPicPr>
        <xdr:cNvPr id="2" name="Picture 1">
          <a:extLst>
            <a:ext uri="{FF2B5EF4-FFF2-40B4-BE49-F238E27FC236}">
              <a16:creationId xmlns:a16="http://schemas.microsoft.com/office/drawing/2014/main" id="{1A716E50-21DA-06DD-5AF1-D9C61B365FE9}"/>
            </a:ext>
          </a:extLst>
        </xdr:cNvPr>
        <xdr:cNvPicPr>
          <a:picLocks noChangeAspect="1"/>
        </xdr:cNvPicPr>
      </xdr:nvPicPr>
      <xdr:blipFill>
        <a:blip xmlns:r="http://schemas.openxmlformats.org/officeDocument/2006/relationships" r:embed="rId1"/>
        <a:stretch>
          <a:fillRect/>
        </a:stretch>
      </xdr:blipFill>
      <xdr:spPr>
        <a:xfrm>
          <a:off x="18078450" y="0"/>
          <a:ext cx="5868219" cy="82212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38100</xdr:colOff>
      <xdr:row>59</xdr:row>
      <xdr:rowOff>142875</xdr:rowOff>
    </xdr:from>
    <xdr:to>
      <xdr:col>15</xdr:col>
      <xdr:colOff>476250</xdr:colOff>
      <xdr:row>90</xdr:row>
      <xdr:rowOff>0</xdr:rowOff>
    </xdr:to>
    <xdr:graphicFrame macro="">
      <xdr:nvGraphicFramePr>
        <xdr:cNvPr id="2" name="Chart 1">
          <a:extLst>
            <a:ext uri="{FF2B5EF4-FFF2-40B4-BE49-F238E27FC236}">
              <a16:creationId xmlns:a16="http://schemas.microsoft.com/office/drawing/2014/main" id="{1B370FC5-3229-4CBD-851B-3829BA116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325366</xdr:colOff>
      <xdr:row>2</xdr:row>
      <xdr:rowOff>0</xdr:rowOff>
    </xdr:from>
    <xdr:to>
      <xdr:col>17</xdr:col>
      <xdr:colOff>761999</xdr:colOff>
      <xdr:row>28</xdr:row>
      <xdr:rowOff>1300</xdr:rowOff>
    </xdr:to>
    <xdr:graphicFrame macro="">
      <xdr:nvGraphicFramePr>
        <xdr:cNvPr id="27" name="Chart 2">
          <a:extLst>
            <a:ext uri="{FF2B5EF4-FFF2-40B4-BE49-F238E27FC236}">
              <a16:creationId xmlns:a16="http://schemas.microsoft.com/office/drawing/2014/main" id="{A89EFA87-1BC0-4F68-9CE1-DD859988B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845344</xdr:colOff>
      <xdr:row>105</xdr:row>
      <xdr:rowOff>128587</xdr:rowOff>
    </xdr:from>
    <xdr:to>
      <xdr:col>17</xdr:col>
      <xdr:colOff>321468</xdr:colOff>
      <xdr:row>122</xdr:row>
      <xdr:rowOff>38099</xdr:rowOff>
    </xdr:to>
    <xdr:graphicFrame macro="">
      <xdr:nvGraphicFramePr>
        <xdr:cNvPr id="4" name="Chart 3">
          <a:extLst>
            <a:ext uri="{FF2B5EF4-FFF2-40B4-BE49-F238E27FC236}">
              <a16:creationId xmlns:a16="http://schemas.microsoft.com/office/drawing/2014/main" id="{7531A232-8D32-4320-844D-4AD999CF1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53577</xdr:colOff>
      <xdr:row>133</xdr:row>
      <xdr:rowOff>57149</xdr:rowOff>
    </xdr:from>
    <xdr:to>
      <xdr:col>15</xdr:col>
      <xdr:colOff>530679</xdr:colOff>
      <xdr:row>187</xdr:row>
      <xdr:rowOff>54428</xdr:rowOff>
    </xdr:to>
    <xdr:graphicFrame macro="">
      <xdr:nvGraphicFramePr>
        <xdr:cNvPr id="5" name="Chart 4">
          <a:extLst>
            <a:ext uri="{FF2B5EF4-FFF2-40B4-BE49-F238E27FC236}">
              <a16:creationId xmlns:a16="http://schemas.microsoft.com/office/drawing/2014/main" id="{5F68C7E9-70BC-4000-A72D-8F2C8E96D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473239</xdr:colOff>
      <xdr:row>1</xdr:row>
      <xdr:rowOff>96815</xdr:rowOff>
    </xdr:from>
    <xdr:to>
      <xdr:col>29</xdr:col>
      <xdr:colOff>342653</xdr:colOff>
      <xdr:row>27</xdr:row>
      <xdr:rowOff>97722</xdr:rowOff>
    </xdr:to>
    <xdr:graphicFrame macro="">
      <xdr:nvGraphicFramePr>
        <xdr:cNvPr id="6" name="Chart 5">
          <a:extLst>
            <a:ext uri="{FF2B5EF4-FFF2-40B4-BE49-F238E27FC236}">
              <a16:creationId xmlns:a16="http://schemas.microsoft.com/office/drawing/2014/main" id="{75337342-9CC9-42D1-B620-BD64CFD1E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29</xdr:row>
      <xdr:rowOff>28124</xdr:rowOff>
    </xdr:from>
    <xdr:to>
      <xdr:col>14</xdr:col>
      <xdr:colOff>557892</xdr:colOff>
      <xdr:row>57</xdr:row>
      <xdr:rowOff>30391</xdr:rowOff>
    </xdr:to>
    <xdr:graphicFrame macro="">
      <xdr:nvGraphicFramePr>
        <xdr:cNvPr id="7" name="Chart 6">
          <a:extLst>
            <a:ext uri="{FF2B5EF4-FFF2-40B4-BE49-F238E27FC236}">
              <a16:creationId xmlns:a16="http://schemas.microsoft.com/office/drawing/2014/main" id="{C0956C0A-CE19-4661-8A03-2EFDD17F5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277092</xdr:colOff>
      <xdr:row>58</xdr:row>
      <xdr:rowOff>78894</xdr:rowOff>
    </xdr:from>
    <xdr:to>
      <xdr:col>34</xdr:col>
      <xdr:colOff>611084</xdr:colOff>
      <xdr:row>96</xdr:row>
      <xdr:rowOff>138487</xdr:rowOff>
    </xdr:to>
    <xdr:graphicFrame macro="">
      <xdr:nvGraphicFramePr>
        <xdr:cNvPr id="8" name="Chart 7">
          <a:extLst>
            <a:ext uri="{FF2B5EF4-FFF2-40B4-BE49-F238E27FC236}">
              <a16:creationId xmlns:a16="http://schemas.microsoft.com/office/drawing/2014/main" id="{4318AFCD-1B89-46AA-ADF7-7417CEDBB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104135</xdr:colOff>
      <xdr:row>28</xdr:row>
      <xdr:rowOff>147044</xdr:rowOff>
    </xdr:from>
    <xdr:to>
      <xdr:col>24</xdr:col>
      <xdr:colOff>17317</xdr:colOff>
      <xdr:row>57</xdr:row>
      <xdr:rowOff>0</xdr:rowOff>
    </xdr:to>
    <xdr:graphicFrame macro="">
      <xdr:nvGraphicFramePr>
        <xdr:cNvPr id="9" name="Chart 8">
          <a:extLst>
            <a:ext uri="{FF2B5EF4-FFF2-40B4-BE49-F238E27FC236}">
              <a16:creationId xmlns:a16="http://schemas.microsoft.com/office/drawing/2014/main" id="{E0608791-1A8E-460C-8EC6-201305200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rk-my.sharepoint.com/personal/sgain_srk_co_in/Documents/007_SRKIN_Projects/IN1411_Vedanta_Radhikapur_Conceptual%20Study/TEM%20Review/20260528/Option%202_15%20Mtpa_rev3.xlsx" TargetMode="External"/><Relationship Id="rId1" Type="http://schemas.openxmlformats.org/officeDocument/2006/relationships/externalLinkPath" Target="https://srk.sharepoint.com/sites/ININ1411/Shared%20Documents/General/04.Working/Mining/Conceptual%20Tradeoffs/Workings/Reviewed%20Version/Option%202_15%20Mtpa_re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Revision"/>
      <sheetName val="Scenario Matrix"/>
      <sheetName val="Disclaimer"/>
      <sheetName val="Guide"/>
      <sheetName val="Assumptions_Dashboard"/>
      <sheetName val="Production Schedule"/>
      <sheetName val="Sensitivity"/>
      <sheetName val="P&amp;L"/>
      <sheetName val="CF"/>
      <sheetName val="Tax"/>
      <sheetName val="Borrowings-Owner"/>
      <sheetName val="Borrowings-MDO"/>
      <sheetName val="Depreciation-Owner"/>
      <sheetName val="Depreciation-MDO"/>
      <sheetName val="Project CAPEX"/>
      <sheetName val="Owner CAPEX"/>
      <sheetName val="MDO CAPEX"/>
      <sheetName val="Capex Breakups"/>
      <sheetName val="Project OPEX"/>
      <sheetName val="Owner OPEX"/>
      <sheetName val="Contractor OPEX"/>
      <sheetName val="Pre-Operative"/>
      <sheetName val="Land"/>
      <sheetName val="Fleet"/>
      <sheetName val="R&amp;R"/>
      <sheetName val="Equipment"/>
      <sheetName val="Equipment Op Cost"/>
      <sheetName val="Productivity"/>
      <sheetName val="Productivity - SM"/>
      <sheetName val="Equipment Master Data"/>
      <sheetName val="Explosive"/>
      <sheetName val="Wage-Owner"/>
      <sheetName val="Wage-MDO"/>
      <sheetName val="Government"/>
      <sheetName val="Coal Price"/>
      <sheetName val="Dashboard"/>
    </sheetNames>
    <sheetDataSet>
      <sheetData sheetId="0"/>
      <sheetData sheetId="1"/>
      <sheetData sheetId="2"/>
      <sheetData sheetId="3"/>
      <sheetData sheetId="4"/>
      <sheetData sheetId="5"/>
      <sheetData sheetId="6">
        <row r="5">
          <cell r="I5">
            <v>1.9999997549999999</v>
          </cell>
          <cell r="J5">
            <v>4.000000365</v>
          </cell>
          <cell r="K5">
            <v>7.9999998750000003</v>
          </cell>
          <cell r="L5">
            <v>12.000005369999998</v>
          </cell>
          <cell r="M5">
            <v>14.999998590000001</v>
          </cell>
          <cell r="N5">
            <v>14.999990039999998</v>
          </cell>
          <cell r="O5">
            <v>15.000003719999999</v>
          </cell>
          <cell r="P5">
            <v>14.999996879999999</v>
          </cell>
          <cell r="Q5">
            <v>15.000000299999998</v>
          </cell>
          <cell r="R5">
            <v>15.000000299999998</v>
          </cell>
          <cell r="S5">
            <v>15.00000543</v>
          </cell>
          <cell r="T5">
            <v>15.000000299999998</v>
          </cell>
          <cell r="U5">
            <v>15.000002009999999</v>
          </cell>
          <cell r="V5">
            <v>15.000003719999999</v>
          </cell>
          <cell r="W5">
            <v>14.999998590000001</v>
          </cell>
          <cell r="X5">
            <v>14.99999517</v>
          </cell>
          <cell r="Y5">
            <v>10.000003905</v>
          </cell>
          <cell r="Z5">
            <v>7.5000018599999994</v>
          </cell>
          <cell r="AA5">
            <v>2.22965532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F975D9C-56CA-424E-9E03-42C0B69B5B78}">
  <we:reference id="WA200001584" version="3.0.5.6" store="Omex" storeType="OMEX"/>
  <we:alternateReferences>
    <we:reference id="WA200001584" version="3.0.5.6" store="WA20000158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8E714B06-54B3-4861-A367-46572C1A03F0}">
  <we:reference id="WA200009404" version="1.0.0.8" store="en-us" storeType="omex"/>
  <we:alternateReferences>
    <we:reference id="WA200009404" version="1.0.0.8" store="en-us" storeType="omex"/>
  </we:alternateReferences>
  <we:properties>
    <we:property name="claude.fileId" value="&quot;5a0de00e-0ad6-4f95-9d29-a0bde2cadd9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hyperlink" Target="https://incometaxmanagement.com/Pages/KnowledgeBASE/11/Rates-of-Depreciation-under-Companies-Act-2013.html?utm" TargetMode="External"/><Relationship Id="rId2" Type="http://schemas.openxmlformats.org/officeDocument/2006/relationships/hyperlink" Target="https://upload.indiacode.nic.in/schedulefile?aid=AC_CEN_22_29_00008_201318_1517807327856&amp;rid=9&amp;utm" TargetMode="External"/><Relationship Id="rId1" Type="http://schemas.openxmlformats.org/officeDocument/2006/relationships/hyperlink" Target="https://incometaxindia.gov.in/charts%20%20tables/depreciation%20rates.htm?ut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incometaxmanagement.com/Pages/KnowledgeBASE/11/Rates-of-Depreciation-under-Companies-Act-2013.html?utm" TargetMode="External"/><Relationship Id="rId2" Type="http://schemas.openxmlformats.org/officeDocument/2006/relationships/hyperlink" Target="https://upload.indiacode.nic.in/schedulefile?aid=AC_CEN_22_29_00008_201318_1517807327856&amp;rid=9&amp;utm" TargetMode="External"/><Relationship Id="rId1" Type="http://schemas.openxmlformats.org/officeDocument/2006/relationships/hyperlink" Target="https://incometaxindia.gov.in/charts%20%20tables/depreciation%20rates.htm?utm"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53"/>
    <pageSetUpPr fitToPage="1"/>
  </sheetPr>
  <dimension ref="D1:L23"/>
  <sheetViews>
    <sheetView showGridLines="0" workbookViewId="0"/>
  </sheetViews>
  <sheetFormatPr baseColWidth="10" defaultColWidth="9.33203125" defaultRowHeight="14"/>
  <cols>
    <col min="1" max="3" width="9.33203125" style="19"/>
    <col min="4" max="4" width="6.33203125" style="19" customWidth="1"/>
    <col min="5" max="5" width="36" style="53" customWidth="1"/>
    <col min="6" max="6" width="24.5" style="19" customWidth="1"/>
    <col min="7" max="7" width="5.6640625" style="19" customWidth="1"/>
    <col min="8" max="8" width="41.5" style="19" bestFit="1" customWidth="1"/>
    <col min="9" max="9" width="18.1640625" style="19" customWidth="1"/>
    <col min="10" max="16384" width="9.33203125" style="19"/>
  </cols>
  <sheetData>
    <row r="1" spans="4:9" ht="15" thickBot="1"/>
    <row r="2" spans="4:9" ht="15" thickTop="1">
      <c r="D2" s="2"/>
      <c r="E2" s="3"/>
      <c r="F2" s="3"/>
      <c r="G2" s="3"/>
      <c r="H2" s="3"/>
      <c r="I2" s="4"/>
    </row>
    <row r="3" spans="4:9" ht="63.5" customHeight="1">
      <c r="D3" s="5"/>
      <c r="E3" s="6" t="s">
        <v>0</v>
      </c>
      <c r="F3" s="1702" t="s">
        <v>1</v>
      </c>
      <c r="G3" s="1702"/>
      <c r="H3" s="1702"/>
      <c r="I3" s="1703"/>
    </row>
    <row r="4" spans="4:9" ht="20">
      <c r="D4" s="5"/>
      <c r="E4" s="7"/>
      <c r="F4" s="7"/>
      <c r="G4" s="7"/>
      <c r="H4" s="8"/>
      <c r="I4" s="9"/>
    </row>
    <row r="5" spans="4:9" ht="20">
      <c r="D5" s="5"/>
      <c r="E5" s="7" t="s">
        <v>2</v>
      </c>
      <c r="F5" s="7" t="s">
        <v>3</v>
      </c>
      <c r="G5" s="7"/>
      <c r="H5" s="8"/>
      <c r="I5" s="9"/>
    </row>
    <row r="6" spans="4:9" ht="20">
      <c r="D6" s="5"/>
      <c r="E6" s="7"/>
      <c r="F6" s="7"/>
      <c r="G6" s="7"/>
      <c r="H6" s="8"/>
      <c r="I6" s="9"/>
    </row>
    <row r="7" spans="4:9" ht="20">
      <c r="D7" s="5"/>
      <c r="E7" s="7" t="s">
        <v>4</v>
      </c>
      <c r="F7" s="7" t="s">
        <v>5</v>
      </c>
      <c r="G7" s="7"/>
      <c r="H7" s="8"/>
      <c r="I7" s="9"/>
    </row>
    <row r="8" spans="4:9" ht="20">
      <c r="D8" s="5"/>
      <c r="E8" s="7"/>
      <c r="F8" s="7"/>
      <c r="G8" s="7"/>
      <c r="H8" s="8"/>
      <c r="I8" s="9"/>
    </row>
    <row r="9" spans="4:9" ht="20">
      <c r="D9" s="5"/>
      <c r="E9" s="7" t="s">
        <v>6</v>
      </c>
      <c r="F9" s="7" t="s">
        <v>7</v>
      </c>
      <c r="G9" s="7"/>
      <c r="H9" s="8"/>
      <c r="I9" s="9"/>
    </row>
    <row r="10" spans="4:9" ht="20">
      <c r="D10" s="5"/>
      <c r="E10" s="7"/>
      <c r="F10" s="7"/>
      <c r="G10" s="7"/>
      <c r="H10" s="8"/>
      <c r="I10" s="9"/>
    </row>
    <row r="11" spans="4:9">
      <c r="D11" s="5"/>
      <c r="E11" s="10" t="s">
        <v>8</v>
      </c>
      <c r="F11" s="10" t="s">
        <v>9</v>
      </c>
      <c r="G11" s="11"/>
      <c r="H11" s="12"/>
      <c r="I11" s="9"/>
    </row>
    <row r="12" spans="4:9">
      <c r="D12" s="5"/>
      <c r="E12" s="10"/>
      <c r="F12" s="10"/>
      <c r="G12" s="13"/>
      <c r="H12" s="12"/>
      <c r="I12" s="9"/>
    </row>
    <row r="13" spans="4:9">
      <c r="D13" s="5"/>
      <c r="E13" s="10" t="s">
        <v>10</v>
      </c>
      <c r="F13" s="10" t="s">
        <v>11</v>
      </c>
      <c r="G13" s="11"/>
      <c r="H13" s="12"/>
      <c r="I13" s="9"/>
    </row>
    <row r="14" spans="4:9">
      <c r="D14" s="5"/>
      <c r="E14" s="10"/>
      <c r="F14" s="10"/>
      <c r="G14" s="12"/>
      <c r="H14" s="14"/>
      <c r="I14" s="9"/>
    </row>
    <row r="15" spans="4:9">
      <c r="D15" s="5"/>
      <c r="E15" s="10" t="s">
        <v>12</v>
      </c>
      <c r="F15" s="10" t="s">
        <v>13</v>
      </c>
      <c r="G15" s="12"/>
      <c r="H15" s="14"/>
      <c r="I15" s="9"/>
    </row>
    <row r="16" spans="4:9">
      <c r="D16" s="5"/>
      <c r="E16" s="10"/>
      <c r="F16" s="10"/>
      <c r="G16" s="12"/>
      <c r="H16" s="14"/>
      <c r="I16" s="9"/>
    </row>
    <row r="17" spans="4:12">
      <c r="D17" s="5"/>
      <c r="E17" s="10" t="s">
        <v>14</v>
      </c>
      <c r="F17" s="11" t="str">
        <f ca="1">MID(CELL("filename",A1),FIND("[",CELL("filename",A1))+1,FIND("]", CELL("filename",A1))-FIND("[",CELL("filename",A1))-1)</f>
        <v>Option 3_15 Mtpa_rev1_smg opt2 quality.xlsx</v>
      </c>
      <c r="G17" s="12"/>
      <c r="H17" s="14"/>
      <c r="I17" s="9"/>
    </row>
    <row r="18" spans="4:12" ht="15" thickBot="1">
      <c r="D18" s="15"/>
      <c r="E18" s="16"/>
      <c r="F18" s="16"/>
      <c r="G18" s="16"/>
      <c r="H18" s="16"/>
      <c r="I18" s="17"/>
    </row>
    <row r="19" spans="4:12" ht="15" thickTop="1">
      <c r="D19" s="18"/>
      <c r="E19" s="18"/>
      <c r="F19" s="18"/>
      <c r="G19" s="18"/>
      <c r="H19" s="18"/>
      <c r="I19" s="18"/>
    </row>
    <row r="20" spans="4:12">
      <c r="D20" s="18"/>
      <c r="E20" s="19"/>
      <c r="F20" s="10"/>
      <c r="G20" s="12"/>
      <c r="H20" s="12"/>
      <c r="I20" s="18"/>
    </row>
    <row r="21" spans="4:12">
      <c r="D21" s="20"/>
      <c r="E21" s="21" t="s">
        <v>15</v>
      </c>
      <c r="F21" s="20" t="s">
        <v>16</v>
      </c>
      <c r="G21" s="22"/>
      <c r="H21" s="23"/>
      <c r="I21" s="20"/>
    </row>
    <row r="22" spans="4:12">
      <c r="D22" s="20"/>
      <c r="E22" s="21" t="s">
        <v>17</v>
      </c>
      <c r="F22" s="20" t="s">
        <v>18</v>
      </c>
      <c r="G22" s="22"/>
      <c r="H22" s="23"/>
      <c r="I22" s="20"/>
    </row>
    <row r="23" spans="4:12">
      <c r="D23" s="24"/>
      <c r="E23" s="21" t="s">
        <v>19</v>
      </c>
      <c r="F23" s="20" t="s">
        <v>20</v>
      </c>
      <c r="G23" s="24"/>
      <c r="H23" s="24"/>
      <c r="I23" s="24"/>
      <c r="L23" s="19" t="s">
        <v>21</v>
      </c>
    </row>
  </sheetData>
  <mergeCells count="1">
    <mergeCell ref="F3:I3"/>
  </mergeCells>
  <pageMargins left="0.70866141732283472" right="0.70866141732283472" top="0.74803149606299213" bottom="0.74803149606299213" header="0.31496062992125984" footer="0.31496062992125984"/>
  <pageSetup paperSize="9" scale="9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B3:I53"/>
  <sheetViews>
    <sheetView showGridLines="0" workbookViewId="0">
      <selection activeCell="H60" sqref="H60"/>
    </sheetView>
  </sheetViews>
  <sheetFormatPr baseColWidth="10" defaultColWidth="9.33203125" defaultRowHeight="13"/>
  <cols>
    <col min="1" max="1" width="9.33203125" style="46"/>
    <col min="2" max="2" width="15.5" style="46" bestFit="1" customWidth="1"/>
    <col min="3" max="3" width="24.5" style="46" bestFit="1" customWidth="1"/>
    <col min="4" max="4" width="26.5" style="47" bestFit="1" customWidth="1"/>
    <col min="5" max="5" width="23.6640625" style="47" customWidth="1"/>
    <col min="6" max="6" width="131.1640625" style="46" bestFit="1" customWidth="1"/>
    <col min="7" max="16384" width="9.33203125" style="46"/>
  </cols>
  <sheetData>
    <row r="3" spans="2:6">
      <c r="B3" s="1073"/>
      <c r="C3" s="1074"/>
      <c r="D3" s="1075"/>
      <c r="E3" s="1075"/>
      <c r="F3" s="1076"/>
    </row>
    <row r="4" spans="2:6">
      <c r="B4" s="1077"/>
      <c r="C4" s="1078"/>
      <c r="D4" s="1079"/>
      <c r="E4" s="1079"/>
      <c r="F4" s="1080"/>
    </row>
    <row r="5" spans="2:6">
      <c r="B5" s="1077"/>
      <c r="C5" s="1078"/>
      <c r="D5" s="1079"/>
      <c r="E5" s="1079"/>
      <c r="F5" s="1080"/>
    </row>
    <row r="6" spans="2:6">
      <c r="B6" s="1077"/>
      <c r="C6" s="1078"/>
      <c r="D6" s="1079"/>
      <c r="E6" s="1079"/>
      <c r="F6" s="1080"/>
    </row>
    <row r="7" spans="2:6">
      <c r="B7" s="1077"/>
      <c r="C7" s="1078"/>
      <c r="D7" s="1079"/>
      <c r="E7" s="1079"/>
      <c r="F7" s="1080"/>
    </row>
    <row r="8" spans="2:6">
      <c r="B8" s="1077"/>
      <c r="C8" s="1078"/>
      <c r="D8" s="1079"/>
      <c r="E8" s="1079"/>
      <c r="F8" s="1080"/>
    </row>
    <row r="9" spans="2:6">
      <c r="B9" s="1077"/>
      <c r="C9" s="1078"/>
      <c r="D9" s="1079"/>
      <c r="E9" s="1079"/>
      <c r="F9" s="1080"/>
    </row>
    <row r="10" spans="2:6">
      <c r="B10" s="1077"/>
      <c r="C10" s="1078"/>
      <c r="D10" s="1079"/>
      <c r="E10" s="1079"/>
      <c r="F10" s="1080"/>
    </row>
    <row r="11" spans="2:6">
      <c r="B11" s="1077"/>
      <c r="C11" s="1078"/>
      <c r="D11" s="1079"/>
      <c r="E11" s="1079"/>
      <c r="F11" s="1080"/>
    </row>
    <row r="12" spans="2:6">
      <c r="B12" s="1077"/>
      <c r="C12" s="1078"/>
      <c r="D12" s="1079"/>
      <c r="E12" s="1079"/>
      <c r="F12" s="1080"/>
    </row>
    <row r="13" spans="2:6" ht="5.25" customHeight="1" thickBot="1">
      <c r="B13" s="1081"/>
      <c r="C13" s="1082"/>
      <c r="D13" s="1083"/>
      <c r="E13" s="1083"/>
      <c r="F13" s="1084"/>
    </row>
    <row r="14" spans="2:6" ht="14" thickBot="1">
      <c r="B14" s="1071"/>
      <c r="C14" s="1071"/>
      <c r="D14" s="1072"/>
      <c r="E14" s="1072"/>
      <c r="F14" s="1071"/>
    </row>
    <row r="15" spans="2:6" s="52" customFormat="1" ht="14" thickBot="1">
      <c r="B15" s="48" t="s">
        <v>22</v>
      </c>
      <c r="C15" s="49" t="s">
        <v>23</v>
      </c>
      <c r="D15" s="50" t="s">
        <v>24</v>
      </c>
      <c r="E15" s="50" t="s">
        <v>25</v>
      </c>
      <c r="F15" s="51" t="s">
        <v>26</v>
      </c>
    </row>
    <row r="16" spans="2:6" ht="14">
      <c r="B16" s="1085">
        <v>1</v>
      </c>
      <c r="C16" s="1086" t="str">
        <f ca="1">Title!F17</f>
        <v>Option 3_15 Mtpa_rev1_smg opt2 quality.xlsx</v>
      </c>
      <c r="D16" s="717" t="s">
        <v>27</v>
      </c>
      <c r="E16" s="717" t="s">
        <v>28</v>
      </c>
      <c r="F16" s="718" t="str">
        <f>VLOOKUP(E16,'Scenario Matrix'!$B$4:$F$20,5,FALSE)</f>
        <v>Option 1 - Base Case: Conventional pit progression from in-crop and movement towards dip side</v>
      </c>
    </row>
    <row r="17" spans="2:6">
      <c r="B17" s="1077"/>
      <c r="C17" s="1078"/>
      <c r="D17" s="1079"/>
      <c r="E17" s="1079"/>
      <c r="F17" s="1080"/>
    </row>
    <row r="18" spans="2:6">
      <c r="B18" s="1077"/>
      <c r="C18" s="1078"/>
      <c r="D18" s="1079"/>
      <c r="E18" s="1079"/>
      <c r="F18" s="1080"/>
    </row>
    <row r="19" spans="2:6">
      <c r="B19" s="1077"/>
      <c r="C19" s="1078"/>
      <c r="D19" s="1079"/>
      <c r="E19" s="1079"/>
      <c r="F19" s="1080"/>
    </row>
    <row r="20" spans="2:6">
      <c r="B20" s="1077"/>
      <c r="C20" s="1078"/>
      <c r="D20" s="1079"/>
      <c r="E20" s="1079"/>
      <c r="F20" s="1080"/>
    </row>
    <row r="21" spans="2:6">
      <c r="B21" s="1077"/>
      <c r="C21" s="1078"/>
      <c r="D21" s="1079"/>
      <c r="E21" s="1079"/>
      <c r="F21" s="1080"/>
    </row>
    <row r="22" spans="2:6">
      <c r="B22" s="1077"/>
      <c r="C22" s="1078"/>
      <c r="D22" s="1079"/>
      <c r="E22" s="1079"/>
      <c r="F22" s="1080"/>
    </row>
    <row r="23" spans="2:6">
      <c r="B23" s="1077"/>
      <c r="C23" s="1078"/>
      <c r="D23" s="1079"/>
      <c r="E23" s="1079"/>
      <c r="F23" s="1080"/>
    </row>
    <row r="24" spans="2:6">
      <c r="B24" s="1077"/>
      <c r="C24" s="1078"/>
      <c r="D24" s="1079"/>
      <c r="E24" s="1079"/>
      <c r="F24" s="1080"/>
    </row>
    <row r="25" spans="2:6">
      <c r="B25" s="1077"/>
      <c r="C25" s="1078"/>
      <c r="D25" s="1079"/>
      <c r="E25" s="1079"/>
      <c r="F25" s="1080"/>
    </row>
    <row r="26" spans="2:6">
      <c r="B26" s="1077"/>
      <c r="C26" s="1078"/>
      <c r="D26" s="1079"/>
      <c r="E26" s="1079"/>
      <c r="F26" s="1080"/>
    </row>
    <row r="27" spans="2:6">
      <c r="B27" s="1077"/>
      <c r="C27" s="1078"/>
      <c r="D27" s="1079"/>
      <c r="E27" s="1079"/>
      <c r="F27" s="1080"/>
    </row>
    <row r="28" spans="2:6">
      <c r="B28" s="1077"/>
      <c r="C28" s="1078"/>
      <c r="D28" s="1079"/>
      <c r="E28" s="1079"/>
      <c r="F28" s="1080"/>
    </row>
    <row r="29" spans="2:6">
      <c r="B29" s="1077"/>
      <c r="C29" s="1078"/>
      <c r="D29" s="1079"/>
      <c r="E29" s="1079"/>
      <c r="F29" s="1080"/>
    </row>
    <row r="30" spans="2:6">
      <c r="B30" s="1077"/>
      <c r="C30" s="1078"/>
      <c r="D30" s="1079"/>
      <c r="E30" s="1079"/>
      <c r="F30" s="1080"/>
    </row>
    <row r="31" spans="2:6">
      <c r="B31" s="1077"/>
      <c r="C31" s="1078"/>
      <c r="D31" s="1079"/>
      <c r="E31" s="1079"/>
      <c r="F31" s="1080"/>
    </row>
    <row r="32" spans="2:6" ht="14" thickBot="1">
      <c r="B32" s="1081"/>
      <c r="C32" s="1082"/>
      <c r="D32" s="1083"/>
      <c r="E32" s="1083"/>
      <c r="F32" s="1084"/>
    </row>
    <row r="35" spans="2:9" hidden="1">
      <c r="B35" s="1538" t="s">
        <v>29</v>
      </c>
      <c r="C35" s="1539"/>
      <c r="D35" s="1539"/>
      <c r="E35" s="1539"/>
      <c r="F35" s="1540"/>
      <c r="G35" s="1071"/>
      <c r="H35" s="1071"/>
      <c r="I35" s="1071"/>
    </row>
    <row r="36" spans="2:9" hidden="1">
      <c r="B36" s="1541" t="s">
        <v>30</v>
      </c>
      <c r="C36" s="1542" t="s">
        <v>31</v>
      </c>
      <c r="D36" s="1543" t="s">
        <v>32</v>
      </c>
      <c r="E36" s="1545" t="s">
        <v>33</v>
      </c>
      <c r="F36" s="1544" t="s">
        <v>34</v>
      </c>
      <c r="G36" s="1071"/>
      <c r="H36" s="1071"/>
      <c r="I36" s="1071"/>
    </row>
    <row r="37" spans="2:9" hidden="1">
      <c r="B37" s="1071"/>
      <c r="C37" s="1592"/>
      <c r="D37" s="1072"/>
      <c r="E37" s="1072"/>
      <c r="F37" s="1071"/>
      <c r="G37" s="1071"/>
      <c r="H37" s="1071"/>
      <c r="I37" s="1071"/>
    </row>
    <row r="38" spans="2:9" ht="27" hidden="1" customHeight="1">
      <c r="B38" s="1547" t="s">
        <v>28</v>
      </c>
      <c r="C38" s="1536" t="s">
        <v>35</v>
      </c>
      <c r="D38" s="1548">
        <v>15</v>
      </c>
      <c r="E38" s="1546" t="s">
        <v>36</v>
      </c>
      <c r="F38" s="1537" t="s">
        <v>37</v>
      </c>
      <c r="G38" s="1071"/>
      <c r="H38" s="1071"/>
      <c r="I38" s="1071" t="s">
        <v>37</v>
      </c>
    </row>
    <row r="39" spans="2:9" ht="27" hidden="1" customHeight="1">
      <c r="B39" s="1547" t="s">
        <v>38</v>
      </c>
      <c r="C39" s="1536" t="s">
        <v>39</v>
      </c>
      <c r="D39" s="1548">
        <v>15</v>
      </c>
      <c r="E39" s="1546" t="s">
        <v>36</v>
      </c>
      <c r="F39" s="1537" t="s">
        <v>37</v>
      </c>
      <c r="G39" s="1071"/>
      <c r="H39" s="1071"/>
      <c r="I39" s="1071" t="s">
        <v>40</v>
      </c>
    </row>
    <row r="40" spans="2:9" ht="27" hidden="1" customHeight="1">
      <c r="B40" s="1547" t="s">
        <v>41</v>
      </c>
      <c r="C40" s="1536" t="s">
        <v>35</v>
      </c>
      <c r="D40" s="1548">
        <v>15</v>
      </c>
      <c r="E40" s="1546" t="s">
        <v>36</v>
      </c>
      <c r="F40" s="1537" t="s">
        <v>40</v>
      </c>
      <c r="G40" s="1071"/>
      <c r="H40" s="1071"/>
      <c r="I40" s="1071" t="s">
        <v>42</v>
      </c>
    </row>
    <row r="41" spans="2:9" ht="27" hidden="1" customHeight="1">
      <c r="B41" s="1547" t="s">
        <v>43</v>
      </c>
      <c r="C41" s="1536" t="s">
        <v>39</v>
      </c>
      <c r="D41" s="1548">
        <v>15</v>
      </c>
      <c r="E41" s="1546" t="s">
        <v>36</v>
      </c>
      <c r="F41" s="1537" t="s">
        <v>40</v>
      </c>
      <c r="G41" s="1071"/>
      <c r="H41" s="1071"/>
      <c r="I41" s="1071" t="s">
        <v>44</v>
      </c>
    </row>
    <row r="42" spans="2:9" ht="27" hidden="1" customHeight="1">
      <c r="B42" s="1547" t="s">
        <v>45</v>
      </c>
      <c r="C42" s="1536" t="s">
        <v>35</v>
      </c>
      <c r="D42" s="1548">
        <v>15</v>
      </c>
      <c r="E42" s="1546" t="s">
        <v>36</v>
      </c>
      <c r="F42" s="1537" t="s">
        <v>42</v>
      </c>
      <c r="G42" s="1071"/>
      <c r="H42" s="1071"/>
      <c r="I42" s="1071"/>
    </row>
    <row r="43" spans="2:9" ht="27" hidden="1" customHeight="1">
      <c r="B43" s="1547" t="s">
        <v>46</v>
      </c>
      <c r="C43" s="1536" t="s">
        <v>39</v>
      </c>
      <c r="D43" s="1548">
        <v>15</v>
      </c>
      <c r="E43" s="1546" t="s">
        <v>36</v>
      </c>
      <c r="F43" s="1537" t="s">
        <v>42</v>
      </c>
      <c r="G43" s="1071"/>
      <c r="H43" s="1071"/>
      <c r="I43" s="1071"/>
    </row>
    <row r="44" spans="2:9" ht="27" hidden="1" customHeight="1">
      <c r="B44" s="1547" t="s">
        <v>47</v>
      </c>
      <c r="C44" s="1536" t="s">
        <v>35</v>
      </c>
      <c r="D44" s="1548">
        <v>20</v>
      </c>
      <c r="E44" s="1546" t="s">
        <v>36</v>
      </c>
      <c r="F44" s="1537" t="s">
        <v>37</v>
      </c>
      <c r="G44" s="1071"/>
      <c r="H44" s="1071"/>
      <c r="I44" s="1071"/>
    </row>
    <row r="45" spans="2:9" ht="27" hidden="1" customHeight="1">
      <c r="B45" s="1547" t="s">
        <v>48</v>
      </c>
      <c r="C45" s="1536" t="s">
        <v>39</v>
      </c>
      <c r="D45" s="1548">
        <v>20</v>
      </c>
      <c r="E45" s="1546" t="s">
        <v>36</v>
      </c>
      <c r="F45" s="1537" t="s">
        <v>37</v>
      </c>
      <c r="G45" s="1071"/>
      <c r="H45" s="1071"/>
      <c r="I45" s="1071"/>
    </row>
    <row r="46" spans="2:9" ht="27" hidden="1" customHeight="1">
      <c r="B46" s="1547" t="s">
        <v>49</v>
      </c>
      <c r="C46" s="1536" t="s">
        <v>35</v>
      </c>
      <c r="D46" s="1548">
        <v>20</v>
      </c>
      <c r="E46" s="1546" t="s">
        <v>36</v>
      </c>
      <c r="F46" s="1537" t="s">
        <v>40</v>
      </c>
      <c r="G46" s="1071"/>
      <c r="H46" s="1071"/>
      <c r="I46" s="1071"/>
    </row>
    <row r="47" spans="2:9" ht="27" hidden="1" customHeight="1">
      <c r="B47" s="1547" t="s">
        <v>50</v>
      </c>
      <c r="C47" s="1536" t="s">
        <v>39</v>
      </c>
      <c r="D47" s="1548">
        <v>20</v>
      </c>
      <c r="E47" s="1546" t="s">
        <v>36</v>
      </c>
      <c r="F47" s="1537" t="s">
        <v>40</v>
      </c>
      <c r="G47" s="1071"/>
      <c r="H47" s="1071"/>
      <c r="I47" s="1071"/>
    </row>
    <row r="48" spans="2:9" ht="27" hidden="1" customHeight="1">
      <c r="B48" s="1547" t="s">
        <v>51</v>
      </c>
      <c r="C48" s="1536" t="s">
        <v>35</v>
      </c>
      <c r="D48" s="1548">
        <v>20</v>
      </c>
      <c r="E48" s="1546" t="s">
        <v>36</v>
      </c>
      <c r="F48" s="1537" t="s">
        <v>42</v>
      </c>
      <c r="G48" s="1071"/>
      <c r="H48" s="1071"/>
      <c r="I48" s="1071"/>
    </row>
    <row r="49" spans="2:6" ht="27" hidden="1" customHeight="1">
      <c r="B49" s="1547" t="s">
        <v>52</v>
      </c>
      <c r="C49" s="1536" t="s">
        <v>39</v>
      </c>
      <c r="D49" s="1548">
        <v>20</v>
      </c>
      <c r="E49" s="1546" t="s">
        <v>36</v>
      </c>
      <c r="F49" s="1537" t="s">
        <v>42</v>
      </c>
    </row>
    <row r="50" spans="2:6" ht="27" hidden="1" customHeight="1">
      <c r="B50" s="1547" t="s">
        <v>53</v>
      </c>
      <c r="C50" s="1536" t="s">
        <v>35</v>
      </c>
      <c r="D50" s="1548">
        <v>10</v>
      </c>
      <c r="E50" s="1546" t="s">
        <v>36</v>
      </c>
      <c r="F50" s="1537" t="s">
        <v>44</v>
      </c>
    </row>
    <row r="51" spans="2:6" ht="27" hidden="1" customHeight="1">
      <c r="B51" s="1547" t="s">
        <v>54</v>
      </c>
      <c r="C51" s="1536" t="s">
        <v>39</v>
      </c>
      <c r="D51" s="1548">
        <v>10</v>
      </c>
      <c r="E51" s="1546" t="s">
        <v>36</v>
      </c>
      <c r="F51" s="1537" t="s">
        <v>44</v>
      </c>
    </row>
    <row r="52" spans="2:6" ht="27" hidden="1" customHeight="1">
      <c r="B52" s="1547" t="s">
        <v>55</v>
      </c>
      <c r="C52" s="1536" t="s">
        <v>39</v>
      </c>
      <c r="D52" s="1548">
        <v>15</v>
      </c>
      <c r="E52" s="1546" t="s">
        <v>56</v>
      </c>
      <c r="F52" s="1537" t="s">
        <v>42</v>
      </c>
    </row>
    <row r="53" spans="2:6" ht="27" hidden="1" customHeight="1">
      <c r="B53" s="1547" t="s">
        <v>57</v>
      </c>
      <c r="C53" s="1536" t="s">
        <v>39</v>
      </c>
      <c r="D53" s="1548">
        <v>15</v>
      </c>
      <c r="E53" s="1546" t="s">
        <v>56</v>
      </c>
      <c r="F53" s="1537" t="s">
        <v>42</v>
      </c>
    </row>
  </sheetData>
  <phoneticPr fontId="92" type="noConversion"/>
  <dataValidations count="5">
    <dataValidation type="list" allowBlank="1" showInputMessage="1" showErrorMessage="1" sqref="C38:C53" xr:uid="{269A3D9B-1243-488D-A297-8F37B6EEA3A0}">
      <formula1>"Departmental, MDO/Outsourcing"</formula1>
    </dataValidation>
    <dataValidation type="list" allowBlank="1" showInputMessage="1" showErrorMessage="1" sqref="D38:D53" xr:uid="{86795D51-7972-4FE0-AB4A-C5122491F336}">
      <formula1>"10,15,20"</formula1>
    </dataValidation>
    <dataValidation type="list" allowBlank="1" showInputMessage="1" showErrorMessage="1" sqref="E52:E53" xr:uid="{EF5DA490-7F7B-42DE-87F8-74485722F6DD}">
      <formula1>"Coal - Surface Miner. Waste - Drillin &amp; Blasting, Drilling &amp; Blasting only"</formula1>
    </dataValidation>
    <dataValidation type="list" allowBlank="1" showInputMessage="1" showErrorMessage="1" sqref="F38:F53" xr:uid="{5C954C9C-E5A4-496A-B013-434504454D60}">
      <formula1>$I$38:$I$41</formula1>
    </dataValidation>
    <dataValidation type="list" allowBlank="1" showInputMessage="1" showErrorMessage="1" sqref="E38:E51" xr:uid="{C860B894-9284-4EA8-A4ED-F2E33E69BDFC}">
      <formula1>"Coal - Surface Miner. Waste - Drilling &amp; Blasting, Drilling &amp; Blasting only"</formula1>
    </dataValidation>
  </dataValidations>
  <pageMargins left="0.70866141732283472" right="0.70866141732283472" top="0.74803149606299213" bottom="0.74803149606299213" header="0.31496062992125984" footer="0.31496062992125984"/>
  <pageSetup paperSize="9" scale="8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B71BD1B-7383-480F-91FC-F971F8C98D6D}">
          <x14:formula1>
            <xm:f>'Scenario Matrix'!$B$5:$B$20</xm:f>
          </x14:formula1>
          <xm:sqref>E16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3C3A-7C52-4C38-8E3A-A89703ED872B}">
  <sheetPr>
    <tabColor rgb="FFFFFF00"/>
  </sheetPr>
  <dimension ref="B2:I20"/>
  <sheetViews>
    <sheetView showGridLines="0" workbookViewId="0">
      <selection activeCell="I10" sqref="I10"/>
    </sheetView>
  </sheetViews>
  <sheetFormatPr baseColWidth="10" defaultColWidth="8.83203125" defaultRowHeight="13"/>
  <cols>
    <col min="2" max="2" width="15.5" bestFit="1" customWidth="1"/>
    <col min="3" max="3" width="18.1640625" bestFit="1" customWidth="1"/>
    <col min="4" max="4" width="26.5" bestFit="1" customWidth="1"/>
    <col min="5" max="5" width="22.5" customWidth="1"/>
    <col min="6" max="6" width="109.6640625" bestFit="1" customWidth="1"/>
  </cols>
  <sheetData>
    <row r="2" spans="2:9">
      <c r="B2" s="1538" t="s">
        <v>29</v>
      </c>
      <c r="C2" s="1539"/>
      <c r="D2" s="1539"/>
      <c r="E2" s="1539"/>
      <c r="F2" s="1540"/>
      <c r="G2" s="1071"/>
      <c r="H2" s="1071"/>
      <c r="I2" s="1071"/>
    </row>
    <row r="3" spans="2:9">
      <c r="B3" s="1541" t="s">
        <v>30</v>
      </c>
      <c r="C3" s="1542" t="s">
        <v>31</v>
      </c>
      <c r="D3" s="1543" t="s">
        <v>32</v>
      </c>
      <c r="E3" s="1545" t="s">
        <v>33</v>
      </c>
      <c r="F3" s="1544" t="s">
        <v>34</v>
      </c>
      <c r="G3" s="1071"/>
      <c r="H3" s="1071"/>
      <c r="I3" s="1071"/>
    </row>
    <row r="4" spans="2:9" hidden="1">
      <c r="B4" s="1550">
        <v>1</v>
      </c>
      <c r="C4" s="1550">
        <v>2</v>
      </c>
      <c r="D4" s="1550">
        <v>3</v>
      </c>
      <c r="E4" s="1550">
        <v>4</v>
      </c>
      <c r="F4" s="1550">
        <v>5</v>
      </c>
      <c r="G4" s="1071"/>
      <c r="H4" s="1071"/>
      <c r="I4" s="1071"/>
    </row>
    <row r="5" spans="2:9" ht="27" customHeight="1">
      <c r="B5" s="1547" t="s">
        <v>28</v>
      </c>
      <c r="C5" s="1536" t="s">
        <v>35</v>
      </c>
      <c r="D5" s="1548">
        <v>15</v>
      </c>
      <c r="E5" s="1546" t="s">
        <v>36</v>
      </c>
      <c r="F5" s="1537" t="s">
        <v>37</v>
      </c>
      <c r="G5" s="1071"/>
      <c r="H5" s="1071"/>
      <c r="I5" s="1549" t="s">
        <v>37</v>
      </c>
    </row>
    <row r="6" spans="2:9" ht="27" customHeight="1">
      <c r="B6" s="1547" t="s">
        <v>38</v>
      </c>
      <c r="C6" s="1536" t="s">
        <v>39</v>
      </c>
      <c r="D6" s="1548">
        <v>15</v>
      </c>
      <c r="E6" s="1546" t="s">
        <v>36</v>
      </c>
      <c r="F6" s="1537" t="s">
        <v>37</v>
      </c>
      <c r="G6" s="1071"/>
      <c r="H6" s="1071"/>
      <c r="I6" s="1549" t="s">
        <v>40</v>
      </c>
    </row>
    <row r="7" spans="2:9" ht="27" customHeight="1">
      <c r="B7" s="1547" t="s">
        <v>41</v>
      </c>
      <c r="C7" s="1536" t="s">
        <v>35</v>
      </c>
      <c r="D7" s="1548">
        <v>15</v>
      </c>
      <c r="E7" s="1546" t="s">
        <v>36</v>
      </c>
      <c r="F7" s="1537" t="s">
        <v>40</v>
      </c>
      <c r="G7" s="1071"/>
      <c r="H7" s="1071"/>
      <c r="I7" s="1549" t="s">
        <v>42</v>
      </c>
    </row>
    <row r="8" spans="2:9" ht="27" customHeight="1">
      <c r="B8" s="1547" t="s">
        <v>43</v>
      </c>
      <c r="C8" s="1536" t="s">
        <v>39</v>
      </c>
      <c r="D8" s="1548">
        <v>15</v>
      </c>
      <c r="E8" s="1546" t="s">
        <v>36</v>
      </c>
      <c r="F8" s="1537" t="s">
        <v>40</v>
      </c>
      <c r="G8" s="1071"/>
      <c r="H8" s="1071"/>
      <c r="I8" s="1549" t="s">
        <v>44</v>
      </c>
    </row>
    <row r="9" spans="2:9" ht="27" customHeight="1">
      <c r="B9" s="1547" t="s">
        <v>45</v>
      </c>
      <c r="C9" s="1536" t="s">
        <v>35</v>
      </c>
      <c r="D9" s="1548">
        <v>15</v>
      </c>
      <c r="E9" s="1546" t="s">
        <v>36</v>
      </c>
      <c r="F9" s="1537" t="s">
        <v>42</v>
      </c>
      <c r="G9" s="1071"/>
      <c r="H9" s="1071"/>
      <c r="I9" s="1071"/>
    </row>
    <row r="10" spans="2:9" ht="27" customHeight="1">
      <c r="B10" s="1547" t="s">
        <v>46</v>
      </c>
      <c r="C10" s="1536" t="s">
        <v>39</v>
      </c>
      <c r="D10" s="1548">
        <v>15</v>
      </c>
      <c r="E10" s="1546" t="s">
        <v>36</v>
      </c>
      <c r="F10" s="1537" t="s">
        <v>42</v>
      </c>
      <c r="G10" s="1071"/>
      <c r="H10" s="1071"/>
      <c r="I10" s="1071"/>
    </row>
    <row r="11" spans="2:9" ht="27" customHeight="1">
      <c r="B11" s="1547" t="s">
        <v>47</v>
      </c>
      <c r="C11" s="1536" t="s">
        <v>35</v>
      </c>
      <c r="D11" s="1548">
        <v>20</v>
      </c>
      <c r="E11" s="1546" t="s">
        <v>36</v>
      </c>
      <c r="F11" s="1537" t="s">
        <v>37</v>
      </c>
      <c r="G11" s="1071"/>
      <c r="H11" s="1071"/>
      <c r="I11" s="1071"/>
    </row>
    <row r="12" spans="2:9" ht="27" customHeight="1">
      <c r="B12" s="1547" t="s">
        <v>48</v>
      </c>
      <c r="C12" s="1536" t="s">
        <v>39</v>
      </c>
      <c r="D12" s="1548">
        <v>20</v>
      </c>
      <c r="E12" s="1546" t="s">
        <v>36</v>
      </c>
      <c r="F12" s="1537" t="s">
        <v>37</v>
      </c>
      <c r="G12" s="1071"/>
      <c r="H12" s="1071"/>
      <c r="I12" s="1071"/>
    </row>
    <row r="13" spans="2:9" ht="27" customHeight="1">
      <c r="B13" s="1547" t="s">
        <v>49</v>
      </c>
      <c r="C13" s="1536" t="s">
        <v>35</v>
      </c>
      <c r="D13" s="1548">
        <v>20</v>
      </c>
      <c r="E13" s="1546" t="s">
        <v>36</v>
      </c>
      <c r="F13" s="1537" t="s">
        <v>40</v>
      </c>
      <c r="G13" s="1071"/>
      <c r="H13" s="1071"/>
      <c r="I13" s="1071"/>
    </row>
    <row r="14" spans="2:9" ht="27" customHeight="1">
      <c r="B14" s="1547" t="s">
        <v>50</v>
      </c>
      <c r="C14" s="1536" t="s">
        <v>39</v>
      </c>
      <c r="D14" s="1548">
        <v>20</v>
      </c>
      <c r="E14" s="1546" t="s">
        <v>36</v>
      </c>
      <c r="F14" s="1537" t="s">
        <v>40</v>
      </c>
      <c r="G14" s="1071"/>
      <c r="H14" s="1071"/>
      <c r="I14" s="1071"/>
    </row>
    <row r="15" spans="2:9" ht="27" customHeight="1">
      <c r="B15" s="1547" t="s">
        <v>51</v>
      </c>
      <c r="C15" s="1536" t="s">
        <v>35</v>
      </c>
      <c r="D15" s="1548">
        <v>20</v>
      </c>
      <c r="E15" s="1546" t="s">
        <v>36</v>
      </c>
      <c r="F15" s="1537" t="s">
        <v>42</v>
      </c>
      <c r="G15" s="1071"/>
      <c r="H15" s="1071"/>
      <c r="I15" s="1071"/>
    </row>
    <row r="16" spans="2:9" ht="27" customHeight="1">
      <c r="B16" s="1547" t="s">
        <v>52</v>
      </c>
      <c r="C16" s="1536" t="s">
        <v>39</v>
      </c>
      <c r="D16" s="1548">
        <v>20</v>
      </c>
      <c r="E16" s="1546" t="s">
        <v>36</v>
      </c>
      <c r="F16" s="1537" t="s">
        <v>42</v>
      </c>
      <c r="G16" s="1071"/>
      <c r="H16" s="1071"/>
      <c r="I16" s="1071"/>
    </row>
    <row r="17" spans="2:6" ht="27" customHeight="1">
      <c r="B17" s="1547" t="s">
        <v>53</v>
      </c>
      <c r="C17" s="1536" t="s">
        <v>35</v>
      </c>
      <c r="D17" s="1548">
        <v>10</v>
      </c>
      <c r="E17" s="1546" t="s">
        <v>36</v>
      </c>
      <c r="F17" s="1537" t="s">
        <v>44</v>
      </c>
    </row>
    <row r="18" spans="2:6" ht="27" customHeight="1">
      <c r="B18" s="1547" t="s">
        <v>54</v>
      </c>
      <c r="C18" s="1536" t="s">
        <v>39</v>
      </c>
      <c r="D18" s="1548">
        <v>10</v>
      </c>
      <c r="E18" s="1546" t="s">
        <v>36</v>
      </c>
      <c r="F18" s="1537" t="s">
        <v>44</v>
      </c>
    </row>
    <row r="19" spans="2:6" ht="27" customHeight="1">
      <c r="B19" s="1547" t="s">
        <v>55</v>
      </c>
      <c r="C19" s="1536" t="s">
        <v>39</v>
      </c>
      <c r="D19" s="1548">
        <v>15</v>
      </c>
      <c r="E19" s="1546" t="s">
        <v>56</v>
      </c>
      <c r="F19" s="1537" t="s">
        <v>42</v>
      </c>
    </row>
    <row r="20" spans="2:6" ht="27" customHeight="1">
      <c r="B20" s="1547" t="s">
        <v>57</v>
      </c>
      <c r="C20" s="1536" t="s">
        <v>39</v>
      </c>
      <c r="D20" s="1548">
        <v>15</v>
      </c>
      <c r="E20" s="1546" t="s">
        <v>56</v>
      </c>
      <c r="F20" s="1537" t="s">
        <v>42</v>
      </c>
    </row>
  </sheetData>
  <dataValidations count="5">
    <dataValidation type="list" allowBlank="1" showInputMessage="1" showErrorMessage="1" sqref="E5:E18" xr:uid="{C257012D-5CCE-46FB-942E-81D7F542CEBC}">
      <formula1>"Coal - Surface Miner. Waste - Drilling &amp; Blasting, Drilling &amp; Blasting only"</formula1>
    </dataValidation>
    <dataValidation type="list" allowBlank="1" showInputMessage="1" showErrorMessage="1" sqref="F5:F20" xr:uid="{1F70EB12-7190-4C23-AEC1-245DED29AC36}">
      <formula1>$I$38:$I$41</formula1>
    </dataValidation>
    <dataValidation type="list" allowBlank="1" showInputMessage="1" showErrorMessage="1" sqref="E19:E20" xr:uid="{CF41E3A1-A010-4A9B-8106-F50F3B626540}">
      <formula1>"Coal - Surface Miner. Waste - Drillin &amp; Blasting, Drilling &amp; Blasting only"</formula1>
    </dataValidation>
    <dataValidation type="list" allowBlank="1" showInputMessage="1" showErrorMessage="1" sqref="D5:D20" xr:uid="{BF1F3F2C-42AC-422B-A7BF-1CD9A7C1A209}">
      <formula1>"10,15,20"</formula1>
    </dataValidation>
    <dataValidation type="list" allowBlank="1" showInputMessage="1" showErrorMessage="1" sqref="C5:C20" xr:uid="{6CA50AD5-7D39-4899-A449-B24596832253}">
      <formula1>"Departmental, MDO/Outsourcing"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6">
    <tabColor rgb="FFFFFF53"/>
    <pageSetUpPr fitToPage="1"/>
  </sheetPr>
  <dimension ref="C2:L32"/>
  <sheetViews>
    <sheetView showGridLines="0" workbookViewId="0">
      <selection activeCell="D45" sqref="D45"/>
    </sheetView>
  </sheetViews>
  <sheetFormatPr baseColWidth="10" defaultColWidth="9.33203125" defaultRowHeight="13"/>
  <cols>
    <col min="1" max="2" width="9.33203125" style="45"/>
    <col min="3" max="3" width="4.33203125" style="27" customWidth="1"/>
    <col min="4" max="4" width="46.5" style="27" customWidth="1"/>
    <col min="5" max="12" width="9.33203125" style="27"/>
    <col min="13" max="16384" width="9.33203125" style="45"/>
  </cols>
  <sheetData>
    <row r="2" spans="3:12" ht="27" customHeight="1" thickBot="1">
      <c r="C2" s="1704" t="s">
        <v>58</v>
      </c>
      <c r="D2" s="1705"/>
      <c r="E2" s="1705"/>
      <c r="F2" s="1705"/>
      <c r="G2" s="1705"/>
      <c r="H2" s="1705"/>
      <c r="I2" s="1705"/>
      <c r="J2" s="1705"/>
      <c r="K2" s="1705"/>
      <c r="L2" s="1706"/>
    </row>
    <row r="3" spans="3:12">
      <c r="C3" s="39"/>
      <c r="D3" s="40"/>
      <c r="E3" s="40"/>
      <c r="F3" s="40"/>
      <c r="G3" s="40"/>
      <c r="H3" s="40"/>
      <c r="I3" s="40"/>
      <c r="J3" s="40"/>
      <c r="K3" s="40"/>
      <c r="L3" s="41"/>
    </row>
    <row r="4" spans="3:12">
      <c r="C4" s="39"/>
      <c r="D4" s="40"/>
      <c r="E4" s="40"/>
      <c r="F4" s="40"/>
      <c r="G4" s="40"/>
      <c r="H4" s="40"/>
      <c r="I4" s="40"/>
      <c r="J4" s="40"/>
      <c r="K4" s="40"/>
      <c r="L4" s="41"/>
    </row>
    <row r="5" spans="3:12" ht="12.75" customHeight="1">
      <c r="C5" s="1707" t="s">
        <v>59</v>
      </c>
      <c r="D5" s="1708"/>
      <c r="E5" s="1708"/>
      <c r="F5" s="1708"/>
      <c r="G5" s="1708"/>
      <c r="H5" s="1708"/>
      <c r="I5" s="1708"/>
      <c r="J5" s="1708"/>
      <c r="K5" s="1708"/>
      <c r="L5" s="1709"/>
    </row>
    <row r="6" spans="3:12">
      <c r="C6" s="1707"/>
      <c r="D6" s="1708"/>
      <c r="E6" s="1708"/>
      <c r="F6" s="1708"/>
      <c r="G6" s="1708"/>
      <c r="H6" s="1708"/>
      <c r="I6" s="1708"/>
      <c r="J6" s="1708"/>
      <c r="K6" s="1708"/>
      <c r="L6" s="1709"/>
    </row>
    <row r="7" spans="3:12">
      <c r="C7" s="1707"/>
      <c r="D7" s="1708"/>
      <c r="E7" s="1708"/>
      <c r="F7" s="1708"/>
      <c r="G7" s="1708"/>
      <c r="H7" s="1708"/>
      <c r="I7" s="1708"/>
      <c r="J7" s="1708"/>
      <c r="K7" s="1708"/>
      <c r="L7" s="1709"/>
    </row>
    <row r="8" spans="3:12">
      <c r="C8" s="1707"/>
      <c r="D8" s="1708"/>
      <c r="E8" s="1708"/>
      <c r="F8" s="1708"/>
      <c r="G8" s="1708"/>
      <c r="H8" s="1708"/>
      <c r="I8" s="1708"/>
      <c r="J8" s="1708"/>
      <c r="K8" s="1708"/>
      <c r="L8" s="1709"/>
    </row>
    <row r="9" spans="3:12">
      <c r="C9" s="1707"/>
      <c r="D9" s="1708"/>
      <c r="E9" s="1708"/>
      <c r="F9" s="1708"/>
      <c r="G9" s="1708"/>
      <c r="H9" s="1708"/>
      <c r="I9" s="1708"/>
      <c r="J9" s="1708"/>
      <c r="K9" s="1708"/>
      <c r="L9" s="1709"/>
    </row>
    <row r="10" spans="3:12">
      <c r="C10" s="1707"/>
      <c r="D10" s="1708"/>
      <c r="E10" s="1708"/>
      <c r="F10" s="1708"/>
      <c r="G10" s="1708"/>
      <c r="H10" s="1708"/>
      <c r="I10" s="1708"/>
      <c r="J10" s="1708"/>
      <c r="K10" s="1708"/>
      <c r="L10" s="1709"/>
    </row>
    <row r="11" spans="3:12">
      <c r="C11" s="1707"/>
      <c r="D11" s="1708"/>
      <c r="E11" s="1708"/>
      <c r="F11" s="1708"/>
      <c r="G11" s="1708"/>
      <c r="H11" s="1708"/>
      <c r="I11" s="1708"/>
      <c r="J11" s="1708"/>
      <c r="K11" s="1708"/>
      <c r="L11" s="1709"/>
    </row>
    <row r="12" spans="3:12">
      <c r="C12" s="1707"/>
      <c r="D12" s="1708"/>
      <c r="E12" s="1708"/>
      <c r="F12" s="1708"/>
      <c r="G12" s="1708"/>
      <c r="H12" s="1708"/>
      <c r="I12" s="1708"/>
      <c r="J12" s="1708"/>
      <c r="K12" s="1708"/>
      <c r="L12" s="1709"/>
    </row>
    <row r="13" spans="3:12">
      <c r="C13" s="1707"/>
      <c r="D13" s="1708"/>
      <c r="E13" s="1708"/>
      <c r="F13" s="1708"/>
      <c r="G13" s="1708"/>
      <c r="H13" s="1708"/>
      <c r="I13" s="1708"/>
      <c r="J13" s="1708"/>
      <c r="K13" s="1708"/>
      <c r="L13" s="1709"/>
    </row>
    <row r="14" spans="3:12">
      <c r="C14" s="1707"/>
      <c r="D14" s="1708"/>
      <c r="E14" s="1708"/>
      <c r="F14" s="1708"/>
      <c r="G14" s="1708"/>
      <c r="H14" s="1708"/>
      <c r="I14" s="1708"/>
      <c r="J14" s="1708"/>
      <c r="K14" s="1708"/>
      <c r="L14" s="1709"/>
    </row>
    <row r="15" spans="3:12">
      <c r="C15" s="1707"/>
      <c r="D15" s="1708"/>
      <c r="E15" s="1708"/>
      <c r="F15" s="1708"/>
      <c r="G15" s="1708"/>
      <c r="H15" s="1708"/>
      <c r="I15" s="1708"/>
      <c r="J15" s="1708"/>
      <c r="K15" s="1708"/>
      <c r="L15" s="1709"/>
    </row>
    <row r="16" spans="3:12">
      <c r="C16" s="1707"/>
      <c r="D16" s="1708"/>
      <c r="E16" s="1708"/>
      <c r="F16" s="1708"/>
      <c r="G16" s="1708"/>
      <c r="H16" s="1708"/>
      <c r="I16" s="1708"/>
      <c r="J16" s="1708"/>
      <c r="K16" s="1708"/>
      <c r="L16" s="1709"/>
    </row>
    <row r="17" spans="3:12">
      <c r="C17" s="1707"/>
      <c r="D17" s="1708"/>
      <c r="E17" s="1708"/>
      <c r="F17" s="1708"/>
      <c r="G17" s="1708"/>
      <c r="H17" s="1708"/>
      <c r="I17" s="1708"/>
      <c r="J17" s="1708"/>
      <c r="K17" s="1708"/>
      <c r="L17" s="1709"/>
    </row>
    <row r="18" spans="3:12">
      <c r="C18" s="1707"/>
      <c r="D18" s="1708"/>
      <c r="E18" s="1708"/>
      <c r="F18" s="1708"/>
      <c r="G18" s="1708"/>
      <c r="H18" s="1708"/>
      <c r="I18" s="1708"/>
      <c r="J18" s="1708"/>
      <c r="K18" s="1708"/>
      <c r="L18" s="1709"/>
    </row>
    <row r="19" spans="3:12">
      <c r="C19" s="1707"/>
      <c r="D19" s="1708"/>
      <c r="E19" s="1708"/>
      <c r="F19" s="1708"/>
      <c r="G19" s="1708"/>
      <c r="H19" s="1708"/>
      <c r="I19" s="1708"/>
      <c r="J19" s="1708"/>
      <c r="K19" s="1708"/>
      <c r="L19" s="1709"/>
    </row>
    <row r="20" spans="3:12">
      <c r="C20" s="1707"/>
      <c r="D20" s="1708"/>
      <c r="E20" s="1708"/>
      <c r="F20" s="1708"/>
      <c r="G20" s="1708"/>
      <c r="H20" s="1708"/>
      <c r="I20" s="1708"/>
      <c r="J20" s="1708"/>
      <c r="K20" s="1708"/>
      <c r="L20" s="1709"/>
    </row>
    <row r="21" spans="3:12">
      <c r="C21" s="1707"/>
      <c r="D21" s="1708"/>
      <c r="E21" s="1708"/>
      <c r="F21" s="1708"/>
      <c r="G21" s="1708"/>
      <c r="H21" s="1708"/>
      <c r="I21" s="1708"/>
      <c r="J21" s="1708"/>
      <c r="K21" s="1708"/>
      <c r="L21" s="1709"/>
    </row>
    <row r="22" spans="3:12">
      <c r="C22" s="1707"/>
      <c r="D22" s="1708"/>
      <c r="E22" s="1708"/>
      <c r="F22" s="1708"/>
      <c r="G22" s="1708"/>
      <c r="H22" s="1708"/>
      <c r="I22" s="1708"/>
      <c r="J22" s="1708"/>
      <c r="K22" s="1708"/>
      <c r="L22" s="1709"/>
    </row>
    <row r="23" spans="3:12">
      <c r="C23" s="1707"/>
      <c r="D23" s="1708"/>
      <c r="E23" s="1708"/>
      <c r="F23" s="1708"/>
      <c r="G23" s="1708"/>
      <c r="H23" s="1708"/>
      <c r="I23" s="1708"/>
      <c r="J23" s="1708"/>
      <c r="K23" s="1708"/>
      <c r="L23" s="1709"/>
    </row>
    <row r="24" spans="3:12">
      <c r="C24" s="1707"/>
      <c r="D24" s="1708"/>
      <c r="E24" s="1708"/>
      <c r="F24" s="1708"/>
      <c r="G24" s="1708"/>
      <c r="H24" s="1708"/>
      <c r="I24" s="1708"/>
      <c r="J24" s="1708"/>
      <c r="K24" s="1708"/>
      <c r="L24" s="1709"/>
    </row>
    <row r="25" spans="3:12">
      <c r="C25" s="1707"/>
      <c r="D25" s="1708"/>
      <c r="E25" s="1708"/>
      <c r="F25" s="1708"/>
      <c r="G25" s="1708"/>
      <c r="H25" s="1708"/>
      <c r="I25" s="1708"/>
      <c r="J25" s="1708"/>
      <c r="K25" s="1708"/>
      <c r="L25" s="1709"/>
    </row>
    <row r="26" spans="3:12">
      <c r="C26" s="1707"/>
      <c r="D26" s="1708"/>
      <c r="E26" s="1708"/>
      <c r="F26" s="1708"/>
      <c r="G26" s="1708"/>
      <c r="H26" s="1708"/>
      <c r="I26" s="1708"/>
      <c r="J26" s="1708"/>
      <c r="K26" s="1708"/>
      <c r="L26" s="1709"/>
    </row>
    <row r="27" spans="3:12">
      <c r="C27" s="1707"/>
      <c r="D27" s="1708"/>
      <c r="E27" s="1708"/>
      <c r="F27" s="1708"/>
      <c r="G27" s="1708"/>
      <c r="H27" s="1708"/>
      <c r="I27" s="1708"/>
      <c r="J27" s="1708"/>
      <c r="K27" s="1708"/>
      <c r="L27" s="1709"/>
    </row>
    <row r="28" spans="3:12">
      <c r="C28" s="1707"/>
      <c r="D28" s="1708"/>
      <c r="E28" s="1708"/>
      <c r="F28" s="1708"/>
      <c r="G28" s="1708"/>
      <c r="H28" s="1708"/>
      <c r="I28" s="1708"/>
      <c r="J28" s="1708"/>
      <c r="K28" s="1708"/>
      <c r="L28" s="1709"/>
    </row>
    <row r="29" spans="3:12">
      <c r="C29" s="1707"/>
      <c r="D29" s="1708"/>
      <c r="E29" s="1708"/>
      <c r="F29" s="1708"/>
      <c r="G29" s="1708"/>
      <c r="H29" s="1708"/>
      <c r="I29" s="1708"/>
      <c r="J29" s="1708"/>
      <c r="K29" s="1708"/>
      <c r="L29" s="1709"/>
    </row>
    <row r="30" spans="3:12">
      <c r="C30" s="1707"/>
      <c r="D30" s="1708"/>
      <c r="E30" s="1708"/>
      <c r="F30" s="1708"/>
      <c r="G30" s="1708"/>
      <c r="H30" s="1708"/>
      <c r="I30" s="1708"/>
      <c r="J30" s="1708"/>
      <c r="K30" s="1708"/>
      <c r="L30" s="1709"/>
    </row>
    <row r="31" spans="3:12">
      <c r="C31" s="1707"/>
      <c r="D31" s="1708"/>
      <c r="E31" s="1708"/>
      <c r="F31" s="1708"/>
      <c r="G31" s="1708"/>
      <c r="H31" s="1708"/>
      <c r="I31" s="1708"/>
      <c r="J31" s="1708"/>
      <c r="K31" s="1708"/>
      <c r="L31" s="1709"/>
    </row>
    <row r="32" spans="3:12" ht="14" thickBot="1">
      <c r="C32" s="42"/>
      <c r="D32" s="43"/>
      <c r="E32" s="43"/>
      <c r="F32" s="43"/>
      <c r="G32" s="43"/>
      <c r="H32" s="43"/>
      <c r="I32" s="43"/>
      <c r="J32" s="43"/>
      <c r="K32" s="43"/>
      <c r="L32" s="44"/>
    </row>
  </sheetData>
  <mergeCells count="2">
    <mergeCell ref="C2:L2"/>
    <mergeCell ref="C5:L31"/>
  </mergeCells>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B3:D17"/>
  <sheetViews>
    <sheetView showGridLines="0" workbookViewId="0">
      <selection activeCell="C26" sqref="C26"/>
    </sheetView>
  </sheetViews>
  <sheetFormatPr baseColWidth="10" defaultColWidth="9.33203125" defaultRowHeight="12"/>
  <cols>
    <col min="1" max="1" width="9.33203125" style="25"/>
    <col min="2" max="2" width="28.33203125" style="25" bestFit="1" customWidth="1"/>
    <col min="3" max="3" width="80.6640625" style="25" customWidth="1"/>
    <col min="4" max="4" width="11" style="56" bestFit="1" customWidth="1"/>
    <col min="5" max="5" width="30.6640625" style="25" customWidth="1"/>
    <col min="6" max="16384" width="9.33203125" style="25"/>
  </cols>
  <sheetData>
    <row r="3" spans="2:4" s="26" customFormat="1" ht="13" thickBot="1">
      <c r="B3" s="337"/>
      <c r="C3" s="338" t="s">
        <v>34</v>
      </c>
      <c r="D3" s="338" t="s">
        <v>60</v>
      </c>
    </row>
    <row r="4" spans="2:4" s="26" customFormat="1">
      <c r="B4" s="28" t="s">
        <v>61</v>
      </c>
      <c r="C4" s="54"/>
      <c r="D4" s="29"/>
    </row>
    <row r="5" spans="2:4">
      <c r="B5" s="30" t="s">
        <v>62</v>
      </c>
      <c r="C5" s="339" t="s">
        <v>63</v>
      </c>
      <c r="D5" s="57"/>
    </row>
    <row r="6" spans="2:4">
      <c r="B6" s="31" t="s">
        <v>64</v>
      </c>
      <c r="C6" s="339" t="s">
        <v>65</v>
      </c>
      <c r="D6" s="57"/>
    </row>
    <row r="7" spans="2:4">
      <c r="B7" s="32" t="s">
        <v>66</v>
      </c>
      <c r="C7" s="339" t="s">
        <v>67</v>
      </c>
      <c r="D7" s="57"/>
    </row>
    <row r="8" spans="2:4">
      <c r="B8" s="33" t="s">
        <v>68</v>
      </c>
      <c r="C8" s="339" t="s">
        <v>69</v>
      </c>
      <c r="D8" s="57"/>
    </row>
    <row r="9" spans="2:4">
      <c r="B9" s="334" t="s">
        <v>70</v>
      </c>
      <c r="C9" s="339" t="s">
        <v>71</v>
      </c>
      <c r="D9" s="57"/>
    </row>
    <row r="10" spans="2:4">
      <c r="B10" s="335" t="s">
        <v>72</v>
      </c>
      <c r="C10" s="340"/>
      <c r="D10" s="336"/>
    </row>
    <row r="11" spans="2:4">
      <c r="B11" s="34" t="s">
        <v>70</v>
      </c>
      <c r="C11" s="339" t="s">
        <v>73</v>
      </c>
      <c r="D11" s="57"/>
    </row>
    <row r="12" spans="2:4">
      <c r="B12" s="35" t="s">
        <v>66</v>
      </c>
      <c r="C12" s="339" t="s">
        <v>74</v>
      </c>
      <c r="D12" s="57"/>
    </row>
    <row r="13" spans="2:4">
      <c r="B13" s="36" t="s">
        <v>75</v>
      </c>
      <c r="C13" s="339" t="s">
        <v>76</v>
      </c>
      <c r="D13" s="57"/>
    </row>
    <row r="14" spans="2:4">
      <c r="B14" s="37" t="s">
        <v>77</v>
      </c>
      <c r="C14" s="339" t="s">
        <v>78</v>
      </c>
      <c r="D14" s="57"/>
    </row>
    <row r="15" spans="2:4">
      <c r="B15" s="38" t="s">
        <v>68</v>
      </c>
      <c r="C15" s="339" t="s">
        <v>79</v>
      </c>
      <c r="D15" s="57"/>
    </row>
    <row r="16" spans="2:4">
      <c r="B16" s="342" t="s">
        <v>75</v>
      </c>
      <c r="C16" s="339" t="s">
        <v>80</v>
      </c>
      <c r="D16" s="57"/>
    </row>
    <row r="17" spans="2:4" ht="13" thickBot="1">
      <c r="B17" s="55" t="s">
        <v>81</v>
      </c>
      <c r="C17" s="341" t="s">
        <v>82</v>
      </c>
      <c r="D17" s="58"/>
    </row>
  </sheetData>
  <pageMargins left="0.70866141732283472" right="0.70866141732283472" top="0.74803149606299213" bottom="0.74803149606299213" header="0.31496062992125984" footer="0.31496062992125984"/>
  <pageSetup paperSize="9" scale="8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
    <tabColor rgb="FF00B050"/>
  </sheetPr>
  <dimension ref="B2:AG183"/>
  <sheetViews>
    <sheetView showGridLines="0" zoomScale="96" zoomScaleNormal="80" workbookViewId="0">
      <selection activeCell="M19" sqref="M19"/>
    </sheetView>
  </sheetViews>
  <sheetFormatPr baseColWidth="10" defaultColWidth="9.33203125" defaultRowHeight="13"/>
  <cols>
    <col min="1" max="1" width="3.6640625" style="1" customWidth="1"/>
    <col min="2" max="2" width="51.33203125" style="62" customWidth="1"/>
    <col min="3" max="3" width="37.33203125" style="1" customWidth="1"/>
    <col min="4" max="4" width="17.6640625" style="1" bestFit="1" customWidth="1"/>
    <col min="5" max="5" width="60.6640625" style="1" customWidth="1"/>
    <col min="6" max="8" width="40.6640625" style="94" customWidth="1"/>
    <col min="9" max="9" width="24.5" style="94" customWidth="1"/>
    <col min="10" max="10" width="8.33203125" style="1" customWidth="1"/>
    <col min="11" max="11" width="62.5" style="1" customWidth="1"/>
    <col min="12" max="12" width="34.5" style="1" customWidth="1"/>
    <col min="13" max="13" width="25.5" style="1" bestFit="1" customWidth="1"/>
    <col min="14" max="14" width="11" style="94" customWidth="1"/>
    <col min="15" max="15" width="5.5" style="94" customWidth="1"/>
    <col min="16" max="16" width="7.5" style="1" customWidth="1"/>
    <col min="17" max="17" width="45.5" style="63" customWidth="1"/>
    <col min="18" max="18" width="14.33203125" style="1" customWidth="1"/>
    <col min="19" max="19" width="11" style="63" customWidth="1"/>
    <col min="20" max="20" width="27.1640625" style="1" customWidth="1"/>
    <col min="21" max="22" width="14.33203125" style="1" customWidth="1"/>
    <col min="23" max="23" width="15.6640625" style="1" customWidth="1"/>
    <col min="24" max="24" width="25.33203125" style="1" customWidth="1"/>
    <col min="25" max="25" width="30.5" style="1" customWidth="1"/>
    <col min="26" max="26" width="28.33203125" style="1" customWidth="1"/>
    <col min="27" max="27" width="22" style="1" bestFit="1" customWidth="1"/>
    <col min="28" max="28" width="25.33203125" style="1" bestFit="1" customWidth="1"/>
    <col min="29" max="29" width="17.1640625" style="1" customWidth="1"/>
    <col min="30" max="30" width="1.5" style="1" customWidth="1"/>
    <col min="31" max="31" width="9.33203125" style="1" customWidth="1"/>
    <col min="32" max="32" width="15.83203125" style="1" bestFit="1" customWidth="1"/>
    <col min="33" max="16384" width="9.33203125" style="1"/>
  </cols>
  <sheetData>
    <row r="2" spans="2:33" ht="30">
      <c r="B2" s="1087" t="s">
        <v>83</v>
      </c>
      <c r="C2" s="1088"/>
      <c r="D2" s="1089"/>
      <c r="E2" s="867"/>
      <c r="F2" s="850"/>
      <c r="G2" s="850"/>
      <c r="H2" s="850"/>
      <c r="I2" s="850"/>
      <c r="K2" s="734" t="s">
        <v>84</v>
      </c>
      <c r="L2" s="729" t="s">
        <v>85</v>
      </c>
      <c r="M2" s="785" t="s">
        <v>85</v>
      </c>
      <c r="P2" s="1046" t="s">
        <v>86</v>
      </c>
      <c r="Q2" s="1047"/>
      <c r="R2" s="1048"/>
      <c r="S2" s="1049"/>
      <c r="T2" s="94"/>
      <c r="U2" s="94"/>
      <c r="V2" s="94"/>
      <c r="W2" s="94"/>
      <c r="X2" s="94"/>
      <c r="Y2" s="94"/>
      <c r="Z2" s="94"/>
      <c r="AA2" s="94"/>
      <c r="AB2" s="94"/>
      <c r="AC2" s="94"/>
      <c r="AD2" s="1713"/>
      <c r="AE2" s="1713"/>
      <c r="AF2" s="1713"/>
      <c r="AG2" s="1713"/>
    </row>
    <row r="3" spans="2:33" ht="30">
      <c r="B3" s="1552" t="s">
        <v>87</v>
      </c>
      <c r="C3" s="1553" t="s">
        <v>88</v>
      </c>
      <c r="D3" s="1553" t="s">
        <v>89</v>
      </c>
      <c r="E3" s="1553" t="s">
        <v>90</v>
      </c>
      <c r="F3" s="721"/>
      <c r="G3" s="721"/>
      <c r="H3" s="721"/>
      <c r="I3" s="721"/>
      <c r="J3" s="65"/>
      <c r="L3" s="730" t="s">
        <v>91</v>
      </c>
      <c r="M3" s="785" t="s">
        <v>92</v>
      </c>
      <c r="P3" s="1038" t="s">
        <v>93</v>
      </c>
      <c r="Q3" s="1039" t="s">
        <v>94</v>
      </c>
      <c r="R3" s="1039" t="s">
        <v>95</v>
      </c>
      <c r="S3" s="1041" t="s">
        <v>96</v>
      </c>
      <c r="T3" s="721"/>
      <c r="U3" s="721"/>
      <c r="V3" s="721"/>
      <c r="W3" s="721"/>
      <c r="X3" s="94"/>
      <c r="Y3" s="94"/>
      <c r="Z3" s="94"/>
      <c r="AA3" s="94"/>
      <c r="AB3" s="94"/>
      <c r="AC3" s="94"/>
      <c r="AD3" s="1713"/>
      <c r="AE3" s="1713"/>
      <c r="AF3" s="1713"/>
      <c r="AG3" s="1713"/>
    </row>
    <row r="4" spans="2:33" ht="30">
      <c r="B4" s="868" t="s">
        <v>97</v>
      </c>
      <c r="C4" s="869" t="s">
        <v>98</v>
      </c>
      <c r="D4" s="870">
        <v>45627</v>
      </c>
      <c r="E4" s="871" t="s">
        <v>99</v>
      </c>
      <c r="F4" s="851"/>
      <c r="G4" s="851"/>
      <c r="H4" s="851"/>
      <c r="I4" s="851"/>
      <c r="J4" s="66"/>
      <c r="K4" s="734" t="s">
        <v>100</v>
      </c>
      <c r="L4" s="729" t="s">
        <v>35</v>
      </c>
      <c r="M4" s="785" t="s">
        <v>101</v>
      </c>
      <c r="N4" s="719"/>
      <c r="P4" s="1006">
        <v>1</v>
      </c>
      <c r="Q4" s="1007" t="str">
        <f>'Project OPEX'!B13</f>
        <v>MDO/ Contractor Cost</v>
      </c>
      <c r="R4" s="1008" t="str">
        <f>'Project OPEX'!C13</f>
        <v xml:space="preserve">INR/t </v>
      </c>
      <c r="S4" s="1009">
        <f>'Project OPEX'!D13</f>
        <v>0</v>
      </c>
      <c r="T4" s="762"/>
      <c r="U4" s="762"/>
      <c r="V4" s="762"/>
      <c r="W4" s="762"/>
      <c r="X4" s="94"/>
      <c r="Y4" s="94"/>
      <c r="Z4" s="94"/>
      <c r="AA4" s="94"/>
      <c r="AB4" s="94"/>
      <c r="AC4" s="94"/>
      <c r="AD4" s="1713"/>
      <c r="AE4" s="1713"/>
      <c r="AF4" s="1713"/>
      <c r="AG4" s="1713"/>
    </row>
    <row r="5" spans="2:33" ht="30">
      <c r="B5" s="872" t="s">
        <v>102</v>
      </c>
      <c r="C5" s="873" t="s">
        <v>98</v>
      </c>
      <c r="D5" s="874">
        <v>46023</v>
      </c>
      <c r="E5" s="875"/>
      <c r="F5" s="851"/>
      <c r="G5" s="851"/>
      <c r="H5" s="851"/>
      <c r="I5" s="851"/>
      <c r="J5" s="66"/>
      <c r="M5" s="785" t="s">
        <v>35</v>
      </c>
      <c r="N5" s="719"/>
      <c r="P5" s="1015"/>
      <c r="Q5" s="1017" t="s">
        <v>103</v>
      </c>
      <c r="R5" s="1018"/>
      <c r="S5" s="1019"/>
      <c r="T5" s="762"/>
      <c r="U5" s="762"/>
      <c r="V5" s="762"/>
      <c r="W5" s="762"/>
      <c r="X5" s="94"/>
      <c r="Y5" s="94"/>
      <c r="Z5" s="94"/>
      <c r="AA5" s="94"/>
      <c r="AB5" s="94"/>
      <c r="AC5" s="94"/>
      <c r="AD5" s="763"/>
      <c r="AE5" s="763"/>
      <c r="AF5" s="763"/>
      <c r="AG5" s="763"/>
    </row>
    <row r="6" spans="2:33" ht="30">
      <c r="B6" s="872" t="s">
        <v>104</v>
      </c>
      <c r="C6" s="873" t="s">
        <v>98</v>
      </c>
      <c r="D6" s="874">
        <v>47119</v>
      </c>
      <c r="E6" s="876" t="s">
        <v>105</v>
      </c>
      <c r="F6" s="852"/>
      <c r="G6" s="852"/>
      <c r="H6" s="852"/>
      <c r="I6" s="852"/>
      <c r="J6" s="66"/>
      <c r="K6" s="735" t="s">
        <v>106</v>
      </c>
      <c r="L6" s="732" t="s">
        <v>107</v>
      </c>
      <c r="N6" s="719"/>
      <c r="P6" s="1010">
        <f>P4+1</f>
        <v>2</v>
      </c>
      <c r="Q6" s="1042" t="s">
        <v>108</v>
      </c>
      <c r="R6" s="1043" t="s">
        <v>109</v>
      </c>
      <c r="S6" s="1011">
        <f>SUM('Project OPEX'!D15:D18)</f>
        <v>196.25009508139709</v>
      </c>
      <c r="T6" s="762"/>
      <c r="U6" s="762"/>
      <c r="V6" s="762"/>
      <c r="W6" s="762"/>
      <c r="X6" s="94"/>
      <c r="Y6" s="94"/>
      <c r="Z6" s="94"/>
      <c r="AA6" s="94"/>
      <c r="AB6" s="94"/>
      <c r="AC6" s="120"/>
      <c r="AD6" s="763"/>
      <c r="AE6" s="763"/>
      <c r="AF6" s="763"/>
      <c r="AG6" s="763"/>
    </row>
    <row r="7" spans="2:33" ht="30">
      <c r="B7" s="872" t="s">
        <v>110</v>
      </c>
      <c r="C7" s="873" t="s">
        <v>111</v>
      </c>
      <c r="D7" s="877">
        <v>5</v>
      </c>
      <c r="E7" s="875"/>
      <c r="F7" s="851"/>
      <c r="G7" s="851"/>
      <c r="H7" s="851"/>
      <c r="I7" s="851"/>
      <c r="J7" s="67"/>
      <c r="L7" s="731"/>
      <c r="P7" s="1010">
        <f t="shared" ref="P7:P19" si="0">P6+1</f>
        <v>3</v>
      </c>
      <c r="Q7" s="199" t="str">
        <f>'Project OPEX'!B19</f>
        <v>CHP</v>
      </c>
      <c r="R7" s="1043" t="s">
        <v>109</v>
      </c>
      <c r="S7" s="1011">
        <f>'Project OPEX'!D19</f>
        <v>9.7551601186946595</v>
      </c>
      <c r="T7" s="764"/>
      <c r="U7" s="764"/>
      <c r="V7" s="764"/>
      <c r="W7" s="764"/>
      <c r="X7" s="94"/>
      <c r="Y7" s="94"/>
      <c r="Z7" s="94"/>
      <c r="AA7" s="94"/>
      <c r="AB7" s="94"/>
      <c r="AC7" s="120"/>
      <c r="AD7" s="763"/>
      <c r="AE7" s="763"/>
      <c r="AF7" s="765"/>
      <c r="AG7" s="763"/>
    </row>
    <row r="8" spans="2:33" ht="30">
      <c r="B8" s="872" t="s">
        <v>112</v>
      </c>
      <c r="C8" s="873" t="s">
        <v>113</v>
      </c>
      <c r="D8" s="878">
        <f>'Production Schedule'!D5</f>
        <v>225.70440651000001</v>
      </c>
      <c r="E8" s="875" t="s">
        <v>114</v>
      </c>
      <c r="F8" s="851"/>
      <c r="G8" s="851"/>
      <c r="H8" s="851"/>
      <c r="I8" s="851"/>
      <c r="J8" s="68"/>
      <c r="K8" s="735" t="s">
        <v>115</v>
      </c>
      <c r="L8" s="732" t="s">
        <v>116</v>
      </c>
      <c r="P8" s="1010">
        <f t="shared" si="0"/>
        <v>4</v>
      </c>
      <c r="Q8" s="199" t="str">
        <f>'Project OPEX'!B20</f>
        <v>Power</v>
      </c>
      <c r="R8" s="1043" t="s">
        <v>109</v>
      </c>
      <c r="S8" s="1011">
        <f>'Project OPEX'!D20</f>
        <v>10.001118940936532</v>
      </c>
      <c r="T8" s="723"/>
      <c r="U8" s="725"/>
      <c r="V8" s="725"/>
      <c r="W8" s="725"/>
      <c r="X8" s="749"/>
      <c r="Y8" s="752"/>
      <c r="Z8" s="752"/>
      <c r="AA8" s="752"/>
      <c r="AB8" s="753"/>
      <c r="AC8" s="120"/>
      <c r="AD8" s="763"/>
      <c r="AE8" s="763"/>
      <c r="AF8" s="763"/>
      <c r="AG8" s="763"/>
    </row>
    <row r="9" spans="2:33" ht="30">
      <c r="B9" s="872" t="s">
        <v>117</v>
      </c>
      <c r="C9" s="873" t="s">
        <v>118</v>
      </c>
      <c r="D9" s="878">
        <f>'Production Schedule'!D8</f>
        <v>535.39467341478871</v>
      </c>
      <c r="E9" s="875" t="s">
        <v>114</v>
      </c>
      <c r="F9" s="851"/>
      <c r="G9" s="851"/>
      <c r="H9" s="851"/>
      <c r="I9" s="851"/>
      <c r="J9" s="68"/>
      <c r="K9" s="736"/>
      <c r="L9" s="733"/>
      <c r="N9" s="719"/>
      <c r="P9" s="1010">
        <f t="shared" si="0"/>
        <v>5</v>
      </c>
      <c r="Q9" s="199" t="str">
        <f>'Project OPEX'!B69</f>
        <v>Owner Wage</v>
      </c>
      <c r="R9" s="1043" t="s">
        <v>109</v>
      </c>
      <c r="S9" s="1011">
        <f ca="1">'Project OPEX'!D23</f>
        <v>41.628473919864355</v>
      </c>
      <c r="T9" s="720"/>
      <c r="U9" s="720"/>
      <c r="V9" s="720"/>
      <c r="W9" s="720"/>
      <c r="X9" s="749"/>
      <c r="Y9" s="751"/>
      <c r="Z9" s="751"/>
      <c r="AA9" s="752"/>
      <c r="AB9" s="766"/>
      <c r="AC9" s="120"/>
      <c r="AD9" s="1713"/>
      <c r="AE9" s="1713"/>
      <c r="AF9" s="1713"/>
      <c r="AG9" s="1713"/>
    </row>
    <row r="10" spans="2:33" ht="16">
      <c r="B10" s="879" t="s">
        <v>119</v>
      </c>
      <c r="C10" s="839" t="s">
        <v>120</v>
      </c>
      <c r="D10" s="880">
        <f>MAX('Production Schedule'!E5:AM5)</f>
        <v>15.00001569</v>
      </c>
      <c r="E10" s="881" t="s">
        <v>121</v>
      </c>
      <c r="F10" s="853"/>
      <c r="G10" s="853"/>
      <c r="H10" s="853"/>
      <c r="I10" s="853"/>
      <c r="J10" s="69"/>
      <c r="K10" s="1045" t="s">
        <v>122</v>
      </c>
      <c r="L10" s="1034">
        <v>1.6000000000000005</v>
      </c>
      <c r="N10" s="719"/>
      <c r="P10" s="1010">
        <f t="shared" si="0"/>
        <v>6</v>
      </c>
      <c r="Q10" s="199" t="str">
        <f>'Project OPEX'!B70</f>
        <v>Explosives</v>
      </c>
      <c r="R10" s="1043" t="s">
        <v>109</v>
      </c>
      <c r="S10" s="1011">
        <f>'Project OPEX'!D24</f>
        <v>56.41307818787574</v>
      </c>
      <c r="T10" s="70"/>
      <c r="U10" s="70"/>
      <c r="V10" s="70"/>
      <c r="W10" s="70"/>
      <c r="X10" s="76"/>
      <c r="Y10" s="83"/>
      <c r="Z10" s="80"/>
      <c r="AA10" s="75"/>
      <c r="AB10" s="82"/>
      <c r="AC10" s="77"/>
      <c r="AD10" s="78"/>
      <c r="AE10" s="79"/>
    </row>
    <row r="11" spans="2:33" ht="14">
      <c r="B11" s="879" t="s">
        <v>123</v>
      </c>
      <c r="C11" s="839" t="s">
        <v>113</v>
      </c>
      <c r="D11" s="880">
        <f>'Production Schedule'!I5</f>
        <v>1.9999997549999999</v>
      </c>
      <c r="E11" s="881" t="s">
        <v>114</v>
      </c>
      <c r="F11" s="853"/>
      <c r="G11" s="853"/>
      <c r="H11" s="853"/>
      <c r="I11" s="853"/>
      <c r="J11" s="69"/>
      <c r="N11" s="719"/>
      <c r="P11" s="1010">
        <f t="shared" si="0"/>
        <v>7</v>
      </c>
      <c r="Q11" s="199" t="str">
        <f>'Project OPEX'!B71</f>
        <v>Civil Infrastructure Maintenance</v>
      </c>
      <c r="R11" s="1043" t="s">
        <v>109</v>
      </c>
      <c r="S11" s="1011">
        <f>'Project OPEX'!D25</f>
        <v>4.0196379593492946</v>
      </c>
      <c r="Y11" s="75"/>
      <c r="Z11" s="80"/>
      <c r="AA11" s="80"/>
      <c r="AB11" s="82"/>
      <c r="AC11" s="77"/>
      <c r="AD11" s="78"/>
      <c r="AE11" s="79"/>
    </row>
    <row r="12" spans="2:33" ht="30">
      <c r="B12" s="872" t="s">
        <v>124</v>
      </c>
      <c r="C12" s="873" t="s">
        <v>125</v>
      </c>
      <c r="D12" s="878">
        <f>MAX('Production Schedule'!E3:AM3)</f>
        <v>19</v>
      </c>
      <c r="E12" s="875" t="s">
        <v>114</v>
      </c>
      <c r="F12" s="851"/>
      <c r="G12" s="851"/>
      <c r="H12" s="851"/>
      <c r="I12" s="851"/>
      <c r="J12" s="69"/>
      <c r="N12" s="719"/>
      <c r="P12" s="1010">
        <f t="shared" si="0"/>
        <v>8</v>
      </c>
      <c r="Q12" s="199" t="str">
        <f>'Project OPEX'!B72</f>
        <v>Railway Track &amp; Siding Repair &amp; Maintenance</v>
      </c>
      <c r="R12" s="1043" t="s">
        <v>109</v>
      </c>
      <c r="S12" s="1011">
        <f>'Project OPEX'!D26</f>
        <v>15.910190038052706</v>
      </c>
      <c r="T12" s="94"/>
      <c r="U12" s="94"/>
      <c r="V12" s="94"/>
      <c r="W12" s="94"/>
      <c r="X12" s="749"/>
      <c r="Y12" s="750"/>
      <c r="Z12" s="751"/>
      <c r="AA12" s="752"/>
      <c r="AB12" s="753"/>
      <c r="AC12" s="120"/>
      <c r="AD12" s="754"/>
      <c r="AE12" s="755"/>
      <c r="AF12" s="756"/>
      <c r="AG12" s="94"/>
    </row>
    <row r="13" spans="2:33" ht="16">
      <c r="B13" s="882" t="s">
        <v>126</v>
      </c>
      <c r="C13" s="837" t="s">
        <v>127</v>
      </c>
      <c r="D13" s="1517">
        <v>1048</v>
      </c>
      <c r="E13" s="844" t="s">
        <v>128</v>
      </c>
      <c r="F13" s="98"/>
      <c r="G13" s="98"/>
      <c r="H13" s="98"/>
      <c r="I13" s="98"/>
      <c r="J13" s="1046" t="s">
        <v>129</v>
      </c>
      <c r="K13" s="1047"/>
      <c r="L13" s="1047"/>
      <c r="M13" s="1049"/>
      <c r="N13" s="1050"/>
      <c r="P13" s="1010">
        <f t="shared" si="0"/>
        <v>9</v>
      </c>
      <c r="Q13" s="199" t="str">
        <f>'Project OPEX'!B73</f>
        <v xml:space="preserve">Fire Fighting &amp; Dust Suppression </v>
      </c>
      <c r="R13" s="1043" t="s">
        <v>109</v>
      </c>
      <c r="S13" s="1011">
        <f>'Project OPEX'!D27</f>
        <v>0.42574490009233629</v>
      </c>
      <c r="T13" s="94"/>
      <c r="U13" s="94"/>
      <c r="V13" s="94"/>
      <c r="W13" s="94"/>
      <c r="X13" s="749"/>
      <c r="Y13" s="751"/>
      <c r="Z13" s="751"/>
      <c r="AA13" s="752"/>
      <c r="AB13" s="753"/>
      <c r="AC13" s="120"/>
      <c r="AD13" s="754"/>
      <c r="AE13" s="757"/>
      <c r="AF13" s="94"/>
      <c r="AG13" s="94"/>
    </row>
    <row r="14" spans="2:33" ht="14">
      <c r="B14" s="1087" t="s">
        <v>130</v>
      </c>
      <c r="C14" s="1090"/>
      <c r="D14" s="1091"/>
      <c r="E14" s="883"/>
      <c r="F14" s="854"/>
      <c r="G14" s="854"/>
      <c r="H14" s="854"/>
      <c r="I14" s="854"/>
      <c r="J14" s="1038" t="s">
        <v>93</v>
      </c>
      <c r="K14" s="1039" t="s">
        <v>94</v>
      </c>
      <c r="L14" s="1039" t="s">
        <v>95</v>
      </c>
      <c r="M14" s="1040" t="s">
        <v>96</v>
      </c>
      <c r="N14" s="1041" t="s">
        <v>131</v>
      </c>
      <c r="P14" s="1010">
        <f>P13+1</f>
        <v>10</v>
      </c>
      <c r="Q14" s="199" t="str">
        <f>'Project OPEX'!B74</f>
        <v>Rehandling</v>
      </c>
      <c r="R14" s="1043" t="s">
        <v>109</v>
      </c>
      <c r="S14" s="1011">
        <f>'Project OPEX'!D28</f>
        <v>23.459001451818843</v>
      </c>
      <c r="T14" s="94"/>
      <c r="U14" s="94"/>
      <c r="V14" s="94"/>
      <c r="W14" s="94"/>
      <c r="X14" s="204"/>
      <c r="Y14" s="751"/>
      <c r="Z14" s="751"/>
      <c r="AA14" s="751"/>
      <c r="AB14" s="753"/>
      <c r="AC14" s="94"/>
      <c r="AD14" s="754"/>
      <c r="AE14" s="94"/>
      <c r="AF14" s="94"/>
      <c r="AG14" s="94"/>
    </row>
    <row r="15" spans="2:33" ht="14">
      <c r="B15" s="1552" t="s">
        <v>34</v>
      </c>
      <c r="C15" s="1553" t="s">
        <v>132</v>
      </c>
      <c r="D15" s="1553" t="s">
        <v>133</v>
      </c>
      <c r="E15" s="1553" t="s">
        <v>90</v>
      </c>
      <c r="F15" s="721"/>
      <c r="G15" s="721"/>
      <c r="H15" s="721"/>
      <c r="I15" s="721"/>
      <c r="J15" s="1010">
        <v>1</v>
      </c>
      <c r="K15" s="199" t="str">
        <f>'Owner CAPEX'!B11</f>
        <v xml:space="preserve">Pre-operative costs </v>
      </c>
      <c r="L15" s="121" t="s">
        <v>134</v>
      </c>
      <c r="M15" s="1035">
        <f ca="1">'Owner CAPEX'!D11</f>
        <v>214.12703999999999</v>
      </c>
      <c r="N15" s="1036">
        <f ca="1">M15/$M$30</f>
        <v>4.4304252356492949E-2</v>
      </c>
      <c r="P15" s="1010">
        <f t="shared" si="0"/>
        <v>11</v>
      </c>
      <c r="Q15" s="199" t="str">
        <f>'Project OPEX'!B75</f>
        <v>Digitalization (AMC)</v>
      </c>
      <c r="R15" s="1043" t="s">
        <v>109</v>
      </c>
      <c r="S15" s="1011">
        <f>'Project OPEX'!D29</f>
        <v>0.29463314885282793</v>
      </c>
      <c r="T15" s="94"/>
      <c r="U15" s="94"/>
      <c r="V15" s="94"/>
      <c r="W15" s="94"/>
      <c r="X15" s="204"/>
      <c r="Y15" s="120"/>
      <c r="Z15" s="120"/>
      <c r="AA15" s="94"/>
      <c r="AB15" s="758"/>
      <c r="AC15" s="94"/>
      <c r="AD15" s="754"/>
      <c r="AE15" s="94"/>
      <c r="AF15" s="94"/>
      <c r="AG15" s="94"/>
    </row>
    <row r="16" spans="2:33" ht="14">
      <c r="B16" s="884" t="s">
        <v>135</v>
      </c>
      <c r="C16" s="885" t="s">
        <v>136</v>
      </c>
      <c r="D16" s="886">
        <v>3</v>
      </c>
      <c r="E16" s="887" t="s">
        <v>137</v>
      </c>
      <c r="F16" s="855"/>
      <c r="G16" s="855"/>
      <c r="H16" s="855"/>
      <c r="I16" s="855"/>
      <c r="J16" s="1010">
        <f>J15+1</f>
        <v>2</v>
      </c>
      <c r="K16" s="199" t="str">
        <f>'Owner CAPEX'!B12</f>
        <v>Upfront Amount</v>
      </c>
      <c r="L16" s="121" t="s">
        <v>134</v>
      </c>
      <c r="M16" s="1035">
        <f>'Owner CAPEX'!D12</f>
        <v>99.07</v>
      </c>
      <c r="N16" s="1036">
        <f t="shared" ref="N16:N29" ca="1" si="1">M16/$M$30</f>
        <v>2.049821582999399E-2</v>
      </c>
      <c r="P16" s="1010">
        <f t="shared" si="0"/>
        <v>12</v>
      </c>
      <c r="Q16" s="199" t="str">
        <f>'Project OPEX'!B76</f>
        <v>Environment Management &amp; OHS  costs</v>
      </c>
      <c r="R16" s="1043" t="s">
        <v>109</v>
      </c>
      <c r="S16" s="1011">
        <f>'Project OPEX'!D30</f>
        <v>2.6937887895115691</v>
      </c>
      <c r="T16" s="94"/>
      <c r="U16" s="94"/>
      <c r="V16" s="94"/>
      <c r="W16" s="94"/>
      <c r="X16" s="94"/>
      <c r="Y16" s="94"/>
      <c r="Z16" s="94"/>
      <c r="AA16" s="751"/>
      <c r="AB16" s="94"/>
      <c r="AC16" s="94"/>
      <c r="AD16" s="94"/>
      <c r="AE16" s="94"/>
      <c r="AF16" s="94"/>
      <c r="AG16" s="94"/>
    </row>
    <row r="17" spans="2:19" ht="14">
      <c r="B17" s="884" t="s">
        <v>138</v>
      </c>
      <c r="C17" s="885" t="s">
        <v>139</v>
      </c>
      <c r="D17" s="886">
        <v>8</v>
      </c>
      <c r="E17" s="887"/>
      <c r="F17" s="855"/>
      <c r="G17" s="855"/>
      <c r="H17" s="855"/>
      <c r="I17" s="855"/>
      <c r="J17" s="1010">
        <f t="shared" ref="J17:J29" si="2">J16+1</f>
        <v>3</v>
      </c>
      <c r="K17" s="199" t="str">
        <f>'Owner CAPEX'!B13</f>
        <v>Land Cost</v>
      </c>
      <c r="L17" s="121" t="s">
        <v>134</v>
      </c>
      <c r="M17" s="1035">
        <f>'Owner CAPEX'!D13</f>
        <v>985.07801770063588</v>
      </c>
      <c r="N17" s="1036">
        <f t="shared" ca="1" si="1"/>
        <v>0.20381893425063366</v>
      </c>
      <c r="P17" s="1010">
        <f t="shared" si="0"/>
        <v>13</v>
      </c>
      <c r="Q17" s="199" t="str">
        <f>'Project OPEX'!B77</f>
        <v>Canteen, Accommodation, Laundry, Vehicle etc. Cost</v>
      </c>
      <c r="R17" s="1043" t="s">
        <v>109</v>
      </c>
      <c r="S17" s="1011">
        <f ca="1">'Project OPEX'!D31</f>
        <v>0.1234468587956679</v>
      </c>
    </row>
    <row r="18" spans="2:19" ht="14">
      <c r="B18" s="884" t="s">
        <v>140</v>
      </c>
      <c r="C18" s="885" t="s">
        <v>139</v>
      </c>
      <c r="D18" s="886">
        <v>0</v>
      </c>
      <c r="E18" s="887" t="s">
        <v>141</v>
      </c>
      <c r="F18" s="855"/>
      <c r="G18" s="855"/>
      <c r="H18" s="855"/>
      <c r="I18" s="855"/>
      <c r="J18" s="1010">
        <f t="shared" si="2"/>
        <v>4</v>
      </c>
      <c r="K18" s="199" t="str">
        <f>'Owner CAPEX'!B14</f>
        <v>R&amp;R Cost</v>
      </c>
      <c r="L18" s="121" t="s">
        <v>134</v>
      </c>
      <c r="M18" s="1035">
        <f>'Owner CAPEX'!D14</f>
        <v>1048.5700310581428</v>
      </c>
      <c r="N18" s="1036">
        <f t="shared" ca="1" si="1"/>
        <v>0.21695583738259125</v>
      </c>
      <c r="P18" s="1010">
        <f t="shared" si="0"/>
        <v>14</v>
      </c>
      <c r="Q18" s="199" t="str">
        <f>'Project OPEX'!B78</f>
        <v xml:space="preserve">Admin and Overhead </v>
      </c>
      <c r="R18" s="1043" t="s">
        <v>109</v>
      </c>
      <c r="S18" s="1011">
        <f>'Project OPEX'!D32</f>
        <v>14.999999999999998</v>
      </c>
    </row>
    <row r="19" spans="2:19" ht="14">
      <c r="B19" s="884" t="s">
        <v>142</v>
      </c>
      <c r="C19" s="885" t="s">
        <v>139</v>
      </c>
      <c r="D19" s="888">
        <f>D17-D18</f>
        <v>8</v>
      </c>
      <c r="E19" s="887" t="s">
        <v>137</v>
      </c>
      <c r="F19" s="855"/>
      <c r="G19" s="855"/>
      <c r="H19" s="855"/>
      <c r="I19" s="855"/>
      <c r="J19" s="1010">
        <f t="shared" si="2"/>
        <v>5</v>
      </c>
      <c r="K19" s="199" t="str">
        <f>'Owner CAPEX'!B15</f>
        <v xml:space="preserve">HEMM Equipment </v>
      </c>
      <c r="L19" s="121" t="s">
        <v>134</v>
      </c>
      <c r="M19" s="1035">
        <f>'Owner CAPEX'!D15</f>
        <v>701.5158371549536</v>
      </c>
      <c r="N19" s="1036">
        <f t="shared" ca="1" si="1"/>
        <v>0.14514810778400281</v>
      </c>
      <c r="P19" s="1010">
        <f t="shared" si="0"/>
        <v>15</v>
      </c>
      <c r="Q19" s="199" t="str">
        <f>'Project OPEX'!B79</f>
        <v>R&amp;R (Resettlement &amp; Rehabilitation)</v>
      </c>
      <c r="R19" s="1043" t="s">
        <v>109</v>
      </c>
      <c r="S19" s="1011">
        <f>'Project OPEX'!D33</f>
        <v>3.2669140981709233</v>
      </c>
    </row>
    <row r="20" spans="2:19" ht="14">
      <c r="B20" s="884" t="s">
        <v>143</v>
      </c>
      <c r="C20" s="885" t="s">
        <v>144</v>
      </c>
      <c r="D20" s="889">
        <v>365</v>
      </c>
      <c r="E20" s="887" t="s">
        <v>137</v>
      </c>
      <c r="F20" s="855"/>
      <c r="G20" s="855"/>
      <c r="H20" s="855"/>
      <c r="I20" s="855"/>
      <c r="J20" s="1010">
        <f t="shared" si="2"/>
        <v>6</v>
      </c>
      <c r="K20" s="199" t="str">
        <f>'Owner CAPEX'!B16</f>
        <v>CHP</v>
      </c>
      <c r="L20" s="121" t="s">
        <v>134</v>
      </c>
      <c r="M20" s="1035">
        <f>'Owner CAPEX'!D16</f>
        <v>335.19</v>
      </c>
      <c r="N20" s="1036">
        <f t="shared" ca="1" si="1"/>
        <v>6.9352952095040735E-2</v>
      </c>
      <c r="P20" s="1010">
        <f>P19+1</f>
        <v>16</v>
      </c>
      <c r="Q20" s="1042" t="str">
        <f>'Project OPEX'!B80</f>
        <v>Contingency</v>
      </c>
      <c r="R20" s="1043" t="s">
        <v>109</v>
      </c>
      <c r="S20" s="1012">
        <f ca="1">'Project OPEX'!D34</f>
        <v>56.886192524011889</v>
      </c>
    </row>
    <row r="21" spans="2:19" ht="14">
      <c r="B21" s="884" t="s">
        <v>145</v>
      </c>
      <c r="C21" s="885" t="s">
        <v>144</v>
      </c>
      <c r="D21" s="890">
        <v>8</v>
      </c>
      <c r="E21" s="891" t="s">
        <v>137</v>
      </c>
      <c r="F21" s="855"/>
      <c r="G21" s="855"/>
      <c r="H21" s="855"/>
      <c r="I21" s="855"/>
      <c r="J21" s="1010">
        <f t="shared" si="2"/>
        <v>7</v>
      </c>
      <c r="K21" s="199" t="str">
        <f>'Owner CAPEX'!B17</f>
        <v>Railway Siding</v>
      </c>
      <c r="L21" s="121" t="s">
        <v>134</v>
      </c>
      <c r="M21" s="1035">
        <f>'Owner CAPEX'!D17</f>
        <v>540</v>
      </c>
      <c r="N21" s="1036">
        <f t="shared" ca="1" si="1"/>
        <v>0.11172944936102508</v>
      </c>
      <c r="P21" s="1013"/>
      <c r="Q21" s="1020" t="s">
        <v>146</v>
      </c>
      <c r="R21" s="1021" t="s">
        <v>109</v>
      </c>
      <c r="S21" s="1022">
        <f ca="1">SUM(S6:S20)</f>
        <v>436.12747601742439</v>
      </c>
    </row>
    <row r="22" spans="2:19" ht="14">
      <c r="B22" s="884" t="s">
        <v>147</v>
      </c>
      <c r="C22" s="885" t="s">
        <v>144</v>
      </c>
      <c r="D22" s="890">
        <f>1+1</f>
        <v>2</v>
      </c>
      <c r="E22" s="887" t="s">
        <v>148</v>
      </c>
      <c r="F22" s="855"/>
      <c r="G22" s="855"/>
      <c r="H22" s="855"/>
      <c r="I22" s="855"/>
      <c r="J22" s="1010">
        <f t="shared" si="2"/>
        <v>8</v>
      </c>
      <c r="K22" s="199" t="str">
        <f>'Owner CAPEX'!B18</f>
        <v>Civil Infrastructure</v>
      </c>
      <c r="L22" s="121" t="s">
        <v>134</v>
      </c>
      <c r="M22" s="1035">
        <f>'Owner CAPEX'!D18</f>
        <v>191</v>
      </c>
      <c r="N22" s="1036">
        <f t="shared" ca="1" si="1"/>
        <v>3.9519120051769982E-2</v>
      </c>
      <c r="P22" s="1010"/>
      <c r="Q22" s="1044" t="s">
        <v>149</v>
      </c>
      <c r="R22" s="1043" t="s">
        <v>109</v>
      </c>
      <c r="S22" s="1023"/>
    </row>
    <row r="23" spans="2:19" ht="14">
      <c r="B23" s="884" t="s">
        <v>150</v>
      </c>
      <c r="C23" s="885" t="s">
        <v>144</v>
      </c>
      <c r="D23" s="885">
        <f>D20-D21-D22</f>
        <v>355</v>
      </c>
      <c r="E23" s="887" t="s">
        <v>151</v>
      </c>
      <c r="F23" s="855"/>
      <c r="G23" s="855"/>
      <c r="H23" s="855"/>
      <c r="I23" s="855"/>
      <c r="J23" s="1010">
        <f t="shared" si="2"/>
        <v>9</v>
      </c>
      <c r="K23" s="199" t="str">
        <f>'Owner CAPEX'!B19</f>
        <v>Fire Fighting &amp; Dust Suppression</v>
      </c>
      <c r="L23" s="121" t="s">
        <v>134</v>
      </c>
      <c r="M23" s="1035">
        <f>'Owner CAPEX'!D19</f>
        <v>14.45</v>
      </c>
      <c r="N23" s="1036">
        <f t="shared" ca="1" si="1"/>
        <v>2.9897973023459488E-3</v>
      </c>
      <c r="P23" s="1010">
        <f>P20+1</f>
        <v>17</v>
      </c>
      <c r="Q23" s="1024" t="str">
        <f>'Project OPEX'!B37</f>
        <v>Revenue Sharing</v>
      </c>
      <c r="R23" s="1043" t="s">
        <v>109</v>
      </c>
      <c r="S23" s="1012">
        <f>'Project OPEX'!D37</f>
        <v>204.54301073408092</v>
      </c>
    </row>
    <row r="24" spans="2:19" ht="33" customHeight="1">
      <c r="B24" s="884" t="s">
        <v>152</v>
      </c>
      <c r="C24" s="885" t="s">
        <v>144</v>
      </c>
      <c r="D24" s="889">
        <f>(30*4)/24</f>
        <v>5</v>
      </c>
      <c r="E24" s="892" t="s">
        <v>153</v>
      </c>
      <c r="F24" s="856"/>
      <c r="G24" s="1711">
        <f ca="1">M30</f>
        <v>4833.1035648007928</v>
      </c>
      <c r="H24" s="1711"/>
      <c r="I24" s="1588" t="s">
        <v>134</v>
      </c>
      <c r="J24" s="1010">
        <f>J23+1</f>
        <v>10</v>
      </c>
      <c r="K24" s="199" t="str">
        <f>'Owner CAPEX'!B20</f>
        <v>Workshop and Store</v>
      </c>
      <c r="L24" s="121" t="s">
        <v>134</v>
      </c>
      <c r="M24" s="1035">
        <f>'Owner CAPEX'!D20</f>
        <v>27.27</v>
      </c>
      <c r="N24" s="1036">
        <f t="shared" ca="1" si="1"/>
        <v>5.6423371927317671E-3</v>
      </c>
      <c r="P24" s="1010">
        <f t="shared" ref="P24:P32" si="3">P23+1</f>
        <v>18</v>
      </c>
      <c r="Q24" s="1024" t="str">
        <f>'Project OPEX'!B38</f>
        <v>GST on Revenue Sharing</v>
      </c>
      <c r="R24" s="1043" t="s">
        <v>109</v>
      </c>
      <c r="S24" s="1012">
        <f>'Project OPEX'!D38</f>
        <v>36.817741932134567</v>
      </c>
    </row>
    <row r="25" spans="2:19" ht="14">
      <c r="B25" s="884" t="s">
        <v>154</v>
      </c>
      <c r="C25" s="885" t="s">
        <v>155</v>
      </c>
      <c r="D25" s="889">
        <v>2</v>
      </c>
      <c r="E25" s="887" t="s">
        <v>137</v>
      </c>
      <c r="F25" s="855"/>
      <c r="H25" s="855"/>
      <c r="I25" s="855"/>
      <c r="J25" s="1010">
        <f t="shared" si="2"/>
        <v>11</v>
      </c>
      <c r="K25" s="199" t="str">
        <f>'Owner CAPEX'!B21</f>
        <v xml:space="preserve">Electrical </v>
      </c>
      <c r="L25" s="121" t="s">
        <v>134</v>
      </c>
      <c r="M25" s="1035">
        <f>'Owner CAPEX'!D21</f>
        <v>34.35</v>
      </c>
      <c r="N25" s="1036">
        <f t="shared" ca="1" si="1"/>
        <v>7.1072344176874294E-3</v>
      </c>
      <c r="P25" s="1010">
        <f t="shared" si="3"/>
        <v>19</v>
      </c>
      <c r="Q25" s="1024" t="str">
        <f>'Project OPEX'!B39</f>
        <v>Royalty (% of NCI notified Price)</v>
      </c>
      <c r="R25" s="1043" t="s">
        <v>109</v>
      </c>
      <c r="S25" s="1012">
        <f>'Project OPEX'!D39</f>
        <v>139.28825337729199</v>
      </c>
    </row>
    <row r="26" spans="2:19" ht="14">
      <c r="B26" s="884" t="s">
        <v>156</v>
      </c>
      <c r="C26" s="885" t="s">
        <v>157</v>
      </c>
      <c r="D26" s="889">
        <v>8</v>
      </c>
      <c r="E26" s="887" t="s">
        <v>137</v>
      </c>
      <c r="F26" s="855"/>
      <c r="G26" s="855"/>
      <c r="H26" s="855"/>
      <c r="I26" s="855"/>
      <c r="J26" s="1010">
        <f t="shared" si="2"/>
        <v>12</v>
      </c>
      <c r="K26" s="199" t="str">
        <f>'Owner CAPEX'!B22</f>
        <v>Mine Dewatering System</v>
      </c>
      <c r="L26" s="121" t="s">
        <v>134</v>
      </c>
      <c r="M26" s="1035">
        <f>'Owner CAPEX'!D22</f>
        <v>15</v>
      </c>
      <c r="N26" s="1036">
        <f t="shared" ca="1" si="1"/>
        <v>3.1035958155840302E-3</v>
      </c>
      <c r="P26" s="1010">
        <f t="shared" si="3"/>
        <v>20</v>
      </c>
      <c r="Q26" s="1024" t="str">
        <f>'Project OPEX'!B40</f>
        <v>DMF (District Mineral Foundation)</v>
      </c>
      <c r="R26" s="1043" t="s">
        <v>109</v>
      </c>
      <c r="S26" s="1012">
        <f>'Project OPEX'!D40</f>
        <v>13.928825337729201</v>
      </c>
    </row>
    <row r="27" spans="2:19" ht="14">
      <c r="B27" s="884" t="s">
        <v>158</v>
      </c>
      <c r="C27" s="885" t="s">
        <v>144</v>
      </c>
      <c r="D27" s="893">
        <f>((D25*30)*D26)/24</f>
        <v>20</v>
      </c>
      <c r="E27" s="887" t="s">
        <v>151</v>
      </c>
      <c r="F27" s="855"/>
      <c r="G27" s="855"/>
      <c r="H27" s="855"/>
      <c r="I27" s="855"/>
      <c r="J27" s="1010">
        <f t="shared" si="2"/>
        <v>13</v>
      </c>
      <c r="K27" s="199" t="str">
        <f>'Owner CAPEX'!B23</f>
        <v>Digitalisation</v>
      </c>
      <c r="L27" s="121" t="s">
        <v>134</v>
      </c>
      <c r="M27" s="1035">
        <f>'Owner CAPEX'!D23</f>
        <v>10</v>
      </c>
      <c r="N27" s="1036">
        <f t="shared" ca="1" si="1"/>
        <v>2.0690638770560201E-3</v>
      </c>
      <c r="P27" s="1010">
        <f t="shared" si="3"/>
        <v>21</v>
      </c>
      <c r="Q27" s="1024" t="str">
        <f>'Project OPEX'!B41</f>
        <v>NMET (National Mineral Exploration Trust)</v>
      </c>
      <c r="R27" s="1043" t="s">
        <v>109</v>
      </c>
      <c r="S27" s="1012">
        <f>'Project OPEX'!D41</f>
        <v>4.1786476013187599</v>
      </c>
    </row>
    <row r="28" spans="2:19" ht="14">
      <c r="B28" s="884" t="s">
        <v>159</v>
      </c>
      <c r="C28" s="885" t="s">
        <v>144</v>
      </c>
      <c r="D28" s="885">
        <f>D23-D24-D27</f>
        <v>330</v>
      </c>
      <c r="E28" s="887" t="s">
        <v>151</v>
      </c>
      <c r="F28" s="855"/>
      <c r="H28" s="855"/>
      <c r="I28" s="855"/>
      <c r="J28" s="1010">
        <f t="shared" si="2"/>
        <v>14</v>
      </c>
      <c r="K28" s="199" t="str">
        <f>'Owner CAPEX'!B24</f>
        <v>Contingency</v>
      </c>
      <c r="L28" s="121" t="s">
        <v>134</v>
      </c>
      <c r="M28" s="1035">
        <f ca="1">'Owner CAPEX'!D24</f>
        <v>617.48263888705969</v>
      </c>
      <c r="N28" s="1036">
        <f t="shared" ca="1" si="1"/>
        <v>0.12776110228304421</v>
      </c>
      <c r="P28" s="1010">
        <f t="shared" si="3"/>
        <v>22</v>
      </c>
      <c r="Q28" s="1024" t="str">
        <f>'Project OPEX'!B42</f>
        <v>Surface Rent</v>
      </c>
      <c r="R28" s="1043" t="s">
        <v>109</v>
      </c>
      <c r="S28" s="1014">
        <f>'Project OPEX'!D42</f>
        <v>0.1764431657130078</v>
      </c>
    </row>
    <row r="29" spans="2:19" ht="14">
      <c r="B29" s="894" t="s">
        <v>160</v>
      </c>
      <c r="C29" s="895" t="s">
        <v>139</v>
      </c>
      <c r="D29" s="896">
        <f>D28*D16*$D$19</f>
        <v>7920</v>
      </c>
      <c r="E29" s="897" t="s">
        <v>151</v>
      </c>
      <c r="F29" s="855"/>
      <c r="G29" s="855"/>
      <c r="H29" s="855"/>
      <c r="I29" s="855"/>
      <c r="J29" s="1010">
        <f t="shared" si="2"/>
        <v>15</v>
      </c>
      <c r="K29" s="199" t="str">
        <f>'Owner CAPEX'!B25</f>
        <v>IDC</v>
      </c>
      <c r="L29" s="121" t="s">
        <v>134</v>
      </c>
      <c r="M29" s="1035">
        <f ca="1">'Owner CAPEX'!D25</f>
        <v>0</v>
      </c>
      <c r="N29" s="1036">
        <f t="shared" ca="1" si="1"/>
        <v>0</v>
      </c>
      <c r="P29" s="1010">
        <f t="shared" si="3"/>
        <v>23</v>
      </c>
      <c r="Q29" s="1024" t="str">
        <f>'Project OPEX'!B43</f>
        <v>GST on Royalty, DMF, NMET, etc</v>
      </c>
      <c r="R29" s="1043" t="s">
        <v>109</v>
      </c>
      <c r="S29" s="1012">
        <f>'Project OPEX'!D43</f>
        <v>28.362990506769531</v>
      </c>
    </row>
    <row r="30" spans="2:19" ht="16">
      <c r="B30" s="898" t="s">
        <v>161</v>
      </c>
      <c r="C30" s="849"/>
      <c r="D30" s="849"/>
      <c r="E30" s="899"/>
      <c r="F30" s="549"/>
      <c r="G30" s="549"/>
      <c r="H30" s="549"/>
      <c r="I30" s="549"/>
      <c r="J30" s="1037"/>
      <c r="K30" s="1562" t="s">
        <v>162</v>
      </c>
      <c r="L30" s="1563" t="s">
        <v>134</v>
      </c>
      <c r="M30" s="1564">
        <f ca="1">SUM(M15:M29)</f>
        <v>4833.1035648007928</v>
      </c>
      <c r="N30" s="1565"/>
      <c r="P30" s="1010">
        <f t="shared" si="3"/>
        <v>24</v>
      </c>
      <c r="Q30" s="1024" t="str">
        <f>'Project OPEX'!B44</f>
        <v>Progressive Mine Closure Costs</v>
      </c>
      <c r="R30" s="1043" t="s">
        <v>109</v>
      </c>
      <c r="S30" s="1012">
        <f>'Project OPEX'!D44</f>
        <v>12.963778132962286</v>
      </c>
    </row>
    <row r="31" spans="2:19" ht="14">
      <c r="B31" s="1552" t="s">
        <v>34</v>
      </c>
      <c r="C31" s="1553" t="s">
        <v>88</v>
      </c>
      <c r="D31" s="1553" t="s">
        <v>89</v>
      </c>
      <c r="E31" s="1553" t="s">
        <v>90</v>
      </c>
      <c r="F31" s="721"/>
      <c r="G31" s="721"/>
      <c r="H31" s="721"/>
      <c r="I31" s="721"/>
      <c r="P31" s="1010">
        <f t="shared" si="3"/>
        <v>25</v>
      </c>
      <c r="Q31" s="1024" t="str">
        <f>'Project OPEX'!B45</f>
        <v>Bank Fee on PBG</v>
      </c>
      <c r="R31" s="1043" t="s">
        <v>109</v>
      </c>
      <c r="S31" s="1012">
        <f>'Project OPEX'!D45</f>
        <v>2.2153887366742491</v>
      </c>
    </row>
    <row r="32" spans="2:19" ht="30">
      <c r="B32" s="900" t="s">
        <v>163</v>
      </c>
      <c r="C32" s="901" t="s">
        <v>164</v>
      </c>
      <c r="D32" s="902">
        <v>1.72</v>
      </c>
      <c r="E32" s="903" t="s">
        <v>165</v>
      </c>
      <c r="F32" s="857"/>
      <c r="G32" s="857"/>
      <c r="H32" s="857"/>
      <c r="I32" s="857"/>
      <c r="J32" s="1038" t="s">
        <v>93</v>
      </c>
      <c r="K32" s="1039" t="s">
        <v>166</v>
      </c>
      <c r="L32" s="1039" t="s">
        <v>88</v>
      </c>
      <c r="M32" s="1041" t="s">
        <v>89</v>
      </c>
      <c r="N32" s="759"/>
      <c r="P32" s="1010">
        <f t="shared" si="3"/>
        <v>26</v>
      </c>
      <c r="Q32" s="1044" t="s">
        <v>146</v>
      </c>
      <c r="R32" s="1043" t="s">
        <v>109</v>
      </c>
      <c r="S32" s="1025">
        <f>SUM(S23:S31)</f>
        <v>442.47507952467447</v>
      </c>
    </row>
    <row r="33" spans="2:19" ht="16">
      <c r="B33" s="904" t="s">
        <v>167</v>
      </c>
      <c r="C33" s="905" t="s">
        <v>164</v>
      </c>
      <c r="D33" s="886">
        <v>2.1</v>
      </c>
      <c r="E33" s="906" t="s">
        <v>165</v>
      </c>
      <c r="F33" s="857"/>
      <c r="G33" s="857"/>
      <c r="H33" s="857"/>
      <c r="I33" s="857"/>
      <c r="J33" s="1055">
        <v>1</v>
      </c>
      <c r="K33" s="1051" t="str">
        <f>CF!C40</f>
        <v>Equity IRR</v>
      </c>
      <c r="L33" s="1057" t="s">
        <v>131</v>
      </c>
      <c r="M33" s="1052">
        <f ca="1">CF!D40</f>
        <v>0.15815963774079345</v>
      </c>
      <c r="P33" s="1016"/>
      <c r="Q33" s="1566" t="s">
        <v>162</v>
      </c>
      <c r="R33" s="1567" t="s">
        <v>134</v>
      </c>
      <c r="S33" s="1568">
        <f ca="1">S4+S21+S32</f>
        <v>878.6025555420988</v>
      </c>
    </row>
    <row r="34" spans="2:19" ht="23">
      <c r="B34" s="904" t="s">
        <v>168</v>
      </c>
      <c r="C34" s="905" t="s">
        <v>131</v>
      </c>
      <c r="D34" s="907">
        <v>0.2</v>
      </c>
      <c r="E34" s="906"/>
      <c r="F34" s="857"/>
      <c r="G34" s="857"/>
      <c r="H34" s="857"/>
      <c r="I34" s="857"/>
      <c r="J34" s="1055">
        <v>2</v>
      </c>
      <c r="K34" s="1051" t="str">
        <f>CF!C41</f>
        <v>Equity NPV</v>
      </c>
      <c r="L34" s="1057" t="s">
        <v>169</v>
      </c>
      <c r="M34" s="1059">
        <f ca="1">CF!D41</f>
        <v>900.32263615891577</v>
      </c>
      <c r="N34" s="761"/>
      <c r="Q34" s="1024"/>
      <c r="R34" s="1569" t="s">
        <v>170</v>
      </c>
      <c r="S34" s="1570">
        <f ca="1">'Project OPEX'!D54</f>
        <v>0.28220195235541246</v>
      </c>
    </row>
    <row r="35" spans="2:19" ht="14">
      <c r="B35" s="908" t="s">
        <v>171</v>
      </c>
      <c r="C35" s="909" t="s">
        <v>131</v>
      </c>
      <c r="D35" s="910">
        <v>0.2</v>
      </c>
      <c r="E35" s="911"/>
      <c r="F35" s="857"/>
      <c r="G35" s="857"/>
      <c r="H35" s="857"/>
      <c r="I35" s="857"/>
      <c r="J35" s="864"/>
      <c r="M35" s="626"/>
    </row>
    <row r="36" spans="2:19" ht="16">
      <c r="B36" s="1087" t="s">
        <v>172</v>
      </c>
      <c r="C36" s="1088"/>
      <c r="D36" s="1088"/>
      <c r="E36" s="867"/>
      <c r="F36" s="850"/>
      <c r="G36" s="850"/>
      <c r="H36" s="850"/>
      <c r="I36" s="850"/>
      <c r="J36" s="1055">
        <v>3</v>
      </c>
      <c r="K36" s="1051" t="str">
        <f>CF!C18</f>
        <v>Project IRR</v>
      </c>
      <c r="L36" s="1057" t="s">
        <v>131</v>
      </c>
      <c r="M36" s="1052">
        <f ca="1">CF!D18</f>
        <v>0.15815963774079345</v>
      </c>
    </row>
    <row r="37" spans="2:19" ht="16">
      <c r="B37" s="1092" t="s">
        <v>173</v>
      </c>
      <c r="C37" s="1553" t="s">
        <v>174</v>
      </c>
      <c r="D37" s="1093" t="s">
        <v>175</v>
      </c>
      <c r="E37" s="1553" t="s">
        <v>90</v>
      </c>
      <c r="F37" s="721"/>
      <c r="G37" s="721"/>
      <c r="H37" s="721"/>
      <c r="I37" s="721"/>
      <c r="J37" s="1056">
        <v>4</v>
      </c>
      <c r="K37" s="1053" t="str">
        <f>CF!C19</f>
        <v>Project NPV</v>
      </c>
      <c r="L37" s="1058" t="s">
        <v>169</v>
      </c>
      <c r="M37" s="1054">
        <f ca="1">CF!D19</f>
        <v>900.32263615891577</v>
      </c>
    </row>
    <row r="38" spans="2:19" ht="14">
      <c r="B38" s="912" t="s">
        <v>176</v>
      </c>
      <c r="C38" s="1094" t="s">
        <v>177</v>
      </c>
      <c r="D38" s="913">
        <v>6000000</v>
      </c>
      <c r="E38" s="914" t="s">
        <v>178</v>
      </c>
      <c r="F38" s="848"/>
      <c r="G38" s="848"/>
      <c r="H38" s="848"/>
      <c r="I38" s="848"/>
      <c r="N38" s="721"/>
      <c r="O38" s="721"/>
    </row>
    <row r="39" spans="2:19" ht="14">
      <c r="B39" s="912" t="s">
        <v>179</v>
      </c>
      <c r="C39" s="915" t="s">
        <v>180</v>
      </c>
      <c r="D39" s="916">
        <v>4500000</v>
      </c>
      <c r="E39" s="914" t="s">
        <v>178</v>
      </c>
      <c r="F39" s="848"/>
      <c r="G39" s="848"/>
      <c r="H39" s="848"/>
      <c r="I39" s="848"/>
      <c r="N39" s="722"/>
      <c r="O39" s="722"/>
    </row>
    <row r="40" spans="2:19" ht="14">
      <c r="B40" s="912" t="s">
        <v>181</v>
      </c>
      <c r="C40" s="915" t="s">
        <v>182</v>
      </c>
      <c r="D40" s="916">
        <v>4000000</v>
      </c>
      <c r="E40" s="914" t="s">
        <v>178</v>
      </c>
      <c r="F40" s="848"/>
      <c r="G40" s="848"/>
      <c r="H40" s="848"/>
      <c r="I40" s="848"/>
      <c r="N40" s="722"/>
      <c r="O40" s="722"/>
    </row>
    <row r="41" spans="2:19" ht="14">
      <c r="B41" s="912" t="s">
        <v>183</v>
      </c>
      <c r="C41" s="915" t="s">
        <v>184</v>
      </c>
      <c r="D41" s="916">
        <v>3500000</v>
      </c>
      <c r="E41" s="914" t="s">
        <v>178</v>
      </c>
      <c r="F41" s="848"/>
      <c r="G41" s="848"/>
      <c r="H41" s="848"/>
      <c r="I41" s="848"/>
      <c r="N41" s="722"/>
      <c r="O41" s="722"/>
    </row>
    <row r="42" spans="2:19" ht="14">
      <c r="B42" s="912" t="s">
        <v>185</v>
      </c>
      <c r="C42" s="915" t="s">
        <v>186</v>
      </c>
      <c r="D42" s="916">
        <v>2500000</v>
      </c>
      <c r="E42" s="914" t="s">
        <v>178</v>
      </c>
      <c r="F42" s="848"/>
      <c r="G42" s="848"/>
      <c r="H42" s="848"/>
      <c r="I42" s="848"/>
      <c r="N42" s="723"/>
      <c r="O42" s="723"/>
    </row>
    <row r="43" spans="2:19" ht="14">
      <c r="B43" s="912" t="s">
        <v>187</v>
      </c>
      <c r="C43" s="915" t="s">
        <v>188</v>
      </c>
      <c r="D43" s="916">
        <v>1800000</v>
      </c>
      <c r="E43" s="914" t="s">
        <v>178</v>
      </c>
      <c r="F43" s="848"/>
      <c r="G43" s="848"/>
      <c r="H43" s="848"/>
      <c r="I43" s="848"/>
      <c r="N43" s="723"/>
      <c r="O43" s="723"/>
    </row>
    <row r="44" spans="2:19" ht="14">
      <c r="B44" s="912" t="s">
        <v>189</v>
      </c>
      <c r="C44" s="915" t="s">
        <v>190</v>
      </c>
      <c r="D44" s="916">
        <v>1500000</v>
      </c>
      <c r="E44" s="914" t="s">
        <v>178</v>
      </c>
      <c r="F44" s="848"/>
      <c r="G44" s="848"/>
      <c r="H44" s="848"/>
      <c r="I44" s="848"/>
      <c r="N44" s="722"/>
      <c r="O44" s="722"/>
    </row>
    <row r="45" spans="2:19" ht="14">
      <c r="B45" s="912" t="s">
        <v>191</v>
      </c>
      <c r="C45" s="915" t="s">
        <v>192</v>
      </c>
      <c r="D45" s="916">
        <v>1235000</v>
      </c>
      <c r="E45" s="914" t="s">
        <v>178</v>
      </c>
      <c r="F45" s="848"/>
      <c r="G45" s="848"/>
      <c r="H45" s="848"/>
      <c r="I45" s="848"/>
      <c r="N45" s="724"/>
      <c r="O45" s="724"/>
    </row>
    <row r="46" spans="2:19" ht="14">
      <c r="B46" s="912" t="s">
        <v>193</v>
      </c>
      <c r="C46" s="915" t="s">
        <v>194</v>
      </c>
      <c r="D46" s="916">
        <v>960000</v>
      </c>
      <c r="E46" s="914" t="s">
        <v>178</v>
      </c>
      <c r="F46" s="848"/>
      <c r="G46" s="848"/>
      <c r="H46" s="848"/>
      <c r="I46" s="848"/>
    </row>
    <row r="47" spans="2:19" ht="14">
      <c r="B47" s="917" t="s">
        <v>195</v>
      </c>
      <c r="C47" s="918" t="s">
        <v>196</v>
      </c>
      <c r="D47" s="769">
        <v>750000</v>
      </c>
      <c r="E47" s="914" t="s">
        <v>178</v>
      </c>
      <c r="F47" s="848"/>
      <c r="G47" s="848"/>
      <c r="H47" s="848"/>
      <c r="I47" s="848"/>
      <c r="N47" s="721"/>
      <c r="O47" s="721"/>
    </row>
    <row r="48" spans="2:19" ht="14">
      <c r="B48" s="912" t="s">
        <v>176</v>
      </c>
      <c r="C48" s="919" t="s">
        <v>197</v>
      </c>
      <c r="D48" s="1095">
        <v>7000000</v>
      </c>
      <c r="E48" s="920" t="s">
        <v>198</v>
      </c>
      <c r="F48" s="848"/>
      <c r="G48" s="848"/>
      <c r="H48" s="848"/>
      <c r="I48" s="848"/>
      <c r="M48" s="1521"/>
      <c r="N48" s="1522"/>
      <c r="O48" s="721"/>
      <c r="P48" s="94"/>
      <c r="Q48" s="95"/>
      <c r="R48" s="94"/>
      <c r="S48" s="95"/>
    </row>
    <row r="49" spans="2:9" ht="14">
      <c r="B49" s="912" t="s">
        <v>179</v>
      </c>
      <c r="C49" s="921" t="s">
        <v>199</v>
      </c>
      <c r="D49" s="667">
        <v>5500000</v>
      </c>
      <c r="E49" s="914" t="s">
        <v>198</v>
      </c>
      <c r="F49" s="848"/>
      <c r="G49" s="848"/>
      <c r="H49" s="848"/>
      <c r="I49" s="848"/>
    </row>
    <row r="50" spans="2:9" ht="14">
      <c r="B50" s="912" t="s">
        <v>181</v>
      </c>
      <c r="C50" s="921" t="s">
        <v>200</v>
      </c>
      <c r="D50" s="667">
        <v>4000000</v>
      </c>
      <c r="E50" s="914" t="s">
        <v>198</v>
      </c>
      <c r="F50" s="848"/>
      <c r="G50" s="848"/>
      <c r="H50" s="848"/>
      <c r="I50" s="848"/>
    </row>
    <row r="51" spans="2:9" ht="14">
      <c r="B51" s="912" t="s">
        <v>183</v>
      </c>
      <c r="C51" s="921" t="s">
        <v>201</v>
      </c>
      <c r="D51" s="667">
        <v>3500000</v>
      </c>
      <c r="E51" s="914" t="s">
        <v>198</v>
      </c>
      <c r="F51" s="848"/>
      <c r="G51" s="848"/>
      <c r="H51" s="848"/>
      <c r="I51" s="848"/>
    </row>
    <row r="52" spans="2:9" ht="14">
      <c r="B52" s="912" t="s">
        <v>185</v>
      </c>
      <c r="C52" s="921" t="s">
        <v>202</v>
      </c>
      <c r="D52" s="667">
        <v>2500000</v>
      </c>
      <c r="E52" s="914" t="s">
        <v>198</v>
      </c>
      <c r="F52" s="848"/>
      <c r="G52" s="848"/>
      <c r="H52" s="848"/>
      <c r="I52" s="848"/>
    </row>
    <row r="53" spans="2:9" ht="21">
      <c r="B53" s="912" t="s">
        <v>187</v>
      </c>
      <c r="C53" s="921" t="s">
        <v>203</v>
      </c>
      <c r="D53" s="667">
        <v>1800000</v>
      </c>
      <c r="E53" s="914" t="s">
        <v>198</v>
      </c>
      <c r="F53" s="848"/>
      <c r="G53" s="1712">
        <f ca="1">L106</f>
        <v>59.35</v>
      </c>
      <c r="H53" s="1712"/>
      <c r="I53" s="1588" t="s">
        <v>134</v>
      </c>
    </row>
    <row r="54" spans="2:9" ht="14">
      <c r="B54" s="912" t="s">
        <v>189</v>
      </c>
      <c r="C54" s="921" t="s">
        <v>204</v>
      </c>
      <c r="D54" s="667">
        <v>1500000</v>
      </c>
      <c r="E54" s="914" t="s">
        <v>198</v>
      </c>
      <c r="F54" s="848"/>
      <c r="G54" s="848"/>
      <c r="H54" s="848"/>
      <c r="I54" s="848"/>
    </row>
    <row r="55" spans="2:9" ht="14">
      <c r="B55" s="912" t="s">
        <v>191</v>
      </c>
      <c r="C55" s="921" t="s">
        <v>205</v>
      </c>
      <c r="D55" s="667">
        <v>1235000</v>
      </c>
      <c r="E55" s="914" t="s">
        <v>198</v>
      </c>
      <c r="F55" s="848"/>
      <c r="G55" s="848"/>
      <c r="H55" s="848"/>
      <c r="I55" s="848"/>
    </row>
    <row r="56" spans="2:9" ht="14">
      <c r="B56" s="912" t="s">
        <v>193</v>
      </c>
      <c r="C56" s="921" t="s">
        <v>206</v>
      </c>
      <c r="D56" s="667">
        <v>960000</v>
      </c>
      <c r="E56" s="914" t="s">
        <v>198</v>
      </c>
      <c r="F56" s="848"/>
      <c r="G56" s="848"/>
      <c r="H56" s="848"/>
      <c r="I56" s="848"/>
    </row>
    <row r="57" spans="2:9" ht="14">
      <c r="B57" s="917" t="s">
        <v>195</v>
      </c>
      <c r="C57" s="922" t="s">
        <v>207</v>
      </c>
      <c r="D57" s="667">
        <v>750000</v>
      </c>
      <c r="E57" s="923" t="s">
        <v>198</v>
      </c>
      <c r="F57" s="848"/>
      <c r="G57" s="848"/>
      <c r="H57" s="848"/>
      <c r="I57" s="848"/>
    </row>
    <row r="58" spans="2:9" ht="14">
      <c r="B58" s="1552" t="s">
        <v>208</v>
      </c>
      <c r="C58" s="924"/>
      <c r="D58" s="1096"/>
      <c r="E58" s="925"/>
      <c r="F58" s="721"/>
      <c r="G58" s="721"/>
      <c r="H58" s="721"/>
      <c r="I58" s="721"/>
    </row>
    <row r="59" spans="2:9" ht="14">
      <c r="B59" s="912" t="s">
        <v>209</v>
      </c>
      <c r="C59" s="915" t="s">
        <v>210</v>
      </c>
      <c r="D59" s="913">
        <v>900000</v>
      </c>
      <c r="E59" s="914" t="s">
        <v>178</v>
      </c>
      <c r="F59" s="848"/>
      <c r="G59" s="848"/>
      <c r="H59" s="848"/>
      <c r="I59" s="848"/>
    </row>
    <row r="60" spans="2:9" ht="14">
      <c r="B60" s="912" t="s">
        <v>209</v>
      </c>
      <c r="C60" s="915" t="s">
        <v>211</v>
      </c>
      <c r="D60" s="916">
        <v>780000</v>
      </c>
      <c r="E60" s="914" t="s">
        <v>178</v>
      </c>
      <c r="F60" s="848"/>
      <c r="G60" s="848"/>
      <c r="H60" s="848"/>
      <c r="I60" s="848"/>
    </row>
    <row r="61" spans="2:9" ht="14">
      <c r="B61" s="912" t="s">
        <v>209</v>
      </c>
      <c r="C61" s="915" t="s">
        <v>212</v>
      </c>
      <c r="D61" s="916">
        <v>670000</v>
      </c>
      <c r="E61" s="914" t="s">
        <v>178</v>
      </c>
      <c r="F61" s="848"/>
      <c r="G61" s="848"/>
      <c r="H61" s="848"/>
      <c r="I61" s="848"/>
    </row>
    <row r="62" spans="2:9" ht="14">
      <c r="B62" s="912" t="s">
        <v>209</v>
      </c>
      <c r="C62" s="915" t="s">
        <v>213</v>
      </c>
      <c r="D62" s="916">
        <v>400000</v>
      </c>
      <c r="E62" s="713" t="s">
        <v>214</v>
      </c>
      <c r="F62" s="848"/>
      <c r="G62" s="848"/>
      <c r="H62" s="848"/>
      <c r="I62" s="848"/>
    </row>
    <row r="63" spans="2:9" ht="14">
      <c r="B63" s="912" t="s">
        <v>215</v>
      </c>
      <c r="C63" s="915" t="s">
        <v>216</v>
      </c>
      <c r="D63" s="916">
        <v>610000</v>
      </c>
      <c r="E63" s="713" t="str">
        <f>E73</f>
        <v>HPC Wage/ SRK In-house databasr</v>
      </c>
      <c r="F63" s="848"/>
      <c r="G63" s="848"/>
      <c r="H63" s="848"/>
      <c r="I63" s="848"/>
    </row>
    <row r="64" spans="2:9" ht="14">
      <c r="B64" s="912" t="s">
        <v>217</v>
      </c>
      <c r="C64" s="915" t="s">
        <v>218</v>
      </c>
      <c r="D64" s="916">
        <v>600000</v>
      </c>
      <c r="E64" s="713" t="str">
        <f>E74</f>
        <v>HPC Wage/ SRK In-house databasr</v>
      </c>
      <c r="F64" s="848"/>
      <c r="G64" s="848"/>
      <c r="H64" s="848"/>
      <c r="I64" s="848"/>
    </row>
    <row r="65" spans="2:26" ht="14">
      <c r="B65" s="912" t="s">
        <v>219</v>
      </c>
      <c r="C65" s="915" t="s">
        <v>220</v>
      </c>
      <c r="D65" s="916">
        <v>600000</v>
      </c>
      <c r="E65" s="713" t="str">
        <f>E76</f>
        <v>HPC Wage/ SRK In-house databasr</v>
      </c>
      <c r="F65" s="848"/>
      <c r="G65" s="848"/>
      <c r="H65" s="848"/>
      <c r="I65" s="848"/>
      <c r="P65" s="94"/>
      <c r="Q65" s="95"/>
      <c r="R65" s="94"/>
      <c r="S65" s="95"/>
      <c r="U65" s="726"/>
      <c r="V65" s="726"/>
      <c r="W65" s="726"/>
      <c r="X65" s="94"/>
      <c r="Y65" s="94"/>
      <c r="Z65" s="94"/>
    </row>
    <row r="66" spans="2:26" ht="12.75" customHeight="1">
      <c r="B66" s="1092" t="s">
        <v>221</v>
      </c>
      <c r="C66" s="1554"/>
      <c r="D66" s="1553"/>
      <c r="E66" s="926"/>
      <c r="F66" s="721"/>
      <c r="G66" s="721"/>
      <c r="H66" s="721"/>
      <c r="I66" s="721"/>
      <c r="N66" s="759"/>
      <c r="O66" s="759"/>
      <c r="P66" s="759"/>
      <c r="Q66" s="760"/>
      <c r="R66" s="94"/>
      <c r="S66" s="759"/>
      <c r="U66" s="760"/>
      <c r="V66" s="760"/>
      <c r="W66" s="94"/>
      <c r="X66" s="759"/>
      <c r="Y66" s="760"/>
      <c r="Z66" s="94"/>
    </row>
    <row r="67" spans="2:26" ht="25">
      <c r="B67" s="1097" t="s">
        <v>222</v>
      </c>
      <c r="C67" s="919" t="s">
        <v>223</v>
      </c>
      <c r="D67" s="916">
        <v>420000</v>
      </c>
      <c r="E67" s="927" t="s">
        <v>224</v>
      </c>
      <c r="F67" s="848"/>
      <c r="G67" s="848"/>
      <c r="H67" s="848"/>
      <c r="I67" s="848"/>
      <c r="J67" s="1589"/>
      <c r="K67" s="1591">
        <f ca="1">L112</f>
        <v>878.30792239324614</v>
      </c>
      <c r="L67" s="1588" t="s">
        <v>275</v>
      </c>
      <c r="P67" s="94"/>
      <c r="Q67" s="1589">
        <f ca="1">L110</f>
        <v>435.83284286857162</v>
      </c>
      <c r="R67" s="1588" t="s">
        <v>275</v>
      </c>
      <c r="S67" s="95"/>
      <c r="U67" s="1589">
        <f>L111</f>
        <v>442.47507952467447</v>
      </c>
      <c r="V67" s="1588" t="s">
        <v>275</v>
      </c>
      <c r="W67" s="726"/>
      <c r="X67" s="94"/>
      <c r="Y67" s="191"/>
      <c r="Z67" s="191"/>
    </row>
    <row r="68" spans="2:26" ht="14">
      <c r="B68" s="912" t="s">
        <v>225</v>
      </c>
      <c r="C68" s="921" t="s">
        <v>226</v>
      </c>
      <c r="D68" s="916">
        <v>360000</v>
      </c>
      <c r="E68" s="928" t="s">
        <v>224</v>
      </c>
      <c r="F68" s="848"/>
      <c r="G68" s="848"/>
      <c r="H68" s="848"/>
      <c r="I68" s="848"/>
      <c r="P68" s="94"/>
      <c r="Q68" s="95"/>
      <c r="R68" s="94"/>
      <c r="S68" s="95"/>
      <c r="T68" s="726"/>
      <c r="U68" s="726"/>
      <c r="V68" s="726"/>
      <c r="W68" s="726"/>
      <c r="X68" s="1710"/>
      <c r="Y68" s="1710"/>
      <c r="Z68" s="1710"/>
    </row>
    <row r="69" spans="2:26" ht="14">
      <c r="B69" s="912" t="s">
        <v>227</v>
      </c>
      <c r="C69" s="921" t="s">
        <v>228</v>
      </c>
      <c r="D69" s="916">
        <v>300000</v>
      </c>
      <c r="E69" s="928" t="s">
        <v>224</v>
      </c>
      <c r="F69" s="848"/>
      <c r="G69" s="848"/>
      <c r="H69" s="848"/>
      <c r="I69" s="848"/>
      <c r="P69" s="94"/>
      <c r="Q69" s="95"/>
      <c r="R69" s="94"/>
      <c r="S69" s="95"/>
      <c r="T69" s="726"/>
      <c r="U69" s="726"/>
      <c r="V69" s="726"/>
      <c r="W69" s="726"/>
      <c r="X69" s="94"/>
      <c r="Y69" s="94"/>
      <c r="Z69" s="94"/>
    </row>
    <row r="70" spans="2:26" ht="14">
      <c r="B70" s="912" t="s">
        <v>229</v>
      </c>
      <c r="C70" s="921" t="s">
        <v>230</v>
      </c>
      <c r="D70" s="916">
        <v>240000</v>
      </c>
      <c r="E70" s="928" t="s">
        <v>224</v>
      </c>
      <c r="F70" s="848"/>
      <c r="G70" s="848"/>
      <c r="H70" s="848"/>
      <c r="I70" s="848"/>
      <c r="P70" s="94"/>
      <c r="Q70" s="95"/>
      <c r="R70" s="94"/>
      <c r="S70" s="95"/>
      <c r="T70" s="726"/>
      <c r="U70" s="726"/>
      <c r="V70" s="726"/>
      <c r="W70" s="726"/>
      <c r="X70" s="94"/>
      <c r="Y70" s="94"/>
      <c r="Z70" s="94"/>
    </row>
    <row r="71" spans="2:26" ht="14">
      <c r="B71" s="929" t="s">
        <v>231</v>
      </c>
      <c r="C71" s="921" t="s">
        <v>232</v>
      </c>
      <c r="D71" s="916">
        <v>320000</v>
      </c>
      <c r="E71" s="928" t="s">
        <v>224</v>
      </c>
      <c r="F71" s="848"/>
      <c r="G71" s="848"/>
      <c r="H71" s="848"/>
      <c r="I71" s="848"/>
      <c r="M71" s="84"/>
      <c r="P71" s="94"/>
      <c r="Q71" s="95"/>
      <c r="R71" s="94"/>
      <c r="S71" s="95"/>
      <c r="T71" s="265"/>
      <c r="U71" s="265"/>
      <c r="V71" s="265"/>
      <c r="W71" s="265"/>
      <c r="X71" s="94"/>
      <c r="Y71" s="94"/>
      <c r="Z71" s="94"/>
    </row>
    <row r="72" spans="2:26" ht="14">
      <c r="B72" s="912" t="s">
        <v>233</v>
      </c>
      <c r="C72" s="921" t="s">
        <v>234</v>
      </c>
      <c r="D72" s="769">
        <v>300000</v>
      </c>
      <c r="E72" s="767" t="s">
        <v>224</v>
      </c>
      <c r="F72" s="848"/>
      <c r="G72" s="848"/>
      <c r="H72" s="848"/>
      <c r="I72" s="848"/>
      <c r="L72" s="84"/>
      <c r="M72" s="84"/>
      <c r="P72" s="94"/>
      <c r="Q72" s="95"/>
      <c r="R72" s="94"/>
      <c r="S72" s="95"/>
      <c r="T72" s="305"/>
      <c r="U72" s="305"/>
      <c r="V72" s="305"/>
      <c r="W72" s="305"/>
      <c r="X72" s="94"/>
      <c r="Y72" s="94"/>
      <c r="Z72" s="94"/>
    </row>
    <row r="73" spans="2:26" ht="14">
      <c r="B73" s="1097" t="s">
        <v>222</v>
      </c>
      <c r="C73" s="919" t="s">
        <v>235</v>
      </c>
      <c r="D73" s="916">
        <v>610000</v>
      </c>
      <c r="E73" s="930" t="s">
        <v>236</v>
      </c>
      <c r="F73" s="858"/>
      <c r="G73" s="858"/>
      <c r="H73" s="858"/>
      <c r="I73" s="858"/>
      <c r="L73" s="84"/>
      <c r="M73" s="84"/>
      <c r="P73" s="94"/>
      <c r="Q73" s="95"/>
      <c r="R73" s="94"/>
      <c r="S73" s="95"/>
      <c r="T73" s="305"/>
      <c r="U73" s="305"/>
      <c r="V73" s="305"/>
      <c r="W73" s="305"/>
      <c r="X73" s="94"/>
      <c r="Y73" s="94"/>
      <c r="Z73" s="94"/>
    </row>
    <row r="74" spans="2:26" ht="14">
      <c r="B74" s="912" t="s">
        <v>237</v>
      </c>
      <c r="C74" s="921" t="s">
        <v>238</v>
      </c>
      <c r="D74" s="916">
        <v>600000</v>
      </c>
      <c r="E74" s="931" t="s">
        <v>236</v>
      </c>
      <c r="F74" s="858"/>
      <c r="G74" s="858"/>
      <c r="H74" s="858"/>
      <c r="I74" s="858"/>
      <c r="L74" s="84"/>
      <c r="M74" s="84"/>
      <c r="P74" s="94"/>
      <c r="Q74" s="95"/>
      <c r="R74" s="94"/>
      <c r="S74" s="95"/>
      <c r="T74" s="305"/>
      <c r="U74" s="305"/>
      <c r="V74" s="305"/>
      <c r="W74" s="305"/>
      <c r="X74" s="94"/>
      <c r="Y74" s="94"/>
      <c r="Z74" s="94"/>
    </row>
    <row r="75" spans="2:26" ht="14">
      <c r="B75" s="912" t="s">
        <v>227</v>
      </c>
      <c r="C75" s="921" t="s">
        <v>239</v>
      </c>
      <c r="D75" s="916">
        <v>580000</v>
      </c>
      <c r="E75" s="931" t="s">
        <v>236</v>
      </c>
      <c r="F75" s="858"/>
      <c r="G75" s="858"/>
      <c r="H75" s="858"/>
      <c r="I75" s="858"/>
      <c r="L75" s="84"/>
      <c r="M75" s="84"/>
      <c r="P75" s="94"/>
      <c r="Q75" s="95"/>
      <c r="R75" s="94"/>
      <c r="S75" s="95"/>
      <c r="T75" s="305"/>
      <c r="U75" s="305"/>
      <c r="V75" s="305"/>
      <c r="W75" s="305"/>
      <c r="X75" s="94"/>
      <c r="Y75" s="94"/>
      <c r="Z75" s="94"/>
    </row>
    <row r="76" spans="2:26" ht="14">
      <c r="B76" s="917" t="s">
        <v>229</v>
      </c>
      <c r="C76" s="922" t="s">
        <v>240</v>
      </c>
      <c r="D76" s="769">
        <v>570000</v>
      </c>
      <c r="E76" s="768" t="s">
        <v>236</v>
      </c>
      <c r="F76" s="858"/>
      <c r="G76" s="858"/>
      <c r="H76" s="858"/>
      <c r="I76" s="858"/>
      <c r="L76" s="84"/>
      <c r="M76" s="84"/>
      <c r="P76" s="94"/>
      <c r="Q76" s="95"/>
      <c r="R76" s="94"/>
      <c r="S76" s="95"/>
      <c r="T76" s="305"/>
      <c r="U76" s="305"/>
      <c r="V76" s="305"/>
      <c r="W76" s="305"/>
      <c r="X76" s="94"/>
      <c r="Y76" s="94"/>
      <c r="Z76" s="94"/>
    </row>
    <row r="77" spans="2:26">
      <c r="B77" s="912"/>
      <c r="C77" s="376"/>
      <c r="D77" s="383"/>
      <c r="E77" s="932"/>
      <c r="F77" s="866"/>
      <c r="G77" s="866"/>
      <c r="H77" s="866"/>
      <c r="I77" s="866"/>
      <c r="J77" s="92"/>
      <c r="K77" s="384"/>
      <c r="L77" s="84"/>
      <c r="M77" s="84"/>
      <c r="P77" s="94"/>
      <c r="Q77" s="95"/>
      <c r="R77" s="94"/>
      <c r="S77" s="95"/>
      <c r="T77" s="94">
        <v>1</v>
      </c>
      <c r="U77" s="305"/>
      <c r="V77" s="305"/>
      <c r="W77" s="305"/>
      <c r="X77" s="94"/>
      <c r="Y77" s="94"/>
      <c r="Z77" s="94"/>
    </row>
    <row r="78" spans="2:26" ht="14">
      <c r="B78" s="1087" t="s">
        <v>241</v>
      </c>
      <c r="C78" s="1089"/>
      <c r="D78" s="1089"/>
      <c r="E78" s="933"/>
      <c r="F78" s="549"/>
      <c r="G78" s="549"/>
      <c r="H78" s="549"/>
      <c r="I78" s="549"/>
      <c r="J78" s="84"/>
      <c r="K78" s="1470" t="s">
        <v>129</v>
      </c>
      <c r="L78" s="1578" t="s">
        <v>134</v>
      </c>
      <c r="M78" s="726"/>
      <c r="P78" s="94"/>
      <c r="Q78" s="95"/>
      <c r="R78" s="94"/>
      <c r="S78" s="95"/>
      <c r="T78" s="94">
        <f>T77+0.1</f>
        <v>1.1000000000000001</v>
      </c>
      <c r="U78" s="726"/>
      <c r="V78" s="726"/>
      <c r="W78" s="726"/>
      <c r="X78" s="94"/>
      <c r="Y78" s="94"/>
      <c r="Z78" s="94"/>
    </row>
    <row r="79" spans="2:26" ht="14">
      <c r="B79" s="934" t="s">
        <v>34</v>
      </c>
      <c r="C79" s="1553" t="s">
        <v>88</v>
      </c>
      <c r="D79" s="926" t="s">
        <v>89</v>
      </c>
      <c r="E79" s="1553" t="s">
        <v>90</v>
      </c>
      <c r="F79" s="721"/>
      <c r="G79" s="721"/>
      <c r="H79" s="721"/>
      <c r="I79" s="721"/>
      <c r="J79" s="84"/>
      <c r="K79" s="1571" t="s">
        <v>242</v>
      </c>
      <c r="L79" s="1579">
        <f ca="1">M15+M16</f>
        <v>313.19704000000002</v>
      </c>
      <c r="M79" s="726"/>
      <c r="P79" s="94"/>
      <c r="S79" s="95"/>
      <c r="T79" s="94">
        <f t="shared" ref="T79:T92" si="4">T78+0.1</f>
        <v>1.2000000000000002</v>
      </c>
      <c r="V79" s="726"/>
      <c r="W79" s="726"/>
      <c r="X79" s="94"/>
      <c r="Y79" s="94"/>
      <c r="Z79" s="94"/>
    </row>
    <row r="80" spans="2:26" ht="14">
      <c r="B80" s="900" t="s">
        <v>243</v>
      </c>
      <c r="C80" s="935" t="s">
        <v>125</v>
      </c>
      <c r="D80" s="1098">
        <v>2</v>
      </c>
      <c r="E80" s="835" t="s">
        <v>178</v>
      </c>
      <c r="F80" s="199"/>
      <c r="G80" s="199"/>
      <c r="H80" s="199"/>
      <c r="I80" s="199"/>
      <c r="J80" s="84"/>
      <c r="K80" s="1572" t="s">
        <v>244</v>
      </c>
      <c r="L80" s="1580">
        <f>M17+M18</f>
        <v>2033.6480487587787</v>
      </c>
      <c r="M80" s="726"/>
      <c r="N80" s="770"/>
      <c r="O80" s="770"/>
      <c r="P80" s="94"/>
      <c r="S80" s="95"/>
      <c r="T80" s="94">
        <f t="shared" si="4"/>
        <v>1.3000000000000003</v>
      </c>
      <c r="V80" s="726"/>
      <c r="W80" s="726"/>
      <c r="X80" s="94"/>
      <c r="Y80" s="94"/>
      <c r="Z80" s="94"/>
    </row>
    <row r="81" spans="2:20" ht="14">
      <c r="B81" s="904" t="s">
        <v>245</v>
      </c>
      <c r="C81" s="935" t="s">
        <v>131</v>
      </c>
      <c r="D81" s="936">
        <v>0.15</v>
      </c>
      <c r="E81" s="835" t="s">
        <v>178</v>
      </c>
      <c r="F81" s="199"/>
      <c r="G81" s="199"/>
      <c r="H81" s="199"/>
      <c r="I81" s="199"/>
      <c r="J81" s="84"/>
      <c r="K81" s="1572" t="s">
        <v>246</v>
      </c>
      <c r="L81" s="1580">
        <f>M19</f>
        <v>701.5158371549536</v>
      </c>
      <c r="M81" s="726"/>
      <c r="N81" s="771"/>
      <c r="O81" s="771"/>
      <c r="P81" s="94"/>
      <c r="S81" s="95"/>
      <c r="T81" s="94">
        <f t="shared" si="4"/>
        <v>1.4000000000000004</v>
      </c>
    </row>
    <row r="82" spans="2:20" ht="14">
      <c r="B82" s="904" t="s">
        <v>247</v>
      </c>
      <c r="C82" s="935" t="s">
        <v>164</v>
      </c>
      <c r="D82" s="937">
        <v>1.1000000000000001</v>
      </c>
      <c r="E82" s="835" t="s">
        <v>178</v>
      </c>
      <c r="F82" s="199"/>
      <c r="G82" s="199"/>
      <c r="H82" s="199"/>
      <c r="I82" s="199"/>
      <c r="J82" s="84"/>
      <c r="K82" s="1572" t="s">
        <v>248</v>
      </c>
      <c r="L82" s="1580">
        <f>M20+M22+M24+M23</f>
        <v>567.91000000000008</v>
      </c>
      <c r="M82" s="726"/>
      <c r="N82" s="771"/>
      <c r="O82" s="771"/>
      <c r="P82" s="94"/>
      <c r="S82" s="95"/>
      <c r="T82" s="94">
        <f t="shared" si="4"/>
        <v>1.5000000000000004</v>
      </c>
    </row>
    <row r="83" spans="2:20" ht="14">
      <c r="B83" s="938" t="s">
        <v>249</v>
      </c>
      <c r="C83" s="71" t="s">
        <v>250</v>
      </c>
      <c r="D83" s="939">
        <v>600</v>
      </c>
      <c r="E83" s="835" t="s">
        <v>178</v>
      </c>
      <c r="F83" s="199"/>
      <c r="G83" s="199"/>
      <c r="H83" s="199"/>
      <c r="I83" s="199"/>
      <c r="J83" s="84"/>
      <c r="K83" s="1572" t="s">
        <v>251</v>
      </c>
      <c r="L83" s="1580">
        <f>M21</f>
        <v>540</v>
      </c>
      <c r="M83" s="726"/>
      <c r="N83" s="771"/>
      <c r="O83" s="771"/>
      <c r="P83" s="94"/>
      <c r="S83" s="95"/>
      <c r="T83" s="94">
        <f t="shared" si="4"/>
        <v>1.6000000000000005</v>
      </c>
    </row>
    <row r="84" spans="2:20" ht="14">
      <c r="B84" s="938" t="s">
        <v>252</v>
      </c>
      <c r="C84" s="71" t="s">
        <v>250</v>
      </c>
      <c r="D84" s="939">
        <v>500</v>
      </c>
      <c r="E84" s="835" t="s">
        <v>178</v>
      </c>
      <c r="F84" s="199"/>
      <c r="G84" s="199"/>
      <c r="H84" s="199"/>
      <c r="I84" s="199"/>
      <c r="J84" s="84"/>
      <c r="K84" s="1572" t="s">
        <v>253</v>
      </c>
      <c r="L84" s="1580">
        <f ca="1">M26+M27+M25+M29</f>
        <v>59.35</v>
      </c>
      <c r="M84" s="726"/>
      <c r="N84" s="771"/>
      <c r="O84" s="771"/>
      <c r="P84" s="94"/>
      <c r="S84" s="95"/>
      <c r="T84" s="94">
        <f t="shared" si="4"/>
        <v>1.7000000000000006</v>
      </c>
    </row>
    <row r="85" spans="2:20" ht="14">
      <c r="B85" s="938" t="s">
        <v>254</v>
      </c>
      <c r="C85" s="71" t="s">
        <v>250</v>
      </c>
      <c r="D85" s="939">
        <v>400</v>
      </c>
      <c r="E85" s="835" t="s">
        <v>178</v>
      </c>
      <c r="F85" s="199"/>
      <c r="G85" s="199"/>
      <c r="H85" s="199"/>
      <c r="I85" s="199"/>
      <c r="J85" s="84"/>
      <c r="K85" s="1572" t="s">
        <v>255</v>
      </c>
      <c r="L85" s="1580">
        <f ca="1">M28</f>
        <v>617.48263888705969</v>
      </c>
      <c r="M85" s="726"/>
      <c r="N85" s="771"/>
      <c r="O85" s="771"/>
      <c r="P85" s="94"/>
      <c r="S85" s="95"/>
      <c r="T85" s="94">
        <f t="shared" si="4"/>
        <v>1.8000000000000007</v>
      </c>
    </row>
    <row r="86" spans="2:20" ht="14">
      <c r="B86" s="938" t="s">
        <v>256</v>
      </c>
      <c r="C86" s="71" t="s">
        <v>257</v>
      </c>
      <c r="D86" s="939">
        <v>30</v>
      </c>
      <c r="E86" s="940" t="s">
        <v>178</v>
      </c>
      <c r="F86" s="199"/>
      <c r="G86" s="199"/>
      <c r="H86" s="199"/>
      <c r="I86" s="199"/>
      <c r="J86" s="71"/>
      <c r="K86" s="1572"/>
      <c r="L86" s="1580"/>
      <c r="M86" s="265"/>
      <c r="N86" s="771"/>
      <c r="O86" s="771"/>
      <c r="P86" s="94"/>
      <c r="T86" s="94">
        <f t="shared" si="4"/>
        <v>1.9000000000000008</v>
      </c>
    </row>
    <row r="87" spans="2:20" ht="14">
      <c r="B87" s="938" t="s">
        <v>258</v>
      </c>
      <c r="C87" s="71" t="s">
        <v>259</v>
      </c>
      <c r="D87" s="939">
        <v>25</v>
      </c>
      <c r="E87" s="940" t="s">
        <v>178</v>
      </c>
      <c r="F87" s="199"/>
      <c r="G87" s="199"/>
      <c r="H87" s="199"/>
      <c r="I87" s="199"/>
      <c r="J87" s="71"/>
      <c r="K87" s="1572"/>
      <c r="L87" s="1580"/>
      <c r="M87" s="305"/>
      <c r="N87" s="771"/>
      <c r="O87" s="771"/>
      <c r="P87" s="94"/>
      <c r="T87" s="94">
        <f t="shared" si="4"/>
        <v>2.0000000000000009</v>
      </c>
    </row>
    <row r="88" spans="2:20" ht="14">
      <c r="B88" s="941" t="s">
        <v>260</v>
      </c>
      <c r="C88" s="942" t="s">
        <v>261</v>
      </c>
      <c r="D88" s="943">
        <v>52</v>
      </c>
      <c r="E88" s="944" t="s">
        <v>178</v>
      </c>
      <c r="F88" s="199"/>
      <c r="G88" s="199"/>
      <c r="H88" s="199"/>
      <c r="I88" s="199"/>
      <c r="J88" s="71"/>
      <c r="K88" s="1572"/>
      <c r="L88" s="1580"/>
      <c r="M88" s="726"/>
      <c r="N88" s="771"/>
      <c r="O88" s="771"/>
      <c r="P88" s="94"/>
      <c r="T88" s="94">
        <f t="shared" si="4"/>
        <v>2.100000000000001</v>
      </c>
    </row>
    <row r="89" spans="2:20" ht="14">
      <c r="B89" s="1087" t="s">
        <v>262</v>
      </c>
      <c r="C89" s="1089"/>
      <c r="D89" s="1089"/>
      <c r="E89" s="899"/>
      <c r="F89" s="549"/>
      <c r="G89" s="549"/>
      <c r="H89" s="549"/>
      <c r="I89" s="549"/>
      <c r="J89" s="71"/>
      <c r="K89" s="1572"/>
      <c r="L89" s="1573"/>
      <c r="M89" s="726"/>
      <c r="N89" s="726"/>
      <c r="O89" s="726"/>
      <c r="P89" s="94"/>
      <c r="T89" s="94">
        <f t="shared" si="4"/>
        <v>2.2000000000000011</v>
      </c>
    </row>
    <row r="90" spans="2:20" ht="28">
      <c r="B90" s="1099" t="s">
        <v>263</v>
      </c>
      <c r="C90" s="1100" t="s">
        <v>264</v>
      </c>
      <c r="D90" s="1100" t="s">
        <v>265</v>
      </c>
      <c r="E90" s="1100" t="s">
        <v>266</v>
      </c>
      <c r="F90" s="859"/>
      <c r="G90" s="859"/>
      <c r="H90" s="859"/>
      <c r="I90" s="859"/>
      <c r="J90" s="71"/>
      <c r="K90" s="1576" t="s">
        <v>267</v>
      </c>
      <c r="L90" s="1577">
        <f ca="1">SUM(L79:L89)</f>
        <v>4833.1035648007928</v>
      </c>
      <c r="T90" s="94">
        <f t="shared" si="4"/>
        <v>2.3000000000000012</v>
      </c>
    </row>
    <row r="91" spans="2:20">
      <c r="B91" s="1101" t="s">
        <v>268</v>
      </c>
      <c r="C91" s="1555"/>
      <c r="D91" s="1555">
        <v>3150</v>
      </c>
      <c r="E91" s="1102"/>
      <c r="F91" s="95"/>
      <c r="G91" s="95"/>
      <c r="H91" s="95"/>
      <c r="I91" s="95"/>
      <c r="J91" s="71"/>
      <c r="T91" s="94">
        <f t="shared" si="4"/>
        <v>2.4000000000000012</v>
      </c>
    </row>
    <row r="92" spans="2:20">
      <c r="B92" s="1103" t="s">
        <v>267</v>
      </c>
      <c r="C92" s="1104">
        <f>ROUND(SUM(C91:C91),0)</f>
        <v>0</v>
      </c>
      <c r="D92" s="1105">
        <f>ROUND(SUM(D91:D91),0)</f>
        <v>3150</v>
      </c>
      <c r="E92" s="1102">
        <f>SUM(E91:E91)</f>
        <v>0</v>
      </c>
      <c r="F92" s="95"/>
      <c r="G92" s="95"/>
      <c r="H92" s="95"/>
      <c r="I92" s="95"/>
      <c r="J92" s="71"/>
      <c r="K92" s="87"/>
      <c r="L92" s="87"/>
      <c r="M92" s="87"/>
      <c r="N92" s="727"/>
      <c r="O92" s="727"/>
      <c r="T92" s="94">
        <f t="shared" si="4"/>
        <v>2.5000000000000013</v>
      </c>
    </row>
    <row r="93" spans="2:20" ht="14">
      <c r="B93" s="1106" t="s">
        <v>269</v>
      </c>
      <c r="C93" s="1102"/>
      <c r="D93" s="1107"/>
      <c r="E93" s="1102"/>
      <c r="F93" s="95"/>
      <c r="G93" s="95"/>
      <c r="H93" s="95"/>
      <c r="I93" s="95"/>
      <c r="J93" s="71"/>
      <c r="K93" s="87"/>
      <c r="L93" s="87"/>
      <c r="M93" s="87"/>
      <c r="N93" s="727"/>
      <c r="O93" s="727"/>
      <c r="T93" s="85"/>
    </row>
    <row r="94" spans="2:20">
      <c r="B94" s="1108" t="s">
        <v>270</v>
      </c>
      <c r="C94" s="1109"/>
      <c r="D94" s="1089"/>
      <c r="E94" s="945"/>
      <c r="F94" s="708"/>
      <c r="G94" s="708"/>
      <c r="H94" s="708"/>
      <c r="I94" s="708"/>
      <c r="J94" s="71"/>
      <c r="K94" s="1470" t="s">
        <v>253</v>
      </c>
      <c r="L94" s="1578" t="s">
        <v>134</v>
      </c>
      <c r="M94" s="87"/>
      <c r="N94" s="727"/>
      <c r="O94" s="727"/>
      <c r="T94" s="86"/>
    </row>
    <row r="95" spans="2:20" ht="14">
      <c r="B95" s="1556" t="s">
        <v>271</v>
      </c>
      <c r="C95" s="1553" t="s">
        <v>88</v>
      </c>
      <c r="D95" s="1553" t="s">
        <v>272</v>
      </c>
      <c r="E95" s="1553" t="s">
        <v>90</v>
      </c>
      <c r="F95" s="721"/>
      <c r="G95" s="721"/>
      <c r="H95" s="721"/>
      <c r="I95" s="721"/>
      <c r="J95" s="71"/>
      <c r="K95" s="1571" t="s">
        <v>273</v>
      </c>
      <c r="L95" s="1579">
        <f>M25</f>
        <v>34.35</v>
      </c>
      <c r="M95" s="87"/>
      <c r="N95" s="727"/>
      <c r="O95" s="727"/>
      <c r="T95" s="87"/>
    </row>
    <row r="96" spans="2:20">
      <c r="B96" s="903" t="s">
        <v>274</v>
      </c>
      <c r="C96" s="901" t="s">
        <v>275</v>
      </c>
      <c r="D96" s="946">
        <v>15</v>
      </c>
      <c r="E96" s="947" t="s">
        <v>178</v>
      </c>
      <c r="F96" s="860"/>
      <c r="G96" s="860"/>
      <c r="H96" s="860"/>
      <c r="I96" s="860"/>
      <c r="J96" s="73"/>
      <c r="K96" s="1572" t="s">
        <v>276</v>
      </c>
      <c r="L96" s="1580">
        <f>M26</f>
        <v>15</v>
      </c>
      <c r="M96" s="73"/>
      <c r="N96" s="728"/>
      <c r="O96" s="728"/>
    </row>
    <row r="97" spans="2:12" ht="28">
      <c r="B97" s="1067" t="s">
        <v>277</v>
      </c>
      <c r="C97" s="1066" t="s">
        <v>278</v>
      </c>
      <c r="D97" s="939">
        <f>30*(15/6)</f>
        <v>75</v>
      </c>
      <c r="E97" s="1699" t="s">
        <v>1671</v>
      </c>
      <c r="F97" s="1551"/>
      <c r="G97" s="1551"/>
      <c r="H97" s="1551"/>
      <c r="I97" s="860"/>
      <c r="J97" s="93"/>
      <c r="K97" s="1572" t="s">
        <v>279</v>
      </c>
      <c r="L97" s="1580">
        <f>M27</f>
        <v>10</v>
      </c>
    </row>
    <row r="98" spans="2:12" ht="14">
      <c r="B98" s="1067" t="s">
        <v>280</v>
      </c>
      <c r="C98" s="1066" t="s">
        <v>278</v>
      </c>
      <c r="D98" s="937">
        <f>1.28*(15/6)</f>
        <v>3.2</v>
      </c>
      <c r="E98" s="1699" t="s">
        <v>1672</v>
      </c>
      <c r="F98" s="1551"/>
      <c r="G98" s="1551"/>
      <c r="H98" s="1551"/>
      <c r="I98" s="860"/>
      <c r="J98" s="93"/>
      <c r="K98" s="1572" t="s">
        <v>281</v>
      </c>
      <c r="L98" s="1580">
        <f ca="1">M29</f>
        <v>0</v>
      </c>
    </row>
    <row r="99" spans="2:12">
      <c r="B99" s="906" t="s">
        <v>282</v>
      </c>
      <c r="C99" s="905" t="s">
        <v>131</v>
      </c>
      <c r="D99" s="948">
        <v>0.15</v>
      </c>
      <c r="E99" s="947" t="s">
        <v>178</v>
      </c>
      <c r="F99" s="860"/>
      <c r="G99" s="860"/>
      <c r="H99" s="860"/>
      <c r="I99" s="860"/>
      <c r="J99" s="93"/>
      <c r="K99" s="1572"/>
      <c r="L99" s="1580"/>
    </row>
    <row r="100" spans="2:12">
      <c r="B100" s="906" t="s">
        <v>283</v>
      </c>
      <c r="C100" s="905" t="s">
        <v>131</v>
      </c>
      <c r="D100" s="948">
        <v>0.15</v>
      </c>
      <c r="E100" s="947" t="s">
        <v>178</v>
      </c>
      <c r="F100" s="860"/>
      <c r="G100" s="860"/>
      <c r="H100" s="860"/>
      <c r="I100" s="860"/>
      <c r="J100" s="93"/>
      <c r="K100" s="1572"/>
      <c r="L100" s="1580"/>
    </row>
    <row r="101" spans="2:12">
      <c r="B101" s="906" t="s">
        <v>284</v>
      </c>
      <c r="C101" s="905" t="s">
        <v>285</v>
      </c>
      <c r="D101" s="886">
        <f>95</f>
        <v>95</v>
      </c>
      <c r="E101" s="949" t="s">
        <v>286</v>
      </c>
      <c r="F101" s="861"/>
      <c r="G101" s="861"/>
      <c r="H101" s="861"/>
      <c r="I101" s="861"/>
      <c r="J101" s="85"/>
      <c r="K101" s="1572"/>
      <c r="L101" s="1580"/>
    </row>
    <row r="102" spans="2:12">
      <c r="B102" s="906" t="s">
        <v>287</v>
      </c>
      <c r="C102" s="839" t="s">
        <v>288</v>
      </c>
      <c r="D102" s="950">
        <v>7.4</v>
      </c>
      <c r="E102" s="881" t="s">
        <v>289</v>
      </c>
      <c r="F102" s="853"/>
      <c r="G102" s="853"/>
      <c r="H102" s="853"/>
      <c r="I102" s="853"/>
      <c r="J102" s="86"/>
      <c r="K102" s="1572"/>
      <c r="L102" s="1580"/>
    </row>
    <row r="103" spans="2:12">
      <c r="B103" s="906" t="s">
        <v>290</v>
      </c>
      <c r="C103" s="839" t="s">
        <v>131</v>
      </c>
      <c r="D103" s="907">
        <v>0.5</v>
      </c>
      <c r="E103" s="881" t="s">
        <v>178</v>
      </c>
      <c r="F103" s="853"/>
      <c r="G103" s="853"/>
      <c r="H103" s="853"/>
      <c r="I103" s="853"/>
      <c r="J103" s="86"/>
      <c r="K103" s="1572"/>
      <c r="L103" s="1580"/>
    </row>
    <row r="104" spans="2:12">
      <c r="B104" s="906" t="s">
        <v>291</v>
      </c>
      <c r="C104" s="839" t="s">
        <v>292</v>
      </c>
      <c r="D104" s="889">
        <v>15000</v>
      </c>
      <c r="E104" s="881" t="s">
        <v>293</v>
      </c>
      <c r="F104" s="853"/>
      <c r="G104" s="853"/>
      <c r="H104" s="853"/>
      <c r="I104" s="853"/>
      <c r="J104" s="86"/>
      <c r="K104" s="1572"/>
      <c r="L104" s="1580"/>
    </row>
    <row r="105" spans="2:12">
      <c r="B105" s="906" t="s">
        <v>294</v>
      </c>
      <c r="C105" s="839" t="s">
        <v>131</v>
      </c>
      <c r="D105" s="907">
        <v>0.75</v>
      </c>
      <c r="E105" s="881" t="s">
        <v>178</v>
      </c>
      <c r="F105" s="853"/>
      <c r="G105" s="853"/>
      <c r="H105" s="853"/>
      <c r="I105" s="853"/>
      <c r="J105" s="86"/>
      <c r="K105" s="1572"/>
      <c r="L105" s="1573"/>
    </row>
    <row r="106" spans="2:12">
      <c r="B106" s="911" t="s">
        <v>295</v>
      </c>
      <c r="C106" s="836" t="s">
        <v>292</v>
      </c>
      <c r="D106" s="951">
        <v>15000</v>
      </c>
      <c r="E106" s="952" t="s">
        <v>293</v>
      </c>
      <c r="F106" s="853"/>
      <c r="G106" s="853"/>
      <c r="H106" s="853"/>
      <c r="I106" s="853"/>
      <c r="J106" s="86"/>
      <c r="K106" s="1576" t="s">
        <v>267</v>
      </c>
      <c r="L106" s="1577">
        <f ca="1">SUM(L95:L105)</f>
        <v>59.35</v>
      </c>
    </row>
    <row r="107" spans="2:12" ht="14">
      <c r="B107" s="953" t="s">
        <v>296</v>
      </c>
      <c r="C107" s="925" t="s">
        <v>88</v>
      </c>
      <c r="D107" s="925" t="s">
        <v>272</v>
      </c>
      <c r="E107" s="954" t="s">
        <v>90</v>
      </c>
      <c r="F107" s="721"/>
      <c r="G107" s="721"/>
      <c r="H107" s="721"/>
      <c r="I107" s="721"/>
      <c r="J107" s="86"/>
      <c r="K107" s="86"/>
      <c r="L107" s="86"/>
    </row>
    <row r="108" spans="2:12" ht="14">
      <c r="B108" s="832" t="s">
        <v>297</v>
      </c>
      <c r="C108" s="833" t="s">
        <v>131</v>
      </c>
      <c r="D108" s="834">
        <v>2.5000000000000001E-2</v>
      </c>
      <c r="E108" s="835" t="s">
        <v>178</v>
      </c>
      <c r="F108" s="199"/>
      <c r="G108" s="199"/>
      <c r="H108" s="199"/>
      <c r="I108" s="199"/>
      <c r="J108" s="87"/>
      <c r="K108" s="87"/>
      <c r="L108" s="87"/>
    </row>
    <row r="109" spans="2:12" ht="14">
      <c r="B109" s="832" t="s">
        <v>298</v>
      </c>
      <c r="C109" s="833" t="s">
        <v>131</v>
      </c>
      <c r="D109" s="834">
        <v>2.5000000000000001E-2</v>
      </c>
      <c r="E109" s="835" t="s">
        <v>178</v>
      </c>
      <c r="F109" s="199"/>
      <c r="G109" s="199"/>
      <c r="H109" s="199"/>
      <c r="I109" s="199"/>
      <c r="K109" s="1583" t="s">
        <v>299</v>
      </c>
      <c r="L109" s="1584">
        <f>S4</f>
        <v>0</v>
      </c>
    </row>
    <row r="110" spans="2:12" ht="14">
      <c r="B110" s="832" t="s">
        <v>300</v>
      </c>
      <c r="C110" s="833" t="s">
        <v>131</v>
      </c>
      <c r="D110" s="834">
        <v>3.5000000000000003E-2</v>
      </c>
      <c r="E110" s="835" t="s">
        <v>178</v>
      </c>
      <c r="F110" s="199"/>
      <c r="G110" s="199"/>
      <c r="H110" s="199"/>
      <c r="I110" s="199"/>
      <c r="J110" s="74"/>
      <c r="K110" s="1583" t="s">
        <v>301</v>
      </c>
      <c r="L110" s="1584">
        <f ca="1">L116+L117+L118+L119+L120</f>
        <v>435.83284286857162</v>
      </c>
    </row>
    <row r="111" spans="2:12" ht="14">
      <c r="B111" s="955" t="s">
        <v>302</v>
      </c>
      <c r="C111" s="837" t="s">
        <v>131</v>
      </c>
      <c r="D111" s="956">
        <v>3.5000000000000003E-2</v>
      </c>
      <c r="E111" s="835" t="s">
        <v>178</v>
      </c>
      <c r="F111" s="199"/>
      <c r="G111" s="199"/>
      <c r="H111" s="199"/>
      <c r="I111" s="199"/>
      <c r="J111" s="74"/>
      <c r="K111" s="1583" t="s">
        <v>149</v>
      </c>
      <c r="L111" s="1584">
        <f>S32</f>
        <v>442.47507952467447</v>
      </c>
    </row>
    <row r="112" spans="2:12">
      <c r="B112" s="957" t="s">
        <v>303</v>
      </c>
      <c r="C112" s="958" t="s">
        <v>88</v>
      </c>
      <c r="D112" s="958" t="s">
        <v>133</v>
      </c>
      <c r="E112" s="958" t="s">
        <v>90</v>
      </c>
      <c r="F112" s="305"/>
      <c r="G112" s="305"/>
      <c r="H112" s="305"/>
      <c r="I112" s="305"/>
      <c r="K112" s="1585" t="s">
        <v>267</v>
      </c>
      <c r="L112" s="1587">
        <f ca="1">SUM(L109:L111)</f>
        <v>878.30792239324614</v>
      </c>
    </row>
    <row r="113" spans="2:12">
      <c r="B113" s="1110" t="s">
        <v>304</v>
      </c>
      <c r="C113" s="959" t="s">
        <v>131</v>
      </c>
      <c r="D113" s="1111">
        <v>0</v>
      </c>
      <c r="E113" s="959"/>
      <c r="F113" s="265"/>
      <c r="G113" s="265"/>
      <c r="H113" s="265"/>
      <c r="I113" s="265"/>
    </row>
    <row r="114" spans="2:12">
      <c r="B114" s="960" t="s">
        <v>305</v>
      </c>
      <c r="C114" s="841" t="s">
        <v>131</v>
      </c>
      <c r="D114" s="961">
        <f>1/7</f>
        <v>0.14285714285714285</v>
      </c>
      <c r="E114" s="841"/>
      <c r="F114" s="265"/>
      <c r="G114" s="265"/>
      <c r="H114" s="265"/>
      <c r="I114" s="265"/>
      <c r="J114" s="72"/>
      <c r="K114" s="72"/>
      <c r="L114" s="72"/>
    </row>
    <row r="115" spans="2:12">
      <c r="B115" s="960" t="s">
        <v>306</v>
      </c>
      <c r="C115" s="841" t="s">
        <v>131</v>
      </c>
      <c r="D115" s="961">
        <v>0.15</v>
      </c>
      <c r="E115" s="841"/>
      <c r="F115" s="265"/>
      <c r="G115" s="265"/>
      <c r="H115" s="265"/>
      <c r="I115" s="265"/>
      <c r="J115" s="81"/>
      <c r="K115" s="1101" t="s">
        <v>299</v>
      </c>
      <c r="L115" s="1590">
        <f>L109</f>
        <v>0</v>
      </c>
    </row>
    <row r="116" spans="2:12">
      <c r="B116" s="838" t="s">
        <v>307</v>
      </c>
      <c r="C116" s="839"/>
      <c r="D116" s="840">
        <f>D6</f>
        <v>47119</v>
      </c>
      <c r="E116" s="833"/>
      <c r="F116" s="95"/>
      <c r="G116" s="95"/>
      <c r="H116" s="95"/>
      <c r="I116" s="95"/>
      <c r="J116" s="88"/>
      <c r="K116" s="1571" t="s">
        <v>108</v>
      </c>
      <c r="L116" s="1579">
        <f>S6</f>
        <v>196.25009508139709</v>
      </c>
    </row>
    <row r="117" spans="2:12">
      <c r="B117" s="838" t="s">
        <v>308</v>
      </c>
      <c r="C117" s="841" t="s">
        <v>131</v>
      </c>
      <c r="D117" s="961">
        <v>0.03</v>
      </c>
      <c r="E117" s="843" t="s">
        <v>309</v>
      </c>
      <c r="F117" s="98"/>
      <c r="G117" s="98"/>
      <c r="H117" s="98"/>
      <c r="I117" s="98"/>
      <c r="J117" s="88"/>
      <c r="K117" s="1572" t="s">
        <v>310</v>
      </c>
      <c r="L117" s="1580">
        <f ca="1">S9</f>
        <v>41.628473919864355</v>
      </c>
    </row>
    <row r="118" spans="2:12">
      <c r="B118" s="842" t="s">
        <v>311</v>
      </c>
      <c r="C118" s="841" t="s">
        <v>131</v>
      </c>
      <c r="D118" s="961">
        <v>3.5000000000000003E-2</v>
      </c>
      <c r="E118" s="844" t="s">
        <v>312</v>
      </c>
      <c r="F118" s="98"/>
      <c r="G118" s="98"/>
      <c r="H118" s="98"/>
      <c r="I118" s="98"/>
      <c r="J118" s="88"/>
      <c r="K118" s="1572" t="s">
        <v>313</v>
      </c>
      <c r="L118" s="1580">
        <f>S10</f>
        <v>56.41307818787574</v>
      </c>
    </row>
    <row r="119" spans="2:12" ht="14">
      <c r="B119" s="1556" t="s">
        <v>314</v>
      </c>
      <c r="C119" s="1553" t="s">
        <v>88</v>
      </c>
      <c r="D119" s="1553" t="s">
        <v>272</v>
      </c>
      <c r="E119" s="1553" t="s">
        <v>90</v>
      </c>
      <c r="F119" s="721"/>
      <c r="G119" s="721"/>
      <c r="H119" s="721"/>
      <c r="I119" s="721"/>
      <c r="J119" s="89"/>
      <c r="K119" s="1572" t="s">
        <v>253</v>
      </c>
      <c r="L119" s="1580">
        <f ca="1">S7+S8+S11+S12+S14+S16+S13+S17+S18+S19</f>
        <v>84.655003155422548</v>
      </c>
    </row>
    <row r="120" spans="2:12">
      <c r="B120" s="903" t="s">
        <v>315</v>
      </c>
      <c r="C120" s="905" t="s">
        <v>316</v>
      </c>
      <c r="D120" s="962">
        <v>0.21</v>
      </c>
      <c r="E120" s="903"/>
      <c r="F120" s="857"/>
      <c r="G120" s="857"/>
      <c r="H120" s="857"/>
      <c r="I120" s="857"/>
      <c r="J120" s="89"/>
      <c r="K120" s="1575" t="s">
        <v>255</v>
      </c>
      <c r="L120" s="1586">
        <f ca="1">S20</f>
        <v>56.886192524011889</v>
      </c>
    </row>
    <row r="121" spans="2:12" ht="28">
      <c r="B121" s="906" t="s">
        <v>317</v>
      </c>
      <c r="C121" s="905"/>
      <c r="D121" s="963" t="s">
        <v>318</v>
      </c>
      <c r="E121" s="906"/>
      <c r="F121" s="857"/>
      <c r="G121" s="857"/>
      <c r="H121" s="857"/>
      <c r="I121" s="857"/>
      <c r="J121" s="90"/>
      <c r="K121" s="1581" t="s">
        <v>149</v>
      </c>
    </row>
    <row r="122" spans="2:12">
      <c r="B122" s="906" t="s">
        <v>319</v>
      </c>
      <c r="C122" s="905" t="s">
        <v>320</v>
      </c>
      <c r="D122" s="964">
        <v>0.14000000000000001</v>
      </c>
      <c r="E122" s="906"/>
      <c r="F122" s="857"/>
      <c r="G122" s="857"/>
      <c r="H122" s="857"/>
      <c r="I122" s="857"/>
      <c r="J122" s="91"/>
      <c r="K122" s="1571" t="s">
        <v>321</v>
      </c>
      <c r="L122" s="1579">
        <f>S23</f>
        <v>204.54301073408092</v>
      </c>
    </row>
    <row r="123" spans="2:12">
      <c r="B123" s="906" t="s">
        <v>322</v>
      </c>
      <c r="C123" s="905" t="s">
        <v>323</v>
      </c>
      <c r="D123" s="965">
        <v>0.1</v>
      </c>
      <c r="E123" s="906"/>
      <c r="F123" s="857"/>
      <c r="G123" s="857"/>
      <c r="H123" s="857"/>
      <c r="I123" s="857"/>
      <c r="J123" s="64"/>
      <c r="K123" s="1572" t="s">
        <v>324</v>
      </c>
      <c r="L123" s="1580">
        <f>S24</f>
        <v>36.817741932134567</v>
      </c>
    </row>
    <row r="124" spans="2:12">
      <c r="B124" s="906" t="s">
        <v>325</v>
      </c>
      <c r="C124" s="905" t="s">
        <v>323</v>
      </c>
      <c r="D124" s="965">
        <v>0.03</v>
      </c>
      <c r="E124" s="906" t="s">
        <v>326</v>
      </c>
      <c r="F124" s="857"/>
      <c r="G124" s="857"/>
      <c r="H124" s="857"/>
      <c r="I124" s="857"/>
      <c r="K124" s="1572" t="s">
        <v>319</v>
      </c>
      <c r="L124" s="1580">
        <f>S25</f>
        <v>139.28825337729199</v>
      </c>
    </row>
    <row r="125" spans="2:12">
      <c r="B125" s="966" t="s">
        <v>327</v>
      </c>
      <c r="C125" s="839" t="s">
        <v>328</v>
      </c>
      <c r="D125" s="963">
        <v>0.18</v>
      </c>
      <c r="E125" s="966"/>
      <c r="K125" s="1572" t="s">
        <v>329</v>
      </c>
      <c r="L125" s="1580">
        <f>S26+S27+S28+S31</f>
        <v>20.499304841435215</v>
      </c>
    </row>
    <row r="126" spans="2:12">
      <c r="B126" s="966" t="s">
        <v>324</v>
      </c>
      <c r="C126" s="839" t="s">
        <v>131</v>
      </c>
      <c r="D126" s="963">
        <v>0.18</v>
      </c>
      <c r="E126" s="966"/>
      <c r="K126" s="1572" t="s">
        <v>330</v>
      </c>
      <c r="L126" s="1574">
        <f>S29</f>
        <v>28.362990506769531</v>
      </c>
    </row>
    <row r="127" spans="2:12">
      <c r="B127" s="966" t="s">
        <v>331</v>
      </c>
      <c r="C127" s="839" t="s">
        <v>131</v>
      </c>
      <c r="D127" s="963">
        <v>0.18</v>
      </c>
      <c r="E127" s="966"/>
      <c r="K127" s="1575" t="s">
        <v>332</v>
      </c>
      <c r="L127" s="1582">
        <f>S30</f>
        <v>12.963778132962286</v>
      </c>
    </row>
    <row r="128" spans="2:12">
      <c r="B128" s="966" t="s">
        <v>333</v>
      </c>
      <c r="C128" s="839" t="s">
        <v>131</v>
      </c>
      <c r="D128" s="963">
        <v>0.25169999999999998</v>
      </c>
      <c r="E128" s="966"/>
    </row>
    <row r="129" spans="2:12">
      <c r="B129" s="966" t="s">
        <v>334</v>
      </c>
      <c r="C129" s="839" t="s">
        <v>131</v>
      </c>
      <c r="D129" s="963">
        <f>15%*(1+12%)*(1+4%)</f>
        <v>0.17472000000000001</v>
      </c>
      <c r="E129" s="966"/>
    </row>
    <row r="130" spans="2:12">
      <c r="B130" s="906" t="s">
        <v>335</v>
      </c>
      <c r="C130" s="839" t="s">
        <v>275</v>
      </c>
      <c r="D130" s="965"/>
      <c r="E130" s="967" t="s">
        <v>336</v>
      </c>
      <c r="K130" s="1581" t="s">
        <v>1666</v>
      </c>
    </row>
    <row r="131" spans="2:12">
      <c r="B131" s="966" t="s">
        <v>337</v>
      </c>
      <c r="C131" s="63" t="s">
        <v>131</v>
      </c>
      <c r="D131" s="963">
        <v>7.0000000000000007E-2</v>
      </c>
      <c r="E131" s="966"/>
      <c r="K131" s="1690" t="str">
        <f>Q7</f>
        <v>CHP</v>
      </c>
      <c r="L131" s="1695">
        <f>VLOOKUP(K131,$Q$4:$S$32,3,FALSE)</f>
        <v>9.7551601186946595</v>
      </c>
    </row>
    <row r="132" spans="2:12">
      <c r="B132" s="906" t="s">
        <v>338</v>
      </c>
      <c r="C132" s="839" t="s">
        <v>131</v>
      </c>
      <c r="D132" s="965">
        <v>0.02</v>
      </c>
      <c r="E132" s="967" t="s">
        <v>339</v>
      </c>
      <c r="K132" s="1691" t="str">
        <f>Q8</f>
        <v>Power</v>
      </c>
      <c r="L132" s="1696">
        <f>VLOOKUP(K132,$Q$4:$S$32,3,FALSE)</f>
        <v>10.001118940936532</v>
      </c>
    </row>
    <row r="133" spans="2:12">
      <c r="B133" s="906" t="s">
        <v>340</v>
      </c>
      <c r="C133" s="839" t="s">
        <v>134</v>
      </c>
      <c r="D133" s="968">
        <v>99.07</v>
      </c>
      <c r="E133" s="969" t="s">
        <v>341</v>
      </c>
      <c r="K133" s="1691" t="str">
        <f>Q11</f>
        <v>Civil Infrastructure Maintenance</v>
      </c>
      <c r="L133" s="1696">
        <f>VLOOKUP(K133,$Q$4:$S$32,3,FALSE)</f>
        <v>4.0196379593492946</v>
      </c>
    </row>
    <row r="134" spans="2:12" ht="28">
      <c r="B134" s="906" t="s">
        <v>342</v>
      </c>
      <c r="C134" s="839" t="s">
        <v>343</v>
      </c>
      <c r="D134" s="970">
        <v>2000</v>
      </c>
      <c r="E134" s="971" t="s">
        <v>344</v>
      </c>
      <c r="K134" s="1691" t="str">
        <f>Q12</f>
        <v>Railway Track &amp; Siding Repair &amp; Maintenance</v>
      </c>
      <c r="L134" s="1696">
        <f>VLOOKUP(K134,$Q$4:$S$32,3,FALSE)</f>
        <v>15.910190038052706</v>
      </c>
    </row>
    <row r="135" spans="2:12">
      <c r="B135" s="906" t="s">
        <v>345</v>
      </c>
      <c r="C135" s="839" t="s">
        <v>127</v>
      </c>
      <c r="D135" s="968">
        <f>D13</f>
        <v>1048</v>
      </c>
      <c r="E135" s="967"/>
      <c r="K135" s="1691" t="str">
        <f>Q13</f>
        <v xml:space="preserve">Fire Fighting &amp; Dust Suppression </v>
      </c>
      <c r="L135" s="1696">
        <f>ROUNDUP(VLOOKUP(K135,$Q$4:$S$32,3,FALSE),0)</f>
        <v>1</v>
      </c>
    </row>
    <row r="136" spans="2:12" ht="14">
      <c r="B136" s="1556" t="s">
        <v>346</v>
      </c>
      <c r="C136" s="1112" t="s">
        <v>88</v>
      </c>
      <c r="D136" s="1112" t="s">
        <v>272</v>
      </c>
      <c r="E136" s="1113"/>
      <c r="K136" s="1691" t="str">
        <f>Q14</f>
        <v>Rehandling</v>
      </c>
      <c r="L136" s="1696">
        <f>VLOOKUP(K136,$Q$4:$S$32,3,FALSE)</f>
        <v>23.459001451818843</v>
      </c>
    </row>
    <row r="137" spans="2:12">
      <c r="B137" s="972" t="s">
        <v>347</v>
      </c>
      <c r="C137" s="973" t="s">
        <v>144</v>
      </c>
      <c r="D137" s="974">
        <v>45</v>
      </c>
      <c r="E137" s="833"/>
      <c r="K137" s="1691" t="str">
        <f>Q16</f>
        <v>Environment Management &amp; OHS  costs</v>
      </c>
      <c r="L137" s="1696">
        <f>VLOOKUP(K137,$Q$4:$S$32,3,FALSE)</f>
        <v>2.6937887895115691</v>
      </c>
    </row>
    <row r="138" spans="2:12">
      <c r="B138" s="966" t="s">
        <v>348</v>
      </c>
      <c r="C138" s="839" t="s">
        <v>144</v>
      </c>
      <c r="D138" s="975">
        <v>30</v>
      </c>
      <c r="E138" s="833"/>
      <c r="K138" s="1691" t="str">
        <f>Q18</f>
        <v xml:space="preserve">Admin and Overhead </v>
      </c>
      <c r="L138" s="1696">
        <f>VLOOKUP(K138,$Q$4:$S$32,3,FALSE)</f>
        <v>14.999999999999998</v>
      </c>
    </row>
    <row r="139" spans="2:12">
      <c r="B139" s="966" t="s">
        <v>349</v>
      </c>
      <c r="C139" s="839" t="s">
        <v>144</v>
      </c>
      <c r="D139" s="975">
        <v>21</v>
      </c>
      <c r="E139" s="833"/>
      <c r="K139" s="1693" t="str">
        <f>Q19</f>
        <v>R&amp;R (Resettlement &amp; Rehabilitation)</v>
      </c>
      <c r="L139" s="1697">
        <f>VLOOKUP(K139,$Q$4:$S$32,3,FALSE)</f>
        <v>3.2669140981709233</v>
      </c>
    </row>
    <row r="140" spans="2:12">
      <c r="B140" s="976" t="s">
        <v>350</v>
      </c>
      <c r="C140" s="873" t="s">
        <v>131</v>
      </c>
      <c r="D140" s="977">
        <v>0.1</v>
      </c>
      <c r="E140" s="881"/>
      <c r="K140" s="1694" t="s">
        <v>267</v>
      </c>
      <c r="L140" s="1698">
        <f>ROUNDDOWN(SUM(L131:L139),0)</f>
        <v>85</v>
      </c>
    </row>
    <row r="141" spans="2:12">
      <c r="B141" s="976" t="s">
        <v>351</v>
      </c>
      <c r="C141" s="873" t="s">
        <v>131</v>
      </c>
      <c r="D141" s="977">
        <v>0.1</v>
      </c>
      <c r="E141" s="881"/>
    </row>
    <row r="142" spans="2:12">
      <c r="B142" s="976" t="s">
        <v>352</v>
      </c>
      <c r="C142" s="873" t="s">
        <v>353</v>
      </c>
      <c r="D142" s="975">
        <v>5</v>
      </c>
      <c r="E142" s="833"/>
    </row>
    <row r="143" spans="2:12">
      <c r="B143" s="966" t="s">
        <v>354</v>
      </c>
      <c r="C143" s="873" t="s">
        <v>353</v>
      </c>
      <c r="D143" s="975">
        <v>7</v>
      </c>
      <c r="E143" s="833"/>
    </row>
    <row r="144" spans="2:12">
      <c r="B144" s="978" t="s">
        <v>355</v>
      </c>
      <c r="C144" s="979" t="s">
        <v>131</v>
      </c>
      <c r="D144" s="980">
        <f>IF($L$6="Yes",0,0.3)</f>
        <v>0</v>
      </c>
      <c r="E144" s="952"/>
      <c r="K144" s="1692"/>
    </row>
    <row r="145" spans="2:11" ht="14">
      <c r="B145" s="898" t="s">
        <v>356</v>
      </c>
      <c r="C145" s="849"/>
      <c r="D145" s="849"/>
      <c r="E145" s="899"/>
      <c r="K145" s="1692"/>
    </row>
    <row r="146" spans="2:11" ht="14">
      <c r="B146" s="1114" t="s">
        <v>34</v>
      </c>
      <c r="C146" s="958" t="s">
        <v>95</v>
      </c>
      <c r="D146" s="1115" t="s">
        <v>89</v>
      </c>
      <c r="E146" s="926" t="s">
        <v>90</v>
      </c>
      <c r="K146" s="1692"/>
    </row>
    <row r="147" spans="2:11" ht="14">
      <c r="B147" s="1116" t="s">
        <v>357</v>
      </c>
      <c r="C147" s="1117" t="s">
        <v>131</v>
      </c>
      <c r="D147" s="981">
        <v>0.2</v>
      </c>
      <c r="E147" s="982"/>
      <c r="J147" s="60" t="s">
        <v>1669</v>
      </c>
      <c r="K147" s="1692"/>
    </row>
    <row r="148" spans="2:11" ht="14">
      <c r="B148" s="929" t="s">
        <v>358</v>
      </c>
      <c r="C148" s="863" t="s">
        <v>131</v>
      </c>
      <c r="D148" s="983">
        <f>IF($L$6="Yes",0,0.7)</f>
        <v>0</v>
      </c>
      <c r="E148" s="984"/>
    </row>
    <row r="149" spans="2:11" ht="14">
      <c r="B149" s="929" t="s">
        <v>359</v>
      </c>
      <c r="C149" s="985" t="s">
        <v>275</v>
      </c>
      <c r="D149" s="986"/>
      <c r="E149" s="984"/>
    </row>
    <row r="150" spans="2:11" ht="14">
      <c r="B150" s="929" t="s">
        <v>360</v>
      </c>
      <c r="C150" s="985" t="s">
        <v>361</v>
      </c>
      <c r="D150" s="986">
        <v>70</v>
      </c>
      <c r="E150" s="984" t="s">
        <v>178</v>
      </c>
    </row>
    <row r="151" spans="2:11" ht="28">
      <c r="B151" s="929" t="s">
        <v>362</v>
      </c>
      <c r="C151" s="985" t="s">
        <v>361</v>
      </c>
      <c r="D151" s="986">
        <v>90</v>
      </c>
      <c r="E151" s="984" t="s">
        <v>178</v>
      </c>
    </row>
    <row r="152" spans="2:11" ht="28">
      <c r="B152" s="929" t="s">
        <v>363</v>
      </c>
      <c r="C152" s="985" t="str">
        <f>C149</f>
        <v>INR/t</v>
      </c>
      <c r="D152" s="986">
        <v>100</v>
      </c>
      <c r="E152" s="984" t="s">
        <v>178</v>
      </c>
    </row>
    <row r="153" spans="2:11">
      <c r="B153" s="862" t="s">
        <v>364</v>
      </c>
      <c r="C153" s="987" t="str">
        <f>C150</f>
        <v>INR/bcm</v>
      </c>
      <c r="D153" s="986">
        <v>70</v>
      </c>
      <c r="E153" s="988" t="s">
        <v>178</v>
      </c>
    </row>
    <row r="154" spans="2:11" ht="14">
      <c r="B154" s="989" t="s">
        <v>365</v>
      </c>
      <c r="C154" s="865"/>
      <c r="D154" s="865"/>
      <c r="E154" s="990"/>
    </row>
    <row r="155" spans="2:11" ht="14">
      <c r="B155" s="1118" t="s">
        <v>34</v>
      </c>
      <c r="C155" s="1119" t="s">
        <v>95</v>
      </c>
      <c r="D155" s="1553" t="s">
        <v>89</v>
      </c>
      <c r="E155" s="1120" t="s">
        <v>90</v>
      </c>
    </row>
    <row r="156" spans="2:11" ht="28">
      <c r="B156" s="929" t="s">
        <v>366</v>
      </c>
      <c r="C156" s="833" t="s">
        <v>134</v>
      </c>
      <c r="D156" s="991">
        <f>73500000/10^7</f>
        <v>7.35</v>
      </c>
      <c r="E156" s="626" t="s">
        <v>367</v>
      </c>
    </row>
    <row r="157" spans="2:11" ht="14">
      <c r="B157" s="929" t="s">
        <v>368</v>
      </c>
      <c r="C157" s="833" t="s">
        <v>134</v>
      </c>
      <c r="D157" s="991">
        <f>6500000/10^7</f>
        <v>0.65</v>
      </c>
      <c r="E157" s="626"/>
    </row>
    <row r="158" spans="2:11" ht="14">
      <c r="B158" s="992" t="s">
        <v>369</v>
      </c>
      <c r="C158" s="837" t="s">
        <v>131</v>
      </c>
      <c r="D158" s="993">
        <v>0.1</v>
      </c>
      <c r="E158" s="994"/>
    </row>
    <row r="159" spans="2:11" ht="14">
      <c r="B159" s="1087" t="s">
        <v>370</v>
      </c>
      <c r="C159" s="1109"/>
      <c r="D159" s="1089"/>
      <c r="E159" s="933"/>
    </row>
    <row r="160" spans="2:11" ht="14">
      <c r="B160" s="1121" t="s">
        <v>34</v>
      </c>
      <c r="C160" s="1119" t="s">
        <v>95</v>
      </c>
      <c r="D160" s="1122" t="s">
        <v>89</v>
      </c>
      <c r="E160" s="1553" t="s">
        <v>90</v>
      </c>
    </row>
    <row r="161" spans="2:5">
      <c r="B161" s="864" t="s">
        <v>371</v>
      </c>
      <c r="C161" s="833" t="s">
        <v>134</v>
      </c>
      <c r="D161" s="995">
        <v>7.69</v>
      </c>
      <c r="E161" s="966" t="s">
        <v>372</v>
      </c>
    </row>
    <row r="162" spans="2:5">
      <c r="B162" s="864" t="s">
        <v>373</v>
      </c>
      <c r="C162" s="833" t="s">
        <v>134</v>
      </c>
      <c r="D162" s="996">
        <v>19.814539999999997</v>
      </c>
      <c r="E162" s="966" t="s">
        <v>1667</v>
      </c>
    </row>
    <row r="163" spans="2:5">
      <c r="B163" s="864" t="s">
        <v>374</v>
      </c>
      <c r="C163" s="833" t="s">
        <v>134</v>
      </c>
      <c r="D163" s="995">
        <v>263.17</v>
      </c>
      <c r="E163" s="966" t="s">
        <v>372</v>
      </c>
    </row>
    <row r="164" spans="2:5">
      <c r="B164" s="864" t="s">
        <v>375</v>
      </c>
      <c r="C164" s="833" t="s">
        <v>134</v>
      </c>
      <c r="D164" s="995">
        <f>'Pre-Operative'!O90</f>
        <v>74.089119079075033</v>
      </c>
      <c r="E164" s="966" t="s">
        <v>372</v>
      </c>
    </row>
    <row r="165" spans="2:5">
      <c r="B165" s="1123" t="s">
        <v>267</v>
      </c>
      <c r="C165" s="1102" t="s">
        <v>134</v>
      </c>
      <c r="D165" s="1124">
        <f>SUM(D161:D164)</f>
        <v>364.76365907907507</v>
      </c>
      <c r="E165" s="1101"/>
    </row>
    <row r="166" spans="2:5" ht="14">
      <c r="B166" s="1087" t="s">
        <v>376</v>
      </c>
      <c r="C166" s="1109"/>
      <c r="D166" s="1089"/>
      <c r="E166" s="933"/>
    </row>
    <row r="167" spans="2:5" ht="14">
      <c r="B167" s="1121" t="s">
        <v>34</v>
      </c>
      <c r="C167" s="1119" t="s">
        <v>95</v>
      </c>
      <c r="D167" s="1122" t="s">
        <v>89</v>
      </c>
      <c r="E167" s="1553" t="s">
        <v>90</v>
      </c>
    </row>
    <row r="168" spans="2:5">
      <c r="B168" s="822" t="s">
        <v>377</v>
      </c>
      <c r="C168" s="997" t="s">
        <v>378</v>
      </c>
      <c r="D168" s="998">
        <v>14</v>
      </c>
      <c r="E168" s="822" t="s">
        <v>379</v>
      </c>
    </row>
    <row r="169" spans="2:5" hidden="1">
      <c r="B169" s="1518" t="s">
        <v>380</v>
      </c>
      <c r="C169" s="1520" t="s">
        <v>381</v>
      </c>
      <c r="D169" s="1519">
        <v>129.6</v>
      </c>
      <c r="E169" s="1001"/>
    </row>
    <row r="170" spans="2:5">
      <c r="B170" s="999" t="s">
        <v>382</v>
      </c>
      <c r="C170" s="1000" t="s">
        <v>381</v>
      </c>
      <c r="D170" s="886">
        <v>160.80000000000001</v>
      </c>
      <c r="E170" s="1001"/>
    </row>
    <row r="171" spans="2:5">
      <c r="B171" s="823" t="s">
        <v>383</v>
      </c>
      <c r="C171" s="1000" t="s">
        <v>378</v>
      </c>
      <c r="D171" s="1002">
        <f>(D168*D170)/D169</f>
        <v>17.370370370370374</v>
      </c>
      <c r="E171" s="1001"/>
    </row>
    <row r="172" spans="2:5">
      <c r="B172" s="823" t="s">
        <v>384</v>
      </c>
      <c r="C172" s="1000" t="s">
        <v>385</v>
      </c>
      <c r="D172" s="1003">
        <f>D135</f>
        <v>1048</v>
      </c>
      <c r="E172" s="823"/>
    </row>
    <row r="173" spans="2:5">
      <c r="B173" s="823" t="s">
        <v>386</v>
      </c>
      <c r="C173" s="1000" t="s">
        <v>387</v>
      </c>
      <c r="D173" s="1004">
        <f>D172*D171</f>
        <v>18204.148148148153</v>
      </c>
      <c r="E173" s="823"/>
    </row>
    <row r="174" spans="2:5">
      <c r="B174" s="823" t="s">
        <v>124</v>
      </c>
      <c r="C174" s="1000" t="s">
        <v>353</v>
      </c>
      <c r="D174" s="1003">
        <f>D12</f>
        <v>19</v>
      </c>
      <c r="E174" s="823"/>
    </row>
    <row r="175" spans="2:5">
      <c r="B175" s="823" t="s">
        <v>388</v>
      </c>
      <c r="C175" s="1000" t="s">
        <v>389</v>
      </c>
      <c r="D175" s="1003">
        <f>D173/D174/100</f>
        <v>9.5811306042885018</v>
      </c>
      <c r="E175" s="823"/>
    </row>
    <row r="176" spans="2:5">
      <c r="B176" s="824" t="s">
        <v>390</v>
      </c>
      <c r="C176" s="1005" t="s">
        <v>131</v>
      </c>
      <c r="D176" s="980">
        <v>0.05</v>
      </c>
      <c r="E176" s="824"/>
    </row>
    <row r="178" spans="2:10" ht="14">
      <c r="B178" s="1125" t="s">
        <v>391</v>
      </c>
      <c r="C178" s="1126" t="s">
        <v>88</v>
      </c>
      <c r="D178" s="1126"/>
      <c r="E178" s="1557" t="s">
        <v>90</v>
      </c>
      <c r="J178" s="60" t="s">
        <v>1668</v>
      </c>
    </row>
    <row r="179" spans="2:10">
      <c r="B179" s="1127" t="s">
        <v>392</v>
      </c>
      <c r="C179" s="1128"/>
      <c r="D179" s="1129" t="s">
        <v>393</v>
      </c>
      <c r="E179" s="1558"/>
    </row>
    <row r="180" spans="2:10">
      <c r="B180" s="1130" t="s">
        <v>119</v>
      </c>
      <c r="C180" s="1001" t="s">
        <v>394</v>
      </c>
      <c r="D180" s="1131">
        <f>D10</f>
        <v>15.00001569</v>
      </c>
      <c r="E180" s="1559" t="s">
        <v>395</v>
      </c>
    </row>
    <row r="181" spans="2:10">
      <c r="B181" s="1130" t="s">
        <v>396</v>
      </c>
      <c r="C181" s="1001" t="s">
        <v>275</v>
      </c>
      <c r="D181" s="1132">
        <v>2122</v>
      </c>
      <c r="E181" s="1560" t="s">
        <v>397</v>
      </c>
    </row>
    <row r="182" spans="2:10">
      <c r="B182" s="1130" t="s">
        <v>398</v>
      </c>
      <c r="C182" s="1001" t="s">
        <v>131</v>
      </c>
      <c r="D182" s="1133">
        <f>D120</f>
        <v>0.21</v>
      </c>
      <c r="E182" s="1559"/>
    </row>
    <row r="183" spans="2:10">
      <c r="B183" s="1134" t="s">
        <v>399</v>
      </c>
      <c r="C183" s="1135" t="s">
        <v>134</v>
      </c>
      <c r="D183" s="1136">
        <f>D163</f>
        <v>263.17</v>
      </c>
      <c r="E183" s="1561" t="s">
        <v>400</v>
      </c>
    </row>
  </sheetData>
  <dataConsolidate/>
  <mergeCells count="7">
    <mergeCell ref="X68:Z68"/>
    <mergeCell ref="G24:H24"/>
    <mergeCell ref="G53:H53"/>
    <mergeCell ref="AD2:AG2"/>
    <mergeCell ref="AD3:AG3"/>
    <mergeCell ref="AD4:AG4"/>
    <mergeCell ref="AD9:AG9"/>
  </mergeCells>
  <phoneticPr fontId="92" type="noConversion"/>
  <conditionalFormatting sqref="M34">
    <cfRule type="cellIs" dxfId="12" priority="3" operator="lessThan">
      <formula>0</formula>
    </cfRule>
    <cfRule type="cellIs" dxfId="11" priority="4" operator="greaterThan">
      <formula>0</formula>
    </cfRule>
  </conditionalFormatting>
  <conditionalFormatting sqref="M37">
    <cfRule type="cellIs" dxfId="10" priority="1" operator="greaterThan">
      <formula>0</formula>
    </cfRule>
    <cfRule type="cellIs" dxfId="9" priority="2" operator="lessThan">
      <formula>0</formula>
    </cfRule>
  </conditionalFormatting>
  <dataValidations count="7">
    <dataValidation type="list" allowBlank="1" showInputMessage="1" showErrorMessage="1" sqref="D121" xr:uid="{4F05BF06-8618-4B3C-B290-35CB9C99E6DD}">
      <formula1>"NCI Price,Commercial Sale Price"</formula1>
    </dataValidation>
    <dataValidation type="list" allowBlank="1" showInputMessage="1" showErrorMessage="1" sqref="L6" xr:uid="{E450DC16-A2C9-453F-8EF1-D7427273C9A1}">
      <formula1>"Yes, No"</formula1>
    </dataValidation>
    <dataValidation type="list" allowBlank="1" showInputMessage="1" showErrorMessage="1" sqref="L2" xr:uid="{F5CE719B-8F6D-40C1-A454-43E0EDC35CEC}">
      <formula1>"Surface Miner, Shovel &amp; Dumper"</formula1>
    </dataValidation>
    <dataValidation type="list" allowBlank="1" showInputMessage="1" showErrorMessage="1" sqref="L8" xr:uid="{D26017A1-FB5E-4B5A-BD48-2F6E956E3295}">
      <formula1>"NCI,Commercial"</formula1>
    </dataValidation>
    <dataValidation type="list" allowBlank="1" showInputMessage="1" showErrorMessage="1" sqref="L4" xr:uid="{6E7BF025-0B30-49B0-B9A7-20AFC374453D}">
      <formula1>$M$4:$M$5</formula1>
    </dataValidation>
    <dataValidation type="list" allowBlank="1" showInputMessage="1" showErrorMessage="1" sqref="D91" xr:uid="{4EE99E6A-0AC0-4F68-AA27-2A1E26CFF45C}">
      <formula1>"3629, 3150"</formula1>
    </dataValidation>
    <dataValidation type="list" allowBlank="1" showInputMessage="1" showErrorMessage="1" sqref="L10" xr:uid="{CE880833-3B2B-45C8-8C12-95B42208B614}">
      <formula1>$T$77:$T$92</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0E38-AD35-41B1-940B-99AD1C0DF045}">
  <sheetPr codeName="Sheet5">
    <tabColor rgb="FF00B050"/>
  </sheetPr>
  <dimension ref="A1:AA61"/>
  <sheetViews>
    <sheetView showGridLines="0" tabSelected="1" zoomScale="114" zoomScaleNormal="100" workbookViewId="0">
      <selection activeCell="A11" sqref="A11"/>
    </sheetView>
  </sheetViews>
  <sheetFormatPr baseColWidth="10" defaultColWidth="8.83203125" defaultRowHeight="13"/>
  <cols>
    <col min="1" max="1" width="8.83203125" style="94"/>
    <col min="2" max="2" width="75.83203125" style="94" customWidth="1"/>
    <col min="3" max="3" width="14.33203125" style="94" customWidth="1"/>
    <col min="4" max="4" width="19.1640625" style="94" customWidth="1"/>
    <col min="5" max="5" width="11.5" style="94" bestFit="1" customWidth="1"/>
    <col min="6" max="8" width="8.83203125" style="94"/>
    <col min="9" max="9" width="13.6640625" style="94" bestFit="1" customWidth="1"/>
    <col min="10" max="10" width="12.5" style="94" bestFit="1" customWidth="1"/>
    <col min="11" max="11" width="13.5" style="94" customWidth="1"/>
    <col min="12" max="12" width="8.1640625" style="94" customWidth="1"/>
    <col min="13" max="13" width="9.1640625" style="94" customWidth="1"/>
    <col min="14" max="14" width="11" style="94" bestFit="1" customWidth="1"/>
    <col min="15" max="15" width="11.6640625" style="94" customWidth="1"/>
    <col min="16" max="16384" width="8.83203125" style="94"/>
  </cols>
  <sheetData>
    <row r="1" spans="1:27">
      <c r="A1" s="98"/>
      <c r="B1" s="98"/>
      <c r="C1" s="99"/>
      <c r="D1" s="95"/>
      <c r="E1" s="100">
        <f>Assumptions_Dashboard!$D$5</f>
        <v>46023</v>
      </c>
      <c r="F1" s="100">
        <f>E1+366</f>
        <v>46389</v>
      </c>
      <c r="G1" s="100">
        <f t="shared" ref="G1:AA1" si="0">F1+366</f>
        <v>46755</v>
      </c>
      <c r="H1" s="100">
        <f t="shared" si="0"/>
        <v>47121</v>
      </c>
      <c r="I1" s="100">
        <f t="shared" si="0"/>
        <v>47487</v>
      </c>
      <c r="J1" s="100">
        <f t="shared" si="0"/>
        <v>47853</v>
      </c>
      <c r="K1" s="100">
        <f t="shared" si="0"/>
        <v>48219</v>
      </c>
      <c r="L1" s="100">
        <f t="shared" si="0"/>
        <v>48585</v>
      </c>
      <c r="M1" s="100">
        <f t="shared" si="0"/>
        <v>48951</v>
      </c>
      <c r="N1" s="100">
        <f t="shared" si="0"/>
        <v>49317</v>
      </c>
      <c r="O1" s="100">
        <f t="shared" si="0"/>
        <v>49683</v>
      </c>
      <c r="P1" s="100">
        <f t="shared" si="0"/>
        <v>50049</v>
      </c>
      <c r="Q1" s="100">
        <f t="shared" si="0"/>
        <v>50415</v>
      </c>
      <c r="R1" s="100">
        <f t="shared" si="0"/>
        <v>50781</v>
      </c>
      <c r="S1" s="100">
        <f t="shared" si="0"/>
        <v>51147</v>
      </c>
      <c r="T1" s="100">
        <f t="shared" si="0"/>
        <v>51513</v>
      </c>
      <c r="U1" s="100">
        <f t="shared" si="0"/>
        <v>51879</v>
      </c>
      <c r="V1" s="100">
        <f t="shared" si="0"/>
        <v>52245</v>
      </c>
      <c r="W1" s="100">
        <f t="shared" si="0"/>
        <v>52611</v>
      </c>
      <c r="X1" s="100">
        <f t="shared" si="0"/>
        <v>52977</v>
      </c>
      <c r="Y1" s="100">
        <f t="shared" si="0"/>
        <v>53343</v>
      </c>
      <c r="Z1" s="100">
        <f t="shared" si="0"/>
        <v>53709</v>
      </c>
      <c r="AA1" s="100">
        <f t="shared" si="0"/>
        <v>54075</v>
      </c>
    </row>
    <row r="2" spans="1:27">
      <c r="A2" s="101" t="s">
        <v>401</v>
      </c>
      <c r="B2" s="102"/>
      <c r="C2" s="103"/>
      <c r="D2" s="104"/>
      <c r="E2" s="105">
        <v>1</v>
      </c>
      <c r="F2" s="105">
        <f>IF(MAX($E$2:E$2)&lt;=(Assumptions_Dashboard!$D$11+Assumptions_Dashboard!$D$6-2),E$2+1,0)</f>
        <v>2</v>
      </c>
      <c r="G2" s="105">
        <f>IF(MAX($E$2:F$2)&lt;=(Assumptions_Dashboard!$D$11+Assumptions_Dashboard!$D$6-2),F$2+1,0)</f>
        <v>3</v>
      </c>
      <c r="H2" s="105">
        <f>IF(MAX($E$2:G$2)&lt;=(Assumptions_Dashboard!$D$11+Assumptions_Dashboard!$D$6-2),G$2+1,0)</f>
        <v>4</v>
      </c>
      <c r="I2" s="105">
        <f>IF(MAX($E$2:H$2)&lt;=(Assumptions_Dashboard!$D$11+Assumptions_Dashboard!$D$6-2),H$2+1,0)</f>
        <v>5</v>
      </c>
      <c r="J2" s="105">
        <f>IF(MAX($E$2:I$2)&lt;=(Assumptions_Dashboard!$D$11+Assumptions_Dashboard!$D$6-2),I$2+1,0)</f>
        <v>6</v>
      </c>
      <c r="K2" s="105">
        <f>IF(MAX($E$2:J$2)&lt;=(Assumptions_Dashboard!$D$11+Assumptions_Dashboard!$D$6-2),J$2+1,0)</f>
        <v>7</v>
      </c>
      <c r="L2" s="105">
        <f>IF(MAX($E$2:K$2)&lt;=(Assumptions_Dashboard!$D$11+Assumptions_Dashboard!$D$6-2),K$2+1,0)</f>
        <v>8</v>
      </c>
      <c r="M2" s="105">
        <f>IF(MAX($E$2:L$2)&lt;=(Assumptions_Dashboard!$D$11+Assumptions_Dashboard!$D$6-2),L$2+1,0)</f>
        <v>9</v>
      </c>
      <c r="N2" s="105">
        <f>IF(MAX($E$2:M$2)&lt;=(Assumptions_Dashboard!$D$11+Assumptions_Dashboard!$D$6-2),M$2+1,0)</f>
        <v>10</v>
      </c>
      <c r="O2" s="105">
        <f>IF(MAX($E$2:N$2)&lt;=(Assumptions_Dashboard!$D$11+Assumptions_Dashboard!$D$6-2),N$2+1,0)</f>
        <v>11</v>
      </c>
      <c r="P2" s="105">
        <f>IF(MAX($E$2:O$2)&lt;=(Assumptions_Dashboard!$D$11+Assumptions_Dashboard!$D$6-2),O$2+1,0)</f>
        <v>12</v>
      </c>
      <c r="Q2" s="105">
        <f>IF(MAX($E$2:P$2)&lt;=(Assumptions_Dashboard!$D$11+Assumptions_Dashboard!$D$6-2),P$2+1,0)</f>
        <v>13</v>
      </c>
      <c r="R2" s="105">
        <f>IF(MAX($E$2:Q$2)&lt;=(Assumptions_Dashboard!$D$11+Assumptions_Dashboard!$D$6-2),Q$2+1,0)</f>
        <v>14</v>
      </c>
      <c r="S2" s="105">
        <f>IF(MAX($E$2:R$2)&lt;=(Assumptions_Dashboard!$D$11+Assumptions_Dashboard!$D$6-2),R$2+1,0)</f>
        <v>15</v>
      </c>
      <c r="T2" s="105">
        <f>IF(MAX($E$2:S$2)&lt;=(Assumptions_Dashboard!$D$11+Assumptions_Dashboard!$D$6-2),S$2+1,0)</f>
        <v>16</v>
      </c>
      <c r="U2" s="105">
        <f>IF(MAX($E$2:T$2)&lt;=(Assumptions_Dashboard!$D$11+Assumptions_Dashboard!$D$6-2),T$2+1,0)</f>
        <v>17</v>
      </c>
      <c r="V2" s="105">
        <f>IF(MAX($E$2:U$2)&lt;=(Assumptions_Dashboard!$D$11+Assumptions_Dashboard!$D$6-2),U$2+1,0)</f>
        <v>18</v>
      </c>
      <c r="W2" s="105">
        <f>IF(MAX($E$2:V$2)&lt;=(Assumptions_Dashboard!$D$11+Assumptions_Dashboard!$D$6-2),V$2+1,0)</f>
        <v>19</v>
      </c>
      <c r="X2" s="105">
        <f>IF(MAX($E$2:W$2)&lt;=(Assumptions_Dashboard!$D$11+Assumptions_Dashboard!$D$6-2),W$2+1,0)</f>
        <v>20</v>
      </c>
      <c r="Y2" s="105">
        <f>IF(MAX($E$2:X$2)&lt;=(Assumptions_Dashboard!$D$11+Assumptions_Dashboard!$D$6-2),X$2+1,0)</f>
        <v>21</v>
      </c>
      <c r="Z2" s="105">
        <f>IF(MAX($E$2:Y$2)&lt;=(Assumptions_Dashboard!$D$11+Assumptions_Dashboard!$D$6-2),Y$2+1,0)</f>
        <v>22</v>
      </c>
      <c r="AA2" s="105">
        <f>IF(MAX($E$2:Z$2)&lt;=(Assumptions_Dashboard!$D$11+Assumptions_Dashboard!$D$6-2),Z$2+1,0)</f>
        <v>23</v>
      </c>
    </row>
    <row r="3" spans="1:27" ht="14">
      <c r="A3" s="102"/>
      <c r="B3" s="1137" t="s">
        <v>34</v>
      </c>
      <c r="C3" s="1138" t="s">
        <v>132</v>
      </c>
      <c r="D3" s="668" t="s">
        <v>402</v>
      </c>
      <c r="E3" s="1139">
        <f>IF(E2=0,0,IF((E$2-Assumptions_Dashboard!$D$7)&lt;0,E$2-Assumptions_Dashboard!$D$7,E$2-(Assumptions_Dashboard!$D$7-1)))</f>
        <v>-4</v>
      </c>
      <c r="F3" s="1140">
        <f>IF(F2=0,0,IF((F$2-Assumptions_Dashboard!$D$7)&lt;0,F$2-Assumptions_Dashboard!$D$7,F$2-(Assumptions_Dashboard!$D$7-1)))</f>
        <v>-3</v>
      </c>
      <c r="G3" s="1140">
        <f>IF(G2=0,0,IF((G$2-Assumptions_Dashboard!$D$7)&lt;0,G$2-Assumptions_Dashboard!$D$7,G$2-(Assumptions_Dashboard!$D$7-1)))</f>
        <v>-2</v>
      </c>
      <c r="H3" s="1140">
        <f>IF(H2=0,0,IF((H$2-Assumptions_Dashboard!$D$7)&lt;0,H$2-Assumptions_Dashboard!$D$7,H$2-(Assumptions_Dashboard!$D$7-1)))</f>
        <v>-1</v>
      </c>
      <c r="I3" s="1139">
        <f>IF(I2=0,0,IF((I$2-Assumptions_Dashboard!$D$7)&lt;0,I$2-Assumptions_Dashboard!$D$7,I$2-(Assumptions_Dashboard!$D$7-1)))</f>
        <v>1</v>
      </c>
      <c r="J3" s="1140">
        <f>IF(J2=0,0,IF((J$2-Assumptions_Dashboard!$D$7)&lt;0,J$2-Assumptions_Dashboard!$D$7,J$2-(Assumptions_Dashboard!$D$7-1)))</f>
        <v>2</v>
      </c>
      <c r="K3" s="1140">
        <f>IF(K2=0,0,IF((K$2-Assumptions_Dashboard!$D$7)&lt;0,K$2-Assumptions_Dashboard!$D$7,K$2-(Assumptions_Dashboard!$D$7-1)))</f>
        <v>3</v>
      </c>
      <c r="L3" s="1140">
        <f>IF(L2=0,0,IF((L$2-Assumptions_Dashboard!$D$7)&lt;0,L$2-Assumptions_Dashboard!$D$7,L$2-(Assumptions_Dashboard!$D$7-1)))</f>
        <v>4</v>
      </c>
      <c r="M3" s="1140">
        <f>IF(M2=0,0,IF((M$2-Assumptions_Dashboard!$D$7)&lt;0,M$2-Assumptions_Dashboard!$D$7,M$2-(Assumptions_Dashboard!$D$7-1)))</f>
        <v>5</v>
      </c>
      <c r="N3" s="1140">
        <f>IF(N2=0,0,IF((N$2-Assumptions_Dashboard!$D$7)&lt;0,N$2-Assumptions_Dashboard!$D$7,N$2-(Assumptions_Dashboard!$D$7-1)))</f>
        <v>6</v>
      </c>
      <c r="O3" s="1140">
        <f>IF(O2=0,0,IF((O$2-Assumptions_Dashboard!$D$7)&lt;0,O$2-Assumptions_Dashboard!$D$7,O$2-(Assumptions_Dashboard!$D$7-1)))</f>
        <v>7</v>
      </c>
      <c r="P3" s="1140">
        <f>IF(P2=0,0,IF((P$2-Assumptions_Dashboard!$D$7)&lt;0,P$2-Assumptions_Dashboard!$D$7,P$2-(Assumptions_Dashboard!$D$7-1)))</f>
        <v>8</v>
      </c>
      <c r="Q3" s="1140">
        <f>IF(Q2=0,0,IF((Q$2-Assumptions_Dashboard!$D$7)&lt;0,Q$2-Assumptions_Dashboard!$D$7,Q$2-(Assumptions_Dashboard!$D$7-1)))</f>
        <v>9</v>
      </c>
      <c r="R3" s="1140">
        <f>IF(R2=0,0,IF((R$2-Assumptions_Dashboard!$D$7)&lt;0,R$2-Assumptions_Dashboard!$D$7,R$2-(Assumptions_Dashboard!$D$7-1)))</f>
        <v>10</v>
      </c>
      <c r="S3" s="1140">
        <f>IF(S2=0,0,IF((S$2-Assumptions_Dashboard!$D$7)&lt;0,S$2-Assumptions_Dashboard!$D$7,S$2-(Assumptions_Dashboard!$D$7-1)))</f>
        <v>11</v>
      </c>
      <c r="T3" s="1140">
        <f>IF(T2=0,0,IF((T$2-Assumptions_Dashboard!$D$7)&lt;0,T$2-Assumptions_Dashboard!$D$7,T$2-(Assumptions_Dashboard!$D$7-1)))</f>
        <v>12</v>
      </c>
      <c r="U3" s="1140">
        <f>IF(U2=0,0,IF((U$2-Assumptions_Dashboard!$D$7)&lt;0,U$2-Assumptions_Dashboard!$D$7,U$2-(Assumptions_Dashboard!$D$7-1)))</f>
        <v>13</v>
      </c>
      <c r="V3" s="1140">
        <f>IF(V2=0,0,IF((V$2-Assumptions_Dashboard!$D$7)&lt;0,V$2-Assumptions_Dashboard!$D$7,V$2-(Assumptions_Dashboard!$D$7-1)))</f>
        <v>14</v>
      </c>
      <c r="W3" s="1140">
        <f>IF(W2=0,0,IF((W$2-Assumptions_Dashboard!$D$7)&lt;0,W$2-Assumptions_Dashboard!$D$7,W$2-(Assumptions_Dashboard!$D$7-1)))</f>
        <v>15</v>
      </c>
      <c r="X3" s="1140">
        <f>IF(X2=0,0,IF((X$2-Assumptions_Dashboard!$D$7)&lt;0,X$2-Assumptions_Dashboard!$D$7,X$2-(Assumptions_Dashboard!$D$7-1)))</f>
        <v>16</v>
      </c>
      <c r="Y3" s="1140">
        <f>IF(Y2=0,0,IF((Y$2-Assumptions_Dashboard!$D$7)&lt;0,Y$2-Assumptions_Dashboard!$D$7,Y$2-(Assumptions_Dashboard!$D$7-1)))</f>
        <v>17</v>
      </c>
      <c r="Z3" s="1140">
        <f>IF(Z2=0,0,IF((Z$2-Assumptions_Dashboard!$D$7)&lt;0,Z$2-Assumptions_Dashboard!$D$7,Z$2-(Assumptions_Dashboard!$D$7-1)))</f>
        <v>18</v>
      </c>
      <c r="AA3" s="1140">
        <f>IF(AA2=0,0,IF((AA$2-Assumptions_Dashboard!$D$7)&lt;0,AA$2-Assumptions_Dashboard!$D$7,AA$2-(Assumptions_Dashboard!$D$7-1)))</f>
        <v>19</v>
      </c>
    </row>
    <row r="4" spans="1:27">
      <c r="A4" s="106"/>
      <c r="B4" s="1142" t="s">
        <v>403</v>
      </c>
      <c r="C4" s="1143" t="s">
        <v>139</v>
      </c>
      <c r="D4" s="1144">
        <f>MAX(E4:AD4)</f>
        <v>7920</v>
      </c>
      <c r="E4" s="1145">
        <f>IF(E$3&lt;=0,0,Assumptions_Dashboard!$D$29)</f>
        <v>0</v>
      </c>
      <c r="F4" s="1145">
        <f>IF(F$3&lt;=0,0,Assumptions_Dashboard!$D$29)</f>
        <v>0</v>
      </c>
      <c r="G4" s="1145">
        <f>IF(G$3&lt;=0,0,Assumptions_Dashboard!$D$29)</f>
        <v>0</v>
      </c>
      <c r="H4" s="1145">
        <f>IF(H$3&lt;=0,0,Assumptions_Dashboard!$D$29)</f>
        <v>0</v>
      </c>
      <c r="I4" s="1145">
        <f>IF(I$3&lt;=0,0,Assumptions_Dashboard!$D$29)</f>
        <v>7920</v>
      </c>
      <c r="J4" s="1145">
        <f>IF(J$3&lt;=0,0,Assumptions_Dashboard!$D$29)</f>
        <v>7920</v>
      </c>
      <c r="K4" s="1145">
        <f>IF(K$3&lt;=0,0,Assumptions_Dashboard!$D$29)</f>
        <v>7920</v>
      </c>
      <c r="L4" s="1145">
        <f>IF(L$3&lt;=0,0,Assumptions_Dashboard!$D$29)</f>
        <v>7920</v>
      </c>
      <c r="M4" s="1145">
        <f>IF(M$3&lt;=0,0,Assumptions_Dashboard!$D$29)</f>
        <v>7920</v>
      </c>
      <c r="N4" s="1145">
        <f>IF(N$3&lt;=0,0,Assumptions_Dashboard!$D$29)</f>
        <v>7920</v>
      </c>
      <c r="O4" s="1145">
        <f>IF(O$3&lt;=0,0,Assumptions_Dashboard!$D$29)</f>
        <v>7920</v>
      </c>
      <c r="P4" s="1145">
        <f>IF(P$3&lt;=0,0,Assumptions_Dashboard!$D$29)</f>
        <v>7920</v>
      </c>
      <c r="Q4" s="1145">
        <f>IF(Q$3&lt;=0,0,Assumptions_Dashboard!$D$29)</f>
        <v>7920</v>
      </c>
      <c r="R4" s="1145">
        <f>IF(R$3&lt;=0,0,Assumptions_Dashboard!$D$29)</f>
        <v>7920</v>
      </c>
      <c r="S4" s="1145">
        <f>IF(S$3&lt;=0,0,Assumptions_Dashboard!$D$29)</f>
        <v>7920</v>
      </c>
      <c r="T4" s="1145">
        <f>IF(T$3&lt;=0,0,Assumptions_Dashboard!$D$29)</f>
        <v>7920</v>
      </c>
      <c r="U4" s="1145">
        <f>IF(U$3&lt;=0,0,Assumptions_Dashboard!$D$29)</f>
        <v>7920</v>
      </c>
      <c r="V4" s="1145">
        <f>IF(V$3&lt;=0,0,Assumptions_Dashboard!$D$29)</f>
        <v>7920</v>
      </c>
      <c r="W4" s="1145">
        <f>IF(W$3&lt;=0,0,Assumptions_Dashboard!$D$29)</f>
        <v>7920</v>
      </c>
      <c r="X4" s="1145">
        <f>IF(X$3&lt;=0,0,Assumptions_Dashboard!$D$29)</f>
        <v>7920</v>
      </c>
      <c r="Y4" s="1145">
        <f>IF(Y$3&lt;=0,0,Assumptions_Dashboard!$D$29)</f>
        <v>7920</v>
      </c>
      <c r="Z4" s="1145">
        <f>IF(Z$3&lt;=0,0,Assumptions_Dashboard!$D$29)</f>
        <v>7920</v>
      </c>
      <c r="AA4" s="1145">
        <f>IF(AA$3&lt;=0,0,Assumptions_Dashboard!$D$29)</f>
        <v>7920</v>
      </c>
    </row>
    <row r="5" spans="1:27">
      <c r="B5" s="1142" t="s">
        <v>404</v>
      </c>
      <c r="C5" s="1143" t="s">
        <v>113</v>
      </c>
      <c r="D5" s="1144">
        <f>SUM(E5:AA5)</f>
        <v>225.70440651000001</v>
      </c>
      <c r="E5" s="1146"/>
      <c r="F5" s="1147"/>
      <c r="G5" s="1147"/>
      <c r="H5" s="1147"/>
      <c r="I5" s="1147">
        <f t="array" ref="I5:AA5">TRANSPOSE(K42:K60)</f>
        <v>1.9999997549999999</v>
      </c>
      <c r="J5" s="1147">
        <v>3.9999986549999997</v>
      </c>
      <c r="K5" s="1147">
        <v>8.00000073</v>
      </c>
      <c r="L5" s="1147">
        <v>11.999998529999999</v>
      </c>
      <c r="M5" s="1147">
        <v>14.99999517</v>
      </c>
      <c r="N5" s="1147">
        <v>15.000007140000001</v>
      </c>
      <c r="O5" s="1147">
        <v>14.999998590000001</v>
      </c>
      <c r="P5" s="1147">
        <v>14.999996879999999</v>
      </c>
      <c r="Q5" s="1147">
        <v>15.000003719999999</v>
      </c>
      <c r="R5" s="1147">
        <v>14.99999517</v>
      </c>
      <c r="S5" s="1147">
        <v>14.999996879999999</v>
      </c>
      <c r="T5" s="1147">
        <v>15.000002009999999</v>
      </c>
      <c r="U5" s="1147">
        <v>15.00001569</v>
      </c>
      <c r="V5" s="1147">
        <v>15.000002009999999</v>
      </c>
      <c r="W5" s="1147">
        <v>15.000002009999999</v>
      </c>
      <c r="X5" s="1147">
        <v>15.000000299999998</v>
      </c>
      <c r="Y5" s="1147">
        <v>9.9999996299999996</v>
      </c>
      <c r="Z5" s="1147">
        <v>7.5000027149999999</v>
      </c>
      <c r="AA5" s="1147">
        <v>2.2043909249999998</v>
      </c>
    </row>
    <row r="6" spans="1:27">
      <c r="A6" s="107">
        <f>IF(Assumptions_Dashboard!L2="Surface Miner",Assumptions_Dashboard!D81,100%)</f>
        <v>0.15</v>
      </c>
      <c r="B6" s="1148" t="s">
        <v>405</v>
      </c>
      <c r="C6" s="1143" t="s">
        <v>113</v>
      </c>
      <c r="D6" s="1144">
        <f>SUM(E6:AA6)</f>
        <v>38.955659624999996</v>
      </c>
      <c r="E6" s="1149"/>
      <c r="F6" s="1149"/>
      <c r="G6" s="1149"/>
      <c r="H6" s="1150"/>
      <c r="I6" s="1150">
        <f>IF(Assumptions_Dashboard!$D$80&gt;=I3,I5,I5*$A$6)</f>
        <v>1.9999997549999999</v>
      </c>
      <c r="J6" s="1150">
        <f>IF(Assumptions_Dashboard!$D$80&gt;=J3,J5,J5*$A$6)</f>
        <v>3.9999986549999997</v>
      </c>
      <c r="K6" s="1150">
        <f>IF(Assumptions_Dashboard!$D$80&gt;=K3,K5,K5*$A$6)</f>
        <v>1.2000001094999999</v>
      </c>
      <c r="L6" s="1150">
        <f>IF(Assumptions_Dashboard!$D$80&gt;=L3,L5,L5*$A$6)</f>
        <v>1.7999997794999998</v>
      </c>
      <c r="M6" s="1150">
        <f>IF(Assumptions_Dashboard!$D$80&gt;=M3,M5,M5*$A$6)</f>
        <v>2.2499992755</v>
      </c>
      <c r="N6" s="1150">
        <f>IF(Assumptions_Dashboard!$D$80&gt;=N3,N5,N5*$A$6)</f>
        <v>2.2500010710000002</v>
      </c>
      <c r="O6" s="1150">
        <f>IF(Assumptions_Dashboard!$D$80&gt;=O3,O5,O5*$A$6)</f>
        <v>2.2499997884999998</v>
      </c>
      <c r="P6" s="1150">
        <f>IF(Assumptions_Dashboard!$D$80&gt;=P3,P5,P5*$A$6)</f>
        <v>2.2499995319999999</v>
      </c>
      <c r="Q6" s="1150">
        <f>IF(Assumptions_Dashboard!$D$80&gt;=Q3,Q5,Q5*$A$6)</f>
        <v>2.2500005579999995</v>
      </c>
      <c r="R6" s="1150">
        <f>IF(Assumptions_Dashboard!$D$80&gt;=R3,R5,R5*$A$6)</f>
        <v>2.2499992755</v>
      </c>
      <c r="S6" s="1150">
        <f>IF(Assumptions_Dashboard!$D$80&gt;=S3,S5,S5*$A$6)</f>
        <v>2.2499995319999999</v>
      </c>
      <c r="T6" s="1150">
        <f>IF(Assumptions_Dashboard!$D$80&gt;=T3,T5,T5*$A$6)</f>
        <v>2.2500003014999996</v>
      </c>
      <c r="U6" s="1150">
        <f>IF(Assumptions_Dashboard!$D$80&gt;=U3,U5,U5*$A$6)</f>
        <v>2.2500023534999998</v>
      </c>
      <c r="V6" s="1150">
        <f>IF(Assumptions_Dashboard!$D$80&gt;=V3,V5,V5*$A$6)</f>
        <v>2.2500003014999996</v>
      </c>
      <c r="W6" s="1150">
        <f>IF(Assumptions_Dashboard!$D$80&gt;=W3,W5,W5*$A$6)</f>
        <v>2.2500003014999996</v>
      </c>
      <c r="X6" s="1150">
        <f>IF(Assumptions_Dashboard!$D$80&gt;=X3,X5,X5*$A$6)</f>
        <v>2.2500000449999997</v>
      </c>
      <c r="Y6" s="1150">
        <f>IF(Assumptions_Dashboard!$D$80&gt;=Y3,Y5,Y5*$A$6)</f>
        <v>1.4999999444999998</v>
      </c>
      <c r="Z6" s="1150">
        <f>IF(Assumptions_Dashboard!$D$80&gt;=Z3,Z5,Z5*$A$6)</f>
        <v>1.1250004072499999</v>
      </c>
      <c r="AA6" s="1150">
        <f>IF(Assumptions_Dashboard!$D$80&gt;=AA3,AA5,AA5*$A$6)</f>
        <v>0.33065863874999996</v>
      </c>
    </row>
    <row r="7" spans="1:27">
      <c r="B7" s="1148" t="s">
        <v>406</v>
      </c>
      <c r="C7" s="1143" t="s">
        <v>113</v>
      </c>
      <c r="D7" s="1144">
        <f>SUM(E7:AA7)</f>
        <v>186.748746885</v>
      </c>
      <c r="E7" s="1151"/>
      <c r="F7" s="1151"/>
      <c r="G7" s="1151"/>
      <c r="H7" s="1151"/>
      <c r="I7" s="1152">
        <f>I5-I6</f>
        <v>0</v>
      </c>
      <c r="J7" s="1152">
        <f t="shared" ref="J7:AA7" si="1">J5-J6</f>
        <v>0</v>
      </c>
      <c r="K7" s="1152">
        <f t="shared" si="1"/>
        <v>6.8000006205000005</v>
      </c>
      <c r="L7" s="1152">
        <f t="shared" si="1"/>
        <v>10.199998750499999</v>
      </c>
      <c r="M7" s="1152">
        <f>M5-M6</f>
        <v>12.7499958945</v>
      </c>
      <c r="N7" s="1152">
        <f>N5-N6</f>
        <v>12.750006069000001</v>
      </c>
      <c r="O7" s="1152">
        <f t="shared" si="1"/>
        <v>12.7499988015</v>
      </c>
      <c r="P7" s="1152">
        <f>P5-P6</f>
        <v>12.749997347999999</v>
      </c>
      <c r="Q7" s="1152">
        <f t="shared" si="1"/>
        <v>12.750003161999999</v>
      </c>
      <c r="R7" s="1152">
        <f t="shared" si="1"/>
        <v>12.7499958945</v>
      </c>
      <c r="S7" s="1152">
        <f t="shared" si="1"/>
        <v>12.749997347999999</v>
      </c>
      <c r="T7" s="1152">
        <f t="shared" si="1"/>
        <v>12.750001708499999</v>
      </c>
      <c r="U7" s="1152">
        <f t="shared" si="1"/>
        <v>12.7500133365</v>
      </c>
      <c r="V7" s="1152">
        <f t="shared" si="1"/>
        <v>12.750001708499999</v>
      </c>
      <c r="W7" s="1152">
        <f t="shared" si="1"/>
        <v>12.750001708499999</v>
      </c>
      <c r="X7" s="1152">
        <f t="shared" si="1"/>
        <v>12.750000254999998</v>
      </c>
      <c r="Y7" s="1152">
        <f t="shared" si="1"/>
        <v>8.4999996855000006</v>
      </c>
      <c r="Z7" s="1152">
        <f t="shared" si="1"/>
        <v>6.37500230775</v>
      </c>
      <c r="AA7" s="1152">
        <f t="shared" si="1"/>
        <v>1.8737322862499999</v>
      </c>
    </row>
    <row r="8" spans="1:27">
      <c r="B8" s="1142" t="s">
        <v>407</v>
      </c>
      <c r="C8" s="1143" t="s">
        <v>118</v>
      </c>
      <c r="D8" s="1144">
        <f>SUM(E8:AA8)</f>
        <v>535.39467341478871</v>
      </c>
      <c r="E8" s="1153"/>
      <c r="F8" s="1153"/>
      <c r="G8" s="1153"/>
      <c r="H8" s="1153"/>
      <c r="I8" s="1147">
        <f t="array" ref="I8:AA8">TRANSPOSE(O42:O60)</f>
        <v>11.466045729050279</v>
      </c>
      <c r="J8" s="1147">
        <v>9.5178188259668506</v>
      </c>
      <c r="K8" s="1147">
        <v>17.240514972375692</v>
      </c>
      <c r="L8" s="1147">
        <v>36.817196150000001</v>
      </c>
      <c r="M8" s="1147">
        <v>35.420574905555554</v>
      </c>
      <c r="N8" s="1147">
        <v>47.463611318435753</v>
      </c>
      <c r="O8" s="1147">
        <v>43.447467227777778</v>
      </c>
      <c r="P8" s="1147">
        <v>36.33747506666667</v>
      </c>
      <c r="Q8" s="1147">
        <v>37.865191711111116</v>
      </c>
      <c r="R8" s="1147">
        <v>33.778948184357539</v>
      </c>
      <c r="S8" s="1147">
        <v>38.053482346368718</v>
      </c>
      <c r="T8" s="1147">
        <v>28.983164832402235</v>
      </c>
      <c r="U8" s="1147">
        <v>25.4498801284916</v>
      </c>
      <c r="V8" s="1147">
        <v>31.615550832402231</v>
      </c>
      <c r="W8" s="1147">
        <v>31.515274825842699</v>
      </c>
      <c r="X8" s="1147">
        <v>40.123366662921349</v>
      </c>
      <c r="Y8" s="1147">
        <v>24.726595192090397</v>
      </c>
      <c r="Z8" s="1147">
        <v>4.2960406619318183</v>
      </c>
      <c r="AA8" s="1147">
        <v>1.2764738410404626</v>
      </c>
    </row>
    <row r="9" spans="1:27">
      <c r="B9" s="1154" t="s">
        <v>408</v>
      </c>
      <c r="C9" s="1143" t="s">
        <v>118</v>
      </c>
      <c r="D9" s="1144">
        <f>SUM(E9:AO9)</f>
        <v>1.6670316879999998</v>
      </c>
      <c r="E9" s="1153"/>
      <c r="F9" s="1153"/>
      <c r="G9" s="1153"/>
      <c r="H9" s="1153"/>
      <c r="I9" s="1153">
        <v>6.1151144999999997E-2</v>
      </c>
      <c r="J9" s="1153">
        <v>8.6432905000000004E-2</v>
      </c>
      <c r="K9" s="1153">
        <v>0.17890220499999998</v>
      </c>
      <c r="L9" s="1153">
        <v>0.20884342</v>
      </c>
      <c r="M9" s="1153">
        <v>0.161722595</v>
      </c>
      <c r="N9" s="1153">
        <v>9.4374156000000001E-2</v>
      </c>
      <c r="O9" s="1153">
        <v>9.4374156000000001E-2</v>
      </c>
      <c r="P9" s="1153">
        <v>9.4374156000000001E-2</v>
      </c>
      <c r="Q9" s="1153">
        <v>9.4374156000000001E-2</v>
      </c>
      <c r="R9" s="1153">
        <v>9.4374156000000001E-2</v>
      </c>
      <c r="S9" s="1153">
        <v>5.8265400000000002E-2</v>
      </c>
      <c r="T9" s="1153">
        <v>5.8265400000000002E-2</v>
      </c>
      <c r="U9" s="1153">
        <v>5.8265400000000002E-2</v>
      </c>
      <c r="V9" s="1153">
        <v>5.8265400000000002E-2</v>
      </c>
      <c r="W9" s="1153">
        <v>5.8265400000000002E-2</v>
      </c>
      <c r="X9" s="1153">
        <v>5.1695409499999997E-2</v>
      </c>
      <c r="Y9" s="1153">
        <v>5.1695409499999997E-2</v>
      </c>
      <c r="Z9" s="1153">
        <v>5.1695409499999997E-2</v>
      </c>
      <c r="AA9" s="1153">
        <v>5.1695409499999997E-2</v>
      </c>
    </row>
    <row r="10" spans="1:27">
      <c r="B10" s="1154" t="s">
        <v>409</v>
      </c>
      <c r="C10" s="1143" t="s">
        <v>118</v>
      </c>
      <c r="D10" s="1144">
        <f>SUM(E10:AA10)</f>
        <v>121.47374319740139</v>
      </c>
      <c r="E10" s="747"/>
      <c r="F10" s="747"/>
      <c r="G10" s="747"/>
      <c r="H10" s="747"/>
      <c r="I10" s="748">
        <f>I8-I9-I11</f>
        <v>2.5760393726815636</v>
      </c>
      <c r="J10" s="748">
        <f t="shared" ref="J10:AA10" si="2">J8-J9-J11</f>
        <v>2.1026654249723746</v>
      </c>
      <c r="K10" s="748">
        <f t="shared" si="2"/>
        <v>3.7864162386464084</v>
      </c>
      <c r="L10" s="748">
        <f t="shared" si="2"/>
        <v>8.2591116944999996</v>
      </c>
      <c r="M10" s="748">
        <f t="shared" si="2"/>
        <v>7.9850096332777767</v>
      </c>
      <c r="N10" s="748">
        <f t="shared" si="2"/>
        <v>10.822256447240221</v>
      </c>
      <c r="O10" s="748">
        <f t="shared" si="2"/>
        <v>9.8985433063888877</v>
      </c>
      <c r="P10" s="748">
        <f t="shared" si="2"/>
        <v>8.263245109333333</v>
      </c>
      <c r="Q10" s="748">
        <f t="shared" si="2"/>
        <v>8.6146199375555561</v>
      </c>
      <c r="R10" s="748">
        <f t="shared" si="2"/>
        <v>7.6747839264022311</v>
      </c>
      <c r="S10" s="748">
        <f t="shared" si="2"/>
        <v>8.6940355396647995</v>
      </c>
      <c r="T10" s="748">
        <f t="shared" si="2"/>
        <v>6.6078625114525131</v>
      </c>
      <c r="U10" s="748">
        <f t="shared" si="2"/>
        <v>5.7952070295530689</v>
      </c>
      <c r="V10" s="748">
        <f t="shared" si="2"/>
        <v>7.2133112914525128</v>
      </c>
      <c r="W10" s="748">
        <f t="shared" si="2"/>
        <v>7.1902478099438198</v>
      </c>
      <c r="X10" s="748">
        <f t="shared" si="2"/>
        <v>9.1766789229719095</v>
      </c>
      <c r="Y10" s="748">
        <f t="shared" si="2"/>
        <v>5.6354214846807906</v>
      </c>
      <c r="Z10" s="748">
        <f t="shared" si="2"/>
        <v>0.93639394274431842</v>
      </c>
      <c r="AA10" s="748">
        <f t="shared" si="2"/>
        <v>0.24189357393930644</v>
      </c>
    </row>
    <row r="11" spans="1:27">
      <c r="A11" s="96">
        <v>0.77</v>
      </c>
      <c r="B11" s="1154" t="s">
        <v>410</v>
      </c>
      <c r="C11" s="1143" t="s">
        <v>118</v>
      </c>
      <c r="D11" s="1144">
        <f>SUM(E11:AA11)</f>
        <v>412.25389852938741</v>
      </c>
      <c r="E11" s="747"/>
      <c r="F11" s="747"/>
      <c r="G11" s="747"/>
      <c r="H11" s="747"/>
      <c r="I11" s="748">
        <f>I8*$A$11</f>
        <v>8.8288552113687153</v>
      </c>
      <c r="J11" s="748">
        <f t="shared" ref="J11:AA11" si="3">J8*$A$11</f>
        <v>7.3287204959944754</v>
      </c>
      <c r="K11" s="748">
        <f t="shared" si="3"/>
        <v>13.275196528729284</v>
      </c>
      <c r="L11" s="748">
        <f t="shared" si="3"/>
        <v>28.3492410355</v>
      </c>
      <c r="M11" s="748">
        <f t="shared" si="3"/>
        <v>27.273842677277777</v>
      </c>
      <c r="N11" s="748">
        <f t="shared" si="3"/>
        <v>36.546980715195531</v>
      </c>
      <c r="O11" s="748">
        <f t="shared" si="3"/>
        <v>33.45454976538889</v>
      </c>
      <c r="P11" s="748">
        <f t="shared" si="3"/>
        <v>27.979855801333336</v>
      </c>
      <c r="Q11" s="748">
        <f t="shared" si="3"/>
        <v>29.156197617555559</v>
      </c>
      <c r="R11" s="748">
        <f t="shared" si="3"/>
        <v>26.009790101955307</v>
      </c>
      <c r="S11" s="748">
        <f t="shared" si="3"/>
        <v>29.301181406703915</v>
      </c>
      <c r="T11" s="748">
        <f>T8*$A$11</f>
        <v>22.317036920949722</v>
      </c>
      <c r="U11" s="748">
        <f t="shared" si="3"/>
        <v>19.596407698938531</v>
      </c>
      <c r="V11" s="748">
        <f t="shared" si="3"/>
        <v>24.343974140949719</v>
      </c>
      <c r="W11" s="748">
        <f t="shared" si="3"/>
        <v>24.266761615898879</v>
      </c>
      <c r="X11" s="748">
        <f t="shared" si="3"/>
        <v>30.89499233044944</v>
      </c>
      <c r="Y11" s="748">
        <f t="shared" si="3"/>
        <v>19.039478297909607</v>
      </c>
      <c r="Z11" s="748">
        <f t="shared" si="3"/>
        <v>3.3079513096875002</v>
      </c>
      <c r="AA11" s="748">
        <f t="shared" si="3"/>
        <v>0.98288485760115618</v>
      </c>
    </row>
    <row r="12" spans="1:27">
      <c r="A12" s="96">
        <v>0.05</v>
      </c>
      <c r="B12" s="1155" t="s">
        <v>411</v>
      </c>
      <c r="C12" s="1143" t="s">
        <v>118</v>
      </c>
      <c r="D12" s="1144">
        <f>SUM(E12:AA12)</f>
        <v>6.5611746078488355</v>
      </c>
      <c r="E12" s="747"/>
      <c r="F12" s="747"/>
      <c r="G12" s="747"/>
      <c r="H12" s="747"/>
      <c r="I12" s="748">
        <f>I5/Assumptions_Dashboard!$D$32*$A$12</f>
        <v>5.813952776162791E-2</v>
      </c>
      <c r="J12" s="748">
        <f>J5/Assumptions_Dashboard!$D$32*$A$12</f>
        <v>0.11627903066860466</v>
      </c>
      <c r="K12" s="748">
        <f>K5/Assumptions_Dashboard!$D$32*$A$12</f>
        <v>0.23255816075581395</v>
      </c>
      <c r="L12" s="748">
        <f>L5/Assumptions_Dashboard!$D$32*$A$12</f>
        <v>0.34883716656976743</v>
      </c>
      <c r="M12" s="748">
        <f>M5/Assumptions_Dashboard!$D$32*$A$12</f>
        <v>0.43604637122093026</v>
      </c>
      <c r="N12" s="748">
        <f>N5/Assumptions_Dashboard!$D$32*$A$12</f>
        <v>0.43604671918604654</v>
      </c>
      <c r="O12" s="748">
        <f>O5/Assumptions_Dashboard!$D$32*$A$12</f>
        <v>0.43604647063953489</v>
      </c>
      <c r="P12" s="748">
        <f>P5/Assumptions_Dashboard!$D$32*$A$12</f>
        <v>0.43604642093023255</v>
      </c>
      <c r="Q12" s="748">
        <f>Q5/Assumptions_Dashboard!$D$32*$A$12</f>
        <v>0.4360466197674418</v>
      </c>
      <c r="R12" s="748">
        <f>R5/Assumptions_Dashboard!$D$32*$A$12</f>
        <v>0.43604637122093026</v>
      </c>
      <c r="S12" s="748">
        <f>S5/Assumptions_Dashboard!$D$32*$A$12</f>
        <v>0.43604642093023255</v>
      </c>
      <c r="T12" s="748">
        <f>T5/Assumptions_Dashboard!$D$32*$A$12</f>
        <v>0.43604657005813952</v>
      </c>
      <c r="U12" s="748">
        <f>U5/Assumptions_Dashboard!$D$32*$A$12</f>
        <v>0.43604696773255819</v>
      </c>
      <c r="V12" s="748">
        <f>V5/Assumptions_Dashboard!$D$32*$A$12</f>
        <v>0.43604657005813952</v>
      </c>
      <c r="W12" s="748">
        <f>W5/Assumptions_Dashboard!$D$32*$A$12</f>
        <v>0.43604657005813952</v>
      </c>
      <c r="X12" s="748">
        <f>X5/Assumptions_Dashboard!$D$32*$A$12</f>
        <v>0.43604652034883717</v>
      </c>
      <c r="Y12" s="748">
        <f>Y5/Assumptions_Dashboard!$D$32*$A$12</f>
        <v>0.29069766366279071</v>
      </c>
      <c r="Z12" s="748">
        <f>Z5/Assumptions_Dashboard!$D$32*$A$12</f>
        <v>0.2180233347383721</v>
      </c>
      <c r="AA12" s="748">
        <f>AA5/Assumptions_Dashboard!$D$32*$A$12</f>
        <v>6.4081131540697667E-2</v>
      </c>
    </row>
    <row r="13" spans="1:27">
      <c r="A13" s="180"/>
      <c r="B13" s="1155" t="s">
        <v>412</v>
      </c>
      <c r="C13" s="1143" t="s">
        <v>118</v>
      </c>
      <c r="D13" s="1144">
        <f>SUM(E13:AO13)</f>
        <v>75.64</v>
      </c>
      <c r="E13" s="741"/>
      <c r="F13" s="741"/>
      <c r="G13" s="741"/>
      <c r="H13" s="741"/>
      <c r="I13" s="741"/>
      <c r="J13" s="741"/>
      <c r="K13" s="741"/>
      <c r="L13" s="741"/>
      <c r="M13" s="741"/>
      <c r="N13" s="741"/>
      <c r="O13" s="741">
        <v>11.85</v>
      </c>
      <c r="P13" s="741">
        <v>11.85</v>
      </c>
      <c r="Q13" s="741">
        <v>11.85</v>
      </c>
      <c r="R13" s="741">
        <v>11.85</v>
      </c>
      <c r="S13" s="741">
        <v>7.06</v>
      </c>
      <c r="T13" s="741">
        <v>7.06</v>
      </c>
      <c r="U13" s="741">
        <v>7.06</v>
      </c>
      <c r="V13" s="741">
        <v>7.06</v>
      </c>
      <c r="W13" s="741"/>
      <c r="X13" s="741"/>
      <c r="Y13" s="741"/>
      <c r="Z13" s="741"/>
      <c r="AA13" s="741"/>
    </row>
    <row r="14" spans="1:27">
      <c r="B14" s="1155" t="s">
        <v>413</v>
      </c>
      <c r="C14" s="1143" t="s">
        <v>414</v>
      </c>
      <c r="D14" s="1144">
        <f>SUMPRODUCT(E5:AA5,E14:AA14)/D5</f>
        <v>3113.3822718404308</v>
      </c>
      <c r="E14" s="1156"/>
      <c r="F14" s="1156"/>
      <c r="G14" s="1156"/>
      <c r="H14" s="1156"/>
      <c r="I14" s="1157">
        <f t="array" ref="I14:AA14">TRANSPOSE(M42:M60)</f>
        <v>3210</v>
      </c>
      <c r="J14" s="1157">
        <v>3150</v>
      </c>
      <c r="K14" s="1157">
        <v>3160</v>
      </c>
      <c r="L14" s="1157">
        <v>3150</v>
      </c>
      <c r="M14" s="1157">
        <v>3120</v>
      </c>
      <c r="N14" s="1157">
        <v>3190</v>
      </c>
      <c r="O14" s="1157">
        <v>3090</v>
      </c>
      <c r="P14" s="1157">
        <v>3160</v>
      </c>
      <c r="Q14" s="1157">
        <v>3190</v>
      </c>
      <c r="R14" s="1157">
        <v>3280</v>
      </c>
      <c r="S14" s="1157">
        <v>3280</v>
      </c>
      <c r="T14" s="1157">
        <v>3020</v>
      </c>
      <c r="U14" s="1157">
        <v>3120</v>
      </c>
      <c r="V14" s="1157">
        <v>3100</v>
      </c>
      <c r="W14" s="1157">
        <v>2850</v>
      </c>
      <c r="X14" s="1157">
        <v>2970</v>
      </c>
      <c r="Y14" s="1157">
        <v>3020</v>
      </c>
      <c r="Z14" s="1157">
        <v>3040</v>
      </c>
      <c r="AA14" s="1157">
        <v>3200</v>
      </c>
    </row>
    <row r="15" spans="1:27">
      <c r="B15" s="1142" t="s">
        <v>415</v>
      </c>
      <c r="C15" s="1158" t="s">
        <v>416</v>
      </c>
      <c r="D15" s="1101"/>
      <c r="E15" s="1159"/>
      <c r="F15" s="1159"/>
      <c r="G15" s="1159"/>
      <c r="H15" s="1159"/>
      <c r="I15" s="1159"/>
      <c r="J15" s="1159"/>
      <c r="K15" s="1159"/>
      <c r="L15" s="1159"/>
      <c r="M15" s="1159"/>
      <c r="N15" s="1159"/>
      <c r="O15" s="1159"/>
      <c r="P15" s="1159"/>
      <c r="Q15" s="1159"/>
      <c r="R15" s="1159"/>
      <c r="S15" s="1159"/>
      <c r="T15" s="1159"/>
      <c r="U15" s="1159"/>
      <c r="V15" s="1159"/>
      <c r="W15" s="1159"/>
      <c r="X15" s="1159"/>
      <c r="Y15" s="1159"/>
      <c r="Z15" s="1159"/>
      <c r="AA15" s="1159"/>
    </row>
    <row r="16" spans="1:27">
      <c r="B16" s="1142" t="s">
        <v>417</v>
      </c>
      <c r="C16" s="1161" t="s">
        <v>131</v>
      </c>
      <c r="D16" s="809"/>
      <c r="E16" s="1160"/>
      <c r="F16" s="1160"/>
      <c r="G16" s="1160"/>
      <c r="H16" s="1160"/>
      <c r="I16" s="1160"/>
      <c r="J16" s="1160"/>
      <c r="K16" s="1160"/>
      <c r="L16" s="1160"/>
      <c r="M16" s="1160"/>
      <c r="N16" s="1160"/>
      <c r="O16" s="1160"/>
      <c r="P16" s="1160"/>
      <c r="Q16" s="1160"/>
      <c r="R16" s="1160"/>
      <c r="S16" s="1160"/>
      <c r="T16" s="1160"/>
      <c r="U16" s="1160"/>
      <c r="V16" s="1160"/>
      <c r="W16" s="1160"/>
      <c r="X16" s="1160"/>
      <c r="Y16" s="1160"/>
      <c r="Z16" s="1160"/>
      <c r="AA16" s="1160"/>
    </row>
    <row r="17" spans="2:27">
      <c r="B17" s="1142" t="s">
        <v>418</v>
      </c>
      <c r="C17" s="1162" t="s">
        <v>131</v>
      </c>
      <c r="D17" s="1163"/>
      <c r="E17" s="1164"/>
      <c r="F17" s="1164"/>
      <c r="G17" s="1164"/>
      <c r="H17" s="1164"/>
      <c r="I17" s="1164"/>
      <c r="J17" s="1164"/>
      <c r="K17" s="1164"/>
      <c r="L17" s="1164"/>
      <c r="M17" s="1164"/>
      <c r="N17" s="1164"/>
      <c r="O17" s="1164"/>
      <c r="P17" s="1164"/>
      <c r="Q17" s="1164"/>
      <c r="R17" s="1164"/>
      <c r="S17" s="1164"/>
      <c r="T17" s="1164"/>
      <c r="U17" s="1164"/>
      <c r="V17" s="1164"/>
      <c r="W17" s="1164"/>
      <c r="X17" s="1164"/>
      <c r="Y17" s="1164"/>
      <c r="Z17" s="1164"/>
      <c r="AA17" s="1164"/>
    </row>
    <row r="18" spans="2:27">
      <c r="B18" s="1142" t="s">
        <v>419</v>
      </c>
      <c r="C18" s="1165"/>
      <c r="D18" s="1166"/>
      <c r="E18" s="1167"/>
      <c r="F18" s="1167"/>
      <c r="G18" s="1167"/>
      <c r="H18" s="1168"/>
      <c r="I18" s="1168"/>
      <c r="J18" s="1168"/>
      <c r="K18" s="1168"/>
      <c r="L18" s="1168"/>
      <c r="M18" s="1168"/>
      <c r="N18" s="1167"/>
      <c r="O18" s="1167"/>
      <c r="P18" s="1167"/>
      <c r="Q18" s="1167"/>
      <c r="R18" s="1167"/>
      <c r="S18" s="1167"/>
      <c r="T18" s="1167"/>
      <c r="U18" s="1167"/>
      <c r="V18" s="1167"/>
      <c r="W18" s="1167"/>
      <c r="X18" s="1167"/>
      <c r="Y18" s="1167"/>
      <c r="Z18" s="1167"/>
      <c r="AA18" s="1167"/>
    </row>
    <row r="19" spans="2:27">
      <c r="B19" s="1169" t="s">
        <v>420</v>
      </c>
      <c r="C19" s="1170" t="s">
        <v>421</v>
      </c>
      <c r="D19" s="804"/>
      <c r="E19" s="1171"/>
      <c r="F19" s="1172"/>
      <c r="G19" s="1172"/>
      <c r="H19" s="1172"/>
      <c r="I19" s="1172">
        <f t="shared" ref="I19:AA19" si="4">I8/I5</f>
        <v>5.7330235668205267</v>
      </c>
      <c r="J19" s="1172">
        <f t="shared" si="4"/>
        <v>2.3794555065836267</v>
      </c>
      <c r="K19" s="1172">
        <f t="shared" si="4"/>
        <v>2.1550641748973556</v>
      </c>
      <c r="L19" s="1172">
        <f t="shared" si="4"/>
        <v>3.0681000550089239</v>
      </c>
      <c r="M19" s="1172">
        <f t="shared" si="4"/>
        <v>2.3613724207322897</v>
      </c>
      <c r="N19" s="1172">
        <f t="shared" si="4"/>
        <v>3.1642392483845012</v>
      </c>
      <c r="O19" s="1172">
        <f t="shared" si="4"/>
        <v>2.8964980874560053</v>
      </c>
      <c r="P19" s="1172">
        <f t="shared" si="4"/>
        <v>2.422498841657537</v>
      </c>
      <c r="Q19" s="1172">
        <f t="shared" si="4"/>
        <v>2.5243454880363938</v>
      </c>
      <c r="R19" s="1172">
        <f t="shared" si="4"/>
        <v>2.2519306040788236</v>
      </c>
      <c r="S19" s="1172">
        <f t="shared" si="4"/>
        <v>2.5368993507663129</v>
      </c>
      <c r="T19" s="1172">
        <f t="shared" si="4"/>
        <v>1.932210729910578</v>
      </c>
      <c r="U19" s="1172">
        <f t="shared" si="4"/>
        <v>1.6966569005296555</v>
      </c>
      <c r="V19" s="1172">
        <f t="shared" si="4"/>
        <v>2.1077031063945992</v>
      </c>
      <c r="W19" s="1172">
        <f t="shared" si="4"/>
        <v>2.1010180401864291</v>
      </c>
      <c r="X19" s="1172">
        <f t="shared" si="4"/>
        <v>2.6748910573636024</v>
      </c>
      <c r="Y19" s="1172">
        <f t="shared" si="4"/>
        <v>2.4726596106974452</v>
      </c>
      <c r="Z19" s="1172">
        <f t="shared" si="4"/>
        <v>0.57280521423542152</v>
      </c>
      <c r="AA19" s="1172">
        <f t="shared" si="4"/>
        <v>0.57905965160896433</v>
      </c>
    </row>
    <row r="20" spans="2:27">
      <c r="B20" s="1173" t="s">
        <v>422</v>
      </c>
      <c r="C20" s="1174" t="s">
        <v>421</v>
      </c>
      <c r="D20" s="1175">
        <f>D8/D5</f>
        <v>2.3721055414621142</v>
      </c>
      <c r="E20" s="1171"/>
      <c r="F20" s="1172"/>
      <c r="G20" s="1172"/>
      <c r="H20" s="1172"/>
      <c r="I20" s="1172">
        <f>I8/I5</f>
        <v>5.7330235668205267</v>
      </c>
      <c r="J20" s="1172">
        <f>SUM($I$8:J8)/SUM($I$5:J5)</f>
        <v>3.4973116859571181</v>
      </c>
      <c r="K20" s="1172">
        <f>SUM($I$8:K8)/SUM($I$5:K5)</f>
        <v>2.7303129911044279</v>
      </c>
      <c r="L20" s="1172">
        <f>SUM($I$8:L8)/SUM($I$5:L5)</f>
        <v>2.8862147077797342</v>
      </c>
      <c r="M20" s="1172">
        <f>SUM($I$8:M8)/SUM($I$5:M5)</f>
        <v>2.6941992652052469</v>
      </c>
      <c r="N20" s="1172">
        <f>SUM($I$8:N8)/SUM($I$5:N5)</f>
        <v>2.8201028921033249</v>
      </c>
      <c r="O20" s="1172">
        <f>SUM($I$8:O8)/SUM($I$5:O5)</f>
        <v>2.836242720915338</v>
      </c>
      <c r="P20" s="1172">
        <f>SUM($I$8:P8)/SUM($I$5:P5)</f>
        <v>2.7640781020044649</v>
      </c>
      <c r="Q20" s="1172">
        <f>SUM($I$8:Q8)/SUM($I$5:Q5)</f>
        <v>2.7284742393225083</v>
      </c>
      <c r="R20" s="1172">
        <f>SUM($I$8:R8)/SUM($I$5:R5)</f>
        <v>2.6668522343593182</v>
      </c>
      <c r="S20" s="1172">
        <f>SUM($I$8:S8)/SUM($I$5:S5)</f>
        <v>2.6519721352822998</v>
      </c>
      <c r="T20" s="1172">
        <f>SUM($I$8:T8)/SUM($I$5:T5)</f>
        <v>2.5780240323513075</v>
      </c>
      <c r="U20" s="1172">
        <f>SUM($I$8:U8)/SUM($I$5:U5)</f>
        <v>2.4959090008388292</v>
      </c>
      <c r="V20" s="1172">
        <f>SUM($I$8:V8)/SUM($I$5:V5)</f>
        <v>2.462823268819907</v>
      </c>
      <c r="W20" s="1172">
        <f>SUM($I$8:W8)/SUM($I$5:W5)</f>
        <v>2.4344092437463303</v>
      </c>
      <c r="X20" s="1172">
        <f>SUM($I$8:X8)/SUM($I$5:X5)</f>
        <v>2.4519200546422546</v>
      </c>
      <c r="Y20" s="1172">
        <f>SUM($I$8:Y8)/SUM($I$5:Y5)</f>
        <v>2.4528802191817038</v>
      </c>
      <c r="Z20" s="1172">
        <f>SUM($I$8:Z8)/SUM($I$5:Z5)</f>
        <v>2.389790435475903</v>
      </c>
      <c r="AA20" s="1172">
        <f>SUM($I$8:AA8)/SUM($I$5:AA5)</f>
        <v>2.3721055414621142</v>
      </c>
    </row>
    <row r="21" spans="2:27">
      <c r="B21" s="1177"/>
      <c r="C21" s="1178"/>
      <c r="D21" s="1177"/>
      <c r="E21" s="95"/>
      <c r="F21" s="95"/>
      <c r="G21" s="95"/>
      <c r="H21" s="97"/>
      <c r="I21" s="97"/>
      <c r="J21" s="97"/>
      <c r="K21" s="97"/>
      <c r="L21" s="97"/>
      <c r="M21" s="95"/>
      <c r="N21" s="95"/>
      <c r="O21" s="95"/>
      <c r="P21" s="95"/>
      <c r="Q21" s="95"/>
      <c r="R21" s="95"/>
      <c r="S21" s="95"/>
      <c r="T21" s="95"/>
      <c r="U21" s="95"/>
      <c r="V21" s="95"/>
      <c r="W21" s="95"/>
      <c r="X21" s="95"/>
      <c r="Y21" s="95"/>
      <c r="Z21" s="95"/>
      <c r="AA21" s="95"/>
    </row>
    <row r="22" spans="2:27">
      <c r="B22" s="1179" t="s">
        <v>423</v>
      </c>
      <c r="C22" s="1180"/>
      <c r="D22" s="999"/>
      <c r="E22" s="95"/>
      <c r="F22" s="95"/>
      <c r="G22" s="95"/>
      <c r="H22" s="97"/>
      <c r="I22" s="97"/>
      <c r="J22" s="97"/>
      <c r="K22" s="97"/>
      <c r="L22" s="97"/>
      <c r="M22" s="95"/>
      <c r="N22" s="95"/>
      <c r="O22" s="95"/>
      <c r="P22" s="95"/>
      <c r="Q22" s="95"/>
      <c r="R22" s="95"/>
      <c r="S22" s="95"/>
      <c r="T22" s="95"/>
      <c r="U22" s="95"/>
      <c r="V22" s="95"/>
      <c r="W22" s="95"/>
      <c r="X22" s="95"/>
      <c r="Y22" s="95"/>
      <c r="Z22" s="95"/>
      <c r="AA22" s="95"/>
    </row>
    <row r="23" spans="2:27" ht="14">
      <c r="B23" s="742" t="s">
        <v>424</v>
      </c>
      <c r="C23" s="1181" t="s">
        <v>425</v>
      </c>
      <c r="D23" s="1182">
        <f>SUMPRODUCT(I23:AH23,I5:AH5)/SUM(I5:AH5)</f>
        <v>3.4881879544390646</v>
      </c>
      <c r="E23" s="669"/>
      <c r="F23" s="670"/>
      <c r="G23" s="670"/>
      <c r="H23" s="671"/>
      <c r="I23" s="744">
        <v>1.6</v>
      </c>
      <c r="J23" s="744">
        <v>1.6</v>
      </c>
      <c r="K23" s="744">
        <v>2</v>
      </c>
      <c r="L23" s="744">
        <v>2.5</v>
      </c>
      <c r="M23" s="744">
        <v>2.6</v>
      </c>
      <c r="N23" s="744">
        <v>2.8</v>
      </c>
      <c r="O23" s="744">
        <v>3</v>
      </c>
      <c r="P23" s="744">
        <v>3.2</v>
      </c>
      <c r="Q23" s="744">
        <v>3.4</v>
      </c>
      <c r="R23" s="744">
        <v>3.5</v>
      </c>
      <c r="S23" s="744">
        <v>3.7</v>
      </c>
      <c r="T23" s="744">
        <v>3.8</v>
      </c>
      <c r="U23" s="744">
        <v>4</v>
      </c>
      <c r="V23" s="744">
        <v>4.2</v>
      </c>
      <c r="W23" s="744">
        <v>4.4000000000000004</v>
      </c>
      <c r="X23" s="744">
        <v>4.4000000000000004</v>
      </c>
      <c r="Y23" s="744">
        <v>4.4000000000000004</v>
      </c>
      <c r="Z23" s="744">
        <v>4.4000000000000004</v>
      </c>
      <c r="AA23" s="744">
        <v>4.4000000000000004</v>
      </c>
    </row>
    <row r="24" spans="2:27" ht="14">
      <c r="B24" s="742" t="s">
        <v>426</v>
      </c>
      <c r="C24" s="745" t="s">
        <v>425</v>
      </c>
      <c r="D24" s="1182">
        <f>SUMPRODUCT(I24:AH24,I8:AH8)/SUM(I8:AH8)</f>
        <v>1.7159832639972796</v>
      </c>
      <c r="E24" s="1156"/>
      <c r="F24" s="1156"/>
      <c r="G24" s="1156"/>
      <c r="H24" s="1183"/>
      <c r="I24" s="744">
        <v>1.4757639816533545</v>
      </c>
      <c r="J24" s="744">
        <v>1.8169713233676761</v>
      </c>
      <c r="K24" s="744">
        <v>1.7860171818200261</v>
      </c>
      <c r="L24" s="744">
        <v>1.5927860719688907</v>
      </c>
      <c r="M24" s="744">
        <v>1.2863678700347738</v>
      </c>
      <c r="N24" s="744">
        <v>1.429094296027819</v>
      </c>
      <c r="O24" s="744">
        <v>1.5718207220208642</v>
      </c>
      <c r="P24" s="744">
        <v>1.7145471480139094</v>
      </c>
      <c r="Q24" s="744">
        <v>1.8572735740069546</v>
      </c>
      <c r="R24" s="744">
        <v>2</v>
      </c>
      <c r="S24" s="744">
        <v>1.96</v>
      </c>
      <c r="T24" s="744">
        <v>1.92</v>
      </c>
      <c r="U24" s="744">
        <v>1.88</v>
      </c>
      <c r="V24" s="744">
        <v>1.8399999999999999</v>
      </c>
      <c r="W24" s="744">
        <v>1.8</v>
      </c>
      <c r="X24" s="744">
        <v>1.74</v>
      </c>
      <c r="Y24" s="744">
        <v>1.68</v>
      </c>
      <c r="Z24" s="744">
        <v>1.6199999999999999</v>
      </c>
      <c r="AA24" s="744">
        <v>1.5</v>
      </c>
    </row>
    <row r="25" spans="2:27" ht="14">
      <c r="B25" s="1184" t="s">
        <v>427</v>
      </c>
      <c r="C25" s="745" t="s">
        <v>425</v>
      </c>
      <c r="D25" s="715"/>
      <c r="E25" s="669"/>
      <c r="F25" s="670"/>
      <c r="G25" s="670"/>
      <c r="H25" s="671"/>
      <c r="I25" s="744"/>
      <c r="J25" s="744"/>
      <c r="K25" s="744"/>
      <c r="L25" s="744">
        <v>0.8</v>
      </c>
      <c r="M25" s="744">
        <v>1</v>
      </c>
      <c r="N25" s="744">
        <v>1.429094296027819</v>
      </c>
      <c r="O25" s="744">
        <v>1.5718207220208642</v>
      </c>
      <c r="P25" s="744">
        <v>1.7145471480139094</v>
      </c>
      <c r="Q25" s="744">
        <v>1.8572735740069546</v>
      </c>
      <c r="R25" s="744">
        <v>2</v>
      </c>
      <c r="S25" s="744">
        <v>1.96</v>
      </c>
      <c r="T25" s="744">
        <v>1.92</v>
      </c>
      <c r="U25" s="744">
        <v>1.88</v>
      </c>
      <c r="V25" s="744">
        <v>1.8399999999999999</v>
      </c>
      <c r="W25" s="744">
        <v>1.8</v>
      </c>
      <c r="X25" s="744">
        <v>1.74</v>
      </c>
      <c r="Y25" s="744">
        <v>1.68</v>
      </c>
      <c r="Z25" s="744">
        <v>1.6199999999999999</v>
      </c>
      <c r="AA25" s="744">
        <v>1.5</v>
      </c>
    </row>
    <row r="26" spans="2:27" ht="14">
      <c r="B26" s="1184" t="s">
        <v>428</v>
      </c>
      <c r="C26" s="745" t="s">
        <v>425</v>
      </c>
      <c r="D26" s="715"/>
      <c r="E26" s="1156"/>
      <c r="F26" s="1156"/>
      <c r="G26" s="1156"/>
      <c r="H26" s="1183"/>
      <c r="I26" s="744">
        <v>1.4757639816533545</v>
      </c>
      <c r="J26" s="744">
        <v>1.8169713233676761</v>
      </c>
      <c r="K26" s="744">
        <v>1.7860171818200261</v>
      </c>
      <c r="L26" s="744">
        <v>1.8</v>
      </c>
      <c r="M26" s="744">
        <v>1.8</v>
      </c>
      <c r="N26" s="744"/>
      <c r="O26" s="744"/>
      <c r="P26" s="744"/>
      <c r="Q26" s="744"/>
      <c r="R26" s="744"/>
      <c r="S26" s="744"/>
      <c r="T26" s="744"/>
      <c r="U26" s="744"/>
      <c r="V26" s="744"/>
      <c r="W26" s="744"/>
      <c r="X26" s="744"/>
      <c r="Y26" s="744"/>
      <c r="Z26" s="744"/>
      <c r="AA26" s="744"/>
    </row>
    <row r="27" spans="2:27" ht="14">
      <c r="B27" s="743" t="s">
        <v>429</v>
      </c>
      <c r="C27" s="745" t="s">
        <v>425</v>
      </c>
      <c r="D27" s="715"/>
      <c r="E27" s="669"/>
      <c r="F27" s="670"/>
      <c r="G27" s="670"/>
      <c r="H27" s="671"/>
      <c r="I27" s="744"/>
      <c r="J27" s="744"/>
      <c r="K27" s="744"/>
      <c r="L27" s="744"/>
      <c r="M27" s="744"/>
      <c r="N27" s="744"/>
      <c r="O27" s="744">
        <v>3</v>
      </c>
      <c r="P27" s="744">
        <v>3</v>
      </c>
      <c r="Q27" s="744">
        <v>3</v>
      </c>
      <c r="R27" s="744">
        <v>3</v>
      </c>
      <c r="S27" s="744">
        <v>3</v>
      </c>
      <c r="T27" s="744">
        <v>3</v>
      </c>
      <c r="U27" s="744">
        <v>3</v>
      </c>
      <c r="V27" s="744">
        <v>3</v>
      </c>
      <c r="W27" s="744"/>
      <c r="X27" s="744"/>
      <c r="Y27" s="744"/>
      <c r="Z27" s="744"/>
      <c r="AA27" s="744"/>
    </row>
    <row r="28" spans="2:27" ht="14">
      <c r="B28" s="743"/>
      <c r="C28" s="745"/>
      <c r="D28" s="715"/>
      <c r="E28" s="672"/>
      <c r="F28" s="672"/>
      <c r="G28" s="672"/>
      <c r="H28" s="673"/>
      <c r="I28" s="746"/>
      <c r="J28" s="746"/>
      <c r="K28" s="746"/>
      <c r="L28" s="746"/>
      <c r="M28" s="746"/>
      <c r="N28" s="746"/>
      <c r="O28" s="746"/>
      <c r="P28" s="746"/>
      <c r="Q28" s="746"/>
      <c r="R28" s="746"/>
      <c r="S28" s="746"/>
      <c r="T28" s="746"/>
      <c r="U28" s="746"/>
      <c r="V28" s="746"/>
      <c r="W28" s="746"/>
      <c r="X28" s="746"/>
      <c r="Y28" s="746"/>
      <c r="Z28" s="746"/>
      <c r="AA28" s="746"/>
    </row>
    <row r="29" spans="2:27">
      <c r="B29" s="645" t="s">
        <v>430</v>
      </c>
      <c r="C29" s="1185"/>
      <c r="D29" s="1186"/>
      <c r="E29" s="1187"/>
      <c r="F29" s="1187"/>
      <c r="G29" s="1187"/>
      <c r="H29" s="1188"/>
      <c r="I29" s="1188"/>
      <c r="J29" s="1188"/>
      <c r="K29" s="1188"/>
      <c r="L29" s="1188"/>
      <c r="M29" s="1187"/>
      <c r="N29" s="1187"/>
      <c r="O29" s="1187"/>
      <c r="P29" s="1187"/>
      <c r="Q29" s="1187"/>
      <c r="R29" s="1187"/>
      <c r="S29" s="1187"/>
      <c r="T29" s="1187"/>
      <c r="U29" s="1187"/>
      <c r="V29" s="1187"/>
      <c r="W29" s="1187"/>
      <c r="X29" s="1187"/>
      <c r="Y29" s="1187"/>
      <c r="Z29" s="1187"/>
      <c r="AA29" s="1187"/>
    </row>
    <row r="30" spans="2:27">
      <c r="B30" s="1189" t="s">
        <v>431</v>
      </c>
      <c r="C30" s="1181" t="s">
        <v>432</v>
      </c>
      <c r="D30" s="1190">
        <v>5</v>
      </c>
      <c r="E30" s="95"/>
      <c r="F30" s="95"/>
      <c r="G30" s="95"/>
      <c r="H30" s="97"/>
      <c r="I30" s="97"/>
      <c r="J30" s="97"/>
      <c r="K30" s="97"/>
      <c r="L30" s="97"/>
      <c r="M30" s="95"/>
      <c r="N30" s="95"/>
      <c r="O30" s="95"/>
      <c r="P30" s="95"/>
      <c r="Q30" s="95"/>
      <c r="R30" s="95"/>
      <c r="S30" s="95"/>
      <c r="T30" s="95"/>
      <c r="U30" s="95"/>
      <c r="V30" s="95"/>
      <c r="W30" s="95"/>
      <c r="X30" s="95"/>
      <c r="Y30" s="95"/>
      <c r="Z30" s="95"/>
      <c r="AA30" s="95"/>
    </row>
    <row r="31" spans="2:27">
      <c r="B31" s="1189" t="s">
        <v>433</v>
      </c>
      <c r="C31" s="1181" t="s">
        <v>432</v>
      </c>
      <c r="D31" s="1190">
        <v>20</v>
      </c>
      <c r="E31" s="95"/>
      <c r="F31" s="95"/>
      <c r="G31" s="95"/>
      <c r="H31" s="97"/>
      <c r="I31" s="97"/>
      <c r="J31" s="97"/>
      <c r="K31" s="97"/>
      <c r="L31" s="97"/>
      <c r="M31" s="95"/>
      <c r="N31" s="95"/>
      <c r="O31" s="95"/>
      <c r="P31" s="95"/>
      <c r="Q31" s="95"/>
      <c r="R31" s="95"/>
      <c r="S31" s="95"/>
      <c r="T31" s="95"/>
      <c r="U31" s="95"/>
      <c r="V31" s="95"/>
      <c r="W31" s="95"/>
      <c r="X31" s="95"/>
      <c r="Y31" s="95"/>
      <c r="Z31" s="95"/>
      <c r="AA31" s="95"/>
    </row>
    <row r="32" spans="2:27">
      <c r="B32" s="1189" t="s">
        <v>434</v>
      </c>
      <c r="C32" s="1181" t="s">
        <v>432</v>
      </c>
      <c r="D32" s="1190">
        <v>10</v>
      </c>
      <c r="E32" s="95"/>
      <c r="F32" s="95"/>
      <c r="G32" s="95"/>
      <c r="H32" s="97"/>
      <c r="I32" s="97"/>
      <c r="J32" s="97"/>
      <c r="K32" s="97"/>
      <c r="L32" s="97"/>
      <c r="M32" s="95"/>
      <c r="N32" s="95"/>
      <c r="O32" s="95"/>
      <c r="P32" s="95"/>
      <c r="Q32" s="95"/>
      <c r="R32" s="95"/>
      <c r="S32" s="95"/>
      <c r="T32" s="95"/>
      <c r="U32" s="95"/>
      <c r="V32" s="95"/>
      <c r="W32" s="95"/>
      <c r="X32" s="95"/>
      <c r="Y32" s="95"/>
      <c r="Z32" s="95"/>
      <c r="AA32" s="95"/>
    </row>
    <row r="33" spans="2:27">
      <c r="B33" s="1189" t="s">
        <v>435</v>
      </c>
      <c r="C33" s="1181" t="s">
        <v>432</v>
      </c>
      <c r="D33" s="1190">
        <v>20</v>
      </c>
      <c r="E33" s="1191"/>
      <c r="F33" s="1191"/>
      <c r="G33" s="1191"/>
      <c r="H33" s="1191"/>
      <c r="I33" s="1191"/>
      <c r="J33" s="1191"/>
      <c r="K33" s="1191"/>
      <c r="L33" s="1191"/>
      <c r="M33" s="1191"/>
      <c r="N33" s="1191"/>
      <c r="O33" s="1191"/>
      <c r="P33" s="1191"/>
      <c r="Q33" s="1191"/>
      <c r="R33" s="1191"/>
      <c r="S33" s="1191"/>
      <c r="T33" s="1191"/>
      <c r="U33" s="1191"/>
      <c r="V33" s="1191"/>
      <c r="W33" s="1191"/>
      <c r="X33" s="1191"/>
      <c r="Y33" s="1191"/>
      <c r="Z33" s="1191"/>
      <c r="AA33" s="1191"/>
    </row>
    <row r="34" spans="2:27">
      <c r="H34" s="191"/>
      <c r="I34" s="191"/>
      <c r="J34" s="191"/>
      <c r="K34" s="191"/>
      <c r="L34" s="191"/>
    </row>
    <row r="35" spans="2:27">
      <c r="B35" s="552" t="s">
        <v>436</v>
      </c>
      <c r="C35" s="553" t="s">
        <v>134</v>
      </c>
      <c r="D35" s="551">
        <f>SUM(E35:AH35)</f>
        <v>529.48</v>
      </c>
      <c r="E35" s="674">
        <f>Assumptions_Dashboard!$D$153*E13/10</f>
        <v>0</v>
      </c>
      <c r="F35" s="674">
        <f>Assumptions_Dashboard!$D$153*F13/10</f>
        <v>0</v>
      </c>
      <c r="G35" s="674">
        <f>Assumptions_Dashboard!$D$153*G13/10</f>
        <v>0</v>
      </c>
      <c r="H35" s="674">
        <f>Assumptions_Dashboard!$D$153*H13/10</f>
        <v>0</v>
      </c>
      <c r="I35" s="674">
        <f>Assumptions_Dashboard!$D$153*I13/10</f>
        <v>0</v>
      </c>
      <c r="J35" s="674">
        <f>Assumptions_Dashboard!$D$153*J13/10</f>
        <v>0</v>
      </c>
      <c r="K35" s="674">
        <f>Assumptions_Dashboard!$D$153*K13/10</f>
        <v>0</v>
      </c>
      <c r="L35" s="674">
        <f>Assumptions_Dashboard!$D$153*L13/10</f>
        <v>0</v>
      </c>
      <c r="M35" s="674">
        <f>Assumptions_Dashboard!$D$153*M13/10</f>
        <v>0</v>
      </c>
      <c r="N35" s="674">
        <f>Assumptions_Dashboard!$D$153*N13/10</f>
        <v>0</v>
      </c>
      <c r="O35" s="674">
        <f>Assumptions_Dashboard!$D$153*O13/10</f>
        <v>82.95</v>
      </c>
      <c r="P35" s="674">
        <f>Assumptions_Dashboard!$D$153*P13/10</f>
        <v>82.95</v>
      </c>
      <c r="Q35" s="674">
        <f>Assumptions_Dashboard!$D$153*Q13/10</f>
        <v>82.95</v>
      </c>
      <c r="R35" s="674">
        <f>Assumptions_Dashboard!$D$153*R13/10</f>
        <v>82.95</v>
      </c>
      <c r="S35" s="674">
        <f>Assumptions_Dashboard!$D$153*S13/10</f>
        <v>49.42</v>
      </c>
      <c r="T35" s="674">
        <f>Assumptions_Dashboard!$D$153*T13/10</f>
        <v>49.42</v>
      </c>
      <c r="U35" s="674">
        <f>Assumptions_Dashboard!$D$153*U13/10</f>
        <v>49.42</v>
      </c>
      <c r="V35" s="674">
        <f>Assumptions_Dashboard!$D$153*V13/10</f>
        <v>49.42</v>
      </c>
      <c r="W35" s="674">
        <f>Assumptions_Dashboard!$D$153*W13/10</f>
        <v>0</v>
      </c>
      <c r="X35" s="674">
        <f>Assumptions_Dashboard!$D$153*X13/10</f>
        <v>0</v>
      </c>
      <c r="Y35" s="674">
        <f>Assumptions_Dashboard!$D$153*Y13/10</f>
        <v>0</v>
      </c>
      <c r="Z35" s="674">
        <f>Assumptions_Dashboard!$D$153*Z13/10</f>
        <v>0</v>
      </c>
      <c r="AA35" s="674">
        <f>Assumptions_Dashboard!$D$153*AA13/10</f>
        <v>0</v>
      </c>
    </row>
    <row r="36" spans="2:27">
      <c r="I36" s="518"/>
      <c r="J36" s="518"/>
      <c r="K36" s="518"/>
      <c r="L36" s="518"/>
      <c r="M36" s="518"/>
      <c r="N36" s="518"/>
      <c r="O36" s="518"/>
      <c r="P36" s="518"/>
      <c r="Q36" s="518"/>
      <c r="R36" s="518"/>
      <c r="S36" s="518"/>
      <c r="T36" s="518"/>
      <c r="U36" s="518"/>
      <c r="V36" s="518"/>
    </row>
    <row r="37" spans="2:27">
      <c r="E37" s="738"/>
      <c r="I37" s="555"/>
      <c r="J37" s="520"/>
      <c r="K37" s="520"/>
      <c r="L37" s="520"/>
      <c r="M37" s="520"/>
      <c r="N37" s="520"/>
      <c r="O37" s="520"/>
      <c r="P37" s="520"/>
      <c r="Q37" s="520"/>
      <c r="R37" s="520"/>
      <c r="S37" s="520"/>
      <c r="T37" s="520"/>
      <c r="U37" s="520"/>
      <c r="V37" s="520"/>
    </row>
    <row r="38" spans="2:27">
      <c r="E38" s="738"/>
      <c r="I38" s="519"/>
      <c r="J38" s="520"/>
      <c r="K38" s="520"/>
      <c r="L38" s="520"/>
      <c r="M38" s="520"/>
      <c r="N38" s="520"/>
      <c r="O38" s="520"/>
      <c r="P38" s="520"/>
      <c r="Q38" s="520"/>
      <c r="R38" s="520"/>
      <c r="S38" s="520"/>
      <c r="T38" s="520"/>
      <c r="U38" s="520"/>
      <c r="V38" s="520"/>
    </row>
    <row r="40" spans="2:27">
      <c r="J40" s="1192"/>
      <c r="K40" s="1192"/>
      <c r="L40" s="1192" t="s">
        <v>437</v>
      </c>
      <c r="M40" s="1192" t="s">
        <v>438</v>
      </c>
      <c r="N40" s="1192" t="s">
        <v>422</v>
      </c>
      <c r="O40" s="1192"/>
    </row>
    <row r="41" spans="2:27">
      <c r="J41" s="1193" t="s">
        <v>125</v>
      </c>
      <c r="K41" s="1193" t="s">
        <v>439</v>
      </c>
      <c r="L41" s="1193" t="s">
        <v>440</v>
      </c>
      <c r="M41" s="1193" t="s">
        <v>440</v>
      </c>
      <c r="N41" s="1193" t="s">
        <v>439</v>
      </c>
      <c r="O41" s="1193" t="s">
        <v>441</v>
      </c>
    </row>
    <row r="42" spans="2:27">
      <c r="J42" s="1193">
        <v>1</v>
      </c>
      <c r="K42" s="739">
        <v>1.9999997549999999</v>
      </c>
      <c r="L42" s="740">
        <v>3210</v>
      </c>
      <c r="M42" s="740">
        <f>ROUND(L42,-1)</f>
        <v>3210</v>
      </c>
      <c r="N42" s="1194">
        <f>K42</f>
        <v>1.9999997549999999</v>
      </c>
      <c r="O42" s="739">
        <v>11.466045729050279</v>
      </c>
    </row>
    <row r="43" spans="2:27">
      <c r="J43" s="1193">
        <f>J42+1</f>
        <v>2</v>
      </c>
      <c r="K43" s="739">
        <v>3.9999986549999997</v>
      </c>
      <c r="L43" s="740">
        <v>3150</v>
      </c>
      <c r="M43" s="740">
        <f>ROUND(L43,-1)</f>
        <v>3150</v>
      </c>
      <c r="N43" s="1194">
        <f>N42+K43</f>
        <v>5.9999984099999999</v>
      </c>
      <c r="O43" s="739">
        <v>9.5178188259668506</v>
      </c>
    </row>
    <row r="44" spans="2:27">
      <c r="J44" s="1193">
        <f t="shared" ref="J44:J60" si="5">J43+1</f>
        <v>3</v>
      </c>
      <c r="K44" s="739">
        <v>8.00000073</v>
      </c>
      <c r="L44" s="740">
        <v>3160</v>
      </c>
      <c r="M44" s="740">
        <f t="shared" ref="M44:M60" si="6">ROUND(L44,-1)</f>
        <v>3160</v>
      </c>
      <c r="N44" s="1194">
        <f>N43+K44</f>
        <v>13.99999914</v>
      </c>
      <c r="O44" s="739">
        <v>17.240514972375692</v>
      </c>
    </row>
    <row r="45" spans="2:27">
      <c r="J45" s="1193">
        <f t="shared" si="5"/>
        <v>4</v>
      </c>
      <c r="K45" s="739">
        <v>11.999998529999999</v>
      </c>
      <c r="L45" s="740">
        <v>3150</v>
      </c>
      <c r="M45" s="740">
        <f t="shared" si="6"/>
        <v>3150</v>
      </c>
      <c r="N45" s="1194">
        <f t="shared" ref="N45:N60" si="7">N44+K45</f>
        <v>25.999997669999999</v>
      </c>
      <c r="O45" s="739">
        <v>36.817196150000001</v>
      </c>
    </row>
    <row r="46" spans="2:27">
      <c r="J46" s="1193">
        <f t="shared" si="5"/>
        <v>5</v>
      </c>
      <c r="K46" s="739">
        <v>14.99999517</v>
      </c>
      <c r="L46" s="740">
        <v>3120</v>
      </c>
      <c r="M46" s="740">
        <f t="shared" si="6"/>
        <v>3120</v>
      </c>
      <c r="N46" s="1194">
        <f t="shared" si="7"/>
        <v>40.999992839999997</v>
      </c>
      <c r="O46" s="739">
        <v>35.420574905555554</v>
      </c>
    </row>
    <row r="47" spans="2:27">
      <c r="J47" s="1193">
        <f t="shared" si="5"/>
        <v>6</v>
      </c>
      <c r="K47" s="739">
        <v>15.000007140000001</v>
      </c>
      <c r="L47" s="740">
        <v>3190</v>
      </c>
      <c r="M47" s="740">
        <f t="shared" si="6"/>
        <v>3190</v>
      </c>
      <c r="N47" s="1194">
        <f t="shared" si="7"/>
        <v>55.999999979999998</v>
      </c>
      <c r="O47" s="739">
        <v>47.463611318435753</v>
      </c>
    </row>
    <row r="48" spans="2:27">
      <c r="J48" s="1193">
        <f t="shared" si="5"/>
        <v>7</v>
      </c>
      <c r="K48" s="739">
        <v>14.999998590000001</v>
      </c>
      <c r="L48" s="740">
        <v>3090</v>
      </c>
      <c r="M48" s="740">
        <f t="shared" si="6"/>
        <v>3090</v>
      </c>
      <c r="N48" s="1194">
        <f t="shared" si="7"/>
        <v>70.999998570000002</v>
      </c>
      <c r="O48" s="739">
        <v>43.447467227777778</v>
      </c>
    </row>
    <row r="49" spans="10:15">
      <c r="J49" s="1193">
        <f t="shared" si="5"/>
        <v>8</v>
      </c>
      <c r="K49" s="739">
        <v>14.999996879999999</v>
      </c>
      <c r="L49" s="740">
        <v>3160</v>
      </c>
      <c r="M49" s="740">
        <f t="shared" si="6"/>
        <v>3160</v>
      </c>
      <c r="N49" s="1194">
        <f t="shared" si="7"/>
        <v>85.99999545</v>
      </c>
      <c r="O49" s="739">
        <v>36.33747506666667</v>
      </c>
    </row>
    <row r="50" spans="10:15">
      <c r="J50" s="1193">
        <f t="shared" si="5"/>
        <v>9</v>
      </c>
      <c r="K50" s="739">
        <v>15.000003719999999</v>
      </c>
      <c r="L50" s="740">
        <v>3190</v>
      </c>
      <c r="M50" s="740">
        <f t="shared" si="6"/>
        <v>3190</v>
      </c>
      <c r="N50" s="1194">
        <f t="shared" si="7"/>
        <v>100.99999917</v>
      </c>
      <c r="O50" s="739">
        <v>37.865191711111116</v>
      </c>
    </row>
    <row r="51" spans="10:15">
      <c r="J51" s="1193">
        <f t="shared" si="5"/>
        <v>10</v>
      </c>
      <c r="K51" s="739">
        <v>14.99999517</v>
      </c>
      <c r="L51" s="740">
        <v>3280</v>
      </c>
      <c r="M51" s="740">
        <f t="shared" si="6"/>
        <v>3280</v>
      </c>
      <c r="N51" s="1194">
        <f t="shared" si="7"/>
        <v>115.99999434</v>
      </c>
      <c r="O51" s="739">
        <v>33.778948184357539</v>
      </c>
    </row>
    <row r="52" spans="10:15">
      <c r="J52" s="1193">
        <f t="shared" si="5"/>
        <v>11</v>
      </c>
      <c r="K52" s="739">
        <v>14.999996879999999</v>
      </c>
      <c r="L52" s="740">
        <v>3280</v>
      </c>
      <c r="M52" s="740">
        <f t="shared" si="6"/>
        <v>3280</v>
      </c>
      <c r="N52" s="1194">
        <f t="shared" si="7"/>
        <v>130.99999122</v>
      </c>
      <c r="O52" s="739">
        <v>38.053482346368718</v>
      </c>
    </row>
    <row r="53" spans="10:15">
      <c r="J53" s="1193">
        <f t="shared" si="5"/>
        <v>12</v>
      </c>
      <c r="K53" s="739">
        <v>15.000002009999999</v>
      </c>
      <c r="L53" s="740">
        <v>3020</v>
      </c>
      <c r="M53" s="740">
        <f t="shared" si="6"/>
        <v>3020</v>
      </c>
      <c r="N53" s="1194">
        <f t="shared" si="7"/>
        <v>145.99999323</v>
      </c>
      <c r="O53" s="739">
        <v>28.983164832402235</v>
      </c>
    </row>
    <row r="54" spans="10:15">
      <c r="J54" s="1193">
        <f t="shared" si="5"/>
        <v>13</v>
      </c>
      <c r="K54" s="739">
        <v>15.00001569</v>
      </c>
      <c r="L54" s="740">
        <v>3120</v>
      </c>
      <c r="M54" s="740">
        <f t="shared" si="6"/>
        <v>3120</v>
      </c>
      <c r="N54" s="1194">
        <f t="shared" si="7"/>
        <v>161.00000892</v>
      </c>
      <c r="O54" s="739">
        <v>25.4498801284916</v>
      </c>
    </row>
    <row r="55" spans="10:15">
      <c r="J55" s="1193">
        <f t="shared" si="5"/>
        <v>14</v>
      </c>
      <c r="K55" s="739">
        <v>15.000002009999999</v>
      </c>
      <c r="L55" s="740">
        <v>3100</v>
      </c>
      <c r="M55" s="740">
        <f t="shared" si="6"/>
        <v>3100</v>
      </c>
      <c r="N55" s="1194">
        <f t="shared" si="7"/>
        <v>176.00001093</v>
      </c>
      <c r="O55" s="739">
        <v>31.615550832402231</v>
      </c>
    </row>
    <row r="56" spans="10:15">
      <c r="J56" s="1193">
        <f t="shared" si="5"/>
        <v>15</v>
      </c>
      <c r="K56" s="739">
        <v>15.000002009999999</v>
      </c>
      <c r="L56" s="740">
        <v>2850</v>
      </c>
      <c r="M56" s="740">
        <f t="shared" si="6"/>
        <v>2850</v>
      </c>
      <c r="N56" s="1194">
        <f t="shared" si="7"/>
        <v>191.00001294</v>
      </c>
      <c r="O56" s="739">
        <v>31.515274825842699</v>
      </c>
    </row>
    <row r="57" spans="10:15">
      <c r="J57" s="1193">
        <f t="shared" si="5"/>
        <v>16</v>
      </c>
      <c r="K57" s="739">
        <v>15.000000299999998</v>
      </c>
      <c r="L57" s="740">
        <v>2970</v>
      </c>
      <c r="M57" s="740">
        <f t="shared" si="6"/>
        <v>2970</v>
      </c>
      <c r="N57" s="1194">
        <f t="shared" si="7"/>
        <v>206.00001324000002</v>
      </c>
      <c r="O57" s="739">
        <v>40.123366662921349</v>
      </c>
    </row>
    <row r="58" spans="10:15">
      <c r="J58" s="1193">
        <f t="shared" si="5"/>
        <v>17</v>
      </c>
      <c r="K58" s="739">
        <v>9.9999996299999996</v>
      </c>
      <c r="L58" s="740">
        <v>3020</v>
      </c>
      <c r="M58" s="740">
        <f t="shared" si="6"/>
        <v>3020</v>
      </c>
      <c r="N58" s="1194">
        <f t="shared" si="7"/>
        <v>216.00001287000001</v>
      </c>
      <c r="O58" s="739">
        <v>24.726595192090397</v>
      </c>
    </row>
    <row r="59" spans="10:15">
      <c r="J59" s="1193">
        <f t="shared" si="5"/>
        <v>18</v>
      </c>
      <c r="K59" s="739">
        <v>7.5000027149999999</v>
      </c>
      <c r="L59" s="740">
        <v>3040</v>
      </c>
      <c r="M59" s="740">
        <f t="shared" si="6"/>
        <v>3040</v>
      </c>
      <c r="N59" s="1194">
        <f t="shared" si="7"/>
        <v>223.500015585</v>
      </c>
      <c r="O59" s="739">
        <v>4.2960406619318183</v>
      </c>
    </row>
    <row r="60" spans="10:15">
      <c r="J60" s="1193">
        <f t="shared" si="5"/>
        <v>19</v>
      </c>
      <c r="K60" s="739">
        <v>2.2043909249999998</v>
      </c>
      <c r="L60" s="740">
        <v>3200</v>
      </c>
      <c r="M60" s="740">
        <f t="shared" si="6"/>
        <v>3200</v>
      </c>
      <c r="N60" s="1194">
        <f t="shared" si="7"/>
        <v>225.70440651000001</v>
      </c>
      <c r="O60" s="739">
        <v>1.2764738410404626</v>
      </c>
    </row>
    <row r="61" spans="10:15">
      <c r="J61" s="1195" t="s">
        <v>267</v>
      </c>
      <c r="K61" s="1196">
        <f>SUM(K42:K60)</f>
        <v>225.70440651000001</v>
      </c>
      <c r="L61" s="1197">
        <f>SUMPRODUCT(K42:K60,L42:L60)/SUM(K42:K60)</f>
        <v>3113.3822718404308</v>
      </c>
      <c r="M61" s="1197">
        <f>ROUND(SUMPRODUCT(K42:K60,M42:M60)/SUM(K42:K60),-1)</f>
        <v>3110</v>
      </c>
      <c r="N61" s="1197"/>
      <c r="O61" s="1198">
        <f>SUM(O42:O60)</f>
        <v>535.39467341478871</v>
      </c>
    </row>
  </sheetData>
  <phoneticPr fontId="92" type="noConversion"/>
  <pageMargins left="0.7" right="0.7" top="0.75" bottom="0.75" header="0.3" footer="0.3"/>
  <pageSetup paperSize="9" orientation="portrait" verticalDpi="0" r:id="rId1"/>
  <ignoredErrors>
    <ignoredError sqref="J20:AA20"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0F3B-7AF0-4004-81AE-B565C4E7D0C2}">
  <sheetPr codeName="Sheet46">
    <tabColor rgb="FFFF0000"/>
  </sheetPr>
  <dimension ref="B2:U53"/>
  <sheetViews>
    <sheetView showGridLines="0" workbookViewId="0">
      <selection activeCell="C4" sqref="C4"/>
    </sheetView>
  </sheetViews>
  <sheetFormatPr baseColWidth="10" defaultColWidth="8.83203125" defaultRowHeight="13"/>
  <cols>
    <col min="1" max="1" width="3.6640625" customWidth="1"/>
    <col min="2" max="2" width="25.33203125" customWidth="1"/>
    <col min="3" max="3" width="15.5" customWidth="1"/>
    <col min="4" max="4" width="12.33203125" customWidth="1"/>
    <col min="5" max="5" width="5.5" bestFit="1" customWidth="1"/>
    <col min="6" max="6" width="9" customWidth="1"/>
    <col min="7" max="7" width="8.5" bestFit="1" customWidth="1"/>
    <col min="8" max="8" width="6.33203125" customWidth="1"/>
    <col min="9" max="10" width="8.83203125" bestFit="1" customWidth="1"/>
    <col min="11" max="11" width="8.5" bestFit="1" customWidth="1"/>
    <col min="12" max="12" width="8.83203125" style="205" bestFit="1" customWidth="1"/>
    <col min="13" max="15" width="8.83203125" bestFit="1" customWidth="1"/>
    <col min="16" max="16" width="4.33203125" customWidth="1"/>
    <col min="17" max="17" width="18.5" customWidth="1"/>
    <col min="18" max="18" width="9.33203125" customWidth="1"/>
    <col min="20" max="20" width="19.33203125" customWidth="1"/>
    <col min="21" max="21" width="16.33203125" customWidth="1"/>
    <col min="22" max="22" width="4.6640625" customWidth="1"/>
  </cols>
  <sheetData>
    <row r="2" spans="2:21" ht="15" thickBot="1">
      <c r="B2" s="269" t="s">
        <v>442</v>
      </c>
      <c r="C2" s="270"/>
      <c r="L2"/>
    </row>
    <row r="3" spans="2:21" ht="25.5" customHeight="1">
      <c r="B3" s="271" t="s">
        <v>443</v>
      </c>
      <c r="C3" s="272" t="s">
        <v>444</v>
      </c>
      <c r="L3"/>
      <c r="Q3" s="274" t="s">
        <v>445</v>
      </c>
      <c r="R3" s="275" t="s">
        <v>446</v>
      </c>
      <c r="S3" s="275" t="s">
        <v>447</v>
      </c>
      <c r="T3" s="275" t="s">
        <v>448</v>
      </c>
      <c r="U3" s="276" t="s">
        <v>449</v>
      </c>
    </row>
    <row r="4" spans="2:21" ht="18" customHeight="1" thickBot="1">
      <c r="B4" s="277" t="s">
        <v>450</v>
      </c>
      <c r="C4" s="278">
        <v>0</v>
      </c>
      <c r="L4"/>
      <c r="Q4" s="617"/>
      <c r="R4" s="281">
        <v>0.11436346587960311</v>
      </c>
      <c r="S4" s="281">
        <v>0.11325720350801904</v>
      </c>
      <c r="T4" s="282">
        <v>316.35858755294407</v>
      </c>
      <c r="U4" s="283">
        <v>301.84624539491153</v>
      </c>
    </row>
    <row r="5" spans="2:21" ht="18" customHeight="1">
      <c r="B5" s="277" t="s">
        <v>451</v>
      </c>
      <c r="C5" s="284">
        <v>0</v>
      </c>
      <c r="L5"/>
      <c r="Q5" s="286">
        <v>-0.2</v>
      </c>
      <c r="R5" s="701">
        <v>7.2989794646720618E-2</v>
      </c>
      <c r="S5" s="701">
        <v>7.6714510921001011E-2</v>
      </c>
      <c r="T5" s="287">
        <v>-503.93299110223023</v>
      </c>
      <c r="U5" s="207">
        <v>-518.44533326026317</v>
      </c>
    </row>
    <row r="6" spans="2:21" ht="18" customHeight="1" thickBot="1">
      <c r="B6" s="289" t="s">
        <v>115</v>
      </c>
      <c r="C6" s="290">
        <v>0</v>
      </c>
      <c r="L6"/>
      <c r="Q6" s="286">
        <v>-0.15000000000000002</v>
      </c>
      <c r="R6" s="701">
        <v>8.4183610579668722E-2</v>
      </c>
      <c r="S6" s="701">
        <v>8.6651722869209191E-2</v>
      </c>
      <c r="T6" s="287">
        <v>-296.79548212457826</v>
      </c>
      <c r="U6" s="207">
        <v>-311.30782428261034</v>
      </c>
    </row>
    <row r="7" spans="2:21" ht="18" customHeight="1">
      <c r="B7" s="292"/>
      <c r="C7" s="292"/>
      <c r="L7"/>
      <c r="Q7" s="286">
        <v>-0.10000000000000002</v>
      </c>
      <c r="R7" s="701">
        <v>9.4697913939768785E-2</v>
      </c>
      <c r="S7" s="701">
        <v>9.5951180801181923E-2</v>
      </c>
      <c r="T7" s="287">
        <v>-92.333855748922076</v>
      </c>
      <c r="U7" s="207">
        <v>-106.8461979069543</v>
      </c>
    </row>
    <row r="8" spans="2:21" ht="18" customHeight="1">
      <c r="B8" s="292"/>
      <c r="C8" s="292"/>
      <c r="L8"/>
      <c r="Q8" s="286">
        <v>-5.0000000000000017E-2</v>
      </c>
      <c r="R8" s="701">
        <v>0.10473416017887338</v>
      </c>
      <c r="S8" s="701">
        <v>0.10479770042201952</v>
      </c>
      <c r="T8" s="287">
        <v>112.01236590201117</v>
      </c>
      <c r="U8" s="207">
        <v>97.500023743978574</v>
      </c>
    </row>
    <row r="9" spans="2:21" ht="18" customHeight="1">
      <c r="B9" s="292"/>
      <c r="C9" s="292"/>
      <c r="L9"/>
      <c r="Q9" s="288">
        <v>0</v>
      </c>
      <c r="R9" s="701">
        <v>0.11436346587960311</v>
      </c>
      <c r="S9" s="701">
        <v>0.11325720350801904</v>
      </c>
      <c r="T9" s="287">
        <v>316.35858755294407</v>
      </c>
      <c r="U9" s="207">
        <v>301.84624539491153</v>
      </c>
    </row>
    <row r="10" spans="2:21" ht="18" customHeight="1">
      <c r="B10" s="94"/>
      <c r="C10" s="94"/>
      <c r="D10" s="94"/>
      <c r="L10"/>
      <c r="Q10" s="286">
        <v>0.05</v>
      </c>
      <c r="R10" s="701">
        <v>0.12363788858578784</v>
      </c>
      <c r="S10" s="701">
        <v>0.12137850020572838</v>
      </c>
      <c r="T10" s="287">
        <v>520.7048092038774</v>
      </c>
      <c r="U10" s="207">
        <v>506.19246704584464</v>
      </c>
    </row>
    <row r="11" spans="2:21" ht="18" customHeight="1">
      <c r="B11" s="291" t="s">
        <v>324</v>
      </c>
      <c r="C11" s="1720" t="s">
        <v>107</v>
      </c>
      <c r="D11" s="1720"/>
      <c r="L11"/>
      <c r="Q11" s="286">
        <v>0.1</v>
      </c>
      <c r="R11" s="701">
        <v>0.1325989815657389</v>
      </c>
      <c r="S11" s="701">
        <v>0.12920096883017251</v>
      </c>
      <c r="T11" s="287">
        <v>725.05103085481028</v>
      </c>
      <c r="U11" s="207">
        <v>710.53868869677774</v>
      </c>
    </row>
    <row r="12" spans="2:21" ht="18" customHeight="1">
      <c r="B12" s="296"/>
      <c r="C12" s="292" t="s">
        <v>91</v>
      </c>
      <c r="D12" s="292" t="s">
        <v>452</v>
      </c>
      <c r="Q12" s="286">
        <v>0.15000000000000002</v>
      </c>
      <c r="R12" s="701">
        <v>0.1412804422025471</v>
      </c>
      <c r="S12" s="701">
        <v>0.13675686477161686</v>
      </c>
      <c r="T12" s="287">
        <v>929.39725250574236</v>
      </c>
      <c r="U12" s="207">
        <v>914.88491034770982</v>
      </c>
    </row>
    <row r="13" spans="2:21" ht="18" customHeight="1" thickBot="1">
      <c r="B13" s="297"/>
      <c r="C13" s="298"/>
      <c r="D13" s="298"/>
      <c r="Q13" s="294">
        <v>0.2</v>
      </c>
      <c r="R13" s="702">
        <v>0.14970998135250868</v>
      </c>
      <c r="S13" s="702">
        <v>0.1440729624086563</v>
      </c>
      <c r="T13" s="295">
        <v>1133.7434741566744</v>
      </c>
      <c r="U13" s="208">
        <v>1119.231131998642</v>
      </c>
    </row>
    <row r="14" spans="2:21" ht="14" thickBot="1">
      <c r="B14" s="297" t="s">
        <v>107</v>
      </c>
      <c r="C14" s="298"/>
      <c r="D14" s="298"/>
    </row>
    <row r="15" spans="2:21" ht="29" thickBot="1">
      <c r="B15" s="297" t="s">
        <v>453</v>
      </c>
      <c r="C15" s="298"/>
      <c r="D15" s="298"/>
      <c r="F15" t="s">
        <v>454</v>
      </c>
      <c r="Q15" s="274" t="s">
        <v>455</v>
      </c>
      <c r="R15" s="275" t="s">
        <v>446</v>
      </c>
      <c r="S15" s="275" t="s">
        <v>447</v>
      </c>
      <c r="T15" s="275" t="s">
        <v>448</v>
      </c>
      <c r="U15" s="276" t="s">
        <v>449</v>
      </c>
    </row>
    <row r="16" spans="2:21" ht="18" customHeight="1" thickBot="1">
      <c r="B16" s="299"/>
      <c r="C16" s="299"/>
      <c r="D16" s="299"/>
      <c r="F16" s="1714" t="s">
        <v>456</v>
      </c>
      <c r="G16" s="1715"/>
      <c r="H16" s="1715"/>
      <c r="I16" s="273">
        <v>1280.2631729604693</v>
      </c>
      <c r="J16" s="273">
        <v>1440.296069580528</v>
      </c>
      <c r="K16" s="273">
        <v>1520.3125178905573</v>
      </c>
      <c r="L16" s="273">
        <v>1600.3289662005866</v>
      </c>
      <c r="M16" s="273">
        <v>1680.3454145106159</v>
      </c>
      <c r="N16" s="273">
        <v>1760.3618628206455</v>
      </c>
      <c r="O16" s="703">
        <v>1920.3947594407039</v>
      </c>
      <c r="Q16" s="617"/>
      <c r="R16" s="281">
        <v>0.11436346587960311</v>
      </c>
      <c r="S16" s="281">
        <v>0.11325720350801904</v>
      </c>
      <c r="T16" s="282">
        <v>316.35858755294407</v>
      </c>
      <c r="U16" s="283">
        <v>301.84624539491153</v>
      </c>
    </row>
    <row r="17" spans="2:21" ht="18" customHeight="1">
      <c r="B17" s="291" t="s">
        <v>457</v>
      </c>
      <c r="C17" s="1720" t="s">
        <v>453</v>
      </c>
      <c r="D17" s="1720"/>
      <c r="F17" s="1716" t="s">
        <v>458</v>
      </c>
      <c r="G17" s="1199"/>
      <c r="H17" s="616">
        <v>0.11325720350801904</v>
      </c>
      <c r="I17" s="704">
        <v>-0.2</v>
      </c>
      <c r="J17" s="704">
        <v>-0.1</v>
      </c>
      <c r="K17" s="704">
        <v>-0.05</v>
      </c>
      <c r="L17" s="704">
        <v>0</v>
      </c>
      <c r="M17" s="704">
        <v>0.05</v>
      </c>
      <c r="N17" s="704">
        <v>0.1</v>
      </c>
      <c r="O17" s="279">
        <v>0.2</v>
      </c>
      <c r="Q17" s="286">
        <v>-0.2</v>
      </c>
      <c r="R17" s="701">
        <v>0.14372199282693998</v>
      </c>
      <c r="S17" s="701">
        <v>0.13889172111211634</v>
      </c>
      <c r="T17" s="287">
        <v>792.95657866264082</v>
      </c>
      <c r="U17" s="207">
        <v>781.34670493621513</v>
      </c>
    </row>
    <row r="18" spans="2:21" ht="18" customHeight="1">
      <c r="B18" s="296"/>
      <c r="C18" s="292" t="s">
        <v>91</v>
      </c>
      <c r="D18" s="292" t="s">
        <v>452</v>
      </c>
      <c r="F18" s="1717"/>
      <c r="G18" s="1200">
        <v>3424.3801620067384</v>
      </c>
      <c r="H18" s="285">
        <v>-0.2</v>
      </c>
      <c r="I18" s="1201">
        <v>9.8657608240748207E-2</v>
      </c>
      <c r="J18" s="1201">
        <v>0.11974459805906057</v>
      </c>
      <c r="K18" s="1201">
        <v>0.12952438120317433</v>
      </c>
      <c r="L18" s="1201">
        <v>0.13889172111211634</v>
      </c>
      <c r="M18" s="1201">
        <v>0.14789710634392939</v>
      </c>
      <c r="N18" s="1201">
        <v>0.15658129129252041</v>
      </c>
      <c r="O18" s="1202">
        <v>0.17311408839305487</v>
      </c>
      <c r="Q18" s="286">
        <v>-0.15000000000000002</v>
      </c>
      <c r="R18" s="701">
        <v>0.13542599120922905</v>
      </c>
      <c r="S18" s="701">
        <v>0.13167143514219615</v>
      </c>
      <c r="T18" s="287">
        <v>673.80708088521669</v>
      </c>
      <c r="U18" s="207">
        <v>661.4715900508894</v>
      </c>
    </row>
    <row r="19" spans="2:21" ht="18" customHeight="1">
      <c r="B19" s="297"/>
      <c r="C19" s="298"/>
      <c r="D19" s="298"/>
      <c r="F19" s="1717"/>
      <c r="G19" s="1200">
        <v>3852.4276822575803</v>
      </c>
      <c r="H19" s="285">
        <v>-0.1</v>
      </c>
      <c r="I19" s="1201">
        <v>8.6882366132737365E-2</v>
      </c>
      <c r="J19" s="1201">
        <v>0.10689977766997716</v>
      </c>
      <c r="K19" s="1201">
        <v>0.1161702187482585</v>
      </c>
      <c r="L19" s="1201">
        <v>0.12504237100600868</v>
      </c>
      <c r="M19" s="1201">
        <v>0.1335658286894108</v>
      </c>
      <c r="N19" s="1201">
        <v>0.14178060528497816</v>
      </c>
      <c r="O19" s="1202">
        <v>0.15740969462031451</v>
      </c>
      <c r="Q19" s="286">
        <v>-0.10000000000000002</v>
      </c>
      <c r="R19" s="701">
        <v>0.12782759377810726</v>
      </c>
      <c r="S19" s="701">
        <v>0.12504237100600868</v>
      </c>
      <c r="T19" s="287">
        <v>554.65758310779188</v>
      </c>
      <c r="U19" s="207">
        <v>541.59647516556311</v>
      </c>
    </row>
    <row r="20" spans="2:21" ht="18" customHeight="1">
      <c r="B20" s="297" t="s">
        <v>107</v>
      </c>
      <c r="C20" s="298"/>
      <c r="D20" s="298"/>
      <c r="F20" s="1717"/>
      <c r="G20" s="1200">
        <v>4066.4514423830014</v>
      </c>
      <c r="H20" s="285">
        <v>-0.05</v>
      </c>
      <c r="I20" s="1201">
        <v>8.1630535740017107E-2</v>
      </c>
      <c r="J20" s="1201">
        <v>0.10121971856220724</v>
      </c>
      <c r="K20" s="1201">
        <v>0.11026897635147836</v>
      </c>
      <c r="L20" s="1201">
        <v>0.11892587668006382</v>
      </c>
      <c r="M20" s="1201">
        <v>0.12723961092674996</v>
      </c>
      <c r="N20" s="1201">
        <v>0.13524986476253931</v>
      </c>
      <c r="O20" s="1202">
        <v>0.15048445194771776</v>
      </c>
      <c r="Q20" s="286">
        <v>-5.0000000000000017E-2</v>
      </c>
      <c r="R20" s="701">
        <v>0.12083258357934512</v>
      </c>
      <c r="S20" s="701">
        <v>0.11892587668006382</v>
      </c>
      <c r="T20" s="287">
        <v>435.50808533036837</v>
      </c>
      <c r="U20" s="207">
        <v>421.721360280238</v>
      </c>
    </row>
    <row r="21" spans="2:21" ht="18" customHeight="1">
      <c r="B21" s="297" t="s">
        <v>453</v>
      </c>
      <c r="C21" s="298"/>
      <c r="D21" s="298"/>
      <c r="F21" s="1717"/>
      <c r="G21" s="1200">
        <v>4280.4752025084226</v>
      </c>
      <c r="H21" s="285">
        <v>0</v>
      </c>
      <c r="I21" s="1201">
        <v>7.6714510921001011E-2</v>
      </c>
      <c r="J21" s="1201">
        <v>9.5951180801181923E-2</v>
      </c>
      <c r="K21" s="1201">
        <v>0.10479770042201952</v>
      </c>
      <c r="L21" s="1203">
        <v>0.11325720350801904</v>
      </c>
      <c r="M21" s="1201">
        <v>0.12137850020572838</v>
      </c>
      <c r="N21" s="1201">
        <v>0.12920096883017251</v>
      </c>
      <c r="O21" s="1202">
        <v>0.1440729624086563</v>
      </c>
      <c r="Q21" s="288">
        <v>0</v>
      </c>
      <c r="R21" s="701">
        <v>0.11436346587960311</v>
      </c>
      <c r="S21" s="701">
        <v>0.11325720350801904</v>
      </c>
      <c r="T21" s="287">
        <v>316.35858755294407</v>
      </c>
      <c r="U21" s="207">
        <v>301.84624539491153</v>
      </c>
    </row>
    <row r="22" spans="2:21" ht="18" customHeight="1">
      <c r="B22" s="94"/>
      <c r="C22" s="94"/>
      <c r="D22" s="94"/>
      <c r="F22" s="1717"/>
      <c r="G22" s="1200">
        <v>4494.4989626338438</v>
      </c>
      <c r="H22" s="285">
        <v>0.05</v>
      </c>
      <c r="I22" s="1201">
        <v>7.2134625871921543E-2</v>
      </c>
      <c r="J22" s="1201">
        <v>9.1044835512037237E-2</v>
      </c>
      <c r="K22" s="1201">
        <v>9.9704758103968061E-2</v>
      </c>
      <c r="L22" s="1201">
        <v>0.10798251106885703</v>
      </c>
      <c r="M22" s="1201">
        <v>0.11592654108969036</v>
      </c>
      <c r="N22" s="1201">
        <v>0.12357593561735158</v>
      </c>
      <c r="O22" s="1202">
        <v>0.13811344099995249</v>
      </c>
      <c r="Q22" s="286">
        <v>0.05</v>
      </c>
      <c r="R22" s="701">
        <v>0.10835587793311841</v>
      </c>
      <c r="S22" s="701">
        <v>0.10798251106885703</v>
      </c>
      <c r="T22" s="287">
        <v>197.20908977551949</v>
      </c>
      <c r="U22" s="207">
        <v>181.97113050958595</v>
      </c>
    </row>
    <row r="23" spans="2:21" ht="18" customHeight="1">
      <c r="B23" s="298"/>
      <c r="C23" s="298"/>
      <c r="D23" s="298"/>
      <c r="F23" s="1717"/>
      <c r="G23" s="1200">
        <v>4708.522722759265</v>
      </c>
      <c r="H23" s="285">
        <v>0.1</v>
      </c>
      <c r="I23" s="1201">
        <v>6.7852459294429845E-2</v>
      </c>
      <c r="J23" s="1201">
        <v>8.6459298224693448E-2</v>
      </c>
      <c r="K23" s="1201">
        <v>9.4946829729919857E-2</v>
      </c>
      <c r="L23" s="1201">
        <v>0.10305662164280194</v>
      </c>
      <c r="M23" s="1201">
        <v>0.11083677204685594</v>
      </c>
      <c r="N23" s="1201">
        <v>0.11832609111967929</v>
      </c>
      <c r="O23" s="1202">
        <v>0.132553990960671</v>
      </c>
      <c r="Q23" s="286">
        <v>0.1</v>
      </c>
      <c r="R23" s="701">
        <v>0.10275589001425511</v>
      </c>
      <c r="S23" s="701">
        <v>0.10305662164280194</v>
      </c>
      <c r="T23" s="287">
        <v>78.059591998095414</v>
      </c>
      <c r="U23" s="207">
        <v>62.096015624260041</v>
      </c>
    </row>
    <row r="24" spans="2:21" ht="18" customHeight="1" thickBot="1">
      <c r="B24" s="298"/>
      <c r="C24" s="298"/>
      <c r="D24" s="298"/>
      <c r="F24" s="1718"/>
      <c r="G24" s="300">
        <v>5136.5702430101073</v>
      </c>
      <c r="H24" s="293">
        <v>0.2</v>
      </c>
      <c r="I24" s="1204">
        <v>6.0056164961400427E-2</v>
      </c>
      <c r="J24" s="1204">
        <v>7.8060952520883742E-2</v>
      </c>
      <c r="K24" s="1204">
        <v>8.6294834058732839E-2</v>
      </c>
      <c r="L24" s="1204">
        <v>9.4104002672069864E-2</v>
      </c>
      <c r="M24" s="1204">
        <v>0.10159071591409496</v>
      </c>
      <c r="N24" s="1204">
        <v>0.10879326197749162</v>
      </c>
      <c r="O24" s="1205">
        <v>0.12246599255829871</v>
      </c>
      <c r="Q24" s="286">
        <v>0.15000000000000002</v>
      </c>
      <c r="R24" s="701">
        <v>9.7517949037282392E-2</v>
      </c>
      <c r="S24" s="701">
        <v>9.8441312820817917E-2</v>
      </c>
      <c r="T24" s="287">
        <v>-41.089905779328433</v>
      </c>
      <c r="U24" s="207">
        <v>-57.779099261064886</v>
      </c>
    </row>
    <row r="25" spans="2:21" ht="14" thickBot="1">
      <c r="B25" s="298"/>
      <c r="C25" s="298"/>
      <c r="D25" s="298"/>
      <c r="Q25" s="294">
        <v>0.2</v>
      </c>
      <c r="R25" s="702">
        <v>9.2603292565602846E-2</v>
      </c>
      <c r="S25" s="702">
        <v>9.4104002672069864E-2</v>
      </c>
      <c r="T25" s="295">
        <v>-160.23940355675262</v>
      </c>
      <c r="U25" s="208">
        <v>-177.65421414639121</v>
      </c>
    </row>
    <row r="26" spans="2:21" ht="14" thickBot="1">
      <c r="B26" s="298"/>
      <c r="C26" s="298"/>
      <c r="D26" s="298"/>
    </row>
    <row r="27" spans="2:21" ht="25.25" customHeight="1" thickBot="1">
      <c r="B27" s="298"/>
      <c r="C27" s="298"/>
      <c r="D27" s="298"/>
      <c r="F27" t="s">
        <v>454</v>
      </c>
      <c r="Q27" s="274" t="s">
        <v>459</v>
      </c>
      <c r="R27" s="275" t="s">
        <v>446</v>
      </c>
      <c r="S27" s="275" t="s">
        <v>447</v>
      </c>
      <c r="T27" s="275" t="s">
        <v>448</v>
      </c>
      <c r="U27" s="276" t="s">
        <v>449</v>
      </c>
    </row>
    <row r="28" spans="2:21" ht="27.5" customHeight="1" thickBot="1">
      <c r="B28" s="298"/>
      <c r="C28" s="298"/>
      <c r="D28" s="298"/>
      <c r="E28" s="94"/>
      <c r="F28" s="1714" t="s">
        <v>456</v>
      </c>
      <c r="G28" s="1715"/>
      <c r="H28" s="1715"/>
      <c r="I28" s="273">
        <v>1280.2631729604693</v>
      </c>
      <c r="J28" s="273">
        <v>1440.296069580528</v>
      </c>
      <c r="K28" s="273">
        <v>1520.3125178905573</v>
      </c>
      <c r="L28" s="273">
        <v>1600.3289662005866</v>
      </c>
      <c r="M28" s="273">
        <v>1680.3454145106159</v>
      </c>
      <c r="N28" s="273">
        <v>1760.3618628206455</v>
      </c>
      <c r="O28" s="703">
        <v>1920.3947594407039</v>
      </c>
      <c r="Q28" s="280"/>
      <c r="R28" s="281">
        <v>0.11436346587960311</v>
      </c>
      <c r="S28" s="281">
        <v>0.11325720350801904</v>
      </c>
      <c r="T28" s="282">
        <v>316.35858755294407</v>
      </c>
      <c r="U28" s="283">
        <v>301.84624539491153</v>
      </c>
    </row>
    <row r="29" spans="2:21" ht="18" customHeight="1">
      <c r="E29" s="94"/>
      <c r="F29" s="1716" t="s">
        <v>460</v>
      </c>
      <c r="G29" s="1199"/>
      <c r="H29" s="616">
        <v>0.11325720350801904</v>
      </c>
      <c r="I29" s="704">
        <v>-0.2</v>
      </c>
      <c r="J29" s="704">
        <v>-0.1</v>
      </c>
      <c r="K29" s="704">
        <v>-0.05</v>
      </c>
      <c r="L29" s="704">
        <v>0</v>
      </c>
      <c r="M29" s="704">
        <v>0.05</v>
      </c>
      <c r="N29" s="704">
        <v>0.1</v>
      </c>
      <c r="O29" s="279">
        <v>0.2</v>
      </c>
      <c r="Q29" s="286">
        <v>-0.2</v>
      </c>
      <c r="R29" s="701">
        <v>0.14140876755770959</v>
      </c>
      <c r="S29" s="701">
        <v>0.13686178683477079</v>
      </c>
      <c r="T29" s="287">
        <v>930.90750749070321</v>
      </c>
      <c r="U29" s="207">
        <v>916.39516533266976</v>
      </c>
    </row>
    <row r="30" spans="2:21" ht="18" customHeight="1">
      <c r="E30" s="94"/>
      <c r="F30" s="1717"/>
      <c r="G30" s="1200">
        <v>677.3477396859023</v>
      </c>
      <c r="H30" s="285">
        <v>-0.2</v>
      </c>
      <c r="I30" s="1201">
        <v>0.10198188669268005</v>
      </c>
      <c r="J30" s="1201">
        <v>0.12014993889693248</v>
      </c>
      <c r="K30" s="1201">
        <v>0.12866413334592952</v>
      </c>
      <c r="L30" s="1201">
        <v>0.13686178683477079</v>
      </c>
      <c r="M30" s="1201">
        <v>0.14477727989380051</v>
      </c>
      <c r="N30" s="1201">
        <v>0.15243907110770882</v>
      </c>
      <c r="O30" s="1202">
        <v>0.16709329091571212</v>
      </c>
      <c r="Q30" s="286">
        <v>-0.15000000000000002</v>
      </c>
      <c r="R30" s="701">
        <v>0.13488450356042425</v>
      </c>
      <c r="S30" s="701">
        <v>0.13118823594230866</v>
      </c>
      <c r="T30" s="287">
        <v>777.27027750626326</v>
      </c>
      <c r="U30" s="207">
        <v>762.75793534823026</v>
      </c>
    </row>
    <row r="31" spans="2:21" ht="18" customHeight="1">
      <c r="E31" s="94"/>
      <c r="F31" s="1717"/>
      <c r="G31" s="1200">
        <v>762.01620714664</v>
      </c>
      <c r="H31" s="285">
        <v>-0.1</v>
      </c>
      <c r="I31" s="1201">
        <v>8.9839735922288E-2</v>
      </c>
      <c r="J31" s="1201">
        <v>0.1084116965021622</v>
      </c>
      <c r="K31" s="1201">
        <v>0.11706499637048484</v>
      </c>
      <c r="L31" s="1201">
        <v>0.12537156608495637</v>
      </c>
      <c r="M31" s="1201">
        <v>0.13337183458953228</v>
      </c>
      <c r="N31" s="1201">
        <v>0.1410988785797842</v>
      </c>
      <c r="O31" s="1202">
        <v>0.15583860264042215</v>
      </c>
      <c r="Q31" s="286">
        <v>-0.10000000000000002</v>
      </c>
      <c r="R31" s="701">
        <v>0.1282111599312401</v>
      </c>
      <c r="S31" s="701">
        <v>0.12537156608495637</v>
      </c>
      <c r="T31" s="287">
        <v>623.63304752182387</v>
      </c>
      <c r="U31" s="207">
        <v>609.12070536379122</v>
      </c>
    </row>
    <row r="32" spans="2:21" ht="18" customHeight="1">
      <c r="E32" s="94"/>
      <c r="F32" s="1717"/>
      <c r="G32" s="1200">
        <v>804.35044087700885</v>
      </c>
      <c r="H32" s="285">
        <v>-0.05</v>
      </c>
      <c r="I32" s="1201">
        <v>8.3453134094664705E-2</v>
      </c>
      <c r="J32" s="1201">
        <v>0.1022807805953958</v>
      </c>
      <c r="K32" s="1201">
        <v>0.11102274076910579</v>
      </c>
      <c r="L32" s="1201">
        <v>0.11939934380586981</v>
      </c>
      <c r="M32" s="1201">
        <v>0.12745484954042841</v>
      </c>
      <c r="N32" s="1201">
        <v>0.13522522844467955</v>
      </c>
      <c r="O32" s="1202">
        <v>0.15002432599574833</v>
      </c>
      <c r="Q32" s="286">
        <v>-5.0000000000000017E-2</v>
      </c>
      <c r="R32" s="701">
        <v>0.12137582569587324</v>
      </c>
      <c r="S32" s="701">
        <v>0.11939934380586981</v>
      </c>
      <c r="T32" s="287">
        <v>469.99581753738369</v>
      </c>
      <c r="U32" s="207">
        <v>455.48347537935103</v>
      </c>
    </row>
    <row r="33" spans="2:21" ht="18" customHeight="1">
      <c r="E33" s="94"/>
      <c r="F33" s="1717"/>
      <c r="G33" s="1200">
        <v>846.68467460737781</v>
      </c>
      <c r="H33" s="285">
        <v>0</v>
      </c>
      <c r="I33" s="1201">
        <v>7.6714510921001011E-2</v>
      </c>
      <c r="J33" s="1201">
        <v>9.5951180801181923E-2</v>
      </c>
      <c r="K33" s="1201">
        <v>0.10479770042201952</v>
      </c>
      <c r="L33" s="1203">
        <v>0.11325720350801904</v>
      </c>
      <c r="M33" s="1201">
        <v>0.12137850020572838</v>
      </c>
      <c r="N33" s="1201">
        <v>0.12920096883017251</v>
      </c>
      <c r="O33" s="1202">
        <v>0.1440729624086563</v>
      </c>
      <c r="Q33" s="288">
        <v>0</v>
      </c>
      <c r="R33" s="701">
        <v>0.11436346587960311</v>
      </c>
      <c r="S33" s="701">
        <v>0.11325720350801904</v>
      </c>
      <c r="T33" s="287">
        <v>316.35858755294407</v>
      </c>
      <c r="U33" s="207">
        <v>301.84624539491153</v>
      </c>
    </row>
    <row r="34" spans="2:21" ht="18" customHeight="1">
      <c r="E34" s="94"/>
      <c r="F34" s="1717"/>
      <c r="G34" s="1200">
        <v>889.01890833774678</v>
      </c>
      <c r="H34" s="285">
        <v>0.05</v>
      </c>
      <c r="I34" s="1201">
        <v>6.9700698630009494E-2</v>
      </c>
      <c r="J34" s="1201">
        <v>8.9400644866243661E-2</v>
      </c>
      <c r="K34" s="1201">
        <v>9.8370733418477574E-2</v>
      </c>
      <c r="L34" s="1201">
        <v>0.10692841753819415</v>
      </c>
      <c r="M34" s="1201">
        <v>0.11512797149782705</v>
      </c>
      <c r="N34" s="1201">
        <v>0.12301282616347309</v>
      </c>
      <c r="O34" s="1202">
        <v>0.13797354386327743</v>
      </c>
      <c r="Q34" s="286">
        <v>0.05</v>
      </c>
      <c r="R34" s="701">
        <v>0.10715642961663696</v>
      </c>
      <c r="S34" s="701">
        <v>0.10692841753819415</v>
      </c>
      <c r="T34" s="287">
        <v>162.72135756850417</v>
      </c>
      <c r="U34" s="207">
        <v>148.20901541047141</v>
      </c>
    </row>
    <row r="35" spans="2:21" ht="18" customHeight="1">
      <c r="E35" s="94"/>
      <c r="F35" s="1717"/>
      <c r="G35" s="1200">
        <v>931.35314206811563</v>
      </c>
      <c r="H35" s="285">
        <v>0.1</v>
      </c>
      <c r="I35" s="1201">
        <v>6.236578098139689E-2</v>
      </c>
      <c r="J35" s="1201">
        <v>8.2602566021710233E-2</v>
      </c>
      <c r="K35" s="1201">
        <v>9.1719171294939672E-2</v>
      </c>
      <c r="L35" s="1201">
        <v>0.10039333924100347</v>
      </c>
      <c r="M35" s="1201">
        <v>0.10868598744756608</v>
      </c>
      <c r="N35" s="1201">
        <v>0.11664541955277019</v>
      </c>
      <c r="O35" s="1202">
        <v>0.13171349635536211</v>
      </c>
      <c r="Q35" s="286">
        <v>0.1</v>
      </c>
      <c r="R35" s="701">
        <v>9.9733809188939038E-2</v>
      </c>
      <c r="S35" s="701">
        <v>0.10039333924100347</v>
      </c>
      <c r="T35" s="287">
        <v>9.0841275840643121</v>
      </c>
      <c r="U35" s="207">
        <v>-5.4282145739680727</v>
      </c>
    </row>
    <row r="36" spans="2:21" ht="18" customHeight="1" thickBot="1">
      <c r="B36" s="705" t="s">
        <v>84</v>
      </c>
      <c r="C36" s="1719" t="s">
        <v>85</v>
      </c>
      <c r="D36" s="1719"/>
      <c r="E36" s="94"/>
      <c r="F36" s="1718"/>
      <c r="G36" s="300">
        <v>1016.0216095288533</v>
      </c>
      <c r="H36" s="293">
        <v>0.2</v>
      </c>
      <c r="I36" s="1204">
        <v>4.6494507152812892E-2</v>
      </c>
      <c r="J36" s="1204">
        <v>6.7897141184637633E-2</v>
      </c>
      <c r="K36" s="1204">
        <v>7.7558299297397326E-2</v>
      </c>
      <c r="L36" s="1204">
        <v>8.660648480158839E-2</v>
      </c>
      <c r="M36" s="1204">
        <v>9.5142536018397283E-2</v>
      </c>
      <c r="N36" s="1204">
        <v>0.10329772577417473</v>
      </c>
      <c r="O36" s="1205">
        <v>0.11865106212186793</v>
      </c>
      <c r="Q36" s="286">
        <v>0.15000000000000002</v>
      </c>
      <c r="R36" s="701">
        <v>9.2070592154139153E-2</v>
      </c>
      <c r="S36" s="701">
        <v>9.3628670795254276E-2</v>
      </c>
      <c r="T36" s="287">
        <v>-144.55310240037392</v>
      </c>
      <c r="U36" s="207">
        <v>-159.06544455840674</v>
      </c>
    </row>
    <row r="37" spans="2:21" ht="14" thickBot="1">
      <c r="B37" s="705"/>
      <c r="C37" s="706" t="s">
        <v>91</v>
      </c>
      <c r="D37" s="706" t="s">
        <v>452</v>
      </c>
      <c r="E37" s="94"/>
      <c r="Q37" s="294">
        <v>0.2</v>
      </c>
      <c r="R37" s="702">
        <v>8.4136520554163097E-2</v>
      </c>
      <c r="S37" s="702">
        <v>8.660648480158839E-2</v>
      </c>
      <c r="T37" s="295">
        <v>-298.19033238481421</v>
      </c>
      <c r="U37" s="208">
        <v>-312.70267454284664</v>
      </c>
    </row>
    <row r="38" spans="2:21">
      <c r="B38" s="705"/>
      <c r="C38" s="707"/>
      <c r="D38" s="707"/>
      <c r="E38" s="94"/>
    </row>
    <row r="39" spans="2:21">
      <c r="B39" s="705" t="s">
        <v>85</v>
      </c>
      <c r="C39" s="707"/>
      <c r="D39" s="707"/>
      <c r="E39" s="94"/>
    </row>
    <row r="40" spans="2:21">
      <c r="B40" s="705" t="s">
        <v>92</v>
      </c>
      <c r="C40" s="707"/>
      <c r="D40" s="707"/>
      <c r="E40" s="94"/>
    </row>
    <row r="41" spans="2:21">
      <c r="B41" s="549"/>
      <c r="C41" s="549"/>
      <c r="D41" s="549"/>
      <c r="E41" s="94"/>
    </row>
    <row r="42" spans="2:21">
      <c r="B42" s="705" t="s">
        <v>100</v>
      </c>
      <c r="C42" s="1719" t="s">
        <v>35</v>
      </c>
      <c r="D42" s="1719"/>
      <c r="E42" s="94"/>
    </row>
    <row r="43" spans="2:21">
      <c r="B43" s="705"/>
      <c r="C43" s="706" t="s">
        <v>91</v>
      </c>
      <c r="D43" s="706" t="s">
        <v>452</v>
      </c>
      <c r="E43" s="94"/>
    </row>
    <row r="44" spans="2:21">
      <c r="B44" s="705"/>
      <c r="C44" s="707"/>
      <c r="D44" s="707"/>
      <c r="E44" s="94"/>
      <c r="R44" s="301"/>
    </row>
    <row r="45" spans="2:21">
      <c r="B45" s="705" t="s">
        <v>35</v>
      </c>
      <c r="C45" s="707"/>
      <c r="D45" s="707"/>
      <c r="E45" s="94"/>
    </row>
    <row r="46" spans="2:21">
      <c r="B46" s="705" t="s">
        <v>101</v>
      </c>
      <c r="C46" s="707"/>
      <c r="D46" s="707"/>
      <c r="E46" s="94"/>
    </row>
    <row r="47" spans="2:21">
      <c r="B47" s="549"/>
      <c r="C47" s="549"/>
      <c r="D47" s="549"/>
      <c r="E47" s="94"/>
    </row>
    <row r="48" spans="2:21">
      <c r="B48" s="549" t="s">
        <v>461</v>
      </c>
      <c r="C48" s="708" t="s">
        <v>107</v>
      </c>
      <c r="D48" s="708"/>
      <c r="E48" s="94"/>
    </row>
    <row r="53" spans="2:3" hidden="1">
      <c r="B53" s="343" t="s">
        <v>462</v>
      </c>
      <c r="C53" s="344" t="s">
        <v>107</v>
      </c>
    </row>
  </sheetData>
  <mergeCells count="8">
    <mergeCell ref="F28:H28"/>
    <mergeCell ref="F29:F36"/>
    <mergeCell ref="C36:D36"/>
    <mergeCell ref="C42:D42"/>
    <mergeCell ref="C11:D11"/>
    <mergeCell ref="F16:H16"/>
    <mergeCell ref="C17:D17"/>
    <mergeCell ref="F17:F24"/>
  </mergeCells>
  <conditionalFormatting sqref="C14:D15">
    <cfRule type="colorScale" priority="32">
      <colorScale>
        <cfvo type="min"/>
        <cfvo type="percentile" val="50"/>
        <cfvo type="max"/>
        <color rgb="FFF8696B"/>
        <color rgb="FFFFEB84"/>
        <color rgb="FF63BE7B"/>
      </colorScale>
    </cfRule>
  </conditionalFormatting>
  <conditionalFormatting sqref="C20:D21">
    <cfRule type="colorScale" priority="31">
      <colorScale>
        <cfvo type="min"/>
        <cfvo type="percentile" val="50"/>
        <cfvo type="max"/>
        <color rgb="FFF8696B"/>
        <color rgb="FFFFEB84"/>
        <color rgb="FF63BE7B"/>
      </colorScale>
    </cfRule>
  </conditionalFormatting>
  <conditionalFormatting sqref="C39:D40">
    <cfRule type="colorScale" priority="29">
      <colorScale>
        <cfvo type="min"/>
        <cfvo type="percentile" val="50"/>
        <cfvo type="max"/>
        <color rgb="FFF8696B"/>
        <color rgb="FFFFEB84"/>
        <color rgb="FF63BE7B"/>
      </colorScale>
    </cfRule>
  </conditionalFormatting>
  <conditionalFormatting sqref="C45:D46">
    <cfRule type="colorScale" priority="7">
      <colorScale>
        <cfvo type="min"/>
        <cfvo type="percentile" val="50"/>
        <cfvo type="max"/>
        <color rgb="FFF8696B"/>
        <color rgb="FFFFEB84"/>
        <color rgb="FF63BE7B"/>
      </colorScale>
    </cfRule>
  </conditionalFormatting>
  <conditionalFormatting sqref="I18:O24">
    <cfRule type="colorScale" priority="34">
      <colorScale>
        <cfvo type="min"/>
        <cfvo type="percentile" val="50"/>
        <cfvo type="max"/>
        <color rgb="FFF8696B"/>
        <color rgb="FFFFEB84"/>
        <color rgb="FF63BE7B"/>
      </colorScale>
    </cfRule>
  </conditionalFormatting>
  <conditionalFormatting sqref="I30:O36">
    <cfRule type="colorScale" priority="33">
      <colorScale>
        <cfvo type="min"/>
        <cfvo type="percentile" val="50"/>
        <cfvo type="max"/>
        <color rgb="FFF8696B"/>
        <color rgb="FFFFEB84"/>
        <color rgb="FF63BE7B"/>
      </colorScale>
    </cfRule>
  </conditionalFormatting>
  <conditionalFormatting sqref="R5:R13">
    <cfRule type="colorScale" priority="28">
      <colorScale>
        <cfvo type="min"/>
        <cfvo type="percentile" val="50"/>
        <cfvo type="max"/>
        <color rgb="FFF8696B"/>
        <color rgb="FFFFEB84"/>
        <color rgb="FF63BE7B"/>
      </colorScale>
    </cfRule>
  </conditionalFormatting>
  <conditionalFormatting sqref="R17:R25">
    <cfRule type="colorScale" priority="24">
      <colorScale>
        <cfvo type="min"/>
        <cfvo type="percentile" val="50"/>
        <cfvo type="max"/>
        <color rgb="FFF8696B"/>
        <color rgb="FFFFEB84"/>
        <color rgb="FF63BE7B"/>
      </colorScale>
    </cfRule>
  </conditionalFormatting>
  <conditionalFormatting sqref="R29:R37">
    <cfRule type="colorScale" priority="21">
      <colorScale>
        <cfvo type="min"/>
        <cfvo type="percentile" val="50"/>
        <cfvo type="max"/>
        <color rgb="FFF8696B"/>
        <color rgb="FFFFEB84"/>
        <color rgb="FF63BE7B"/>
      </colorScale>
    </cfRule>
  </conditionalFormatting>
  <conditionalFormatting sqref="S5:S13">
    <cfRule type="colorScale" priority="27">
      <colorScale>
        <cfvo type="min"/>
        <cfvo type="percentile" val="50"/>
        <cfvo type="max"/>
        <color rgb="FFF8696B"/>
        <color rgb="FFFFEB84"/>
        <color rgb="FF63BE7B"/>
      </colorScale>
    </cfRule>
  </conditionalFormatting>
  <conditionalFormatting sqref="S17:S25">
    <cfRule type="colorScale" priority="23">
      <colorScale>
        <cfvo type="min"/>
        <cfvo type="percentile" val="50"/>
        <cfvo type="max"/>
        <color rgb="FFF8696B"/>
        <color rgb="FFFFEB84"/>
        <color rgb="FF63BE7B"/>
      </colorScale>
    </cfRule>
  </conditionalFormatting>
  <conditionalFormatting sqref="S29:S37">
    <cfRule type="colorScale" priority="20">
      <colorScale>
        <cfvo type="min"/>
        <cfvo type="percentile" val="50"/>
        <cfvo type="max"/>
        <color rgb="FFF8696B"/>
        <color rgb="FFFFEB84"/>
        <color rgb="FF63BE7B"/>
      </colorScale>
    </cfRule>
  </conditionalFormatting>
  <conditionalFormatting sqref="T5:T13">
    <cfRule type="colorScale" priority="26">
      <colorScale>
        <cfvo type="min"/>
        <cfvo type="percentile" val="50"/>
        <cfvo type="max"/>
        <color rgb="FFF8696B"/>
        <color rgb="FFFFEB84"/>
        <color rgb="FF63BE7B"/>
      </colorScale>
    </cfRule>
  </conditionalFormatting>
  <conditionalFormatting sqref="T17:T25">
    <cfRule type="colorScale" priority="6">
      <colorScale>
        <cfvo type="min"/>
        <cfvo type="percentile" val="50"/>
        <cfvo type="max"/>
        <color rgb="FFF8696B"/>
        <color rgb="FFFFEB84"/>
        <color rgb="FF63BE7B"/>
      </colorScale>
    </cfRule>
  </conditionalFormatting>
  <conditionalFormatting sqref="T29:T37">
    <cfRule type="colorScale" priority="5">
      <colorScale>
        <cfvo type="min"/>
        <cfvo type="percentile" val="50"/>
        <cfvo type="max"/>
        <color rgb="FFF8696B"/>
        <color rgb="FFFFEB84"/>
        <color rgb="FF63BE7B"/>
      </colorScale>
    </cfRule>
  </conditionalFormatting>
  <conditionalFormatting sqref="U5:U13">
    <cfRule type="colorScale" priority="25">
      <colorScale>
        <cfvo type="min"/>
        <cfvo type="percentile" val="50"/>
        <cfvo type="max"/>
        <color rgb="FFF8696B"/>
        <color rgb="FFFFEB84"/>
        <color rgb="FF63BE7B"/>
      </colorScale>
    </cfRule>
  </conditionalFormatting>
  <conditionalFormatting sqref="U17:U25">
    <cfRule type="colorScale" priority="22">
      <colorScale>
        <cfvo type="min"/>
        <cfvo type="percentile" val="50"/>
        <cfvo type="max"/>
        <color rgb="FFF8696B"/>
        <color rgb="FFFFEB84"/>
        <color rgb="FF63BE7B"/>
      </colorScale>
    </cfRule>
  </conditionalFormatting>
  <conditionalFormatting sqref="U29:U37">
    <cfRule type="colorScale" priority="19">
      <colorScale>
        <cfvo type="min"/>
        <cfvo type="percentile" val="50"/>
        <cfvo type="max"/>
        <color rgb="FFF8696B"/>
        <color rgb="FFFFEB84"/>
        <color rgb="FF63BE7B"/>
      </colorScale>
    </cfRule>
  </conditionalFormatting>
  <dataValidations disablePrompts="1" count="3">
    <dataValidation type="list" allowBlank="1" showInputMessage="1" showErrorMessage="1" sqref="C23:D23" xr:uid="{943AF98C-CE6D-4A3F-BB5C-DEC4024E1EBA}">
      <formula1>$B$26:$B$28</formula1>
    </dataValidation>
    <dataValidation type="list" allowBlank="1" showInputMessage="1" showErrorMessage="1" sqref="C11 C17 C53:D53" xr:uid="{EEF5706A-2F8D-432B-9F24-2E81C669BF16}">
      <formula1>"Yes, No"</formula1>
    </dataValidation>
    <dataValidation operator="equal" allowBlank="1" showInputMessage="1" showErrorMessage="1" sqref="C45" xr:uid="{04DCFB52-0F4A-4DD5-A8BE-6CCDE806160F}"/>
  </dataValidations>
  <pageMargins left="0.7" right="0.7" top="0.75" bottom="0.75" header="0.3" footer="0.3"/>
  <pageSetup scale="96" fitToWidth="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2451-4218-4962-AE4D-06EBB2C1992D}">
  <sheetPr codeName="Sheet7">
    <tabColor rgb="FF0070C0"/>
  </sheetPr>
  <dimension ref="A5:AP41"/>
  <sheetViews>
    <sheetView showGridLines="0" workbookViewId="0">
      <selection activeCell="L15" sqref="L15"/>
    </sheetView>
  </sheetViews>
  <sheetFormatPr baseColWidth="10" defaultColWidth="9.1640625" defaultRowHeight="13" outlineLevelRow="1" outlineLevelCol="1"/>
  <cols>
    <col min="1" max="1" width="19.5" style="478" bestFit="1" customWidth="1"/>
    <col min="2" max="2" width="8.6640625" style="478" bestFit="1" customWidth="1"/>
    <col min="3" max="3" width="31.1640625" style="478" bestFit="1" customWidth="1"/>
    <col min="4" max="4" width="10.5" style="479" customWidth="1" outlineLevel="1"/>
    <col min="5" max="5" width="10.5" style="478" customWidth="1" outlineLevel="1"/>
    <col min="6" max="6" width="7.6640625" style="480" customWidth="1" outlineLevel="1"/>
    <col min="7" max="29" width="7.6640625" style="700" customWidth="1"/>
    <col min="30" max="36" width="7.6640625" style="479" customWidth="1"/>
    <col min="37" max="16384" width="9.1640625" style="478"/>
  </cols>
  <sheetData>
    <row r="5" spans="1:42">
      <c r="G5" s="100">
        <f>'Production Schedule'!E1</f>
        <v>46023</v>
      </c>
      <c r="H5" s="100">
        <f>'Production Schedule'!F1</f>
        <v>46389</v>
      </c>
      <c r="I5" s="100">
        <f>'Production Schedule'!G1</f>
        <v>46755</v>
      </c>
      <c r="J5" s="100">
        <f>'Production Schedule'!H1</f>
        <v>47121</v>
      </c>
      <c r="K5" s="100">
        <f>'Production Schedule'!I1</f>
        <v>47487</v>
      </c>
      <c r="L5" s="100">
        <f>'Production Schedule'!J1</f>
        <v>47853</v>
      </c>
      <c r="M5" s="100">
        <f>'Production Schedule'!K1</f>
        <v>48219</v>
      </c>
      <c r="N5" s="100">
        <f>'Production Schedule'!L1</f>
        <v>48585</v>
      </c>
      <c r="O5" s="100">
        <f>'Production Schedule'!M1</f>
        <v>48951</v>
      </c>
      <c r="P5" s="100">
        <f>'Production Schedule'!N1</f>
        <v>49317</v>
      </c>
      <c r="Q5" s="100">
        <f>'Production Schedule'!O1</f>
        <v>49683</v>
      </c>
      <c r="R5" s="100">
        <f>'Production Schedule'!P1</f>
        <v>50049</v>
      </c>
      <c r="S5" s="100">
        <f>'Production Schedule'!Q1</f>
        <v>50415</v>
      </c>
      <c r="T5" s="100">
        <f>'Production Schedule'!R1</f>
        <v>50781</v>
      </c>
      <c r="U5" s="100">
        <f>'Production Schedule'!S1</f>
        <v>51147</v>
      </c>
      <c r="V5" s="100">
        <f>'Production Schedule'!T1</f>
        <v>51513</v>
      </c>
      <c r="W5" s="100">
        <f>'Production Schedule'!U1</f>
        <v>51879</v>
      </c>
      <c r="X5" s="100">
        <f>'Production Schedule'!V1</f>
        <v>52245</v>
      </c>
      <c r="Y5" s="100">
        <f>'Production Schedule'!W1</f>
        <v>52611</v>
      </c>
      <c r="Z5" s="100">
        <f>'Production Schedule'!X1</f>
        <v>52977</v>
      </c>
      <c r="AA5" s="100">
        <f>'Production Schedule'!Y1</f>
        <v>53343</v>
      </c>
      <c r="AB5" s="100">
        <f>'Production Schedule'!Z1</f>
        <v>53709</v>
      </c>
      <c r="AC5" s="100">
        <f>'Production Schedule'!AA1</f>
        <v>54075</v>
      </c>
      <c r="AD5" s="100"/>
      <c r="AE5" s="100"/>
      <c r="AF5" s="100"/>
      <c r="AG5" s="100"/>
      <c r="AH5" s="100"/>
      <c r="AI5" s="100"/>
      <c r="AJ5" s="100"/>
      <c r="AK5" s="100"/>
      <c r="AL5" s="100"/>
      <c r="AM5" s="100"/>
      <c r="AN5" s="100"/>
      <c r="AO5" s="100"/>
      <c r="AP5" s="100"/>
    </row>
    <row r="6" spans="1:42" s="446" customFormat="1" ht="12" customHeight="1" outlineLevel="1">
      <c r="A6" s="1206"/>
      <c r="B6" s="1206"/>
      <c r="C6" s="447" t="s">
        <v>463</v>
      </c>
      <c r="D6" s="1207"/>
      <c r="E6" s="1208"/>
      <c r="F6" s="1209"/>
      <c r="G6" s="1141">
        <f>'Production Schedule'!E3</f>
        <v>-4</v>
      </c>
      <c r="H6" s="1141">
        <f>'Production Schedule'!F3</f>
        <v>-3</v>
      </c>
      <c r="I6" s="1141">
        <f>'Production Schedule'!G3</f>
        <v>-2</v>
      </c>
      <c r="J6" s="1141">
        <f>'Production Schedule'!H3</f>
        <v>-1</v>
      </c>
      <c r="K6" s="1141">
        <f>'Production Schedule'!I3</f>
        <v>1</v>
      </c>
      <c r="L6" s="1141">
        <f>'Production Schedule'!J3</f>
        <v>2</v>
      </c>
      <c r="M6" s="1141">
        <f>'Production Schedule'!K3</f>
        <v>3</v>
      </c>
      <c r="N6" s="1141">
        <f>'Production Schedule'!L3</f>
        <v>4</v>
      </c>
      <c r="O6" s="1141">
        <f>'Production Schedule'!M3</f>
        <v>5</v>
      </c>
      <c r="P6" s="1141">
        <f>'Production Schedule'!N3</f>
        <v>6</v>
      </c>
      <c r="Q6" s="1141">
        <f>'Production Schedule'!O3</f>
        <v>7</v>
      </c>
      <c r="R6" s="1141">
        <f>'Production Schedule'!P3</f>
        <v>8</v>
      </c>
      <c r="S6" s="1141">
        <f>'Production Schedule'!Q3</f>
        <v>9</v>
      </c>
      <c r="T6" s="1141">
        <f>'Production Schedule'!R3</f>
        <v>10</v>
      </c>
      <c r="U6" s="1141">
        <f>'Production Schedule'!S3</f>
        <v>11</v>
      </c>
      <c r="V6" s="1141">
        <f>'Production Schedule'!T3</f>
        <v>12</v>
      </c>
      <c r="W6" s="1141">
        <f>'Production Schedule'!U3</f>
        <v>13</v>
      </c>
      <c r="X6" s="1141">
        <f>'Production Schedule'!V3</f>
        <v>14</v>
      </c>
      <c r="Y6" s="1141">
        <f>'Production Schedule'!W3</f>
        <v>15</v>
      </c>
      <c r="Z6" s="1141">
        <f>'Production Schedule'!X3</f>
        <v>16</v>
      </c>
      <c r="AA6" s="1141">
        <f>'Production Schedule'!Y3</f>
        <v>17</v>
      </c>
      <c r="AB6" s="1141">
        <f>'Production Schedule'!Z3</f>
        <v>18</v>
      </c>
      <c r="AC6" s="1141">
        <f>'Production Schedule'!AA3</f>
        <v>19</v>
      </c>
      <c r="AD6" s="1141"/>
      <c r="AE6" s="1141"/>
      <c r="AF6" s="1141"/>
      <c r="AG6" s="1141"/>
      <c r="AH6" s="1141"/>
      <c r="AI6" s="1141"/>
      <c r="AJ6" s="1141"/>
      <c r="AK6" s="1141">
        <f>'Production Schedule'!AI3</f>
        <v>0</v>
      </c>
      <c r="AL6" s="1141">
        <f>'Production Schedule'!AJ3</f>
        <v>0</v>
      </c>
      <c r="AM6" s="1141">
        <f>'Production Schedule'!AK3</f>
        <v>0</v>
      </c>
      <c r="AN6" s="1141">
        <f>'Production Schedule'!AL3</f>
        <v>0</v>
      </c>
      <c r="AO6" s="1141">
        <f>'Production Schedule'!AM3</f>
        <v>0</v>
      </c>
      <c r="AP6" s="1141">
        <f>'Production Schedule'!AN3</f>
        <v>0</v>
      </c>
    </row>
    <row r="7" spans="1:42" s="446" customFormat="1">
      <c r="A7" s="1206"/>
      <c r="B7" s="1206"/>
      <c r="C7" s="447" t="s">
        <v>464</v>
      </c>
      <c r="D7" s="448"/>
      <c r="E7" s="447"/>
      <c r="F7" s="449"/>
      <c r="G7" s="448"/>
      <c r="H7" s="448"/>
      <c r="I7" s="448"/>
      <c r="J7" s="448"/>
      <c r="K7" s="448"/>
      <c r="L7" s="448"/>
      <c r="M7" s="448"/>
      <c r="N7" s="448"/>
      <c r="O7" s="448"/>
      <c r="P7" s="448"/>
      <c r="Q7" s="448"/>
      <c r="R7" s="448"/>
      <c r="S7" s="448"/>
      <c r="T7" s="448"/>
      <c r="U7" s="448"/>
      <c r="V7" s="448"/>
      <c r="W7" s="448"/>
      <c r="X7" s="448"/>
      <c r="Y7" s="448"/>
      <c r="Z7" s="448"/>
      <c r="AA7" s="448"/>
      <c r="AB7" s="448"/>
      <c r="AC7" s="448"/>
      <c r="AD7" s="448"/>
      <c r="AE7" s="448"/>
      <c r="AF7" s="448"/>
      <c r="AG7" s="448"/>
      <c r="AH7" s="448"/>
      <c r="AI7" s="448"/>
      <c r="AJ7" s="448"/>
      <c r="AK7" s="1206"/>
      <c r="AL7" s="1206"/>
      <c r="AM7" s="1206"/>
      <c r="AN7" s="1206"/>
      <c r="AO7" s="1206"/>
      <c r="AP7" s="1206"/>
    </row>
    <row r="8" spans="1:42" s="446" customFormat="1" ht="12" customHeight="1">
      <c r="A8" s="1206" t="s">
        <v>465</v>
      </c>
      <c r="B8" s="1206"/>
      <c r="C8" s="1206" t="s">
        <v>466</v>
      </c>
      <c r="D8" s="1210" t="s">
        <v>467</v>
      </c>
      <c r="E8" s="1211">
        <f>SUM(G8:AP8)</f>
        <v>225.70440651000001</v>
      </c>
      <c r="F8" s="1212"/>
      <c r="G8" s="481">
        <f>'Production Schedule'!E5</f>
        <v>0</v>
      </c>
      <c r="H8" s="481">
        <f>'Production Schedule'!F5</f>
        <v>0</v>
      </c>
      <c r="I8" s="481">
        <f>'Production Schedule'!G5</f>
        <v>0</v>
      </c>
      <c r="J8" s="481">
        <f>'Production Schedule'!H5</f>
        <v>0</v>
      </c>
      <c r="K8" s="481">
        <f>'Production Schedule'!I5</f>
        <v>1.9999997549999999</v>
      </c>
      <c r="L8" s="481">
        <f>'Production Schedule'!J5</f>
        <v>3.9999986549999997</v>
      </c>
      <c r="M8" s="481">
        <f>'Production Schedule'!K5</f>
        <v>8.00000073</v>
      </c>
      <c r="N8" s="481">
        <f>'Production Schedule'!L5</f>
        <v>11.999998529999999</v>
      </c>
      <c r="O8" s="481">
        <f>'Production Schedule'!M5</f>
        <v>14.99999517</v>
      </c>
      <c r="P8" s="481">
        <f>'Production Schedule'!N5</f>
        <v>15.000007140000001</v>
      </c>
      <c r="Q8" s="481">
        <f>'Production Schedule'!O5</f>
        <v>14.999998590000001</v>
      </c>
      <c r="R8" s="481">
        <f>'Production Schedule'!P5</f>
        <v>14.999996879999999</v>
      </c>
      <c r="S8" s="481">
        <f>'Production Schedule'!Q5</f>
        <v>15.000003719999999</v>
      </c>
      <c r="T8" s="481">
        <f>'Production Schedule'!R5</f>
        <v>14.99999517</v>
      </c>
      <c r="U8" s="481">
        <f>'Production Schedule'!S5</f>
        <v>14.999996879999999</v>
      </c>
      <c r="V8" s="481">
        <f>'Production Schedule'!T5</f>
        <v>15.000002009999999</v>
      </c>
      <c r="W8" s="481">
        <f>'Production Schedule'!U5</f>
        <v>15.00001569</v>
      </c>
      <c r="X8" s="481">
        <f>'Production Schedule'!V5</f>
        <v>15.000002009999999</v>
      </c>
      <c r="Y8" s="481">
        <f>'Production Schedule'!W5</f>
        <v>15.000002009999999</v>
      </c>
      <c r="Z8" s="481">
        <f>'Production Schedule'!X5</f>
        <v>15.000000299999998</v>
      </c>
      <c r="AA8" s="481">
        <f>'Production Schedule'!Y5</f>
        <v>9.9999996299999996</v>
      </c>
      <c r="AB8" s="481">
        <f>'Production Schedule'!Z5</f>
        <v>7.5000027149999999</v>
      </c>
      <c r="AC8" s="481">
        <f>'Production Schedule'!AA5</f>
        <v>2.2043909249999998</v>
      </c>
      <c r="AD8" s="481"/>
      <c r="AE8" s="481"/>
      <c r="AF8" s="481"/>
      <c r="AG8" s="481"/>
      <c r="AH8" s="481"/>
      <c r="AI8" s="481"/>
      <c r="AJ8" s="481"/>
      <c r="AK8" s="481"/>
      <c r="AL8" s="481"/>
      <c r="AM8" s="481"/>
      <c r="AN8" s="481"/>
      <c r="AO8" s="481"/>
      <c r="AP8" s="481"/>
    </row>
    <row r="9" spans="1:42" s="446" customFormat="1" collapsed="1">
      <c r="A9" s="1206"/>
      <c r="B9" s="1206"/>
      <c r="C9" s="447" t="s">
        <v>468</v>
      </c>
      <c r="D9" s="448"/>
      <c r="E9" s="447"/>
      <c r="F9" s="449"/>
      <c r="G9" s="448"/>
      <c r="H9" s="448"/>
      <c r="I9" s="448"/>
      <c r="J9" s="448"/>
      <c r="K9" s="448"/>
      <c r="L9" s="448"/>
      <c r="M9" s="448"/>
      <c r="N9" s="448"/>
      <c r="O9" s="448"/>
      <c r="P9" s="448"/>
      <c r="Q9" s="448"/>
      <c r="R9" s="448"/>
      <c r="S9" s="448"/>
      <c r="T9" s="448"/>
      <c r="U9" s="448"/>
      <c r="V9" s="448"/>
      <c r="W9" s="448"/>
      <c r="X9" s="448"/>
      <c r="Y9" s="448"/>
      <c r="Z9" s="448"/>
      <c r="AA9" s="448"/>
      <c r="AB9" s="448"/>
      <c r="AC9" s="448"/>
      <c r="AD9" s="448"/>
      <c r="AE9" s="448"/>
      <c r="AF9" s="448"/>
      <c r="AG9" s="448"/>
      <c r="AH9" s="448"/>
      <c r="AI9" s="448"/>
      <c r="AJ9" s="448"/>
      <c r="AK9" s="1206"/>
      <c r="AL9" s="1206"/>
      <c r="AM9" s="1206"/>
      <c r="AN9" s="1206"/>
      <c r="AO9" s="1206"/>
      <c r="AP9" s="1206"/>
    </row>
    <row r="10" spans="1:42" s="446" customFormat="1" ht="12" customHeight="1">
      <c r="A10" s="1206"/>
      <c r="B10" s="1206"/>
      <c r="C10" s="1206" t="s">
        <v>469</v>
      </c>
      <c r="D10" s="1210" t="s">
        <v>470</v>
      </c>
      <c r="E10" s="450">
        <f>+SUM(G10:AP10)</f>
        <v>35929.111499812818</v>
      </c>
      <c r="F10" s="1213"/>
      <c r="G10" s="690">
        <f>Government!E8+Government!E9</f>
        <v>0</v>
      </c>
      <c r="H10" s="690">
        <f>Government!F8+Government!F9</f>
        <v>0</v>
      </c>
      <c r="I10" s="690">
        <f>Government!G8+Government!G9</f>
        <v>0</v>
      </c>
      <c r="J10" s="690">
        <f>Government!H8+Government!H9</f>
        <v>0</v>
      </c>
      <c r="K10" s="690">
        <f>Government!I8+Government!I9</f>
        <v>330.23995954560007</v>
      </c>
      <c r="L10" s="690">
        <f>Government!J8+Government!J9</f>
        <v>660.47977791360017</v>
      </c>
      <c r="M10" s="690">
        <f>Government!K8+Government!K9</f>
        <v>1320.9601205376005</v>
      </c>
      <c r="N10" s="690">
        <f>Government!L8+Government!L9</f>
        <v>1981.4397572736004</v>
      </c>
      <c r="O10" s="690">
        <f>Government!M8+Government!M9</f>
        <v>2476.7992024704008</v>
      </c>
      <c r="P10" s="690">
        <f>Government!N8+Government!N9</f>
        <v>2476.8011789568009</v>
      </c>
      <c r="Q10" s="690">
        <f>Government!O8+Government!O9</f>
        <v>2476.7997671808007</v>
      </c>
      <c r="R10" s="690">
        <f>Government!P8+Government!P9</f>
        <v>2476.7994848256008</v>
      </c>
      <c r="S10" s="690">
        <f>Government!Q8+Government!Q9</f>
        <v>2476.8006142464005</v>
      </c>
      <c r="T10" s="690">
        <f>Government!R8+Government!R9</f>
        <v>2476.7992024704008</v>
      </c>
      <c r="U10" s="690">
        <f>Government!S8+Government!S9</f>
        <v>2476.7994848256008</v>
      </c>
      <c r="V10" s="690">
        <f>Government!T8+Government!T9</f>
        <v>2476.8003318912006</v>
      </c>
      <c r="W10" s="690">
        <f>Government!U8+Government!U9</f>
        <v>2476.8025907328006</v>
      </c>
      <c r="X10" s="690">
        <f>Government!V8+Government!V9</f>
        <v>2476.8003318912006</v>
      </c>
      <c r="Y10" s="690">
        <f>Government!W8+Government!W9</f>
        <v>1807.2002421648006</v>
      </c>
      <c r="Z10" s="690">
        <f>Government!X8+Government!X9</f>
        <v>1807.2000361440005</v>
      </c>
      <c r="AA10" s="690">
        <f>Government!Y8+Government!Y9</f>
        <v>1651.1999389056004</v>
      </c>
      <c r="AB10" s="690">
        <f>Government!Z8+Government!Z9</f>
        <v>1238.4004483008005</v>
      </c>
      <c r="AC10" s="690">
        <f>Government!AA8+Government!AA9</f>
        <v>363.98902953600009</v>
      </c>
      <c r="AD10" s="690"/>
      <c r="AE10" s="690"/>
      <c r="AF10" s="690"/>
      <c r="AG10" s="690"/>
      <c r="AH10" s="690"/>
      <c r="AI10" s="690"/>
      <c r="AJ10" s="690"/>
      <c r="AK10" s="451"/>
      <c r="AL10" s="451"/>
      <c r="AM10" s="451"/>
      <c r="AN10" s="451"/>
      <c r="AO10" s="451"/>
      <c r="AP10" s="451"/>
    </row>
    <row r="11" spans="1:42" s="446" customFormat="1" collapsed="1">
      <c r="A11" s="1206"/>
      <c r="B11" s="1206"/>
      <c r="C11" s="447" t="s">
        <v>471</v>
      </c>
      <c r="D11" s="448"/>
      <c r="E11" s="447"/>
      <c r="F11" s="449"/>
      <c r="G11" s="448"/>
      <c r="H11" s="448"/>
      <c r="I11" s="448"/>
      <c r="J11" s="448"/>
      <c r="K11" s="448"/>
      <c r="L11" s="448"/>
      <c r="M11" s="448"/>
      <c r="N11" s="448"/>
      <c r="O11" s="448"/>
      <c r="P11" s="448"/>
      <c r="Q11" s="448"/>
      <c r="R11" s="448"/>
      <c r="S11" s="448"/>
      <c r="T11" s="448"/>
      <c r="U11" s="448"/>
      <c r="V11" s="448"/>
      <c r="W11" s="448"/>
      <c r="X11" s="448"/>
      <c r="Y11" s="448"/>
      <c r="Z11" s="448"/>
      <c r="AA11" s="448"/>
      <c r="AB11" s="448"/>
      <c r="AC11" s="448"/>
      <c r="AD11" s="448"/>
      <c r="AE11" s="448"/>
      <c r="AF11" s="448"/>
      <c r="AG11" s="448"/>
      <c r="AH11" s="448"/>
      <c r="AI11" s="448"/>
      <c r="AJ11" s="448"/>
      <c r="AK11" s="1206"/>
      <c r="AL11" s="1206"/>
      <c r="AM11" s="1206"/>
      <c r="AN11" s="1206"/>
      <c r="AO11" s="1206"/>
      <c r="AP11" s="1206"/>
    </row>
    <row r="12" spans="1:42" s="452" customFormat="1">
      <c r="C12" s="453" t="s">
        <v>472</v>
      </c>
      <c r="D12" s="1210" t="s">
        <v>470</v>
      </c>
      <c r="E12" s="450">
        <f>+SUM(G12:AP12)</f>
        <v>35929.111499812818</v>
      </c>
      <c r="F12" s="454">
        <f>E12/$E$8*10</f>
        <v>1591.8657528833382</v>
      </c>
      <c r="G12" s="691">
        <f>G10</f>
        <v>0</v>
      </c>
      <c r="H12" s="691">
        <f t="shared" ref="H12:AC12" si="0">H10</f>
        <v>0</v>
      </c>
      <c r="I12" s="691">
        <f t="shared" si="0"/>
        <v>0</v>
      </c>
      <c r="J12" s="691">
        <f t="shared" si="0"/>
        <v>0</v>
      </c>
      <c r="K12" s="691">
        <f>K10</f>
        <v>330.23995954560007</v>
      </c>
      <c r="L12" s="691">
        <f t="shared" si="0"/>
        <v>660.47977791360017</v>
      </c>
      <c r="M12" s="691">
        <f t="shared" si="0"/>
        <v>1320.9601205376005</v>
      </c>
      <c r="N12" s="691">
        <f t="shared" si="0"/>
        <v>1981.4397572736004</v>
      </c>
      <c r="O12" s="691">
        <f t="shared" si="0"/>
        <v>2476.7992024704008</v>
      </c>
      <c r="P12" s="691">
        <f t="shared" si="0"/>
        <v>2476.8011789568009</v>
      </c>
      <c r="Q12" s="691">
        <f t="shared" si="0"/>
        <v>2476.7997671808007</v>
      </c>
      <c r="R12" s="691">
        <f t="shared" si="0"/>
        <v>2476.7994848256008</v>
      </c>
      <c r="S12" s="691">
        <f t="shared" si="0"/>
        <v>2476.8006142464005</v>
      </c>
      <c r="T12" s="691">
        <f t="shared" si="0"/>
        <v>2476.7992024704008</v>
      </c>
      <c r="U12" s="691">
        <f t="shared" si="0"/>
        <v>2476.7994848256008</v>
      </c>
      <c r="V12" s="691">
        <f t="shared" si="0"/>
        <v>2476.8003318912006</v>
      </c>
      <c r="W12" s="691">
        <f t="shared" si="0"/>
        <v>2476.8025907328006</v>
      </c>
      <c r="X12" s="691">
        <f t="shared" si="0"/>
        <v>2476.8003318912006</v>
      </c>
      <c r="Y12" s="691">
        <f t="shared" si="0"/>
        <v>1807.2002421648006</v>
      </c>
      <c r="Z12" s="691">
        <f t="shared" si="0"/>
        <v>1807.2000361440005</v>
      </c>
      <c r="AA12" s="691">
        <f t="shared" si="0"/>
        <v>1651.1999389056004</v>
      </c>
      <c r="AB12" s="691">
        <f t="shared" si="0"/>
        <v>1238.4004483008005</v>
      </c>
      <c r="AC12" s="691">
        <f t="shared" si="0"/>
        <v>363.98902953600009</v>
      </c>
      <c r="AD12" s="691"/>
      <c r="AE12" s="691"/>
      <c r="AF12" s="691"/>
      <c r="AG12" s="691"/>
      <c r="AH12" s="691"/>
      <c r="AI12" s="691"/>
      <c r="AJ12" s="691"/>
      <c r="AK12" s="455"/>
      <c r="AL12" s="455"/>
      <c r="AM12" s="455"/>
      <c r="AN12" s="455"/>
      <c r="AO12" s="455"/>
      <c r="AP12" s="455"/>
    </row>
    <row r="13" spans="1:42" s="452" customFormat="1">
      <c r="D13" s="456"/>
      <c r="E13" s="450"/>
      <c r="F13" s="454"/>
      <c r="G13" s="692"/>
      <c r="H13" s="692"/>
      <c r="I13" s="692"/>
      <c r="J13" s="692"/>
      <c r="K13" s="692"/>
      <c r="L13" s="692"/>
      <c r="M13" s="692"/>
      <c r="N13" s="692"/>
      <c r="O13" s="692"/>
      <c r="P13" s="692"/>
      <c r="Q13" s="692"/>
      <c r="R13" s="692"/>
      <c r="S13" s="692"/>
      <c r="T13" s="692"/>
      <c r="U13" s="692"/>
      <c r="V13" s="692"/>
      <c r="W13" s="692"/>
      <c r="X13" s="692"/>
      <c r="Y13" s="692"/>
      <c r="Z13" s="692"/>
      <c r="AA13" s="692"/>
      <c r="AB13" s="692"/>
      <c r="AC13" s="692"/>
      <c r="AD13" s="692"/>
      <c r="AE13" s="692"/>
      <c r="AF13" s="692"/>
      <c r="AG13" s="693"/>
      <c r="AH13" s="693"/>
      <c r="AI13" s="693"/>
      <c r="AJ13" s="693"/>
      <c r="AK13" s="457"/>
      <c r="AL13" s="457"/>
      <c r="AM13" s="457"/>
      <c r="AN13" s="457"/>
      <c r="AO13" s="457"/>
      <c r="AP13" s="457"/>
    </row>
    <row r="14" spans="1:42" s="452" customFormat="1">
      <c r="C14" s="452" t="s">
        <v>473</v>
      </c>
      <c r="D14" s="456"/>
      <c r="E14" s="450"/>
      <c r="F14" s="454"/>
      <c r="G14" s="692"/>
      <c r="H14" s="692"/>
      <c r="I14" s="692"/>
      <c r="J14" s="692"/>
      <c r="K14" s="692"/>
      <c r="L14" s="692"/>
      <c r="M14" s="692"/>
      <c r="N14" s="692"/>
      <c r="O14" s="692"/>
      <c r="P14" s="692"/>
      <c r="Q14" s="692"/>
      <c r="R14" s="692"/>
      <c r="S14" s="692"/>
      <c r="T14" s="692"/>
      <c r="U14" s="692"/>
      <c r="V14" s="692"/>
      <c r="W14" s="692"/>
      <c r="X14" s="692"/>
      <c r="Y14" s="692"/>
      <c r="Z14" s="692"/>
      <c r="AA14" s="692"/>
      <c r="AB14" s="692"/>
      <c r="AC14" s="692"/>
      <c r="AD14" s="692"/>
      <c r="AE14" s="692"/>
      <c r="AF14" s="692"/>
      <c r="AG14" s="693"/>
      <c r="AH14" s="693"/>
      <c r="AI14" s="693"/>
      <c r="AJ14" s="693"/>
      <c r="AK14" s="457"/>
      <c r="AL14" s="457"/>
      <c r="AM14" s="457"/>
      <c r="AN14" s="457"/>
      <c r="AO14" s="457"/>
      <c r="AP14" s="457"/>
    </row>
    <row r="15" spans="1:42" s="452" customFormat="1">
      <c r="C15" s="458" t="s">
        <v>474</v>
      </c>
      <c r="D15" s="1210" t="s">
        <v>470</v>
      </c>
      <c r="E15" s="450">
        <f ca="1">+SUM(G15:AP15)</f>
        <v>23147.946835679882</v>
      </c>
      <c r="F15" s="454">
        <f ca="1">E15/$E$8*10</f>
        <v>1025.5868369434911</v>
      </c>
      <c r="G15" s="691">
        <f>SUM(G17:G18)*(1+Sensitivity!$C$5)</f>
        <v>0</v>
      </c>
      <c r="H15" s="691">
        <f>SUM(H17:H18)*(1+Sensitivity!$C$5)</f>
        <v>0</v>
      </c>
      <c r="I15" s="691">
        <f>SUM(I17:I18)*(1+Sensitivity!$C$5)</f>
        <v>0</v>
      </c>
      <c r="J15" s="691">
        <f>SUM(J17:J18)*(1+Sensitivity!$C$5)</f>
        <v>0</v>
      </c>
      <c r="K15" s="691">
        <f ca="1">SUM(K17:K18)*(1+Sensitivity!$C$5)</f>
        <v>258.822526059903</v>
      </c>
      <c r="L15" s="691">
        <f ca="1">SUM(L17:L18)*(1+Sensitivity!$C$5)</f>
        <v>364.52802932807941</v>
      </c>
      <c r="M15" s="691">
        <f ca="1">SUM(M17:M18)*(1+Sensitivity!$C$5)</f>
        <v>664.51221334178933</v>
      </c>
      <c r="N15" s="691">
        <f ca="1">SUM(N17:N18)*(1+Sensitivity!$C$5)</f>
        <v>1161.1992383490151</v>
      </c>
      <c r="O15" s="691">
        <f ca="1">SUM(O17:O18)*(1+Sensitivity!$C$5)</f>
        <v>1412.8168230435731</v>
      </c>
      <c r="P15" s="691">
        <f ca="1">SUM(P17:P18)*(1+Sensitivity!$C$5)</f>
        <v>1384.5623907635795</v>
      </c>
      <c r="Q15" s="691">
        <f ca="1">SUM(Q17:Q18)*(1+Sensitivity!$C$5)</f>
        <v>1681.3983402886843</v>
      </c>
      <c r="R15" s="691">
        <f ca="1">SUM(R17:R18)*(1+Sensitivity!$C$5)</f>
        <v>1472.057355491891</v>
      </c>
      <c r="S15" s="691">
        <f ca="1">SUM(S17:S18)*(1+Sensitivity!$C$5)</f>
        <v>1433.6977223810368</v>
      </c>
      <c r="T15" s="691">
        <f ca="1">SUM(T17:T18)*(1+Sensitivity!$C$5)</f>
        <v>1379.6006126401719</v>
      </c>
      <c r="U15" s="691">
        <f ca="1">SUM(U17:U18)*(1+Sensitivity!$C$5)</f>
        <v>1381.3661544285987</v>
      </c>
      <c r="V15" s="691">
        <f ca="1">SUM(V17:V18)*(1+Sensitivity!$C$5)</f>
        <v>1695.6047141903873</v>
      </c>
      <c r="W15" s="691">
        <f ca="1">SUM(W17:W18)*(1+Sensitivity!$C$5)</f>
        <v>1505.2876824931786</v>
      </c>
      <c r="X15" s="691">
        <f ca="1">SUM(X17:X18)*(1+Sensitivity!$C$5)</f>
        <v>1555.2565726035227</v>
      </c>
      <c r="Y15" s="691">
        <f ca="1">SUM(Y17:Y18)*(1+Sensitivity!$C$5)</f>
        <v>1838.1131441370333</v>
      </c>
      <c r="Z15" s="691">
        <f ca="1">SUM(Z17:Z18)*(1+Sensitivity!$C$5)</f>
        <v>1670.7805850622044</v>
      </c>
      <c r="AA15" s="691">
        <f ca="1">SUM(AA17:AA18)*(1+Sensitivity!$C$5)</f>
        <v>1194.7907982200409</v>
      </c>
      <c r="AB15" s="691">
        <f ca="1">SUM(AB17:AB18)*(1+Sensitivity!$C$5)</f>
        <v>817.20422202649934</v>
      </c>
      <c r="AC15" s="691">
        <f ca="1">SUM(AC17:AC18)*(1+Sensitivity!$C$5)</f>
        <v>276.34771083069046</v>
      </c>
      <c r="AD15" s="691"/>
      <c r="AE15" s="691"/>
      <c r="AF15" s="691"/>
      <c r="AG15" s="691"/>
      <c r="AH15" s="691"/>
      <c r="AI15" s="691"/>
      <c r="AJ15" s="691"/>
      <c r="AK15" s="457"/>
      <c r="AL15" s="457"/>
      <c r="AM15" s="457"/>
      <c r="AN15" s="457"/>
      <c r="AO15" s="457"/>
      <c r="AP15" s="457"/>
    </row>
    <row r="16" spans="1:42" s="452" customFormat="1">
      <c r="C16" s="459" t="s">
        <v>370</v>
      </c>
      <c r="D16" s="1210"/>
      <c r="E16" s="460"/>
      <c r="F16" s="454"/>
      <c r="G16" s="692"/>
      <c r="H16" s="692"/>
      <c r="I16" s="692"/>
      <c r="J16" s="692"/>
      <c r="K16" s="692"/>
      <c r="L16" s="692"/>
      <c r="M16" s="692"/>
      <c r="N16" s="692"/>
      <c r="O16" s="692"/>
      <c r="P16" s="692"/>
      <c r="Q16" s="692"/>
      <c r="R16" s="692"/>
      <c r="S16" s="692"/>
      <c r="T16" s="692"/>
      <c r="U16" s="692"/>
      <c r="V16" s="692"/>
      <c r="W16" s="692"/>
      <c r="X16" s="692"/>
      <c r="Y16" s="692"/>
      <c r="Z16" s="692"/>
      <c r="AA16" s="692"/>
      <c r="AB16" s="692"/>
      <c r="AC16" s="692"/>
      <c r="AD16" s="692"/>
      <c r="AE16" s="692"/>
      <c r="AF16" s="692"/>
      <c r="AG16" s="693"/>
      <c r="AH16" s="693"/>
      <c r="AI16" s="693"/>
      <c r="AJ16" s="693"/>
      <c r="AK16" s="457"/>
      <c r="AL16" s="457"/>
      <c r="AM16" s="457"/>
      <c r="AN16" s="457"/>
      <c r="AO16" s="457"/>
      <c r="AP16" s="457"/>
    </row>
    <row r="17" spans="3:29" s="452" customFormat="1">
      <c r="C17" s="461" t="s">
        <v>474</v>
      </c>
      <c r="D17" s="462" t="s">
        <v>134</v>
      </c>
      <c r="E17" s="450">
        <f ca="1">+SUM(G17:AP17)</f>
        <v>19830.446835679882</v>
      </c>
      <c r="F17" s="454">
        <f t="shared" ref="F17:F18" ca="1" si="1">E17/$E$8*10</f>
        <v>878.60255554209925</v>
      </c>
      <c r="G17" s="694">
        <f>'Project OPEX'!E100</f>
        <v>0</v>
      </c>
      <c r="H17" s="694">
        <f>'Project OPEX'!F100</f>
        <v>0</v>
      </c>
      <c r="I17" s="694">
        <f>'Project OPEX'!G100</f>
        <v>0</v>
      </c>
      <c r="J17" s="694">
        <f>'Project OPEX'!H100</f>
        <v>0</v>
      </c>
      <c r="K17" s="694">
        <f ca="1">'Project OPEX'!I100</f>
        <v>258.822526059903</v>
      </c>
      <c r="L17" s="694">
        <f ca="1">'Project OPEX'!J100</f>
        <v>334.82802932807942</v>
      </c>
      <c r="M17" s="694">
        <f ca="1">'Project OPEX'!K100</f>
        <v>620.51221334178933</v>
      </c>
      <c r="N17" s="694">
        <f ca="1">'Project OPEX'!L100</f>
        <v>1073.1992383490151</v>
      </c>
      <c r="O17" s="694">
        <f ca="1">'Project OPEX'!M100</f>
        <v>1236.8168230435731</v>
      </c>
      <c r="P17" s="694">
        <f ca="1">'Project OPEX'!N100</f>
        <v>1362.5623907635795</v>
      </c>
      <c r="Q17" s="694">
        <f ca="1">'Project OPEX'!O100</f>
        <v>1434.9983402886842</v>
      </c>
      <c r="R17" s="694">
        <f ca="1">'Project OPEX'!P100</f>
        <v>1384.057355491891</v>
      </c>
      <c r="S17" s="694">
        <f ca="1">'Project OPEX'!Q100</f>
        <v>1407.2977223810367</v>
      </c>
      <c r="T17" s="694">
        <f ca="1">'Project OPEX'!R100</f>
        <v>1379.6006126401719</v>
      </c>
      <c r="U17" s="694">
        <f ca="1">'Project OPEX'!S100</f>
        <v>1381.3661544285987</v>
      </c>
      <c r="V17" s="694">
        <f ca="1">'Project OPEX'!T100</f>
        <v>1299.6047141903873</v>
      </c>
      <c r="W17" s="694">
        <f ca="1">'Project OPEX'!U100</f>
        <v>1271.2876824931786</v>
      </c>
      <c r="X17" s="694">
        <f ca="1">'Project OPEX'!V100</f>
        <v>1327.2565726035227</v>
      </c>
      <c r="Y17" s="694">
        <f ca="1">'Project OPEX'!W100</f>
        <v>1090.1131441370333</v>
      </c>
      <c r="Z17" s="694">
        <f ca="1">'Project OPEX'!X100</f>
        <v>1164.7805850622044</v>
      </c>
      <c r="AA17" s="694">
        <f ca="1">'Project OPEX'!Y100</f>
        <v>930.79079822004098</v>
      </c>
      <c r="AB17" s="694">
        <f ca="1">'Project OPEX'!Z100</f>
        <v>596.20422202649934</v>
      </c>
      <c r="AC17" s="694">
        <f ca="1">'Project OPEX'!AA100</f>
        <v>276.34771083069046</v>
      </c>
    </row>
    <row r="18" spans="3:29" s="452" customFormat="1">
      <c r="C18" s="461" t="s">
        <v>1656</v>
      </c>
      <c r="D18" s="462" t="s">
        <v>134</v>
      </c>
      <c r="E18" s="450">
        <f>+SUM(G18:AP18)</f>
        <v>3317.5</v>
      </c>
      <c r="F18" s="454">
        <f t="shared" si="1"/>
        <v>146.98428140139194</v>
      </c>
      <c r="G18" s="694">
        <f>'Coal Price'!E10</f>
        <v>0</v>
      </c>
      <c r="H18" s="694">
        <f>'Coal Price'!F10</f>
        <v>0</v>
      </c>
      <c r="I18" s="694">
        <f>'Coal Price'!G10</f>
        <v>0</v>
      </c>
      <c r="J18" s="694">
        <f>'Coal Price'!H10</f>
        <v>0</v>
      </c>
      <c r="K18" s="694">
        <f>'Coal Price'!I10</f>
        <v>0</v>
      </c>
      <c r="L18" s="694">
        <f>'Coal Price'!J10</f>
        <v>29.7</v>
      </c>
      <c r="M18" s="694">
        <f>'Coal Price'!K10</f>
        <v>44</v>
      </c>
      <c r="N18" s="694">
        <f>'Coal Price'!L10</f>
        <v>88</v>
      </c>
      <c r="O18" s="694">
        <f>'Coal Price'!M10</f>
        <v>176</v>
      </c>
      <c r="P18" s="694">
        <f>'Coal Price'!N10</f>
        <v>22</v>
      </c>
      <c r="Q18" s="694">
        <f>'Coal Price'!O10</f>
        <v>246.40000000000003</v>
      </c>
      <c r="R18" s="694">
        <f>'Coal Price'!P10</f>
        <v>88</v>
      </c>
      <c r="S18" s="694">
        <f>'Coal Price'!Q10</f>
        <v>26.4</v>
      </c>
      <c r="T18" s="694">
        <f>'Coal Price'!R10</f>
        <v>0</v>
      </c>
      <c r="U18" s="694">
        <f>'Coal Price'!S10</f>
        <v>0</v>
      </c>
      <c r="V18" s="694">
        <f>'Coal Price'!T10</f>
        <v>396</v>
      </c>
      <c r="W18" s="694">
        <f>'Coal Price'!U10</f>
        <v>234</v>
      </c>
      <c r="X18" s="694">
        <f>'Coal Price'!V10</f>
        <v>228</v>
      </c>
      <c r="Y18" s="694">
        <f>'Coal Price'!W10</f>
        <v>748</v>
      </c>
      <c r="Z18" s="694">
        <f>'Coal Price'!X10</f>
        <v>506</v>
      </c>
      <c r="AA18" s="694">
        <f>'Coal Price'!Y10</f>
        <v>264</v>
      </c>
      <c r="AB18" s="694">
        <f>'Coal Price'!Z10</f>
        <v>221</v>
      </c>
      <c r="AC18" s="694">
        <f>'Coal Price'!AA10</f>
        <v>0</v>
      </c>
    </row>
    <row r="19" spans="3:29" s="452" customFormat="1">
      <c r="C19" s="463"/>
      <c r="D19" s="1210"/>
      <c r="E19" s="450"/>
      <c r="F19" s="45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row>
    <row r="20" spans="3:29" s="452" customFormat="1">
      <c r="C20" s="463"/>
      <c r="D20" s="1210"/>
      <c r="E20" s="450"/>
      <c r="F20" s="454"/>
      <c r="G20" s="694"/>
      <c r="H20" s="694"/>
      <c r="I20" s="694"/>
      <c r="J20" s="694"/>
      <c r="K20" s="694"/>
      <c r="L20" s="694"/>
      <c r="M20" s="694"/>
      <c r="N20" s="694"/>
      <c r="O20" s="694"/>
      <c r="P20" s="694"/>
      <c r="Q20" s="694"/>
      <c r="R20" s="694"/>
      <c r="S20" s="694"/>
      <c r="T20" s="694"/>
      <c r="U20" s="694"/>
      <c r="V20" s="694"/>
      <c r="W20" s="694"/>
      <c r="X20" s="694"/>
      <c r="Y20" s="694"/>
      <c r="Z20" s="694"/>
      <c r="AA20" s="694"/>
      <c r="AB20" s="694"/>
      <c r="AC20" s="694"/>
    </row>
    <row r="21" spans="3:29" s="453" customFormat="1">
      <c r="C21" s="464" t="s">
        <v>475</v>
      </c>
      <c r="D21" s="1210" t="s">
        <v>470</v>
      </c>
      <c r="E21" s="450">
        <f ca="1">+SUM(G21:AP21)</f>
        <v>23147.946835679882</v>
      </c>
      <c r="F21" s="454">
        <f ca="1">E21/$E$8*10</f>
        <v>1025.5868369434911</v>
      </c>
      <c r="G21" s="691">
        <f>G15</f>
        <v>0</v>
      </c>
      <c r="H21" s="691">
        <f t="shared" ref="H21:AC21" si="2">H15</f>
        <v>0</v>
      </c>
      <c r="I21" s="691">
        <f t="shared" si="2"/>
        <v>0</v>
      </c>
      <c r="J21" s="691">
        <f t="shared" si="2"/>
        <v>0</v>
      </c>
      <c r="K21" s="691">
        <f t="shared" ca="1" si="2"/>
        <v>258.822526059903</v>
      </c>
      <c r="L21" s="691">
        <f t="shared" ca="1" si="2"/>
        <v>364.52802932807941</v>
      </c>
      <c r="M21" s="691">
        <f t="shared" ca="1" si="2"/>
        <v>664.51221334178933</v>
      </c>
      <c r="N21" s="691">
        <f t="shared" ca="1" si="2"/>
        <v>1161.1992383490151</v>
      </c>
      <c r="O21" s="691">
        <f t="shared" ca="1" si="2"/>
        <v>1412.8168230435731</v>
      </c>
      <c r="P21" s="691">
        <f t="shared" ca="1" si="2"/>
        <v>1384.5623907635795</v>
      </c>
      <c r="Q21" s="691">
        <f t="shared" ca="1" si="2"/>
        <v>1681.3983402886843</v>
      </c>
      <c r="R21" s="691">
        <f t="shared" ca="1" si="2"/>
        <v>1472.057355491891</v>
      </c>
      <c r="S21" s="691">
        <f t="shared" ca="1" si="2"/>
        <v>1433.6977223810368</v>
      </c>
      <c r="T21" s="691">
        <f t="shared" ca="1" si="2"/>
        <v>1379.6006126401719</v>
      </c>
      <c r="U21" s="691">
        <f t="shared" ca="1" si="2"/>
        <v>1381.3661544285987</v>
      </c>
      <c r="V21" s="691">
        <f t="shared" ca="1" si="2"/>
        <v>1695.6047141903873</v>
      </c>
      <c r="W21" s="691">
        <f t="shared" ca="1" si="2"/>
        <v>1505.2876824931786</v>
      </c>
      <c r="X21" s="691">
        <f t="shared" ca="1" si="2"/>
        <v>1555.2565726035227</v>
      </c>
      <c r="Y21" s="691">
        <f t="shared" ca="1" si="2"/>
        <v>1838.1131441370333</v>
      </c>
      <c r="Z21" s="691">
        <f t="shared" ca="1" si="2"/>
        <v>1670.7805850622044</v>
      </c>
      <c r="AA21" s="691">
        <f t="shared" ca="1" si="2"/>
        <v>1194.7907982200409</v>
      </c>
      <c r="AB21" s="691">
        <f t="shared" ca="1" si="2"/>
        <v>817.20422202649934</v>
      </c>
      <c r="AC21" s="691">
        <f t="shared" ca="1" si="2"/>
        <v>276.34771083069046</v>
      </c>
    </row>
    <row r="22" spans="3:29" s="453" customFormat="1">
      <c r="C22" s="464"/>
      <c r="D22" s="1210"/>
      <c r="E22" s="450"/>
      <c r="F22" s="454"/>
      <c r="G22" s="691"/>
      <c r="H22" s="691"/>
      <c r="I22" s="691"/>
      <c r="J22" s="691"/>
      <c r="K22" s="691"/>
      <c r="L22" s="691"/>
      <c r="M22" s="691"/>
      <c r="N22" s="691"/>
      <c r="O22" s="691"/>
      <c r="P22" s="691"/>
      <c r="Q22" s="691"/>
      <c r="R22" s="691"/>
      <c r="S22" s="691"/>
      <c r="T22" s="691"/>
      <c r="U22" s="691"/>
      <c r="V22" s="691"/>
      <c r="W22" s="691"/>
      <c r="X22" s="691"/>
      <c r="Y22" s="691"/>
      <c r="Z22" s="691"/>
      <c r="AA22" s="691"/>
      <c r="AB22" s="691"/>
      <c r="AC22" s="691"/>
    </row>
    <row r="23" spans="3:29" s="453" customFormat="1">
      <c r="C23" s="453" t="s">
        <v>476</v>
      </c>
      <c r="D23" s="1210" t="s">
        <v>470</v>
      </c>
      <c r="E23" s="450">
        <f ca="1">+SUM(G23:AP23)</f>
        <v>12781.164664132932</v>
      </c>
      <c r="F23" s="454">
        <f ca="1">E23/$E$8*10</f>
        <v>566.27891593984691</v>
      </c>
      <c r="G23" s="691">
        <f>+G12-G21</f>
        <v>0</v>
      </c>
      <c r="H23" s="691">
        <f t="shared" ref="H23:AC23" si="3">+H12-H21</f>
        <v>0</v>
      </c>
      <c r="I23" s="691">
        <f t="shared" si="3"/>
        <v>0</v>
      </c>
      <c r="J23" s="691">
        <f t="shared" si="3"/>
        <v>0</v>
      </c>
      <c r="K23" s="691">
        <f t="shared" ca="1" si="3"/>
        <v>71.417433485697075</v>
      </c>
      <c r="L23" s="691">
        <f t="shared" ca="1" si="3"/>
        <v>295.95174858552076</v>
      </c>
      <c r="M23" s="691">
        <f t="shared" ca="1" si="3"/>
        <v>656.44790719581113</v>
      </c>
      <c r="N23" s="691">
        <f t="shared" ca="1" si="3"/>
        <v>820.24051892458533</v>
      </c>
      <c r="O23" s="691">
        <f t="shared" ca="1" si="3"/>
        <v>1063.9823794268277</v>
      </c>
      <c r="P23" s="691">
        <f t="shared" ca="1" si="3"/>
        <v>1092.2387881932214</v>
      </c>
      <c r="Q23" s="691">
        <f t="shared" ca="1" si="3"/>
        <v>795.40142689211643</v>
      </c>
      <c r="R23" s="691">
        <f t="shared" ca="1" si="3"/>
        <v>1004.7421293337097</v>
      </c>
      <c r="S23" s="691">
        <f t="shared" ca="1" si="3"/>
        <v>1043.1028918653637</v>
      </c>
      <c r="T23" s="691">
        <f t="shared" ca="1" si="3"/>
        <v>1097.1985898302289</v>
      </c>
      <c r="U23" s="691">
        <f t="shared" ca="1" si="3"/>
        <v>1095.433330397002</v>
      </c>
      <c r="V23" s="691">
        <f t="shared" ca="1" si="3"/>
        <v>781.19561770081327</v>
      </c>
      <c r="W23" s="691">
        <f t="shared" ca="1" si="3"/>
        <v>971.51490823962195</v>
      </c>
      <c r="X23" s="691">
        <f t="shared" ca="1" si="3"/>
        <v>921.54375928767786</v>
      </c>
      <c r="Y23" s="691">
        <f t="shared" ca="1" si="3"/>
        <v>-30.912901972232703</v>
      </c>
      <c r="Z23" s="691">
        <f t="shared" ca="1" si="3"/>
        <v>136.41945108179607</v>
      </c>
      <c r="AA23" s="691">
        <f t="shared" ca="1" si="3"/>
        <v>456.40914068555958</v>
      </c>
      <c r="AB23" s="691">
        <f t="shared" ca="1" si="3"/>
        <v>421.19622627430113</v>
      </c>
      <c r="AC23" s="691">
        <f t="shared" ca="1" si="3"/>
        <v>87.641318705309629</v>
      </c>
    </row>
    <row r="24" spans="3:29" s="468" customFormat="1" ht="12.75" customHeight="1">
      <c r="C24" s="465" t="s">
        <v>477</v>
      </c>
      <c r="D24" s="1210"/>
      <c r="E24" s="466">
        <f ca="1">+E23/E12</f>
        <v>0.35573283420046498</v>
      </c>
      <c r="F24" s="467"/>
      <c r="G24" s="695" t="str">
        <f t="shared" ref="G24:AC24" si="4">+IFERROR(G23/G12,"")</f>
        <v/>
      </c>
      <c r="H24" s="695" t="str">
        <f t="shared" si="4"/>
        <v/>
      </c>
      <c r="I24" s="695" t="str">
        <f t="shared" si="4"/>
        <v/>
      </c>
      <c r="J24" s="695" t="str">
        <f t="shared" si="4"/>
        <v/>
      </c>
      <c r="K24" s="695">
        <f t="shared" ca="1" si="4"/>
        <v>0.21625921219214431</v>
      </c>
      <c r="L24" s="695">
        <f t="shared" ca="1" si="4"/>
        <v>0.44808601032480866</v>
      </c>
      <c r="M24" s="695">
        <f t="shared" ca="1" si="4"/>
        <v>0.49694755881703068</v>
      </c>
      <c r="N24" s="695">
        <f t="shared" ca="1" si="4"/>
        <v>0.41396187591047978</v>
      </c>
      <c r="O24" s="695">
        <f t="shared" ca="1" si="4"/>
        <v>0.4295795873826162</v>
      </c>
      <c r="P24" s="695">
        <f t="shared" ca="1" si="4"/>
        <v>0.440987672919818</v>
      </c>
      <c r="Q24" s="695">
        <f t="shared" ca="1" si="4"/>
        <v>0.32114078716887007</v>
      </c>
      <c r="R24" s="695">
        <f t="shared" ca="1" si="4"/>
        <v>0.40566147380495632</v>
      </c>
      <c r="S24" s="695">
        <f t="shared" ca="1" si="4"/>
        <v>0.42114931895022228</v>
      </c>
      <c r="T24" s="695">
        <f t="shared" ca="1" si="4"/>
        <v>0.44299052936381145</v>
      </c>
      <c r="U24" s="695">
        <f t="shared" ca="1" si="4"/>
        <v>0.44227776092021226</v>
      </c>
      <c r="V24" s="695">
        <f t="shared" ca="1" si="4"/>
        <v>0.3154051651407519</v>
      </c>
      <c r="W24" s="695">
        <f t="shared" ca="1" si="4"/>
        <v>0.39224559594480402</v>
      </c>
      <c r="X24" s="695">
        <f t="shared" ca="1" si="4"/>
        <v>0.37207026639245416</v>
      </c>
      <c r="Y24" s="695">
        <f t="shared" ca="1" si="4"/>
        <v>-1.7105410485781531E-2</v>
      </c>
      <c r="Z24" s="695">
        <f t="shared" ca="1" si="4"/>
        <v>7.5486635875059244E-2</v>
      </c>
      <c r="AA24" s="695">
        <f t="shared" ca="1" si="4"/>
        <v>0.27641058477028724</v>
      </c>
      <c r="AB24" s="695">
        <f t="shared" ca="1" si="4"/>
        <v>0.34011310868969818</v>
      </c>
      <c r="AC24" s="695">
        <f t="shared" ca="1" si="4"/>
        <v>0.240780110370446</v>
      </c>
    </row>
    <row r="25" spans="3:29" s="452" customFormat="1">
      <c r="D25" s="1210"/>
      <c r="E25" s="460"/>
      <c r="F25" s="469"/>
      <c r="G25" s="692"/>
      <c r="H25" s="692"/>
      <c r="I25" s="692"/>
      <c r="J25" s="692"/>
      <c r="K25" s="692"/>
      <c r="L25" s="692"/>
      <c r="M25" s="692"/>
      <c r="N25" s="692"/>
      <c r="O25" s="692"/>
      <c r="P25" s="692"/>
      <c r="Q25" s="692"/>
      <c r="R25" s="692"/>
      <c r="S25" s="692"/>
      <c r="T25" s="692"/>
      <c r="U25" s="692"/>
      <c r="V25" s="692"/>
      <c r="W25" s="692"/>
      <c r="X25" s="692"/>
      <c r="Y25" s="692"/>
      <c r="Z25" s="692"/>
      <c r="AA25" s="692"/>
      <c r="AB25" s="692"/>
      <c r="AC25" s="692"/>
    </row>
    <row r="26" spans="3:29" s="470" customFormat="1">
      <c r="C26" s="470" t="s">
        <v>478</v>
      </c>
      <c r="D26" s="1210" t="s">
        <v>470</v>
      </c>
      <c r="E26" s="471">
        <f ca="1">+SUM(G26:AM26)</f>
        <v>-4934.665411483782</v>
      </c>
      <c r="F26" s="472">
        <f ca="1">E26/$E$8*10</f>
        <v>-218.63398627377475</v>
      </c>
      <c r="G26" s="696">
        <f ca="1">-'Depreciation-Owner'!H114</f>
        <v>-14.631973347826083</v>
      </c>
      <c r="H26" s="696">
        <f ca="1">-'Depreciation-Owner'!I114</f>
        <v>-32.036731650726516</v>
      </c>
      <c r="I26" s="696">
        <f ca="1">-'Depreciation-Owner'!J114</f>
        <v>-66.59383479468913</v>
      </c>
      <c r="J26" s="696">
        <f ca="1">-'Depreciation-Owner'!K114</f>
        <v>-97.214806927782149</v>
      </c>
      <c r="K26" s="696">
        <f ca="1">-'Depreciation-Owner'!L114</f>
        <v>-135.14872875057196</v>
      </c>
      <c r="L26" s="696">
        <f ca="1">-'Depreciation-Owner'!M114</f>
        <v>-144.59207103236776</v>
      </c>
      <c r="M26" s="696">
        <f ca="1">-'Depreciation-Owner'!N114</f>
        <v>-161.45289221691024</v>
      </c>
      <c r="N26" s="696">
        <f ca="1">-'Depreciation-Owner'!O114</f>
        <v>-207.49698137197748</v>
      </c>
      <c r="O26" s="696">
        <f ca="1">-'Depreciation-Owner'!P114</f>
        <v>-223.80440812777917</v>
      </c>
      <c r="P26" s="696">
        <f ca="1">-'Depreciation-Owner'!Q114</f>
        <v>-261.72865034763902</v>
      </c>
      <c r="Q26" s="696">
        <f ca="1">-'Depreciation-Owner'!R114</f>
        <v>-264.31081382829888</v>
      </c>
      <c r="R26" s="696">
        <f ca="1">-'Depreciation-Owner'!S114</f>
        <v>-284.83380568239346</v>
      </c>
      <c r="S26" s="696">
        <f ca="1">-'Depreciation-Owner'!T114</f>
        <v>-299.16072082933169</v>
      </c>
      <c r="T26" s="696">
        <f ca="1">-'Depreciation-Owner'!U114</f>
        <v>-296.45177881069219</v>
      </c>
      <c r="U26" s="696">
        <f ca="1">-'Depreciation-Owner'!V114</f>
        <v>-296.79623806692638</v>
      </c>
      <c r="V26" s="696">
        <f ca="1">-'Depreciation-Owner'!W114</f>
        <v>-275.89888312473215</v>
      </c>
      <c r="W26" s="696">
        <f ca="1">-'Depreciation-Owner'!X114</f>
        <v>-270.80499865989742</v>
      </c>
      <c r="X26" s="696">
        <f ca="1">-'Depreciation-Owner'!Y114</f>
        <v>-282.78776293919827</v>
      </c>
      <c r="Y26" s="696">
        <f ca="1">-'Depreciation-Owner'!Z114</f>
        <v>-269.75918033660133</v>
      </c>
      <c r="Z26" s="696">
        <f ca="1">-'Depreciation-Owner'!AA114</f>
        <v>-278.35189501531158</v>
      </c>
      <c r="AA26" s="696">
        <f ca="1">-'Depreciation-Owner'!AB114</f>
        <v>-261.86676008380567</v>
      </c>
      <c r="AB26" s="696">
        <f ca="1">-'Depreciation-Owner'!AC114</f>
        <v>-257.99219818157269</v>
      </c>
      <c r="AC26" s="696">
        <f ca="1">-'Depreciation-Owner'!AD114</f>
        <v>-250.94929735675086</v>
      </c>
    </row>
    <row r="27" spans="3:29" s="470" customFormat="1">
      <c r="C27" s="470" t="s">
        <v>479</v>
      </c>
      <c r="D27" s="1210" t="s">
        <v>470</v>
      </c>
      <c r="E27" s="471">
        <f ca="1">+SUM(G27:AM27)</f>
        <v>1499.0600867223152</v>
      </c>
      <c r="F27" s="472">
        <f ca="1">E27/$E$8*10</f>
        <v>66.416961454223895</v>
      </c>
      <c r="G27" s="696"/>
      <c r="H27" s="696"/>
      <c r="I27" s="696"/>
      <c r="J27" s="696"/>
      <c r="K27" s="696"/>
      <c r="L27" s="696"/>
      <c r="M27" s="696"/>
      <c r="N27" s="696"/>
      <c r="O27" s="696"/>
      <c r="P27" s="696"/>
      <c r="Q27" s="696"/>
      <c r="R27" s="696"/>
      <c r="S27" s="696"/>
      <c r="T27" s="696"/>
      <c r="U27" s="696"/>
      <c r="V27" s="696"/>
      <c r="W27" s="696"/>
      <c r="X27" s="696"/>
      <c r="Y27" s="696"/>
      <c r="Z27" s="696"/>
      <c r="AA27" s="696"/>
      <c r="AB27" s="696"/>
      <c r="AC27" s="696">
        <f ca="1">'Depreciation-Owner'!AD46+'Depreciation-Owner'!AD52+'Depreciation-Owner'!AD58+'Depreciation-Owner'!AD64+'Depreciation-Owner'!AD70+'Depreciation-Owner'!AD76+'Depreciation-Owner'!AD82+'Depreciation-Owner'!AD88+'Depreciation-Owner'!AD94+'Depreciation-Owner'!AD100+'Depreciation-Owner'!AD106+'Depreciation-Owner'!AD112</f>
        <v>1499.0600867223152</v>
      </c>
    </row>
    <row r="28" spans="3:29" s="470" customFormat="1">
      <c r="D28" s="1210"/>
      <c r="E28" s="473"/>
      <c r="F28" s="474"/>
      <c r="G28" s="697"/>
      <c r="H28" s="697"/>
      <c r="I28" s="697"/>
      <c r="J28" s="697"/>
      <c r="K28" s="697"/>
      <c r="L28" s="697"/>
      <c r="M28" s="697"/>
      <c r="N28" s="697"/>
      <c r="O28" s="697"/>
      <c r="P28" s="697"/>
      <c r="Q28" s="697"/>
      <c r="R28" s="697"/>
      <c r="S28" s="697"/>
      <c r="T28" s="697"/>
      <c r="U28" s="697"/>
      <c r="V28" s="697"/>
      <c r="W28" s="697"/>
      <c r="X28" s="697"/>
      <c r="Y28" s="697"/>
      <c r="Z28" s="697"/>
      <c r="AA28" s="697"/>
      <c r="AB28" s="697"/>
      <c r="AC28" s="697"/>
    </row>
    <row r="29" spans="3:29" s="475" customFormat="1">
      <c r="C29" s="475" t="s">
        <v>480</v>
      </c>
      <c r="D29" s="1210" t="s">
        <v>470</v>
      </c>
      <c r="E29" s="471">
        <f ca="1">+SUM(G29:AM29)</f>
        <v>9345.5593393714626</v>
      </c>
      <c r="F29" s="472">
        <f ca="1">E29/$E$8*10</f>
        <v>414.06189112029585</v>
      </c>
      <c r="G29" s="698">
        <f ca="1">+G23+G26+G27</f>
        <v>-14.631973347826083</v>
      </c>
      <c r="H29" s="698">
        <f t="shared" ref="H29:AC29" ca="1" si="5">+H23+H26+H27</f>
        <v>-32.036731650726516</v>
      </c>
      <c r="I29" s="698">
        <f t="shared" ca="1" si="5"/>
        <v>-66.59383479468913</v>
      </c>
      <c r="J29" s="698">
        <f t="shared" ca="1" si="5"/>
        <v>-97.214806927782149</v>
      </c>
      <c r="K29" s="698">
        <f t="shared" ca="1" si="5"/>
        <v>-63.731295264874888</v>
      </c>
      <c r="L29" s="698">
        <f t="shared" ca="1" si="5"/>
        <v>151.35967755315301</v>
      </c>
      <c r="M29" s="698">
        <f t="shared" ca="1" si="5"/>
        <v>494.99501497890088</v>
      </c>
      <c r="N29" s="698">
        <f t="shared" ca="1" si="5"/>
        <v>612.7435375526079</v>
      </c>
      <c r="O29" s="698">
        <f t="shared" ca="1" si="5"/>
        <v>840.17797129904852</v>
      </c>
      <c r="P29" s="698">
        <f t="shared" ca="1" si="5"/>
        <v>830.51013784558234</v>
      </c>
      <c r="Q29" s="698">
        <f t="shared" ca="1" si="5"/>
        <v>531.0906130638175</v>
      </c>
      <c r="R29" s="698">
        <f t="shared" ca="1" si="5"/>
        <v>719.90832365131632</v>
      </c>
      <c r="S29" s="698">
        <f t="shared" ca="1" si="5"/>
        <v>743.94217103603205</v>
      </c>
      <c r="T29" s="698">
        <f t="shared" ca="1" si="5"/>
        <v>800.74681101953672</v>
      </c>
      <c r="U29" s="698">
        <f t="shared" ca="1" si="5"/>
        <v>798.63709233007557</v>
      </c>
      <c r="V29" s="698">
        <f t="shared" ca="1" si="5"/>
        <v>505.29673457608112</v>
      </c>
      <c r="W29" s="698">
        <f t="shared" ca="1" si="5"/>
        <v>700.70990957972458</v>
      </c>
      <c r="X29" s="698">
        <f t="shared" ca="1" si="5"/>
        <v>638.75599634847958</v>
      </c>
      <c r="Y29" s="698">
        <f t="shared" ca="1" si="5"/>
        <v>-300.67208230883404</v>
      </c>
      <c r="Z29" s="698">
        <f t="shared" ca="1" si="5"/>
        <v>-141.93244393351551</v>
      </c>
      <c r="AA29" s="698">
        <f t="shared" ca="1" si="5"/>
        <v>194.54238060175391</v>
      </c>
      <c r="AB29" s="698">
        <f t="shared" ca="1" si="5"/>
        <v>163.20402809272844</v>
      </c>
      <c r="AC29" s="698">
        <f t="shared" ca="1" si="5"/>
        <v>1335.7521080708739</v>
      </c>
    </row>
    <row r="30" spans="3:29" s="470" customFormat="1">
      <c r="D30" s="1210"/>
      <c r="E30" s="473"/>
      <c r="F30" s="474"/>
      <c r="G30" s="697"/>
      <c r="H30" s="697"/>
      <c r="I30" s="697"/>
      <c r="J30" s="697"/>
      <c r="K30" s="697"/>
      <c r="L30" s="697"/>
      <c r="M30" s="697"/>
      <c r="N30" s="697"/>
      <c r="O30" s="697"/>
      <c r="P30" s="697"/>
      <c r="Q30" s="697"/>
      <c r="R30" s="697"/>
      <c r="S30" s="697"/>
      <c r="T30" s="697"/>
      <c r="U30" s="697"/>
      <c r="V30" s="697"/>
      <c r="W30" s="697"/>
      <c r="X30" s="697"/>
      <c r="Y30" s="697"/>
      <c r="Z30" s="697"/>
      <c r="AA30" s="697"/>
      <c r="AB30" s="697"/>
      <c r="AC30" s="697"/>
    </row>
    <row r="31" spans="3:29" s="470" customFormat="1">
      <c r="C31" s="470" t="s">
        <v>481</v>
      </c>
      <c r="D31" s="1210" t="s">
        <v>470</v>
      </c>
      <c r="E31" s="471">
        <f ca="1">+SUM(G31:AM31)</f>
        <v>0</v>
      </c>
      <c r="F31" s="472">
        <f ca="1">E31/$E$8*10</f>
        <v>0</v>
      </c>
      <c r="G31" s="696">
        <f ca="1">-'Borrowings-Owner'!G96</f>
        <v>0</v>
      </c>
      <c r="H31" s="696">
        <f ca="1">-'Borrowings-Owner'!H96</f>
        <v>0</v>
      </c>
      <c r="I31" s="696">
        <f ca="1">-'Borrowings-Owner'!I96</f>
        <v>0</v>
      </c>
      <c r="J31" s="696">
        <f ca="1">-'Borrowings-Owner'!J96</f>
        <v>0</v>
      </c>
      <c r="K31" s="696">
        <f ca="1">-'Borrowings-Owner'!K96</f>
        <v>0</v>
      </c>
      <c r="L31" s="696">
        <f ca="1">-'Borrowings-Owner'!L96</f>
        <v>0</v>
      </c>
      <c r="M31" s="696">
        <f ca="1">-'Borrowings-Owner'!M96</f>
        <v>0</v>
      </c>
      <c r="N31" s="696">
        <f ca="1">-'Borrowings-Owner'!N96</f>
        <v>0</v>
      </c>
      <c r="O31" s="696">
        <f ca="1">-'Borrowings-Owner'!O96</f>
        <v>0</v>
      </c>
      <c r="P31" s="696">
        <f ca="1">-'Borrowings-Owner'!P96</f>
        <v>0</v>
      </c>
      <c r="Q31" s="696">
        <f ca="1">-'Borrowings-Owner'!Q96</f>
        <v>0</v>
      </c>
      <c r="R31" s="696">
        <f ca="1">-'Borrowings-Owner'!R96</f>
        <v>0</v>
      </c>
      <c r="S31" s="696">
        <f ca="1">-'Borrowings-Owner'!S96</f>
        <v>0</v>
      </c>
      <c r="T31" s="696">
        <f ca="1">-'Borrowings-Owner'!T96</f>
        <v>0</v>
      </c>
      <c r="U31" s="696">
        <f ca="1">-'Borrowings-Owner'!U96</f>
        <v>0</v>
      </c>
      <c r="V31" s="696">
        <f ca="1">-'Borrowings-Owner'!V96</f>
        <v>0</v>
      </c>
      <c r="W31" s="696">
        <f ca="1">-'Borrowings-Owner'!W96</f>
        <v>0</v>
      </c>
      <c r="X31" s="696">
        <f ca="1">-'Borrowings-Owner'!X96</f>
        <v>0</v>
      </c>
      <c r="Y31" s="696">
        <f ca="1">-'Borrowings-Owner'!Y96</f>
        <v>0</v>
      </c>
      <c r="Z31" s="696">
        <f ca="1">-'Borrowings-Owner'!Z96</f>
        <v>0</v>
      </c>
      <c r="AA31" s="696">
        <f ca="1">-'Borrowings-Owner'!AA96</f>
        <v>0</v>
      </c>
      <c r="AB31" s="696">
        <f ca="1">-'Borrowings-Owner'!AB96</f>
        <v>0</v>
      </c>
      <c r="AC31" s="696">
        <f ca="1">-'Borrowings-Owner'!AC96</f>
        <v>0</v>
      </c>
    </row>
    <row r="33" spans="3:29" s="470" customFormat="1">
      <c r="C33" s="475" t="s">
        <v>482</v>
      </c>
      <c r="D33" s="1210" t="s">
        <v>470</v>
      </c>
      <c r="E33" s="471">
        <f ca="1">+SUM(G33:AM33)</f>
        <v>9345.5593393714626</v>
      </c>
      <c r="F33" s="472">
        <f ca="1">E33/$E$8*10</f>
        <v>414.06189112029585</v>
      </c>
      <c r="G33" s="698">
        <f ca="1">+G29+G31</f>
        <v>-14.631973347826083</v>
      </c>
      <c r="H33" s="698">
        <f t="shared" ref="H33:AC33" ca="1" si="6">+H29+H31</f>
        <v>-32.036731650726516</v>
      </c>
      <c r="I33" s="698">
        <f t="shared" ca="1" si="6"/>
        <v>-66.59383479468913</v>
      </c>
      <c r="J33" s="698">
        <f t="shared" ca="1" si="6"/>
        <v>-97.214806927782149</v>
      </c>
      <c r="K33" s="698">
        <f t="shared" ca="1" si="6"/>
        <v>-63.731295264874888</v>
      </c>
      <c r="L33" s="698">
        <f t="shared" ca="1" si="6"/>
        <v>151.35967755315301</v>
      </c>
      <c r="M33" s="698">
        <f t="shared" ca="1" si="6"/>
        <v>494.99501497890088</v>
      </c>
      <c r="N33" s="698">
        <f t="shared" ca="1" si="6"/>
        <v>612.7435375526079</v>
      </c>
      <c r="O33" s="698">
        <f t="shared" ca="1" si="6"/>
        <v>840.17797129904852</v>
      </c>
      <c r="P33" s="698">
        <f t="shared" ca="1" si="6"/>
        <v>830.51013784558234</v>
      </c>
      <c r="Q33" s="698">
        <f t="shared" ca="1" si="6"/>
        <v>531.0906130638175</v>
      </c>
      <c r="R33" s="698">
        <f t="shared" ca="1" si="6"/>
        <v>719.90832365131632</v>
      </c>
      <c r="S33" s="698">
        <f t="shared" ca="1" si="6"/>
        <v>743.94217103603205</v>
      </c>
      <c r="T33" s="698">
        <f t="shared" ca="1" si="6"/>
        <v>800.74681101953672</v>
      </c>
      <c r="U33" s="698">
        <f t="shared" ca="1" si="6"/>
        <v>798.63709233007557</v>
      </c>
      <c r="V33" s="698">
        <f t="shared" ca="1" si="6"/>
        <v>505.29673457608112</v>
      </c>
      <c r="W33" s="698">
        <f t="shared" ca="1" si="6"/>
        <v>700.70990957972458</v>
      </c>
      <c r="X33" s="698">
        <f t="shared" ca="1" si="6"/>
        <v>638.75599634847958</v>
      </c>
      <c r="Y33" s="698">
        <f t="shared" ca="1" si="6"/>
        <v>-300.67208230883404</v>
      </c>
      <c r="Z33" s="698">
        <f t="shared" ca="1" si="6"/>
        <v>-141.93244393351551</v>
      </c>
      <c r="AA33" s="698">
        <f t="shared" ca="1" si="6"/>
        <v>194.54238060175391</v>
      </c>
      <c r="AB33" s="698">
        <f t="shared" ca="1" si="6"/>
        <v>163.20402809272844</v>
      </c>
      <c r="AC33" s="698">
        <f t="shared" ca="1" si="6"/>
        <v>1335.7521080708739</v>
      </c>
    </row>
    <row r="34" spans="3:29" s="470" customFormat="1">
      <c r="D34" s="1210"/>
      <c r="E34" s="473"/>
      <c r="F34" s="474"/>
      <c r="G34" s="696"/>
      <c r="H34" s="696" t="str">
        <f ca="1">IFERROR(H33/#REF!,"")</f>
        <v/>
      </c>
      <c r="I34" s="696" t="str">
        <f ca="1">IFERROR(I33/#REF!,"")</f>
        <v/>
      </c>
      <c r="J34" s="696" t="str">
        <f ca="1">IFERROR(J33/#REF!,"")</f>
        <v/>
      </c>
      <c r="K34" s="696"/>
      <c r="L34" s="696"/>
      <c r="M34" s="696"/>
      <c r="N34" s="696"/>
      <c r="O34" s="696"/>
      <c r="P34" s="696"/>
      <c r="Q34" s="696"/>
      <c r="R34" s="696"/>
      <c r="S34" s="696"/>
      <c r="T34" s="696"/>
      <c r="U34" s="696"/>
      <c r="V34" s="696"/>
      <c r="W34" s="696"/>
      <c r="X34" s="696"/>
      <c r="Y34" s="696"/>
      <c r="Z34" s="696"/>
      <c r="AA34" s="696"/>
      <c r="AB34" s="696"/>
      <c r="AC34" s="696"/>
    </row>
    <row r="35" spans="3:29" s="470" customFormat="1">
      <c r="C35" s="470" t="s">
        <v>483</v>
      </c>
      <c r="D35" s="1210" t="s">
        <v>470</v>
      </c>
      <c r="E35" s="471">
        <f>+SUM(G35:AM35)</f>
        <v>0</v>
      </c>
      <c r="F35" s="472">
        <f>E35/$E$8*10</f>
        <v>0</v>
      </c>
      <c r="G35" s="696">
        <f>-Tax!F14</f>
        <v>0</v>
      </c>
      <c r="H35" s="696">
        <f>-Tax!G14</f>
        <v>0</v>
      </c>
      <c r="I35" s="696">
        <f>-Tax!H14</f>
        <v>0</v>
      </c>
      <c r="J35" s="696">
        <f>-Tax!I14</f>
        <v>0</v>
      </c>
      <c r="K35" s="696">
        <f>-Tax!J14</f>
        <v>0</v>
      </c>
      <c r="L35" s="696">
        <f>-Tax!K14</f>
        <v>0</v>
      </c>
      <c r="M35" s="696">
        <f>-Tax!L14</f>
        <v>0</v>
      </c>
      <c r="N35" s="696">
        <f>-Tax!M14</f>
        <v>0</v>
      </c>
      <c r="O35" s="696">
        <f>-Tax!N14</f>
        <v>0</v>
      </c>
      <c r="P35" s="696">
        <f>-Tax!O14</f>
        <v>0</v>
      </c>
      <c r="Q35" s="696">
        <f>-Tax!P14</f>
        <v>0</v>
      </c>
      <c r="R35" s="696">
        <f>-Tax!Q14</f>
        <v>0</v>
      </c>
      <c r="S35" s="696">
        <f>-Tax!R14</f>
        <v>0</v>
      </c>
      <c r="T35" s="696">
        <f>-Tax!S14</f>
        <v>0</v>
      </c>
      <c r="U35" s="696">
        <f>-Tax!T14</f>
        <v>0</v>
      </c>
      <c r="V35" s="696">
        <f>-Tax!U14</f>
        <v>0</v>
      </c>
      <c r="W35" s="696">
        <f>-Tax!V14</f>
        <v>0</v>
      </c>
      <c r="X35" s="696">
        <f>-Tax!W14</f>
        <v>0</v>
      </c>
      <c r="Y35" s="696">
        <f>-Tax!X14</f>
        <v>0</v>
      </c>
      <c r="Z35" s="696">
        <f>-Tax!Y14</f>
        <v>0</v>
      </c>
      <c r="AA35" s="696">
        <f>-Tax!Z14</f>
        <v>0</v>
      </c>
      <c r="AB35" s="696">
        <f>-Tax!AA14</f>
        <v>0</v>
      </c>
      <c r="AC35" s="696">
        <f>-Tax!AB14</f>
        <v>0</v>
      </c>
    </row>
    <row r="36" spans="3:29" s="470" customFormat="1">
      <c r="D36" s="1210"/>
      <c r="E36" s="473"/>
      <c r="F36" s="474"/>
      <c r="G36" s="697"/>
      <c r="H36" s="697"/>
      <c r="I36" s="697"/>
      <c r="J36" s="697"/>
      <c r="K36" s="697"/>
      <c r="L36" s="697"/>
      <c r="M36" s="697"/>
      <c r="N36" s="697"/>
      <c r="O36" s="697"/>
      <c r="P36" s="697"/>
      <c r="Q36" s="697"/>
      <c r="R36" s="697"/>
      <c r="S36" s="697"/>
      <c r="T36" s="697"/>
      <c r="U36" s="697"/>
      <c r="V36" s="697"/>
      <c r="W36" s="697"/>
      <c r="X36" s="697"/>
      <c r="Y36" s="697"/>
      <c r="Z36" s="697"/>
      <c r="AA36" s="697"/>
      <c r="AB36" s="697"/>
      <c r="AC36" s="697"/>
    </row>
    <row r="37" spans="3:29" s="470" customFormat="1">
      <c r="C37" s="475" t="s">
        <v>484</v>
      </c>
      <c r="D37" s="1210" t="s">
        <v>470</v>
      </c>
      <c r="E37" s="471">
        <f ca="1">+SUM(G37:AM37)</f>
        <v>9345.5593393714626</v>
      </c>
      <c r="F37" s="472">
        <f ca="1">E37/$E$8*10</f>
        <v>414.06189112029585</v>
      </c>
      <c r="G37" s="698">
        <f ca="1">+G33+G35</f>
        <v>-14.631973347826083</v>
      </c>
      <c r="H37" s="698">
        <f t="shared" ref="H37:AC37" ca="1" si="7">+H33+H35</f>
        <v>-32.036731650726516</v>
      </c>
      <c r="I37" s="698">
        <f t="shared" ca="1" si="7"/>
        <v>-66.59383479468913</v>
      </c>
      <c r="J37" s="698">
        <f t="shared" ca="1" si="7"/>
        <v>-97.214806927782149</v>
      </c>
      <c r="K37" s="698">
        <f t="shared" ca="1" si="7"/>
        <v>-63.731295264874888</v>
      </c>
      <c r="L37" s="698">
        <f t="shared" ca="1" si="7"/>
        <v>151.35967755315301</v>
      </c>
      <c r="M37" s="698">
        <f t="shared" ca="1" si="7"/>
        <v>494.99501497890088</v>
      </c>
      <c r="N37" s="698">
        <f t="shared" ca="1" si="7"/>
        <v>612.7435375526079</v>
      </c>
      <c r="O37" s="698">
        <f t="shared" ca="1" si="7"/>
        <v>840.17797129904852</v>
      </c>
      <c r="P37" s="698">
        <f t="shared" ca="1" si="7"/>
        <v>830.51013784558234</v>
      </c>
      <c r="Q37" s="698">
        <f t="shared" ca="1" si="7"/>
        <v>531.0906130638175</v>
      </c>
      <c r="R37" s="698">
        <f t="shared" ca="1" si="7"/>
        <v>719.90832365131632</v>
      </c>
      <c r="S37" s="698">
        <f t="shared" ca="1" si="7"/>
        <v>743.94217103603205</v>
      </c>
      <c r="T37" s="698">
        <f t="shared" ca="1" si="7"/>
        <v>800.74681101953672</v>
      </c>
      <c r="U37" s="698">
        <f t="shared" ca="1" si="7"/>
        <v>798.63709233007557</v>
      </c>
      <c r="V37" s="698">
        <f t="shared" ca="1" si="7"/>
        <v>505.29673457608112</v>
      </c>
      <c r="W37" s="698">
        <f t="shared" ca="1" si="7"/>
        <v>700.70990957972458</v>
      </c>
      <c r="X37" s="698">
        <f t="shared" ca="1" si="7"/>
        <v>638.75599634847958</v>
      </c>
      <c r="Y37" s="698">
        <f t="shared" ca="1" si="7"/>
        <v>-300.67208230883404</v>
      </c>
      <c r="Z37" s="698">
        <f t="shared" ca="1" si="7"/>
        <v>-141.93244393351551</v>
      </c>
      <c r="AA37" s="698">
        <f t="shared" ca="1" si="7"/>
        <v>194.54238060175391</v>
      </c>
      <c r="AB37" s="698">
        <f t="shared" ca="1" si="7"/>
        <v>163.20402809272844</v>
      </c>
      <c r="AC37" s="698">
        <f t="shared" ca="1" si="7"/>
        <v>1335.7521080708739</v>
      </c>
    </row>
    <row r="38" spans="3:29" s="476" customFormat="1">
      <c r="D38" s="1210"/>
      <c r="E38" s="477"/>
      <c r="F38" s="468"/>
      <c r="G38" s="699"/>
      <c r="H38" s="699"/>
      <c r="I38" s="699"/>
      <c r="J38" s="699"/>
      <c r="K38" s="699"/>
      <c r="L38" s="699"/>
      <c r="M38" s="699"/>
      <c r="N38" s="699"/>
      <c r="O38" s="699"/>
      <c r="P38" s="699"/>
      <c r="Q38" s="699"/>
      <c r="R38" s="699"/>
      <c r="S38" s="699"/>
      <c r="T38" s="699"/>
      <c r="U38" s="699"/>
      <c r="V38" s="699"/>
      <c r="W38" s="699"/>
      <c r="X38" s="699"/>
      <c r="Y38" s="699"/>
      <c r="Z38" s="699"/>
      <c r="AA38" s="699"/>
      <c r="AB38" s="699"/>
      <c r="AC38" s="699"/>
    </row>
    <row r="39" spans="3:29" s="476" customFormat="1">
      <c r="C39" s="476" t="s">
        <v>485</v>
      </c>
      <c r="D39" s="1210" t="s">
        <v>470</v>
      </c>
      <c r="E39" s="450">
        <f ca="1">+SUM(G39:AM39)</f>
        <v>-201.24745015199423</v>
      </c>
      <c r="F39" s="454">
        <f ca="1">E39/$E$8*10</f>
        <v>-8.9164165318623407</v>
      </c>
      <c r="G39" s="699">
        <f ca="1">-IF(G37&lt;0,0,G37*$C$40)</f>
        <v>0</v>
      </c>
      <c r="H39" s="699">
        <f t="shared" ref="H39:AC39" ca="1" si="8">-IF(H37&lt;0,0,H37*$C$40)</f>
        <v>0</v>
      </c>
      <c r="I39" s="699">
        <f t="shared" ca="1" si="8"/>
        <v>0</v>
      </c>
      <c r="J39" s="699">
        <f ca="1">-IF(J37&lt;0,0,J37*$C$40)</f>
        <v>0</v>
      </c>
      <c r="K39" s="699">
        <f ca="1">-IF(K37&lt;0,0,K37*$C$40)</f>
        <v>0</v>
      </c>
      <c r="L39" s="699">
        <f ca="1">-IF(L37&lt;0,0,L37*$C$40)</f>
        <v>-3.0271935510630601</v>
      </c>
      <c r="M39" s="699">
        <f t="shared" ca="1" si="8"/>
        <v>-9.8999002995780181</v>
      </c>
      <c r="N39" s="699">
        <f ca="1">-IF(N37&lt;0,0,N37*$C$40)</f>
        <v>-12.254870751052158</v>
      </c>
      <c r="O39" s="699">
        <f t="shared" ca="1" si="8"/>
        <v>-16.803559425980971</v>
      </c>
      <c r="P39" s="699">
        <f t="shared" ca="1" si="8"/>
        <v>-16.610202756911647</v>
      </c>
      <c r="Q39" s="699">
        <f t="shared" ca="1" si="8"/>
        <v>-10.62181226127635</v>
      </c>
      <c r="R39" s="699">
        <f t="shared" ca="1" si="8"/>
        <v>-14.398166473026327</v>
      </c>
      <c r="S39" s="699">
        <f t="shared" ca="1" si="8"/>
        <v>-14.878843420720642</v>
      </c>
      <c r="T39" s="699">
        <f t="shared" ca="1" si="8"/>
        <v>-16.014936220390734</v>
      </c>
      <c r="U39" s="699">
        <f t="shared" ca="1" si="8"/>
        <v>-15.972741846601512</v>
      </c>
      <c r="V39" s="699">
        <f t="shared" ca="1" si="8"/>
        <v>-10.105934691521623</v>
      </c>
      <c r="W39" s="699">
        <f t="shared" ca="1" si="8"/>
        <v>-14.014198191594492</v>
      </c>
      <c r="X39" s="699">
        <f t="shared" ca="1" si="8"/>
        <v>-12.775119926969593</v>
      </c>
      <c r="Y39" s="699">
        <f t="shared" ca="1" si="8"/>
        <v>0</v>
      </c>
      <c r="Z39" s="699">
        <f t="shared" ca="1" si="8"/>
        <v>0</v>
      </c>
      <c r="AA39" s="699">
        <f t="shared" ca="1" si="8"/>
        <v>-3.8908476120350781</v>
      </c>
      <c r="AB39" s="699">
        <f t="shared" ca="1" si="8"/>
        <v>-3.264080561854569</v>
      </c>
      <c r="AC39" s="699">
        <f t="shared" ca="1" si="8"/>
        <v>-26.715042161417479</v>
      </c>
    </row>
    <row r="40" spans="3:29" s="476" customFormat="1">
      <c r="C40" s="613">
        <f>Assumptions_Dashboard!D132</f>
        <v>0.02</v>
      </c>
      <c r="D40" s="1210" t="s">
        <v>470</v>
      </c>
      <c r="E40" s="477"/>
      <c r="F40" s="468"/>
      <c r="G40" s="699"/>
      <c r="H40" s="699"/>
      <c r="I40" s="699"/>
      <c r="J40" s="699"/>
      <c r="K40" s="699"/>
      <c r="L40" s="699"/>
      <c r="M40" s="699"/>
      <c r="N40" s="699"/>
      <c r="O40" s="699"/>
      <c r="P40" s="699"/>
      <c r="Q40" s="699"/>
      <c r="R40" s="699"/>
      <c r="S40" s="699"/>
      <c r="T40" s="699"/>
      <c r="U40" s="699"/>
      <c r="V40" s="699"/>
      <c r="W40" s="699"/>
      <c r="X40" s="699"/>
      <c r="Y40" s="699"/>
      <c r="Z40" s="699"/>
      <c r="AA40" s="699"/>
      <c r="AB40" s="699"/>
      <c r="AC40" s="699"/>
    </row>
    <row r="41" spans="3:29" s="476" customFormat="1">
      <c r="C41" s="453" t="s">
        <v>486</v>
      </c>
      <c r="D41" s="1210" t="s">
        <v>470</v>
      </c>
      <c r="E41" s="450">
        <f ca="1">+SUM(G41:AM41)</f>
        <v>9144.311889219467</v>
      </c>
      <c r="F41" s="454">
        <f ca="1">E41/$E$8*10</f>
        <v>405.14547458843344</v>
      </c>
      <c r="G41" s="691">
        <f ca="1">+G37+G39</f>
        <v>-14.631973347826083</v>
      </c>
      <c r="H41" s="691">
        <f t="shared" ref="H41:AC41" ca="1" si="9">+H37+H39</f>
        <v>-32.036731650726516</v>
      </c>
      <c r="I41" s="691">
        <f t="shared" ca="1" si="9"/>
        <v>-66.59383479468913</v>
      </c>
      <c r="J41" s="691">
        <f t="shared" ca="1" si="9"/>
        <v>-97.214806927782149</v>
      </c>
      <c r="K41" s="691">
        <f t="shared" ca="1" si="9"/>
        <v>-63.731295264874888</v>
      </c>
      <c r="L41" s="691">
        <f t="shared" ca="1" si="9"/>
        <v>148.33248400208996</v>
      </c>
      <c r="M41" s="691">
        <f t="shared" ca="1" si="9"/>
        <v>485.09511467932288</v>
      </c>
      <c r="N41" s="691">
        <f t="shared" ca="1" si="9"/>
        <v>600.48866680155572</v>
      </c>
      <c r="O41" s="691">
        <f t="shared" ca="1" si="9"/>
        <v>823.37441187306752</v>
      </c>
      <c r="P41" s="691">
        <f t="shared" ca="1" si="9"/>
        <v>813.89993508867065</v>
      </c>
      <c r="Q41" s="691">
        <f t="shared" ca="1" si="9"/>
        <v>520.46880080254118</v>
      </c>
      <c r="R41" s="691">
        <f t="shared" ca="1" si="9"/>
        <v>705.51015717829</v>
      </c>
      <c r="S41" s="691">
        <f t="shared" ca="1" si="9"/>
        <v>729.06332761531144</v>
      </c>
      <c r="T41" s="691">
        <f t="shared" ca="1" si="9"/>
        <v>784.731874799146</v>
      </c>
      <c r="U41" s="691">
        <f t="shared" ca="1" si="9"/>
        <v>782.6643504834741</v>
      </c>
      <c r="V41" s="691">
        <f t="shared" ca="1" si="9"/>
        <v>495.19079988455951</v>
      </c>
      <c r="W41" s="691">
        <f t="shared" ca="1" si="9"/>
        <v>686.69571138813012</v>
      </c>
      <c r="X41" s="691">
        <f t="shared" ca="1" si="9"/>
        <v>625.98087642150995</v>
      </c>
      <c r="Y41" s="691">
        <f t="shared" ca="1" si="9"/>
        <v>-300.67208230883404</v>
      </c>
      <c r="Z41" s="691">
        <f t="shared" ca="1" si="9"/>
        <v>-141.93244393351551</v>
      </c>
      <c r="AA41" s="691">
        <f t="shared" ca="1" si="9"/>
        <v>190.65153298971882</v>
      </c>
      <c r="AB41" s="691">
        <f t="shared" ca="1" si="9"/>
        <v>159.93994753087387</v>
      </c>
      <c r="AC41" s="691">
        <f t="shared" ca="1" si="9"/>
        <v>1309.0370659094565</v>
      </c>
    </row>
  </sheetData>
  <conditionalFormatting sqref="A8">
    <cfRule type="cellIs" dxfId="8" priority="1" operator="equal">
      <formula>TRUE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6B9C-91EF-4CF6-9B4D-22EA893686BE}">
  <sheetPr codeName="Sheet6">
    <tabColor rgb="FF0070C0"/>
  </sheetPr>
  <dimension ref="C2:AM41"/>
  <sheetViews>
    <sheetView showGridLines="0" workbookViewId="0">
      <selection activeCell="D20" sqref="D20"/>
    </sheetView>
  </sheetViews>
  <sheetFormatPr baseColWidth="10" defaultColWidth="9.83203125" defaultRowHeight="13" outlineLevelRow="1"/>
  <cols>
    <col min="1" max="1" width="7.1640625" style="501" customWidth="1"/>
    <col min="2" max="2" width="11.6640625" style="501" customWidth="1"/>
    <col min="3" max="3" width="46.5" style="501" customWidth="1"/>
    <col min="4" max="4" width="11.6640625" style="501" customWidth="1"/>
    <col min="5" max="5" width="20.83203125" style="501" bestFit="1" customWidth="1"/>
    <col min="6" max="6" width="5.5" style="502" bestFit="1" customWidth="1"/>
    <col min="7" max="16" width="6.6640625" style="502" bestFit="1" customWidth="1"/>
    <col min="17" max="28" width="6.5" style="502" bestFit="1" customWidth="1"/>
    <col min="29" max="31" width="6.6640625" style="502" bestFit="1" customWidth="1"/>
    <col min="32" max="33" width="6.6640625" style="501" bestFit="1" customWidth="1"/>
    <col min="34" max="35" width="6" style="501" bestFit="1" customWidth="1"/>
    <col min="36" max="37" width="5.5" style="501" bestFit="1" customWidth="1"/>
    <col min="38" max="187" width="9.1640625" style="501" customWidth="1"/>
    <col min="188" max="188" width="35.1640625" style="501" bestFit="1" customWidth="1"/>
    <col min="189" max="189" width="10.5" style="501" bestFit="1" customWidth="1"/>
    <col min="190" max="191" width="9.5" style="501" bestFit="1" customWidth="1"/>
    <col min="192" max="193" width="10.33203125" style="501" bestFit="1" customWidth="1"/>
    <col min="194" max="194" width="9.5" style="501" bestFit="1" customWidth="1"/>
    <col min="195" max="16384" width="9.83203125" style="501"/>
  </cols>
  <sheetData>
    <row r="2" spans="3:39">
      <c r="F2" s="100">
        <f>'P&amp;L'!G5</f>
        <v>46023</v>
      </c>
      <c r="G2" s="100">
        <f>'P&amp;L'!H5</f>
        <v>46389</v>
      </c>
      <c r="H2" s="100">
        <f>'P&amp;L'!I5</f>
        <v>46755</v>
      </c>
      <c r="I2" s="100">
        <f>'P&amp;L'!J5</f>
        <v>47121</v>
      </c>
      <c r="J2" s="100">
        <f>'P&amp;L'!K5</f>
        <v>47487</v>
      </c>
      <c r="K2" s="100">
        <f>'P&amp;L'!L5</f>
        <v>47853</v>
      </c>
      <c r="L2" s="100">
        <f>'P&amp;L'!M5</f>
        <v>48219</v>
      </c>
      <c r="M2" s="100">
        <f>'P&amp;L'!N5</f>
        <v>48585</v>
      </c>
      <c r="N2" s="100">
        <f>'P&amp;L'!O5</f>
        <v>48951</v>
      </c>
      <c r="O2" s="100">
        <f>'P&amp;L'!P5</f>
        <v>49317</v>
      </c>
      <c r="P2" s="100">
        <f>'P&amp;L'!Q5</f>
        <v>49683</v>
      </c>
      <c r="Q2" s="100">
        <f>'P&amp;L'!R5</f>
        <v>50049</v>
      </c>
      <c r="R2" s="100">
        <f>'P&amp;L'!S5</f>
        <v>50415</v>
      </c>
      <c r="S2" s="100">
        <f>'P&amp;L'!T5</f>
        <v>50781</v>
      </c>
      <c r="T2" s="100">
        <f>'P&amp;L'!U5</f>
        <v>51147</v>
      </c>
      <c r="U2" s="100">
        <f>'P&amp;L'!V5</f>
        <v>51513</v>
      </c>
      <c r="V2" s="100">
        <f>'P&amp;L'!W5</f>
        <v>51879</v>
      </c>
      <c r="W2" s="100">
        <f>'P&amp;L'!X5</f>
        <v>52245</v>
      </c>
      <c r="X2" s="100">
        <f>'P&amp;L'!Y5</f>
        <v>52611</v>
      </c>
      <c r="Y2" s="100">
        <f>'P&amp;L'!Z5</f>
        <v>52977</v>
      </c>
      <c r="Z2" s="100">
        <f>'P&amp;L'!AA5</f>
        <v>53343</v>
      </c>
      <c r="AA2" s="100">
        <f>'P&amp;L'!AB5</f>
        <v>53709</v>
      </c>
      <c r="AB2" s="100">
        <f>'P&amp;L'!AC5</f>
        <v>54075</v>
      </c>
      <c r="AC2" s="100"/>
      <c r="AD2" s="100"/>
      <c r="AE2" s="100"/>
      <c r="AF2" s="100"/>
      <c r="AG2" s="100"/>
      <c r="AH2" s="100"/>
      <c r="AI2" s="100"/>
      <c r="AJ2" s="100"/>
      <c r="AK2" s="100"/>
      <c r="AL2" s="100"/>
      <c r="AM2" s="100"/>
    </row>
    <row r="3" spans="3:39" s="484" customFormat="1" outlineLevel="1">
      <c r="C3" s="485" t="s">
        <v>463</v>
      </c>
      <c r="D3" s="1214"/>
      <c r="E3" s="1215"/>
      <c r="F3" s="1141">
        <f>'P&amp;L'!G6</f>
        <v>-4</v>
      </c>
      <c r="G3" s="1141">
        <f>'P&amp;L'!H6</f>
        <v>-3</v>
      </c>
      <c r="H3" s="1141">
        <f>'P&amp;L'!I6</f>
        <v>-2</v>
      </c>
      <c r="I3" s="1141">
        <f>'P&amp;L'!J6</f>
        <v>-1</v>
      </c>
      <c r="J3" s="1141">
        <f>'P&amp;L'!K6</f>
        <v>1</v>
      </c>
      <c r="K3" s="1141">
        <f>'P&amp;L'!L6</f>
        <v>2</v>
      </c>
      <c r="L3" s="1141">
        <f>'P&amp;L'!M6</f>
        <v>3</v>
      </c>
      <c r="M3" s="1141">
        <f>'P&amp;L'!N6</f>
        <v>4</v>
      </c>
      <c r="N3" s="1141">
        <f>'P&amp;L'!O6</f>
        <v>5</v>
      </c>
      <c r="O3" s="1141">
        <f>'P&amp;L'!P6</f>
        <v>6</v>
      </c>
      <c r="P3" s="1141">
        <f>'P&amp;L'!Q6</f>
        <v>7</v>
      </c>
      <c r="Q3" s="1141">
        <f>'P&amp;L'!R6</f>
        <v>8</v>
      </c>
      <c r="R3" s="1141">
        <f>'P&amp;L'!S6</f>
        <v>9</v>
      </c>
      <c r="S3" s="1141">
        <f>'P&amp;L'!T6</f>
        <v>10</v>
      </c>
      <c r="T3" s="1141">
        <f>'P&amp;L'!U6</f>
        <v>11</v>
      </c>
      <c r="U3" s="1141">
        <f>'P&amp;L'!V6</f>
        <v>12</v>
      </c>
      <c r="V3" s="1141">
        <f>'P&amp;L'!W6</f>
        <v>13</v>
      </c>
      <c r="W3" s="1141">
        <f>'P&amp;L'!X6</f>
        <v>14</v>
      </c>
      <c r="X3" s="1141">
        <f>'P&amp;L'!Y6</f>
        <v>15</v>
      </c>
      <c r="Y3" s="1141">
        <f>'P&amp;L'!Z6</f>
        <v>16</v>
      </c>
      <c r="Z3" s="1141">
        <f>'P&amp;L'!AA6</f>
        <v>17</v>
      </c>
      <c r="AA3" s="1141">
        <f>'P&amp;L'!AB6</f>
        <v>18</v>
      </c>
      <c r="AB3" s="1141">
        <f>'P&amp;L'!AC6</f>
        <v>19</v>
      </c>
      <c r="AC3" s="1141"/>
      <c r="AD3" s="1141"/>
      <c r="AE3" s="1141"/>
      <c r="AF3" s="1141"/>
      <c r="AG3" s="1141"/>
      <c r="AH3" s="1141"/>
      <c r="AI3" s="1141"/>
      <c r="AJ3" s="1141">
        <f>'P&amp;L'!AK6</f>
        <v>0</v>
      </c>
      <c r="AK3" s="1141">
        <f>'P&amp;L'!AL6</f>
        <v>0</v>
      </c>
      <c r="AL3" s="1141">
        <f>'P&amp;L'!AM6</f>
        <v>0</v>
      </c>
      <c r="AM3" s="1141">
        <f>'P&amp;L'!AN6</f>
        <v>0</v>
      </c>
    </row>
    <row r="5" spans="3:39" s="484" customFormat="1" collapsed="1">
      <c r="C5" s="485" t="s">
        <v>487</v>
      </c>
      <c r="D5" s="503"/>
      <c r="E5" s="503"/>
      <c r="F5" s="503"/>
      <c r="G5" s="503"/>
      <c r="H5" s="503"/>
      <c r="I5" s="503"/>
      <c r="J5" s="503"/>
      <c r="K5" s="503"/>
      <c r="L5" s="503"/>
      <c r="M5" s="503"/>
      <c r="N5" s="503"/>
      <c r="O5" s="503"/>
      <c r="P5" s="503"/>
      <c r="Q5" s="503"/>
      <c r="R5" s="503"/>
      <c r="S5" s="503"/>
      <c r="T5" s="503"/>
      <c r="U5" s="503"/>
      <c r="V5" s="503"/>
      <c r="W5" s="503"/>
      <c r="X5" s="503"/>
      <c r="Y5" s="503"/>
      <c r="Z5" s="503"/>
      <c r="AA5" s="503"/>
      <c r="AB5" s="503"/>
      <c r="AC5" s="503"/>
      <c r="AD5" s="503"/>
      <c r="AE5" s="503"/>
      <c r="AF5" s="503"/>
      <c r="AG5" s="503"/>
      <c r="AH5" s="503"/>
      <c r="AI5" s="503"/>
      <c r="AJ5" s="503"/>
      <c r="AK5" s="503"/>
      <c r="AL5" s="503"/>
      <c r="AM5" s="503"/>
    </row>
    <row r="6" spans="3:39">
      <c r="C6" s="504" t="s">
        <v>472</v>
      </c>
      <c r="D6" s="501" t="s">
        <v>470</v>
      </c>
      <c r="E6" s="505">
        <f>SUM(F6:AM6)</f>
        <v>35929.111499812818</v>
      </c>
      <c r="F6" s="506">
        <f>'P&amp;L'!G12</f>
        <v>0</v>
      </c>
      <c r="G6" s="506">
        <f>'P&amp;L'!H12</f>
        <v>0</v>
      </c>
      <c r="H6" s="506">
        <f>'P&amp;L'!I12</f>
        <v>0</v>
      </c>
      <c r="I6" s="506">
        <f>'P&amp;L'!J12</f>
        <v>0</v>
      </c>
      <c r="J6" s="506">
        <f>'P&amp;L'!K12</f>
        <v>330.23995954560007</v>
      </c>
      <c r="K6" s="506">
        <f>'P&amp;L'!L12</f>
        <v>660.47977791360017</v>
      </c>
      <c r="L6" s="506">
        <f>'P&amp;L'!M12</f>
        <v>1320.9601205376005</v>
      </c>
      <c r="M6" s="506">
        <f>'P&amp;L'!N12</f>
        <v>1981.4397572736004</v>
      </c>
      <c r="N6" s="506">
        <f>'P&amp;L'!O12</f>
        <v>2476.7992024704008</v>
      </c>
      <c r="O6" s="506">
        <f>'P&amp;L'!P12</f>
        <v>2476.8011789568009</v>
      </c>
      <c r="P6" s="506">
        <f>'P&amp;L'!Q12</f>
        <v>2476.7997671808007</v>
      </c>
      <c r="Q6" s="506">
        <f>'P&amp;L'!R12</f>
        <v>2476.7994848256008</v>
      </c>
      <c r="R6" s="506">
        <f>'P&amp;L'!S12</f>
        <v>2476.8006142464005</v>
      </c>
      <c r="S6" s="506">
        <f>'P&amp;L'!T12</f>
        <v>2476.7992024704008</v>
      </c>
      <c r="T6" s="506">
        <f>'P&amp;L'!U12</f>
        <v>2476.7994848256008</v>
      </c>
      <c r="U6" s="506">
        <f>'P&amp;L'!V12</f>
        <v>2476.8003318912006</v>
      </c>
      <c r="V6" s="506">
        <f>'P&amp;L'!W12</f>
        <v>2476.8025907328006</v>
      </c>
      <c r="W6" s="506">
        <f>'P&amp;L'!X12</f>
        <v>2476.8003318912006</v>
      </c>
      <c r="X6" s="506">
        <f>'P&amp;L'!Y12</f>
        <v>1807.2002421648006</v>
      </c>
      <c r="Y6" s="506">
        <f>'P&amp;L'!Z12</f>
        <v>1807.2000361440005</v>
      </c>
      <c r="Z6" s="506">
        <f>'P&amp;L'!AA12</f>
        <v>1651.1999389056004</v>
      </c>
      <c r="AA6" s="506">
        <f>'P&amp;L'!AB12</f>
        <v>1238.4004483008005</v>
      </c>
      <c r="AB6" s="506">
        <f>'P&amp;L'!AC12</f>
        <v>363.98902953600009</v>
      </c>
      <c r="AC6" s="506"/>
      <c r="AD6" s="506"/>
      <c r="AE6" s="506"/>
      <c r="AF6" s="506"/>
      <c r="AG6" s="506"/>
      <c r="AH6" s="506"/>
      <c r="AI6" s="506"/>
      <c r="AJ6" s="506"/>
      <c r="AK6" s="506"/>
      <c r="AL6" s="506"/>
      <c r="AM6" s="506"/>
    </row>
    <row r="7" spans="3:39">
      <c r="C7" s="507" t="s">
        <v>488</v>
      </c>
      <c r="D7" s="508" t="s">
        <v>470</v>
      </c>
      <c r="E7" s="509">
        <f>SUM(F7:AM7)</f>
        <v>35929.111499812818</v>
      </c>
      <c r="F7" s="511">
        <f t="shared" ref="F7:AB7" si="0">SUM(F6:F6)</f>
        <v>0</v>
      </c>
      <c r="G7" s="511">
        <f>SUM(G6:G6)</f>
        <v>0</v>
      </c>
      <c r="H7" s="511">
        <f t="shared" si="0"/>
        <v>0</v>
      </c>
      <c r="I7" s="511">
        <f t="shared" si="0"/>
        <v>0</v>
      </c>
      <c r="J7" s="511">
        <f t="shared" si="0"/>
        <v>330.23995954560007</v>
      </c>
      <c r="K7" s="511">
        <f t="shared" si="0"/>
        <v>660.47977791360017</v>
      </c>
      <c r="L7" s="511">
        <f t="shared" si="0"/>
        <v>1320.9601205376005</v>
      </c>
      <c r="M7" s="511">
        <f t="shared" si="0"/>
        <v>1981.4397572736004</v>
      </c>
      <c r="N7" s="511">
        <f t="shared" si="0"/>
        <v>2476.7992024704008</v>
      </c>
      <c r="O7" s="511">
        <f t="shared" si="0"/>
        <v>2476.8011789568009</v>
      </c>
      <c r="P7" s="511">
        <f t="shared" si="0"/>
        <v>2476.7997671808007</v>
      </c>
      <c r="Q7" s="511">
        <f t="shared" si="0"/>
        <v>2476.7994848256008</v>
      </c>
      <c r="R7" s="511">
        <f t="shared" si="0"/>
        <v>2476.8006142464005</v>
      </c>
      <c r="S7" s="511">
        <f t="shared" si="0"/>
        <v>2476.7992024704008</v>
      </c>
      <c r="T7" s="511">
        <f t="shared" si="0"/>
        <v>2476.7994848256008</v>
      </c>
      <c r="U7" s="511">
        <f t="shared" si="0"/>
        <v>2476.8003318912006</v>
      </c>
      <c r="V7" s="511">
        <f t="shared" si="0"/>
        <v>2476.8025907328006</v>
      </c>
      <c r="W7" s="511">
        <f t="shared" si="0"/>
        <v>2476.8003318912006</v>
      </c>
      <c r="X7" s="511">
        <f t="shared" si="0"/>
        <v>1807.2002421648006</v>
      </c>
      <c r="Y7" s="511">
        <f t="shared" si="0"/>
        <v>1807.2000361440005</v>
      </c>
      <c r="Z7" s="511">
        <f t="shared" si="0"/>
        <v>1651.1999389056004</v>
      </c>
      <c r="AA7" s="511">
        <f t="shared" si="0"/>
        <v>1238.4004483008005</v>
      </c>
      <c r="AB7" s="511">
        <f t="shared" si="0"/>
        <v>363.98902953600009</v>
      </c>
      <c r="AC7" s="511"/>
      <c r="AD7" s="511"/>
      <c r="AE7" s="511"/>
      <c r="AF7" s="511"/>
      <c r="AG7" s="511"/>
      <c r="AH7" s="511"/>
      <c r="AI7" s="511"/>
      <c r="AJ7" s="510"/>
      <c r="AK7" s="510"/>
      <c r="AL7" s="510"/>
      <c r="AM7" s="510"/>
    </row>
    <row r="8" spans="3:39" s="484" customFormat="1" collapsed="1">
      <c r="C8" s="485" t="s">
        <v>489</v>
      </c>
      <c r="D8" s="503"/>
      <c r="E8" s="503"/>
      <c r="F8" s="503"/>
      <c r="G8" s="503"/>
      <c r="H8" s="503"/>
      <c r="I8" s="503"/>
      <c r="J8" s="503"/>
      <c r="K8" s="503"/>
      <c r="L8" s="503"/>
      <c r="M8" s="503"/>
      <c r="N8" s="503"/>
      <c r="O8" s="503"/>
      <c r="P8" s="503"/>
      <c r="Q8" s="503"/>
      <c r="R8" s="503"/>
      <c r="S8" s="503"/>
      <c r="T8" s="503"/>
      <c r="U8" s="503"/>
      <c r="V8" s="503"/>
      <c r="W8" s="503"/>
      <c r="X8" s="503"/>
      <c r="Y8" s="503"/>
      <c r="Z8" s="503"/>
      <c r="AA8" s="503"/>
      <c r="AB8" s="503"/>
      <c r="AC8" s="503"/>
      <c r="AD8" s="503"/>
      <c r="AE8" s="503"/>
      <c r="AF8" s="503"/>
      <c r="AG8" s="503"/>
      <c r="AH8" s="503"/>
      <c r="AI8" s="503"/>
      <c r="AJ8" s="503"/>
      <c r="AK8" s="503"/>
      <c r="AL8" s="503"/>
      <c r="AM8" s="503"/>
    </row>
    <row r="9" spans="3:39">
      <c r="C9" s="504" t="s">
        <v>474</v>
      </c>
      <c r="D9" s="501" t="s">
        <v>470</v>
      </c>
      <c r="E9" s="509">
        <f ca="1">SUM(F9:AM9)</f>
        <v>-23147.946835679882</v>
      </c>
      <c r="F9" s="506">
        <f>-'P&amp;L'!G15</f>
        <v>0</v>
      </c>
      <c r="G9" s="506">
        <f>-'P&amp;L'!H15</f>
        <v>0</v>
      </c>
      <c r="H9" s="506">
        <f>-'P&amp;L'!I15</f>
        <v>0</v>
      </c>
      <c r="I9" s="506">
        <f>-'P&amp;L'!J15</f>
        <v>0</v>
      </c>
      <c r="J9" s="506">
        <f ca="1">-'P&amp;L'!K15</f>
        <v>-258.822526059903</v>
      </c>
      <c r="K9" s="506">
        <f ca="1">-'P&amp;L'!L15</f>
        <v>-364.52802932807941</v>
      </c>
      <c r="L9" s="506">
        <f ca="1">-'P&amp;L'!M15</f>
        <v>-664.51221334178933</v>
      </c>
      <c r="M9" s="506">
        <f ca="1">-'P&amp;L'!N15</f>
        <v>-1161.1992383490151</v>
      </c>
      <c r="N9" s="506">
        <f ca="1">-'P&amp;L'!O15</f>
        <v>-1412.8168230435731</v>
      </c>
      <c r="O9" s="506">
        <f ca="1">-'P&amp;L'!P15</f>
        <v>-1384.5623907635795</v>
      </c>
      <c r="P9" s="506">
        <f ca="1">-'P&amp;L'!Q15</f>
        <v>-1681.3983402886843</v>
      </c>
      <c r="Q9" s="506">
        <f ca="1">-'P&amp;L'!R15</f>
        <v>-1472.057355491891</v>
      </c>
      <c r="R9" s="506">
        <f ca="1">-'P&amp;L'!S15</f>
        <v>-1433.6977223810368</v>
      </c>
      <c r="S9" s="506">
        <f ca="1">-'P&amp;L'!T15</f>
        <v>-1379.6006126401719</v>
      </c>
      <c r="T9" s="506">
        <f ca="1">-'P&amp;L'!U15</f>
        <v>-1381.3661544285987</v>
      </c>
      <c r="U9" s="506">
        <f ca="1">-'P&amp;L'!V15</f>
        <v>-1695.6047141903873</v>
      </c>
      <c r="V9" s="506">
        <f ca="1">-'P&amp;L'!W15</f>
        <v>-1505.2876824931786</v>
      </c>
      <c r="W9" s="506">
        <f ca="1">-'P&amp;L'!X15</f>
        <v>-1555.2565726035227</v>
      </c>
      <c r="X9" s="506">
        <f ca="1">-'P&amp;L'!Y15</f>
        <v>-1838.1131441370333</v>
      </c>
      <c r="Y9" s="506">
        <f ca="1">-'P&amp;L'!Z15</f>
        <v>-1670.7805850622044</v>
      </c>
      <c r="Z9" s="506">
        <f ca="1">-'P&amp;L'!AA15</f>
        <v>-1194.7907982200409</v>
      </c>
      <c r="AA9" s="506">
        <f ca="1">-'P&amp;L'!AB15</f>
        <v>-817.20422202649934</v>
      </c>
      <c r="AB9" s="506">
        <f ca="1">-'P&amp;L'!AC15</f>
        <v>-276.34771083069046</v>
      </c>
      <c r="AC9" s="506"/>
      <c r="AD9" s="506"/>
      <c r="AE9" s="506"/>
      <c r="AF9" s="506"/>
      <c r="AG9" s="506"/>
      <c r="AH9" s="506"/>
      <c r="AI9" s="506"/>
      <c r="AJ9" s="506"/>
      <c r="AK9" s="506"/>
      <c r="AL9" s="506"/>
      <c r="AM9" s="506"/>
    </row>
    <row r="10" spans="3:39">
      <c r="C10" s="504" t="s">
        <v>450</v>
      </c>
      <c r="D10" s="501" t="s">
        <v>470</v>
      </c>
      <c r="E10" s="509">
        <f ca="1">SUM(F10:AM10)</f>
        <v>-6433.7254982060995</v>
      </c>
      <c r="F10" s="712">
        <f ca="1">-'Depreciation-Owner'!H35</f>
        <v>-155.99429899999996</v>
      </c>
      <c r="G10" s="712">
        <f ca="1">-'Depreciation-Owner'!I35</f>
        <v>-343.46764946670999</v>
      </c>
      <c r="H10" s="712">
        <f ca="1">-'Depreciation-Owner'!J35</f>
        <v>-677.71389931114004</v>
      </c>
      <c r="I10" s="712">
        <f ca="1">-'Depreciation-Owner'!K35</f>
        <v>-542.15414931113992</v>
      </c>
      <c r="J10" s="712">
        <f>-'Depreciation-Owner'!L35</f>
        <v>-512.03669517858111</v>
      </c>
      <c r="K10" s="712">
        <f>-'Depreciation-Owner'!M35</f>
        <v>-185.81300719102592</v>
      </c>
      <c r="L10" s="712">
        <f>-'Depreciation-Owner'!N35</f>
        <v>-214.02863287685622</v>
      </c>
      <c r="M10" s="712">
        <f>-'Depreciation-Owner'!O35</f>
        <v>-587.76578361934594</v>
      </c>
      <c r="N10" s="712">
        <f>-'Depreciation-Owner'!P35</f>
        <v>-327.99202442645139</v>
      </c>
      <c r="O10" s="712">
        <f>-'Depreciation-Owner'!Q35</f>
        <v>-525.44185965517624</v>
      </c>
      <c r="P10" s="712">
        <f>-'Depreciation-Owner'!R35</f>
        <v>-328.5690080551762</v>
      </c>
      <c r="Q10" s="712">
        <f>-'Depreciation-Owner'!S35</f>
        <v>-400.18130339373062</v>
      </c>
      <c r="R10" s="712">
        <f>-'Depreciation-Owner'!T35</f>
        <v>-352.30201448348981</v>
      </c>
      <c r="S10" s="712">
        <f>-'Depreciation-Owner'!U35</f>
        <v>-119.77485150374628</v>
      </c>
      <c r="T10" s="712">
        <f>-'Depreciation-Owner'!V35</f>
        <v>-142.23246515729761</v>
      </c>
      <c r="U10" s="712">
        <f>-'Depreciation-Owner'!W35</f>
        <v>-30.542683020000002</v>
      </c>
      <c r="V10" s="712">
        <f>-'Depreciation-Owner'!X35</f>
        <v>-96.366320000000016</v>
      </c>
      <c r="W10" s="712">
        <f>-'Depreciation-Owner'!Y35</f>
        <v>-269.36310021999998</v>
      </c>
      <c r="X10" s="712">
        <f>-'Depreciation-Owner'!Z35</f>
        <v>-56.708921386587946</v>
      </c>
      <c r="Y10" s="712">
        <f>-'Depreciation-Owner'!AA35</f>
        <v>-245.03860360554381</v>
      </c>
      <c r="Z10" s="712">
        <f>-'Depreciation-Owner'!AB35</f>
        <v>-32.303800338554367</v>
      </c>
      <c r="AA10" s="712">
        <f>-'Depreciation-Owner'!AC35</f>
        <v>-107.35498700554388</v>
      </c>
      <c r="AB10" s="712">
        <f>-'Depreciation-Owner'!AD35</f>
        <v>-180.57944000000001</v>
      </c>
      <c r="AC10" s="712"/>
      <c r="AD10" s="712"/>
      <c r="AE10" s="712"/>
      <c r="AF10" s="712"/>
      <c r="AG10" s="712"/>
      <c r="AH10" s="712"/>
      <c r="AI10" s="712"/>
      <c r="AJ10" s="506"/>
      <c r="AK10" s="506"/>
      <c r="AL10" s="506"/>
      <c r="AM10" s="506"/>
    </row>
    <row r="11" spans="3:39">
      <c r="C11" s="504" t="s">
        <v>490</v>
      </c>
      <c r="D11" s="501" t="s">
        <v>470</v>
      </c>
      <c r="E11" s="509">
        <f>SUM(F11:AM11)</f>
        <v>0</v>
      </c>
      <c r="F11" s="506">
        <f>-Tax!F14</f>
        <v>0</v>
      </c>
      <c r="G11" s="506">
        <f>-Tax!G14</f>
        <v>0</v>
      </c>
      <c r="H11" s="506">
        <f>-Tax!H14</f>
        <v>0</v>
      </c>
      <c r="I11" s="506">
        <f>-Tax!I14</f>
        <v>0</v>
      </c>
      <c r="J11" s="506">
        <f>-Tax!J14</f>
        <v>0</v>
      </c>
      <c r="K11" s="506">
        <f>-Tax!K14</f>
        <v>0</v>
      </c>
      <c r="L11" s="506">
        <f>-Tax!L14</f>
        <v>0</v>
      </c>
      <c r="M11" s="506">
        <f>-Tax!M14</f>
        <v>0</v>
      </c>
      <c r="N11" s="506">
        <f>-Tax!N14</f>
        <v>0</v>
      </c>
      <c r="O11" s="506">
        <f>-Tax!O14</f>
        <v>0</v>
      </c>
      <c r="P11" s="506">
        <f>-Tax!P14</f>
        <v>0</v>
      </c>
      <c r="Q11" s="506">
        <f>-Tax!Q14</f>
        <v>0</v>
      </c>
      <c r="R11" s="506">
        <f>-Tax!R14</f>
        <v>0</v>
      </c>
      <c r="S11" s="506">
        <f>-Tax!S14</f>
        <v>0</v>
      </c>
      <c r="T11" s="506">
        <f>-Tax!T14</f>
        <v>0</v>
      </c>
      <c r="U11" s="506">
        <f>-Tax!U14</f>
        <v>0</v>
      </c>
      <c r="V11" s="506">
        <f>-Tax!V14</f>
        <v>0</v>
      </c>
      <c r="W11" s="506">
        <f>-Tax!W14</f>
        <v>0</v>
      </c>
      <c r="X11" s="506">
        <f>-Tax!X14</f>
        <v>0</v>
      </c>
      <c r="Y11" s="506">
        <f>-Tax!Y14</f>
        <v>0</v>
      </c>
      <c r="Z11" s="506">
        <f>-Tax!Z14</f>
        <v>0</v>
      </c>
      <c r="AA11" s="506">
        <f>-Tax!AA14</f>
        <v>0</v>
      </c>
      <c r="AB11" s="506">
        <f>-Tax!AB14</f>
        <v>0</v>
      </c>
      <c r="AC11" s="506"/>
      <c r="AD11" s="506"/>
      <c r="AE11" s="506"/>
      <c r="AF11" s="506"/>
      <c r="AG11" s="506"/>
      <c r="AH11" s="506"/>
      <c r="AI11" s="506"/>
      <c r="AJ11" s="506"/>
      <c r="AK11" s="506"/>
      <c r="AL11" s="506"/>
      <c r="AM11" s="506"/>
    </row>
    <row r="12" spans="3:39">
      <c r="C12" s="507" t="s">
        <v>491</v>
      </c>
      <c r="D12" s="508" t="s">
        <v>470</v>
      </c>
      <c r="E12" s="509">
        <f ca="1">SUM(F12:AM12)</f>
        <v>-29581.672333885981</v>
      </c>
      <c r="F12" s="510">
        <f t="shared" ref="F12:AB12" ca="1" si="1">SUM(F9:F11)</f>
        <v>-155.99429899999996</v>
      </c>
      <c r="G12" s="510">
        <f ca="1">SUM(G9:G11)</f>
        <v>-343.46764946670999</v>
      </c>
      <c r="H12" s="510">
        <f t="shared" ca="1" si="1"/>
        <v>-677.71389931114004</v>
      </c>
      <c r="I12" s="510">
        <f t="shared" ca="1" si="1"/>
        <v>-542.15414931113992</v>
      </c>
      <c r="J12" s="510">
        <f t="shared" ca="1" si="1"/>
        <v>-770.85922123848411</v>
      </c>
      <c r="K12" s="510">
        <f t="shared" ca="1" si="1"/>
        <v>-550.34103651910527</v>
      </c>
      <c r="L12" s="510">
        <f t="shared" ca="1" si="1"/>
        <v>-878.54084621864558</v>
      </c>
      <c r="M12" s="510">
        <f t="shared" ca="1" si="1"/>
        <v>-1748.965021968361</v>
      </c>
      <c r="N12" s="510">
        <f t="shared" ca="1" si="1"/>
        <v>-1740.8088474700244</v>
      </c>
      <c r="O12" s="510">
        <f t="shared" ca="1" si="1"/>
        <v>-1910.0042504187559</v>
      </c>
      <c r="P12" s="510">
        <f t="shared" ca="1" si="1"/>
        <v>-2009.9673483438605</v>
      </c>
      <c r="Q12" s="510">
        <f t="shared" ca="1" si="1"/>
        <v>-1872.2386588856216</v>
      </c>
      <c r="R12" s="510">
        <f t="shared" ca="1" si="1"/>
        <v>-1785.9997368645265</v>
      </c>
      <c r="S12" s="510">
        <f t="shared" ca="1" si="1"/>
        <v>-1499.3754641439182</v>
      </c>
      <c r="T12" s="510">
        <f t="shared" ca="1" si="1"/>
        <v>-1523.5986195858964</v>
      </c>
      <c r="U12" s="510">
        <f t="shared" ca="1" si="1"/>
        <v>-1726.1473972103872</v>
      </c>
      <c r="V12" s="510">
        <f t="shared" ca="1" si="1"/>
        <v>-1601.6540024931787</v>
      </c>
      <c r="W12" s="510">
        <f t="shared" ca="1" si="1"/>
        <v>-1824.6196728235227</v>
      </c>
      <c r="X12" s="510">
        <f t="shared" ca="1" si="1"/>
        <v>-1894.8220655236212</v>
      </c>
      <c r="Y12" s="510">
        <f t="shared" ca="1" si="1"/>
        <v>-1915.8191886677482</v>
      </c>
      <c r="Z12" s="510">
        <f t="shared" ca="1" si="1"/>
        <v>-1227.0945985585952</v>
      </c>
      <c r="AA12" s="510">
        <f t="shared" ca="1" si="1"/>
        <v>-924.55920903204321</v>
      </c>
      <c r="AB12" s="510">
        <f t="shared" ca="1" si="1"/>
        <v>-456.92715083069049</v>
      </c>
      <c r="AC12" s="510"/>
      <c r="AD12" s="510"/>
      <c r="AE12" s="510"/>
      <c r="AF12" s="510"/>
      <c r="AG12" s="510"/>
      <c r="AH12" s="510"/>
      <c r="AI12" s="510"/>
      <c r="AJ12" s="510"/>
      <c r="AK12" s="510"/>
      <c r="AL12" s="510"/>
      <c r="AM12" s="510"/>
    </row>
    <row r="13" spans="3:39" s="484" customFormat="1" collapsed="1">
      <c r="C13" s="485" t="s">
        <v>492</v>
      </c>
      <c r="D13" s="503"/>
      <c r="E13" s="503"/>
      <c r="F13" s="503"/>
      <c r="G13" s="503"/>
      <c r="H13" s="503"/>
      <c r="I13" s="503"/>
      <c r="J13" s="503"/>
      <c r="K13" s="503"/>
      <c r="L13" s="503"/>
      <c r="M13" s="503"/>
      <c r="N13" s="503"/>
      <c r="O13" s="503"/>
      <c r="P13" s="503"/>
      <c r="Q13" s="503"/>
      <c r="R13" s="503"/>
      <c r="S13" s="503"/>
      <c r="T13" s="503"/>
      <c r="U13" s="503"/>
      <c r="V13" s="503"/>
      <c r="W13" s="503"/>
      <c r="X13" s="503"/>
      <c r="Y13" s="503"/>
      <c r="Z13" s="503"/>
      <c r="AA13" s="503"/>
      <c r="AB13" s="503"/>
      <c r="AC13" s="503"/>
      <c r="AD13" s="503"/>
      <c r="AE13" s="503"/>
      <c r="AF13" s="503"/>
      <c r="AG13" s="503"/>
      <c r="AH13" s="503"/>
      <c r="AI13" s="503"/>
      <c r="AJ13" s="503"/>
      <c r="AK13" s="503"/>
      <c r="AL13" s="503"/>
      <c r="AM13" s="503"/>
    </row>
    <row r="14" spans="3:39">
      <c r="C14" s="504" t="s">
        <v>493</v>
      </c>
      <c r="D14" s="501" t="s">
        <v>470</v>
      </c>
      <c r="E14" s="509">
        <f ca="1">SUM(F14:AM14)</f>
        <v>6347.4391659268331</v>
      </c>
      <c r="F14" s="506">
        <f ca="1">F7+F12</f>
        <v>-155.99429899999996</v>
      </c>
      <c r="G14" s="506">
        <f ca="1">G7+G12</f>
        <v>-343.46764946670999</v>
      </c>
      <c r="H14" s="506">
        <f t="shared" ref="H14:AB14" ca="1" si="2">H7+H12</f>
        <v>-677.71389931114004</v>
      </c>
      <c r="I14" s="506">
        <f t="shared" ca="1" si="2"/>
        <v>-542.15414931113992</v>
      </c>
      <c r="J14" s="506">
        <f t="shared" ca="1" si="2"/>
        <v>-440.61926169288404</v>
      </c>
      <c r="K14" s="506">
        <f t="shared" ca="1" si="2"/>
        <v>110.1387413944949</v>
      </c>
      <c r="L14" s="506">
        <f t="shared" ca="1" si="2"/>
        <v>442.41927431895488</v>
      </c>
      <c r="M14" s="506">
        <f t="shared" ca="1" si="2"/>
        <v>232.47473530523939</v>
      </c>
      <c r="N14" s="506">
        <f t="shared" ca="1" si="2"/>
        <v>735.99035500037644</v>
      </c>
      <c r="O14" s="506">
        <f t="shared" ca="1" si="2"/>
        <v>566.79692853804499</v>
      </c>
      <c r="P14" s="506">
        <f ca="1">P7+P12</f>
        <v>466.83241883694018</v>
      </c>
      <c r="Q14" s="506">
        <f t="shared" ca="1" si="2"/>
        <v>604.56082593997917</v>
      </c>
      <c r="R14" s="506">
        <f t="shared" ca="1" si="2"/>
        <v>690.80087738187399</v>
      </c>
      <c r="S14" s="506">
        <f t="shared" ca="1" si="2"/>
        <v>977.42373832648263</v>
      </c>
      <c r="T14" s="506">
        <f t="shared" ca="1" si="2"/>
        <v>953.2008652397044</v>
      </c>
      <c r="U14" s="506">
        <f t="shared" ca="1" si="2"/>
        <v>750.65293468081336</v>
      </c>
      <c r="V14" s="506">
        <f t="shared" ca="1" si="2"/>
        <v>875.14858823962186</v>
      </c>
      <c r="W14" s="506">
        <f t="shared" ca="1" si="2"/>
        <v>652.18065906767788</v>
      </c>
      <c r="X14" s="506">
        <f t="shared" ca="1" si="2"/>
        <v>-87.62182335882062</v>
      </c>
      <c r="Y14" s="506">
        <f t="shared" ca="1" si="2"/>
        <v>-108.61915252374774</v>
      </c>
      <c r="Z14" s="506">
        <f t="shared" ca="1" si="2"/>
        <v>424.10534034700527</v>
      </c>
      <c r="AA14" s="506">
        <f t="shared" ca="1" si="2"/>
        <v>313.84123926875725</v>
      </c>
      <c r="AB14" s="506">
        <f t="shared" ca="1" si="2"/>
        <v>-92.938121294690404</v>
      </c>
      <c r="AC14" s="506"/>
      <c r="AD14" s="506"/>
      <c r="AE14" s="506"/>
      <c r="AF14" s="506"/>
      <c r="AG14" s="506"/>
      <c r="AH14" s="506"/>
      <c r="AI14" s="506"/>
      <c r="AJ14" s="506"/>
      <c r="AK14" s="506"/>
      <c r="AL14" s="506"/>
      <c r="AM14" s="506"/>
    </row>
    <row r="15" spans="3:39">
      <c r="C15" s="504" t="s">
        <v>494</v>
      </c>
      <c r="D15" s="501" t="s">
        <v>470</v>
      </c>
      <c r="E15" s="505"/>
      <c r="F15" s="511">
        <f ca="1">F14</f>
        <v>-155.99429899999996</v>
      </c>
      <c r="G15" s="511">
        <f ca="1">F15+G14</f>
        <v>-499.46194846670994</v>
      </c>
      <c r="H15" s="511">
        <f t="shared" ref="H15:K15" ca="1" si="3">G15+H14</f>
        <v>-1177.1758477778499</v>
      </c>
      <c r="I15" s="511">
        <f t="shared" ca="1" si="3"/>
        <v>-1719.3299970889898</v>
      </c>
      <c r="J15" s="511">
        <f t="shared" ca="1" si="3"/>
        <v>-2159.9492587818741</v>
      </c>
      <c r="K15" s="511">
        <f t="shared" ca="1" si="3"/>
        <v>-2049.8105173873792</v>
      </c>
      <c r="L15" s="511">
        <f t="shared" ref="L15" ca="1" si="4">K15+L14</f>
        <v>-1607.3912430684243</v>
      </c>
      <c r="M15" s="511">
        <f t="shared" ref="M15" ca="1" si="5">L15+M14</f>
        <v>-1374.9165077631849</v>
      </c>
      <c r="N15" s="511">
        <f t="shared" ref="N15" ca="1" si="6">M15+N14</f>
        <v>-638.92615276280844</v>
      </c>
      <c r="O15" s="511">
        <f t="shared" ref="O15" ca="1" si="7">N15+O14</f>
        <v>-72.129224224763448</v>
      </c>
      <c r="P15" s="511">
        <f t="shared" ref="P15" ca="1" si="8">O15+P14</f>
        <v>394.70319461217673</v>
      </c>
      <c r="Q15" s="511">
        <f t="shared" ref="Q15" ca="1" si="9">P15+Q14</f>
        <v>999.2640205521559</v>
      </c>
      <c r="R15" s="511">
        <f t="shared" ref="R15" ca="1" si="10">Q15+R14</f>
        <v>1690.0648979340299</v>
      </c>
      <c r="S15" s="511">
        <f t="shared" ref="S15" ca="1" si="11">R15+S14</f>
        <v>2667.4886362605125</v>
      </c>
      <c r="T15" s="511">
        <f t="shared" ref="T15" ca="1" si="12">S15+T14</f>
        <v>3620.6895015002169</v>
      </c>
      <c r="U15" s="511">
        <f t="shared" ref="U15" ca="1" si="13">T15+U14</f>
        <v>4371.3424361810303</v>
      </c>
      <c r="V15" s="511">
        <f t="shared" ref="V15" ca="1" si="14">U15+V14</f>
        <v>5246.4910244206521</v>
      </c>
      <c r="W15" s="511">
        <f t="shared" ref="W15" ca="1" si="15">V15+W14</f>
        <v>5898.67168348833</v>
      </c>
      <c r="X15" s="511">
        <f t="shared" ref="X15" ca="1" si="16">W15+X14</f>
        <v>5811.0498601295094</v>
      </c>
      <c r="Y15" s="511">
        <f t="shared" ref="Y15" ca="1" si="17">X15+Y14</f>
        <v>5702.4307076057612</v>
      </c>
      <c r="Z15" s="511">
        <f t="shared" ref="Z15" ca="1" si="18">Y15+Z14</f>
        <v>6126.5360479527662</v>
      </c>
      <c r="AA15" s="511">
        <f t="shared" ref="AA15" ca="1" si="19">Z15+AA14</f>
        <v>6440.3772872215231</v>
      </c>
      <c r="AB15" s="511">
        <f t="shared" ref="AB15" ca="1" si="20">AA15+AB14</f>
        <v>6347.4391659268331</v>
      </c>
      <c r="AC15" s="511"/>
      <c r="AD15" s="511"/>
      <c r="AE15" s="511"/>
      <c r="AF15" s="511"/>
      <c r="AG15" s="511"/>
      <c r="AH15" s="511"/>
      <c r="AI15" s="511"/>
      <c r="AJ15" s="511"/>
      <c r="AK15" s="511"/>
      <c r="AL15" s="511"/>
      <c r="AM15" s="511"/>
    </row>
    <row r="18" spans="3:28">
      <c r="C18" s="512" t="s">
        <v>447</v>
      </c>
      <c r="D18" s="513">
        <f ca="1">IFERROR(IRR(F14:AB14),"-")</f>
        <v>0.15815963774079345</v>
      </c>
      <c r="E18" s="505"/>
      <c r="F18" s="506"/>
      <c r="G18" s="506"/>
      <c r="H18" s="506"/>
      <c r="I18" s="506"/>
      <c r="J18" s="506"/>
      <c r="K18" s="506"/>
      <c r="L18" s="506"/>
      <c r="M18" s="506"/>
      <c r="N18" s="506"/>
      <c r="O18" s="506"/>
      <c r="P18" s="506"/>
      <c r="Q18" s="506"/>
      <c r="R18" s="506"/>
      <c r="S18" s="506"/>
      <c r="T18" s="506"/>
      <c r="U18" s="506"/>
      <c r="V18" s="506"/>
      <c r="W18" s="506"/>
      <c r="X18" s="506"/>
      <c r="Y18" s="506"/>
      <c r="Z18" s="506"/>
      <c r="AA18" s="506"/>
      <c r="AB18" s="506"/>
    </row>
    <row r="19" spans="3:28">
      <c r="C19" s="512" t="s">
        <v>448</v>
      </c>
      <c r="D19" s="514">
        <f ca="1">NPV(E19,F14:AB14)</f>
        <v>900.32263615891577</v>
      </c>
      <c r="E19" s="615">
        <v>0.1</v>
      </c>
      <c r="F19" s="506"/>
      <c r="G19" s="506"/>
      <c r="H19" s="506"/>
      <c r="I19" s="506"/>
      <c r="J19" s="506"/>
      <c r="K19" s="506"/>
      <c r="L19" s="506"/>
      <c r="M19" s="506"/>
      <c r="N19" s="506"/>
      <c r="O19" s="506"/>
      <c r="P19" s="506"/>
      <c r="Q19" s="506"/>
      <c r="R19" s="506"/>
      <c r="S19" s="506"/>
      <c r="T19" s="506"/>
      <c r="U19" s="506"/>
      <c r="V19" s="506"/>
      <c r="W19" s="506"/>
      <c r="X19" s="506"/>
      <c r="Y19" s="506"/>
      <c r="Z19" s="506"/>
      <c r="AA19" s="506"/>
      <c r="AB19" s="506"/>
    </row>
    <row r="20" spans="3:28">
      <c r="C20" s="512" t="s">
        <v>495</v>
      </c>
      <c r="D20" s="515">
        <f ca="1">COUNTIF(F15:AI15,"&lt;0")+INDEX(F21:AI21,COUNTIF(F21:AI21,"&lt;0")+1)</f>
        <v>10</v>
      </c>
      <c r="E20" s="501" t="s">
        <v>496</v>
      </c>
      <c r="F20" s="506"/>
      <c r="G20" s="506"/>
      <c r="H20" s="506"/>
      <c r="I20" s="506"/>
      <c r="J20" s="506"/>
      <c r="K20" s="506"/>
      <c r="L20" s="506"/>
      <c r="M20" s="506"/>
      <c r="N20" s="506"/>
      <c r="O20" s="506"/>
      <c r="P20" s="506"/>
      <c r="Q20" s="506"/>
      <c r="R20" s="506"/>
      <c r="S20" s="506"/>
      <c r="T20" s="506"/>
      <c r="U20" s="506"/>
      <c r="V20" s="506"/>
      <c r="W20" s="506"/>
      <c r="X20" s="506"/>
      <c r="Y20" s="506"/>
      <c r="Z20" s="506"/>
      <c r="AA20" s="506"/>
      <c r="AB20" s="506"/>
    </row>
    <row r="21" spans="3:28">
      <c r="C21" s="512"/>
      <c r="D21" s="515">
        <f ca="1">COUNTIF(F15:AI15,"&lt;0")+INDEX(F21:AI21,COUNTIF(F21:AI21,"&lt;0")+1)-COUNT(F15:I15)</f>
        <v>6</v>
      </c>
      <c r="E21" s="501" t="s">
        <v>497</v>
      </c>
      <c r="F21" s="547">
        <f ca="1">IF(F14&lt;0,0,IFERROR(IF(F15&lt;0,0,ABS(F15)/F14),0))</f>
        <v>0</v>
      </c>
      <c r="G21" s="547">
        <f t="shared" ref="G21:AB21" ca="1" si="21">IF(G14&lt;0,0,IFERROR(IF(G15&lt;0,0,ABS(G15)/G14),0))</f>
        <v>0</v>
      </c>
      <c r="H21" s="547">
        <f t="shared" ca="1" si="21"/>
        <v>0</v>
      </c>
      <c r="I21" s="547">
        <f t="shared" ca="1" si="21"/>
        <v>0</v>
      </c>
      <c r="J21" s="547">
        <f t="shared" ca="1" si="21"/>
        <v>0</v>
      </c>
      <c r="K21" s="547">
        <f t="shared" ca="1" si="21"/>
        <v>0</v>
      </c>
      <c r="L21" s="547">
        <f t="shared" ca="1" si="21"/>
        <v>0</v>
      </c>
      <c r="M21" s="547">
        <f t="shared" ca="1" si="21"/>
        <v>0</v>
      </c>
      <c r="N21" s="547">
        <f t="shared" ca="1" si="21"/>
        <v>0</v>
      </c>
      <c r="O21" s="547">
        <f ca="1">IF(O14&lt;0,0,IFERROR(IF(O15&lt;0,0,ABS(O15)/O14),0))</f>
        <v>0</v>
      </c>
      <c r="P21" s="547">
        <f ca="1">IF(P14&lt;0,0,IFERROR(IF(P15&lt;0,0,ABS(P15)/P14),0))</f>
        <v>0.8454922552198384</v>
      </c>
      <c r="Q21" s="547">
        <f ca="1">IF(Q14&lt;0,0,IFERROR(IF(Q15&lt;0,0,ABS(Q15)/Q14),0))</f>
        <v>1.6528759021037909</v>
      </c>
      <c r="R21" s="547">
        <f t="shared" ca="1" si="21"/>
        <v>2.4465297501348768</v>
      </c>
      <c r="S21" s="547">
        <f t="shared" ca="1" si="21"/>
        <v>2.729101546917319</v>
      </c>
      <c r="T21" s="547">
        <f t="shared" ca="1" si="21"/>
        <v>3.7984538553578746</v>
      </c>
      <c r="U21" s="547">
        <f t="shared" ca="1" si="21"/>
        <v>5.823386859920527</v>
      </c>
      <c r="V21" s="547">
        <f t="shared" ca="1" si="21"/>
        <v>5.9949717052895775</v>
      </c>
      <c r="W21" s="547">
        <f t="shared" ca="1" si="21"/>
        <v>9.0445363588683403</v>
      </c>
      <c r="X21" s="547">
        <f t="shared" ca="1" si="21"/>
        <v>0</v>
      </c>
      <c r="Y21" s="547">
        <f t="shared" ca="1" si="21"/>
        <v>0</v>
      </c>
      <c r="Z21" s="547">
        <f t="shared" ca="1" si="21"/>
        <v>14.445788499008293</v>
      </c>
      <c r="AA21" s="547">
        <f t="shared" ca="1" si="21"/>
        <v>20.521131328143657</v>
      </c>
      <c r="AB21" s="547">
        <f t="shared" ca="1" si="21"/>
        <v>0</v>
      </c>
    </row>
    <row r="22" spans="3:28">
      <c r="C22" s="504"/>
      <c r="E22" s="505"/>
      <c r="F22" s="506"/>
      <c r="G22" s="506"/>
      <c r="H22" s="506"/>
      <c r="I22" s="506"/>
      <c r="J22" s="506"/>
      <c r="K22" s="506"/>
      <c r="L22" s="506"/>
      <c r="M22" s="506"/>
      <c r="N22" s="506"/>
      <c r="O22" s="506"/>
      <c r="P22" s="506"/>
      <c r="Q22" s="506"/>
      <c r="R22" s="506"/>
      <c r="S22" s="506"/>
      <c r="T22" s="506"/>
      <c r="U22" s="506"/>
      <c r="V22" s="506"/>
      <c r="W22" s="506"/>
      <c r="X22" s="506"/>
      <c r="Y22" s="506"/>
      <c r="Z22" s="506"/>
      <c r="AA22" s="506"/>
      <c r="AB22" s="506"/>
    </row>
    <row r="23" spans="3:28">
      <c r="C23" s="504"/>
      <c r="E23" s="505"/>
      <c r="F23" s="506"/>
      <c r="G23" s="506"/>
      <c r="H23" s="506"/>
      <c r="I23" s="506"/>
      <c r="J23" s="506"/>
      <c r="K23" s="506"/>
      <c r="L23" s="506"/>
      <c r="M23" s="506"/>
      <c r="N23" s="506"/>
      <c r="O23" s="506"/>
      <c r="P23" s="506"/>
      <c r="Q23" s="506"/>
      <c r="R23" s="506"/>
      <c r="S23" s="506"/>
      <c r="T23" s="506"/>
      <c r="U23" s="506"/>
      <c r="V23" s="506"/>
      <c r="W23" s="506"/>
      <c r="X23" s="506"/>
      <c r="Y23" s="506"/>
      <c r="Z23" s="506"/>
      <c r="AA23" s="506"/>
      <c r="AB23" s="506"/>
    </row>
    <row r="24" spans="3:28" s="484" customFormat="1" collapsed="1">
      <c r="C24" s="485" t="s">
        <v>498</v>
      </c>
      <c r="D24" s="503"/>
      <c r="E24" s="503"/>
      <c r="F24" s="503"/>
      <c r="G24" s="503"/>
      <c r="H24" s="503"/>
      <c r="I24" s="503"/>
      <c r="J24" s="503"/>
      <c r="K24" s="503"/>
      <c r="L24" s="503"/>
      <c r="M24" s="503"/>
      <c r="N24" s="503"/>
      <c r="O24" s="503"/>
      <c r="P24" s="503"/>
      <c r="Q24" s="503"/>
      <c r="R24" s="503"/>
      <c r="S24" s="503"/>
      <c r="T24" s="503"/>
      <c r="U24" s="503"/>
      <c r="V24" s="503"/>
      <c r="W24" s="503"/>
      <c r="X24" s="503"/>
      <c r="Y24" s="503"/>
      <c r="Z24" s="503"/>
      <c r="AA24" s="503"/>
      <c r="AB24" s="503"/>
    </row>
    <row r="25" spans="3:28">
      <c r="C25" s="504" t="s">
        <v>472</v>
      </c>
      <c r="D25" s="501" t="s">
        <v>470</v>
      </c>
      <c r="E25" s="509">
        <f>SUM(F25:AM25)</f>
        <v>35929.111499812818</v>
      </c>
      <c r="F25" s="506">
        <f>F6</f>
        <v>0</v>
      </c>
      <c r="G25" s="506">
        <f t="shared" ref="G25:AB25" si="22">G6</f>
        <v>0</v>
      </c>
      <c r="H25" s="506">
        <f t="shared" si="22"/>
        <v>0</v>
      </c>
      <c r="I25" s="506">
        <f t="shared" si="22"/>
        <v>0</v>
      </c>
      <c r="J25" s="506">
        <f t="shared" si="22"/>
        <v>330.23995954560007</v>
      </c>
      <c r="K25" s="506">
        <f t="shared" si="22"/>
        <v>660.47977791360017</v>
      </c>
      <c r="L25" s="506">
        <f t="shared" si="22"/>
        <v>1320.9601205376005</v>
      </c>
      <c r="M25" s="506">
        <f t="shared" si="22"/>
        <v>1981.4397572736004</v>
      </c>
      <c r="N25" s="506">
        <f t="shared" si="22"/>
        <v>2476.7992024704008</v>
      </c>
      <c r="O25" s="506">
        <f t="shared" si="22"/>
        <v>2476.8011789568009</v>
      </c>
      <c r="P25" s="506">
        <f t="shared" si="22"/>
        <v>2476.7997671808007</v>
      </c>
      <c r="Q25" s="506">
        <f t="shared" si="22"/>
        <v>2476.7994848256008</v>
      </c>
      <c r="R25" s="506">
        <f t="shared" si="22"/>
        <v>2476.8006142464005</v>
      </c>
      <c r="S25" s="506">
        <f t="shared" si="22"/>
        <v>2476.7992024704008</v>
      </c>
      <c r="T25" s="506">
        <f t="shared" si="22"/>
        <v>2476.7994848256008</v>
      </c>
      <c r="U25" s="506">
        <f t="shared" si="22"/>
        <v>2476.8003318912006</v>
      </c>
      <c r="V25" s="506">
        <f t="shared" si="22"/>
        <v>2476.8025907328006</v>
      </c>
      <c r="W25" s="506">
        <f t="shared" si="22"/>
        <v>2476.8003318912006</v>
      </c>
      <c r="X25" s="506">
        <f t="shared" si="22"/>
        <v>1807.2002421648006</v>
      </c>
      <c r="Y25" s="506">
        <f t="shared" si="22"/>
        <v>1807.2000361440005</v>
      </c>
      <c r="Z25" s="506">
        <f t="shared" si="22"/>
        <v>1651.1999389056004</v>
      </c>
      <c r="AA25" s="506">
        <f t="shared" si="22"/>
        <v>1238.4004483008005</v>
      </c>
      <c r="AB25" s="506">
        <f t="shared" si="22"/>
        <v>363.98902953600009</v>
      </c>
    </row>
    <row r="26" spans="3:28">
      <c r="C26" s="504" t="s">
        <v>499</v>
      </c>
      <c r="D26" s="501" t="s">
        <v>470</v>
      </c>
      <c r="E26" s="509">
        <f ca="1">SUM(F26:AM26)</f>
        <v>0</v>
      </c>
      <c r="F26" s="506">
        <f ca="1">'Borrowings-Owner'!G23+'Borrowings-Owner'!G67+'Borrowings-Owner'!G88</f>
        <v>0</v>
      </c>
      <c r="G26" s="506">
        <f ca="1">'Borrowings-Owner'!H23+'Borrowings-Owner'!H67+'Borrowings-Owner'!H88</f>
        <v>0</v>
      </c>
      <c r="H26" s="506">
        <f ca="1">'Borrowings-Owner'!I23+'Borrowings-Owner'!I67+'Borrowings-Owner'!I88</f>
        <v>0</v>
      </c>
      <c r="I26" s="506">
        <f ca="1">'Borrowings-Owner'!J23+'Borrowings-Owner'!J67+'Borrowings-Owner'!J88</f>
        <v>0</v>
      </c>
      <c r="J26" s="506">
        <f ca="1">'Borrowings-Owner'!K23+'Borrowings-Owner'!K67+'Borrowings-Owner'!K88</f>
        <v>0</v>
      </c>
      <c r="K26" s="506">
        <f ca="1">'Borrowings-Owner'!L23+'Borrowings-Owner'!L67+'Borrowings-Owner'!L88</f>
        <v>0</v>
      </c>
      <c r="L26" s="506">
        <f ca="1">'Borrowings-Owner'!M23+'Borrowings-Owner'!M67+'Borrowings-Owner'!M88</f>
        <v>0</v>
      </c>
      <c r="M26" s="506">
        <f ca="1">'Borrowings-Owner'!N23+'Borrowings-Owner'!N67+'Borrowings-Owner'!N88</f>
        <v>0</v>
      </c>
      <c r="N26" s="506">
        <f ca="1">'Borrowings-Owner'!O23+'Borrowings-Owner'!O67+'Borrowings-Owner'!O88</f>
        <v>0</v>
      </c>
      <c r="O26" s="506">
        <f ca="1">'Borrowings-Owner'!P23+'Borrowings-Owner'!P67+'Borrowings-Owner'!P88</f>
        <v>0</v>
      </c>
      <c r="P26" s="506">
        <f ca="1">'Borrowings-Owner'!Q23+'Borrowings-Owner'!Q67+'Borrowings-Owner'!Q88</f>
        <v>0</v>
      </c>
      <c r="Q26" s="506">
        <f ca="1">'Borrowings-Owner'!R23+'Borrowings-Owner'!R67+'Borrowings-Owner'!R88</f>
        <v>0</v>
      </c>
      <c r="R26" s="506">
        <f ca="1">'Borrowings-Owner'!S23+'Borrowings-Owner'!S67+'Borrowings-Owner'!S88</f>
        <v>0</v>
      </c>
      <c r="S26" s="506">
        <f ca="1">'Borrowings-Owner'!T23+'Borrowings-Owner'!T67+'Borrowings-Owner'!T88</f>
        <v>0</v>
      </c>
      <c r="T26" s="506">
        <f ca="1">'Borrowings-Owner'!U23+'Borrowings-Owner'!U67+'Borrowings-Owner'!U88</f>
        <v>0</v>
      </c>
      <c r="U26" s="506">
        <f ca="1">'Borrowings-Owner'!V23+'Borrowings-Owner'!V67+'Borrowings-Owner'!V88</f>
        <v>0</v>
      </c>
      <c r="V26" s="506">
        <f ca="1">'Borrowings-Owner'!W23+'Borrowings-Owner'!W67+'Borrowings-Owner'!W88</f>
        <v>0</v>
      </c>
      <c r="W26" s="506">
        <f ca="1">'Borrowings-Owner'!X23+'Borrowings-Owner'!X67+'Borrowings-Owner'!X88</f>
        <v>0</v>
      </c>
      <c r="X26" s="506">
        <f ca="1">'Borrowings-Owner'!Y23+'Borrowings-Owner'!Y67+'Borrowings-Owner'!Y88</f>
        <v>0</v>
      </c>
      <c r="Y26" s="506">
        <f ca="1">'Borrowings-Owner'!Z23+'Borrowings-Owner'!Z67+'Borrowings-Owner'!Z88</f>
        <v>0</v>
      </c>
      <c r="Z26" s="506">
        <f ca="1">'Borrowings-Owner'!AA23+'Borrowings-Owner'!AA67+'Borrowings-Owner'!AA88</f>
        <v>0</v>
      </c>
      <c r="AA26" s="506">
        <f ca="1">'Borrowings-Owner'!AB23+'Borrowings-Owner'!AB67+'Borrowings-Owner'!AB88</f>
        <v>0</v>
      </c>
      <c r="AB26" s="506">
        <f ca="1">'Borrowings-Owner'!AC23+'Borrowings-Owner'!AC67+'Borrowings-Owner'!AC88</f>
        <v>0</v>
      </c>
    </row>
    <row r="27" spans="3:28">
      <c r="C27" s="507" t="s">
        <v>488</v>
      </c>
      <c r="D27" s="508" t="s">
        <v>470</v>
      </c>
      <c r="E27" s="509">
        <f ca="1">SUM(F27:AM27)</f>
        <v>35929.111499812818</v>
      </c>
      <c r="F27" s="510">
        <f ca="1">SUM(F25:F26)</f>
        <v>0</v>
      </c>
      <c r="G27" s="510">
        <f t="shared" ref="G27:AB27" ca="1" si="23">SUM(G25:G26)</f>
        <v>0</v>
      </c>
      <c r="H27" s="510">
        <f t="shared" ca="1" si="23"/>
        <v>0</v>
      </c>
      <c r="I27" s="510">
        <f t="shared" ca="1" si="23"/>
        <v>0</v>
      </c>
      <c r="J27" s="510">
        <f t="shared" ca="1" si="23"/>
        <v>330.23995954560007</v>
      </c>
      <c r="K27" s="510">
        <f t="shared" ca="1" si="23"/>
        <v>660.47977791360017</v>
      </c>
      <c r="L27" s="510">
        <f t="shared" ca="1" si="23"/>
        <v>1320.9601205376005</v>
      </c>
      <c r="M27" s="510">
        <f t="shared" ca="1" si="23"/>
        <v>1981.4397572736004</v>
      </c>
      <c r="N27" s="510">
        <f t="shared" ca="1" si="23"/>
        <v>2476.7992024704008</v>
      </c>
      <c r="O27" s="510">
        <f t="shared" ca="1" si="23"/>
        <v>2476.8011789568009</v>
      </c>
      <c r="P27" s="510">
        <f t="shared" ca="1" si="23"/>
        <v>2476.7997671808007</v>
      </c>
      <c r="Q27" s="510">
        <f t="shared" ca="1" si="23"/>
        <v>2476.7994848256008</v>
      </c>
      <c r="R27" s="510">
        <f t="shared" ca="1" si="23"/>
        <v>2476.8006142464005</v>
      </c>
      <c r="S27" s="510">
        <f t="shared" ca="1" si="23"/>
        <v>2476.7992024704008</v>
      </c>
      <c r="T27" s="510">
        <f t="shared" ca="1" si="23"/>
        <v>2476.7994848256008</v>
      </c>
      <c r="U27" s="510">
        <f t="shared" ca="1" si="23"/>
        <v>2476.8003318912006</v>
      </c>
      <c r="V27" s="510">
        <f t="shared" ca="1" si="23"/>
        <v>2476.8025907328006</v>
      </c>
      <c r="W27" s="510">
        <f t="shared" ca="1" si="23"/>
        <v>2476.8003318912006</v>
      </c>
      <c r="X27" s="510">
        <f t="shared" ca="1" si="23"/>
        <v>1807.2002421648006</v>
      </c>
      <c r="Y27" s="510">
        <f t="shared" ca="1" si="23"/>
        <v>1807.2000361440005</v>
      </c>
      <c r="Z27" s="510">
        <f t="shared" ca="1" si="23"/>
        <v>1651.1999389056004</v>
      </c>
      <c r="AA27" s="510">
        <f t="shared" ca="1" si="23"/>
        <v>1238.4004483008005</v>
      </c>
      <c r="AB27" s="510">
        <f t="shared" ca="1" si="23"/>
        <v>363.98902953600009</v>
      </c>
    </row>
    <row r="28" spans="3:28" s="484" customFormat="1" collapsed="1">
      <c r="C28" s="485" t="s">
        <v>500</v>
      </c>
      <c r="D28" s="503"/>
      <c r="E28" s="503"/>
      <c r="F28" s="503"/>
      <c r="G28" s="503"/>
      <c r="H28" s="503"/>
      <c r="I28" s="503"/>
      <c r="J28" s="503"/>
      <c r="K28" s="503"/>
      <c r="L28" s="503"/>
      <c r="M28" s="503"/>
      <c r="N28" s="503"/>
      <c r="O28" s="503"/>
      <c r="P28" s="503"/>
      <c r="Q28" s="503"/>
      <c r="R28" s="503"/>
      <c r="S28" s="503"/>
      <c r="T28" s="503"/>
      <c r="U28" s="503"/>
      <c r="V28" s="503"/>
      <c r="W28" s="503"/>
      <c r="X28" s="503"/>
      <c r="Y28" s="503"/>
      <c r="Z28" s="503"/>
      <c r="AA28" s="503"/>
      <c r="AB28" s="503"/>
    </row>
    <row r="29" spans="3:28">
      <c r="C29" s="504" t="s">
        <v>474</v>
      </c>
      <c r="D29" s="501" t="s">
        <v>470</v>
      </c>
      <c r="E29" s="509">
        <f t="shared" ref="E29:E34" ca="1" si="24">SUM(F29:AM29)</f>
        <v>-23147.946835679882</v>
      </c>
      <c r="F29" s="506">
        <f t="shared" ref="F29:AB30" si="25">F9</f>
        <v>0</v>
      </c>
      <c r="G29" s="506">
        <f t="shared" si="25"/>
        <v>0</v>
      </c>
      <c r="H29" s="506">
        <f t="shared" si="25"/>
        <v>0</v>
      </c>
      <c r="I29" s="506">
        <f t="shared" si="25"/>
        <v>0</v>
      </c>
      <c r="J29" s="506">
        <f t="shared" ca="1" si="25"/>
        <v>-258.822526059903</v>
      </c>
      <c r="K29" s="506">
        <f t="shared" ca="1" si="25"/>
        <v>-364.52802932807941</v>
      </c>
      <c r="L29" s="506">
        <f t="shared" ca="1" si="25"/>
        <v>-664.51221334178933</v>
      </c>
      <c r="M29" s="506">
        <f t="shared" ca="1" si="25"/>
        <v>-1161.1992383490151</v>
      </c>
      <c r="N29" s="506">
        <f t="shared" ca="1" si="25"/>
        <v>-1412.8168230435731</v>
      </c>
      <c r="O29" s="506">
        <f t="shared" ca="1" si="25"/>
        <v>-1384.5623907635795</v>
      </c>
      <c r="P29" s="506">
        <f t="shared" ca="1" si="25"/>
        <v>-1681.3983402886843</v>
      </c>
      <c r="Q29" s="506">
        <f t="shared" ca="1" si="25"/>
        <v>-1472.057355491891</v>
      </c>
      <c r="R29" s="506">
        <f t="shared" ca="1" si="25"/>
        <v>-1433.6977223810368</v>
      </c>
      <c r="S29" s="506">
        <f t="shared" ca="1" si="25"/>
        <v>-1379.6006126401719</v>
      </c>
      <c r="T29" s="506">
        <f t="shared" ca="1" si="25"/>
        <v>-1381.3661544285987</v>
      </c>
      <c r="U29" s="506">
        <f t="shared" ca="1" si="25"/>
        <v>-1695.6047141903873</v>
      </c>
      <c r="V29" s="506">
        <f t="shared" ca="1" si="25"/>
        <v>-1505.2876824931786</v>
      </c>
      <c r="W29" s="506">
        <f t="shared" ca="1" si="25"/>
        <v>-1555.2565726035227</v>
      </c>
      <c r="X29" s="506">
        <f t="shared" ca="1" si="25"/>
        <v>-1838.1131441370333</v>
      </c>
      <c r="Y29" s="506">
        <f t="shared" ca="1" si="25"/>
        <v>-1670.7805850622044</v>
      </c>
      <c r="Z29" s="506">
        <f t="shared" ca="1" si="25"/>
        <v>-1194.7907982200409</v>
      </c>
      <c r="AA29" s="506">
        <f t="shared" ca="1" si="25"/>
        <v>-817.20422202649934</v>
      </c>
      <c r="AB29" s="506">
        <f t="shared" ca="1" si="25"/>
        <v>-276.34771083069046</v>
      </c>
    </row>
    <row r="30" spans="3:28">
      <c r="C30" s="504" t="s">
        <v>450</v>
      </c>
      <c r="D30" s="501" t="s">
        <v>470</v>
      </c>
      <c r="E30" s="509">
        <f t="shared" ca="1" si="24"/>
        <v>-6433.7254982060995</v>
      </c>
      <c r="F30" s="506">
        <f ca="1">F10</f>
        <v>-155.99429899999996</v>
      </c>
      <c r="G30" s="506">
        <f t="shared" ca="1" si="25"/>
        <v>-343.46764946670999</v>
      </c>
      <c r="H30" s="506">
        <f t="shared" ca="1" si="25"/>
        <v>-677.71389931114004</v>
      </c>
      <c r="I30" s="506">
        <f t="shared" ca="1" si="25"/>
        <v>-542.15414931113992</v>
      </c>
      <c r="J30" s="506">
        <f t="shared" si="25"/>
        <v>-512.03669517858111</v>
      </c>
      <c r="K30" s="506">
        <f t="shared" si="25"/>
        <v>-185.81300719102592</v>
      </c>
      <c r="L30" s="506">
        <f t="shared" si="25"/>
        <v>-214.02863287685622</v>
      </c>
      <c r="M30" s="506">
        <f t="shared" si="25"/>
        <v>-587.76578361934594</v>
      </c>
      <c r="N30" s="506">
        <f t="shared" si="25"/>
        <v>-327.99202442645139</v>
      </c>
      <c r="O30" s="506">
        <f t="shared" si="25"/>
        <v>-525.44185965517624</v>
      </c>
      <c r="P30" s="506">
        <f t="shared" si="25"/>
        <v>-328.5690080551762</v>
      </c>
      <c r="Q30" s="506">
        <f t="shared" si="25"/>
        <v>-400.18130339373062</v>
      </c>
      <c r="R30" s="506">
        <f t="shared" si="25"/>
        <v>-352.30201448348981</v>
      </c>
      <c r="S30" s="506">
        <f t="shared" si="25"/>
        <v>-119.77485150374628</v>
      </c>
      <c r="T30" s="506">
        <f t="shared" si="25"/>
        <v>-142.23246515729761</v>
      </c>
      <c r="U30" s="506">
        <f t="shared" si="25"/>
        <v>-30.542683020000002</v>
      </c>
      <c r="V30" s="506">
        <f t="shared" si="25"/>
        <v>-96.366320000000016</v>
      </c>
      <c r="W30" s="506">
        <f t="shared" si="25"/>
        <v>-269.36310021999998</v>
      </c>
      <c r="X30" s="506">
        <f t="shared" si="25"/>
        <v>-56.708921386587946</v>
      </c>
      <c r="Y30" s="506">
        <f t="shared" si="25"/>
        <v>-245.03860360554381</v>
      </c>
      <c r="Z30" s="506">
        <f t="shared" si="25"/>
        <v>-32.303800338554367</v>
      </c>
      <c r="AA30" s="506">
        <f t="shared" si="25"/>
        <v>-107.35498700554388</v>
      </c>
      <c r="AB30" s="506">
        <f t="shared" si="25"/>
        <v>-180.57944000000001</v>
      </c>
    </row>
    <row r="31" spans="3:28" s="516" customFormat="1">
      <c r="C31" s="504" t="s">
        <v>490</v>
      </c>
      <c r="D31" s="501" t="s">
        <v>470</v>
      </c>
      <c r="E31" s="509">
        <f t="shared" si="24"/>
        <v>0</v>
      </c>
      <c r="F31" s="506">
        <f>-Tax!F14</f>
        <v>0</v>
      </c>
      <c r="G31" s="506">
        <f>-Tax!G14</f>
        <v>0</v>
      </c>
      <c r="H31" s="506">
        <f>-Tax!H14</f>
        <v>0</v>
      </c>
      <c r="I31" s="506">
        <f>-Tax!I14</f>
        <v>0</v>
      </c>
      <c r="J31" s="506">
        <f>-Tax!J14</f>
        <v>0</v>
      </c>
      <c r="K31" s="506">
        <f>-Tax!K14</f>
        <v>0</v>
      </c>
      <c r="L31" s="506">
        <f>-Tax!L14</f>
        <v>0</v>
      </c>
      <c r="M31" s="506">
        <f>-Tax!M14</f>
        <v>0</v>
      </c>
      <c r="N31" s="506">
        <f>-Tax!N14</f>
        <v>0</v>
      </c>
      <c r="O31" s="506">
        <f>-Tax!O14</f>
        <v>0</v>
      </c>
      <c r="P31" s="506">
        <f>-Tax!P14</f>
        <v>0</v>
      </c>
      <c r="Q31" s="506">
        <f>-Tax!Q14</f>
        <v>0</v>
      </c>
      <c r="R31" s="506">
        <f>-Tax!R14</f>
        <v>0</v>
      </c>
      <c r="S31" s="506">
        <f>-Tax!S14</f>
        <v>0</v>
      </c>
      <c r="T31" s="506">
        <f>-Tax!T14</f>
        <v>0</v>
      </c>
      <c r="U31" s="506">
        <f>-Tax!U14</f>
        <v>0</v>
      </c>
      <c r="V31" s="506">
        <f>-Tax!V14</f>
        <v>0</v>
      </c>
      <c r="W31" s="506">
        <f>-Tax!W14</f>
        <v>0</v>
      </c>
      <c r="X31" s="506">
        <f>-Tax!X14</f>
        <v>0</v>
      </c>
      <c r="Y31" s="506">
        <f>-Tax!Y14</f>
        <v>0</v>
      </c>
      <c r="Z31" s="506">
        <f>-Tax!Z14</f>
        <v>0</v>
      </c>
      <c r="AA31" s="506">
        <f>-Tax!AA14</f>
        <v>0</v>
      </c>
      <c r="AB31" s="506">
        <f>-Tax!AB14</f>
        <v>0</v>
      </c>
    </row>
    <row r="32" spans="3:28" s="516" customFormat="1">
      <c r="C32" s="504" t="s">
        <v>501</v>
      </c>
      <c r="D32" s="501" t="s">
        <v>470</v>
      </c>
      <c r="E32" s="509">
        <f t="shared" ca="1" si="24"/>
        <v>0</v>
      </c>
      <c r="F32" s="506">
        <f ca="1">'P&amp;L'!G31</f>
        <v>0</v>
      </c>
      <c r="G32" s="506">
        <f ca="1">'P&amp;L'!H31</f>
        <v>0</v>
      </c>
      <c r="H32" s="506">
        <f ca="1">'P&amp;L'!I31</f>
        <v>0</v>
      </c>
      <c r="I32" s="506">
        <f ca="1">'P&amp;L'!J31</f>
        <v>0</v>
      </c>
      <c r="J32" s="506">
        <f ca="1">'P&amp;L'!K31</f>
        <v>0</v>
      </c>
      <c r="K32" s="506">
        <f ca="1">'P&amp;L'!L31</f>
        <v>0</v>
      </c>
      <c r="L32" s="506">
        <f ca="1">'P&amp;L'!M31</f>
        <v>0</v>
      </c>
      <c r="M32" s="506">
        <f ca="1">'P&amp;L'!N31</f>
        <v>0</v>
      </c>
      <c r="N32" s="506">
        <f ca="1">'P&amp;L'!O31</f>
        <v>0</v>
      </c>
      <c r="O32" s="506">
        <f ca="1">'P&amp;L'!P31</f>
        <v>0</v>
      </c>
      <c r="P32" s="506">
        <f ca="1">'P&amp;L'!Q31</f>
        <v>0</v>
      </c>
      <c r="Q32" s="506">
        <f ca="1">'P&amp;L'!R31</f>
        <v>0</v>
      </c>
      <c r="R32" s="506">
        <f ca="1">'P&amp;L'!S31</f>
        <v>0</v>
      </c>
      <c r="S32" s="506">
        <f ca="1">'P&amp;L'!T31</f>
        <v>0</v>
      </c>
      <c r="T32" s="506">
        <f ca="1">'P&amp;L'!U31</f>
        <v>0</v>
      </c>
      <c r="U32" s="506">
        <f ca="1">'P&amp;L'!V31</f>
        <v>0</v>
      </c>
      <c r="V32" s="506">
        <f ca="1">'P&amp;L'!W31</f>
        <v>0</v>
      </c>
      <c r="W32" s="506">
        <f ca="1">'P&amp;L'!X31</f>
        <v>0</v>
      </c>
      <c r="X32" s="506">
        <f ca="1">'P&amp;L'!Y31</f>
        <v>0</v>
      </c>
      <c r="Y32" s="506">
        <f ca="1">'P&amp;L'!Z31</f>
        <v>0</v>
      </c>
      <c r="Z32" s="506">
        <f ca="1">'P&amp;L'!AA31</f>
        <v>0</v>
      </c>
      <c r="AA32" s="506">
        <f ca="1">'P&amp;L'!AB31</f>
        <v>0</v>
      </c>
      <c r="AB32" s="506">
        <f ca="1">'P&amp;L'!AC31</f>
        <v>0</v>
      </c>
    </row>
    <row r="33" spans="3:28" s="516" customFormat="1">
      <c r="C33" s="504" t="s">
        <v>502</v>
      </c>
      <c r="D33" s="501" t="s">
        <v>470</v>
      </c>
      <c r="E33" s="509">
        <f t="shared" ca="1" si="24"/>
        <v>0</v>
      </c>
      <c r="F33" s="506">
        <f>-('Borrowings-Owner'!G24+'Borrowings-Owner'!G68+'Borrowings-Owner'!G89)</f>
        <v>0</v>
      </c>
      <c r="G33" s="506">
        <f ca="1">-('Borrowings-Owner'!H24+'Borrowings-Owner'!H68+'Borrowings-Owner'!H89)</f>
        <v>0</v>
      </c>
      <c r="H33" s="506">
        <f ca="1">-('Borrowings-Owner'!I24+'Borrowings-Owner'!I68+'Borrowings-Owner'!I89)</f>
        <v>0</v>
      </c>
      <c r="I33" s="506">
        <f ca="1">-('Borrowings-Owner'!J24+'Borrowings-Owner'!J68+'Borrowings-Owner'!J89)</f>
        <v>0</v>
      </c>
      <c r="J33" s="506">
        <f ca="1">-('Borrowings-Owner'!K24+'Borrowings-Owner'!K68+'Borrowings-Owner'!K89)</f>
        <v>0</v>
      </c>
      <c r="K33" s="506">
        <f ca="1">-('Borrowings-Owner'!L24+'Borrowings-Owner'!L68+'Borrowings-Owner'!L89)</f>
        <v>0</v>
      </c>
      <c r="L33" s="506">
        <f ca="1">-('Borrowings-Owner'!M24+'Borrowings-Owner'!M68+'Borrowings-Owner'!M89)</f>
        <v>0</v>
      </c>
      <c r="M33" s="506">
        <f ca="1">-('Borrowings-Owner'!N24+'Borrowings-Owner'!N68+'Borrowings-Owner'!N89)</f>
        <v>0</v>
      </c>
      <c r="N33" s="506">
        <f ca="1">-('Borrowings-Owner'!O24+'Borrowings-Owner'!O68+'Borrowings-Owner'!O89)</f>
        <v>0</v>
      </c>
      <c r="O33" s="506">
        <f ca="1">-('Borrowings-Owner'!P24+'Borrowings-Owner'!P68+'Borrowings-Owner'!P89)</f>
        <v>0</v>
      </c>
      <c r="P33" s="506">
        <f ca="1">-('Borrowings-Owner'!Q24+'Borrowings-Owner'!Q68+'Borrowings-Owner'!Q89)</f>
        <v>0</v>
      </c>
      <c r="Q33" s="506">
        <f ca="1">-('Borrowings-Owner'!R24+'Borrowings-Owner'!R68+'Borrowings-Owner'!R89)</f>
        <v>0</v>
      </c>
      <c r="R33" s="506">
        <f ca="1">-('Borrowings-Owner'!S24+'Borrowings-Owner'!S68+'Borrowings-Owner'!S89)</f>
        <v>0</v>
      </c>
      <c r="S33" s="506">
        <f ca="1">-('Borrowings-Owner'!T24+'Borrowings-Owner'!T68+'Borrowings-Owner'!T89)</f>
        <v>0</v>
      </c>
      <c r="T33" s="506">
        <f ca="1">-('Borrowings-Owner'!U24+'Borrowings-Owner'!U68+'Borrowings-Owner'!U89)</f>
        <v>0</v>
      </c>
      <c r="U33" s="506">
        <f ca="1">-('Borrowings-Owner'!V24+'Borrowings-Owner'!V68+'Borrowings-Owner'!V89)</f>
        <v>0</v>
      </c>
      <c r="V33" s="506">
        <f ca="1">-('Borrowings-Owner'!W24+'Borrowings-Owner'!W68+'Borrowings-Owner'!W89)</f>
        <v>0</v>
      </c>
      <c r="W33" s="506">
        <f ca="1">-('Borrowings-Owner'!X24+'Borrowings-Owner'!X68+'Borrowings-Owner'!X89)</f>
        <v>0</v>
      </c>
      <c r="X33" s="506">
        <f ca="1">-('Borrowings-Owner'!Y24+'Borrowings-Owner'!Y68+'Borrowings-Owner'!Y89)</f>
        <v>0</v>
      </c>
      <c r="Y33" s="506">
        <f ca="1">-('Borrowings-Owner'!Z24+'Borrowings-Owner'!Z68+'Borrowings-Owner'!Z89)</f>
        <v>0</v>
      </c>
      <c r="Z33" s="506">
        <f ca="1">-('Borrowings-Owner'!AA24+'Borrowings-Owner'!AA68+'Borrowings-Owner'!AA89)</f>
        <v>0</v>
      </c>
      <c r="AA33" s="506">
        <f ca="1">-('Borrowings-Owner'!AB24+'Borrowings-Owner'!AB68+'Borrowings-Owner'!AB89)</f>
        <v>0</v>
      </c>
      <c r="AB33" s="506">
        <f ca="1">-('Borrowings-Owner'!AC24+'Borrowings-Owner'!AC68+'Borrowings-Owner'!AC89)</f>
        <v>0</v>
      </c>
    </row>
    <row r="34" spans="3:28">
      <c r="C34" s="507" t="s">
        <v>491</v>
      </c>
      <c r="D34" s="508" t="s">
        <v>470</v>
      </c>
      <c r="E34" s="509">
        <f t="shared" ca="1" si="24"/>
        <v>-29581.672333885981</v>
      </c>
      <c r="F34" s="510">
        <f t="shared" ref="F34:AB34" ca="1" si="26">SUM(F29:F33)</f>
        <v>-155.99429899999996</v>
      </c>
      <c r="G34" s="510">
        <f ca="1">SUM(G29:G33)</f>
        <v>-343.46764946670999</v>
      </c>
      <c r="H34" s="510">
        <f t="shared" ca="1" si="26"/>
        <v>-677.71389931114004</v>
      </c>
      <c r="I34" s="510">
        <f t="shared" ca="1" si="26"/>
        <v>-542.15414931113992</v>
      </c>
      <c r="J34" s="510">
        <f t="shared" ca="1" si="26"/>
        <v>-770.85922123848411</v>
      </c>
      <c r="K34" s="510">
        <f t="shared" ca="1" si="26"/>
        <v>-550.34103651910527</v>
      </c>
      <c r="L34" s="510">
        <f t="shared" ca="1" si="26"/>
        <v>-878.54084621864558</v>
      </c>
      <c r="M34" s="510">
        <f t="shared" ca="1" si="26"/>
        <v>-1748.965021968361</v>
      </c>
      <c r="N34" s="510">
        <f t="shared" ca="1" si="26"/>
        <v>-1740.8088474700244</v>
      </c>
      <c r="O34" s="510">
        <f t="shared" ca="1" si="26"/>
        <v>-1910.0042504187559</v>
      </c>
      <c r="P34" s="510">
        <f t="shared" ca="1" si="26"/>
        <v>-2009.9673483438605</v>
      </c>
      <c r="Q34" s="510">
        <f t="shared" ca="1" si="26"/>
        <v>-1872.2386588856216</v>
      </c>
      <c r="R34" s="510">
        <f t="shared" ca="1" si="26"/>
        <v>-1785.9997368645265</v>
      </c>
      <c r="S34" s="510">
        <f t="shared" ca="1" si="26"/>
        <v>-1499.3754641439182</v>
      </c>
      <c r="T34" s="510">
        <f t="shared" ca="1" si="26"/>
        <v>-1523.5986195858964</v>
      </c>
      <c r="U34" s="510">
        <f t="shared" ca="1" si="26"/>
        <v>-1726.1473972103872</v>
      </c>
      <c r="V34" s="510">
        <f t="shared" ca="1" si="26"/>
        <v>-1601.6540024931787</v>
      </c>
      <c r="W34" s="510">
        <f t="shared" ca="1" si="26"/>
        <v>-1824.6196728235227</v>
      </c>
      <c r="X34" s="510">
        <f t="shared" ca="1" si="26"/>
        <v>-1894.8220655236212</v>
      </c>
      <c r="Y34" s="510">
        <f t="shared" ca="1" si="26"/>
        <v>-1915.8191886677482</v>
      </c>
      <c r="Z34" s="510">
        <f t="shared" ca="1" si="26"/>
        <v>-1227.0945985585952</v>
      </c>
      <c r="AA34" s="510">
        <f t="shared" ca="1" si="26"/>
        <v>-924.55920903204321</v>
      </c>
      <c r="AB34" s="510">
        <f t="shared" ca="1" si="26"/>
        <v>-456.92715083069049</v>
      </c>
    </row>
    <row r="35" spans="3:28" s="484" customFormat="1" collapsed="1">
      <c r="C35" s="485" t="s">
        <v>503</v>
      </c>
      <c r="D35" s="503"/>
      <c r="E35" s="503"/>
      <c r="F35" s="503"/>
      <c r="G35" s="503"/>
      <c r="H35" s="503"/>
      <c r="I35" s="503"/>
      <c r="J35" s="503"/>
      <c r="K35" s="503"/>
      <c r="L35" s="503"/>
      <c r="M35" s="503"/>
      <c r="N35" s="503"/>
      <c r="O35" s="503"/>
      <c r="P35" s="503"/>
      <c r="Q35" s="503"/>
      <c r="R35" s="503"/>
      <c r="S35" s="503"/>
      <c r="T35" s="503"/>
      <c r="U35" s="503"/>
      <c r="V35" s="503"/>
      <c r="W35" s="503"/>
      <c r="X35" s="503"/>
      <c r="Y35" s="503"/>
      <c r="Z35" s="503"/>
      <c r="AA35" s="503"/>
      <c r="AB35" s="503"/>
    </row>
    <row r="36" spans="3:28">
      <c r="C36" s="504" t="s">
        <v>504</v>
      </c>
      <c r="D36" s="501" t="s">
        <v>470</v>
      </c>
      <c r="E36" s="509">
        <f ca="1">SUM(F36:AM36)</f>
        <v>6347.4391659268331</v>
      </c>
      <c r="F36" s="506">
        <f ca="1">F27+F34</f>
        <v>-155.99429899999996</v>
      </c>
      <c r="G36" s="506">
        <f ca="1">G27+G34</f>
        <v>-343.46764946670999</v>
      </c>
      <c r="H36" s="506">
        <f t="shared" ref="H36:AB36" ca="1" si="27">H27+H34</f>
        <v>-677.71389931114004</v>
      </c>
      <c r="I36" s="506">
        <f t="shared" ca="1" si="27"/>
        <v>-542.15414931113992</v>
      </c>
      <c r="J36" s="506">
        <f t="shared" ca="1" si="27"/>
        <v>-440.61926169288404</v>
      </c>
      <c r="K36" s="506">
        <f t="shared" ca="1" si="27"/>
        <v>110.1387413944949</v>
      </c>
      <c r="L36" s="506">
        <f t="shared" ca="1" si="27"/>
        <v>442.41927431895488</v>
      </c>
      <c r="M36" s="506">
        <f t="shared" ca="1" si="27"/>
        <v>232.47473530523939</v>
      </c>
      <c r="N36" s="506">
        <f t="shared" ca="1" si="27"/>
        <v>735.99035500037644</v>
      </c>
      <c r="O36" s="506">
        <f t="shared" ca="1" si="27"/>
        <v>566.79692853804499</v>
      </c>
      <c r="P36" s="506">
        <f t="shared" ca="1" si="27"/>
        <v>466.83241883694018</v>
      </c>
      <c r="Q36" s="506">
        <f t="shared" ca="1" si="27"/>
        <v>604.56082593997917</v>
      </c>
      <c r="R36" s="506">
        <f t="shared" ca="1" si="27"/>
        <v>690.80087738187399</v>
      </c>
      <c r="S36" s="506">
        <f t="shared" ca="1" si="27"/>
        <v>977.42373832648263</v>
      </c>
      <c r="T36" s="506">
        <f t="shared" ca="1" si="27"/>
        <v>953.2008652397044</v>
      </c>
      <c r="U36" s="506">
        <f t="shared" ca="1" si="27"/>
        <v>750.65293468081336</v>
      </c>
      <c r="V36" s="506">
        <f t="shared" ca="1" si="27"/>
        <v>875.14858823962186</v>
      </c>
      <c r="W36" s="506">
        <f t="shared" ca="1" si="27"/>
        <v>652.18065906767788</v>
      </c>
      <c r="X36" s="506">
        <f t="shared" ca="1" si="27"/>
        <v>-87.62182335882062</v>
      </c>
      <c r="Y36" s="506">
        <f t="shared" ca="1" si="27"/>
        <v>-108.61915252374774</v>
      </c>
      <c r="Z36" s="506">
        <f t="shared" ca="1" si="27"/>
        <v>424.10534034700527</v>
      </c>
      <c r="AA36" s="506">
        <f t="shared" ca="1" si="27"/>
        <v>313.84123926875725</v>
      </c>
      <c r="AB36" s="506">
        <f t="shared" ca="1" si="27"/>
        <v>-92.938121294690404</v>
      </c>
    </row>
    <row r="37" spans="3:28">
      <c r="C37" s="504" t="s">
        <v>494</v>
      </c>
      <c r="D37" s="501" t="s">
        <v>470</v>
      </c>
      <c r="E37" s="505"/>
      <c r="F37" s="511">
        <f ca="1">F36</f>
        <v>-155.99429899999996</v>
      </c>
      <c r="G37" s="511">
        <f ca="1">F37+G36</f>
        <v>-499.46194846670994</v>
      </c>
      <c r="H37" s="511">
        <f t="shared" ref="H37:I37" ca="1" si="28">G37+H36</f>
        <v>-1177.1758477778499</v>
      </c>
      <c r="I37" s="511">
        <f t="shared" ca="1" si="28"/>
        <v>-1719.3299970889898</v>
      </c>
      <c r="J37" s="511">
        <f t="shared" ref="J37" ca="1" si="29">I37+J36</f>
        <v>-2159.9492587818741</v>
      </c>
      <c r="K37" s="511">
        <f t="shared" ref="K37" ca="1" si="30">J37+K36</f>
        <v>-2049.8105173873792</v>
      </c>
      <c r="L37" s="511">
        <f t="shared" ref="L37" ca="1" si="31">K37+L36</f>
        <v>-1607.3912430684243</v>
      </c>
      <c r="M37" s="511">
        <f t="shared" ref="M37" ca="1" si="32">L37+M36</f>
        <v>-1374.9165077631849</v>
      </c>
      <c r="N37" s="511">
        <f t="shared" ref="N37" ca="1" si="33">M37+N36</f>
        <v>-638.92615276280844</v>
      </c>
      <c r="O37" s="511">
        <f t="shared" ref="O37" ca="1" si="34">N37+O36</f>
        <v>-72.129224224763448</v>
      </c>
      <c r="P37" s="511">
        <f t="shared" ref="P37" ca="1" si="35">O37+P36</f>
        <v>394.70319461217673</v>
      </c>
      <c r="Q37" s="511">
        <f t="shared" ref="Q37" ca="1" si="36">P37+Q36</f>
        <v>999.2640205521559</v>
      </c>
      <c r="R37" s="511">
        <f t="shared" ref="R37" ca="1" si="37">Q37+R36</f>
        <v>1690.0648979340299</v>
      </c>
      <c r="S37" s="511">
        <f t="shared" ref="S37" ca="1" si="38">R37+S36</f>
        <v>2667.4886362605125</v>
      </c>
      <c r="T37" s="511">
        <f t="shared" ref="T37" ca="1" si="39">S37+T36</f>
        <v>3620.6895015002169</v>
      </c>
      <c r="U37" s="511">
        <f t="shared" ref="U37" ca="1" si="40">T37+U36</f>
        <v>4371.3424361810303</v>
      </c>
      <c r="V37" s="511">
        <f t="shared" ref="V37" ca="1" si="41">U37+V36</f>
        <v>5246.4910244206521</v>
      </c>
      <c r="W37" s="511">
        <f t="shared" ref="W37" ca="1" si="42">V37+W36</f>
        <v>5898.67168348833</v>
      </c>
      <c r="X37" s="511">
        <f t="shared" ref="X37" ca="1" si="43">W37+X36</f>
        <v>5811.0498601295094</v>
      </c>
      <c r="Y37" s="511">
        <f t="shared" ref="Y37" ca="1" si="44">X37+Y36</f>
        <v>5702.4307076057612</v>
      </c>
      <c r="Z37" s="511">
        <f t="shared" ref="Z37" ca="1" si="45">Y37+Z36</f>
        <v>6126.5360479527662</v>
      </c>
      <c r="AA37" s="511">
        <f t="shared" ref="AA37" ca="1" si="46">Z37+AA36</f>
        <v>6440.3772872215231</v>
      </c>
      <c r="AB37" s="511">
        <f t="shared" ref="AB37" ca="1" si="47">AA37+AB36</f>
        <v>6347.4391659268331</v>
      </c>
    </row>
    <row r="38" spans="3:28">
      <c r="C38" s="504"/>
      <c r="E38" s="505"/>
      <c r="F38" s="506"/>
      <c r="G38" s="506"/>
      <c r="H38" s="506"/>
      <c r="I38" s="506"/>
      <c r="J38" s="506"/>
      <c r="K38" s="506"/>
      <c r="L38" s="506"/>
      <c r="M38" s="506"/>
      <c r="N38" s="506"/>
      <c r="O38" s="506"/>
      <c r="P38" s="506"/>
      <c r="Q38" s="506"/>
      <c r="R38" s="506"/>
      <c r="S38" s="506"/>
      <c r="T38" s="506"/>
      <c r="U38" s="506"/>
      <c r="V38" s="506"/>
      <c r="W38" s="506"/>
      <c r="X38" s="506"/>
      <c r="Y38" s="506"/>
      <c r="Z38" s="506"/>
      <c r="AA38" s="506"/>
      <c r="AB38" s="506"/>
    </row>
    <row r="39" spans="3:28">
      <c r="C39" s="504"/>
      <c r="E39" s="505"/>
      <c r="F39" s="506"/>
      <c r="G39" s="506"/>
      <c r="H39" s="506"/>
      <c r="I39" s="506"/>
      <c r="J39" s="506"/>
      <c r="K39" s="506"/>
      <c r="L39" s="506"/>
      <c r="M39" s="506"/>
      <c r="N39" s="506"/>
      <c r="O39" s="506"/>
      <c r="P39" s="506"/>
      <c r="Q39" s="506"/>
      <c r="R39" s="506"/>
      <c r="S39" s="506"/>
      <c r="T39" s="506"/>
      <c r="U39" s="506"/>
      <c r="V39" s="506"/>
      <c r="W39" s="506"/>
      <c r="X39" s="506"/>
      <c r="Y39" s="506"/>
      <c r="Z39" s="506"/>
      <c r="AA39" s="506"/>
      <c r="AB39" s="506"/>
    </row>
    <row r="40" spans="3:28">
      <c r="C40" s="512" t="s">
        <v>446</v>
      </c>
      <c r="D40" s="513">
        <f ca="1">IFERROR(IRR(F36:AB36),"-")</f>
        <v>0.15815963774079345</v>
      </c>
      <c r="E40" s="505"/>
      <c r="F40" s="506"/>
      <c r="G40" s="506"/>
      <c r="H40" s="506"/>
      <c r="I40" s="506"/>
      <c r="J40" s="506"/>
      <c r="K40" s="506"/>
      <c r="L40" s="506"/>
      <c r="M40" s="506"/>
      <c r="N40" s="506"/>
      <c r="O40" s="506"/>
      <c r="P40" s="506"/>
      <c r="Q40" s="506"/>
      <c r="R40" s="506"/>
      <c r="S40" s="506"/>
      <c r="T40" s="506"/>
      <c r="U40" s="506"/>
      <c r="V40" s="506"/>
      <c r="W40" s="506"/>
      <c r="X40" s="506"/>
      <c r="Y40" s="506"/>
      <c r="Z40" s="506"/>
      <c r="AA40" s="506"/>
      <c r="AB40" s="506"/>
    </row>
    <row r="41" spans="3:28">
      <c r="C41" s="512" t="s">
        <v>449</v>
      </c>
      <c r="D41" s="514">
        <f ca="1">NPV(E41,F36:AB36)</f>
        <v>900.32263615891577</v>
      </c>
      <c r="E41" s="517">
        <f>E19</f>
        <v>0.1</v>
      </c>
      <c r="F41" s="506"/>
      <c r="G41" s="506"/>
      <c r="H41" s="506"/>
      <c r="I41" s="506"/>
      <c r="J41" s="506"/>
      <c r="K41" s="506"/>
      <c r="L41" s="506"/>
      <c r="M41" s="506"/>
      <c r="N41" s="506"/>
      <c r="O41" s="506"/>
      <c r="P41" s="506"/>
      <c r="Q41" s="506"/>
      <c r="R41" s="506"/>
      <c r="S41" s="506"/>
      <c r="T41" s="506"/>
      <c r="U41" s="506"/>
      <c r="V41" s="506"/>
      <c r="W41" s="506"/>
      <c r="X41" s="506"/>
      <c r="Y41" s="506"/>
      <c r="Z41" s="506"/>
      <c r="AA41" s="506"/>
      <c r="AB41" s="506"/>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DB9C-B0FF-472D-B21C-364853FCF81B}">
  <sheetPr codeName="Sheet8">
    <tabColor rgb="FF0070C0"/>
  </sheetPr>
  <dimension ref="B4:AP239"/>
  <sheetViews>
    <sheetView showGridLines="0" workbookViewId="0">
      <selection activeCell="G15" sqref="G15"/>
    </sheetView>
  </sheetViews>
  <sheetFormatPr baseColWidth="10" defaultColWidth="8" defaultRowHeight="13" outlineLevelRow="1"/>
  <cols>
    <col min="1" max="1" width="8" style="482" customWidth="1"/>
    <col min="2" max="2" width="7.6640625" style="482" customWidth="1"/>
    <col min="3" max="3" width="23.83203125" style="482" customWidth="1"/>
    <col min="4" max="4" width="10.6640625" style="483" bestFit="1" customWidth="1"/>
    <col min="5" max="5" width="8.5" style="483" bestFit="1" customWidth="1"/>
    <col min="6" max="31" width="6.1640625" style="498" customWidth="1"/>
    <col min="32" max="197" width="9.1640625" style="482" customWidth="1"/>
    <col min="198" max="198" width="44.5" style="482" bestFit="1" customWidth="1"/>
    <col min="199" max="199" width="16" style="482" customWidth="1"/>
    <col min="200" max="200" width="6.83203125" style="482" customWidth="1"/>
    <col min="201" max="201" width="7.6640625" style="482" customWidth="1"/>
    <col min="202" max="202" width="8.6640625" style="482" customWidth="1"/>
    <col min="203" max="203" width="7" style="482" bestFit="1" customWidth="1"/>
    <col min="204" max="206" width="8" style="482"/>
    <col min="207" max="207" width="9.5" style="482" bestFit="1" customWidth="1"/>
    <col min="208" max="213" width="10.5" style="482" bestFit="1" customWidth="1"/>
    <col min="214" max="16384" width="8" style="482"/>
  </cols>
  <sheetData>
    <row r="4" spans="2:42">
      <c r="F4" s="100">
        <f>'P&amp;L'!G5</f>
        <v>46023</v>
      </c>
      <c r="G4" s="100">
        <f>'P&amp;L'!H5</f>
        <v>46389</v>
      </c>
      <c r="H4" s="100">
        <f>'P&amp;L'!I5</f>
        <v>46755</v>
      </c>
      <c r="I4" s="100">
        <f>'P&amp;L'!J5</f>
        <v>47121</v>
      </c>
      <c r="J4" s="100">
        <f>'P&amp;L'!K5</f>
        <v>47487</v>
      </c>
      <c r="K4" s="100">
        <f>'P&amp;L'!L5</f>
        <v>47853</v>
      </c>
      <c r="L4" s="100">
        <f>'P&amp;L'!M5</f>
        <v>48219</v>
      </c>
      <c r="M4" s="100">
        <f>'P&amp;L'!N5</f>
        <v>48585</v>
      </c>
      <c r="N4" s="100">
        <f>'P&amp;L'!O5</f>
        <v>48951</v>
      </c>
      <c r="O4" s="100">
        <f>'P&amp;L'!P5</f>
        <v>49317</v>
      </c>
      <c r="P4" s="100">
        <f>'P&amp;L'!Q5</f>
        <v>49683</v>
      </c>
      <c r="Q4" s="100">
        <f>'P&amp;L'!R5</f>
        <v>50049</v>
      </c>
      <c r="R4" s="100">
        <f>'P&amp;L'!S5</f>
        <v>50415</v>
      </c>
      <c r="S4" s="100">
        <f>'P&amp;L'!T5</f>
        <v>50781</v>
      </c>
      <c r="T4" s="100">
        <f>'P&amp;L'!U5</f>
        <v>51147</v>
      </c>
      <c r="U4" s="100">
        <f>'P&amp;L'!V5</f>
        <v>51513</v>
      </c>
      <c r="V4" s="100">
        <f>'P&amp;L'!W5</f>
        <v>51879</v>
      </c>
      <c r="W4" s="100">
        <f>'P&amp;L'!X5</f>
        <v>52245</v>
      </c>
      <c r="X4" s="100">
        <f>'P&amp;L'!Y5</f>
        <v>52611</v>
      </c>
      <c r="Y4" s="100">
        <f>'P&amp;L'!Z5</f>
        <v>52977</v>
      </c>
      <c r="Z4" s="100">
        <f>'P&amp;L'!AA5</f>
        <v>53343</v>
      </c>
      <c r="AA4" s="100">
        <f>'P&amp;L'!AB5</f>
        <v>53709</v>
      </c>
      <c r="AB4" s="100">
        <f>'P&amp;L'!AC5</f>
        <v>54075</v>
      </c>
      <c r="AC4" s="100">
        <f>'P&amp;L'!AD5</f>
        <v>0</v>
      </c>
      <c r="AD4" s="100">
        <f>'P&amp;L'!AE5</f>
        <v>0</v>
      </c>
      <c r="AE4" s="100">
        <f>'P&amp;L'!AF5</f>
        <v>0</v>
      </c>
      <c r="AF4" s="100">
        <f>'P&amp;L'!AG5</f>
        <v>0</v>
      </c>
      <c r="AG4" s="100">
        <f>'P&amp;L'!AH5</f>
        <v>0</v>
      </c>
      <c r="AH4" s="100">
        <f>'P&amp;L'!AI5</f>
        <v>0</v>
      </c>
      <c r="AI4" s="100">
        <f>'P&amp;L'!AJ5</f>
        <v>0</v>
      </c>
      <c r="AJ4" s="100">
        <f>'P&amp;L'!AK5</f>
        <v>0</v>
      </c>
      <c r="AK4" s="100">
        <f>'P&amp;L'!AL5</f>
        <v>0</v>
      </c>
      <c r="AL4" s="100">
        <f>'P&amp;L'!AM5</f>
        <v>0</v>
      </c>
      <c r="AM4" s="100">
        <f>'P&amp;L'!AN5</f>
        <v>0</v>
      </c>
      <c r="AN4" s="100">
        <f>'P&amp;L'!AO5</f>
        <v>0</v>
      </c>
      <c r="AO4" s="100">
        <f>'P&amp;L'!AP5</f>
        <v>0</v>
      </c>
      <c r="AP4" s="100">
        <f>'P&amp;L'!AQ5</f>
        <v>0</v>
      </c>
    </row>
    <row r="5" spans="2:42" s="484" customFormat="1" outlineLevel="1">
      <c r="B5" s="1216"/>
      <c r="C5" s="485" t="s">
        <v>463</v>
      </c>
      <c r="D5" s="1214"/>
      <c r="E5" s="1217"/>
      <c r="F5" s="1141">
        <f>'P&amp;L'!G6</f>
        <v>-4</v>
      </c>
      <c r="G5" s="1141">
        <f>'P&amp;L'!H6</f>
        <v>-3</v>
      </c>
      <c r="H5" s="1141">
        <f>'P&amp;L'!I6</f>
        <v>-2</v>
      </c>
      <c r="I5" s="1141">
        <f>'P&amp;L'!J6</f>
        <v>-1</v>
      </c>
      <c r="J5" s="1141">
        <f>'P&amp;L'!K6</f>
        <v>1</v>
      </c>
      <c r="K5" s="1141">
        <f>'P&amp;L'!L6</f>
        <v>2</v>
      </c>
      <c r="L5" s="1141">
        <f>'P&amp;L'!M6</f>
        <v>3</v>
      </c>
      <c r="M5" s="1141">
        <f>'P&amp;L'!N6</f>
        <v>4</v>
      </c>
      <c r="N5" s="1141">
        <f>'P&amp;L'!O6</f>
        <v>5</v>
      </c>
      <c r="O5" s="1141">
        <f>'P&amp;L'!P6</f>
        <v>6</v>
      </c>
      <c r="P5" s="1141">
        <f>'P&amp;L'!Q6</f>
        <v>7</v>
      </c>
      <c r="Q5" s="1141">
        <f>'P&amp;L'!R6</f>
        <v>8</v>
      </c>
      <c r="R5" s="1141">
        <f>'P&amp;L'!S6</f>
        <v>9</v>
      </c>
      <c r="S5" s="1141">
        <f>'P&amp;L'!T6</f>
        <v>10</v>
      </c>
      <c r="T5" s="1141">
        <f>'P&amp;L'!U6</f>
        <v>11</v>
      </c>
      <c r="U5" s="1141">
        <f>'P&amp;L'!V6</f>
        <v>12</v>
      </c>
      <c r="V5" s="1141">
        <f>'P&amp;L'!W6</f>
        <v>13</v>
      </c>
      <c r="W5" s="1141">
        <f>'P&amp;L'!X6</f>
        <v>14</v>
      </c>
      <c r="X5" s="1141">
        <f>'P&amp;L'!Y6</f>
        <v>15</v>
      </c>
      <c r="Y5" s="1141">
        <f>'P&amp;L'!Z6</f>
        <v>16</v>
      </c>
      <c r="Z5" s="1141">
        <f>'P&amp;L'!AA6</f>
        <v>17</v>
      </c>
      <c r="AA5" s="1141">
        <f>'P&amp;L'!AB6</f>
        <v>18</v>
      </c>
      <c r="AB5" s="1141">
        <f>'P&amp;L'!AC6</f>
        <v>19</v>
      </c>
      <c r="AC5" s="1141">
        <f>'P&amp;L'!AD6</f>
        <v>0</v>
      </c>
      <c r="AD5" s="1141">
        <f>'P&amp;L'!AE6</f>
        <v>0</v>
      </c>
      <c r="AE5" s="1141">
        <f>'P&amp;L'!AF6</f>
        <v>0</v>
      </c>
      <c r="AF5" s="1141">
        <f>'P&amp;L'!AG6</f>
        <v>0</v>
      </c>
      <c r="AG5" s="1141">
        <f>'P&amp;L'!AH6</f>
        <v>0</v>
      </c>
      <c r="AH5" s="1141">
        <f>'P&amp;L'!AI6</f>
        <v>0</v>
      </c>
      <c r="AI5" s="1141">
        <f>'P&amp;L'!AJ6</f>
        <v>0</v>
      </c>
      <c r="AJ5" s="1141">
        <f>'P&amp;L'!AK6</f>
        <v>0</v>
      </c>
      <c r="AK5" s="1141">
        <f>'P&amp;L'!AL6</f>
        <v>0</v>
      </c>
      <c r="AL5" s="1141">
        <f>'P&amp;L'!AM6</f>
        <v>0</v>
      </c>
      <c r="AM5" s="1141">
        <f>'P&amp;L'!AN6</f>
        <v>0</v>
      </c>
      <c r="AN5" s="1141">
        <f>'P&amp;L'!AO6</f>
        <v>0</v>
      </c>
      <c r="AO5" s="1141">
        <f>'P&amp;L'!AP6</f>
        <v>0</v>
      </c>
      <c r="AP5" s="1141">
        <f>'P&amp;L'!AQ6</f>
        <v>0</v>
      </c>
    </row>
    <row r="6" spans="2:42" s="484" customFormat="1" outlineLevel="1">
      <c r="B6" s="1216"/>
      <c r="C6" s="486"/>
      <c r="D6" s="1218"/>
      <c r="E6" s="1219"/>
      <c r="F6" s="487"/>
      <c r="G6" s="488"/>
      <c r="H6" s="488"/>
      <c r="I6" s="488"/>
      <c r="J6" s="488"/>
      <c r="K6" s="488"/>
      <c r="L6" s="488"/>
      <c r="M6" s="488"/>
      <c r="N6" s="488"/>
      <c r="O6" s="488"/>
      <c r="P6" s="488"/>
      <c r="Q6" s="488"/>
      <c r="R6" s="488"/>
      <c r="S6" s="488"/>
      <c r="T6" s="488"/>
      <c r="U6" s="488"/>
      <c r="V6" s="488"/>
      <c r="W6" s="488"/>
      <c r="X6" s="488"/>
      <c r="Y6" s="488"/>
      <c r="Z6" s="488"/>
      <c r="AA6" s="488"/>
      <c r="AB6" s="488"/>
      <c r="AC6" s="488"/>
      <c r="AD6" s="488"/>
      <c r="AE6" s="488"/>
      <c r="AF6" s="1216"/>
      <c r="AG6" s="1216"/>
      <c r="AH6" s="1216"/>
      <c r="AI6" s="1216"/>
      <c r="AJ6" s="1216"/>
      <c r="AK6" s="1216"/>
      <c r="AL6" s="1216"/>
      <c r="AM6" s="1216"/>
      <c r="AN6" s="1216"/>
      <c r="AO6" s="1216"/>
      <c r="AP6" s="1216"/>
    </row>
    <row r="7" spans="2:42" s="484" customFormat="1">
      <c r="B7" s="1216"/>
      <c r="C7" s="486" t="s">
        <v>505</v>
      </c>
      <c r="D7" s="499"/>
      <c r="E7" s="499"/>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1216"/>
      <c r="AG7" s="1216"/>
      <c r="AH7" s="1216"/>
      <c r="AI7" s="1216"/>
      <c r="AJ7" s="1216"/>
      <c r="AK7" s="1216"/>
      <c r="AL7" s="1216"/>
      <c r="AM7" s="1216"/>
      <c r="AN7" s="1216"/>
      <c r="AO7" s="1216"/>
      <c r="AP7" s="1216"/>
    </row>
    <row r="8" spans="2:42">
      <c r="C8" s="489" t="s">
        <v>476</v>
      </c>
      <c r="D8" s="490" t="s">
        <v>470</v>
      </c>
      <c r="E8" s="491">
        <f ca="1">SUM(F8:AP8)</f>
        <v>12781.164664132932</v>
      </c>
      <c r="F8" s="492">
        <f>'P&amp;L'!G23</f>
        <v>0</v>
      </c>
      <c r="G8" s="492">
        <f>'P&amp;L'!H23</f>
        <v>0</v>
      </c>
      <c r="H8" s="492">
        <f>'P&amp;L'!I23</f>
        <v>0</v>
      </c>
      <c r="I8" s="492">
        <f>'P&amp;L'!J23</f>
        <v>0</v>
      </c>
      <c r="J8" s="492">
        <f ca="1">'P&amp;L'!K23</f>
        <v>71.417433485697075</v>
      </c>
      <c r="K8" s="492">
        <f ca="1">'P&amp;L'!L23</f>
        <v>295.95174858552076</v>
      </c>
      <c r="L8" s="492">
        <f ca="1">'P&amp;L'!M23</f>
        <v>656.44790719581113</v>
      </c>
      <c r="M8" s="492">
        <f ca="1">'P&amp;L'!N23</f>
        <v>820.24051892458533</v>
      </c>
      <c r="N8" s="492">
        <f ca="1">'P&amp;L'!O23</f>
        <v>1063.9823794268277</v>
      </c>
      <c r="O8" s="492">
        <f ca="1">'P&amp;L'!P23</f>
        <v>1092.2387881932214</v>
      </c>
      <c r="P8" s="492">
        <f ca="1">'P&amp;L'!Q23</f>
        <v>795.40142689211643</v>
      </c>
      <c r="Q8" s="492">
        <f ca="1">'P&amp;L'!R23</f>
        <v>1004.7421293337097</v>
      </c>
      <c r="R8" s="492">
        <f ca="1">'P&amp;L'!S23</f>
        <v>1043.1028918653637</v>
      </c>
      <c r="S8" s="492">
        <f ca="1">'P&amp;L'!T23</f>
        <v>1097.1985898302289</v>
      </c>
      <c r="T8" s="492">
        <f ca="1">'P&amp;L'!U23</f>
        <v>1095.433330397002</v>
      </c>
      <c r="U8" s="492">
        <f ca="1">'P&amp;L'!V23</f>
        <v>781.19561770081327</v>
      </c>
      <c r="V8" s="492">
        <f ca="1">'P&amp;L'!W23</f>
        <v>971.51490823962195</v>
      </c>
      <c r="W8" s="492">
        <f ca="1">'P&amp;L'!X23</f>
        <v>921.54375928767786</v>
      </c>
      <c r="X8" s="492">
        <f ca="1">'P&amp;L'!Y23</f>
        <v>-30.912901972232703</v>
      </c>
      <c r="Y8" s="492">
        <f ca="1">'P&amp;L'!Z23</f>
        <v>136.41945108179607</v>
      </c>
      <c r="Z8" s="492">
        <f ca="1">'P&amp;L'!AA23</f>
        <v>456.40914068555958</v>
      </c>
      <c r="AA8" s="492">
        <f ca="1">'P&amp;L'!AB23</f>
        <v>421.19622627430113</v>
      </c>
      <c r="AB8" s="492">
        <f ca="1">'P&amp;L'!AC23</f>
        <v>87.641318705309629</v>
      </c>
      <c r="AC8" s="492">
        <f>'P&amp;L'!AD23</f>
        <v>0</v>
      </c>
      <c r="AD8" s="492">
        <f>'P&amp;L'!AE23</f>
        <v>0</v>
      </c>
      <c r="AE8" s="492">
        <f>'P&amp;L'!AF23</f>
        <v>0</v>
      </c>
      <c r="AF8" s="492">
        <f>'P&amp;L'!AG23</f>
        <v>0</v>
      </c>
      <c r="AG8" s="492">
        <f>'P&amp;L'!AH23</f>
        <v>0</v>
      </c>
      <c r="AH8" s="492">
        <f>'P&amp;L'!AI23</f>
        <v>0</v>
      </c>
      <c r="AI8" s="492">
        <f>'P&amp;L'!AJ23</f>
        <v>0</v>
      </c>
    </row>
    <row r="9" spans="2:42">
      <c r="C9" s="489" t="s">
        <v>506</v>
      </c>
      <c r="D9" s="490" t="s">
        <v>470</v>
      </c>
      <c r="E9" s="491" t="e">
        <f ca="1">SUM(F9:AN9)</f>
        <v>#REF!</v>
      </c>
      <c r="F9" s="492">
        <f ca="1">'Depreciation-Owner'!H114</f>
        <v>14.631973347826083</v>
      </c>
      <c r="G9" s="492">
        <f ca="1">'Depreciation-Owner'!I114</f>
        <v>32.036731650726516</v>
      </c>
      <c r="H9" s="492">
        <f ca="1">'Depreciation-Owner'!J114</f>
        <v>66.59383479468913</v>
      </c>
      <c r="I9" s="492">
        <f ca="1">'Depreciation-Owner'!K114</f>
        <v>97.214806927782149</v>
      </c>
      <c r="J9" s="492">
        <f ca="1">'Depreciation-Owner'!L114</f>
        <v>135.14872875057196</v>
      </c>
      <c r="K9" s="492">
        <f ca="1">'Depreciation-Owner'!M114</f>
        <v>144.59207103236776</v>
      </c>
      <c r="L9" s="492">
        <f ca="1">'Depreciation-Owner'!N114</f>
        <v>161.45289221691024</v>
      </c>
      <c r="M9" s="492">
        <f ca="1">'Depreciation-Owner'!O114</f>
        <v>207.49698137197748</v>
      </c>
      <c r="N9" s="492">
        <f ca="1">'Depreciation-Owner'!P114</f>
        <v>223.80440812777917</v>
      </c>
      <c r="O9" s="492">
        <f ca="1">'Depreciation-Owner'!Q114</f>
        <v>261.72865034763902</v>
      </c>
      <c r="P9" s="492">
        <f ca="1">'Depreciation-Owner'!R114</f>
        <v>264.31081382829888</v>
      </c>
      <c r="Q9" s="492">
        <f ca="1">'Depreciation-Owner'!S114</f>
        <v>284.83380568239346</v>
      </c>
      <c r="R9" s="492">
        <f ca="1">'Depreciation-Owner'!T114</f>
        <v>299.16072082933169</v>
      </c>
      <c r="S9" s="492">
        <f ca="1">'Depreciation-Owner'!U114</f>
        <v>296.45177881069219</v>
      </c>
      <c r="T9" s="492">
        <f ca="1">'Depreciation-Owner'!V114</f>
        <v>296.79623806692638</v>
      </c>
      <c r="U9" s="492">
        <f ca="1">'Depreciation-Owner'!W114</f>
        <v>275.89888312473215</v>
      </c>
      <c r="V9" s="492">
        <f ca="1">'Depreciation-Owner'!X114</f>
        <v>270.80499865989742</v>
      </c>
      <c r="W9" s="492">
        <f ca="1">'Depreciation-Owner'!Y114</f>
        <v>282.78776293919827</v>
      </c>
      <c r="X9" s="492">
        <f ca="1">'Depreciation-Owner'!Z114</f>
        <v>269.75918033660133</v>
      </c>
      <c r="Y9" s="492">
        <f ca="1">'Depreciation-Owner'!AA114</f>
        <v>278.35189501531158</v>
      </c>
      <c r="Z9" s="492">
        <f ca="1">'Depreciation-Owner'!AB114</f>
        <v>261.86676008380567</v>
      </c>
      <c r="AA9" s="492">
        <f ca="1">'Depreciation-Owner'!AC114</f>
        <v>257.99219818157269</v>
      </c>
      <c r="AB9" s="492">
        <f ca="1">'Depreciation-Owner'!AD114</f>
        <v>250.94929735675086</v>
      </c>
      <c r="AC9" s="492" t="e">
        <f>'Depreciation-Owner'!#REF!</f>
        <v>#REF!</v>
      </c>
      <c r="AD9" s="492" t="e">
        <f>'Depreciation-Owner'!#REF!</f>
        <v>#REF!</v>
      </c>
      <c r="AE9" s="492" t="e">
        <f>'Depreciation-Owner'!#REF!</f>
        <v>#REF!</v>
      </c>
      <c r="AF9" s="492" t="e">
        <f>'Depreciation-Owner'!#REF!</f>
        <v>#REF!</v>
      </c>
      <c r="AG9" s="492" t="e">
        <f>'Depreciation-Owner'!#REF!</f>
        <v>#REF!</v>
      </c>
      <c r="AH9" s="492" t="e">
        <f>'Depreciation-Owner'!#REF!</f>
        <v>#REF!</v>
      </c>
      <c r="AI9" s="492" t="e">
        <f>'Depreciation-Owner'!#REF!</f>
        <v>#REF!</v>
      </c>
    </row>
    <row r="10" spans="2:42">
      <c r="C10" s="489" t="s">
        <v>481</v>
      </c>
      <c r="D10" s="490" t="s">
        <v>470</v>
      </c>
      <c r="E10" s="491">
        <f ca="1">SUM(F10:AN10)</f>
        <v>0</v>
      </c>
      <c r="F10" s="492">
        <f ca="1">-'P&amp;L'!G31</f>
        <v>0</v>
      </c>
      <c r="G10" s="492">
        <f ca="1">-'P&amp;L'!H31</f>
        <v>0</v>
      </c>
      <c r="H10" s="492">
        <f ca="1">-'P&amp;L'!I31</f>
        <v>0</v>
      </c>
      <c r="I10" s="492">
        <f ca="1">-'P&amp;L'!J31</f>
        <v>0</v>
      </c>
      <c r="J10" s="492">
        <f ca="1">-'P&amp;L'!K31</f>
        <v>0</v>
      </c>
      <c r="K10" s="492">
        <f ca="1">-'P&amp;L'!L31</f>
        <v>0</v>
      </c>
      <c r="L10" s="492">
        <f ca="1">-'P&amp;L'!M31</f>
        <v>0</v>
      </c>
      <c r="M10" s="492">
        <f ca="1">-'P&amp;L'!N31</f>
        <v>0</v>
      </c>
      <c r="N10" s="492">
        <f ca="1">-'P&amp;L'!O31</f>
        <v>0</v>
      </c>
      <c r="O10" s="492">
        <f ca="1">-'P&amp;L'!P31</f>
        <v>0</v>
      </c>
      <c r="P10" s="492">
        <f ca="1">-'P&amp;L'!Q31</f>
        <v>0</v>
      </c>
      <c r="Q10" s="492">
        <f ca="1">-'P&amp;L'!R31</f>
        <v>0</v>
      </c>
      <c r="R10" s="492">
        <f ca="1">-'P&amp;L'!S31</f>
        <v>0</v>
      </c>
      <c r="S10" s="492">
        <f ca="1">-'P&amp;L'!T31</f>
        <v>0</v>
      </c>
      <c r="T10" s="492">
        <f ca="1">-'P&amp;L'!U31</f>
        <v>0</v>
      </c>
      <c r="U10" s="492">
        <f ca="1">-'P&amp;L'!V31</f>
        <v>0</v>
      </c>
      <c r="V10" s="492">
        <f ca="1">-'P&amp;L'!W31</f>
        <v>0</v>
      </c>
      <c r="W10" s="492">
        <f ca="1">-'P&amp;L'!X31</f>
        <v>0</v>
      </c>
      <c r="X10" s="492">
        <f ca="1">-'P&amp;L'!Y31</f>
        <v>0</v>
      </c>
      <c r="Y10" s="492">
        <f ca="1">-'P&amp;L'!Z31</f>
        <v>0</v>
      </c>
      <c r="Z10" s="492">
        <f ca="1">-'P&amp;L'!AA31</f>
        <v>0</v>
      </c>
      <c r="AA10" s="492">
        <f ca="1">-'P&amp;L'!AB31</f>
        <v>0</v>
      </c>
      <c r="AB10" s="492">
        <f ca="1">-'P&amp;L'!AC31</f>
        <v>0</v>
      </c>
      <c r="AC10" s="492">
        <f>-'P&amp;L'!AD31</f>
        <v>0</v>
      </c>
      <c r="AD10" s="492">
        <f>-'P&amp;L'!AE31</f>
        <v>0</v>
      </c>
      <c r="AE10" s="492">
        <f>-'P&amp;L'!AF31</f>
        <v>0</v>
      </c>
      <c r="AF10" s="492">
        <f>-'P&amp;L'!AG31</f>
        <v>0</v>
      </c>
      <c r="AG10" s="492">
        <f>-'P&amp;L'!AH31</f>
        <v>0</v>
      </c>
      <c r="AH10" s="492">
        <f>-'P&amp;L'!AI31</f>
        <v>0</v>
      </c>
      <c r="AI10" s="492">
        <f>-'P&amp;L'!AJ31</f>
        <v>0</v>
      </c>
    </row>
    <row r="11" spans="2:42">
      <c r="C11" s="493" t="s">
        <v>507</v>
      </c>
      <c r="D11" s="490" t="s">
        <v>470</v>
      </c>
      <c r="E11" s="491" t="e">
        <f ca="1">SUM(F11:AN11)</f>
        <v>#REF!</v>
      </c>
      <c r="F11" s="494">
        <f t="shared" ref="F11:AB11" ca="1" si="0">+F8-SUM(F9:F10)</f>
        <v>-14.631973347826083</v>
      </c>
      <c r="G11" s="494">
        <f t="shared" ca="1" si="0"/>
        <v>-32.036731650726516</v>
      </c>
      <c r="H11" s="494">
        <f ca="1">+H8-SUM(H9:H10)</f>
        <v>-66.59383479468913</v>
      </c>
      <c r="I11" s="494">
        <f t="shared" ca="1" si="0"/>
        <v>-97.214806927782149</v>
      </c>
      <c r="J11" s="494">
        <f t="shared" ca="1" si="0"/>
        <v>-63.731295264874888</v>
      </c>
      <c r="K11" s="494">
        <f t="shared" ca="1" si="0"/>
        <v>151.35967755315301</v>
      </c>
      <c r="L11" s="494">
        <f t="shared" ca="1" si="0"/>
        <v>494.99501497890088</v>
      </c>
      <c r="M11" s="494">
        <f t="shared" ca="1" si="0"/>
        <v>612.7435375526079</v>
      </c>
      <c r="N11" s="494">
        <f t="shared" ca="1" si="0"/>
        <v>840.17797129904852</v>
      </c>
      <c r="O11" s="494">
        <f t="shared" ca="1" si="0"/>
        <v>830.51013784558234</v>
      </c>
      <c r="P11" s="494">
        <f t="shared" ca="1" si="0"/>
        <v>531.0906130638175</v>
      </c>
      <c r="Q11" s="494">
        <f t="shared" ca="1" si="0"/>
        <v>719.90832365131632</v>
      </c>
      <c r="R11" s="494">
        <f t="shared" ca="1" si="0"/>
        <v>743.94217103603205</v>
      </c>
      <c r="S11" s="494">
        <f t="shared" ca="1" si="0"/>
        <v>800.74681101953672</v>
      </c>
      <c r="T11" s="494">
        <f t="shared" ca="1" si="0"/>
        <v>798.63709233007557</v>
      </c>
      <c r="U11" s="494">
        <f t="shared" ca="1" si="0"/>
        <v>505.29673457608112</v>
      </c>
      <c r="V11" s="494">
        <f t="shared" ca="1" si="0"/>
        <v>700.70990957972458</v>
      </c>
      <c r="W11" s="494">
        <f t="shared" ca="1" si="0"/>
        <v>638.75599634847958</v>
      </c>
      <c r="X11" s="494">
        <f t="shared" ca="1" si="0"/>
        <v>-300.67208230883404</v>
      </c>
      <c r="Y11" s="494">
        <f t="shared" ca="1" si="0"/>
        <v>-141.93244393351551</v>
      </c>
      <c r="Z11" s="494">
        <f t="shared" ca="1" si="0"/>
        <v>194.54238060175391</v>
      </c>
      <c r="AA11" s="494">
        <f t="shared" ca="1" si="0"/>
        <v>163.20402809272844</v>
      </c>
      <c r="AB11" s="494">
        <f t="shared" ca="1" si="0"/>
        <v>-163.30797865144123</v>
      </c>
      <c r="AC11" s="494" t="e">
        <f>+AC8-SUM(AC9:AC10)</f>
        <v>#REF!</v>
      </c>
      <c r="AD11" s="494" t="e">
        <f>+AD8-SUM(AD9:AD10)</f>
        <v>#REF!</v>
      </c>
      <c r="AE11" s="494" t="e">
        <f>+AE8-SUM(AE9:AE10)</f>
        <v>#REF!</v>
      </c>
      <c r="AF11" s="494" t="e">
        <f t="shared" ref="AF11:AI11" si="1">+AF8-SUM(AF9:AF10)</f>
        <v>#REF!</v>
      </c>
      <c r="AG11" s="494" t="e">
        <f t="shared" si="1"/>
        <v>#REF!</v>
      </c>
      <c r="AH11" s="494" t="e">
        <f t="shared" si="1"/>
        <v>#REF!</v>
      </c>
      <c r="AI11" s="494" t="e">
        <f t="shared" si="1"/>
        <v>#REF!</v>
      </c>
    </row>
    <row r="12" spans="2:42">
      <c r="C12" s="495"/>
      <c r="D12" s="496"/>
      <c r="E12" s="491"/>
      <c r="F12" s="492"/>
      <c r="G12" s="492"/>
      <c r="H12" s="492"/>
      <c r="I12" s="492"/>
      <c r="J12" s="492"/>
      <c r="K12" s="492"/>
      <c r="L12" s="492"/>
      <c r="M12" s="492"/>
      <c r="N12" s="492"/>
      <c r="O12" s="492"/>
      <c r="P12" s="492"/>
      <c r="Q12" s="492"/>
      <c r="R12" s="492"/>
      <c r="S12" s="492"/>
      <c r="T12" s="492"/>
      <c r="U12" s="492"/>
      <c r="V12" s="492"/>
      <c r="W12" s="492"/>
      <c r="X12" s="492"/>
      <c r="Y12" s="492"/>
      <c r="Z12" s="492"/>
      <c r="AA12" s="492"/>
      <c r="AB12" s="492"/>
      <c r="AC12" s="492"/>
      <c r="AD12" s="492"/>
      <c r="AE12" s="492"/>
    </row>
    <row r="13" spans="2:42">
      <c r="C13" s="495"/>
      <c r="D13" s="496"/>
      <c r="E13" s="491"/>
      <c r="F13" s="492"/>
      <c r="G13" s="492"/>
      <c r="H13" s="492"/>
      <c r="I13" s="492"/>
      <c r="J13" s="492"/>
      <c r="K13" s="492"/>
      <c r="L13" s="492"/>
      <c r="M13" s="492"/>
      <c r="N13" s="492"/>
      <c r="O13" s="492"/>
      <c r="P13" s="492"/>
      <c r="Q13" s="492"/>
      <c r="R13" s="492"/>
      <c r="S13" s="492"/>
      <c r="T13" s="492"/>
      <c r="U13" s="492"/>
      <c r="V13" s="492"/>
      <c r="W13" s="492"/>
      <c r="X13" s="492"/>
      <c r="Y13" s="492"/>
      <c r="Z13" s="492"/>
      <c r="AA13" s="492"/>
      <c r="AB13" s="492"/>
      <c r="AC13" s="492"/>
      <c r="AD13" s="492"/>
      <c r="AE13" s="492"/>
    </row>
    <row r="14" spans="2:42">
      <c r="B14" s="497">
        <f>Assumptions_Dashboard!D128</f>
        <v>0.25169999999999998</v>
      </c>
      <c r="C14" s="493" t="s">
        <v>505</v>
      </c>
      <c r="D14" s="490" t="s">
        <v>470</v>
      </c>
      <c r="E14" s="491">
        <f>SUM(F14:AN14)</f>
        <v>0</v>
      </c>
      <c r="F14" s="494">
        <f>IF(Assumptions_Dashboard!$L$6="Yes",0,IF(F11&lt;0,0,F11*$B$14))</f>
        <v>0</v>
      </c>
      <c r="G14" s="494">
        <f>IF(Assumptions_Dashboard!$L$6="Yes",0,IF(G11&lt;0,0,G11*$B$14))</f>
        <v>0</v>
      </c>
      <c r="H14" s="494">
        <f>IF(Assumptions_Dashboard!$L$6="Yes",0,IF(H11&lt;0,0,H11*$B$14))</f>
        <v>0</v>
      </c>
      <c r="I14" s="494">
        <f>IF(Assumptions_Dashboard!$L$6="Yes",0,IF(I11&lt;0,0,I11*$B$14))</f>
        <v>0</v>
      </c>
      <c r="J14" s="494">
        <f>IF(Assumptions_Dashboard!$L$6="Yes",0,IF(J11&lt;0,0,J11*$B$14))</f>
        <v>0</v>
      </c>
      <c r="K14" s="494">
        <f>IF(Assumptions_Dashboard!$L$6="Yes",0,IF(K11&lt;0,0,K11*$B$14))</f>
        <v>0</v>
      </c>
      <c r="L14" s="494">
        <f>IF(Assumptions_Dashboard!$L$6="Yes",0,IF(L11&lt;0,0,L11*$B$14))</f>
        <v>0</v>
      </c>
      <c r="M14" s="494">
        <f>IF(Assumptions_Dashboard!$L$6="Yes",0,IF(M11&lt;0,0,M11*$B$14))</f>
        <v>0</v>
      </c>
      <c r="N14" s="494">
        <f>IF(Assumptions_Dashboard!$L$6="Yes",0,IF(N11&lt;0,0,N11*$B$14))</f>
        <v>0</v>
      </c>
      <c r="O14" s="494">
        <f>IF(Assumptions_Dashboard!$L$6="Yes",0,IF(O11&lt;0,0,O11*$B$14))</f>
        <v>0</v>
      </c>
      <c r="P14" s="494">
        <f>IF(Assumptions_Dashboard!$L$6="Yes",0,IF(P11&lt;0,0,P11*$B$14))</f>
        <v>0</v>
      </c>
      <c r="Q14" s="494">
        <f>IF(Assumptions_Dashboard!$L$6="Yes",0,IF(Q11&lt;0,0,Q11*$B$14))</f>
        <v>0</v>
      </c>
      <c r="R14" s="494">
        <f>IF(Assumptions_Dashboard!$L$6="Yes",0,IF(R11&lt;0,0,R11*$B$14))</f>
        <v>0</v>
      </c>
      <c r="S14" s="494">
        <f>IF(Assumptions_Dashboard!$L$6="Yes",0,IF(S11&lt;0,0,S11*$B$14))</f>
        <v>0</v>
      </c>
      <c r="T14" s="494">
        <f>IF(Assumptions_Dashboard!$L$6="Yes",0,IF(T11&lt;0,0,T11*$B$14))</f>
        <v>0</v>
      </c>
      <c r="U14" s="494">
        <f>IF(Assumptions_Dashboard!$L$6="Yes",0,IF(U11&lt;0,0,U11*$B$14))</f>
        <v>0</v>
      </c>
      <c r="V14" s="494">
        <f>IF(Assumptions_Dashboard!$L$6="Yes",0,IF(V11&lt;0,0,V11*$B$14))</f>
        <v>0</v>
      </c>
      <c r="W14" s="494">
        <f>IF(Assumptions_Dashboard!$L$6="Yes",0,IF(W11&lt;0,0,W11*$B$14))</f>
        <v>0</v>
      </c>
      <c r="X14" s="494">
        <f>IF(Assumptions_Dashboard!$L$6="Yes",0,IF(X11&lt;0,0,X11*$B$14))</f>
        <v>0</v>
      </c>
      <c r="Y14" s="494">
        <f>IF(Assumptions_Dashboard!$L$6="Yes",0,IF(Y11&lt;0,0,Y11*$B$14))</f>
        <v>0</v>
      </c>
      <c r="Z14" s="494">
        <f>IF(Assumptions_Dashboard!$L$6="Yes",0,IF(Z11&lt;0,0,Z11*$B$14))</f>
        <v>0</v>
      </c>
      <c r="AA14" s="494">
        <f>IF(Assumptions_Dashboard!$L$6="Yes",0,IF(AA11&lt;0,0,AA11*$B$14))</f>
        <v>0</v>
      </c>
      <c r="AB14" s="494">
        <f>IF(Assumptions_Dashboard!$L$6="Yes",0,IF(AB11&lt;0,0,AB11*$B$14))</f>
        <v>0</v>
      </c>
      <c r="AC14" s="494">
        <f>IF(Assumptions_Dashboard!$L$6="Yes",0,IF(AC11&lt;0,0,AC11*$B$14))</f>
        <v>0</v>
      </c>
      <c r="AD14" s="494">
        <f>IF(Assumptions_Dashboard!$L$6="Yes",0,IF(AD11&lt;0,0,AD11*$B$14))</f>
        <v>0</v>
      </c>
      <c r="AE14" s="494">
        <f>IF(Assumptions_Dashboard!$L$6="Yes",0,IF(AE11&lt;0,0,AE11*$B$14))</f>
        <v>0</v>
      </c>
      <c r="AF14" s="494">
        <f>IF(Assumptions_Dashboard!$L$6="Yes",0,IF(AF11&lt;0,0,AF11*$B$14))</f>
        <v>0</v>
      </c>
      <c r="AG14" s="494">
        <f>IF(Assumptions_Dashboard!$L$6="Yes",0,IF(AG11&lt;0,0,AG11*$B$14))</f>
        <v>0</v>
      </c>
      <c r="AH14" s="494">
        <f>IF(Assumptions_Dashboard!$L$6="Yes",0,IF(AH11&lt;0,0,AH11*$B$14))</f>
        <v>0</v>
      </c>
      <c r="AI14" s="494">
        <f>IF(Assumptions_Dashboard!$L$6="Yes",0,IF(AI11&lt;0,0,AI11*$B$14))</f>
        <v>0</v>
      </c>
    </row>
    <row r="239" spans="9:9" s="483" customFormat="1">
      <c r="I239" s="498" t="e">
        <f>(#REF!+#REF!*20%)</f>
        <v>#REF!</v>
      </c>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EDDC9-210D-414C-983C-83D42B80B483}">
  <sheetPr codeName="Sheet44">
    <tabColor rgb="FF0070C0"/>
  </sheetPr>
  <dimension ref="B1:AC97"/>
  <sheetViews>
    <sheetView showGridLines="0" workbookViewId="0">
      <selection activeCell="H26" sqref="H26"/>
    </sheetView>
  </sheetViews>
  <sheetFormatPr baseColWidth="10" defaultColWidth="9.1640625" defaultRowHeight="11" outlineLevelRow="1"/>
  <cols>
    <col min="1" max="2" width="9.1640625" style="386"/>
    <col min="3" max="3" width="22.5" style="386" bestFit="1" customWidth="1"/>
    <col min="4" max="4" width="9.1640625" style="394"/>
    <col min="5" max="5" width="9.1640625" style="398"/>
    <col min="6" max="6" width="10.6640625" style="398" bestFit="1" customWidth="1"/>
    <col min="7" max="29" width="7.1640625" style="401" customWidth="1"/>
    <col min="30" max="16384" width="9.1640625" style="386"/>
  </cols>
  <sheetData>
    <row r="1" spans="2:29" ht="13">
      <c r="G1" s="100">
        <f>'Production Schedule'!E1</f>
        <v>46023</v>
      </c>
      <c r="H1" s="100">
        <f>'Production Schedule'!F1</f>
        <v>46389</v>
      </c>
      <c r="I1" s="100">
        <f>'Production Schedule'!G1</f>
        <v>46755</v>
      </c>
      <c r="J1" s="100">
        <f>'Production Schedule'!H1</f>
        <v>47121</v>
      </c>
      <c r="K1" s="100">
        <f>'Production Schedule'!I1</f>
        <v>47487</v>
      </c>
      <c r="L1" s="100">
        <f>'Production Schedule'!J1</f>
        <v>47853</v>
      </c>
      <c r="M1" s="100">
        <f>'Production Schedule'!K1</f>
        <v>48219</v>
      </c>
      <c r="N1" s="100">
        <f>'Production Schedule'!L1</f>
        <v>48585</v>
      </c>
      <c r="O1" s="100">
        <f>'Production Schedule'!M1</f>
        <v>48951</v>
      </c>
      <c r="P1" s="100">
        <f>'Production Schedule'!N1</f>
        <v>49317</v>
      </c>
      <c r="Q1" s="100">
        <f>'Production Schedule'!O1</f>
        <v>49683</v>
      </c>
      <c r="R1" s="100">
        <f>'Production Schedule'!P1</f>
        <v>50049</v>
      </c>
      <c r="S1" s="100">
        <f>'Production Schedule'!Q1</f>
        <v>50415</v>
      </c>
      <c r="T1" s="100">
        <f>'Production Schedule'!R1</f>
        <v>50781</v>
      </c>
      <c r="U1" s="100">
        <f>'Production Schedule'!S1</f>
        <v>51147</v>
      </c>
      <c r="V1" s="100">
        <f>'Production Schedule'!T1</f>
        <v>51513</v>
      </c>
      <c r="W1" s="100">
        <f>'Production Schedule'!U1</f>
        <v>51879</v>
      </c>
      <c r="X1" s="100">
        <f>'Production Schedule'!V1</f>
        <v>52245</v>
      </c>
      <c r="Y1" s="100">
        <f>'Production Schedule'!W1</f>
        <v>52611</v>
      </c>
      <c r="Z1" s="100">
        <f>'Production Schedule'!X1</f>
        <v>52977</v>
      </c>
      <c r="AA1" s="100">
        <f>'Production Schedule'!Y1</f>
        <v>53343</v>
      </c>
      <c r="AB1" s="100">
        <f>'Production Schedule'!Z1</f>
        <v>53709</v>
      </c>
      <c r="AC1" s="100">
        <f>'Production Schedule'!AA1</f>
        <v>54075</v>
      </c>
    </row>
    <row r="2" spans="2:29" ht="11.25" customHeight="1" outlineLevel="1" thickBot="1">
      <c r="C2" s="387" t="s">
        <v>463</v>
      </c>
      <c r="D2" s="388"/>
      <c r="E2" s="389"/>
      <c r="F2" s="389"/>
      <c r="G2" s="1141">
        <f>'Production Schedule'!E3</f>
        <v>-4</v>
      </c>
      <c r="H2" s="1141">
        <f>'Production Schedule'!F3</f>
        <v>-3</v>
      </c>
      <c r="I2" s="1141">
        <f>'Production Schedule'!G3</f>
        <v>-2</v>
      </c>
      <c r="J2" s="1141">
        <f>'Production Schedule'!H3</f>
        <v>-1</v>
      </c>
      <c r="K2" s="1141">
        <f>'Production Schedule'!I3</f>
        <v>1</v>
      </c>
      <c r="L2" s="1141">
        <f>'Production Schedule'!J3</f>
        <v>2</v>
      </c>
      <c r="M2" s="1141">
        <f>'Production Schedule'!K3</f>
        <v>3</v>
      </c>
      <c r="N2" s="1141">
        <f>'Production Schedule'!L3</f>
        <v>4</v>
      </c>
      <c r="O2" s="1141">
        <f>'Production Schedule'!M3</f>
        <v>5</v>
      </c>
      <c r="P2" s="1141">
        <f>'Production Schedule'!N3</f>
        <v>6</v>
      </c>
      <c r="Q2" s="1141">
        <f>'Production Schedule'!O3</f>
        <v>7</v>
      </c>
      <c r="R2" s="1141">
        <f>'Production Schedule'!P3</f>
        <v>8</v>
      </c>
      <c r="S2" s="1141">
        <f>'Production Schedule'!Q3</f>
        <v>9</v>
      </c>
      <c r="T2" s="1141">
        <f>'Production Schedule'!R3</f>
        <v>10</v>
      </c>
      <c r="U2" s="1141">
        <f>'Production Schedule'!S3</f>
        <v>11</v>
      </c>
      <c r="V2" s="1141">
        <f>'Production Schedule'!T3</f>
        <v>12</v>
      </c>
      <c r="W2" s="1141">
        <f>'Production Schedule'!U3</f>
        <v>13</v>
      </c>
      <c r="X2" s="1141">
        <f>'Production Schedule'!V3</f>
        <v>14</v>
      </c>
      <c r="Y2" s="1141">
        <f>'Production Schedule'!W3</f>
        <v>15</v>
      </c>
      <c r="Z2" s="1141">
        <f>'Production Schedule'!X3</f>
        <v>16</v>
      </c>
      <c r="AA2" s="1141">
        <f>'Production Schedule'!Y3</f>
        <v>17</v>
      </c>
      <c r="AB2" s="1141">
        <f>'Production Schedule'!Z3</f>
        <v>18</v>
      </c>
      <c r="AC2" s="1141">
        <f>'Production Schedule'!AA3</f>
        <v>19</v>
      </c>
    </row>
    <row r="3" spans="2:29" ht="11.25" customHeight="1" thickTop="1">
      <c r="C3" s="390" t="s">
        <v>508</v>
      </c>
      <c r="D3" s="391"/>
      <c r="E3" s="392"/>
      <c r="F3" s="392"/>
      <c r="G3" s="393"/>
      <c r="H3" s="393"/>
      <c r="I3" s="393"/>
      <c r="J3" s="393"/>
      <c r="K3" s="393"/>
      <c r="L3" s="393"/>
      <c r="M3" s="393"/>
      <c r="N3" s="393"/>
      <c r="O3" s="393"/>
      <c r="P3" s="393"/>
      <c r="Q3" s="393"/>
      <c r="R3" s="393"/>
      <c r="S3" s="393"/>
      <c r="T3" s="393"/>
      <c r="U3" s="393"/>
      <c r="V3" s="393"/>
      <c r="W3" s="393"/>
      <c r="X3" s="393"/>
      <c r="Y3" s="393"/>
      <c r="Z3" s="393"/>
      <c r="AA3" s="393"/>
      <c r="AB3" s="393"/>
      <c r="AC3" s="393"/>
    </row>
    <row r="4" spans="2:29" ht="12" customHeight="1">
      <c r="C4" s="386" t="s">
        <v>509</v>
      </c>
      <c r="D4" s="394" t="s">
        <v>113</v>
      </c>
      <c r="E4" s="395">
        <f>SUM(G4:AC4)</f>
        <v>225.70440651000001</v>
      </c>
      <c r="F4" s="395"/>
      <c r="G4" s="396">
        <f>'Production Schedule'!E5</f>
        <v>0</v>
      </c>
      <c r="H4" s="396">
        <f>'Production Schedule'!F5</f>
        <v>0</v>
      </c>
      <c r="I4" s="396">
        <f>'Production Schedule'!G5</f>
        <v>0</v>
      </c>
      <c r="J4" s="396">
        <f>'Production Schedule'!H5</f>
        <v>0</v>
      </c>
      <c r="K4" s="396">
        <f>'Production Schedule'!I5</f>
        <v>1.9999997549999999</v>
      </c>
      <c r="L4" s="396">
        <f>'Production Schedule'!J5</f>
        <v>3.9999986549999997</v>
      </c>
      <c r="M4" s="396">
        <f>'Production Schedule'!K5</f>
        <v>8.00000073</v>
      </c>
      <c r="N4" s="396">
        <f>'Production Schedule'!L5</f>
        <v>11.999998529999999</v>
      </c>
      <c r="O4" s="396">
        <f>'Production Schedule'!M5</f>
        <v>14.99999517</v>
      </c>
      <c r="P4" s="396">
        <f>'Production Schedule'!N5</f>
        <v>15.000007140000001</v>
      </c>
      <c r="Q4" s="396">
        <f>'Production Schedule'!O5</f>
        <v>14.999998590000001</v>
      </c>
      <c r="R4" s="396">
        <f>'Production Schedule'!P5</f>
        <v>14.999996879999999</v>
      </c>
      <c r="S4" s="396">
        <f>'Production Schedule'!Q5</f>
        <v>15.000003719999999</v>
      </c>
      <c r="T4" s="396">
        <f>'Production Schedule'!R5</f>
        <v>14.99999517</v>
      </c>
      <c r="U4" s="396">
        <f>'Production Schedule'!S5</f>
        <v>14.999996879999999</v>
      </c>
      <c r="V4" s="396">
        <f>'Production Schedule'!T5</f>
        <v>15.000002009999999</v>
      </c>
      <c r="W4" s="396">
        <f>'Production Schedule'!U5</f>
        <v>15.00001569</v>
      </c>
      <c r="X4" s="396">
        <f>'Production Schedule'!V5</f>
        <v>15.000002009999999</v>
      </c>
      <c r="Y4" s="396">
        <f>'Production Schedule'!W5</f>
        <v>15.000002009999999</v>
      </c>
      <c r="Z4" s="396">
        <f>'Production Schedule'!X5</f>
        <v>15.000000299999998</v>
      </c>
      <c r="AA4" s="396">
        <f>'Production Schedule'!Y5</f>
        <v>9.9999996299999996</v>
      </c>
      <c r="AB4" s="396">
        <f>'Production Schedule'!Z5</f>
        <v>7.5000027149999999</v>
      </c>
      <c r="AC4" s="396">
        <f>'Production Schedule'!AA5</f>
        <v>2.2043909249999998</v>
      </c>
    </row>
    <row r="5" spans="2:29" ht="11.25" customHeight="1" collapsed="1">
      <c r="C5" s="390" t="s">
        <v>510</v>
      </c>
      <c r="D5" s="391"/>
      <c r="E5" s="392"/>
      <c r="F5" s="392"/>
      <c r="G5" s="393"/>
      <c r="H5" s="393"/>
      <c r="I5" s="393"/>
      <c r="J5" s="393"/>
      <c r="K5" s="393"/>
      <c r="L5" s="393"/>
      <c r="M5" s="393"/>
      <c r="N5" s="393"/>
      <c r="O5" s="393"/>
      <c r="P5" s="393"/>
      <c r="Q5" s="393"/>
      <c r="R5" s="393"/>
      <c r="S5" s="393"/>
      <c r="T5" s="393"/>
      <c r="U5" s="393"/>
      <c r="V5" s="393"/>
      <c r="W5" s="393"/>
      <c r="X5" s="393"/>
      <c r="Y5" s="393"/>
      <c r="Z5" s="393"/>
      <c r="AA5" s="393"/>
      <c r="AB5" s="393"/>
      <c r="AC5" s="393"/>
    </row>
    <row r="6" spans="2:29">
      <c r="C6" s="386" t="s">
        <v>511</v>
      </c>
      <c r="D6" s="394" t="s">
        <v>470</v>
      </c>
      <c r="E6" s="397">
        <f ca="1">SUM(G6:AC6)</f>
        <v>4833.103564800791</v>
      </c>
      <c r="G6" s="399">
        <f ca="1">'Depreciation-Owner'!H23</f>
        <v>155.99429899999996</v>
      </c>
      <c r="H6" s="399">
        <f ca="1">'Depreciation-Owner'!I23</f>
        <v>343.46764946670999</v>
      </c>
      <c r="I6" s="399">
        <f ca="1">'Depreciation-Owner'!J23</f>
        <v>677.71389931114004</v>
      </c>
      <c r="J6" s="399">
        <f ca="1">'Depreciation-Owner'!K23</f>
        <v>542.15414931113992</v>
      </c>
      <c r="K6" s="399">
        <f>'Depreciation-Owner'!L23</f>
        <v>512.03669517858111</v>
      </c>
      <c r="L6" s="399">
        <f>'Depreciation-Owner'!M23</f>
        <v>185.81300719102592</v>
      </c>
      <c r="M6" s="399">
        <f>'Depreciation-Owner'!N23</f>
        <v>214.02863287685622</v>
      </c>
      <c r="N6" s="399">
        <f>'Depreciation-Owner'!O23</f>
        <v>587.76578361934594</v>
      </c>
      <c r="O6" s="399">
        <f>'Depreciation-Owner'!P23</f>
        <v>327.99202442645139</v>
      </c>
      <c r="P6" s="399">
        <f>'Depreciation-Owner'!Q23</f>
        <v>437.25985965517623</v>
      </c>
      <c r="Q6" s="399">
        <f>'Depreciation-Owner'!R23</f>
        <v>299.45606805517622</v>
      </c>
      <c r="R6" s="399">
        <f>'Depreciation-Owner'!S23</f>
        <v>297.33753805517625</v>
      </c>
      <c r="S6" s="399">
        <f>'Depreciation-Owner'!T23</f>
        <v>176.75198448348982</v>
      </c>
      <c r="T6" s="399">
        <f>'Depreciation-Owner'!U23</f>
        <v>27.61171116519192</v>
      </c>
      <c r="U6" s="399">
        <f>'Depreciation-Owner'!V23</f>
        <v>33.714785157297584</v>
      </c>
      <c r="V6" s="399">
        <f>'Depreciation-Owner'!W23</f>
        <v>0</v>
      </c>
      <c r="W6" s="399">
        <f>'Depreciation-Owner'!X23</f>
        <v>4.2370600000000005</v>
      </c>
      <c r="X6" s="399">
        <f>'Depreciation-Owner'!Y23</f>
        <v>2.1185300000000002</v>
      </c>
      <c r="Y6" s="399">
        <f>'Depreciation-Owner'!Z23</f>
        <v>7.6498878480335799</v>
      </c>
      <c r="Z6" s="399">
        <f>'Depreciation-Owner'!AA23</f>
        <v>0</v>
      </c>
      <c r="AA6" s="399">
        <f>'Depreciation-Owner'!AB23</f>
        <v>0</v>
      </c>
      <c r="AB6" s="399">
        <f>'Depreciation-Owner'!AC23</f>
        <v>0</v>
      </c>
      <c r="AC6" s="399">
        <f>'Depreciation-Owner'!AD23</f>
        <v>0</v>
      </c>
    </row>
    <row r="7" spans="2:29">
      <c r="B7" s="400" t="s">
        <v>453</v>
      </c>
      <c r="C7" s="386" t="s">
        <v>512</v>
      </c>
      <c r="D7" s="394" t="s">
        <v>470</v>
      </c>
      <c r="E7" s="397">
        <f>SUM(G7:AC7)</f>
        <v>0</v>
      </c>
      <c r="G7" s="399">
        <f>IF($B$7="Yes",'Depreciation-Owner'!H33,0)</f>
        <v>0</v>
      </c>
      <c r="H7" s="399">
        <f>IF($B$7="Yes",'Depreciation-Owner'!I33,0)</f>
        <v>0</v>
      </c>
      <c r="I7" s="399">
        <f>IF($B$7="Yes",'Depreciation-Owner'!J33,0)</f>
        <v>0</v>
      </c>
      <c r="J7" s="399">
        <f>IF($B$7="Yes",'Depreciation-Owner'!K33,0)</f>
        <v>0</v>
      </c>
      <c r="K7" s="399">
        <f>IF($B$7="Yes",'Depreciation-Owner'!L33,0)</f>
        <v>0</v>
      </c>
      <c r="L7" s="399">
        <f>IF($B$7="Yes",'Depreciation-Owner'!M33,0)</f>
        <v>0</v>
      </c>
      <c r="M7" s="399">
        <f>IF($B$7="Yes",'Depreciation-Owner'!N33,0)</f>
        <v>0</v>
      </c>
      <c r="N7" s="399">
        <f>IF($B$7="Yes",'Depreciation-Owner'!O33,0)</f>
        <v>0</v>
      </c>
      <c r="O7" s="399">
        <f>IF($B$7="Yes",'Depreciation-Owner'!P33,0)</f>
        <v>0</v>
      </c>
      <c r="P7" s="399">
        <f>IF($B$7="Yes",'Depreciation-Owner'!Q33,0)</f>
        <v>0</v>
      </c>
      <c r="Q7" s="399">
        <f>IF($B$7="Yes",'Depreciation-Owner'!R33,0)</f>
        <v>0</v>
      </c>
      <c r="R7" s="399">
        <f>IF($B$7="Yes",'Depreciation-Owner'!S33,0)</f>
        <v>0</v>
      </c>
      <c r="S7" s="399">
        <f>IF($B$7="Yes",'Depreciation-Owner'!T33,0)</f>
        <v>0</v>
      </c>
      <c r="T7" s="399">
        <f>IF($B$7="Yes",'Depreciation-Owner'!U33,0)</f>
        <v>0</v>
      </c>
      <c r="U7" s="399">
        <f>IF($B$7="Yes",'Depreciation-Owner'!V33,0)</f>
        <v>0</v>
      </c>
      <c r="V7" s="399">
        <f>IF($B$7="Yes",'Depreciation-Owner'!W33,0)</f>
        <v>0</v>
      </c>
      <c r="W7" s="399">
        <f>IF($B$7="Yes",'Depreciation-Owner'!X33,0)</f>
        <v>0</v>
      </c>
      <c r="X7" s="399">
        <f>IF($B$7="Yes",'Depreciation-Owner'!Y33,0)</f>
        <v>0</v>
      </c>
      <c r="Y7" s="399">
        <f>IF($B$7="Yes",'Depreciation-Owner'!Z33,0)</f>
        <v>0</v>
      </c>
      <c r="Z7" s="399">
        <f>IF($B$7="Yes",'Depreciation-Owner'!AA33,0)</f>
        <v>0</v>
      </c>
      <c r="AA7" s="399">
        <f>IF($B$7="Yes",'Depreciation-Owner'!AB33,0)</f>
        <v>0</v>
      </c>
      <c r="AB7" s="399">
        <f>IF($B$7="Yes",'Depreciation-Owner'!AC33,0)</f>
        <v>0</v>
      </c>
      <c r="AC7" s="399">
        <f>IF($B$7="Yes",'Depreciation-Owner'!AD33,0)</f>
        <v>0</v>
      </c>
    </row>
    <row r="8" spans="2:29">
      <c r="D8" s="394" t="s">
        <v>470</v>
      </c>
      <c r="E8" s="397">
        <f ca="1">SUM(G8:AC8)</f>
        <v>4833.103564800791</v>
      </c>
      <c r="G8" s="399">
        <f t="shared" ref="G8:AC8" ca="1" si="0">SUM(G6:G7)</f>
        <v>155.99429899999996</v>
      </c>
      <c r="H8" s="399">
        <f t="shared" ca="1" si="0"/>
        <v>343.46764946670999</v>
      </c>
      <c r="I8" s="399">
        <f t="shared" ca="1" si="0"/>
        <v>677.71389931114004</v>
      </c>
      <c r="J8" s="399">
        <f t="shared" ca="1" si="0"/>
        <v>542.15414931113992</v>
      </c>
      <c r="K8" s="399">
        <f t="shared" si="0"/>
        <v>512.03669517858111</v>
      </c>
      <c r="L8" s="399">
        <f t="shared" si="0"/>
        <v>185.81300719102592</v>
      </c>
      <c r="M8" s="399">
        <f t="shared" si="0"/>
        <v>214.02863287685622</v>
      </c>
      <c r="N8" s="399">
        <f t="shared" si="0"/>
        <v>587.76578361934594</v>
      </c>
      <c r="O8" s="399">
        <f t="shared" si="0"/>
        <v>327.99202442645139</v>
      </c>
      <c r="P8" s="399">
        <f t="shared" si="0"/>
        <v>437.25985965517623</v>
      </c>
      <c r="Q8" s="399">
        <f t="shared" si="0"/>
        <v>299.45606805517622</v>
      </c>
      <c r="R8" s="399">
        <f t="shared" si="0"/>
        <v>297.33753805517625</v>
      </c>
      <c r="S8" s="399">
        <f t="shared" si="0"/>
        <v>176.75198448348982</v>
      </c>
      <c r="T8" s="399">
        <f t="shared" si="0"/>
        <v>27.61171116519192</v>
      </c>
      <c r="U8" s="399">
        <f t="shared" si="0"/>
        <v>33.714785157297584</v>
      </c>
      <c r="V8" s="399">
        <f t="shared" si="0"/>
        <v>0</v>
      </c>
      <c r="W8" s="399">
        <f t="shared" si="0"/>
        <v>4.2370600000000005</v>
      </c>
      <c r="X8" s="399">
        <f t="shared" si="0"/>
        <v>2.1185300000000002</v>
      </c>
      <c r="Y8" s="399">
        <f t="shared" si="0"/>
        <v>7.6498878480335799</v>
      </c>
      <c r="Z8" s="399">
        <f t="shared" si="0"/>
        <v>0</v>
      </c>
      <c r="AA8" s="399">
        <f t="shared" si="0"/>
        <v>0</v>
      </c>
      <c r="AB8" s="399">
        <f t="shared" si="0"/>
        <v>0</v>
      </c>
      <c r="AC8" s="399">
        <f t="shared" si="0"/>
        <v>0</v>
      </c>
    </row>
    <row r="9" spans="2:29">
      <c r="E9" s="397"/>
      <c r="G9" s="399"/>
      <c r="H9" s="399"/>
      <c r="I9" s="399"/>
      <c r="J9" s="399"/>
      <c r="K9" s="399"/>
      <c r="L9" s="399"/>
      <c r="M9" s="399"/>
      <c r="N9" s="399"/>
      <c r="O9" s="399"/>
      <c r="P9" s="399"/>
      <c r="Q9" s="399"/>
      <c r="R9" s="399"/>
      <c r="S9" s="399"/>
      <c r="T9" s="399"/>
      <c r="U9" s="399"/>
      <c r="V9" s="399"/>
      <c r="W9" s="399"/>
      <c r="X9" s="399"/>
      <c r="Y9" s="399"/>
      <c r="Z9" s="399"/>
      <c r="AA9" s="399"/>
      <c r="AB9" s="399"/>
      <c r="AC9" s="399"/>
    </row>
    <row r="10" spans="2:29">
      <c r="C10" s="386" t="s">
        <v>513</v>
      </c>
      <c r="D10" s="394" t="s">
        <v>470</v>
      </c>
      <c r="E10" s="397">
        <f>SUM(G10:AC10)</f>
        <v>0</v>
      </c>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row>
    <row r="11" spans="2:29">
      <c r="E11" s="397"/>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row>
    <row r="12" spans="2:29">
      <c r="C12" s="386" t="s">
        <v>514</v>
      </c>
    </row>
    <row r="13" spans="2:29">
      <c r="C13" s="401" t="s">
        <v>515</v>
      </c>
      <c r="D13" s="394" t="s">
        <v>516</v>
      </c>
      <c r="E13" s="402">
        <f ca="1">E20/E8</f>
        <v>0</v>
      </c>
      <c r="G13" s="403">
        <f>Assumptions_Dashboard!$D$144</f>
        <v>0</v>
      </c>
      <c r="H13" s="403">
        <f>G13</f>
        <v>0</v>
      </c>
      <c r="I13" s="403">
        <f t="shared" ref="I13:AC13" si="1">H13</f>
        <v>0</v>
      </c>
      <c r="J13" s="403">
        <f t="shared" si="1"/>
        <v>0</v>
      </c>
      <c r="K13" s="403">
        <f t="shared" si="1"/>
        <v>0</v>
      </c>
      <c r="L13" s="403">
        <f t="shared" si="1"/>
        <v>0</v>
      </c>
      <c r="M13" s="403">
        <f t="shared" si="1"/>
        <v>0</v>
      </c>
      <c r="N13" s="403">
        <f t="shared" si="1"/>
        <v>0</v>
      </c>
      <c r="O13" s="403">
        <f t="shared" si="1"/>
        <v>0</v>
      </c>
      <c r="P13" s="403">
        <f t="shared" si="1"/>
        <v>0</v>
      </c>
      <c r="Q13" s="403">
        <f t="shared" si="1"/>
        <v>0</v>
      </c>
      <c r="R13" s="403">
        <f t="shared" si="1"/>
        <v>0</v>
      </c>
      <c r="S13" s="403">
        <f t="shared" si="1"/>
        <v>0</v>
      </c>
      <c r="T13" s="403">
        <f t="shared" si="1"/>
        <v>0</v>
      </c>
      <c r="U13" s="403">
        <f t="shared" si="1"/>
        <v>0</v>
      </c>
      <c r="V13" s="403">
        <f t="shared" si="1"/>
        <v>0</v>
      </c>
      <c r="W13" s="403">
        <f t="shared" si="1"/>
        <v>0</v>
      </c>
      <c r="X13" s="403">
        <f t="shared" si="1"/>
        <v>0</v>
      </c>
      <c r="Y13" s="403">
        <f t="shared" si="1"/>
        <v>0</v>
      </c>
      <c r="Z13" s="403">
        <f t="shared" si="1"/>
        <v>0</v>
      </c>
      <c r="AA13" s="403">
        <f t="shared" si="1"/>
        <v>0</v>
      </c>
      <c r="AB13" s="403">
        <f t="shared" si="1"/>
        <v>0</v>
      </c>
      <c r="AC13" s="403">
        <f t="shared" si="1"/>
        <v>0</v>
      </c>
    </row>
    <row r="14" spans="2:29">
      <c r="B14" s="404"/>
      <c r="C14" s="401" t="s">
        <v>517</v>
      </c>
      <c r="D14" s="394" t="s">
        <v>516</v>
      </c>
      <c r="E14" s="405">
        <f ca="1">E19/E8</f>
        <v>1</v>
      </c>
      <c r="G14" s="406">
        <f>1-G13</f>
        <v>1</v>
      </c>
      <c r="H14" s="406">
        <f t="shared" ref="H14:AC14" si="2">1-H13</f>
        <v>1</v>
      </c>
      <c r="I14" s="406">
        <f t="shared" si="2"/>
        <v>1</v>
      </c>
      <c r="J14" s="406">
        <f t="shared" si="2"/>
        <v>1</v>
      </c>
      <c r="K14" s="406">
        <f t="shared" si="2"/>
        <v>1</v>
      </c>
      <c r="L14" s="406">
        <f t="shared" si="2"/>
        <v>1</v>
      </c>
      <c r="M14" s="406">
        <f t="shared" si="2"/>
        <v>1</v>
      </c>
      <c r="N14" s="406">
        <f t="shared" si="2"/>
        <v>1</v>
      </c>
      <c r="O14" s="406">
        <f t="shared" si="2"/>
        <v>1</v>
      </c>
      <c r="P14" s="406">
        <f t="shared" si="2"/>
        <v>1</v>
      </c>
      <c r="Q14" s="406">
        <f t="shared" si="2"/>
        <v>1</v>
      </c>
      <c r="R14" s="406">
        <f t="shared" si="2"/>
        <v>1</v>
      </c>
      <c r="S14" s="406">
        <f t="shared" si="2"/>
        <v>1</v>
      </c>
      <c r="T14" s="406">
        <f t="shared" si="2"/>
        <v>1</v>
      </c>
      <c r="U14" s="406">
        <f t="shared" si="2"/>
        <v>1</v>
      </c>
      <c r="V14" s="406">
        <f t="shared" si="2"/>
        <v>1</v>
      </c>
      <c r="W14" s="406">
        <f t="shared" si="2"/>
        <v>1</v>
      </c>
      <c r="X14" s="406">
        <f t="shared" si="2"/>
        <v>1</v>
      </c>
      <c r="Y14" s="406">
        <f t="shared" si="2"/>
        <v>1</v>
      </c>
      <c r="Z14" s="406">
        <f t="shared" si="2"/>
        <v>1</v>
      </c>
      <c r="AA14" s="406">
        <f t="shared" si="2"/>
        <v>1</v>
      </c>
      <c r="AB14" s="406">
        <f t="shared" si="2"/>
        <v>1</v>
      </c>
      <c r="AC14" s="406">
        <f t="shared" si="2"/>
        <v>1</v>
      </c>
    </row>
    <row r="15" spans="2:29">
      <c r="C15" s="401"/>
      <c r="E15" s="405"/>
      <c r="G15" s="406"/>
      <c r="H15" s="406"/>
      <c r="I15" s="406"/>
      <c r="J15" s="406"/>
      <c r="K15" s="406"/>
      <c r="L15" s="406"/>
      <c r="M15" s="406"/>
      <c r="N15" s="406"/>
      <c r="O15" s="406"/>
      <c r="P15" s="406"/>
      <c r="Q15" s="406"/>
      <c r="R15" s="406"/>
      <c r="S15" s="406"/>
      <c r="T15" s="406"/>
      <c r="U15" s="406"/>
      <c r="V15" s="406"/>
      <c r="W15" s="406"/>
      <c r="X15" s="406"/>
      <c r="Y15" s="406"/>
      <c r="Z15" s="406"/>
      <c r="AA15" s="406"/>
      <c r="AB15" s="406"/>
      <c r="AC15" s="406"/>
    </row>
    <row r="16" spans="2:29">
      <c r="C16" s="401" t="s">
        <v>518</v>
      </c>
      <c r="D16" s="394" t="s">
        <v>516</v>
      </c>
      <c r="E16" s="402">
        <f>Assumptions_Dashboard!$D$140</f>
        <v>0.1</v>
      </c>
      <c r="G16" s="406">
        <f>E16</f>
        <v>0.1</v>
      </c>
      <c r="H16" s="406">
        <f>G16</f>
        <v>0.1</v>
      </c>
      <c r="I16" s="406">
        <f t="shared" ref="I16:AC16" si="3">H16</f>
        <v>0.1</v>
      </c>
      <c r="J16" s="406">
        <f t="shared" si="3"/>
        <v>0.1</v>
      </c>
      <c r="K16" s="406">
        <f t="shared" si="3"/>
        <v>0.1</v>
      </c>
      <c r="L16" s="406">
        <f t="shared" si="3"/>
        <v>0.1</v>
      </c>
      <c r="M16" s="406">
        <f t="shared" si="3"/>
        <v>0.1</v>
      </c>
      <c r="N16" s="406">
        <f t="shared" si="3"/>
        <v>0.1</v>
      </c>
      <c r="O16" s="406">
        <f t="shared" si="3"/>
        <v>0.1</v>
      </c>
      <c r="P16" s="406">
        <f t="shared" si="3"/>
        <v>0.1</v>
      </c>
      <c r="Q16" s="406">
        <f t="shared" si="3"/>
        <v>0.1</v>
      </c>
      <c r="R16" s="406">
        <f t="shared" si="3"/>
        <v>0.1</v>
      </c>
      <c r="S16" s="406">
        <f t="shared" si="3"/>
        <v>0.1</v>
      </c>
      <c r="T16" s="406">
        <f t="shared" si="3"/>
        <v>0.1</v>
      </c>
      <c r="U16" s="406">
        <f t="shared" si="3"/>
        <v>0.1</v>
      </c>
      <c r="V16" s="406">
        <f t="shared" si="3"/>
        <v>0.1</v>
      </c>
      <c r="W16" s="406">
        <f t="shared" si="3"/>
        <v>0.1</v>
      </c>
      <c r="X16" s="406">
        <f t="shared" si="3"/>
        <v>0.1</v>
      </c>
      <c r="Y16" s="406">
        <f t="shared" si="3"/>
        <v>0.1</v>
      </c>
      <c r="Z16" s="406">
        <f t="shared" si="3"/>
        <v>0.1</v>
      </c>
      <c r="AA16" s="406">
        <f t="shared" si="3"/>
        <v>0.1</v>
      </c>
      <c r="AB16" s="406">
        <f t="shared" si="3"/>
        <v>0.1</v>
      </c>
      <c r="AC16" s="406">
        <f t="shared" si="3"/>
        <v>0.1</v>
      </c>
    </row>
    <row r="18" spans="2:29" ht="11.25" customHeight="1" collapsed="1">
      <c r="C18" s="390" t="s">
        <v>519</v>
      </c>
      <c r="D18" s="391"/>
      <c r="E18" s="392"/>
      <c r="F18" s="392"/>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row>
    <row r="19" spans="2:29">
      <c r="C19" s="386" t="s">
        <v>520</v>
      </c>
      <c r="D19" s="394" t="s">
        <v>470</v>
      </c>
      <c r="E19" s="397">
        <f ca="1">SUM(G19:AC19)</f>
        <v>4833.103564800791</v>
      </c>
      <c r="G19" s="408">
        <f ca="1">G8-G20</f>
        <v>155.99429899999996</v>
      </c>
      <c r="H19" s="408">
        <f t="shared" ref="H19:AC19" ca="1" si="4">H8-H20</f>
        <v>343.46764946670999</v>
      </c>
      <c r="I19" s="408">
        <f t="shared" ca="1" si="4"/>
        <v>677.71389931114004</v>
      </c>
      <c r="J19" s="408">
        <f t="shared" ca="1" si="4"/>
        <v>542.15414931113992</v>
      </c>
      <c r="K19" s="408">
        <f t="shared" si="4"/>
        <v>512.03669517858111</v>
      </c>
      <c r="L19" s="408">
        <f t="shared" si="4"/>
        <v>185.81300719102592</v>
      </c>
      <c r="M19" s="408">
        <f t="shared" si="4"/>
        <v>214.02863287685622</v>
      </c>
      <c r="N19" s="408">
        <f t="shared" si="4"/>
        <v>587.76578361934594</v>
      </c>
      <c r="O19" s="408">
        <f t="shared" si="4"/>
        <v>327.99202442645139</v>
      </c>
      <c r="P19" s="408">
        <f t="shared" si="4"/>
        <v>437.25985965517623</v>
      </c>
      <c r="Q19" s="408">
        <f t="shared" si="4"/>
        <v>299.45606805517622</v>
      </c>
      <c r="R19" s="408">
        <f t="shared" si="4"/>
        <v>297.33753805517625</v>
      </c>
      <c r="S19" s="408">
        <f t="shared" si="4"/>
        <v>176.75198448348982</v>
      </c>
      <c r="T19" s="408">
        <f t="shared" si="4"/>
        <v>27.61171116519192</v>
      </c>
      <c r="U19" s="408">
        <f t="shared" si="4"/>
        <v>33.714785157297584</v>
      </c>
      <c r="V19" s="408">
        <f t="shared" si="4"/>
        <v>0</v>
      </c>
      <c r="W19" s="408">
        <f t="shared" si="4"/>
        <v>4.2370600000000005</v>
      </c>
      <c r="X19" s="408">
        <f t="shared" si="4"/>
        <v>2.1185300000000002</v>
      </c>
      <c r="Y19" s="408">
        <f t="shared" si="4"/>
        <v>7.6498878480335799</v>
      </c>
      <c r="Z19" s="408">
        <f t="shared" si="4"/>
        <v>0</v>
      </c>
      <c r="AA19" s="408">
        <f t="shared" si="4"/>
        <v>0</v>
      </c>
      <c r="AB19" s="408">
        <f t="shared" si="4"/>
        <v>0</v>
      </c>
      <c r="AC19" s="408">
        <f t="shared" si="4"/>
        <v>0</v>
      </c>
    </row>
    <row r="20" spans="2:29">
      <c r="B20" s="400" t="s">
        <v>107</v>
      </c>
      <c r="C20" s="386" t="s">
        <v>521</v>
      </c>
      <c r="D20" s="394" t="s">
        <v>470</v>
      </c>
      <c r="E20" s="397">
        <f ca="1">SUM(G20:AC20)</f>
        <v>0</v>
      </c>
      <c r="F20" s="409" t="b">
        <f ca="1">SUM(E19:E20)=E8</f>
        <v>1</v>
      </c>
      <c r="G20" s="408">
        <f ca="1">IF($B$20="No",0,G8*G13)</f>
        <v>0</v>
      </c>
      <c r="H20" s="408">
        <f t="shared" ref="H20:AC20" ca="1" si="5">IF($B$20="No",0,H8*H13)</f>
        <v>0</v>
      </c>
      <c r="I20" s="408">
        <f t="shared" ca="1" si="5"/>
        <v>0</v>
      </c>
      <c r="J20" s="408">
        <f t="shared" ca="1" si="5"/>
        <v>0</v>
      </c>
      <c r="K20" s="408">
        <f t="shared" si="5"/>
        <v>0</v>
      </c>
      <c r="L20" s="408">
        <f t="shared" si="5"/>
        <v>0</v>
      </c>
      <c r="M20" s="408">
        <f t="shared" si="5"/>
        <v>0</v>
      </c>
      <c r="N20" s="408">
        <f t="shared" si="5"/>
        <v>0</v>
      </c>
      <c r="O20" s="408">
        <f t="shared" si="5"/>
        <v>0</v>
      </c>
      <c r="P20" s="408">
        <f t="shared" si="5"/>
        <v>0</v>
      </c>
      <c r="Q20" s="408">
        <f t="shared" si="5"/>
        <v>0</v>
      </c>
      <c r="R20" s="408">
        <f t="shared" si="5"/>
        <v>0</v>
      </c>
      <c r="S20" s="408">
        <f t="shared" si="5"/>
        <v>0</v>
      </c>
      <c r="T20" s="408">
        <f t="shared" si="5"/>
        <v>0</v>
      </c>
      <c r="U20" s="408">
        <f t="shared" si="5"/>
        <v>0</v>
      </c>
      <c r="V20" s="408">
        <f t="shared" si="5"/>
        <v>0</v>
      </c>
      <c r="W20" s="408">
        <f t="shared" si="5"/>
        <v>0</v>
      </c>
      <c r="X20" s="408">
        <f t="shared" si="5"/>
        <v>0</v>
      </c>
      <c r="Y20" s="408">
        <f t="shared" si="5"/>
        <v>0</v>
      </c>
      <c r="Z20" s="408">
        <f t="shared" si="5"/>
        <v>0</v>
      </c>
      <c r="AA20" s="408">
        <f t="shared" si="5"/>
        <v>0</v>
      </c>
      <c r="AB20" s="408">
        <f t="shared" si="5"/>
        <v>0</v>
      </c>
      <c r="AC20" s="408">
        <f t="shared" si="5"/>
        <v>0</v>
      </c>
    </row>
    <row r="21" spans="2:29">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row>
    <row r="22" spans="2:29">
      <c r="C22" s="386" t="s">
        <v>522</v>
      </c>
      <c r="D22" s="394" t="s">
        <v>470</v>
      </c>
      <c r="G22" s="408">
        <f t="shared" ref="G22:AC22" si="6">F63</f>
        <v>0</v>
      </c>
      <c r="H22" s="408">
        <f t="shared" ca="1" si="6"/>
        <v>0</v>
      </c>
      <c r="I22" s="408">
        <f t="shared" ca="1" si="6"/>
        <v>0</v>
      </c>
      <c r="J22" s="408">
        <f t="shared" ca="1" si="6"/>
        <v>0</v>
      </c>
      <c r="K22" s="408">
        <f t="shared" ca="1" si="6"/>
        <v>0</v>
      </c>
      <c r="L22" s="408">
        <f t="shared" ca="1" si="6"/>
        <v>0</v>
      </c>
      <c r="M22" s="408">
        <f t="shared" ca="1" si="6"/>
        <v>0</v>
      </c>
      <c r="N22" s="408">
        <f t="shared" ca="1" si="6"/>
        <v>0</v>
      </c>
      <c r="O22" s="408">
        <f t="shared" ca="1" si="6"/>
        <v>0</v>
      </c>
      <c r="P22" s="408">
        <f t="shared" ca="1" si="6"/>
        <v>0</v>
      </c>
      <c r="Q22" s="408">
        <f t="shared" ca="1" si="6"/>
        <v>0</v>
      </c>
      <c r="R22" s="408">
        <f t="shared" ca="1" si="6"/>
        <v>0</v>
      </c>
      <c r="S22" s="408">
        <f t="shared" ca="1" si="6"/>
        <v>0</v>
      </c>
      <c r="T22" s="408">
        <f t="shared" ca="1" si="6"/>
        <v>0</v>
      </c>
      <c r="U22" s="408">
        <f t="shared" ca="1" si="6"/>
        <v>0</v>
      </c>
      <c r="V22" s="408">
        <f t="shared" ca="1" si="6"/>
        <v>0</v>
      </c>
      <c r="W22" s="408">
        <f t="shared" ca="1" si="6"/>
        <v>0</v>
      </c>
      <c r="X22" s="408">
        <f t="shared" ca="1" si="6"/>
        <v>0</v>
      </c>
      <c r="Y22" s="408">
        <f t="shared" ca="1" si="6"/>
        <v>0</v>
      </c>
      <c r="Z22" s="408">
        <f t="shared" ca="1" si="6"/>
        <v>0</v>
      </c>
      <c r="AA22" s="408">
        <f t="shared" ca="1" si="6"/>
        <v>0</v>
      </c>
      <c r="AB22" s="408">
        <f t="shared" ca="1" si="6"/>
        <v>0</v>
      </c>
      <c r="AC22" s="408">
        <f t="shared" ca="1" si="6"/>
        <v>0</v>
      </c>
    </row>
    <row r="23" spans="2:29">
      <c r="B23" s="407"/>
      <c r="C23" s="386" t="s">
        <v>523</v>
      </c>
      <c r="D23" s="394" t="s">
        <v>470</v>
      </c>
      <c r="E23" s="397">
        <f t="shared" ref="E23:E59" ca="1" si="7">SUM(G23:AC23)</f>
        <v>0</v>
      </c>
      <c r="G23" s="408">
        <f t="shared" ref="G23:AC23" ca="1" si="8">+IF(G20&gt;0,G20,0)</f>
        <v>0</v>
      </c>
      <c r="H23" s="408">
        <f t="shared" ca="1" si="8"/>
        <v>0</v>
      </c>
      <c r="I23" s="408">
        <f t="shared" ca="1" si="8"/>
        <v>0</v>
      </c>
      <c r="J23" s="408">
        <f t="shared" ca="1" si="8"/>
        <v>0</v>
      </c>
      <c r="K23" s="408">
        <f t="shared" si="8"/>
        <v>0</v>
      </c>
      <c r="L23" s="408">
        <f t="shared" si="8"/>
        <v>0</v>
      </c>
      <c r="M23" s="408">
        <f t="shared" si="8"/>
        <v>0</v>
      </c>
      <c r="N23" s="408">
        <f t="shared" si="8"/>
        <v>0</v>
      </c>
      <c r="O23" s="408">
        <f t="shared" si="8"/>
        <v>0</v>
      </c>
      <c r="P23" s="408">
        <f t="shared" si="8"/>
        <v>0</v>
      </c>
      <c r="Q23" s="408">
        <f t="shared" si="8"/>
        <v>0</v>
      </c>
      <c r="R23" s="408">
        <f>+IF(R20&gt;0,R20,0)</f>
        <v>0</v>
      </c>
      <c r="S23" s="408">
        <f t="shared" si="8"/>
        <v>0</v>
      </c>
      <c r="T23" s="408">
        <f t="shared" si="8"/>
        <v>0</v>
      </c>
      <c r="U23" s="408">
        <f t="shared" si="8"/>
        <v>0</v>
      </c>
      <c r="V23" s="408">
        <f t="shared" si="8"/>
        <v>0</v>
      </c>
      <c r="W23" s="408">
        <f t="shared" si="8"/>
        <v>0</v>
      </c>
      <c r="X23" s="408">
        <f t="shared" si="8"/>
        <v>0</v>
      </c>
      <c r="Y23" s="408">
        <f t="shared" si="8"/>
        <v>0</v>
      </c>
      <c r="Z23" s="408">
        <f t="shared" si="8"/>
        <v>0</v>
      </c>
      <c r="AA23" s="408">
        <f t="shared" si="8"/>
        <v>0</v>
      </c>
      <c r="AB23" s="408">
        <f t="shared" si="8"/>
        <v>0</v>
      </c>
      <c r="AC23" s="408">
        <f t="shared" si="8"/>
        <v>0</v>
      </c>
    </row>
    <row r="24" spans="2:29">
      <c r="B24" s="407"/>
      <c r="C24" s="386" t="s">
        <v>524</v>
      </c>
      <c r="D24" s="394" t="s">
        <v>470</v>
      </c>
      <c r="E24" s="397">
        <f t="shared" ca="1" si="7"/>
        <v>0</v>
      </c>
      <c r="G24" s="408">
        <f>SUM(G25:G59)</f>
        <v>0</v>
      </c>
      <c r="H24" s="408">
        <f t="shared" ref="H24:AC24" si="9">SUM(H25:H59)</f>
        <v>0</v>
      </c>
      <c r="I24" s="408">
        <f t="shared" si="9"/>
        <v>0</v>
      </c>
      <c r="J24" s="408">
        <f t="shared" si="9"/>
        <v>0</v>
      </c>
      <c r="K24" s="408">
        <f t="shared" ca="1" si="9"/>
        <v>0</v>
      </c>
      <c r="L24" s="408">
        <f t="shared" ca="1" si="9"/>
        <v>0</v>
      </c>
      <c r="M24" s="408">
        <f t="shared" ca="1" si="9"/>
        <v>0</v>
      </c>
      <c r="N24" s="408">
        <f t="shared" ca="1" si="9"/>
        <v>0</v>
      </c>
      <c r="O24" s="408">
        <f t="shared" ca="1" si="9"/>
        <v>0</v>
      </c>
      <c r="P24" s="408">
        <f t="shared" ca="1" si="9"/>
        <v>0</v>
      </c>
      <c r="Q24" s="408">
        <f t="shared" ca="1" si="9"/>
        <v>0</v>
      </c>
      <c r="R24" s="408">
        <f t="shared" si="9"/>
        <v>0</v>
      </c>
      <c r="S24" s="408">
        <f t="shared" si="9"/>
        <v>0</v>
      </c>
      <c r="T24" s="408">
        <f t="shared" si="9"/>
        <v>0</v>
      </c>
      <c r="U24" s="408">
        <f t="shared" si="9"/>
        <v>0</v>
      </c>
      <c r="V24" s="408">
        <f t="shared" si="9"/>
        <v>0</v>
      </c>
      <c r="W24" s="408">
        <f t="shared" si="9"/>
        <v>0</v>
      </c>
      <c r="X24" s="408">
        <f t="shared" si="9"/>
        <v>0</v>
      </c>
      <c r="Y24" s="408">
        <f t="shared" si="9"/>
        <v>0</v>
      </c>
      <c r="Z24" s="408">
        <f t="shared" si="9"/>
        <v>0</v>
      </c>
      <c r="AA24" s="408">
        <f t="shared" si="9"/>
        <v>0</v>
      </c>
      <c r="AB24" s="408">
        <f t="shared" si="9"/>
        <v>0</v>
      </c>
      <c r="AC24" s="408">
        <f t="shared" si="9"/>
        <v>0</v>
      </c>
    </row>
    <row r="25" spans="2:29" outlineLevel="1">
      <c r="C25" s="386" cm="1">
        <f t="array" ref="C25:C47">TRANSPOSE(G2:AC2)</f>
        <v>-4</v>
      </c>
      <c r="D25" s="394" t="s">
        <v>470</v>
      </c>
      <c r="E25" s="397">
        <f t="shared" ca="1" si="7"/>
        <v>0</v>
      </c>
      <c r="F25" s="409"/>
      <c r="G25" s="408"/>
      <c r="H25" s="408"/>
      <c r="I25" s="408"/>
      <c r="J25" s="408"/>
      <c r="K25" s="408">
        <f t="shared" ref="K25:Q25" ca="1" si="10">$G20/7</f>
        <v>0</v>
      </c>
      <c r="L25" s="408">
        <f t="shared" ca="1" si="10"/>
        <v>0</v>
      </c>
      <c r="M25" s="408">
        <f t="shared" ca="1" si="10"/>
        <v>0</v>
      </c>
      <c r="N25" s="408">
        <f t="shared" ca="1" si="10"/>
        <v>0</v>
      </c>
      <c r="O25" s="408">
        <f t="shared" ca="1" si="10"/>
        <v>0</v>
      </c>
      <c r="P25" s="408">
        <f t="shared" ca="1" si="10"/>
        <v>0</v>
      </c>
      <c r="Q25" s="408">
        <f t="shared" ca="1" si="10"/>
        <v>0</v>
      </c>
      <c r="R25" s="408"/>
      <c r="S25" s="408"/>
      <c r="T25" s="408"/>
      <c r="U25" s="408"/>
      <c r="V25" s="408"/>
      <c r="W25" s="408"/>
      <c r="X25" s="408"/>
      <c r="Y25" s="408"/>
      <c r="Z25" s="408"/>
      <c r="AA25" s="408"/>
      <c r="AB25" s="408"/>
      <c r="AC25" s="408"/>
    </row>
    <row r="26" spans="2:29" outlineLevel="1">
      <c r="C26" s="386">
        <v>-3</v>
      </c>
      <c r="D26" s="394" t="s">
        <v>470</v>
      </c>
      <c r="E26" s="397">
        <f t="shared" ca="1" si="7"/>
        <v>0</v>
      </c>
      <c r="F26" s="409"/>
      <c r="G26" s="408"/>
      <c r="H26" s="408"/>
      <c r="I26" s="408"/>
      <c r="J26" s="408"/>
      <c r="K26" s="408">
        <f t="shared" ref="K26:Q26" ca="1" si="11">$H20/7</f>
        <v>0</v>
      </c>
      <c r="L26" s="408">
        <f t="shared" ca="1" si="11"/>
        <v>0</v>
      </c>
      <c r="M26" s="408">
        <f t="shared" ca="1" si="11"/>
        <v>0</v>
      </c>
      <c r="N26" s="408">
        <f t="shared" ca="1" si="11"/>
        <v>0</v>
      </c>
      <c r="O26" s="408">
        <f t="shared" ca="1" si="11"/>
        <v>0</v>
      </c>
      <c r="P26" s="408">
        <f t="shared" ca="1" si="11"/>
        <v>0</v>
      </c>
      <c r="Q26" s="408">
        <f t="shared" ca="1" si="11"/>
        <v>0</v>
      </c>
      <c r="S26" s="408"/>
      <c r="T26" s="408"/>
      <c r="U26" s="408"/>
      <c r="V26" s="408"/>
      <c r="W26" s="408"/>
      <c r="X26" s="408"/>
      <c r="Y26" s="408"/>
      <c r="Z26" s="408"/>
      <c r="AA26" s="408"/>
      <c r="AB26" s="408"/>
      <c r="AC26" s="408"/>
    </row>
    <row r="27" spans="2:29" outlineLevel="1">
      <c r="C27" s="386">
        <v>-2</v>
      </c>
      <c r="D27" s="394" t="s">
        <v>470</v>
      </c>
      <c r="E27" s="397">
        <f t="shared" ca="1" si="7"/>
        <v>0</v>
      </c>
      <c r="F27" s="409"/>
      <c r="G27" s="408"/>
      <c r="H27" s="408"/>
      <c r="I27" s="408"/>
      <c r="J27" s="408"/>
      <c r="K27" s="408">
        <f t="shared" ref="K27:Q27" ca="1" si="12">$I20/7</f>
        <v>0</v>
      </c>
      <c r="L27" s="408">
        <f t="shared" ca="1" si="12"/>
        <v>0</v>
      </c>
      <c r="M27" s="408">
        <f t="shared" ca="1" si="12"/>
        <v>0</v>
      </c>
      <c r="N27" s="408">
        <f t="shared" ca="1" si="12"/>
        <v>0</v>
      </c>
      <c r="O27" s="408">
        <f t="shared" ca="1" si="12"/>
        <v>0</v>
      </c>
      <c r="P27" s="408">
        <f t="shared" ca="1" si="12"/>
        <v>0</v>
      </c>
      <c r="Q27" s="408">
        <f t="shared" ca="1" si="12"/>
        <v>0</v>
      </c>
      <c r="T27" s="408"/>
      <c r="U27" s="408"/>
      <c r="V27" s="408"/>
      <c r="W27" s="408"/>
      <c r="X27" s="408"/>
      <c r="Y27" s="408"/>
      <c r="Z27" s="408"/>
      <c r="AA27" s="408"/>
      <c r="AB27" s="408"/>
      <c r="AC27" s="408"/>
    </row>
    <row r="28" spans="2:29" outlineLevel="1">
      <c r="C28" s="386">
        <v>-1</v>
      </c>
      <c r="D28" s="394" t="s">
        <v>470</v>
      </c>
      <c r="E28" s="397">
        <f t="shared" ca="1" si="7"/>
        <v>0</v>
      </c>
      <c r="F28" s="409"/>
      <c r="G28" s="408"/>
      <c r="H28" s="408"/>
      <c r="I28" s="408"/>
      <c r="J28" s="408"/>
      <c r="K28" s="408">
        <f t="shared" ref="K28:Q28" ca="1" si="13">$J20/7</f>
        <v>0</v>
      </c>
      <c r="L28" s="408">
        <f t="shared" ca="1" si="13"/>
        <v>0</v>
      </c>
      <c r="M28" s="408">
        <f t="shared" ca="1" si="13"/>
        <v>0</v>
      </c>
      <c r="N28" s="408">
        <f t="shared" ca="1" si="13"/>
        <v>0</v>
      </c>
      <c r="O28" s="408">
        <f t="shared" ca="1" si="13"/>
        <v>0</v>
      </c>
      <c r="P28" s="408">
        <f t="shared" ca="1" si="13"/>
        <v>0</v>
      </c>
      <c r="Q28" s="408">
        <f t="shared" ca="1" si="13"/>
        <v>0</v>
      </c>
      <c r="U28" s="408"/>
      <c r="V28" s="408"/>
      <c r="W28" s="408"/>
      <c r="X28" s="408"/>
      <c r="Y28" s="408"/>
      <c r="Z28" s="408"/>
      <c r="AA28" s="408"/>
      <c r="AB28" s="408"/>
      <c r="AC28" s="408"/>
    </row>
    <row r="29" spans="2:29" outlineLevel="1">
      <c r="C29" s="386">
        <v>1</v>
      </c>
      <c r="D29" s="394" t="s">
        <v>470</v>
      </c>
      <c r="E29" s="397">
        <f t="shared" si="7"/>
        <v>0</v>
      </c>
      <c r="F29" s="409"/>
      <c r="G29" s="408"/>
      <c r="H29" s="408"/>
      <c r="I29" s="408"/>
      <c r="J29" s="408"/>
      <c r="K29" s="408"/>
      <c r="L29" s="408">
        <f>$K20/7</f>
        <v>0</v>
      </c>
      <c r="M29" s="408">
        <f t="shared" ref="M29:R29" si="14">$K20/7</f>
        <v>0</v>
      </c>
      <c r="N29" s="408">
        <f t="shared" si="14"/>
        <v>0</v>
      </c>
      <c r="O29" s="408">
        <f t="shared" si="14"/>
        <v>0</v>
      </c>
      <c r="P29" s="408">
        <f t="shared" si="14"/>
        <v>0</v>
      </c>
      <c r="Q29" s="408">
        <f t="shared" si="14"/>
        <v>0</v>
      </c>
      <c r="R29" s="408">
        <f t="shared" si="14"/>
        <v>0</v>
      </c>
      <c r="V29" s="408"/>
      <c r="W29" s="408"/>
      <c r="X29" s="408"/>
      <c r="Y29" s="408"/>
      <c r="Z29" s="408"/>
      <c r="AA29" s="408"/>
      <c r="AB29" s="408"/>
      <c r="AC29" s="408"/>
    </row>
    <row r="30" spans="2:29" outlineLevel="1">
      <c r="C30" s="386">
        <v>2</v>
      </c>
      <c r="D30" s="394" t="s">
        <v>470</v>
      </c>
      <c r="E30" s="397">
        <f t="shared" si="7"/>
        <v>0</v>
      </c>
      <c r="F30" s="409"/>
      <c r="G30" s="408"/>
      <c r="H30" s="408"/>
      <c r="I30" s="408"/>
      <c r="J30" s="408"/>
      <c r="K30" s="408"/>
      <c r="L30" s="408"/>
      <c r="M30" s="408">
        <f>$L20/7</f>
        <v>0</v>
      </c>
      <c r="N30" s="408">
        <f t="shared" ref="N30:S30" si="15">$L20/7</f>
        <v>0</v>
      </c>
      <c r="O30" s="408">
        <f t="shared" si="15"/>
        <v>0</v>
      </c>
      <c r="P30" s="408">
        <f t="shared" si="15"/>
        <v>0</v>
      </c>
      <c r="Q30" s="408">
        <f t="shared" si="15"/>
        <v>0</v>
      </c>
      <c r="R30" s="408">
        <f t="shared" si="15"/>
        <v>0</v>
      </c>
      <c r="S30" s="408">
        <f t="shared" si="15"/>
        <v>0</v>
      </c>
      <c r="W30" s="408"/>
      <c r="X30" s="408"/>
      <c r="Y30" s="408"/>
      <c r="Z30" s="408"/>
      <c r="AA30" s="408"/>
      <c r="AB30" s="408"/>
      <c r="AC30" s="408"/>
    </row>
    <row r="31" spans="2:29" outlineLevel="1">
      <c r="C31" s="386">
        <v>3</v>
      </c>
      <c r="D31" s="394" t="s">
        <v>470</v>
      </c>
      <c r="E31" s="397">
        <f t="shared" si="7"/>
        <v>0</v>
      </c>
      <c r="F31" s="409"/>
      <c r="G31" s="408"/>
      <c r="H31" s="408"/>
      <c r="I31" s="408"/>
      <c r="J31" s="408"/>
      <c r="K31" s="408"/>
      <c r="L31" s="408"/>
      <c r="M31" s="408"/>
      <c r="N31" s="408">
        <f>$M20/7</f>
        <v>0</v>
      </c>
      <c r="O31" s="408">
        <f t="shared" ref="O31:T31" si="16">$M20/7</f>
        <v>0</v>
      </c>
      <c r="P31" s="408">
        <f t="shared" si="16"/>
        <v>0</v>
      </c>
      <c r="Q31" s="408">
        <f t="shared" si="16"/>
        <v>0</v>
      </c>
      <c r="R31" s="408">
        <f t="shared" si="16"/>
        <v>0</v>
      </c>
      <c r="S31" s="408">
        <f t="shared" si="16"/>
        <v>0</v>
      </c>
      <c r="T31" s="408">
        <f t="shared" si="16"/>
        <v>0</v>
      </c>
      <c r="X31" s="408"/>
      <c r="Y31" s="408"/>
      <c r="Z31" s="408"/>
      <c r="AA31" s="408"/>
      <c r="AB31" s="408"/>
      <c r="AC31" s="408"/>
    </row>
    <row r="32" spans="2:29" outlineLevel="1">
      <c r="C32" s="386">
        <v>4</v>
      </c>
      <c r="D32" s="394" t="s">
        <v>470</v>
      </c>
      <c r="E32" s="397">
        <f t="shared" si="7"/>
        <v>0</v>
      </c>
      <c r="F32" s="409"/>
      <c r="G32" s="408"/>
      <c r="H32" s="408"/>
      <c r="I32" s="408"/>
      <c r="J32" s="408"/>
      <c r="K32" s="408"/>
      <c r="L32" s="408"/>
      <c r="M32" s="408"/>
      <c r="N32" s="408"/>
      <c r="O32" s="408">
        <f>$N20/7</f>
        <v>0</v>
      </c>
      <c r="P32" s="408">
        <f t="shared" ref="P32:U32" si="17">$N20/7</f>
        <v>0</v>
      </c>
      <c r="Q32" s="408">
        <f t="shared" si="17"/>
        <v>0</v>
      </c>
      <c r="R32" s="408">
        <f t="shared" si="17"/>
        <v>0</v>
      </c>
      <c r="S32" s="408">
        <f t="shared" si="17"/>
        <v>0</v>
      </c>
      <c r="T32" s="408">
        <f t="shared" si="17"/>
        <v>0</v>
      </c>
      <c r="U32" s="408">
        <f t="shared" si="17"/>
        <v>0</v>
      </c>
      <c r="Y32" s="408"/>
      <c r="Z32" s="408"/>
      <c r="AA32" s="408"/>
      <c r="AB32" s="408"/>
      <c r="AC32" s="408"/>
    </row>
    <row r="33" spans="3:29" outlineLevel="1">
      <c r="C33" s="386">
        <v>5</v>
      </c>
      <c r="D33" s="394" t="s">
        <v>470</v>
      </c>
      <c r="E33" s="397">
        <f t="shared" si="7"/>
        <v>0</v>
      </c>
      <c r="F33" s="409"/>
      <c r="G33" s="408"/>
      <c r="H33" s="408"/>
      <c r="I33" s="408"/>
      <c r="J33" s="408"/>
      <c r="K33" s="408"/>
      <c r="L33" s="408"/>
      <c r="M33" s="408"/>
      <c r="N33" s="408"/>
      <c r="O33" s="408"/>
      <c r="P33" s="408">
        <f>$O20/7</f>
        <v>0</v>
      </c>
      <c r="Q33" s="408">
        <f t="shared" ref="Q33:V33" si="18">$O20/7</f>
        <v>0</v>
      </c>
      <c r="R33" s="408">
        <f t="shared" si="18"/>
        <v>0</v>
      </c>
      <c r="S33" s="408">
        <f t="shared" si="18"/>
        <v>0</v>
      </c>
      <c r="T33" s="408">
        <f t="shared" si="18"/>
        <v>0</v>
      </c>
      <c r="U33" s="408">
        <f t="shared" si="18"/>
        <v>0</v>
      </c>
      <c r="V33" s="408">
        <f t="shared" si="18"/>
        <v>0</v>
      </c>
      <c r="Z33" s="408"/>
      <c r="AA33" s="408"/>
      <c r="AB33" s="408"/>
      <c r="AC33" s="408"/>
    </row>
    <row r="34" spans="3:29" outlineLevel="1">
      <c r="C34" s="386">
        <v>6</v>
      </c>
      <c r="D34" s="394" t="s">
        <v>470</v>
      </c>
      <c r="E34" s="397">
        <f t="shared" si="7"/>
        <v>0</v>
      </c>
      <c r="F34" s="409"/>
      <c r="G34" s="408"/>
      <c r="H34" s="408"/>
      <c r="I34" s="408"/>
      <c r="J34" s="408"/>
      <c r="K34" s="408"/>
      <c r="L34" s="408"/>
      <c r="M34" s="408"/>
      <c r="N34" s="408"/>
      <c r="O34" s="408"/>
      <c r="P34" s="408"/>
      <c r="Q34" s="408">
        <f>$P20/7</f>
        <v>0</v>
      </c>
      <c r="R34" s="408">
        <f t="shared" ref="R34:W34" si="19">$P20/7</f>
        <v>0</v>
      </c>
      <c r="S34" s="408">
        <f t="shared" si="19"/>
        <v>0</v>
      </c>
      <c r="T34" s="408">
        <f t="shared" si="19"/>
        <v>0</v>
      </c>
      <c r="U34" s="408">
        <f t="shared" si="19"/>
        <v>0</v>
      </c>
      <c r="V34" s="408">
        <f t="shared" si="19"/>
        <v>0</v>
      </c>
      <c r="W34" s="408">
        <f t="shared" si="19"/>
        <v>0</v>
      </c>
      <c r="AA34" s="408"/>
      <c r="AB34" s="408"/>
      <c r="AC34" s="408"/>
    </row>
    <row r="35" spans="3:29" outlineLevel="1">
      <c r="C35" s="386">
        <v>7</v>
      </c>
      <c r="D35" s="394" t="s">
        <v>470</v>
      </c>
      <c r="E35" s="397">
        <f t="shared" si="7"/>
        <v>0</v>
      </c>
      <c r="F35" s="409"/>
      <c r="G35" s="408"/>
      <c r="H35" s="408"/>
      <c r="I35" s="408"/>
      <c r="J35" s="408"/>
      <c r="K35" s="408"/>
      <c r="L35" s="408"/>
      <c r="M35" s="408"/>
      <c r="N35" s="408"/>
      <c r="O35" s="408"/>
      <c r="P35" s="408"/>
      <c r="Q35" s="408"/>
      <c r="R35" s="408">
        <f>$Q20/7</f>
        <v>0</v>
      </c>
      <c r="S35" s="408">
        <f t="shared" ref="S35:X35" si="20">$Q20/7</f>
        <v>0</v>
      </c>
      <c r="T35" s="408">
        <f t="shared" si="20"/>
        <v>0</v>
      </c>
      <c r="U35" s="408">
        <f t="shared" si="20"/>
        <v>0</v>
      </c>
      <c r="V35" s="408">
        <f t="shared" si="20"/>
        <v>0</v>
      </c>
      <c r="W35" s="408">
        <f t="shared" si="20"/>
        <v>0</v>
      </c>
      <c r="X35" s="408">
        <f t="shared" si="20"/>
        <v>0</v>
      </c>
      <c r="AB35" s="408"/>
      <c r="AC35" s="408"/>
    </row>
    <row r="36" spans="3:29" outlineLevel="1">
      <c r="C36" s="386">
        <v>8</v>
      </c>
      <c r="D36" s="394" t="s">
        <v>470</v>
      </c>
      <c r="E36" s="397">
        <f t="shared" si="7"/>
        <v>0</v>
      </c>
      <c r="F36" s="409"/>
      <c r="G36" s="408"/>
      <c r="H36" s="408"/>
      <c r="I36" s="408"/>
      <c r="J36" s="408"/>
      <c r="K36" s="408"/>
      <c r="L36" s="408"/>
      <c r="M36" s="408"/>
      <c r="N36" s="408"/>
      <c r="O36" s="408"/>
      <c r="P36" s="408"/>
      <c r="Q36" s="408"/>
      <c r="R36" s="408"/>
      <c r="S36" s="408">
        <f>$R20/7</f>
        <v>0</v>
      </c>
      <c r="T36" s="408">
        <f t="shared" ref="T36:Y36" si="21">$R20/7</f>
        <v>0</v>
      </c>
      <c r="U36" s="408">
        <f t="shared" si="21"/>
        <v>0</v>
      </c>
      <c r="V36" s="408">
        <f t="shared" si="21"/>
        <v>0</v>
      </c>
      <c r="W36" s="408">
        <f t="shared" si="21"/>
        <v>0</v>
      </c>
      <c r="X36" s="408">
        <f t="shared" si="21"/>
        <v>0</v>
      </c>
      <c r="Y36" s="408">
        <f t="shared" si="21"/>
        <v>0</v>
      </c>
      <c r="AC36" s="408"/>
    </row>
    <row r="37" spans="3:29" outlineLevel="1">
      <c r="C37" s="386">
        <v>9</v>
      </c>
      <c r="D37" s="394" t="s">
        <v>470</v>
      </c>
      <c r="E37" s="397">
        <f t="shared" si="7"/>
        <v>0</v>
      </c>
      <c r="F37" s="409"/>
      <c r="G37" s="408"/>
      <c r="H37" s="408"/>
      <c r="I37" s="408"/>
      <c r="J37" s="408"/>
      <c r="K37" s="408"/>
      <c r="L37" s="408"/>
      <c r="M37" s="408"/>
      <c r="N37" s="408"/>
      <c r="O37" s="408"/>
      <c r="P37" s="408"/>
      <c r="Q37" s="408"/>
      <c r="R37" s="408"/>
      <c r="S37" s="408"/>
      <c r="T37" s="408">
        <f>$S20/7</f>
        <v>0</v>
      </c>
      <c r="U37" s="408">
        <f t="shared" ref="U37:Z37" si="22">$S20/7</f>
        <v>0</v>
      </c>
      <c r="V37" s="408">
        <f t="shared" si="22"/>
        <v>0</v>
      </c>
      <c r="W37" s="408">
        <f t="shared" si="22"/>
        <v>0</v>
      </c>
      <c r="X37" s="408">
        <f t="shared" si="22"/>
        <v>0</v>
      </c>
      <c r="Y37" s="408">
        <f t="shared" si="22"/>
        <v>0</v>
      </c>
      <c r="Z37" s="408">
        <f t="shared" si="22"/>
        <v>0</v>
      </c>
    </row>
    <row r="38" spans="3:29" outlineLevel="1">
      <c r="C38" s="386">
        <v>10</v>
      </c>
      <c r="D38" s="394" t="s">
        <v>470</v>
      </c>
      <c r="E38" s="397">
        <f t="shared" si="7"/>
        <v>0</v>
      </c>
      <c r="F38" s="409"/>
      <c r="G38" s="408"/>
      <c r="H38" s="408"/>
      <c r="I38" s="408"/>
      <c r="J38" s="408"/>
      <c r="K38" s="408"/>
      <c r="L38" s="408"/>
      <c r="M38" s="408"/>
      <c r="N38" s="408"/>
      <c r="O38" s="408"/>
      <c r="P38" s="408"/>
      <c r="Q38" s="408"/>
      <c r="R38" s="408"/>
      <c r="S38" s="408"/>
      <c r="T38" s="408"/>
      <c r="U38" s="408">
        <f>$T20/7</f>
        <v>0</v>
      </c>
      <c r="V38" s="408">
        <f t="shared" ref="V38:AA38" si="23">$T20/7</f>
        <v>0</v>
      </c>
      <c r="W38" s="408">
        <f t="shared" si="23"/>
        <v>0</v>
      </c>
      <c r="X38" s="408">
        <f t="shared" si="23"/>
        <v>0</v>
      </c>
      <c r="Y38" s="408">
        <f t="shared" si="23"/>
        <v>0</v>
      </c>
      <c r="Z38" s="408">
        <f t="shared" si="23"/>
        <v>0</v>
      </c>
      <c r="AA38" s="408">
        <f t="shared" si="23"/>
        <v>0</v>
      </c>
    </row>
    <row r="39" spans="3:29" outlineLevel="1">
      <c r="C39" s="386">
        <v>11</v>
      </c>
      <c r="D39" s="394" t="s">
        <v>470</v>
      </c>
      <c r="E39" s="397">
        <f t="shared" si="7"/>
        <v>0</v>
      </c>
      <c r="F39" s="409"/>
      <c r="G39" s="408"/>
      <c r="H39" s="408"/>
      <c r="I39" s="408"/>
      <c r="J39" s="408"/>
      <c r="K39" s="408"/>
      <c r="L39" s="408"/>
      <c r="M39" s="408"/>
      <c r="N39" s="408"/>
      <c r="O39" s="408"/>
      <c r="P39" s="408"/>
      <c r="Q39" s="408"/>
      <c r="R39" s="408"/>
      <c r="S39" s="408"/>
      <c r="T39" s="408"/>
      <c r="U39" s="408"/>
      <c r="V39" s="408">
        <f>$U20/7</f>
        <v>0</v>
      </c>
      <c r="W39" s="408">
        <f t="shared" ref="W39:AB39" si="24">$U20/7</f>
        <v>0</v>
      </c>
      <c r="X39" s="408">
        <f t="shared" si="24"/>
        <v>0</v>
      </c>
      <c r="Y39" s="408">
        <f t="shared" si="24"/>
        <v>0</v>
      </c>
      <c r="Z39" s="408">
        <f t="shared" si="24"/>
        <v>0</v>
      </c>
      <c r="AA39" s="408">
        <f t="shared" si="24"/>
        <v>0</v>
      </c>
      <c r="AB39" s="408">
        <f t="shared" si="24"/>
        <v>0</v>
      </c>
    </row>
    <row r="40" spans="3:29" outlineLevel="1">
      <c r="C40" s="386">
        <v>12</v>
      </c>
      <c r="D40" s="394" t="s">
        <v>470</v>
      </c>
      <c r="E40" s="397">
        <f t="shared" si="7"/>
        <v>0</v>
      </c>
      <c r="F40" s="409"/>
      <c r="G40" s="408"/>
      <c r="H40" s="408"/>
      <c r="I40" s="408"/>
      <c r="J40" s="408"/>
      <c r="K40" s="408"/>
      <c r="L40" s="408"/>
      <c r="M40" s="408"/>
      <c r="N40" s="408"/>
      <c r="O40" s="408"/>
      <c r="P40" s="408"/>
      <c r="Q40" s="408"/>
      <c r="R40" s="408"/>
      <c r="S40" s="408"/>
      <c r="T40" s="408"/>
      <c r="U40" s="408"/>
      <c r="V40" s="408"/>
      <c r="W40" s="408">
        <f>$V20/7</f>
        <v>0</v>
      </c>
      <c r="X40" s="408">
        <f t="shared" ref="X40:AC40" si="25">$V20/7</f>
        <v>0</v>
      </c>
      <c r="Y40" s="408">
        <f t="shared" si="25"/>
        <v>0</v>
      </c>
      <c r="Z40" s="408">
        <f t="shared" si="25"/>
        <v>0</v>
      </c>
      <c r="AA40" s="408">
        <f t="shared" si="25"/>
        <v>0</v>
      </c>
      <c r="AB40" s="408">
        <f t="shared" si="25"/>
        <v>0</v>
      </c>
      <c r="AC40" s="408">
        <f t="shared" si="25"/>
        <v>0</v>
      </c>
    </row>
    <row r="41" spans="3:29" outlineLevel="1">
      <c r="C41" s="386">
        <v>13</v>
      </c>
      <c r="D41" s="394" t="s">
        <v>470</v>
      </c>
      <c r="E41" s="397">
        <f t="shared" si="7"/>
        <v>0</v>
      </c>
      <c r="F41" s="409"/>
      <c r="G41" s="408"/>
      <c r="H41" s="408"/>
      <c r="I41" s="408"/>
      <c r="J41" s="408"/>
      <c r="K41" s="408"/>
      <c r="L41" s="408"/>
      <c r="M41" s="408"/>
      <c r="N41" s="408"/>
      <c r="O41" s="408"/>
      <c r="P41" s="408"/>
      <c r="Q41" s="408"/>
      <c r="R41" s="408"/>
      <c r="S41" s="408"/>
      <c r="T41" s="408"/>
      <c r="U41" s="408"/>
      <c r="V41" s="408"/>
      <c r="W41" s="408"/>
      <c r="X41" s="408">
        <f>$W20/6</f>
        <v>0</v>
      </c>
      <c r="Y41" s="408">
        <f t="shared" ref="Y41:AC41" si="26">$W20/6</f>
        <v>0</v>
      </c>
      <c r="Z41" s="408">
        <f t="shared" si="26"/>
        <v>0</v>
      </c>
      <c r="AA41" s="408">
        <f t="shared" si="26"/>
        <v>0</v>
      </c>
      <c r="AB41" s="408">
        <f t="shared" si="26"/>
        <v>0</v>
      </c>
      <c r="AC41" s="408">
        <f t="shared" si="26"/>
        <v>0</v>
      </c>
    </row>
    <row r="42" spans="3:29" outlineLevel="1">
      <c r="C42" s="386">
        <v>14</v>
      </c>
      <c r="D42" s="394" t="s">
        <v>470</v>
      </c>
      <c r="E42" s="397">
        <f t="shared" si="7"/>
        <v>0</v>
      </c>
      <c r="F42" s="409"/>
      <c r="G42" s="408"/>
      <c r="H42" s="408"/>
      <c r="I42" s="408"/>
      <c r="J42" s="408"/>
      <c r="K42" s="408"/>
      <c r="L42" s="408"/>
      <c r="M42" s="408"/>
      <c r="N42" s="408"/>
      <c r="O42" s="408"/>
      <c r="P42" s="408"/>
      <c r="Q42" s="408"/>
      <c r="R42" s="408"/>
      <c r="S42" s="408"/>
      <c r="T42" s="408"/>
      <c r="U42" s="408"/>
      <c r="V42" s="408"/>
      <c r="W42" s="408"/>
      <c r="X42" s="408"/>
      <c r="Y42" s="408">
        <f>$X20/5</f>
        <v>0</v>
      </c>
      <c r="Z42" s="408">
        <f t="shared" ref="Z42:AC42" si="27">$X20/5</f>
        <v>0</v>
      </c>
      <c r="AA42" s="408">
        <f t="shared" si="27"/>
        <v>0</v>
      </c>
      <c r="AB42" s="408">
        <f t="shared" si="27"/>
        <v>0</v>
      </c>
      <c r="AC42" s="408">
        <f t="shared" si="27"/>
        <v>0</v>
      </c>
    </row>
    <row r="43" spans="3:29" outlineLevel="1">
      <c r="C43" s="386">
        <v>15</v>
      </c>
      <c r="D43" s="394" t="s">
        <v>470</v>
      </c>
      <c r="E43" s="397">
        <f t="shared" si="7"/>
        <v>0</v>
      </c>
      <c r="F43" s="409"/>
      <c r="G43" s="408"/>
      <c r="H43" s="408"/>
      <c r="I43" s="408"/>
      <c r="J43" s="408"/>
      <c r="K43" s="408"/>
      <c r="L43" s="408"/>
      <c r="M43" s="408"/>
      <c r="N43" s="408"/>
      <c r="O43" s="408"/>
      <c r="P43" s="408"/>
      <c r="Q43" s="408"/>
      <c r="R43" s="408"/>
      <c r="S43" s="408"/>
      <c r="T43" s="408"/>
      <c r="U43" s="408"/>
      <c r="V43" s="408"/>
      <c r="W43" s="408"/>
      <c r="X43" s="408"/>
      <c r="Y43" s="408"/>
      <c r="Z43" s="408">
        <f>$Y20/4</f>
        <v>0</v>
      </c>
      <c r="AA43" s="408">
        <f t="shared" ref="AA43:AC43" si="28">$Y20/4</f>
        <v>0</v>
      </c>
      <c r="AB43" s="408">
        <f t="shared" si="28"/>
        <v>0</v>
      </c>
      <c r="AC43" s="408">
        <f t="shared" si="28"/>
        <v>0</v>
      </c>
    </row>
    <row r="44" spans="3:29" outlineLevel="1">
      <c r="C44" s="386">
        <v>16</v>
      </c>
      <c r="D44" s="394" t="s">
        <v>470</v>
      </c>
      <c r="E44" s="397">
        <f t="shared" si="7"/>
        <v>0</v>
      </c>
      <c r="F44" s="409"/>
      <c r="G44" s="408"/>
      <c r="H44" s="408"/>
      <c r="I44" s="408"/>
      <c r="J44" s="408"/>
      <c r="K44" s="408"/>
      <c r="L44" s="408"/>
      <c r="M44" s="408"/>
      <c r="N44" s="408"/>
      <c r="O44" s="408"/>
      <c r="P44" s="408"/>
      <c r="Q44" s="408"/>
      <c r="R44" s="408"/>
      <c r="S44" s="408"/>
      <c r="T44" s="408"/>
      <c r="U44" s="408"/>
      <c r="V44" s="408"/>
      <c r="W44" s="408"/>
      <c r="X44" s="408"/>
      <c r="Y44" s="408"/>
      <c r="Z44" s="408"/>
      <c r="AA44" s="408">
        <f>$Z20/3</f>
        <v>0</v>
      </c>
      <c r="AB44" s="408">
        <f t="shared" ref="AB44:AC44" si="29">$Z20/3</f>
        <v>0</v>
      </c>
      <c r="AC44" s="408">
        <f t="shared" si="29"/>
        <v>0</v>
      </c>
    </row>
    <row r="45" spans="3:29" outlineLevel="1">
      <c r="C45" s="386">
        <v>17</v>
      </c>
      <c r="D45" s="394" t="s">
        <v>470</v>
      </c>
      <c r="E45" s="397">
        <f t="shared" si="7"/>
        <v>0</v>
      </c>
      <c r="F45" s="409"/>
      <c r="G45" s="408"/>
      <c r="H45" s="408"/>
      <c r="I45" s="408"/>
      <c r="J45" s="408"/>
      <c r="K45" s="408"/>
      <c r="L45" s="408"/>
      <c r="M45" s="408"/>
      <c r="N45" s="408"/>
      <c r="O45" s="408"/>
      <c r="P45" s="408"/>
      <c r="Q45" s="408"/>
      <c r="R45" s="408"/>
      <c r="S45" s="408"/>
      <c r="T45" s="408"/>
      <c r="U45" s="408"/>
      <c r="V45" s="408"/>
      <c r="W45" s="408"/>
      <c r="X45" s="408"/>
      <c r="Y45" s="408"/>
      <c r="Z45" s="408"/>
      <c r="AA45" s="408"/>
      <c r="AB45" s="408">
        <f>$AA20/2</f>
        <v>0</v>
      </c>
      <c r="AC45" s="408">
        <f t="shared" ref="AC45" si="30">$AA20/2</f>
        <v>0</v>
      </c>
    </row>
    <row r="46" spans="3:29" outlineLevel="1">
      <c r="C46" s="386">
        <v>18</v>
      </c>
      <c r="D46" s="394" t="s">
        <v>470</v>
      </c>
      <c r="E46" s="397">
        <f t="shared" si="7"/>
        <v>0</v>
      </c>
      <c r="F46" s="409"/>
      <c r="G46" s="408"/>
      <c r="H46" s="408"/>
      <c r="I46" s="408"/>
      <c r="J46" s="408"/>
      <c r="K46" s="408"/>
      <c r="L46" s="408"/>
      <c r="M46" s="408"/>
      <c r="N46" s="408"/>
      <c r="O46" s="408"/>
      <c r="P46" s="408"/>
      <c r="Q46" s="408"/>
      <c r="R46" s="408"/>
      <c r="S46" s="408"/>
      <c r="T46" s="408"/>
      <c r="U46" s="408"/>
      <c r="V46" s="408"/>
      <c r="W46" s="408"/>
      <c r="X46" s="408"/>
      <c r="Y46" s="408"/>
      <c r="Z46" s="408"/>
      <c r="AA46" s="408"/>
      <c r="AB46" s="408"/>
      <c r="AC46" s="408">
        <f>$AB20/1</f>
        <v>0</v>
      </c>
    </row>
    <row r="47" spans="3:29" outlineLevel="1">
      <c r="C47" s="386">
        <v>19</v>
      </c>
      <c r="D47" s="394" t="s">
        <v>470</v>
      </c>
      <c r="E47" s="397">
        <f t="shared" si="7"/>
        <v>0</v>
      </c>
      <c r="F47" s="409"/>
      <c r="G47" s="408"/>
      <c r="H47" s="408"/>
      <c r="I47" s="408"/>
      <c r="J47" s="408"/>
      <c r="K47" s="408"/>
      <c r="L47" s="408"/>
      <c r="M47" s="408"/>
      <c r="N47" s="408"/>
      <c r="O47" s="408"/>
      <c r="P47" s="408"/>
      <c r="Q47" s="408"/>
      <c r="R47" s="408"/>
      <c r="S47" s="408"/>
      <c r="T47" s="408"/>
      <c r="U47" s="408"/>
      <c r="V47" s="408"/>
      <c r="W47" s="408"/>
      <c r="X47" s="408"/>
      <c r="Y47" s="408"/>
      <c r="Z47" s="408"/>
      <c r="AA47" s="408"/>
      <c r="AB47" s="408"/>
      <c r="AC47" s="408"/>
    </row>
    <row r="48" spans="3:29" outlineLevel="1">
      <c r="D48" s="394" t="s">
        <v>470</v>
      </c>
      <c r="E48" s="397">
        <f t="shared" si="7"/>
        <v>0</v>
      </c>
      <c r="F48" s="409"/>
      <c r="G48" s="408"/>
      <c r="H48" s="408"/>
      <c r="I48" s="408"/>
      <c r="J48" s="408"/>
      <c r="K48" s="408"/>
      <c r="L48" s="408"/>
      <c r="M48" s="408"/>
      <c r="N48" s="408"/>
      <c r="O48" s="408"/>
      <c r="P48" s="408"/>
      <c r="Q48" s="408"/>
      <c r="R48" s="408"/>
      <c r="S48" s="408"/>
      <c r="T48" s="408"/>
      <c r="U48" s="408"/>
      <c r="V48" s="408"/>
      <c r="W48" s="408"/>
      <c r="X48" s="408"/>
      <c r="Y48" s="408"/>
      <c r="Z48" s="408"/>
      <c r="AA48" s="408"/>
      <c r="AB48" s="408"/>
      <c r="AC48" s="408"/>
    </row>
    <row r="49" spans="3:29" outlineLevel="1">
      <c r="D49" s="394" t="s">
        <v>470</v>
      </c>
      <c r="E49" s="397">
        <f t="shared" si="7"/>
        <v>0</v>
      </c>
      <c r="F49" s="409"/>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row>
    <row r="50" spans="3:29" outlineLevel="1">
      <c r="D50" s="394" t="s">
        <v>470</v>
      </c>
      <c r="E50" s="397">
        <f t="shared" si="7"/>
        <v>0</v>
      </c>
      <c r="F50" s="409"/>
      <c r="G50" s="408"/>
      <c r="H50" s="408"/>
      <c r="I50" s="408"/>
      <c r="J50" s="408"/>
      <c r="K50" s="408"/>
      <c r="L50" s="408"/>
      <c r="M50" s="408"/>
      <c r="N50" s="408"/>
      <c r="O50" s="408"/>
      <c r="P50" s="408"/>
      <c r="Q50" s="408"/>
      <c r="R50" s="408"/>
      <c r="S50" s="408"/>
      <c r="T50" s="408"/>
      <c r="U50" s="408"/>
      <c r="V50" s="408"/>
      <c r="W50" s="408"/>
      <c r="X50" s="408"/>
      <c r="Y50" s="408"/>
      <c r="Z50" s="408"/>
      <c r="AA50" s="408"/>
      <c r="AB50" s="408"/>
      <c r="AC50" s="408"/>
    </row>
    <row r="51" spans="3:29" outlineLevel="1">
      <c r="D51" s="394" t="s">
        <v>470</v>
      </c>
      <c r="E51" s="397">
        <f t="shared" si="7"/>
        <v>0</v>
      </c>
      <c r="F51" s="409"/>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row>
    <row r="52" spans="3:29" outlineLevel="1">
      <c r="D52" s="394" t="s">
        <v>470</v>
      </c>
      <c r="E52" s="397">
        <f t="shared" si="7"/>
        <v>0</v>
      </c>
      <c r="F52" s="409"/>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row>
    <row r="53" spans="3:29" outlineLevel="1">
      <c r="D53" s="394" t="s">
        <v>470</v>
      </c>
      <c r="E53" s="397">
        <f t="shared" si="7"/>
        <v>0</v>
      </c>
      <c r="F53" s="409"/>
      <c r="G53" s="408"/>
      <c r="H53" s="408"/>
      <c r="I53" s="408"/>
      <c r="J53" s="408"/>
      <c r="K53" s="408"/>
      <c r="L53" s="408"/>
      <c r="M53" s="408"/>
      <c r="N53" s="408"/>
      <c r="O53" s="408"/>
      <c r="P53" s="408"/>
      <c r="Q53" s="408"/>
      <c r="R53" s="408"/>
      <c r="S53" s="408"/>
      <c r="T53" s="408"/>
      <c r="U53" s="408"/>
      <c r="V53" s="408"/>
      <c r="W53" s="408"/>
      <c r="X53" s="408"/>
      <c r="Y53" s="408"/>
      <c r="Z53" s="408"/>
      <c r="AA53" s="408"/>
      <c r="AB53" s="408"/>
      <c r="AC53" s="408"/>
    </row>
    <row r="54" spans="3:29" outlineLevel="1">
      <c r="D54" s="394" t="s">
        <v>470</v>
      </c>
      <c r="E54" s="397">
        <f t="shared" si="7"/>
        <v>0</v>
      </c>
      <c r="F54" s="409"/>
      <c r="G54" s="408"/>
      <c r="H54" s="408"/>
      <c r="I54" s="408"/>
      <c r="J54" s="408"/>
      <c r="K54" s="408"/>
      <c r="L54" s="408"/>
      <c r="M54" s="408"/>
      <c r="N54" s="408"/>
      <c r="O54" s="408"/>
      <c r="P54" s="408"/>
      <c r="Q54" s="408"/>
      <c r="R54" s="408"/>
      <c r="S54" s="408"/>
      <c r="T54" s="408"/>
      <c r="U54" s="408"/>
      <c r="V54" s="408"/>
      <c r="W54" s="408"/>
      <c r="X54" s="408"/>
      <c r="Y54" s="408"/>
      <c r="Z54" s="408"/>
      <c r="AA54" s="408"/>
      <c r="AB54" s="408"/>
      <c r="AC54" s="408"/>
    </row>
    <row r="55" spans="3:29" outlineLevel="1">
      <c r="D55" s="394" t="s">
        <v>470</v>
      </c>
      <c r="E55" s="397">
        <f t="shared" si="7"/>
        <v>0</v>
      </c>
      <c r="F55" s="409"/>
      <c r="G55" s="408"/>
      <c r="H55" s="408"/>
      <c r="I55" s="408"/>
      <c r="J55" s="408"/>
      <c r="K55" s="408"/>
      <c r="L55" s="408"/>
      <c r="M55" s="408"/>
      <c r="N55" s="408"/>
      <c r="O55" s="408"/>
      <c r="P55" s="408"/>
      <c r="Q55" s="408"/>
      <c r="R55" s="408"/>
      <c r="S55" s="408"/>
      <c r="T55" s="408"/>
      <c r="U55" s="408"/>
      <c r="V55" s="408"/>
      <c r="W55" s="408"/>
      <c r="X55" s="408"/>
      <c r="Y55" s="408"/>
      <c r="Z55" s="408"/>
      <c r="AA55" s="408"/>
      <c r="AB55" s="408"/>
      <c r="AC55" s="408"/>
    </row>
    <row r="56" spans="3:29" outlineLevel="1">
      <c r="D56" s="394" t="s">
        <v>470</v>
      </c>
      <c r="E56" s="397">
        <f t="shared" si="7"/>
        <v>0</v>
      </c>
      <c r="F56" s="409"/>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row>
    <row r="57" spans="3:29" outlineLevel="1">
      <c r="D57" s="394" t="s">
        <v>470</v>
      </c>
      <c r="E57" s="397">
        <f t="shared" si="7"/>
        <v>0</v>
      </c>
      <c r="F57" s="409"/>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row>
    <row r="58" spans="3:29" outlineLevel="1">
      <c r="D58" s="394" t="s">
        <v>470</v>
      </c>
      <c r="E58" s="397">
        <f t="shared" si="7"/>
        <v>0</v>
      </c>
      <c r="F58" s="409"/>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row>
    <row r="59" spans="3:29" outlineLevel="1">
      <c r="D59" s="394" t="s">
        <v>470</v>
      </c>
      <c r="E59" s="397">
        <f t="shared" si="7"/>
        <v>0</v>
      </c>
      <c r="F59" s="409"/>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row>
    <row r="60" spans="3:29" outlineLevel="1">
      <c r="E60" s="397"/>
      <c r="F60" s="409"/>
      <c r="G60" s="408"/>
      <c r="H60" s="408"/>
      <c r="I60" s="408"/>
      <c r="J60" s="408"/>
      <c r="K60" s="408"/>
      <c r="L60" s="408"/>
      <c r="M60" s="408"/>
      <c r="N60" s="408"/>
      <c r="O60" s="408"/>
      <c r="P60" s="408"/>
      <c r="Q60" s="408"/>
      <c r="R60" s="408"/>
      <c r="S60" s="408"/>
      <c r="T60" s="408"/>
      <c r="U60" s="408"/>
      <c r="V60" s="408"/>
      <c r="W60" s="408"/>
      <c r="X60" s="408"/>
      <c r="Y60" s="408"/>
      <c r="Z60" s="408"/>
      <c r="AA60" s="408"/>
      <c r="AB60" s="408"/>
      <c r="AC60" s="408"/>
    </row>
    <row r="61" spans="3:29">
      <c r="C61" s="386" t="s">
        <v>525</v>
      </c>
      <c r="D61" s="394" t="s">
        <v>470</v>
      </c>
      <c r="E61" s="397">
        <f ca="1">SUM(G61:AC61)</f>
        <v>0</v>
      </c>
      <c r="G61" s="408">
        <f t="shared" ref="G61:AC61" ca="1" si="31">(G22-G24)*G16+G23*G16*0.5+G24*G16*0.5</f>
        <v>0</v>
      </c>
      <c r="H61" s="408">
        <f t="shared" ca="1" si="31"/>
        <v>0</v>
      </c>
      <c r="I61" s="408">
        <f t="shared" ca="1" si="31"/>
        <v>0</v>
      </c>
      <c r="J61" s="408">
        <f t="shared" ca="1" si="31"/>
        <v>0</v>
      </c>
      <c r="K61" s="408">
        <f t="shared" ca="1" si="31"/>
        <v>0</v>
      </c>
      <c r="L61" s="408">
        <f t="shared" ca="1" si="31"/>
        <v>0</v>
      </c>
      <c r="M61" s="408">
        <f t="shared" ca="1" si="31"/>
        <v>0</v>
      </c>
      <c r="N61" s="408">
        <f t="shared" ca="1" si="31"/>
        <v>0</v>
      </c>
      <c r="O61" s="408">
        <f t="shared" ca="1" si="31"/>
        <v>0</v>
      </c>
      <c r="P61" s="408">
        <f t="shared" ca="1" si="31"/>
        <v>0</v>
      </c>
      <c r="Q61" s="408">
        <f t="shared" ca="1" si="31"/>
        <v>0</v>
      </c>
      <c r="R61" s="408">
        <f t="shared" ca="1" si="31"/>
        <v>0</v>
      </c>
      <c r="S61" s="408">
        <f t="shared" ca="1" si="31"/>
        <v>0</v>
      </c>
      <c r="T61" s="408">
        <f t="shared" ca="1" si="31"/>
        <v>0</v>
      </c>
      <c r="U61" s="408">
        <f t="shared" ca="1" si="31"/>
        <v>0</v>
      </c>
      <c r="V61" s="408">
        <f t="shared" ca="1" si="31"/>
        <v>0</v>
      </c>
      <c r="W61" s="408">
        <f t="shared" ca="1" si="31"/>
        <v>0</v>
      </c>
      <c r="X61" s="408">
        <f t="shared" ca="1" si="31"/>
        <v>0</v>
      </c>
      <c r="Y61" s="408">
        <f t="shared" ca="1" si="31"/>
        <v>0</v>
      </c>
      <c r="Z61" s="408">
        <f t="shared" ca="1" si="31"/>
        <v>0</v>
      </c>
      <c r="AA61" s="408">
        <f t="shared" ca="1" si="31"/>
        <v>0</v>
      </c>
      <c r="AB61" s="408">
        <f t="shared" ca="1" si="31"/>
        <v>0</v>
      </c>
      <c r="AC61" s="408">
        <f t="shared" ca="1" si="31"/>
        <v>0</v>
      </c>
    </row>
    <row r="62" spans="3:29">
      <c r="C62" s="386" t="s">
        <v>526</v>
      </c>
      <c r="D62" s="394" t="s">
        <v>470</v>
      </c>
      <c r="E62" s="397">
        <f ca="1">SUM(G62:AC62)</f>
        <v>0</v>
      </c>
      <c r="G62" s="408">
        <f ca="1">G61</f>
        <v>0</v>
      </c>
      <c r="H62" s="408">
        <f ca="1">H61</f>
        <v>0</v>
      </c>
      <c r="I62" s="408">
        <f ca="1">I61</f>
        <v>0</v>
      </c>
      <c r="J62" s="408">
        <f t="shared" ref="J62:AC62" ca="1" si="32">J61</f>
        <v>0</v>
      </c>
      <c r="K62" s="408">
        <f ca="1">K61</f>
        <v>0</v>
      </c>
      <c r="L62" s="408">
        <f t="shared" ca="1" si="32"/>
        <v>0</v>
      </c>
      <c r="M62" s="408">
        <f t="shared" ca="1" si="32"/>
        <v>0</v>
      </c>
      <c r="N62" s="408">
        <f t="shared" ca="1" si="32"/>
        <v>0</v>
      </c>
      <c r="O62" s="408">
        <f t="shared" ca="1" si="32"/>
        <v>0</v>
      </c>
      <c r="P62" s="408">
        <f t="shared" ca="1" si="32"/>
        <v>0</v>
      </c>
      <c r="Q62" s="408">
        <f t="shared" ca="1" si="32"/>
        <v>0</v>
      </c>
      <c r="R62" s="408">
        <f t="shared" ca="1" si="32"/>
        <v>0</v>
      </c>
      <c r="S62" s="408">
        <f t="shared" ca="1" si="32"/>
        <v>0</v>
      </c>
      <c r="T62" s="408">
        <f t="shared" ca="1" si="32"/>
        <v>0</v>
      </c>
      <c r="U62" s="408">
        <f t="shared" ca="1" si="32"/>
        <v>0</v>
      </c>
      <c r="V62" s="408">
        <f t="shared" ca="1" si="32"/>
        <v>0</v>
      </c>
      <c r="W62" s="408">
        <f t="shared" ca="1" si="32"/>
        <v>0</v>
      </c>
      <c r="X62" s="408">
        <f t="shared" ca="1" si="32"/>
        <v>0</v>
      </c>
      <c r="Y62" s="408">
        <f t="shared" ca="1" si="32"/>
        <v>0</v>
      </c>
      <c r="Z62" s="408">
        <f t="shared" ca="1" si="32"/>
        <v>0</v>
      </c>
      <c r="AA62" s="408">
        <f t="shared" ca="1" si="32"/>
        <v>0</v>
      </c>
      <c r="AB62" s="408">
        <f t="shared" ca="1" si="32"/>
        <v>0</v>
      </c>
      <c r="AC62" s="408">
        <f t="shared" ca="1" si="32"/>
        <v>0</v>
      </c>
    </row>
    <row r="63" spans="3:29">
      <c r="C63" s="410" t="s">
        <v>527</v>
      </c>
      <c r="D63" s="394" t="s">
        <v>470</v>
      </c>
      <c r="G63" s="408">
        <f t="shared" ref="G63:AC63" ca="1" si="33">G22+G23-G24+G61-G62</f>
        <v>0</v>
      </c>
      <c r="H63" s="408">
        <f t="shared" ca="1" si="33"/>
        <v>0</v>
      </c>
      <c r="I63" s="408">
        <f t="shared" ca="1" si="33"/>
        <v>0</v>
      </c>
      <c r="J63" s="408">
        <f t="shared" ca="1" si="33"/>
        <v>0</v>
      </c>
      <c r="K63" s="408">
        <f t="shared" ca="1" si="33"/>
        <v>0</v>
      </c>
      <c r="L63" s="408">
        <f t="shared" ca="1" si="33"/>
        <v>0</v>
      </c>
      <c r="M63" s="408">
        <f t="shared" ca="1" si="33"/>
        <v>0</v>
      </c>
      <c r="N63" s="408">
        <f t="shared" ca="1" si="33"/>
        <v>0</v>
      </c>
      <c r="O63" s="408">
        <f t="shared" ca="1" si="33"/>
        <v>0</v>
      </c>
      <c r="P63" s="408">
        <f t="shared" ca="1" si="33"/>
        <v>0</v>
      </c>
      <c r="Q63" s="408">
        <f t="shared" ca="1" si="33"/>
        <v>0</v>
      </c>
      <c r="R63" s="408">
        <f t="shared" ca="1" si="33"/>
        <v>0</v>
      </c>
      <c r="S63" s="408">
        <f t="shared" ca="1" si="33"/>
        <v>0</v>
      </c>
      <c r="T63" s="408">
        <f t="shared" ca="1" si="33"/>
        <v>0</v>
      </c>
      <c r="U63" s="408">
        <f t="shared" ca="1" si="33"/>
        <v>0</v>
      </c>
      <c r="V63" s="408">
        <f t="shared" ca="1" si="33"/>
        <v>0</v>
      </c>
      <c r="W63" s="408">
        <f t="shared" ca="1" si="33"/>
        <v>0</v>
      </c>
      <c r="X63" s="408">
        <f t="shared" ca="1" si="33"/>
        <v>0</v>
      </c>
      <c r="Y63" s="408">
        <f t="shared" ca="1" si="33"/>
        <v>0</v>
      </c>
      <c r="Z63" s="408">
        <f t="shared" ca="1" si="33"/>
        <v>0</v>
      </c>
      <c r="AA63" s="408">
        <f t="shared" ca="1" si="33"/>
        <v>0</v>
      </c>
      <c r="AB63" s="408">
        <f t="shared" ca="1" si="33"/>
        <v>0</v>
      </c>
      <c r="AC63" s="408">
        <f t="shared" ca="1" si="33"/>
        <v>0</v>
      </c>
    </row>
    <row r="65" spans="2:29" ht="11.25" customHeight="1" collapsed="1">
      <c r="C65" s="390" t="s">
        <v>528</v>
      </c>
      <c r="D65" s="391"/>
      <c r="E65" s="392"/>
      <c r="F65" s="392"/>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row>
    <row r="66" spans="2:29">
      <c r="C66" s="386" t="s">
        <v>522</v>
      </c>
      <c r="D66" s="394" t="s">
        <v>470</v>
      </c>
      <c r="G66" s="408">
        <f t="shared" ref="G66:AC66" si="34">F71</f>
        <v>0</v>
      </c>
      <c r="H66" s="408">
        <f t="shared" si="34"/>
        <v>0</v>
      </c>
      <c r="I66" s="408">
        <f t="shared" si="34"/>
        <v>0</v>
      </c>
      <c r="J66" s="408">
        <f t="shared" si="34"/>
        <v>0</v>
      </c>
      <c r="K66" s="408">
        <f t="shared" si="34"/>
        <v>0</v>
      </c>
      <c r="L66" s="408">
        <f t="shared" si="34"/>
        <v>0</v>
      </c>
      <c r="M66" s="408">
        <f t="shared" si="34"/>
        <v>0</v>
      </c>
      <c r="N66" s="408">
        <f t="shared" si="34"/>
        <v>0</v>
      </c>
      <c r="O66" s="408">
        <f t="shared" si="34"/>
        <v>0</v>
      </c>
      <c r="P66" s="408">
        <f t="shared" si="34"/>
        <v>0</v>
      </c>
      <c r="Q66" s="408">
        <f t="shared" si="34"/>
        <v>0</v>
      </c>
      <c r="R66" s="408">
        <f t="shared" si="34"/>
        <v>0</v>
      </c>
      <c r="S66" s="408">
        <f t="shared" si="34"/>
        <v>0</v>
      </c>
      <c r="T66" s="408">
        <f t="shared" si="34"/>
        <v>0</v>
      </c>
      <c r="U66" s="408">
        <f t="shared" si="34"/>
        <v>0</v>
      </c>
      <c r="V66" s="408">
        <f t="shared" si="34"/>
        <v>0</v>
      </c>
      <c r="W66" s="408">
        <f t="shared" si="34"/>
        <v>0</v>
      </c>
      <c r="X66" s="408">
        <f t="shared" si="34"/>
        <v>0</v>
      </c>
      <c r="Y66" s="408">
        <f t="shared" si="34"/>
        <v>0</v>
      </c>
      <c r="Z66" s="408">
        <f t="shared" si="34"/>
        <v>0</v>
      </c>
      <c r="AA66" s="408">
        <f t="shared" si="34"/>
        <v>0</v>
      </c>
      <c r="AB66" s="408">
        <f t="shared" si="34"/>
        <v>0</v>
      </c>
      <c r="AC66" s="408">
        <f t="shared" si="34"/>
        <v>0</v>
      </c>
    </row>
    <row r="67" spans="2:29">
      <c r="B67" s="407"/>
      <c r="C67" s="386" t="s">
        <v>523</v>
      </c>
      <c r="D67" s="394" t="s">
        <v>470</v>
      </c>
      <c r="E67" s="397">
        <f>SUM(G67:AC67)</f>
        <v>0</v>
      </c>
      <c r="G67" s="408">
        <f t="shared" ref="G67:AC67" si="35">G10*G13</f>
        <v>0</v>
      </c>
      <c r="H67" s="408">
        <f t="shared" si="35"/>
        <v>0</v>
      </c>
      <c r="I67" s="408">
        <f t="shared" si="35"/>
        <v>0</v>
      </c>
      <c r="J67" s="408">
        <f t="shared" si="35"/>
        <v>0</v>
      </c>
      <c r="K67" s="408">
        <f t="shared" si="35"/>
        <v>0</v>
      </c>
      <c r="L67" s="408">
        <f t="shared" si="35"/>
        <v>0</v>
      </c>
      <c r="M67" s="408">
        <f t="shared" si="35"/>
        <v>0</v>
      </c>
      <c r="N67" s="408">
        <f t="shared" si="35"/>
        <v>0</v>
      </c>
      <c r="O67" s="408">
        <f t="shared" si="35"/>
        <v>0</v>
      </c>
      <c r="P67" s="408">
        <f t="shared" si="35"/>
        <v>0</v>
      </c>
      <c r="Q67" s="408">
        <f t="shared" si="35"/>
        <v>0</v>
      </c>
      <c r="R67" s="408">
        <f t="shared" si="35"/>
        <v>0</v>
      </c>
      <c r="S67" s="408">
        <f t="shared" si="35"/>
        <v>0</v>
      </c>
      <c r="T67" s="408">
        <f t="shared" si="35"/>
        <v>0</v>
      </c>
      <c r="U67" s="408">
        <f t="shared" si="35"/>
        <v>0</v>
      </c>
      <c r="V67" s="408">
        <f t="shared" si="35"/>
        <v>0</v>
      </c>
      <c r="W67" s="408">
        <f t="shared" si="35"/>
        <v>0</v>
      </c>
      <c r="X67" s="408">
        <f t="shared" si="35"/>
        <v>0</v>
      </c>
      <c r="Y67" s="408">
        <f t="shared" si="35"/>
        <v>0</v>
      </c>
      <c r="Z67" s="408">
        <f t="shared" si="35"/>
        <v>0</v>
      </c>
      <c r="AA67" s="408">
        <f t="shared" si="35"/>
        <v>0</v>
      </c>
      <c r="AB67" s="408">
        <f t="shared" si="35"/>
        <v>0</v>
      </c>
      <c r="AC67" s="408">
        <f t="shared" si="35"/>
        <v>0</v>
      </c>
    </row>
    <row r="68" spans="2:29">
      <c r="B68" s="407"/>
      <c r="C68" s="386" t="s">
        <v>524</v>
      </c>
      <c r="D68" s="394" t="s">
        <v>470</v>
      </c>
      <c r="E68" s="397">
        <f>SUM(G68:AC68)</f>
        <v>0</v>
      </c>
      <c r="G68" s="408"/>
      <c r="H68" s="408"/>
      <c r="I68" s="408"/>
      <c r="J68" s="408"/>
      <c r="K68" s="408"/>
      <c r="L68" s="408"/>
      <c r="M68" s="408"/>
      <c r="N68" s="408"/>
      <c r="O68" s="408"/>
      <c r="P68" s="408"/>
      <c r="Q68" s="408"/>
      <c r="R68" s="408"/>
      <c r="S68" s="408"/>
      <c r="T68" s="408"/>
      <c r="U68" s="408"/>
      <c r="V68" s="408"/>
      <c r="W68" s="408"/>
      <c r="X68" s="408"/>
      <c r="Y68" s="408"/>
      <c r="Z68" s="408"/>
      <c r="AA68" s="408"/>
      <c r="AB68" s="408"/>
      <c r="AC68" s="408"/>
    </row>
    <row r="69" spans="2:29">
      <c r="C69" s="386" t="s">
        <v>525</v>
      </c>
      <c r="D69" s="394" t="s">
        <v>470</v>
      </c>
      <c r="E69" s="397">
        <f>SUM(G69:AC69)</f>
        <v>0</v>
      </c>
      <c r="G69" s="408">
        <f t="shared" ref="G69:AC69" si="36">(G66-G68)*G16+G67*G16*0.5+G68*G16*0.5</f>
        <v>0</v>
      </c>
      <c r="H69" s="408">
        <f t="shared" si="36"/>
        <v>0</v>
      </c>
      <c r="I69" s="408">
        <f t="shared" si="36"/>
        <v>0</v>
      </c>
      <c r="J69" s="408">
        <f t="shared" si="36"/>
        <v>0</v>
      </c>
      <c r="K69" s="408">
        <f t="shared" si="36"/>
        <v>0</v>
      </c>
      <c r="L69" s="408">
        <f t="shared" si="36"/>
        <v>0</v>
      </c>
      <c r="M69" s="408">
        <f t="shared" si="36"/>
        <v>0</v>
      </c>
      <c r="N69" s="408">
        <f t="shared" si="36"/>
        <v>0</v>
      </c>
      <c r="O69" s="408">
        <f t="shared" si="36"/>
        <v>0</v>
      </c>
      <c r="P69" s="408">
        <f t="shared" si="36"/>
        <v>0</v>
      </c>
      <c r="Q69" s="408">
        <f t="shared" si="36"/>
        <v>0</v>
      </c>
      <c r="R69" s="408">
        <f t="shared" si="36"/>
        <v>0</v>
      </c>
      <c r="S69" s="408">
        <f t="shared" si="36"/>
        <v>0</v>
      </c>
      <c r="T69" s="408">
        <f t="shared" si="36"/>
        <v>0</v>
      </c>
      <c r="U69" s="408">
        <f t="shared" si="36"/>
        <v>0</v>
      </c>
      <c r="V69" s="408">
        <f t="shared" si="36"/>
        <v>0</v>
      </c>
      <c r="W69" s="408">
        <f t="shared" si="36"/>
        <v>0</v>
      </c>
      <c r="X69" s="408">
        <f t="shared" si="36"/>
        <v>0</v>
      </c>
      <c r="Y69" s="408">
        <f t="shared" si="36"/>
        <v>0</v>
      </c>
      <c r="Z69" s="408">
        <f t="shared" si="36"/>
        <v>0</v>
      </c>
      <c r="AA69" s="408">
        <f t="shared" si="36"/>
        <v>0</v>
      </c>
      <c r="AB69" s="408">
        <f t="shared" si="36"/>
        <v>0</v>
      </c>
      <c r="AC69" s="408">
        <f t="shared" si="36"/>
        <v>0</v>
      </c>
    </row>
    <row r="70" spans="2:29">
      <c r="C70" s="386" t="s">
        <v>526</v>
      </c>
      <c r="D70" s="394" t="s">
        <v>470</v>
      </c>
      <c r="E70" s="397">
        <f>SUM(G70:AC70)</f>
        <v>0</v>
      </c>
      <c r="G70" s="408">
        <f>G69</f>
        <v>0</v>
      </c>
      <c r="H70" s="408">
        <f>H69</f>
        <v>0</v>
      </c>
      <c r="I70" s="408">
        <f>I69</f>
        <v>0</v>
      </c>
      <c r="J70" s="408">
        <f>J69</f>
        <v>0</v>
      </c>
      <c r="K70" s="408">
        <f>K69</f>
        <v>0</v>
      </c>
      <c r="L70" s="408">
        <f t="shared" ref="L70:AC70" si="37">L69</f>
        <v>0</v>
      </c>
      <c r="M70" s="408">
        <f t="shared" si="37"/>
        <v>0</v>
      </c>
      <c r="N70" s="408">
        <f t="shared" si="37"/>
        <v>0</v>
      </c>
      <c r="O70" s="408">
        <f t="shared" si="37"/>
        <v>0</v>
      </c>
      <c r="P70" s="408">
        <f t="shared" si="37"/>
        <v>0</v>
      </c>
      <c r="Q70" s="408">
        <f t="shared" si="37"/>
        <v>0</v>
      </c>
      <c r="R70" s="408">
        <f t="shared" si="37"/>
        <v>0</v>
      </c>
      <c r="S70" s="408">
        <f t="shared" si="37"/>
        <v>0</v>
      </c>
      <c r="T70" s="408">
        <f t="shared" si="37"/>
        <v>0</v>
      </c>
      <c r="U70" s="408">
        <f t="shared" si="37"/>
        <v>0</v>
      </c>
      <c r="V70" s="408">
        <f t="shared" si="37"/>
        <v>0</v>
      </c>
      <c r="W70" s="408">
        <f t="shared" si="37"/>
        <v>0</v>
      </c>
      <c r="X70" s="408">
        <f t="shared" si="37"/>
        <v>0</v>
      </c>
      <c r="Y70" s="408">
        <f t="shared" si="37"/>
        <v>0</v>
      </c>
      <c r="Z70" s="408">
        <f t="shared" si="37"/>
        <v>0</v>
      </c>
      <c r="AA70" s="408">
        <f t="shared" si="37"/>
        <v>0</v>
      </c>
      <c r="AB70" s="408">
        <f t="shared" si="37"/>
        <v>0</v>
      </c>
      <c r="AC70" s="408">
        <f t="shared" si="37"/>
        <v>0</v>
      </c>
    </row>
    <row r="71" spans="2:29">
      <c r="C71" s="410" t="s">
        <v>527</v>
      </c>
      <c r="D71" s="394" t="s">
        <v>470</v>
      </c>
      <c r="G71" s="408">
        <f t="shared" ref="G71:AC71" si="38">G66+G67-G68+G69-G70</f>
        <v>0</v>
      </c>
      <c r="H71" s="408">
        <f t="shared" si="38"/>
        <v>0</v>
      </c>
      <c r="I71" s="408">
        <f t="shared" si="38"/>
        <v>0</v>
      </c>
      <c r="J71" s="408">
        <f t="shared" si="38"/>
        <v>0</v>
      </c>
      <c r="K71" s="408">
        <f t="shared" si="38"/>
        <v>0</v>
      </c>
      <c r="L71" s="408">
        <f t="shared" si="38"/>
        <v>0</v>
      </c>
      <c r="M71" s="408">
        <f t="shared" si="38"/>
        <v>0</v>
      </c>
      <c r="N71" s="408">
        <f t="shared" si="38"/>
        <v>0</v>
      </c>
      <c r="O71" s="408">
        <f t="shared" si="38"/>
        <v>0</v>
      </c>
      <c r="P71" s="408">
        <f t="shared" si="38"/>
        <v>0</v>
      </c>
      <c r="Q71" s="408">
        <f t="shared" si="38"/>
        <v>0</v>
      </c>
      <c r="R71" s="408">
        <f t="shared" si="38"/>
        <v>0</v>
      </c>
      <c r="S71" s="408">
        <f t="shared" si="38"/>
        <v>0</v>
      </c>
      <c r="T71" s="408">
        <f t="shared" si="38"/>
        <v>0</v>
      </c>
      <c r="U71" s="408">
        <f t="shared" si="38"/>
        <v>0</v>
      </c>
      <c r="V71" s="408">
        <f t="shared" si="38"/>
        <v>0</v>
      </c>
      <c r="W71" s="408">
        <f t="shared" si="38"/>
        <v>0</v>
      </c>
      <c r="X71" s="408">
        <f t="shared" si="38"/>
        <v>0</v>
      </c>
      <c r="Y71" s="408">
        <f t="shared" si="38"/>
        <v>0</v>
      </c>
      <c r="Z71" s="408">
        <f t="shared" si="38"/>
        <v>0</v>
      </c>
      <c r="AA71" s="408">
        <f t="shared" si="38"/>
        <v>0</v>
      </c>
      <c r="AB71" s="408">
        <f t="shared" si="38"/>
        <v>0</v>
      </c>
      <c r="AC71" s="408">
        <f t="shared" si="38"/>
        <v>0</v>
      </c>
    </row>
    <row r="72" spans="2:29">
      <c r="C72" s="410"/>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row>
    <row r="73" spans="2:29">
      <c r="C73" s="410"/>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row>
    <row r="74" spans="2:29">
      <c r="C74" s="410"/>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row>
    <row r="75" spans="2:29" ht="11.25" customHeight="1" collapsed="1">
      <c r="C75" s="390" t="s">
        <v>529</v>
      </c>
      <c r="D75" s="391"/>
      <c r="E75" s="392"/>
      <c r="F75" s="392"/>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row>
    <row r="76" spans="2:29">
      <c r="B76" s="400">
        <v>45</v>
      </c>
      <c r="C76" s="411" t="s">
        <v>530</v>
      </c>
      <c r="D76" s="394" t="s">
        <v>470</v>
      </c>
      <c r="E76" s="397">
        <f t="shared" ref="E76:E82" si="39">SUM(G76:AC76)</f>
        <v>0</v>
      </c>
      <c r="G76" s="408">
        <f>$B$76/365*(0)</f>
        <v>0</v>
      </c>
      <c r="H76" s="408">
        <f t="shared" ref="H76:AC76" si="40">$B$76/365*(0)</f>
        <v>0</v>
      </c>
      <c r="I76" s="408">
        <f t="shared" si="40"/>
        <v>0</v>
      </c>
      <c r="J76" s="408">
        <f t="shared" si="40"/>
        <v>0</v>
      </c>
      <c r="K76" s="408">
        <f t="shared" si="40"/>
        <v>0</v>
      </c>
      <c r="L76" s="408">
        <f t="shared" si="40"/>
        <v>0</v>
      </c>
      <c r="M76" s="408">
        <f t="shared" si="40"/>
        <v>0</v>
      </c>
      <c r="N76" s="408">
        <f t="shared" si="40"/>
        <v>0</v>
      </c>
      <c r="O76" s="408">
        <f t="shared" si="40"/>
        <v>0</v>
      </c>
      <c r="P76" s="408">
        <f t="shared" si="40"/>
        <v>0</v>
      </c>
      <c r="Q76" s="408">
        <f t="shared" si="40"/>
        <v>0</v>
      </c>
      <c r="R76" s="408">
        <f t="shared" si="40"/>
        <v>0</v>
      </c>
      <c r="S76" s="408">
        <f t="shared" si="40"/>
        <v>0</v>
      </c>
      <c r="T76" s="408">
        <f t="shared" si="40"/>
        <v>0</v>
      </c>
      <c r="U76" s="408">
        <f t="shared" si="40"/>
        <v>0</v>
      </c>
      <c r="V76" s="408">
        <f t="shared" si="40"/>
        <v>0</v>
      </c>
      <c r="W76" s="408">
        <f t="shared" si="40"/>
        <v>0</v>
      </c>
      <c r="X76" s="408">
        <f t="shared" si="40"/>
        <v>0</v>
      </c>
      <c r="Y76" s="408">
        <f t="shared" si="40"/>
        <v>0</v>
      </c>
      <c r="Z76" s="408">
        <f t="shared" si="40"/>
        <v>0</v>
      </c>
      <c r="AA76" s="408">
        <f t="shared" si="40"/>
        <v>0</v>
      </c>
      <c r="AB76" s="408">
        <f t="shared" si="40"/>
        <v>0</v>
      </c>
      <c r="AC76" s="408">
        <f t="shared" si="40"/>
        <v>0</v>
      </c>
    </row>
    <row r="77" spans="2:29">
      <c r="B77" s="400">
        <v>30</v>
      </c>
      <c r="C77" s="411" t="s">
        <v>531</v>
      </c>
      <c r="D77" s="394" t="s">
        <v>470</v>
      </c>
      <c r="E77" s="397">
        <f t="shared" si="39"/>
        <v>0</v>
      </c>
      <c r="G77" s="408">
        <f>$B$77/365*(0)</f>
        <v>0</v>
      </c>
      <c r="H77" s="408">
        <f t="shared" ref="H77:AC77" si="41">$B$77/365*(0)</f>
        <v>0</v>
      </c>
      <c r="I77" s="408">
        <f t="shared" si="41"/>
        <v>0</v>
      </c>
      <c r="J77" s="408">
        <f t="shared" si="41"/>
        <v>0</v>
      </c>
      <c r="K77" s="408">
        <f t="shared" si="41"/>
        <v>0</v>
      </c>
      <c r="L77" s="408">
        <f t="shared" si="41"/>
        <v>0</v>
      </c>
      <c r="M77" s="408">
        <f t="shared" si="41"/>
        <v>0</v>
      </c>
      <c r="N77" s="408">
        <f t="shared" si="41"/>
        <v>0</v>
      </c>
      <c r="O77" s="408">
        <f t="shared" si="41"/>
        <v>0</v>
      </c>
      <c r="P77" s="408">
        <f t="shared" si="41"/>
        <v>0</v>
      </c>
      <c r="Q77" s="408">
        <f t="shared" si="41"/>
        <v>0</v>
      </c>
      <c r="R77" s="408">
        <f t="shared" si="41"/>
        <v>0</v>
      </c>
      <c r="S77" s="408">
        <f t="shared" si="41"/>
        <v>0</v>
      </c>
      <c r="T77" s="408">
        <f t="shared" si="41"/>
        <v>0</v>
      </c>
      <c r="U77" s="408">
        <f t="shared" si="41"/>
        <v>0</v>
      </c>
      <c r="V77" s="408">
        <f t="shared" si="41"/>
        <v>0</v>
      </c>
      <c r="W77" s="408">
        <f t="shared" si="41"/>
        <v>0</v>
      </c>
      <c r="X77" s="408">
        <f t="shared" si="41"/>
        <v>0</v>
      </c>
      <c r="Y77" s="408">
        <f t="shared" si="41"/>
        <v>0</v>
      </c>
      <c r="Z77" s="408">
        <f t="shared" si="41"/>
        <v>0</v>
      </c>
      <c r="AA77" s="408">
        <f t="shared" si="41"/>
        <v>0</v>
      </c>
      <c r="AB77" s="408">
        <f t="shared" si="41"/>
        <v>0</v>
      </c>
      <c r="AC77" s="408">
        <f t="shared" si="41"/>
        <v>0</v>
      </c>
    </row>
    <row r="78" spans="2:29">
      <c r="B78" s="400">
        <v>21</v>
      </c>
      <c r="C78" s="411" t="s">
        <v>532</v>
      </c>
      <c r="D78" s="394" t="s">
        <v>470</v>
      </c>
      <c r="E78" s="397">
        <f t="shared" si="39"/>
        <v>0</v>
      </c>
      <c r="G78" s="408">
        <f>$B$78/365*(0)</f>
        <v>0</v>
      </c>
      <c r="H78" s="408">
        <f t="shared" ref="H78:AC78" si="42">$B$78/365*(0)</f>
        <v>0</v>
      </c>
      <c r="I78" s="408">
        <f t="shared" si="42"/>
        <v>0</v>
      </c>
      <c r="J78" s="408">
        <f t="shared" si="42"/>
        <v>0</v>
      </c>
      <c r="K78" s="408">
        <f t="shared" si="42"/>
        <v>0</v>
      </c>
      <c r="L78" s="408">
        <f t="shared" si="42"/>
        <v>0</v>
      </c>
      <c r="M78" s="408">
        <f t="shared" si="42"/>
        <v>0</v>
      </c>
      <c r="N78" s="408">
        <f t="shared" si="42"/>
        <v>0</v>
      </c>
      <c r="O78" s="408">
        <f t="shared" si="42"/>
        <v>0</v>
      </c>
      <c r="P78" s="408">
        <f t="shared" si="42"/>
        <v>0</v>
      </c>
      <c r="Q78" s="408">
        <f t="shared" si="42"/>
        <v>0</v>
      </c>
      <c r="R78" s="408">
        <f t="shared" si="42"/>
        <v>0</v>
      </c>
      <c r="S78" s="408">
        <f t="shared" si="42"/>
        <v>0</v>
      </c>
      <c r="T78" s="408">
        <f t="shared" si="42"/>
        <v>0</v>
      </c>
      <c r="U78" s="408">
        <f t="shared" si="42"/>
        <v>0</v>
      </c>
      <c r="V78" s="408">
        <f t="shared" si="42"/>
        <v>0</v>
      </c>
      <c r="W78" s="408">
        <f t="shared" si="42"/>
        <v>0</v>
      </c>
      <c r="X78" s="408">
        <f t="shared" si="42"/>
        <v>0</v>
      </c>
      <c r="Y78" s="408">
        <f t="shared" si="42"/>
        <v>0</v>
      </c>
      <c r="Z78" s="408">
        <f t="shared" si="42"/>
        <v>0</v>
      </c>
      <c r="AA78" s="408">
        <f t="shared" si="42"/>
        <v>0</v>
      </c>
      <c r="AB78" s="408">
        <f t="shared" si="42"/>
        <v>0</v>
      </c>
      <c r="AC78" s="408">
        <f t="shared" si="42"/>
        <v>0</v>
      </c>
    </row>
    <row r="79" spans="2:29">
      <c r="C79" s="411" t="s">
        <v>533</v>
      </c>
      <c r="D79" s="394" t="s">
        <v>470</v>
      </c>
      <c r="E79" s="397">
        <f t="shared" si="39"/>
        <v>0</v>
      </c>
      <c r="G79" s="408">
        <f>SUM(G76:G77)-G78</f>
        <v>0</v>
      </c>
      <c r="H79" s="408">
        <f t="shared" ref="H79:AC79" si="43">SUM(H76:H77)-H78</f>
        <v>0</v>
      </c>
      <c r="I79" s="408">
        <f t="shared" si="43"/>
        <v>0</v>
      </c>
      <c r="J79" s="408">
        <f t="shared" si="43"/>
        <v>0</v>
      </c>
      <c r="K79" s="408">
        <f t="shared" si="43"/>
        <v>0</v>
      </c>
      <c r="L79" s="408">
        <f t="shared" si="43"/>
        <v>0</v>
      </c>
      <c r="M79" s="408">
        <f t="shared" si="43"/>
        <v>0</v>
      </c>
      <c r="N79" s="408">
        <f t="shared" si="43"/>
        <v>0</v>
      </c>
      <c r="O79" s="408">
        <f t="shared" si="43"/>
        <v>0</v>
      </c>
      <c r="P79" s="408">
        <f t="shared" si="43"/>
        <v>0</v>
      </c>
      <c r="Q79" s="408">
        <f t="shared" si="43"/>
        <v>0</v>
      </c>
      <c r="R79" s="408">
        <f t="shared" si="43"/>
        <v>0</v>
      </c>
      <c r="S79" s="408">
        <f t="shared" si="43"/>
        <v>0</v>
      </c>
      <c r="T79" s="408">
        <f t="shared" si="43"/>
        <v>0</v>
      </c>
      <c r="U79" s="408">
        <f t="shared" si="43"/>
        <v>0</v>
      </c>
      <c r="V79" s="408">
        <f t="shared" si="43"/>
        <v>0</v>
      </c>
      <c r="W79" s="408">
        <f t="shared" si="43"/>
        <v>0</v>
      </c>
      <c r="X79" s="408">
        <f t="shared" si="43"/>
        <v>0</v>
      </c>
      <c r="Y79" s="408">
        <f t="shared" si="43"/>
        <v>0</v>
      </c>
      <c r="Z79" s="408">
        <f t="shared" si="43"/>
        <v>0</v>
      </c>
      <c r="AA79" s="408">
        <f t="shared" si="43"/>
        <v>0</v>
      </c>
      <c r="AB79" s="408">
        <f t="shared" si="43"/>
        <v>0</v>
      </c>
      <c r="AC79" s="408">
        <f t="shared" si="43"/>
        <v>0</v>
      </c>
    </row>
    <row r="80" spans="2:29">
      <c r="C80" s="411" t="s">
        <v>534</v>
      </c>
      <c r="D80" s="394" t="s">
        <v>470</v>
      </c>
      <c r="E80" s="397">
        <f t="shared" si="39"/>
        <v>0</v>
      </c>
      <c r="G80" s="408">
        <f>G79</f>
        <v>0</v>
      </c>
      <c r="H80" s="408">
        <f t="shared" ref="H80:AC80" si="44">H79-G79</f>
        <v>0</v>
      </c>
      <c r="I80" s="408">
        <f t="shared" si="44"/>
        <v>0</v>
      </c>
      <c r="J80" s="408">
        <f t="shared" si="44"/>
        <v>0</v>
      </c>
      <c r="K80" s="408">
        <f t="shared" si="44"/>
        <v>0</v>
      </c>
      <c r="L80" s="408">
        <f t="shared" si="44"/>
        <v>0</v>
      </c>
      <c r="M80" s="408">
        <f t="shared" si="44"/>
        <v>0</v>
      </c>
      <c r="N80" s="408">
        <f t="shared" si="44"/>
        <v>0</v>
      </c>
      <c r="O80" s="408">
        <f t="shared" si="44"/>
        <v>0</v>
      </c>
      <c r="P80" s="408">
        <f t="shared" si="44"/>
        <v>0</v>
      </c>
      <c r="Q80" s="408">
        <f t="shared" si="44"/>
        <v>0</v>
      </c>
      <c r="R80" s="408">
        <f t="shared" si="44"/>
        <v>0</v>
      </c>
      <c r="S80" s="408">
        <f t="shared" si="44"/>
        <v>0</v>
      </c>
      <c r="T80" s="408">
        <f t="shared" si="44"/>
        <v>0</v>
      </c>
      <c r="U80" s="408">
        <f t="shared" si="44"/>
        <v>0</v>
      </c>
      <c r="V80" s="408">
        <f t="shared" si="44"/>
        <v>0</v>
      </c>
      <c r="W80" s="408">
        <f t="shared" si="44"/>
        <v>0</v>
      </c>
      <c r="X80" s="408">
        <f t="shared" si="44"/>
        <v>0</v>
      </c>
      <c r="Y80" s="408">
        <f t="shared" si="44"/>
        <v>0</v>
      </c>
      <c r="Z80" s="408">
        <f t="shared" si="44"/>
        <v>0</v>
      </c>
      <c r="AA80" s="408">
        <f t="shared" si="44"/>
        <v>0</v>
      </c>
      <c r="AB80" s="408">
        <f t="shared" si="44"/>
        <v>0</v>
      </c>
      <c r="AC80" s="408">
        <f t="shared" si="44"/>
        <v>0</v>
      </c>
    </row>
    <row r="81" spans="2:29">
      <c r="B81" s="412" t="s">
        <v>107</v>
      </c>
      <c r="C81" s="411" t="s">
        <v>535</v>
      </c>
      <c r="D81" s="394" t="s">
        <v>470</v>
      </c>
      <c r="E81" s="397">
        <f t="shared" si="39"/>
        <v>0</v>
      </c>
      <c r="G81" s="408">
        <f t="shared" ref="G81:AC81" si="45">IF($B$81="Yes",G80,0)</f>
        <v>0</v>
      </c>
      <c r="H81" s="408">
        <f t="shared" si="45"/>
        <v>0</v>
      </c>
      <c r="I81" s="408">
        <f t="shared" si="45"/>
        <v>0</v>
      </c>
      <c r="J81" s="408">
        <f t="shared" si="45"/>
        <v>0</v>
      </c>
      <c r="K81" s="408">
        <f t="shared" si="45"/>
        <v>0</v>
      </c>
      <c r="L81" s="408">
        <f t="shared" si="45"/>
        <v>0</v>
      </c>
      <c r="M81" s="408">
        <f t="shared" si="45"/>
        <v>0</v>
      </c>
      <c r="N81" s="408">
        <f t="shared" si="45"/>
        <v>0</v>
      </c>
      <c r="O81" s="408">
        <f t="shared" si="45"/>
        <v>0</v>
      </c>
      <c r="P81" s="408">
        <f t="shared" si="45"/>
        <v>0</v>
      </c>
      <c r="Q81" s="408">
        <f t="shared" si="45"/>
        <v>0</v>
      </c>
      <c r="R81" s="408">
        <f t="shared" si="45"/>
        <v>0</v>
      </c>
      <c r="S81" s="408">
        <f t="shared" si="45"/>
        <v>0</v>
      </c>
      <c r="T81" s="408">
        <f t="shared" si="45"/>
        <v>0</v>
      </c>
      <c r="U81" s="408">
        <f t="shared" si="45"/>
        <v>0</v>
      </c>
      <c r="V81" s="408">
        <f t="shared" si="45"/>
        <v>0</v>
      </c>
      <c r="W81" s="408">
        <f t="shared" si="45"/>
        <v>0</v>
      </c>
      <c r="X81" s="408">
        <f t="shared" si="45"/>
        <v>0</v>
      </c>
      <c r="Y81" s="408">
        <f t="shared" si="45"/>
        <v>0</v>
      </c>
      <c r="Z81" s="408">
        <f t="shared" si="45"/>
        <v>0</v>
      </c>
      <c r="AA81" s="408">
        <f t="shared" si="45"/>
        <v>0</v>
      </c>
      <c r="AB81" s="408">
        <f t="shared" si="45"/>
        <v>0</v>
      </c>
      <c r="AC81" s="408">
        <f t="shared" si="45"/>
        <v>0</v>
      </c>
    </row>
    <row r="82" spans="2:29">
      <c r="C82" s="411" t="s">
        <v>267</v>
      </c>
      <c r="D82" s="394" t="s">
        <v>470</v>
      </c>
      <c r="E82" s="397">
        <f t="shared" si="39"/>
        <v>0</v>
      </c>
      <c r="G82" s="408">
        <f>G81</f>
        <v>0</v>
      </c>
      <c r="H82" s="408">
        <f t="shared" ref="H82:AC82" si="46">H81</f>
        <v>0</v>
      </c>
      <c r="I82" s="408">
        <f t="shared" si="46"/>
        <v>0</v>
      </c>
      <c r="J82" s="408">
        <f t="shared" si="46"/>
        <v>0</v>
      </c>
      <c r="K82" s="408">
        <f t="shared" si="46"/>
        <v>0</v>
      </c>
      <c r="L82" s="408">
        <f t="shared" si="46"/>
        <v>0</v>
      </c>
      <c r="M82" s="408">
        <f t="shared" si="46"/>
        <v>0</v>
      </c>
      <c r="N82" s="408">
        <f t="shared" si="46"/>
        <v>0</v>
      </c>
      <c r="O82" s="408">
        <f t="shared" si="46"/>
        <v>0</v>
      </c>
      <c r="P82" s="408">
        <f t="shared" si="46"/>
        <v>0</v>
      </c>
      <c r="Q82" s="408">
        <f t="shared" si="46"/>
        <v>0</v>
      </c>
      <c r="R82" s="408">
        <f t="shared" si="46"/>
        <v>0</v>
      </c>
      <c r="S82" s="408">
        <f t="shared" si="46"/>
        <v>0</v>
      </c>
      <c r="T82" s="408">
        <f t="shared" si="46"/>
        <v>0</v>
      </c>
      <c r="U82" s="408">
        <f t="shared" si="46"/>
        <v>0</v>
      </c>
      <c r="V82" s="408">
        <f t="shared" si="46"/>
        <v>0</v>
      </c>
      <c r="W82" s="408">
        <f t="shared" si="46"/>
        <v>0</v>
      </c>
      <c r="X82" s="408">
        <f t="shared" si="46"/>
        <v>0</v>
      </c>
      <c r="Y82" s="408">
        <f t="shared" si="46"/>
        <v>0</v>
      </c>
      <c r="Z82" s="408">
        <f t="shared" si="46"/>
        <v>0</v>
      </c>
      <c r="AA82" s="408">
        <f t="shared" si="46"/>
        <v>0</v>
      </c>
      <c r="AB82" s="408">
        <f t="shared" si="46"/>
        <v>0</v>
      </c>
      <c r="AC82" s="408">
        <f t="shared" si="46"/>
        <v>0</v>
      </c>
    </row>
    <row r="83" spans="2:29">
      <c r="C83" s="411" t="s">
        <v>514</v>
      </c>
    </row>
    <row r="84" spans="2:29">
      <c r="C84" s="413" t="s">
        <v>515</v>
      </c>
      <c r="D84" s="394" t="s">
        <v>516</v>
      </c>
      <c r="E84" s="402">
        <f ca="1">E13</f>
        <v>0</v>
      </c>
      <c r="G84" s="406">
        <f ca="1">E84</f>
        <v>0</v>
      </c>
      <c r="H84" s="406">
        <f ca="1">G84</f>
        <v>0</v>
      </c>
      <c r="I84" s="406">
        <f t="shared" ref="I84:X85" ca="1" si="47">H84</f>
        <v>0</v>
      </c>
      <c r="J84" s="406">
        <f t="shared" ca="1" si="47"/>
        <v>0</v>
      </c>
      <c r="K84" s="406">
        <f t="shared" ca="1" si="47"/>
        <v>0</v>
      </c>
      <c r="L84" s="406">
        <f t="shared" ca="1" si="47"/>
        <v>0</v>
      </c>
      <c r="M84" s="406">
        <f t="shared" ca="1" si="47"/>
        <v>0</v>
      </c>
      <c r="N84" s="406">
        <f t="shared" ca="1" si="47"/>
        <v>0</v>
      </c>
      <c r="O84" s="406">
        <f t="shared" ca="1" si="47"/>
        <v>0</v>
      </c>
      <c r="P84" s="406">
        <f t="shared" ca="1" si="47"/>
        <v>0</v>
      </c>
      <c r="Q84" s="406">
        <f t="shared" ca="1" si="47"/>
        <v>0</v>
      </c>
      <c r="R84" s="406">
        <f t="shared" ca="1" si="47"/>
        <v>0</v>
      </c>
      <c r="S84" s="406">
        <f t="shared" ca="1" si="47"/>
        <v>0</v>
      </c>
      <c r="T84" s="406">
        <f t="shared" ca="1" si="47"/>
        <v>0</v>
      </c>
      <c r="U84" s="406">
        <f t="shared" ca="1" si="47"/>
        <v>0</v>
      </c>
      <c r="V84" s="406">
        <f t="shared" ca="1" si="47"/>
        <v>0</v>
      </c>
      <c r="W84" s="406">
        <f t="shared" ca="1" si="47"/>
        <v>0</v>
      </c>
      <c r="X84" s="406">
        <f t="shared" ca="1" si="47"/>
        <v>0</v>
      </c>
      <c r="Y84" s="406">
        <f t="shared" ref="Y84:AC85" ca="1" si="48">X84</f>
        <v>0</v>
      </c>
      <c r="Z84" s="406">
        <f t="shared" ca="1" si="48"/>
        <v>0</v>
      </c>
      <c r="AA84" s="406">
        <f t="shared" ca="1" si="48"/>
        <v>0</v>
      </c>
      <c r="AB84" s="406">
        <f t="shared" ca="1" si="48"/>
        <v>0</v>
      </c>
      <c r="AC84" s="406">
        <f t="shared" ca="1" si="48"/>
        <v>0</v>
      </c>
    </row>
    <row r="85" spans="2:29">
      <c r="C85" s="413" t="s">
        <v>517</v>
      </c>
      <c r="D85" s="394" t="s">
        <v>516</v>
      </c>
      <c r="E85" s="402">
        <f ca="1">1-E84</f>
        <v>1</v>
      </c>
      <c r="G85" s="406">
        <f ca="1">E85</f>
        <v>1</v>
      </c>
      <c r="H85" s="406">
        <f ca="1">G85</f>
        <v>1</v>
      </c>
      <c r="I85" s="406">
        <f t="shared" ca="1" si="47"/>
        <v>1</v>
      </c>
      <c r="J85" s="406">
        <f t="shared" ca="1" si="47"/>
        <v>1</v>
      </c>
      <c r="K85" s="406">
        <f t="shared" ca="1" si="47"/>
        <v>1</v>
      </c>
      <c r="L85" s="406">
        <f t="shared" ca="1" si="47"/>
        <v>1</v>
      </c>
      <c r="M85" s="406">
        <f t="shared" ca="1" si="47"/>
        <v>1</v>
      </c>
      <c r="N85" s="406">
        <f t="shared" ca="1" si="47"/>
        <v>1</v>
      </c>
      <c r="O85" s="406">
        <f t="shared" ca="1" si="47"/>
        <v>1</v>
      </c>
      <c r="P85" s="406">
        <f t="shared" ca="1" si="47"/>
        <v>1</v>
      </c>
      <c r="Q85" s="406">
        <f t="shared" ca="1" si="47"/>
        <v>1</v>
      </c>
      <c r="R85" s="406">
        <f t="shared" ca="1" si="47"/>
        <v>1</v>
      </c>
      <c r="S85" s="406">
        <f t="shared" ca="1" si="47"/>
        <v>1</v>
      </c>
      <c r="T85" s="406">
        <f t="shared" ca="1" si="47"/>
        <v>1</v>
      </c>
      <c r="U85" s="406">
        <f t="shared" ca="1" si="47"/>
        <v>1</v>
      </c>
      <c r="V85" s="406">
        <f t="shared" ca="1" si="47"/>
        <v>1</v>
      </c>
      <c r="W85" s="406">
        <f t="shared" ca="1" si="47"/>
        <v>1</v>
      </c>
      <c r="X85" s="406">
        <f t="shared" ca="1" si="47"/>
        <v>1</v>
      </c>
      <c r="Y85" s="406">
        <f t="shared" ca="1" si="48"/>
        <v>1</v>
      </c>
      <c r="Z85" s="406">
        <f t="shared" ca="1" si="48"/>
        <v>1</v>
      </c>
      <c r="AA85" s="406">
        <f t="shared" ca="1" si="48"/>
        <v>1</v>
      </c>
      <c r="AB85" s="406">
        <f t="shared" ca="1" si="48"/>
        <v>1</v>
      </c>
      <c r="AC85" s="406">
        <f t="shared" ca="1" si="48"/>
        <v>1</v>
      </c>
    </row>
    <row r="86" spans="2:29">
      <c r="C86" s="411"/>
    </row>
    <row r="87" spans="2:29">
      <c r="C87" s="411" t="s">
        <v>522</v>
      </c>
      <c r="D87" s="394" t="s">
        <v>470</v>
      </c>
      <c r="E87" s="397">
        <f t="shared" ref="E87:E92" ca="1" si="49">SUM(G87:AC87)</f>
        <v>0</v>
      </c>
      <c r="G87" s="408">
        <f>F92</f>
        <v>0</v>
      </c>
      <c r="H87" s="408">
        <f t="shared" ref="H87:AC87" ca="1" si="50">G92</f>
        <v>0</v>
      </c>
      <c r="I87" s="408">
        <f t="shared" ca="1" si="50"/>
        <v>0</v>
      </c>
      <c r="J87" s="408">
        <f t="shared" ca="1" si="50"/>
        <v>0</v>
      </c>
      <c r="K87" s="408">
        <f t="shared" ca="1" si="50"/>
        <v>0</v>
      </c>
      <c r="L87" s="408">
        <f t="shared" ca="1" si="50"/>
        <v>0</v>
      </c>
      <c r="M87" s="408">
        <f t="shared" ca="1" si="50"/>
        <v>0</v>
      </c>
      <c r="N87" s="408">
        <f t="shared" ca="1" si="50"/>
        <v>0</v>
      </c>
      <c r="O87" s="408">
        <f t="shared" ca="1" si="50"/>
        <v>0</v>
      </c>
      <c r="P87" s="408">
        <f t="shared" ca="1" si="50"/>
        <v>0</v>
      </c>
      <c r="Q87" s="408">
        <f t="shared" ca="1" si="50"/>
        <v>0</v>
      </c>
      <c r="R87" s="408">
        <f t="shared" ca="1" si="50"/>
        <v>0</v>
      </c>
      <c r="S87" s="408">
        <f t="shared" ca="1" si="50"/>
        <v>0</v>
      </c>
      <c r="T87" s="408">
        <f t="shared" ca="1" si="50"/>
        <v>0</v>
      </c>
      <c r="U87" s="408">
        <f t="shared" ca="1" si="50"/>
        <v>0</v>
      </c>
      <c r="V87" s="408">
        <f t="shared" ca="1" si="50"/>
        <v>0</v>
      </c>
      <c r="W87" s="408">
        <f t="shared" ca="1" si="50"/>
        <v>0</v>
      </c>
      <c r="X87" s="408">
        <f t="shared" ca="1" si="50"/>
        <v>0</v>
      </c>
      <c r="Y87" s="408">
        <f t="shared" ca="1" si="50"/>
        <v>0</v>
      </c>
      <c r="Z87" s="408">
        <f t="shared" ca="1" si="50"/>
        <v>0</v>
      </c>
      <c r="AA87" s="408">
        <f t="shared" ca="1" si="50"/>
        <v>0</v>
      </c>
      <c r="AB87" s="408">
        <f t="shared" ca="1" si="50"/>
        <v>0</v>
      </c>
      <c r="AC87" s="408">
        <f t="shared" ca="1" si="50"/>
        <v>0</v>
      </c>
    </row>
    <row r="88" spans="2:29">
      <c r="B88" s="400" t="s">
        <v>107</v>
      </c>
      <c r="C88" s="411" t="s">
        <v>523</v>
      </c>
      <c r="D88" s="394" t="s">
        <v>470</v>
      </c>
      <c r="E88" s="397">
        <f t="shared" ca="1" si="49"/>
        <v>0</v>
      </c>
      <c r="G88" s="408">
        <f ca="1">IF($B$88="No",0,MAX(G82*G84,0))</f>
        <v>0</v>
      </c>
      <c r="H88" s="408">
        <f t="shared" ref="H88:AC88" ca="1" si="51">IF($B$88="No",0,MAX(H82*H84,0))</f>
        <v>0</v>
      </c>
      <c r="I88" s="408">
        <f t="shared" ca="1" si="51"/>
        <v>0</v>
      </c>
      <c r="J88" s="408">
        <f t="shared" ca="1" si="51"/>
        <v>0</v>
      </c>
      <c r="K88" s="408">
        <f t="shared" ca="1" si="51"/>
        <v>0</v>
      </c>
      <c r="L88" s="408">
        <f t="shared" ca="1" si="51"/>
        <v>0</v>
      </c>
      <c r="M88" s="408">
        <f t="shared" ca="1" si="51"/>
        <v>0</v>
      </c>
      <c r="N88" s="408">
        <f t="shared" ca="1" si="51"/>
        <v>0</v>
      </c>
      <c r="O88" s="408">
        <f t="shared" ca="1" si="51"/>
        <v>0</v>
      </c>
      <c r="P88" s="408">
        <f t="shared" ca="1" si="51"/>
        <v>0</v>
      </c>
      <c r="Q88" s="408">
        <f t="shared" ca="1" si="51"/>
        <v>0</v>
      </c>
      <c r="R88" s="408">
        <f t="shared" ca="1" si="51"/>
        <v>0</v>
      </c>
      <c r="S88" s="408">
        <f t="shared" ca="1" si="51"/>
        <v>0</v>
      </c>
      <c r="T88" s="408">
        <f t="shared" ca="1" si="51"/>
        <v>0</v>
      </c>
      <c r="U88" s="408">
        <f t="shared" ca="1" si="51"/>
        <v>0</v>
      </c>
      <c r="V88" s="408">
        <f t="shared" ca="1" si="51"/>
        <v>0</v>
      </c>
      <c r="W88" s="408">
        <f t="shared" ca="1" si="51"/>
        <v>0</v>
      </c>
      <c r="X88" s="408">
        <f t="shared" ca="1" si="51"/>
        <v>0</v>
      </c>
      <c r="Y88" s="408">
        <f t="shared" ca="1" si="51"/>
        <v>0</v>
      </c>
      <c r="Z88" s="408">
        <f t="shared" ca="1" si="51"/>
        <v>0</v>
      </c>
      <c r="AA88" s="408">
        <f t="shared" ca="1" si="51"/>
        <v>0</v>
      </c>
      <c r="AB88" s="408">
        <f t="shared" ca="1" si="51"/>
        <v>0</v>
      </c>
      <c r="AC88" s="408">
        <f t="shared" ca="1" si="51"/>
        <v>0</v>
      </c>
    </row>
    <row r="89" spans="2:29">
      <c r="B89" s="407"/>
      <c r="C89" s="411" t="s">
        <v>524</v>
      </c>
      <c r="D89" s="394" t="s">
        <v>470</v>
      </c>
      <c r="E89" s="397">
        <f t="shared" ca="1" si="49"/>
        <v>0</v>
      </c>
      <c r="G89" s="408">
        <f>F88</f>
        <v>0</v>
      </c>
      <c r="H89" s="408">
        <f t="shared" ref="H89:AC89" ca="1" si="52">G88</f>
        <v>0</v>
      </c>
      <c r="I89" s="408">
        <f t="shared" ca="1" si="52"/>
        <v>0</v>
      </c>
      <c r="J89" s="408">
        <f t="shared" ca="1" si="52"/>
        <v>0</v>
      </c>
      <c r="K89" s="408">
        <f t="shared" ca="1" si="52"/>
        <v>0</v>
      </c>
      <c r="L89" s="408">
        <f t="shared" ca="1" si="52"/>
        <v>0</v>
      </c>
      <c r="M89" s="408">
        <f t="shared" ca="1" si="52"/>
        <v>0</v>
      </c>
      <c r="N89" s="408">
        <f t="shared" ca="1" si="52"/>
        <v>0</v>
      </c>
      <c r="O89" s="408">
        <f t="shared" ca="1" si="52"/>
        <v>0</v>
      </c>
      <c r="P89" s="408">
        <f t="shared" ca="1" si="52"/>
        <v>0</v>
      </c>
      <c r="Q89" s="408">
        <f t="shared" ca="1" si="52"/>
        <v>0</v>
      </c>
      <c r="R89" s="408">
        <f t="shared" ca="1" si="52"/>
        <v>0</v>
      </c>
      <c r="S89" s="408">
        <f t="shared" ca="1" si="52"/>
        <v>0</v>
      </c>
      <c r="T89" s="408">
        <f t="shared" ca="1" si="52"/>
        <v>0</v>
      </c>
      <c r="U89" s="408">
        <f t="shared" ca="1" si="52"/>
        <v>0</v>
      </c>
      <c r="V89" s="408">
        <f t="shared" ca="1" si="52"/>
        <v>0</v>
      </c>
      <c r="W89" s="408">
        <f t="shared" ca="1" si="52"/>
        <v>0</v>
      </c>
      <c r="X89" s="408">
        <f t="shared" ca="1" si="52"/>
        <v>0</v>
      </c>
      <c r="Y89" s="408">
        <f t="shared" ca="1" si="52"/>
        <v>0</v>
      </c>
      <c r="Z89" s="408">
        <f t="shared" ca="1" si="52"/>
        <v>0</v>
      </c>
      <c r="AA89" s="408">
        <f t="shared" ca="1" si="52"/>
        <v>0</v>
      </c>
      <c r="AB89" s="408">
        <f t="shared" ca="1" si="52"/>
        <v>0</v>
      </c>
      <c r="AC89" s="408">
        <f t="shared" ca="1" si="52"/>
        <v>0</v>
      </c>
    </row>
    <row r="90" spans="2:29">
      <c r="C90" s="411" t="s">
        <v>525</v>
      </c>
      <c r="D90" s="394" t="s">
        <v>470</v>
      </c>
      <c r="E90" s="397">
        <f t="shared" ca="1" si="49"/>
        <v>0</v>
      </c>
      <c r="G90" s="408">
        <f ca="1">+G87*$E$16+G88*$E$16/2</f>
        <v>0</v>
      </c>
      <c r="H90" s="408">
        <f t="shared" ref="H90:AC90" ca="1" si="53">+H87*$E$16+H88*$E$16/2</f>
        <v>0</v>
      </c>
      <c r="I90" s="408">
        <f t="shared" ca="1" si="53"/>
        <v>0</v>
      </c>
      <c r="J90" s="408">
        <f t="shared" ca="1" si="53"/>
        <v>0</v>
      </c>
      <c r="K90" s="408">
        <f t="shared" ca="1" si="53"/>
        <v>0</v>
      </c>
      <c r="L90" s="408">
        <f t="shared" ca="1" si="53"/>
        <v>0</v>
      </c>
      <c r="M90" s="408">
        <f t="shared" ca="1" si="53"/>
        <v>0</v>
      </c>
      <c r="N90" s="408">
        <f t="shared" ca="1" si="53"/>
        <v>0</v>
      </c>
      <c r="O90" s="408">
        <f t="shared" ca="1" si="53"/>
        <v>0</v>
      </c>
      <c r="P90" s="408">
        <f t="shared" ca="1" si="53"/>
        <v>0</v>
      </c>
      <c r="Q90" s="408">
        <f t="shared" ca="1" si="53"/>
        <v>0</v>
      </c>
      <c r="R90" s="408">
        <f t="shared" ca="1" si="53"/>
        <v>0</v>
      </c>
      <c r="S90" s="408">
        <f t="shared" ca="1" si="53"/>
        <v>0</v>
      </c>
      <c r="T90" s="408">
        <f t="shared" ca="1" si="53"/>
        <v>0</v>
      </c>
      <c r="U90" s="408">
        <f t="shared" ca="1" si="53"/>
        <v>0</v>
      </c>
      <c r="V90" s="408">
        <f t="shared" ca="1" si="53"/>
        <v>0</v>
      </c>
      <c r="W90" s="408">
        <f t="shared" ca="1" si="53"/>
        <v>0</v>
      </c>
      <c r="X90" s="408">
        <f t="shared" ca="1" si="53"/>
        <v>0</v>
      </c>
      <c r="Y90" s="408">
        <f t="shared" ca="1" si="53"/>
        <v>0</v>
      </c>
      <c r="Z90" s="408">
        <f t="shared" ca="1" si="53"/>
        <v>0</v>
      </c>
      <c r="AA90" s="408">
        <f t="shared" ca="1" si="53"/>
        <v>0</v>
      </c>
      <c r="AB90" s="408">
        <f t="shared" ca="1" si="53"/>
        <v>0</v>
      </c>
      <c r="AC90" s="408">
        <f t="shared" ca="1" si="53"/>
        <v>0</v>
      </c>
    </row>
    <row r="91" spans="2:29">
      <c r="C91" s="411" t="s">
        <v>526</v>
      </c>
      <c r="D91" s="394" t="s">
        <v>470</v>
      </c>
      <c r="E91" s="397">
        <f t="shared" ca="1" si="49"/>
        <v>0</v>
      </c>
      <c r="G91" s="408">
        <f ca="1">G90</f>
        <v>0</v>
      </c>
      <c r="H91" s="408">
        <f t="shared" ref="H91:AC91" ca="1" si="54">H90</f>
        <v>0</v>
      </c>
      <c r="I91" s="408">
        <f t="shared" ca="1" si="54"/>
        <v>0</v>
      </c>
      <c r="J91" s="408">
        <f t="shared" ca="1" si="54"/>
        <v>0</v>
      </c>
      <c r="K91" s="408">
        <f t="shared" ca="1" si="54"/>
        <v>0</v>
      </c>
      <c r="L91" s="408">
        <f t="shared" ca="1" si="54"/>
        <v>0</v>
      </c>
      <c r="M91" s="408">
        <f t="shared" ca="1" si="54"/>
        <v>0</v>
      </c>
      <c r="N91" s="408">
        <f t="shared" ca="1" si="54"/>
        <v>0</v>
      </c>
      <c r="O91" s="408">
        <f t="shared" ca="1" si="54"/>
        <v>0</v>
      </c>
      <c r="P91" s="408">
        <f t="shared" ca="1" si="54"/>
        <v>0</v>
      </c>
      <c r="Q91" s="408">
        <f t="shared" ca="1" si="54"/>
        <v>0</v>
      </c>
      <c r="R91" s="408">
        <f t="shared" ca="1" si="54"/>
        <v>0</v>
      </c>
      <c r="S91" s="408">
        <f t="shared" ca="1" si="54"/>
        <v>0</v>
      </c>
      <c r="T91" s="408">
        <f t="shared" ca="1" si="54"/>
        <v>0</v>
      </c>
      <c r="U91" s="408">
        <f t="shared" ca="1" si="54"/>
        <v>0</v>
      </c>
      <c r="V91" s="408">
        <f t="shared" ca="1" si="54"/>
        <v>0</v>
      </c>
      <c r="W91" s="408">
        <f t="shared" ca="1" si="54"/>
        <v>0</v>
      </c>
      <c r="X91" s="408">
        <f t="shared" ca="1" si="54"/>
        <v>0</v>
      </c>
      <c r="Y91" s="408">
        <f t="shared" ca="1" si="54"/>
        <v>0</v>
      </c>
      <c r="Z91" s="408">
        <f t="shared" ca="1" si="54"/>
        <v>0</v>
      </c>
      <c r="AA91" s="408">
        <f t="shared" ca="1" si="54"/>
        <v>0</v>
      </c>
      <c r="AB91" s="408">
        <f t="shared" ca="1" si="54"/>
        <v>0</v>
      </c>
      <c r="AC91" s="408">
        <f t="shared" ca="1" si="54"/>
        <v>0</v>
      </c>
    </row>
    <row r="92" spans="2:29">
      <c r="C92" s="414" t="s">
        <v>527</v>
      </c>
      <c r="D92" s="394" t="s">
        <v>470</v>
      </c>
      <c r="E92" s="397">
        <f t="shared" ca="1" si="49"/>
        <v>0</v>
      </c>
      <c r="G92" s="408">
        <f t="shared" ref="G92:AC92" ca="1" si="55">+G87+G88-G89+G90-G91</f>
        <v>0</v>
      </c>
      <c r="H92" s="408">
        <f t="shared" ca="1" si="55"/>
        <v>0</v>
      </c>
      <c r="I92" s="408">
        <f t="shared" ca="1" si="55"/>
        <v>0</v>
      </c>
      <c r="J92" s="408">
        <f t="shared" ca="1" si="55"/>
        <v>0</v>
      </c>
      <c r="K92" s="408">
        <f t="shared" ca="1" si="55"/>
        <v>0</v>
      </c>
      <c r="L92" s="408">
        <f t="shared" ca="1" si="55"/>
        <v>0</v>
      </c>
      <c r="M92" s="408">
        <f t="shared" ca="1" si="55"/>
        <v>0</v>
      </c>
      <c r="N92" s="408">
        <f t="shared" ca="1" si="55"/>
        <v>0</v>
      </c>
      <c r="O92" s="408">
        <f t="shared" ca="1" si="55"/>
        <v>0</v>
      </c>
      <c r="P92" s="408">
        <f t="shared" ca="1" si="55"/>
        <v>0</v>
      </c>
      <c r="Q92" s="408">
        <f t="shared" ca="1" si="55"/>
        <v>0</v>
      </c>
      <c r="R92" s="408">
        <f t="shared" ca="1" si="55"/>
        <v>0</v>
      </c>
      <c r="S92" s="408">
        <f t="shared" ca="1" si="55"/>
        <v>0</v>
      </c>
      <c r="T92" s="408">
        <f t="shared" ca="1" si="55"/>
        <v>0</v>
      </c>
      <c r="U92" s="408">
        <f t="shared" ca="1" si="55"/>
        <v>0</v>
      </c>
      <c r="V92" s="408">
        <f t="shared" ca="1" si="55"/>
        <v>0</v>
      </c>
      <c r="W92" s="408">
        <f t="shared" ca="1" si="55"/>
        <v>0</v>
      </c>
      <c r="X92" s="408">
        <f t="shared" ca="1" si="55"/>
        <v>0</v>
      </c>
      <c r="Y92" s="408">
        <f t="shared" ca="1" si="55"/>
        <v>0</v>
      </c>
      <c r="Z92" s="408">
        <f t="shared" ca="1" si="55"/>
        <v>0</v>
      </c>
      <c r="AA92" s="408">
        <f t="shared" ca="1" si="55"/>
        <v>0</v>
      </c>
      <c r="AB92" s="408">
        <f t="shared" ca="1" si="55"/>
        <v>0</v>
      </c>
      <c r="AC92" s="408">
        <f t="shared" ca="1" si="55"/>
        <v>0</v>
      </c>
    </row>
    <row r="93" spans="2:29">
      <c r="E93" s="397"/>
    </row>
    <row r="94" spans="2:29">
      <c r="E94" s="397"/>
    </row>
    <row r="95" spans="2:29">
      <c r="E95" s="397"/>
    </row>
    <row r="96" spans="2:29">
      <c r="C96" s="386" t="s">
        <v>536</v>
      </c>
      <c r="D96" s="394" t="s">
        <v>470</v>
      </c>
      <c r="E96" s="397">
        <f ca="1">SUM(G96:AC96)</f>
        <v>0</v>
      </c>
      <c r="G96" s="408">
        <f ca="1">G62+G91+G70</f>
        <v>0</v>
      </c>
      <c r="H96" s="408">
        <f t="shared" ref="H96:AC96" ca="1" si="56">H62+H91+H70</f>
        <v>0</v>
      </c>
      <c r="I96" s="408">
        <f t="shared" ca="1" si="56"/>
        <v>0</v>
      </c>
      <c r="J96" s="408">
        <f ca="1">J62+J91+J70</f>
        <v>0</v>
      </c>
      <c r="K96" s="408">
        <f t="shared" ca="1" si="56"/>
        <v>0</v>
      </c>
      <c r="L96" s="408">
        <f t="shared" ca="1" si="56"/>
        <v>0</v>
      </c>
      <c r="M96" s="408">
        <f t="shared" ca="1" si="56"/>
        <v>0</v>
      </c>
      <c r="N96" s="408">
        <f t="shared" ca="1" si="56"/>
        <v>0</v>
      </c>
      <c r="O96" s="408">
        <f t="shared" ca="1" si="56"/>
        <v>0</v>
      </c>
      <c r="P96" s="408">
        <f t="shared" ca="1" si="56"/>
        <v>0</v>
      </c>
      <c r="Q96" s="408">
        <f t="shared" ca="1" si="56"/>
        <v>0</v>
      </c>
      <c r="R96" s="408">
        <f t="shared" ca="1" si="56"/>
        <v>0</v>
      </c>
      <c r="S96" s="408">
        <f t="shared" ca="1" si="56"/>
        <v>0</v>
      </c>
      <c r="T96" s="408">
        <f t="shared" ca="1" si="56"/>
        <v>0</v>
      </c>
      <c r="U96" s="408">
        <f t="shared" ca="1" si="56"/>
        <v>0</v>
      </c>
      <c r="V96" s="408">
        <f t="shared" ca="1" si="56"/>
        <v>0</v>
      </c>
      <c r="W96" s="408">
        <f t="shared" ca="1" si="56"/>
        <v>0</v>
      </c>
      <c r="X96" s="408">
        <f t="shared" ca="1" si="56"/>
        <v>0</v>
      </c>
      <c r="Y96" s="408">
        <f t="shared" ca="1" si="56"/>
        <v>0</v>
      </c>
      <c r="Z96" s="408">
        <f t="shared" ca="1" si="56"/>
        <v>0</v>
      </c>
      <c r="AA96" s="408">
        <f t="shared" ca="1" si="56"/>
        <v>0</v>
      </c>
      <c r="AB96" s="408">
        <f t="shared" ca="1" si="56"/>
        <v>0</v>
      </c>
      <c r="AC96" s="408">
        <f t="shared" ca="1" si="56"/>
        <v>0</v>
      </c>
    </row>
    <row r="97" spans="4:29">
      <c r="D97" s="394" t="s">
        <v>537</v>
      </c>
      <c r="E97" s="397">
        <f ca="1">IFERROR(E96/E4*10,0)</f>
        <v>0</v>
      </c>
      <c r="G97" s="408">
        <f t="shared" ref="G97:AC97" ca="1" si="57">IFERROR(G96/G4*10,0)</f>
        <v>0</v>
      </c>
      <c r="H97" s="408">
        <f t="shared" ca="1" si="57"/>
        <v>0</v>
      </c>
      <c r="I97" s="408">
        <f t="shared" ca="1" si="57"/>
        <v>0</v>
      </c>
      <c r="J97" s="408">
        <f t="shared" ca="1" si="57"/>
        <v>0</v>
      </c>
      <c r="K97" s="408">
        <f t="shared" ca="1" si="57"/>
        <v>0</v>
      </c>
      <c r="L97" s="408">
        <f t="shared" ca="1" si="57"/>
        <v>0</v>
      </c>
      <c r="M97" s="408">
        <f t="shared" ca="1" si="57"/>
        <v>0</v>
      </c>
      <c r="N97" s="408">
        <f t="shared" ca="1" si="57"/>
        <v>0</v>
      </c>
      <c r="O97" s="408">
        <f t="shared" ca="1" si="57"/>
        <v>0</v>
      </c>
      <c r="P97" s="408">
        <f t="shared" ca="1" si="57"/>
        <v>0</v>
      </c>
      <c r="Q97" s="408">
        <f t="shared" ca="1" si="57"/>
        <v>0</v>
      </c>
      <c r="R97" s="408">
        <f t="shared" ca="1" si="57"/>
        <v>0</v>
      </c>
      <c r="S97" s="408">
        <f t="shared" ca="1" si="57"/>
        <v>0</v>
      </c>
      <c r="T97" s="408">
        <f t="shared" ca="1" si="57"/>
        <v>0</v>
      </c>
      <c r="U97" s="408">
        <f t="shared" ca="1" si="57"/>
        <v>0</v>
      </c>
      <c r="V97" s="408">
        <f t="shared" ca="1" si="57"/>
        <v>0</v>
      </c>
      <c r="W97" s="408">
        <f t="shared" ca="1" si="57"/>
        <v>0</v>
      </c>
      <c r="X97" s="408">
        <f t="shared" ca="1" si="57"/>
        <v>0</v>
      </c>
      <c r="Y97" s="408">
        <f t="shared" ca="1" si="57"/>
        <v>0</v>
      </c>
      <c r="Z97" s="408">
        <f t="shared" ca="1" si="57"/>
        <v>0</v>
      </c>
      <c r="AA97" s="408">
        <f t="shared" ca="1" si="57"/>
        <v>0</v>
      </c>
      <c r="AB97" s="408">
        <f t="shared" ca="1" si="57"/>
        <v>0</v>
      </c>
      <c r="AC97" s="408">
        <f t="shared" ca="1" si="57"/>
        <v>0</v>
      </c>
    </row>
  </sheetData>
  <conditionalFormatting sqref="F20">
    <cfRule type="cellIs" dxfId="7" priority="2" operator="equal">
      <formula>TRUE</formula>
    </cfRule>
  </conditionalFormatting>
  <conditionalFormatting sqref="F25:F60">
    <cfRule type="cellIs" dxfId="6" priority="1" operator="equal">
      <formula>TRUE</formula>
    </cfRule>
  </conditionalFormatting>
  <dataValidations count="1">
    <dataValidation type="list" allowBlank="1" showInputMessage="1" showErrorMessage="1" sqref="B7 B81 B20 B88" xr:uid="{425C343D-7748-45A7-95F1-457741EF91C7}">
      <formula1>"Yes, No"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9772-7A91-4948-9C5C-D591E46E476A}">
  <sheetPr codeName="Sheet45">
    <tabColor rgb="FF0070C0"/>
  </sheetPr>
  <dimension ref="B1:AQ97"/>
  <sheetViews>
    <sheetView showGridLines="0" workbookViewId="0"/>
  </sheetViews>
  <sheetFormatPr baseColWidth="10" defaultColWidth="9.1640625" defaultRowHeight="11" outlineLevelRow="1"/>
  <cols>
    <col min="1" max="2" width="9.1640625" style="386"/>
    <col min="3" max="3" width="22.5" style="386" bestFit="1" customWidth="1"/>
    <col min="4" max="4" width="9.1640625" style="394"/>
    <col min="5" max="5" width="9.1640625" style="398"/>
    <col min="6" max="6" width="10.6640625" style="398" bestFit="1" customWidth="1"/>
    <col min="7" max="32" width="7.1640625" style="401" customWidth="1"/>
    <col min="33" max="16384" width="9.1640625" style="386"/>
  </cols>
  <sheetData>
    <row r="1" spans="2:43" ht="13">
      <c r="G1" s="100">
        <f>'Production Schedule'!E1</f>
        <v>46023</v>
      </c>
      <c r="H1" s="100">
        <f>'Production Schedule'!F1</f>
        <v>46389</v>
      </c>
      <c r="I1" s="100">
        <f>'Production Schedule'!G1</f>
        <v>46755</v>
      </c>
      <c r="J1" s="100">
        <f>'Production Schedule'!H1</f>
        <v>47121</v>
      </c>
      <c r="K1" s="100">
        <f>'Production Schedule'!I1</f>
        <v>47487</v>
      </c>
      <c r="L1" s="100">
        <f>'Production Schedule'!J1</f>
        <v>47853</v>
      </c>
      <c r="M1" s="100">
        <f>'Production Schedule'!K1</f>
        <v>48219</v>
      </c>
      <c r="N1" s="100">
        <f>'Production Schedule'!L1</f>
        <v>48585</v>
      </c>
      <c r="O1" s="100">
        <f>'Production Schedule'!M1</f>
        <v>48951</v>
      </c>
      <c r="P1" s="100">
        <f>'Production Schedule'!N1</f>
        <v>49317</v>
      </c>
      <c r="Q1" s="100">
        <f>'Production Schedule'!O1</f>
        <v>49683</v>
      </c>
      <c r="R1" s="100">
        <f>'Production Schedule'!P1</f>
        <v>50049</v>
      </c>
      <c r="S1" s="100">
        <f>'Production Schedule'!Q1</f>
        <v>50415</v>
      </c>
      <c r="T1" s="100">
        <f>'Production Schedule'!R1</f>
        <v>50781</v>
      </c>
      <c r="U1" s="100">
        <f>'Production Schedule'!S1</f>
        <v>51147</v>
      </c>
      <c r="V1" s="100">
        <f>'Production Schedule'!T1</f>
        <v>51513</v>
      </c>
      <c r="W1" s="100">
        <f>'Production Schedule'!U1</f>
        <v>51879</v>
      </c>
      <c r="X1" s="100">
        <f>'Production Schedule'!V1</f>
        <v>52245</v>
      </c>
      <c r="Y1" s="100">
        <f>'Production Schedule'!W1</f>
        <v>52611</v>
      </c>
      <c r="Z1" s="100">
        <f>'Production Schedule'!X1</f>
        <v>52977</v>
      </c>
      <c r="AA1" s="100">
        <f>'Production Schedule'!Y1</f>
        <v>53343</v>
      </c>
      <c r="AB1" s="100">
        <f>'Production Schedule'!Z1</f>
        <v>53709</v>
      </c>
      <c r="AC1" s="100">
        <f>'Production Schedule'!AA1</f>
        <v>54075</v>
      </c>
      <c r="AD1" s="100">
        <f>'Production Schedule'!AB1</f>
        <v>0</v>
      </c>
      <c r="AE1" s="100">
        <f>'Production Schedule'!AC1</f>
        <v>0</v>
      </c>
      <c r="AF1" s="100">
        <f>'Production Schedule'!AD1</f>
        <v>0</v>
      </c>
      <c r="AG1" s="100">
        <f>'Production Schedule'!AE1</f>
        <v>0</v>
      </c>
      <c r="AH1" s="100">
        <f>'Production Schedule'!AF1</f>
        <v>0</v>
      </c>
      <c r="AI1" s="100">
        <f>'Production Schedule'!AG1</f>
        <v>0</v>
      </c>
      <c r="AJ1" s="100">
        <f>'Production Schedule'!AH1</f>
        <v>0</v>
      </c>
      <c r="AK1" s="100">
        <f>'Production Schedule'!AI1</f>
        <v>0</v>
      </c>
      <c r="AL1" s="100">
        <f>'Production Schedule'!AJ1</f>
        <v>0</v>
      </c>
      <c r="AM1" s="100">
        <f>'Production Schedule'!AK1</f>
        <v>0</v>
      </c>
      <c r="AN1" s="100">
        <f>'Production Schedule'!AL1</f>
        <v>0</v>
      </c>
      <c r="AO1" s="100">
        <f>'Production Schedule'!AM1</f>
        <v>0</v>
      </c>
      <c r="AP1" s="100">
        <f>'Production Schedule'!AN1</f>
        <v>0</v>
      </c>
      <c r="AQ1" s="100">
        <f>'Production Schedule'!AO1</f>
        <v>0</v>
      </c>
    </row>
    <row r="2" spans="2:43" ht="11.25" customHeight="1" outlineLevel="1" thickBot="1">
      <c r="C2" s="387" t="s">
        <v>463</v>
      </c>
      <c r="D2" s="388"/>
      <c r="E2" s="389"/>
      <c r="F2" s="389"/>
      <c r="G2" s="1141">
        <f>'Production Schedule'!E3</f>
        <v>-4</v>
      </c>
      <c r="H2" s="1141">
        <f>'Production Schedule'!F3</f>
        <v>-3</v>
      </c>
      <c r="I2" s="1141">
        <f>'Production Schedule'!G3</f>
        <v>-2</v>
      </c>
      <c r="J2" s="1141">
        <f>'Production Schedule'!H3</f>
        <v>-1</v>
      </c>
      <c r="K2" s="1141">
        <f>'Production Schedule'!I3</f>
        <v>1</v>
      </c>
      <c r="L2" s="1141">
        <f>'Production Schedule'!J3</f>
        <v>2</v>
      </c>
      <c r="M2" s="1141">
        <f>'Production Schedule'!K3</f>
        <v>3</v>
      </c>
      <c r="N2" s="1141">
        <f>'Production Schedule'!L3</f>
        <v>4</v>
      </c>
      <c r="O2" s="1141">
        <f>'Production Schedule'!M3</f>
        <v>5</v>
      </c>
      <c r="P2" s="1141">
        <f>'Production Schedule'!N3</f>
        <v>6</v>
      </c>
      <c r="Q2" s="1141">
        <f>'Production Schedule'!O3</f>
        <v>7</v>
      </c>
      <c r="R2" s="1141">
        <f>'Production Schedule'!P3</f>
        <v>8</v>
      </c>
      <c r="S2" s="1141">
        <f>'Production Schedule'!Q3</f>
        <v>9</v>
      </c>
      <c r="T2" s="1141">
        <f>'Production Schedule'!R3</f>
        <v>10</v>
      </c>
      <c r="U2" s="1141">
        <f>'Production Schedule'!S3</f>
        <v>11</v>
      </c>
      <c r="V2" s="1141">
        <f>'Production Schedule'!T3</f>
        <v>12</v>
      </c>
      <c r="W2" s="1141">
        <f>'Production Schedule'!U3</f>
        <v>13</v>
      </c>
      <c r="X2" s="1141">
        <f>'Production Schedule'!V3</f>
        <v>14</v>
      </c>
      <c r="Y2" s="1141">
        <f>'Production Schedule'!W3</f>
        <v>15</v>
      </c>
      <c r="Z2" s="1141">
        <f>'Production Schedule'!X3</f>
        <v>16</v>
      </c>
      <c r="AA2" s="1141">
        <f>'Production Schedule'!Y3</f>
        <v>17</v>
      </c>
      <c r="AB2" s="1141">
        <f>'Production Schedule'!Z3</f>
        <v>18</v>
      </c>
      <c r="AC2" s="1141">
        <f>'Production Schedule'!AA3</f>
        <v>19</v>
      </c>
      <c r="AD2" s="1141">
        <f>'Production Schedule'!AB3</f>
        <v>0</v>
      </c>
      <c r="AE2" s="1141">
        <f>'Production Schedule'!AC3</f>
        <v>0</v>
      </c>
      <c r="AF2" s="1141">
        <f>'Production Schedule'!AD3</f>
        <v>0</v>
      </c>
      <c r="AG2" s="1141">
        <f>'Production Schedule'!AE3</f>
        <v>0</v>
      </c>
      <c r="AH2" s="1141">
        <f>'Production Schedule'!AF3</f>
        <v>0</v>
      </c>
      <c r="AI2" s="1141">
        <f>'Production Schedule'!AG3</f>
        <v>0</v>
      </c>
      <c r="AJ2" s="1141">
        <f>'Production Schedule'!AH3</f>
        <v>0</v>
      </c>
      <c r="AK2" s="1141">
        <f>'Production Schedule'!AI3</f>
        <v>0</v>
      </c>
      <c r="AL2" s="1141">
        <f>'Production Schedule'!AJ3</f>
        <v>0</v>
      </c>
      <c r="AM2" s="1141">
        <f>'Production Schedule'!AK3</f>
        <v>0</v>
      </c>
      <c r="AN2" s="1141">
        <f>'Production Schedule'!AL3</f>
        <v>0</v>
      </c>
      <c r="AO2" s="1141">
        <f>'Production Schedule'!AM3</f>
        <v>0</v>
      </c>
      <c r="AP2" s="1141">
        <f>'Production Schedule'!AN3</f>
        <v>0</v>
      </c>
      <c r="AQ2" s="1141">
        <f>'Production Schedule'!AO3</f>
        <v>0</v>
      </c>
    </row>
    <row r="3" spans="2:43" ht="11.25" customHeight="1" thickTop="1">
      <c r="C3" s="390" t="s">
        <v>508</v>
      </c>
      <c r="D3" s="391"/>
      <c r="E3" s="392"/>
      <c r="F3" s="392"/>
      <c r="G3" s="393"/>
      <c r="H3" s="393"/>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row>
    <row r="4" spans="2:43" ht="12" customHeight="1">
      <c r="C4" s="386" t="s">
        <v>509</v>
      </c>
      <c r="D4" s="394" t="s">
        <v>113</v>
      </c>
      <c r="E4" s="395">
        <f>SUM(G4:AQ4)</f>
        <v>225.70440651000001</v>
      </c>
      <c r="F4" s="395"/>
      <c r="G4" s="396">
        <f>'Production Schedule'!E5</f>
        <v>0</v>
      </c>
      <c r="H4" s="396">
        <f>'Production Schedule'!F5</f>
        <v>0</v>
      </c>
      <c r="I4" s="396">
        <f>'Production Schedule'!G5</f>
        <v>0</v>
      </c>
      <c r="J4" s="396">
        <f>'Production Schedule'!H5</f>
        <v>0</v>
      </c>
      <c r="K4" s="396">
        <f>'Production Schedule'!I5</f>
        <v>1.9999997549999999</v>
      </c>
      <c r="L4" s="396">
        <f>'Production Schedule'!J5</f>
        <v>3.9999986549999997</v>
      </c>
      <c r="M4" s="396">
        <f>'Production Schedule'!K5</f>
        <v>8.00000073</v>
      </c>
      <c r="N4" s="396">
        <f>'Production Schedule'!L5</f>
        <v>11.999998529999999</v>
      </c>
      <c r="O4" s="396">
        <f>'Production Schedule'!M5</f>
        <v>14.99999517</v>
      </c>
      <c r="P4" s="396">
        <f>'Production Schedule'!N5</f>
        <v>15.000007140000001</v>
      </c>
      <c r="Q4" s="396">
        <f>'Production Schedule'!O5</f>
        <v>14.999998590000001</v>
      </c>
      <c r="R4" s="396">
        <f>'Production Schedule'!P5</f>
        <v>14.999996879999999</v>
      </c>
      <c r="S4" s="396">
        <f>'Production Schedule'!Q5</f>
        <v>15.000003719999999</v>
      </c>
      <c r="T4" s="396">
        <f>'Production Schedule'!R5</f>
        <v>14.99999517</v>
      </c>
      <c r="U4" s="396">
        <f>'Production Schedule'!S5</f>
        <v>14.999996879999999</v>
      </c>
      <c r="V4" s="396">
        <f>'Production Schedule'!T5</f>
        <v>15.000002009999999</v>
      </c>
      <c r="W4" s="396">
        <f>'Production Schedule'!U5</f>
        <v>15.00001569</v>
      </c>
      <c r="X4" s="396">
        <f>'Production Schedule'!V5</f>
        <v>15.000002009999999</v>
      </c>
      <c r="Y4" s="396">
        <f>'Production Schedule'!W5</f>
        <v>15.000002009999999</v>
      </c>
      <c r="Z4" s="396">
        <f>'Production Schedule'!X5</f>
        <v>15.000000299999998</v>
      </c>
      <c r="AA4" s="396">
        <f>'Production Schedule'!Y5</f>
        <v>9.9999996299999996</v>
      </c>
      <c r="AB4" s="396">
        <f>'Production Schedule'!Z5</f>
        <v>7.5000027149999999</v>
      </c>
      <c r="AC4" s="396">
        <f>'Production Schedule'!AA5</f>
        <v>2.2043909249999998</v>
      </c>
      <c r="AD4" s="396">
        <f>'Production Schedule'!AB5</f>
        <v>0</v>
      </c>
      <c r="AE4" s="396">
        <f>'Production Schedule'!AC5</f>
        <v>0</v>
      </c>
      <c r="AF4" s="396">
        <f>'Production Schedule'!AD5</f>
        <v>0</v>
      </c>
      <c r="AG4" s="396">
        <f>'Production Schedule'!AE5</f>
        <v>0</v>
      </c>
      <c r="AH4" s="396">
        <f>'Production Schedule'!AF5</f>
        <v>0</v>
      </c>
      <c r="AI4" s="396">
        <f>'Production Schedule'!AG5</f>
        <v>0</v>
      </c>
      <c r="AJ4" s="396">
        <f>'Production Schedule'!AH5</f>
        <v>0</v>
      </c>
      <c r="AK4" s="396"/>
      <c r="AL4" s="396"/>
      <c r="AM4" s="396"/>
      <c r="AN4" s="396"/>
      <c r="AO4" s="396"/>
      <c r="AP4" s="396"/>
      <c r="AQ4" s="396"/>
    </row>
    <row r="5" spans="2:43" ht="11.25" customHeight="1" collapsed="1">
      <c r="C5" s="390" t="s">
        <v>510</v>
      </c>
      <c r="D5" s="391"/>
      <c r="E5" s="392"/>
      <c r="F5" s="392"/>
      <c r="G5" s="393"/>
      <c r="H5" s="393"/>
      <c r="I5" s="393"/>
      <c r="J5" s="393"/>
      <c r="K5" s="393"/>
      <c r="L5" s="393"/>
      <c r="M5" s="393"/>
      <c r="N5" s="393"/>
      <c r="O5" s="393"/>
      <c r="P5" s="393"/>
      <c r="Q5" s="393"/>
      <c r="R5" s="393"/>
      <c r="S5" s="393"/>
      <c r="T5" s="393"/>
      <c r="U5" s="393"/>
      <c r="V5" s="393"/>
      <c r="W5" s="393"/>
      <c r="X5" s="393"/>
      <c r="Y5" s="393"/>
      <c r="Z5" s="393"/>
      <c r="AA5" s="393"/>
      <c r="AB5" s="393"/>
      <c r="AC5" s="393"/>
      <c r="AD5" s="393"/>
      <c r="AE5" s="393"/>
      <c r="AF5" s="393"/>
      <c r="AG5" s="393"/>
      <c r="AH5" s="393"/>
      <c r="AI5" s="393"/>
      <c r="AJ5" s="393"/>
      <c r="AK5" s="393"/>
      <c r="AL5" s="393"/>
      <c r="AM5" s="393"/>
      <c r="AN5" s="393"/>
      <c r="AO5" s="393"/>
    </row>
    <row r="6" spans="2:43">
      <c r="C6" s="386" t="s">
        <v>511</v>
      </c>
      <c r="D6" s="394" t="s">
        <v>470</v>
      </c>
      <c r="E6" s="397">
        <f>SUM(G6:AO6)</f>
        <v>0</v>
      </c>
      <c r="G6" s="399">
        <f>'Depreciation-MDO'!H23</f>
        <v>0</v>
      </c>
      <c r="H6" s="399">
        <f>'Depreciation-MDO'!I23</f>
        <v>0</v>
      </c>
      <c r="I6" s="399">
        <f>'Depreciation-MDO'!J23</f>
        <v>0</v>
      </c>
      <c r="J6" s="399">
        <f>'Depreciation-MDO'!K23</f>
        <v>0</v>
      </c>
      <c r="K6" s="399">
        <f>'Depreciation-MDO'!L23</f>
        <v>0</v>
      </c>
      <c r="L6" s="399">
        <f>'Depreciation-MDO'!M23</f>
        <v>0</v>
      </c>
      <c r="M6" s="399">
        <f>'Depreciation-MDO'!N23</f>
        <v>0</v>
      </c>
      <c r="N6" s="399">
        <f>'Depreciation-MDO'!O23</f>
        <v>0</v>
      </c>
      <c r="O6" s="399">
        <f>'Depreciation-MDO'!P23</f>
        <v>0</v>
      </c>
      <c r="P6" s="399">
        <f>'Depreciation-MDO'!Q23</f>
        <v>0</v>
      </c>
      <c r="Q6" s="399">
        <f>'Depreciation-MDO'!R23</f>
        <v>0</v>
      </c>
      <c r="R6" s="399">
        <f>'Depreciation-MDO'!S23</f>
        <v>0</v>
      </c>
      <c r="S6" s="399">
        <f>'Depreciation-MDO'!T23</f>
        <v>0</v>
      </c>
      <c r="T6" s="399">
        <f>'Depreciation-MDO'!U23</f>
        <v>0</v>
      </c>
      <c r="U6" s="399">
        <f>'Depreciation-MDO'!V23</f>
        <v>0</v>
      </c>
      <c r="V6" s="399">
        <f>'Depreciation-MDO'!W23</f>
        <v>0</v>
      </c>
      <c r="W6" s="399">
        <f>'Depreciation-MDO'!X23</f>
        <v>0</v>
      </c>
      <c r="X6" s="399">
        <f>'Depreciation-MDO'!Y23</f>
        <v>0</v>
      </c>
      <c r="Y6" s="399">
        <f>'Depreciation-MDO'!Z23</f>
        <v>0</v>
      </c>
      <c r="Z6" s="399">
        <f>'Depreciation-MDO'!AA23</f>
        <v>0</v>
      </c>
      <c r="AA6" s="399">
        <f>'Depreciation-MDO'!AB23</f>
        <v>0</v>
      </c>
      <c r="AB6" s="399">
        <f>'Depreciation-MDO'!AC23</f>
        <v>0</v>
      </c>
      <c r="AC6" s="399">
        <f>'Depreciation-MDO'!AD23</f>
        <v>0</v>
      </c>
      <c r="AD6" s="399">
        <f>'Depreciation-MDO'!AE23</f>
        <v>0</v>
      </c>
      <c r="AE6" s="399">
        <f>'Depreciation-MDO'!AF23</f>
        <v>0</v>
      </c>
      <c r="AF6" s="399">
        <f>'Depreciation-MDO'!AG23</f>
        <v>0</v>
      </c>
      <c r="AG6" s="399">
        <f>'Depreciation-MDO'!AH23</f>
        <v>0</v>
      </c>
      <c r="AH6" s="399">
        <f>'Depreciation-MDO'!AI23</f>
        <v>0</v>
      </c>
      <c r="AI6" s="399">
        <f>'Depreciation-MDO'!AJ23</f>
        <v>0</v>
      </c>
      <c r="AJ6" s="399">
        <f>'Depreciation-MDO'!AK23</f>
        <v>0</v>
      </c>
      <c r="AK6" s="399"/>
      <c r="AL6" s="399"/>
      <c r="AM6" s="399"/>
      <c r="AN6" s="399"/>
      <c r="AO6" s="399"/>
      <c r="AP6" s="399"/>
      <c r="AQ6" s="399"/>
    </row>
    <row r="7" spans="2:43">
      <c r="B7" s="400" t="s">
        <v>107</v>
      </c>
      <c r="C7" s="386" t="s">
        <v>512</v>
      </c>
      <c r="D7" s="394" t="s">
        <v>470</v>
      </c>
      <c r="E7" s="397">
        <f>SUM(G7:AO7)</f>
        <v>0</v>
      </c>
      <c r="G7" s="399">
        <f>'Depreciation-MDO'!H33</f>
        <v>0</v>
      </c>
      <c r="H7" s="399">
        <f>'Depreciation-MDO'!I33</f>
        <v>0</v>
      </c>
      <c r="I7" s="399">
        <f>'Depreciation-MDO'!J33</f>
        <v>0</v>
      </c>
      <c r="J7" s="399">
        <f>'Depreciation-MDO'!K33</f>
        <v>0</v>
      </c>
      <c r="K7" s="399">
        <f>'Depreciation-MDO'!L33</f>
        <v>0</v>
      </c>
      <c r="L7" s="399">
        <f>'Depreciation-MDO'!M33</f>
        <v>0</v>
      </c>
      <c r="M7" s="399">
        <f>'Depreciation-MDO'!N33</f>
        <v>0</v>
      </c>
      <c r="N7" s="399">
        <f>'Depreciation-MDO'!O33</f>
        <v>0</v>
      </c>
      <c r="O7" s="399">
        <f>'Depreciation-MDO'!P33</f>
        <v>0</v>
      </c>
      <c r="P7" s="399">
        <f>'Depreciation-MDO'!Q33</f>
        <v>0</v>
      </c>
      <c r="Q7" s="399">
        <f>'Depreciation-MDO'!R33</f>
        <v>0</v>
      </c>
      <c r="R7" s="399">
        <f>'Depreciation-MDO'!S33</f>
        <v>0</v>
      </c>
      <c r="S7" s="399">
        <f>'Depreciation-MDO'!T33</f>
        <v>0</v>
      </c>
      <c r="T7" s="399">
        <f>'Depreciation-MDO'!U33</f>
        <v>0</v>
      </c>
      <c r="U7" s="399">
        <f>'Depreciation-MDO'!V33</f>
        <v>0</v>
      </c>
      <c r="V7" s="399">
        <f>'Depreciation-MDO'!W33</f>
        <v>0</v>
      </c>
      <c r="W7" s="399">
        <f>'Depreciation-MDO'!X33</f>
        <v>0</v>
      </c>
      <c r="X7" s="399">
        <f>'Depreciation-MDO'!Y33</f>
        <v>0</v>
      </c>
      <c r="Y7" s="399">
        <f>'Depreciation-MDO'!Z33</f>
        <v>0</v>
      </c>
      <c r="Z7" s="399">
        <f>'Depreciation-MDO'!AA33</f>
        <v>0</v>
      </c>
      <c r="AA7" s="399">
        <f>'Depreciation-MDO'!AB33</f>
        <v>0</v>
      </c>
      <c r="AB7" s="399">
        <f>'Depreciation-MDO'!AC33</f>
        <v>0</v>
      </c>
      <c r="AC7" s="399">
        <f>'Depreciation-MDO'!AD33</f>
        <v>0</v>
      </c>
      <c r="AD7" s="399">
        <f>'Depreciation-MDO'!AE33</f>
        <v>0</v>
      </c>
      <c r="AE7" s="399">
        <f>'Depreciation-MDO'!AF33</f>
        <v>0</v>
      </c>
      <c r="AF7" s="399">
        <f>'Depreciation-MDO'!AG33</f>
        <v>0</v>
      </c>
      <c r="AG7" s="399">
        <f>'Depreciation-MDO'!AH33</f>
        <v>0</v>
      </c>
      <c r="AH7" s="399">
        <f>'Depreciation-MDO'!AI33</f>
        <v>0</v>
      </c>
      <c r="AI7" s="399">
        <f>'Depreciation-MDO'!AJ33</f>
        <v>0</v>
      </c>
      <c r="AJ7" s="399">
        <f>'Depreciation-MDO'!AK33</f>
        <v>0</v>
      </c>
      <c r="AK7" s="399"/>
      <c r="AL7" s="399"/>
      <c r="AM7" s="399"/>
      <c r="AN7" s="399"/>
      <c r="AO7" s="399"/>
      <c r="AP7" s="399"/>
      <c r="AQ7" s="399"/>
    </row>
    <row r="8" spans="2:43">
      <c r="D8" s="394" t="s">
        <v>470</v>
      </c>
      <c r="E8" s="397">
        <f>SUM(G8:AO8)</f>
        <v>0</v>
      </c>
      <c r="G8" s="399">
        <f t="shared" ref="G8:AJ8" si="0">SUM(G6:G7)</f>
        <v>0</v>
      </c>
      <c r="H8" s="399">
        <f t="shared" si="0"/>
        <v>0</v>
      </c>
      <c r="I8" s="399">
        <f t="shared" si="0"/>
        <v>0</v>
      </c>
      <c r="J8" s="399">
        <f t="shared" si="0"/>
        <v>0</v>
      </c>
      <c r="K8" s="399">
        <f t="shared" si="0"/>
        <v>0</v>
      </c>
      <c r="L8" s="399">
        <f t="shared" si="0"/>
        <v>0</v>
      </c>
      <c r="M8" s="399">
        <f t="shared" si="0"/>
        <v>0</v>
      </c>
      <c r="N8" s="399">
        <f t="shared" si="0"/>
        <v>0</v>
      </c>
      <c r="O8" s="399">
        <f t="shared" si="0"/>
        <v>0</v>
      </c>
      <c r="P8" s="399">
        <f t="shared" si="0"/>
        <v>0</v>
      </c>
      <c r="Q8" s="399">
        <f t="shared" si="0"/>
        <v>0</v>
      </c>
      <c r="R8" s="399">
        <f t="shared" si="0"/>
        <v>0</v>
      </c>
      <c r="S8" s="399">
        <f t="shared" si="0"/>
        <v>0</v>
      </c>
      <c r="T8" s="399">
        <f t="shared" si="0"/>
        <v>0</v>
      </c>
      <c r="U8" s="399">
        <f t="shared" si="0"/>
        <v>0</v>
      </c>
      <c r="V8" s="399">
        <f t="shared" si="0"/>
        <v>0</v>
      </c>
      <c r="W8" s="399">
        <f t="shared" si="0"/>
        <v>0</v>
      </c>
      <c r="X8" s="399">
        <f t="shared" si="0"/>
        <v>0</v>
      </c>
      <c r="Y8" s="399">
        <f t="shared" si="0"/>
        <v>0</v>
      </c>
      <c r="Z8" s="399">
        <f t="shared" si="0"/>
        <v>0</v>
      </c>
      <c r="AA8" s="399">
        <f t="shared" si="0"/>
        <v>0</v>
      </c>
      <c r="AB8" s="399">
        <f t="shared" si="0"/>
        <v>0</v>
      </c>
      <c r="AC8" s="399">
        <f t="shared" si="0"/>
        <v>0</v>
      </c>
      <c r="AD8" s="399">
        <f t="shared" si="0"/>
        <v>0</v>
      </c>
      <c r="AE8" s="399">
        <f t="shared" si="0"/>
        <v>0</v>
      </c>
      <c r="AF8" s="399">
        <f t="shared" si="0"/>
        <v>0</v>
      </c>
      <c r="AG8" s="399">
        <f t="shared" si="0"/>
        <v>0</v>
      </c>
      <c r="AH8" s="399">
        <f t="shared" si="0"/>
        <v>0</v>
      </c>
      <c r="AI8" s="399">
        <f t="shared" si="0"/>
        <v>0</v>
      </c>
      <c r="AJ8" s="399">
        <f t="shared" si="0"/>
        <v>0</v>
      </c>
      <c r="AK8" s="399"/>
      <c r="AL8" s="399"/>
      <c r="AM8" s="399"/>
      <c r="AN8" s="399"/>
      <c r="AO8" s="399"/>
    </row>
    <row r="9" spans="2:43">
      <c r="E9" s="397"/>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row>
    <row r="10" spans="2:43">
      <c r="C10" s="386" t="s">
        <v>513</v>
      </c>
      <c r="D10" s="394" t="s">
        <v>470</v>
      </c>
      <c r="E10" s="397">
        <f>SUM(G10:AF10)</f>
        <v>0</v>
      </c>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c r="AD10" s="399"/>
      <c r="AE10" s="399"/>
      <c r="AF10" s="399"/>
    </row>
    <row r="11" spans="2:43">
      <c r="E11" s="397"/>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c r="AD11" s="399"/>
      <c r="AE11" s="399"/>
      <c r="AF11" s="399"/>
    </row>
    <row r="12" spans="2:43">
      <c r="C12" s="386" t="s">
        <v>514</v>
      </c>
    </row>
    <row r="13" spans="2:43">
      <c r="C13" s="401" t="s">
        <v>515</v>
      </c>
      <c r="D13" s="394" t="s">
        <v>516</v>
      </c>
      <c r="E13" s="402">
        <f>IFERROR(E20/E8,0)</f>
        <v>0</v>
      </c>
      <c r="G13" s="403">
        <f>Assumptions_Dashboard!$D$148</f>
        <v>0</v>
      </c>
      <c r="H13" s="403">
        <f>G13</f>
        <v>0</v>
      </c>
      <c r="I13" s="403">
        <f t="shared" ref="I13:AJ13" si="1">H13</f>
        <v>0</v>
      </c>
      <c r="J13" s="403">
        <f t="shared" si="1"/>
        <v>0</v>
      </c>
      <c r="K13" s="403">
        <f t="shared" si="1"/>
        <v>0</v>
      </c>
      <c r="L13" s="403">
        <f t="shared" si="1"/>
        <v>0</v>
      </c>
      <c r="M13" s="403">
        <f t="shared" si="1"/>
        <v>0</v>
      </c>
      <c r="N13" s="403">
        <f t="shared" si="1"/>
        <v>0</v>
      </c>
      <c r="O13" s="403">
        <f t="shared" si="1"/>
        <v>0</v>
      </c>
      <c r="P13" s="403">
        <f t="shared" si="1"/>
        <v>0</v>
      </c>
      <c r="Q13" s="403">
        <f t="shared" si="1"/>
        <v>0</v>
      </c>
      <c r="R13" s="403">
        <f t="shared" si="1"/>
        <v>0</v>
      </c>
      <c r="S13" s="403">
        <f t="shared" si="1"/>
        <v>0</v>
      </c>
      <c r="T13" s="403">
        <f t="shared" si="1"/>
        <v>0</v>
      </c>
      <c r="U13" s="403">
        <f t="shared" si="1"/>
        <v>0</v>
      </c>
      <c r="V13" s="403">
        <f t="shared" si="1"/>
        <v>0</v>
      </c>
      <c r="W13" s="403">
        <f t="shared" si="1"/>
        <v>0</v>
      </c>
      <c r="X13" s="403">
        <f t="shared" si="1"/>
        <v>0</v>
      </c>
      <c r="Y13" s="403">
        <f t="shared" si="1"/>
        <v>0</v>
      </c>
      <c r="Z13" s="403">
        <f t="shared" si="1"/>
        <v>0</v>
      </c>
      <c r="AA13" s="403">
        <f t="shared" si="1"/>
        <v>0</v>
      </c>
      <c r="AB13" s="403">
        <f t="shared" si="1"/>
        <v>0</v>
      </c>
      <c r="AC13" s="403">
        <f t="shared" si="1"/>
        <v>0</v>
      </c>
      <c r="AD13" s="403">
        <f t="shared" si="1"/>
        <v>0</v>
      </c>
      <c r="AE13" s="403">
        <f t="shared" si="1"/>
        <v>0</v>
      </c>
      <c r="AF13" s="403">
        <f t="shared" si="1"/>
        <v>0</v>
      </c>
      <c r="AG13" s="403">
        <f t="shared" si="1"/>
        <v>0</v>
      </c>
      <c r="AH13" s="403">
        <f t="shared" si="1"/>
        <v>0</v>
      </c>
      <c r="AI13" s="403">
        <f t="shared" si="1"/>
        <v>0</v>
      </c>
      <c r="AJ13" s="403">
        <f t="shared" si="1"/>
        <v>0</v>
      </c>
      <c r="AK13" s="403"/>
      <c r="AL13" s="403"/>
      <c r="AM13" s="403"/>
      <c r="AN13" s="403"/>
      <c r="AO13" s="403"/>
      <c r="AP13" s="403"/>
      <c r="AQ13" s="403"/>
    </row>
    <row r="14" spans="2:43">
      <c r="B14" s="404"/>
      <c r="C14" s="401" t="s">
        <v>517</v>
      </c>
      <c r="D14" s="394" t="s">
        <v>516</v>
      </c>
      <c r="E14" s="405">
        <f>IFERROR(E19/E8,0)</f>
        <v>0</v>
      </c>
      <c r="G14" s="406">
        <f>1-G13</f>
        <v>1</v>
      </c>
      <c r="H14" s="406">
        <f t="shared" ref="H14:AJ14" si="2">1-H13</f>
        <v>1</v>
      </c>
      <c r="I14" s="406">
        <f t="shared" si="2"/>
        <v>1</v>
      </c>
      <c r="J14" s="406">
        <f t="shared" si="2"/>
        <v>1</v>
      </c>
      <c r="K14" s="406">
        <f t="shared" si="2"/>
        <v>1</v>
      </c>
      <c r="L14" s="406">
        <f t="shared" si="2"/>
        <v>1</v>
      </c>
      <c r="M14" s="406">
        <f t="shared" si="2"/>
        <v>1</v>
      </c>
      <c r="N14" s="406">
        <f t="shared" si="2"/>
        <v>1</v>
      </c>
      <c r="O14" s="406">
        <f t="shared" si="2"/>
        <v>1</v>
      </c>
      <c r="P14" s="406">
        <f t="shared" si="2"/>
        <v>1</v>
      </c>
      <c r="Q14" s="406">
        <f t="shared" si="2"/>
        <v>1</v>
      </c>
      <c r="R14" s="406">
        <f t="shared" si="2"/>
        <v>1</v>
      </c>
      <c r="S14" s="406">
        <f t="shared" si="2"/>
        <v>1</v>
      </c>
      <c r="T14" s="406">
        <f t="shared" si="2"/>
        <v>1</v>
      </c>
      <c r="U14" s="406">
        <f t="shared" si="2"/>
        <v>1</v>
      </c>
      <c r="V14" s="406">
        <f t="shared" si="2"/>
        <v>1</v>
      </c>
      <c r="W14" s="406">
        <f t="shared" si="2"/>
        <v>1</v>
      </c>
      <c r="X14" s="406">
        <f t="shared" si="2"/>
        <v>1</v>
      </c>
      <c r="Y14" s="406">
        <f t="shared" si="2"/>
        <v>1</v>
      </c>
      <c r="Z14" s="406">
        <f t="shared" si="2"/>
        <v>1</v>
      </c>
      <c r="AA14" s="406">
        <f t="shared" si="2"/>
        <v>1</v>
      </c>
      <c r="AB14" s="406">
        <f t="shared" si="2"/>
        <v>1</v>
      </c>
      <c r="AC14" s="406">
        <f t="shared" si="2"/>
        <v>1</v>
      </c>
      <c r="AD14" s="406">
        <f t="shared" si="2"/>
        <v>1</v>
      </c>
      <c r="AE14" s="406">
        <f t="shared" si="2"/>
        <v>1</v>
      </c>
      <c r="AF14" s="406">
        <f t="shared" si="2"/>
        <v>1</v>
      </c>
      <c r="AG14" s="406">
        <f t="shared" si="2"/>
        <v>1</v>
      </c>
      <c r="AH14" s="406">
        <f t="shared" si="2"/>
        <v>1</v>
      </c>
      <c r="AI14" s="406">
        <f t="shared" si="2"/>
        <v>1</v>
      </c>
      <c r="AJ14" s="406">
        <f t="shared" si="2"/>
        <v>1</v>
      </c>
      <c r="AK14" s="406"/>
      <c r="AL14" s="406"/>
      <c r="AM14" s="406"/>
      <c r="AN14" s="406"/>
      <c r="AO14" s="406"/>
      <c r="AP14" s="406"/>
      <c r="AQ14" s="406"/>
    </row>
    <row r="15" spans="2:43">
      <c r="C15" s="401"/>
      <c r="E15" s="405"/>
      <c r="G15" s="406"/>
      <c r="H15" s="406"/>
      <c r="I15" s="406"/>
      <c r="J15" s="406"/>
      <c r="K15" s="406"/>
      <c r="L15" s="406"/>
      <c r="M15" s="406"/>
      <c r="N15" s="406"/>
      <c r="O15" s="406"/>
      <c r="P15" s="406"/>
      <c r="Q15" s="406"/>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row>
    <row r="16" spans="2:43">
      <c r="C16" s="401" t="s">
        <v>518</v>
      </c>
      <c r="D16" s="394" t="s">
        <v>516</v>
      </c>
      <c r="E16" s="402">
        <f>Assumptions_Dashboard!$D$140</f>
        <v>0.1</v>
      </c>
      <c r="G16" s="406">
        <f>E16</f>
        <v>0.1</v>
      </c>
      <c r="H16" s="406">
        <f>G16</f>
        <v>0.1</v>
      </c>
      <c r="I16" s="406">
        <f t="shared" ref="I16:AJ16" si="3">H16</f>
        <v>0.1</v>
      </c>
      <c r="J16" s="406">
        <f t="shared" si="3"/>
        <v>0.1</v>
      </c>
      <c r="K16" s="406">
        <f t="shared" si="3"/>
        <v>0.1</v>
      </c>
      <c r="L16" s="406">
        <f t="shared" si="3"/>
        <v>0.1</v>
      </c>
      <c r="M16" s="406">
        <f t="shared" si="3"/>
        <v>0.1</v>
      </c>
      <c r="N16" s="406">
        <f t="shared" si="3"/>
        <v>0.1</v>
      </c>
      <c r="O16" s="406">
        <f t="shared" si="3"/>
        <v>0.1</v>
      </c>
      <c r="P16" s="406">
        <f t="shared" si="3"/>
        <v>0.1</v>
      </c>
      <c r="Q16" s="406">
        <f t="shared" si="3"/>
        <v>0.1</v>
      </c>
      <c r="R16" s="406">
        <f t="shared" si="3"/>
        <v>0.1</v>
      </c>
      <c r="S16" s="406">
        <f t="shared" si="3"/>
        <v>0.1</v>
      </c>
      <c r="T16" s="406">
        <f t="shared" si="3"/>
        <v>0.1</v>
      </c>
      <c r="U16" s="406">
        <f t="shared" si="3"/>
        <v>0.1</v>
      </c>
      <c r="V16" s="406">
        <f t="shared" si="3"/>
        <v>0.1</v>
      </c>
      <c r="W16" s="406">
        <f t="shared" si="3"/>
        <v>0.1</v>
      </c>
      <c r="X16" s="406">
        <f t="shared" si="3"/>
        <v>0.1</v>
      </c>
      <c r="Y16" s="406">
        <f t="shared" si="3"/>
        <v>0.1</v>
      </c>
      <c r="Z16" s="406">
        <f t="shared" si="3"/>
        <v>0.1</v>
      </c>
      <c r="AA16" s="406">
        <f t="shared" si="3"/>
        <v>0.1</v>
      </c>
      <c r="AB16" s="406">
        <f t="shared" si="3"/>
        <v>0.1</v>
      </c>
      <c r="AC16" s="406">
        <f t="shared" si="3"/>
        <v>0.1</v>
      </c>
      <c r="AD16" s="406">
        <f t="shared" si="3"/>
        <v>0.1</v>
      </c>
      <c r="AE16" s="406">
        <f t="shared" si="3"/>
        <v>0.1</v>
      </c>
      <c r="AF16" s="406">
        <f t="shared" si="3"/>
        <v>0.1</v>
      </c>
      <c r="AG16" s="406">
        <f t="shared" si="3"/>
        <v>0.1</v>
      </c>
      <c r="AH16" s="406">
        <f t="shared" si="3"/>
        <v>0.1</v>
      </c>
      <c r="AI16" s="406">
        <f t="shared" si="3"/>
        <v>0.1</v>
      </c>
      <c r="AJ16" s="406">
        <f t="shared" si="3"/>
        <v>0.1</v>
      </c>
      <c r="AK16" s="406"/>
      <c r="AL16" s="406"/>
      <c r="AM16" s="406"/>
      <c r="AN16" s="406"/>
      <c r="AO16" s="406"/>
      <c r="AP16" s="406"/>
      <c r="AQ16" s="406"/>
    </row>
    <row r="18" spans="2:36" ht="11.25" customHeight="1" collapsed="1">
      <c r="C18" s="390" t="s">
        <v>519</v>
      </c>
      <c r="D18" s="391"/>
      <c r="E18" s="392"/>
      <c r="F18" s="392"/>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row>
    <row r="19" spans="2:36">
      <c r="C19" s="386" t="s">
        <v>520</v>
      </c>
      <c r="D19" s="394" t="s">
        <v>470</v>
      </c>
      <c r="E19" s="397">
        <f>SUM(G19:AO19)</f>
        <v>0</v>
      </c>
      <c r="G19" s="408">
        <f t="shared" ref="G19:AJ19" si="4">G8-G20</f>
        <v>0</v>
      </c>
      <c r="H19" s="408">
        <f t="shared" si="4"/>
        <v>0</v>
      </c>
      <c r="I19" s="408">
        <f t="shared" si="4"/>
        <v>0</v>
      </c>
      <c r="J19" s="408">
        <f t="shared" si="4"/>
        <v>0</v>
      </c>
      <c r="K19" s="408">
        <f t="shared" si="4"/>
        <v>0</v>
      </c>
      <c r="L19" s="408">
        <f t="shared" si="4"/>
        <v>0</v>
      </c>
      <c r="M19" s="408">
        <f t="shared" si="4"/>
        <v>0</v>
      </c>
      <c r="N19" s="408">
        <f t="shared" si="4"/>
        <v>0</v>
      </c>
      <c r="O19" s="408">
        <f t="shared" si="4"/>
        <v>0</v>
      </c>
      <c r="P19" s="408">
        <f t="shared" si="4"/>
        <v>0</v>
      </c>
      <c r="Q19" s="408">
        <f t="shared" si="4"/>
        <v>0</v>
      </c>
      <c r="R19" s="408">
        <f t="shared" si="4"/>
        <v>0</v>
      </c>
      <c r="S19" s="408">
        <f t="shared" si="4"/>
        <v>0</v>
      </c>
      <c r="T19" s="408">
        <f t="shared" si="4"/>
        <v>0</v>
      </c>
      <c r="U19" s="408">
        <f t="shared" si="4"/>
        <v>0</v>
      </c>
      <c r="V19" s="408">
        <f t="shared" si="4"/>
        <v>0</v>
      </c>
      <c r="W19" s="408">
        <f t="shared" si="4"/>
        <v>0</v>
      </c>
      <c r="X19" s="408">
        <f t="shared" si="4"/>
        <v>0</v>
      </c>
      <c r="Y19" s="408">
        <f t="shared" si="4"/>
        <v>0</v>
      </c>
      <c r="Z19" s="408">
        <f t="shared" si="4"/>
        <v>0</v>
      </c>
      <c r="AA19" s="408">
        <f t="shared" si="4"/>
        <v>0</v>
      </c>
      <c r="AB19" s="408">
        <f t="shared" si="4"/>
        <v>0</v>
      </c>
      <c r="AC19" s="408">
        <f t="shared" si="4"/>
        <v>0</v>
      </c>
      <c r="AD19" s="408">
        <f t="shared" si="4"/>
        <v>0</v>
      </c>
      <c r="AE19" s="408">
        <f t="shared" si="4"/>
        <v>0</v>
      </c>
      <c r="AF19" s="408">
        <f t="shared" si="4"/>
        <v>0</v>
      </c>
      <c r="AG19" s="408">
        <f t="shared" si="4"/>
        <v>0</v>
      </c>
      <c r="AH19" s="408">
        <f t="shared" si="4"/>
        <v>0</v>
      </c>
      <c r="AI19" s="408">
        <f t="shared" si="4"/>
        <v>0</v>
      </c>
      <c r="AJ19" s="408">
        <f t="shared" si="4"/>
        <v>0</v>
      </c>
    </row>
    <row r="20" spans="2:36">
      <c r="B20" s="400" t="s">
        <v>107</v>
      </c>
      <c r="C20" s="386" t="s">
        <v>521</v>
      </c>
      <c r="D20" s="394" t="s">
        <v>470</v>
      </c>
      <c r="E20" s="397">
        <f>SUM(G20:AO20)</f>
        <v>0</v>
      </c>
      <c r="F20" s="409" t="b">
        <f>SUM(E19:E20)=E8</f>
        <v>1</v>
      </c>
      <c r="G20" s="408">
        <f t="shared" ref="G20:AJ20" si="5">IF($B$20="No",0,G8*G13)</f>
        <v>0</v>
      </c>
      <c r="H20" s="408">
        <f t="shared" si="5"/>
        <v>0</v>
      </c>
      <c r="I20" s="408">
        <f t="shared" si="5"/>
        <v>0</v>
      </c>
      <c r="J20" s="408">
        <f t="shared" si="5"/>
        <v>0</v>
      </c>
      <c r="K20" s="408">
        <f t="shared" si="5"/>
        <v>0</v>
      </c>
      <c r="L20" s="408">
        <f t="shared" si="5"/>
        <v>0</v>
      </c>
      <c r="M20" s="408">
        <f t="shared" si="5"/>
        <v>0</v>
      </c>
      <c r="N20" s="408">
        <f t="shared" si="5"/>
        <v>0</v>
      </c>
      <c r="O20" s="408">
        <f t="shared" si="5"/>
        <v>0</v>
      </c>
      <c r="P20" s="408">
        <f t="shared" si="5"/>
        <v>0</v>
      </c>
      <c r="Q20" s="408">
        <f t="shared" si="5"/>
        <v>0</v>
      </c>
      <c r="R20" s="408">
        <f t="shared" si="5"/>
        <v>0</v>
      </c>
      <c r="S20" s="408">
        <f t="shared" si="5"/>
        <v>0</v>
      </c>
      <c r="T20" s="408">
        <f t="shared" si="5"/>
        <v>0</v>
      </c>
      <c r="U20" s="408">
        <f t="shared" si="5"/>
        <v>0</v>
      </c>
      <c r="V20" s="408">
        <f t="shared" si="5"/>
        <v>0</v>
      </c>
      <c r="W20" s="408">
        <f t="shared" si="5"/>
        <v>0</v>
      </c>
      <c r="X20" s="408">
        <f t="shared" si="5"/>
        <v>0</v>
      </c>
      <c r="Y20" s="408">
        <f t="shared" si="5"/>
        <v>0</v>
      </c>
      <c r="Z20" s="408">
        <f t="shared" si="5"/>
        <v>0</v>
      </c>
      <c r="AA20" s="408">
        <f t="shared" si="5"/>
        <v>0</v>
      </c>
      <c r="AB20" s="408">
        <f t="shared" si="5"/>
        <v>0</v>
      </c>
      <c r="AC20" s="408">
        <f t="shared" si="5"/>
        <v>0</v>
      </c>
      <c r="AD20" s="408">
        <f t="shared" si="5"/>
        <v>0</v>
      </c>
      <c r="AE20" s="408">
        <f t="shared" si="5"/>
        <v>0</v>
      </c>
      <c r="AF20" s="408">
        <f t="shared" si="5"/>
        <v>0</v>
      </c>
      <c r="AG20" s="408">
        <f t="shared" si="5"/>
        <v>0</v>
      </c>
      <c r="AH20" s="408">
        <f t="shared" si="5"/>
        <v>0</v>
      </c>
      <c r="AI20" s="408">
        <f t="shared" si="5"/>
        <v>0</v>
      </c>
      <c r="AJ20" s="408">
        <f t="shared" si="5"/>
        <v>0</v>
      </c>
    </row>
    <row r="21" spans="2:36">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c r="AD21" s="408"/>
      <c r="AE21" s="408"/>
      <c r="AF21" s="408"/>
      <c r="AG21" s="408"/>
      <c r="AH21" s="408"/>
      <c r="AI21" s="408"/>
      <c r="AJ21" s="408"/>
    </row>
    <row r="22" spans="2:36">
      <c r="C22" s="386" t="s">
        <v>522</v>
      </c>
      <c r="D22" s="394" t="s">
        <v>470</v>
      </c>
      <c r="G22" s="408">
        <f t="shared" ref="G22:AD22" si="6">F63</f>
        <v>0</v>
      </c>
      <c r="H22" s="408">
        <f t="shared" si="6"/>
        <v>0</v>
      </c>
      <c r="I22" s="408">
        <f t="shared" si="6"/>
        <v>0</v>
      </c>
      <c r="J22" s="408">
        <f t="shared" si="6"/>
        <v>0</v>
      </c>
      <c r="K22" s="408">
        <f t="shared" si="6"/>
        <v>0</v>
      </c>
      <c r="L22" s="408">
        <f t="shared" si="6"/>
        <v>0</v>
      </c>
      <c r="M22" s="408">
        <f t="shared" si="6"/>
        <v>0</v>
      </c>
      <c r="N22" s="408">
        <f t="shared" si="6"/>
        <v>0</v>
      </c>
      <c r="O22" s="408">
        <f t="shared" si="6"/>
        <v>0</v>
      </c>
      <c r="P22" s="408">
        <f t="shared" si="6"/>
        <v>0</v>
      </c>
      <c r="Q22" s="408">
        <f t="shared" si="6"/>
        <v>0</v>
      </c>
      <c r="R22" s="408">
        <f t="shared" si="6"/>
        <v>0</v>
      </c>
      <c r="S22" s="408">
        <f t="shared" si="6"/>
        <v>0</v>
      </c>
      <c r="T22" s="408">
        <f t="shared" si="6"/>
        <v>0</v>
      </c>
      <c r="U22" s="408">
        <f t="shared" si="6"/>
        <v>0</v>
      </c>
      <c r="V22" s="408">
        <f t="shared" si="6"/>
        <v>0</v>
      </c>
      <c r="W22" s="408">
        <f t="shared" si="6"/>
        <v>0</v>
      </c>
      <c r="X22" s="408">
        <f t="shared" si="6"/>
        <v>0</v>
      </c>
      <c r="Y22" s="408">
        <f t="shared" si="6"/>
        <v>0</v>
      </c>
      <c r="Z22" s="408">
        <f t="shared" si="6"/>
        <v>0</v>
      </c>
      <c r="AA22" s="408">
        <f t="shared" si="6"/>
        <v>0</v>
      </c>
      <c r="AB22" s="408">
        <f t="shared" si="6"/>
        <v>0</v>
      </c>
      <c r="AC22" s="408">
        <f t="shared" si="6"/>
        <v>0</v>
      </c>
      <c r="AD22" s="408">
        <f t="shared" si="6"/>
        <v>0</v>
      </c>
      <c r="AE22" s="408">
        <f t="shared" ref="AE22:AJ22" si="7">AD63</f>
        <v>0</v>
      </c>
      <c r="AF22" s="408">
        <f t="shared" si="7"/>
        <v>0</v>
      </c>
      <c r="AG22" s="408">
        <f t="shared" si="7"/>
        <v>0</v>
      </c>
      <c r="AH22" s="408">
        <f t="shared" si="7"/>
        <v>0</v>
      </c>
      <c r="AI22" s="408">
        <f t="shared" si="7"/>
        <v>0</v>
      </c>
      <c r="AJ22" s="408">
        <f t="shared" si="7"/>
        <v>0</v>
      </c>
    </row>
    <row r="23" spans="2:36">
      <c r="B23" s="407"/>
      <c r="C23" s="386" t="s">
        <v>523</v>
      </c>
      <c r="D23" s="394" t="s">
        <v>470</v>
      </c>
      <c r="E23" s="397">
        <f>SUM(G23:AO23)</f>
        <v>0</v>
      </c>
      <c r="G23" s="408">
        <f t="shared" ref="G23:AJ23" si="8">+IF(G20&gt;0,G20,0)</f>
        <v>0</v>
      </c>
      <c r="H23" s="408">
        <f t="shared" si="8"/>
        <v>0</v>
      </c>
      <c r="I23" s="408">
        <f t="shared" si="8"/>
        <v>0</v>
      </c>
      <c r="J23" s="408">
        <f t="shared" si="8"/>
        <v>0</v>
      </c>
      <c r="K23" s="408">
        <f t="shared" si="8"/>
        <v>0</v>
      </c>
      <c r="L23" s="408">
        <f t="shared" si="8"/>
        <v>0</v>
      </c>
      <c r="M23" s="408">
        <f t="shared" si="8"/>
        <v>0</v>
      </c>
      <c r="N23" s="408">
        <f t="shared" si="8"/>
        <v>0</v>
      </c>
      <c r="O23" s="408">
        <f t="shared" si="8"/>
        <v>0</v>
      </c>
      <c r="P23" s="408">
        <f t="shared" si="8"/>
        <v>0</v>
      </c>
      <c r="Q23" s="408">
        <f t="shared" si="8"/>
        <v>0</v>
      </c>
      <c r="R23" s="408">
        <f>+IF(R20&gt;0,R20,0)</f>
        <v>0</v>
      </c>
      <c r="S23" s="408">
        <f t="shared" si="8"/>
        <v>0</v>
      </c>
      <c r="T23" s="408">
        <f t="shared" si="8"/>
        <v>0</v>
      </c>
      <c r="U23" s="408">
        <f t="shared" si="8"/>
        <v>0</v>
      </c>
      <c r="V23" s="408">
        <f t="shared" si="8"/>
        <v>0</v>
      </c>
      <c r="W23" s="408">
        <f t="shared" si="8"/>
        <v>0</v>
      </c>
      <c r="X23" s="408">
        <f t="shared" si="8"/>
        <v>0</v>
      </c>
      <c r="Y23" s="408">
        <f t="shared" si="8"/>
        <v>0</v>
      </c>
      <c r="Z23" s="408">
        <f t="shared" si="8"/>
        <v>0</v>
      </c>
      <c r="AA23" s="408">
        <f t="shared" si="8"/>
        <v>0</v>
      </c>
      <c r="AB23" s="408">
        <f t="shared" si="8"/>
        <v>0</v>
      </c>
      <c r="AC23" s="408">
        <f t="shared" si="8"/>
        <v>0</v>
      </c>
      <c r="AD23" s="408">
        <f t="shared" si="8"/>
        <v>0</v>
      </c>
      <c r="AE23" s="408">
        <f t="shared" si="8"/>
        <v>0</v>
      </c>
      <c r="AF23" s="408">
        <f t="shared" si="8"/>
        <v>0</v>
      </c>
      <c r="AG23" s="408">
        <f t="shared" si="8"/>
        <v>0</v>
      </c>
      <c r="AH23" s="408">
        <f t="shared" si="8"/>
        <v>0</v>
      </c>
      <c r="AI23" s="408">
        <f t="shared" si="8"/>
        <v>0</v>
      </c>
      <c r="AJ23" s="408">
        <f t="shared" si="8"/>
        <v>0</v>
      </c>
    </row>
    <row r="24" spans="2:36">
      <c r="B24" s="407"/>
      <c r="C24" s="386" t="s">
        <v>524</v>
      </c>
      <c r="D24" s="394" t="s">
        <v>470</v>
      </c>
      <c r="E24" s="397">
        <f t="shared" ref="E24:E59" si="9">SUM(G24:AO24)</f>
        <v>0</v>
      </c>
      <c r="G24" s="408">
        <f>SUM(G25:G59)</f>
        <v>0</v>
      </c>
      <c r="H24" s="408">
        <f t="shared" ref="H24:AJ24" si="10">SUM(H25:H59)</f>
        <v>0</v>
      </c>
      <c r="I24" s="408">
        <f t="shared" si="10"/>
        <v>0</v>
      </c>
      <c r="J24" s="408">
        <f t="shared" si="10"/>
        <v>0</v>
      </c>
      <c r="K24" s="408">
        <f t="shared" si="10"/>
        <v>0</v>
      </c>
      <c r="L24" s="408">
        <f t="shared" si="10"/>
        <v>0</v>
      </c>
      <c r="M24" s="408">
        <f t="shared" si="10"/>
        <v>0</v>
      </c>
      <c r="N24" s="408">
        <f t="shared" si="10"/>
        <v>0</v>
      </c>
      <c r="O24" s="408">
        <f t="shared" si="10"/>
        <v>0</v>
      </c>
      <c r="P24" s="408">
        <f t="shared" si="10"/>
        <v>0</v>
      </c>
      <c r="Q24" s="408">
        <f t="shared" si="10"/>
        <v>0</v>
      </c>
      <c r="R24" s="408">
        <f t="shared" si="10"/>
        <v>0</v>
      </c>
      <c r="S24" s="408">
        <f t="shared" si="10"/>
        <v>0</v>
      </c>
      <c r="T24" s="408">
        <f t="shared" si="10"/>
        <v>0</v>
      </c>
      <c r="U24" s="408">
        <f t="shared" si="10"/>
        <v>0</v>
      </c>
      <c r="V24" s="408">
        <f t="shared" si="10"/>
        <v>0</v>
      </c>
      <c r="W24" s="408">
        <f t="shared" si="10"/>
        <v>0</v>
      </c>
      <c r="X24" s="408">
        <f t="shared" si="10"/>
        <v>0</v>
      </c>
      <c r="Y24" s="408">
        <f t="shared" si="10"/>
        <v>0</v>
      </c>
      <c r="Z24" s="408">
        <f t="shared" si="10"/>
        <v>0</v>
      </c>
      <c r="AA24" s="408">
        <f t="shared" si="10"/>
        <v>0</v>
      </c>
      <c r="AB24" s="408">
        <f t="shared" si="10"/>
        <v>0</v>
      </c>
      <c r="AC24" s="408">
        <f t="shared" si="10"/>
        <v>0</v>
      </c>
      <c r="AD24" s="408">
        <f t="shared" si="10"/>
        <v>0</v>
      </c>
      <c r="AE24" s="408">
        <f t="shared" si="10"/>
        <v>0</v>
      </c>
      <c r="AF24" s="408">
        <f t="shared" si="10"/>
        <v>0</v>
      </c>
      <c r="AG24" s="408">
        <f t="shared" si="10"/>
        <v>0</v>
      </c>
      <c r="AH24" s="408">
        <f t="shared" si="10"/>
        <v>0</v>
      </c>
      <c r="AI24" s="408">
        <f t="shared" si="10"/>
        <v>0</v>
      </c>
      <c r="AJ24" s="408">
        <f t="shared" si="10"/>
        <v>0</v>
      </c>
    </row>
    <row r="25" spans="2:36" outlineLevel="1">
      <c r="C25" s="386" cm="1">
        <f t="array" ref="C25:C59">TRANSPOSE(G2:AO2)</f>
        <v>-4</v>
      </c>
      <c r="D25" s="394" t="s">
        <v>470</v>
      </c>
      <c r="E25" s="397">
        <f t="shared" si="9"/>
        <v>0</v>
      </c>
      <c r="F25" s="409"/>
      <c r="G25" s="408"/>
      <c r="H25" s="408"/>
      <c r="I25" s="408"/>
      <c r="J25" s="408"/>
      <c r="K25" s="408">
        <f t="shared" ref="K25:Q25" si="11">$G20/7</f>
        <v>0</v>
      </c>
      <c r="L25" s="408">
        <f t="shared" si="11"/>
        <v>0</v>
      </c>
      <c r="M25" s="408">
        <f t="shared" si="11"/>
        <v>0</v>
      </c>
      <c r="N25" s="408">
        <f t="shared" si="11"/>
        <v>0</v>
      </c>
      <c r="O25" s="408">
        <f t="shared" si="11"/>
        <v>0</v>
      </c>
      <c r="P25" s="408">
        <f t="shared" si="11"/>
        <v>0</v>
      </c>
      <c r="Q25" s="408">
        <f t="shared" si="11"/>
        <v>0</v>
      </c>
      <c r="R25" s="408"/>
      <c r="S25" s="408"/>
      <c r="T25" s="408"/>
      <c r="U25" s="408"/>
      <c r="V25" s="408"/>
      <c r="W25" s="408"/>
      <c r="X25" s="408"/>
      <c r="Y25" s="408"/>
      <c r="Z25" s="408"/>
      <c r="AA25" s="408"/>
      <c r="AB25" s="408"/>
      <c r="AC25" s="408"/>
      <c r="AD25" s="408"/>
      <c r="AE25" s="408"/>
      <c r="AF25" s="408"/>
    </row>
    <row r="26" spans="2:36" outlineLevel="1">
      <c r="C26" s="386">
        <v>-3</v>
      </c>
      <c r="D26" s="394" t="s">
        <v>470</v>
      </c>
      <c r="E26" s="397">
        <f t="shared" si="9"/>
        <v>0</v>
      </c>
      <c r="F26" s="409"/>
      <c r="G26" s="408"/>
      <c r="H26" s="408"/>
      <c r="I26" s="408"/>
      <c r="J26" s="408"/>
      <c r="K26" s="408">
        <f t="shared" ref="K26:Q26" si="12">$H20/7</f>
        <v>0</v>
      </c>
      <c r="L26" s="408">
        <f t="shared" si="12"/>
        <v>0</v>
      </c>
      <c r="M26" s="408">
        <f t="shared" si="12"/>
        <v>0</v>
      </c>
      <c r="N26" s="408">
        <f t="shared" si="12"/>
        <v>0</v>
      </c>
      <c r="O26" s="408">
        <f t="shared" si="12"/>
        <v>0</v>
      </c>
      <c r="P26" s="408">
        <f t="shared" si="12"/>
        <v>0</v>
      </c>
      <c r="Q26" s="408">
        <f t="shared" si="12"/>
        <v>0</v>
      </c>
      <c r="S26" s="408"/>
      <c r="T26" s="408"/>
      <c r="U26" s="408"/>
      <c r="V26" s="408"/>
      <c r="W26" s="408"/>
      <c r="X26" s="408"/>
      <c r="Y26" s="408"/>
      <c r="Z26" s="408"/>
      <c r="AA26" s="408"/>
      <c r="AB26" s="408"/>
      <c r="AC26" s="408"/>
      <c r="AD26" s="408"/>
      <c r="AE26" s="408"/>
      <c r="AF26" s="408"/>
    </row>
    <row r="27" spans="2:36" outlineLevel="1">
      <c r="C27" s="386">
        <v>-2</v>
      </c>
      <c r="D27" s="394" t="s">
        <v>470</v>
      </c>
      <c r="E27" s="397">
        <f t="shared" si="9"/>
        <v>0</v>
      </c>
      <c r="F27" s="409"/>
      <c r="G27" s="408"/>
      <c r="H27" s="408"/>
      <c r="I27" s="408"/>
      <c r="J27" s="408"/>
      <c r="K27" s="408">
        <f t="shared" ref="K27:Q27" si="13">$I20/7</f>
        <v>0</v>
      </c>
      <c r="L27" s="408">
        <f t="shared" si="13"/>
        <v>0</v>
      </c>
      <c r="M27" s="408">
        <f t="shared" si="13"/>
        <v>0</v>
      </c>
      <c r="N27" s="408">
        <f t="shared" si="13"/>
        <v>0</v>
      </c>
      <c r="O27" s="408">
        <f t="shared" si="13"/>
        <v>0</v>
      </c>
      <c r="P27" s="408">
        <f t="shared" si="13"/>
        <v>0</v>
      </c>
      <c r="Q27" s="408">
        <f t="shared" si="13"/>
        <v>0</v>
      </c>
      <c r="T27" s="408"/>
      <c r="U27" s="408"/>
      <c r="V27" s="408"/>
      <c r="W27" s="408"/>
      <c r="X27" s="408"/>
      <c r="Y27" s="408"/>
      <c r="Z27" s="408"/>
      <c r="AA27" s="408"/>
      <c r="AB27" s="408"/>
      <c r="AC27" s="408"/>
      <c r="AD27" s="408"/>
      <c r="AE27" s="408"/>
      <c r="AF27" s="408"/>
    </row>
    <row r="28" spans="2:36" outlineLevel="1">
      <c r="C28" s="386">
        <v>-1</v>
      </c>
      <c r="D28" s="394" t="s">
        <v>470</v>
      </c>
      <c r="E28" s="397">
        <f t="shared" si="9"/>
        <v>0</v>
      </c>
      <c r="F28" s="409"/>
      <c r="G28" s="408"/>
      <c r="H28" s="408"/>
      <c r="I28" s="408"/>
      <c r="J28" s="408"/>
      <c r="K28" s="408">
        <f t="shared" ref="K28:Q28" si="14">$J20/7</f>
        <v>0</v>
      </c>
      <c r="L28" s="408">
        <f t="shared" si="14"/>
        <v>0</v>
      </c>
      <c r="M28" s="408">
        <f t="shared" si="14"/>
        <v>0</v>
      </c>
      <c r="N28" s="408">
        <f t="shared" si="14"/>
        <v>0</v>
      </c>
      <c r="O28" s="408">
        <f t="shared" si="14"/>
        <v>0</v>
      </c>
      <c r="P28" s="408">
        <f t="shared" si="14"/>
        <v>0</v>
      </c>
      <c r="Q28" s="408">
        <f t="shared" si="14"/>
        <v>0</v>
      </c>
      <c r="U28" s="408"/>
      <c r="V28" s="408"/>
      <c r="W28" s="408"/>
      <c r="X28" s="408"/>
      <c r="Y28" s="408"/>
      <c r="Z28" s="408"/>
      <c r="AA28" s="408"/>
      <c r="AB28" s="408"/>
      <c r="AC28" s="408"/>
      <c r="AD28" s="408"/>
      <c r="AE28" s="408"/>
      <c r="AF28" s="408"/>
    </row>
    <row r="29" spans="2:36" outlineLevel="1">
      <c r="C29" s="386">
        <v>1</v>
      </c>
      <c r="D29" s="394" t="s">
        <v>470</v>
      </c>
      <c r="E29" s="397">
        <f t="shared" si="9"/>
        <v>0</v>
      </c>
      <c r="F29" s="409"/>
      <c r="G29" s="408"/>
      <c r="H29" s="408"/>
      <c r="I29" s="408"/>
      <c r="J29" s="408"/>
      <c r="K29" s="408"/>
      <c r="L29" s="408">
        <f>$K20/7</f>
        <v>0</v>
      </c>
      <c r="M29" s="408">
        <f t="shared" ref="M29:R29" si="15">$K20/7</f>
        <v>0</v>
      </c>
      <c r="N29" s="408">
        <f t="shared" si="15"/>
        <v>0</v>
      </c>
      <c r="O29" s="408">
        <f t="shared" si="15"/>
        <v>0</v>
      </c>
      <c r="P29" s="408">
        <f t="shared" si="15"/>
        <v>0</v>
      </c>
      <c r="Q29" s="408">
        <f t="shared" si="15"/>
        <v>0</v>
      </c>
      <c r="R29" s="408">
        <f t="shared" si="15"/>
        <v>0</v>
      </c>
      <c r="V29" s="408"/>
      <c r="W29" s="408"/>
      <c r="X29" s="408"/>
      <c r="Y29" s="408"/>
      <c r="Z29" s="408"/>
      <c r="AA29" s="408"/>
      <c r="AB29" s="408"/>
      <c r="AC29" s="408"/>
      <c r="AD29" s="408"/>
      <c r="AE29" s="408"/>
      <c r="AF29" s="408"/>
    </row>
    <row r="30" spans="2:36" outlineLevel="1">
      <c r="C30" s="386">
        <v>2</v>
      </c>
      <c r="D30" s="394" t="s">
        <v>470</v>
      </c>
      <c r="E30" s="397">
        <f t="shared" si="9"/>
        <v>0</v>
      </c>
      <c r="F30" s="409"/>
      <c r="G30" s="408"/>
      <c r="H30" s="408"/>
      <c r="I30" s="408"/>
      <c r="J30" s="408"/>
      <c r="K30" s="408"/>
      <c r="L30" s="408"/>
      <c r="M30" s="408">
        <f>$L20/7</f>
        <v>0</v>
      </c>
      <c r="N30" s="408">
        <f t="shared" ref="N30:S30" si="16">$L20/7</f>
        <v>0</v>
      </c>
      <c r="O30" s="408">
        <f t="shared" si="16"/>
        <v>0</v>
      </c>
      <c r="P30" s="408">
        <f t="shared" si="16"/>
        <v>0</v>
      </c>
      <c r="Q30" s="408">
        <f t="shared" si="16"/>
        <v>0</v>
      </c>
      <c r="R30" s="408">
        <f t="shared" si="16"/>
        <v>0</v>
      </c>
      <c r="S30" s="408">
        <f t="shared" si="16"/>
        <v>0</v>
      </c>
      <c r="W30" s="408"/>
      <c r="X30" s="408"/>
      <c r="Y30" s="408"/>
      <c r="Z30" s="408"/>
      <c r="AA30" s="408"/>
      <c r="AB30" s="408"/>
      <c r="AC30" s="408"/>
      <c r="AD30" s="408"/>
      <c r="AE30" s="408"/>
      <c r="AF30" s="408"/>
    </row>
    <row r="31" spans="2:36" outlineLevel="1">
      <c r="C31" s="386">
        <v>3</v>
      </c>
      <c r="D31" s="394" t="s">
        <v>470</v>
      </c>
      <c r="E31" s="397">
        <f t="shared" si="9"/>
        <v>0</v>
      </c>
      <c r="F31" s="409"/>
      <c r="G31" s="408"/>
      <c r="H31" s="408"/>
      <c r="I31" s="408"/>
      <c r="J31" s="408"/>
      <c r="K31" s="408"/>
      <c r="L31" s="408"/>
      <c r="M31" s="408"/>
      <c r="N31" s="408">
        <f>$M20/7</f>
        <v>0</v>
      </c>
      <c r="O31" s="408">
        <f t="shared" ref="O31:T31" si="17">$M20/7</f>
        <v>0</v>
      </c>
      <c r="P31" s="408">
        <f t="shared" si="17"/>
        <v>0</v>
      </c>
      <c r="Q31" s="408">
        <f t="shared" si="17"/>
        <v>0</v>
      </c>
      <c r="R31" s="408">
        <f t="shared" si="17"/>
        <v>0</v>
      </c>
      <c r="S31" s="408">
        <f t="shared" si="17"/>
        <v>0</v>
      </c>
      <c r="T31" s="408">
        <f t="shared" si="17"/>
        <v>0</v>
      </c>
      <c r="X31" s="408"/>
      <c r="Y31" s="408"/>
      <c r="Z31" s="408"/>
      <c r="AA31" s="408"/>
      <c r="AB31" s="408"/>
      <c r="AC31" s="408"/>
      <c r="AD31" s="408"/>
      <c r="AE31" s="408"/>
      <c r="AF31" s="408"/>
    </row>
    <row r="32" spans="2:36" outlineLevel="1">
      <c r="C32" s="386">
        <v>4</v>
      </c>
      <c r="D32" s="394" t="s">
        <v>470</v>
      </c>
      <c r="E32" s="397">
        <f t="shared" si="9"/>
        <v>0</v>
      </c>
      <c r="F32" s="409"/>
      <c r="G32" s="408"/>
      <c r="H32" s="408"/>
      <c r="I32" s="408"/>
      <c r="J32" s="408"/>
      <c r="K32" s="408"/>
      <c r="L32" s="408"/>
      <c r="M32" s="408"/>
      <c r="N32" s="408"/>
      <c r="O32" s="408">
        <f>$N20/7</f>
        <v>0</v>
      </c>
      <c r="P32" s="408">
        <f t="shared" ref="P32:U32" si="18">$N20/7</f>
        <v>0</v>
      </c>
      <c r="Q32" s="408">
        <f t="shared" si="18"/>
        <v>0</v>
      </c>
      <c r="R32" s="408">
        <f t="shared" si="18"/>
        <v>0</v>
      </c>
      <c r="S32" s="408">
        <f t="shared" si="18"/>
        <v>0</v>
      </c>
      <c r="T32" s="408">
        <f t="shared" si="18"/>
        <v>0</v>
      </c>
      <c r="U32" s="408">
        <f t="shared" si="18"/>
        <v>0</v>
      </c>
      <c r="Y32" s="408"/>
      <c r="Z32" s="408"/>
      <c r="AA32" s="408"/>
      <c r="AB32" s="408"/>
      <c r="AC32" s="408"/>
      <c r="AD32" s="408"/>
      <c r="AE32" s="408"/>
      <c r="AF32" s="408"/>
    </row>
    <row r="33" spans="3:36" outlineLevel="1">
      <c r="C33" s="386">
        <v>5</v>
      </c>
      <c r="D33" s="394" t="s">
        <v>470</v>
      </c>
      <c r="E33" s="397">
        <f t="shared" si="9"/>
        <v>0</v>
      </c>
      <c r="F33" s="409"/>
      <c r="G33" s="408"/>
      <c r="H33" s="408"/>
      <c r="I33" s="408"/>
      <c r="J33" s="408"/>
      <c r="K33" s="408"/>
      <c r="L33" s="408"/>
      <c r="M33" s="408"/>
      <c r="N33" s="408"/>
      <c r="O33" s="408"/>
      <c r="P33" s="408">
        <f>$O20/7</f>
        <v>0</v>
      </c>
      <c r="Q33" s="408">
        <f t="shared" ref="Q33:V33" si="19">$O20/7</f>
        <v>0</v>
      </c>
      <c r="R33" s="408">
        <f t="shared" si="19"/>
        <v>0</v>
      </c>
      <c r="S33" s="408">
        <f t="shared" si="19"/>
        <v>0</v>
      </c>
      <c r="T33" s="408">
        <f t="shared" si="19"/>
        <v>0</v>
      </c>
      <c r="U33" s="408">
        <f t="shared" si="19"/>
        <v>0</v>
      </c>
      <c r="V33" s="408">
        <f t="shared" si="19"/>
        <v>0</v>
      </c>
      <c r="Z33" s="408"/>
      <c r="AA33" s="408"/>
      <c r="AB33" s="408"/>
      <c r="AC33" s="408"/>
      <c r="AD33" s="408"/>
      <c r="AE33" s="408"/>
      <c r="AF33" s="408"/>
    </row>
    <row r="34" spans="3:36" outlineLevel="1">
      <c r="C34" s="386">
        <v>6</v>
      </c>
      <c r="D34" s="394" t="s">
        <v>470</v>
      </c>
      <c r="E34" s="397">
        <f t="shared" si="9"/>
        <v>0</v>
      </c>
      <c r="F34" s="409"/>
      <c r="G34" s="408"/>
      <c r="H34" s="408"/>
      <c r="I34" s="408"/>
      <c r="J34" s="408"/>
      <c r="K34" s="408"/>
      <c r="L34" s="408"/>
      <c r="M34" s="408"/>
      <c r="N34" s="408"/>
      <c r="O34" s="408"/>
      <c r="P34" s="408"/>
      <c r="Q34" s="408">
        <f>$P20/7</f>
        <v>0</v>
      </c>
      <c r="R34" s="408">
        <f t="shared" ref="R34:W34" si="20">$P20/7</f>
        <v>0</v>
      </c>
      <c r="S34" s="408">
        <f t="shared" si="20"/>
        <v>0</v>
      </c>
      <c r="T34" s="408">
        <f t="shared" si="20"/>
        <v>0</v>
      </c>
      <c r="U34" s="408">
        <f t="shared" si="20"/>
        <v>0</v>
      </c>
      <c r="V34" s="408">
        <f t="shared" si="20"/>
        <v>0</v>
      </c>
      <c r="W34" s="408">
        <f t="shared" si="20"/>
        <v>0</v>
      </c>
      <c r="AA34" s="408"/>
      <c r="AB34" s="408"/>
      <c r="AC34" s="408"/>
      <c r="AD34" s="408"/>
      <c r="AE34" s="408"/>
      <c r="AF34" s="408"/>
    </row>
    <row r="35" spans="3:36" outlineLevel="1">
      <c r="C35" s="386">
        <v>7</v>
      </c>
      <c r="D35" s="394" t="s">
        <v>470</v>
      </c>
      <c r="E35" s="397">
        <f t="shared" si="9"/>
        <v>0</v>
      </c>
      <c r="F35" s="409"/>
      <c r="G35" s="408"/>
      <c r="H35" s="408"/>
      <c r="I35" s="408"/>
      <c r="J35" s="408"/>
      <c r="K35" s="408"/>
      <c r="L35" s="408"/>
      <c r="M35" s="408"/>
      <c r="N35" s="408"/>
      <c r="O35" s="408"/>
      <c r="P35" s="408"/>
      <c r="Q35" s="408"/>
      <c r="R35" s="408">
        <f>$Q20/7</f>
        <v>0</v>
      </c>
      <c r="S35" s="408">
        <f t="shared" ref="S35:X35" si="21">$Q20/7</f>
        <v>0</v>
      </c>
      <c r="T35" s="408">
        <f t="shared" si="21"/>
        <v>0</v>
      </c>
      <c r="U35" s="408">
        <f t="shared" si="21"/>
        <v>0</v>
      </c>
      <c r="V35" s="408">
        <f t="shared" si="21"/>
        <v>0</v>
      </c>
      <c r="W35" s="408">
        <f t="shared" si="21"/>
        <v>0</v>
      </c>
      <c r="X35" s="408">
        <f t="shared" si="21"/>
        <v>0</v>
      </c>
      <c r="AB35" s="408"/>
      <c r="AC35" s="408"/>
      <c r="AD35" s="408"/>
      <c r="AE35" s="408"/>
      <c r="AF35" s="408"/>
    </row>
    <row r="36" spans="3:36" outlineLevel="1">
      <c r="C36" s="386">
        <v>8</v>
      </c>
      <c r="D36" s="394" t="s">
        <v>470</v>
      </c>
      <c r="E36" s="397">
        <f t="shared" si="9"/>
        <v>0</v>
      </c>
      <c r="F36" s="409"/>
      <c r="G36" s="408"/>
      <c r="H36" s="408"/>
      <c r="I36" s="408"/>
      <c r="J36" s="408"/>
      <c r="K36" s="408"/>
      <c r="L36" s="408"/>
      <c r="M36" s="408"/>
      <c r="N36" s="408"/>
      <c r="O36" s="408"/>
      <c r="P36" s="408"/>
      <c r="Q36" s="408"/>
      <c r="R36" s="408"/>
      <c r="S36" s="408">
        <f>$R20/7</f>
        <v>0</v>
      </c>
      <c r="T36" s="408">
        <f t="shared" ref="T36:Y36" si="22">$R20/7</f>
        <v>0</v>
      </c>
      <c r="U36" s="408">
        <f t="shared" si="22"/>
        <v>0</v>
      </c>
      <c r="V36" s="408">
        <f t="shared" si="22"/>
        <v>0</v>
      </c>
      <c r="W36" s="408">
        <f t="shared" si="22"/>
        <v>0</v>
      </c>
      <c r="X36" s="408">
        <f t="shared" si="22"/>
        <v>0</v>
      </c>
      <c r="Y36" s="408">
        <f t="shared" si="22"/>
        <v>0</v>
      </c>
      <c r="AC36" s="408"/>
      <c r="AD36" s="408"/>
      <c r="AE36" s="408"/>
      <c r="AF36" s="408"/>
    </row>
    <row r="37" spans="3:36" outlineLevel="1">
      <c r="C37" s="386">
        <v>9</v>
      </c>
      <c r="D37" s="394" t="s">
        <v>470</v>
      </c>
      <c r="E37" s="397">
        <f t="shared" si="9"/>
        <v>0</v>
      </c>
      <c r="F37" s="409"/>
      <c r="G37" s="408"/>
      <c r="H37" s="408"/>
      <c r="I37" s="408"/>
      <c r="J37" s="408"/>
      <c r="K37" s="408"/>
      <c r="L37" s="408"/>
      <c r="M37" s="408"/>
      <c r="N37" s="408"/>
      <c r="O37" s="408"/>
      <c r="P37" s="408"/>
      <c r="Q37" s="408"/>
      <c r="R37" s="408"/>
      <c r="S37" s="408"/>
      <c r="T37" s="408">
        <f>$S20/7</f>
        <v>0</v>
      </c>
      <c r="U37" s="408">
        <f t="shared" ref="U37:Z37" si="23">$S20/7</f>
        <v>0</v>
      </c>
      <c r="V37" s="408">
        <f t="shared" si="23"/>
        <v>0</v>
      </c>
      <c r="W37" s="408">
        <f t="shared" si="23"/>
        <v>0</v>
      </c>
      <c r="X37" s="408">
        <f t="shared" si="23"/>
        <v>0</v>
      </c>
      <c r="Y37" s="408">
        <f t="shared" si="23"/>
        <v>0</v>
      </c>
      <c r="Z37" s="408">
        <f t="shared" si="23"/>
        <v>0</v>
      </c>
      <c r="AD37" s="408"/>
      <c r="AE37" s="408"/>
      <c r="AF37" s="408"/>
    </row>
    <row r="38" spans="3:36" outlineLevel="1">
      <c r="C38" s="386">
        <v>10</v>
      </c>
      <c r="D38" s="394" t="s">
        <v>470</v>
      </c>
      <c r="E38" s="397">
        <f t="shared" si="9"/>
        <v>0</v>
      </c>
      <c r="F38" s="409"/>
      <c r="G38" s="408"/>
      <c r="H38" s="408"/>
      <c r="I38" s="408"/>
      <c r="J38" s="408"/>
      <c r="K38" s="408"/>
      <c r="L38" s="408"/>
      <c r="M38" s="408"/>
      <c r="N38" s="408"/>
      <c r="O38" s="408"/>
      <c r="P38" s="408"/>
      <c r="Q38" s="408"/>
      <c r="R38" s="408"/>
      <c r="S38" s="408"/>
      <c r="T38" s="408"/>
      <c r="U38" s="408">
        <f>$T20/7</f>
        <v>0</v>
      </c>
      <c r="V38" s="408">
        <f t="shared" ref="V38:AA38" si="24">$T20/7</f>
        <v>0</v>
      </c>
      <c r="W38" s="408">
        <f t="shared" si="24"/>
        <v>0</v>
      </c>
      <c r="X38" s="408">
        <f t="shared" si="24"/>
        <v>0</v>
      </c>
      <c r="Y38" s="408">
        <f t="shared" si="24"/>
        <v>0</v>
      </c>
      <c r="Z38" s="408">
        <f t="shared" si="24"/>
        <v>0</v>
      </c>
      <c r="AA38" s="408">
        <f t="shared" si="24"/>
        <v>0</v>
      </c>
      <c r="AE38" s="408"/>
      <c r="AF38" s="408"/>
    </row>
    <row r="39" spans="3:36" outlineLevel="1">
      <c r="C39" s="386">
        <v>11</v>
      </c>
      <c r="D39" s="394" t="s">
        <v>470</v>
      </c>
      <c r="E39" s="397">
        <f t="shared" si="9"/>
        <v>0</v>
      </c>
      <c r="F39" s="409"/>
      <c r="G39" s="408"/>
      <c r="H39" s="408"/>
      <c r="I39" s="408"/>
      <c r="J39" s="408"/>
      <c r="K39" s="408"/>
      <c r="L39" s="408"/>
      <c r="M39" s="408"/>
      <c r="N39" s="408"/>
      <c r="O39" s="408"/>
      <c r="P39" s="408"/>
      <c r="Q39" s="408"/>
      <c r="R39" s="408"/>
      <c r="S39" s="408"/>
      <c r="T39" s="408"/>
      <c r="U39" s="408"/>
      <c r="V39" s="408">
        <f>$U20/7</f>
        <v>0</v>
      </c>
      <c r="W39" s="408">
        <f t="shared" ref="W39:AB39" si="25">$U20/7</f>
        <v>0</v>
      </c>
      <c r="X39" s="408">
        <f t="shared" si="25"/>
        <v>0</v>
      </c>
      <c r="Y39" s="408">
        <f t="shared" si="25"/>
        <v>0</v>
      </c>
      <c r="Z39" s="408">
        <f t="shared" si="25"/>
        <v>0</v>
      </c>
      <c r="AA39" s="408">
        <f t="shared" si="25"/>
        <v>0</v>
      </c>
      <c r="AB39" s="408">
        <f t="shared" si="25"/>
        <v>0</v>
      </c>
      <c r="AF39" s="408"/>
    </row>
    <row r="40" spans="3:36" outlineLevel="1">
      <c r="C40" s="386">
        <v>12</v>
      </c>
      <c r="D40" s="394" t="s">
        <v>470</v>
      </c>
      <c r="E40" s="397">
        <f t="shared" si="9"/>
        <v>0</v>
      </c>
      <c r="F40" s="409"/>
      <c r="G40" s="408"/>
      <c r="H40" s="408"/>
      <c r="I40" s="408"/>
      <c r="J40" s="408"/>
      <c r="K40" s="408"/>
      <c r="L40" s="408"/>
      <c r="M40" s="408"/>
      <c r="N40" s="408"/>
      <c r="O40" s="408"/>
      <c r="P40" s="408"/>
      <c r="Q40" s="408"/>
      <c r="R40" s="408"/>
      <c r="S40" s="408"/>
      <c r="T40" s="408"/>
      <c r="U40" s="408"/>
      <c r="V40" s="408"/>
      <c r="W40" s="408">
        <f>$V20/7</f>
        <v>0</v>
      </c>
      <c r="X40" s="408">
        <f t="shared" ref="X40:AC40" si="26">$V20/7</f>
        <v>0</v>
      </c>
      <c r="Y40" s="408">
        <f t="shared" si="26"/>
        <v>0</v>
      </c>
      <c r="Z40" s="408">
        <f t="shared" si="26"/>
        <v>0</v>
      </c>
      <c r="AA40" s="408">
        <f t="shared" si="26"/>
        <v>0</v>
      </c>
      <c r="AB40" s="408">
        <f t="shared" si="26"/>
        <v>0</v>
      </c>
      <c r="AC40" s="408">
        <f t="shared" si="26"/>
        <v>0</v>
      </c>
    </row>
    <row r="41" spans="3:36" outlineLevel="1">
      <c r="C41" s="386">
        <v>13</v>
      </c>
      <c r="D41" s="394" t="s">
        <v>470</v>
      </c>
      <c r="E41" s="397">
        <f t="shared" si="9"/>
        <v>0</v>
      </c>
      <c r="F41" s="409"/>
      <c r="G41" s="408"/>
      <c r="H41" s="408"/>
      <c r="I41" s="408"/>
      <c r="J41" s="408"/>
      <c r="K41" s="408"/>
      <c r="L41" s="408"/>
      <c r="M41" s="408"/>
      <c r="N41" s="408"/>
      <c r="O41" s="408"/>
      <c r="P41" s="408"/>
      <c r="Q41" s="408"/>
      <c r="R41" s="408"/>
      <c r="S41" s="408"/>
      <c r="T41" s="408"/>
      <c r="U41" s="408"/>
      <c r="V41" s="408"/>
      <c r="W41" s="408"/>
      <c r="X41" s="408">
        <f>$W20/7</f>
        <v>0</v>
      </c>
      <c r="Y41" s="408">
        <f t="shared" ref="Y41:AD41" si="27">$W20/7</f>
        <v>0</v>
      </c>
      <c r="Z41" s="408">
        <f t="shared" si="27"/>
        <v>0</v>
      </c>
      <c r="AA41" s="408">
        <f t="shared" si="27"/>
        <v>0</v>
      </c>
      <c r="AB41" s="408">
        <f t="shared" si="27"/>
        <v>0</v>
      </c>
      <c r="AC41" s="408">
        <f t="shared" si="27"/>
        <v>0</v>
      </c>
      <c r="AD41" s="408">
        <f t="shared" si="27"/>
        <v>0</v>
      </c>
    </row>
    <row r="42" spans="3:36" outlineLevel="1">
      <c r="C42" s="386">
        <v>14</v>
      </c>
      <c r="D42" s="394" t="s">
        <v>470</v>
      </c>
      <c r="E42" s="397">
        <f t="shared" si="9"/>
        <v>0</v>
      </c>
      <c r="F42" s="409"/>
      <c r="G42" s="408"/>
      <c r="H42" s="408"/>
      <c r="I42" s="408"/>
      <c r="J42" s="408"/>
      <c r="K42" s="408"/>
      <c r="L42" s="408"/>
      <c r="M42" s="408"/>
      <c r="N42" s="408"/>
      <c r="O42" s="408"/>
      <c r="P42" s="408"/>
      <c r="Q42" s="408"/>
      <c r="R42" s="408"/>
      <c r="S42" s="408"/>
      <c r="T42" s="408"/>
      <c r="U42" s="408"/>
      <c r="V42" s="408"/>
      <c r="W42" s="408"/>
      <c r="X42" s="408"/>
      <c r="Y42" s="408">
        <f>$X20/7</f>
        <v>0</v>
      </c>
      <c r="Z42" s="408">
        <f t="shared" ref="Z42:AE42" si="28">$X20/7</f>
        <v>0</v>
      </c>
      <c r="AA42" s="408">
        <f t="shared" si="28"/>
        <v>0</v>
      </c>
      <c r="AB42" s="408">
        <f t="shared" si="28"/>
        <v>0</v>
      </c>
      <c r="AC42" s="408">
        <f t="shared" si="28"/>
        <v>0</v>
      </c>
      <c r="AD42" s="408">
        <f t="shared" si="28"/>
        <v>0</v>
      </c>
      <c r="AE42" s="408">
        <f t="shared" si="28"/>
        <v>0</v>
      </c>
    </row>
    <row r="43" spans="3:36" outlineLevel="1">
      <c r="C43" s="386">
        <v>15</v>
      </c>
      <c r="D43" s="394" t="s">
        <v>470</v>
      </c>
      <c r="E43" s="397">
        <f t="shared" si="9"/>
        <v>0</v>
      </c>
      <c r="F43" s="409"/>
      <c r="G43" s="408"/>
      <c r="H43" s="408"/>
      <c r="I43" s="408"/>
      <c r="J43" s="408"/>
      <c r="K43" s="408"/>
      <c r="L43" s="408"/>
      <c r="M43" s="408"/>
      <c r="N43" s="408"/>
      <c r="O43" s="408"/>
      <c r="P43" s="408"/>
      <c r="Q43" s="408"/>
      <c r="R43" s="408"/>
      <c r="S43" s="408"/>
      <c r="T43" s="408"/>
      <c r="U43" s="408"/>
      <c r="V43" s="408"/>
      <c r="W43" s="408"/>
      <c r="X43" s="408"/>
      <c r="Y43" s="408"/>
      <c r="Z43" s="408">
        <f>$Y20/7</f>
        <v>0</v>
      </c>
      <c r="AA43" s="408">
        <f t="shared" ref="AA43:AF43" si="29">$Y20/7</f>
        <v>0</v>
      </c>
      <c r="AB43" s="408">
        <f t="shared" si="29"/>
        <v>0</v>
      </c>
      <c r="AC43" s="408">
        <f t="shared" si="29"/>
        <v>0</v>
      </c>
      <c r="AD43" s="408">
        <f t="shared" si="29"/>
        <v>0</v>
      </c>
      <c r="AE43" s="408">
        <f t="shared" si="29"/>
        <v>0</v>
      </c>
      <c r="AF43" s="408">
        <f t="shared" si="29"/>
        <v>0</v>
      </c>
    </row>
    <row r="44" spans="3:36" outlineLevel="1">
      <c r="C44" s="386">
        <v>16</v>
      </c>
      <c r="D44" s="394" t="s">
        <v>470</v>
      </c>
      <c r="E44" s="397">
        <f t="shared" si="9"/>
        <v>0</v>
      </c>
      <c r="F44" s="409"/>
      <c r="G44" s="408"/>
      <c r="H44" s="408"/>
      <c r="I44" s="408"/>
      <c r="J44" s="408"/>
      <c r="K44" s="408"/>
      <c r="L44" s="408"/>
      <c r="M44" s="408"/>
      <c r="N44" s="408"/>
      <c r="O44" s="408"/>
      <c r="P44" s="408"/>
      <c r="Q44" s="408"/>
      <c r="R44" s="408"/>
      <c r="S44" s="408"/>
      <c r="T44" s="408"/>
      <c r="U44" s="408"/>
      <c r="V44" s="408"/>
      <c r="W44" s="408"/>
      <c r="X44" s="408"/>
      <c r="Y44" s="408"/>
      <c r="Z44" s="408"/>
      <c r="AA44" s="408">
        <f>$Z20/7</f>
        <v>0</v>
      </c>
      <c r="AB44" s="408">
        <f t="shared" ref="AB44:AG44" si="30">$Z20/7</f>
        <v>0</v>
      </c>
      <c r="AC44" s="408">
        <f t="shared" si="30"/>
        <v>0</v>
      </c>
      <c r="AD44" s="408">
        <f t="shared" si="30"/>
        <v>0</v>
      </c>
      <c r="AE44" s="408">
        <f t="shared" si="30"/>
        <v>0</v>
      </c>
      <c r="AF44" s="408">
        <f t="shared" si="30"/>
        <v>0</v>
      </c>
      <c r="AG44" s="408">
        <f t="shared" si="30"/>
        <v>0</v>
      </c>
    </row>
    <row r="45" spans="3:36" outlineLevel="1">
      <c r="C45" s="386">
        <v>17</v>
      </c>
      <c r="D45" s="394" t="s">
        <v>470</v>
      </c>
      <c r="E45" s="397">
        <f t="shared" si="9"/>
        <v>0</v>
      </c>
      <c r="F45" s="409"/>
      <c r="G45" s="408"/>
      <c r="H45" s="408"/>
      <c r="I45" s="408"/>
      <c r="J45" s="408"/>
      <c r="K45" s="408"/>
      <c r="L45" s="408"/>
      <c r="M45" s="408"/>
      <c r="N45" s="408"/>
      <c r="O45" s="408"/>
      <c r="P45" s="408"/>
      <c r="Q45" s="408"/>
      <c r="R45" s="408"/>
      <c r="S45" s="408"/>
      <c r="T45" s="408"/>
      <c r="U45" s="408"/>
      <c r="V45" s="408"/>
      <c r="W45" s="408"/>
      <c r="X45" s="408"/>
      <c r="Y45" s="408"/>
      <c r="Z45" s="408"/>
      <c r="AA45" s="408"/>
      <c r="AB45" s="408">
        <f>$AA20/7</f>
        <v>0</v>
      </c>
      <c r="AC45" s="408">
        <f t="shared" ref="AC45:AH45" si="31">$AA20/7</f>
        <v>0</v>
      </c>
      <c r="AD45" s="408">
        <f t="shared" si="31"/>
        <v>0</v>
      </c>
      <c r="AE45" s="408">
        <f t="shared" si="31"/>
        <v>0</v>
      </c>
      <c r="AF45" s="408">
        <f t="shared" si="31"/>
        <v>0</v>
      </c>
      <c r="AG45" s="408">
        <f t="shared" si="31"/>
        <v>0</v>
      </c>
      <c r="AH45" s="408">
        <f t="shared" si="31"/>
        <v>0</v>
      </c>
    </row>
    <row r="46" spans="3:36" outlineLevel="1">
      <c r="C46" s="386">
        <v>18</v>
      </c>
      <c r="D46" s="394" t="s">
        <v>470</v>
      </c>
      <c r="E46" s="397">
        <f t="shared" si="9"/>
        <v>0</v>
      </c>
      <c r="F46" s="409"/>
      <c r="G46" s="408"/>
      <c r="H46" s="408"/>
      <c r="I46" s="408"/>
      <c r="J46" s="408"/>
      <c r="K46" s="408"/>
      <c r="L46" s="408"/>
      <c r="M46" s="408"/>
      <c r="N46" s="408"/>
      <c r="O46" s="408"/>
      <c r="P46" s="408"/>
      <c r="Q46" s="408"/>
      <c r="R46" s="408"/>
      <c r="S46" s="408"/>
      <c r="T46" s="408"/>
      <c r="U46" s="408"/>
      <c r="V46" s="408"/>
      <c r="W46" s="408"/>
      <c r="X46" s="408"/>
      <c r="Y46" s="408"/>
      <c r="Z46" s="408"/>
      <c r="AA46" s="408"/>
      <c r="AB46" s="408"/>
      <c r="AC46" s="408">
        <f>$AB20/7</f>
        <v>0</v>
      </c>
      <c r="AD46" s="408">
        <f t="shared" ref="AD46:AG46" si="32">$AB20/7</f>
        <v>0</v>
      </c>
      <c r="AE46" s="408">
        <f t="shared" si="32"/>
        <v>0</v>
      </c>
      <c r="AF46" s="408">
        <f t="shared" si="32"/>
        <v>0</v>
      </c>
      <c r="AG46" s="408">
        <f t="shared" si="32"/>
        <v>0</v>
      </c>
      <c r="AH46" s="408">
        <f>$AB20/7</f>
        <v>0</v>
      </c>
      <c r="AI46" s="408">
        <f>$AB20/7</f>
        <v>0</v>
      </c>
    </row>
    <row r="47" spans="3:36" outlineLevel="1">
      <c r="C47" s="386">
        <v>19</v>
      </c>
      <c r="D47" s="394" t="s">
        <v>470</v>
      </c>
      <c r="E47" s="397">
        <f t="shared" si="9"/>
        <v>0</v>
      </c>
      <c r="F47" s="409"/>
      <c r="G47" s="408"/>
      <c r="H47" s="408"/>
      <c r="I47" s="408"/>
      <c r="J47" s="408"/>
      <c r="K47" s="408"/>
      <c r="L47" s="408"/>
      <c r="M47" s="408"/>
      <c r="N47" s="408"/>
      <c r="O47" s="408"/>
      <c r="P47" s="408"/>
      <c r="Q47" s="408"/>
      <c r="R47" s="408"/>
      <c r="S47" s="408"/>
      <c r="T47" s="408"/>
      <c r="U47" s="408"/>
      <c r="V47" s="408"/>
      <c r="W47" s="408"/>
      <c r="X47" s="408"/>
      <c r="Y47" s="408"/>
      <c r="Z47" s="408"/>
      <c r="AA47" s="408"/>
      <c r="AB47" s="408"/>
      <c r="AC47" s="408"/>
      <c r="AD47" s="408">
        <f>$AC20/7</f>
        <v>0</v>
      </c>
      <c r="AE47" s="408">
        <f t="shared" ref="AE47:AJ47" si="33">$AC20/7</f>
        <v>0</v>
      </c>
      <c r="AF47" s="408">
        <f t="shared" si="33"/>
        <v>0</v>
      </c>
      <c r="AG47" s="408">
        <f t="shared" si="33"/>
        <v>0</v>
      </c>
      <c r="AH47" s="408">
        <f t="shared" si="33"/>
        <v>0</v>
      </c>
      <c r="AI47" s="408">
        <f t="shared" si="33"/>
        <v>0</v>
      </c>
      <c r="AJ47" s="408">
        <f t="shared" si="33"/>
        <v>0</v>
      </c>
    </row>
    <row r="48" spans="3:36" outlineLevel="1">
      <c r="C48" s="386">
        <v>0</v>
      </c>
      <c r="D48" s="394" t="s">
        <v>470</v>
      </c>
      <c r="E48" s="397">
        <f t="shared" si="9"/>
        <v>0</v>
      </c>
      <c r="F48" s="409"/>
      <c r="G48" s="408"/>
      <c r="H48" s="408"/>
      <c r="I48" s="408"/>
      <c r="J48" s="408"/>
      <c r="K48" s="408"/>
      <c r="L48" s="408"/>
      <c r="M48" s="408"/>
      <c r="N48" s="408"/>
      <c r="O48" s="408"/>
      <c r="P48" s="408"/>
      <c r="Q48" s="408"/>
      <c r="R48" s="408"/>
      <c r="S48" s="408"/>
      <c r="T48" s="408"/>
      <c r="U48" s="408"/>
      <c r="V48" s="408"/>
      <c r="W48" s="408"/>
      <c r="X48" s="408"/>
      <c r="Y48" s="408"/>
      <c r="Z48" s="408"/>
      <c r="AA48" s="408"/>
      <c r="AB48" s="408"/>
      <c r="AC48" s="408"/>
      <c r="AD48" s="408"/>
      <c r="AE48" s="408">
        <f>$AD20/6</f>
        <v>0</v>
      </c>
      <c r="AF48" s="408">
        <f t="shared" ref="AF48:AJ48" si="34">$AD20/6</f>
        <v>0</v>
      </c>
      <c r="AG48" s="408">
        <f t="shared" si="34"/>
        <v>0</v>
      </c>
      <c r="AH48" s="408">
        <f t="shared" si="34"/>
        <v>0</v>
      </c>
      <c r="AI48" s="408">
        <f t="shared" si="34"/>
        <v>0</v>
      </c>
      <c r="AJ48" s="408">
        <f t="shared" si="34"/>
        <v>0</v>
      </c>
    </row>
    <row r="49" spans="3:36" outlineLevel="1">
      <c r="C49" s="386">
        <v>0</v>
      </c>
      <c r="D49" s="394" t="s">
        <v>470</v>
      </c>
      <c r="E49" s="397">
        <f t="shared" si="9"/>
        <v>0</v>
      </c>
      <c r="F49" s="409"/>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c r="AD49" s="408"/>
      <c r="AE49" s="408"/>
      <c r="AF49" s="408">
        <f>$AE20/5</f>
        <v>0</v>
      </c>
      <c r="AG49" s="408">
        <f t="shared" ref="AG49:AJ49" si="35">$AE20/5</f>
        <v>0</v>
      </c>
      <c r="AH49" s="408">
        <f t="shared" si="35"/>
        <v>0</v>
      </c>
      <c r="AI49" s="408">
        <f t="shared" si="35"/>
        <v>0</v>
      </c>
      <c r="AJ49" s="408">
        <f t="shared" si="35"/>
        <v>0</v>
      </c>
    </row>
    <row r="50" spans="3:36" outlineLevel="1">
      <c r="C50" s="386">
        <v>0</v>
      </c>
      <c r="D50" s="394" t="s">
        <v>470</v>
      </c>
      <c r="E50" s="397">
        <f t="shared" si="9"/>
        <v>0</v>
      </c>
      <c r="F50" s="409"/>
      <c r="G50" s="408"/>
      <c r="H50" s="408"/>
      <c r="I50" s="408"/>
      <c r="J50" s="408"/>
      <c r="K50" s="408"/>
      <c r="L50" s="408"/>
      <c r="M50" s="408"/>
      <c r="N50" s="408"/>
      <c r="O50" s="408"/>
      <c r="P50" s="408"/>
      <c r="Q50" s="408"/>
      <c r="R50" s="408"/>
      <c r="S50" s="408"/>
      <c r="T50" s="408"/>
      <c r="U50" s="408"/>
      <c r="V50" s="408"/>
      <c r="W50" s="408"/>
      <c r="X50" s="408"/>
      <c r="Y50" s="408"/>
      <c r="Z50" s="408"/>
      <c r="AA50" s="408"/>
      <c r="AB50" s="408"/>
      <c r="AC50" s="408"/>
      <c r="AD50" s="408"/>
      <c r="AE50" s="408"/>
      <c r="AF50" s="408"/>
      <c r="AG50" s="408">
        <f>$AF20/4</f>
        <v>0</v>
      </c>
      <c r="AH50" s="408">
        <f t="shared" ref="AH50:AJ50" si="36">$AF20/4</f>
        <v>0</v>
      </c>
      <c r="AI50" s="408">
        <f t="shared" si="36"/>
        <v>0</v>
      </c>
      <c r="AJ50" s="408">
        <f t="shared" si="36"/>
        <v>0</v>
      </c>
    </row>
    <row r="51" spans="3:36" outlineLevel="1">
      <c r="C51" s="386">
        <v>0</v>
      </c>
      <c r="D51" s="394" t="s">
        <v>470</v>
      </c>
      <c r="E51" s="397">
        <f t="shared" si="9"/>
        <v>0</v>
      </c>
      <c r="F51" s="409"/>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c r="AD51" s="408"/>
      <c r="AE51" s="408"/>
      <c r="AF51" s="408"/>
      <c r="AH51" s="408">
        <f>$AG20/3</f>
        <v>0</v>
      </c>
      <c r="AI51" s="408">
        <f t="shared" ref="AI51:AJ51" si="37">$AG20/3</f>
        <v>0</v>
      </c>
      <c r="AJ51" s="408">
        <f t="shared" si="37"/>
        <v>0</v>
      </c>
    </row>
    <row r="52" spans="3:36" outlineLevel="1">
      <c r="C52" s="386">
        <v>0</v>
      </c>
      <c r="D52" s="394" t="s">
        <v>470</v>
      </c>
      <c r="E52" s="397">
        <f t="shared" si="9"/>
        <v>0</v>
      </c>
      <c r="F52" s="409"/>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c r="AD52" s="408"/>
      <c r="AE52" s="408"/>
      <c r="AF52" s="408"/>
      <c r="AI52" s="408">
        <f>$AH20/2</f>
        <v>0</v>
      </c>
      <c r="AJ52" s="408">
        <f>$AH20/2</f>
        <v>0</v>
      </c>
    </row>
    <row r="53" spans="3:36" outlineLevel="1">
      <c r="C53" s="386">
        <v>0</v>
      </c>
      <c r="D53" s="394" t="s">
        <v>470</v>
      </c>
      <c r="E53" s="397">
        <f t="shared" si="9"/>
        <v>0</v>
      </c>
      <c r="F53" s="409"/>
      <c r="G53" s="408"/>
      <c r="H53" s="408"/>
      <c r="I53" s="408"/>
      <c r="J53" s="408"/>
      <c r="K53" s="408"/>
      <c r="L53" s="408"/>
      <c r="M53" s="408"/>
      <c r="N53" s="408"/>
      <c r="O53" s="408"/>
      <c r="P53" s="408"/>
      <c r="Q53" s="408"/>
      <c r="R53" s="408"/>
      <c r="S53" s="408"/>
      <c r="T53" s="408"/>
      <c r="U53" s="408"/>
      <c r="V53" s="408"/>
      <c r="W53" s="408"/>
      <c r="X53" s="408"/>
      <c r="Y53" s="408"/>
      <c r="Z53" s="408"/>
      <c r="AA53" s="408"/>
      <c r="AB53" s="408"/>
      <c r="AC53" s="408"/>
      <c r="AD53" s="408"/>
      <c r="AE53" s="408"/>
      <c r="AF53" s="408"/>
      <c r="AJ53" s="408">
        <f>$AI20/1</f>
        <v>0</v>
      </c>
    </row>
    <row r="54" spans="3:36" outlineLevel="1">
      <c r="C54" s="386">
        <v>0</v>
      </c>
      <c r="D54" s="394" t="s">
        <v>470</v>
      </c>
      <c r="E54" s="397">
        <f t="shared" si="9"/>
        <v>0</v>
      </c>
      <c r="F54" s="409"/>
      <c r="G54" s="408"/>
      <c r="H54" s="408"/>
      <c r="I54" s="408"/>
      <c r="J54" s="408"/>
      <c r="K54" s="408"/>
      <c r="L54" s="408"/>
      <c r="M54" s="408"/>
      <c r="N54" s="408"/>
      <c r="O54" s="408"/>
      <c r="P54" s="408"/>
      <c r="Q54" s="408"/>
      <c r="R54" s="408"/>
      <c r="S54" s="408"/>
      <c r="T54" s="408"/>
      <c r="U54" s="408"/>
      <c r="V54" s="408"/>
      <c r="W54" s="408"/>
      <c r="X54" s="408"/>
      <c r="Y54" s="408"/>
      <c r="Z54" s="408"/>
      <c r="AA54" s="408"/>
      <c r="AB54" s="408"/>
      <c r="AC54" s="408"/>
      <c r="AD54" s="408"/>
      <c r="AE54" s="408"/>
      <c r="AF54" s="408"/>
    </row>
    <row r="55" spans="3:36" outlineLevel="1">
      <c r="C55" s="386">
        <v>0</v>
      </c>
      <c r="D55" s="394" t="s">
        <v>470</v>
      </c>
      <c r="E55" s="397">
        <f t="shared" si="9"/>
        <v>0</v>
      </c>
      <c r="F55" s="409"/>
      <c r="G55" s="408"/>
      <c r="H55" s="408"/>
      <c r="I55" s="408"/>
      <c r="J55" s="408"/>
      <c r="K55" s="408"/>
      <c r="L55" s="408"/>
      <c r="M55" s="408"/>
      <c r="N55" s="408"/>
      <c r="O55" s="408"/>
      <c r="P55" s="408"/>
      <c r="Q55" s="408"/>
      <c r="R55" s="408"/>
      <c r="S55" s="408"/>
      <c r="T55" s="408"/>
      <c r="U55" s="408"/>
      <c r="V55" s="408"/>
      <c r="W55" s="408"/>
      <c r="X55" s="408"/>
      <c r="Y55" s="408"/>
      <c r="Z55" s="408"/>
      <c r="AA55" s="408"/>
      <c r="AB55" s="408"/>
      <c r="AC55" s="408"/>
      <c r="AD55" s="408"/>
      <c r="AE55" s="408"/>
      <c r="AF55" s="408"/>
    </row>
    <row r="56" spans="3:36" outlineLevel="1">
      <c r="C56" s="386">
        <v>0</v>
      </c>
      <c r="D56" s="394" t="s">
        <v>470</v>
      </c>
      <c r="E56" s="397">
        <f t="shared" si="9"/>
        <v>0</v>
      </c>
      <c r="F56" s="409"/>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408"/>
    </row>
    <row r="57" spans="3:36" outlineLevel="1">
      <c r="C57" s="386">
        <v>0</v>
      </c>
      <c r="D57" s="394" t="s">
        <v>470</v>
      </c>
      <c r="E57" s="397">
        <f t="shared" si="9"/>
        <v>0</v>
      </c>
      <c r="F57" s="409"/>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c r="AD57" s="408"/>
      <c r="AE57" s="408"/>
      <c r="AF57" s="408"/>
    </row>
    <row r="58" spans="3:36" outlineLevel="1">
      <c r="C58" s="386">
        <v>0</v>
      </c>
      <c r="D58" s="394" t="s">
        <v>470</v>
      </c>
      <c r="E58" s="397">
        <f t="shared" si="9"/>
        <v>0</v>
      </c>
      <c r="F58" s="409"/>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408"/>
    </row>
    <row r="59" spans="3:36" outlineLevel="1">
      <c r="C59" s="386">
        <v>0</v>
      </c>
      <c r="D59" s="394" t="s">
        <v>470</v>
      </c>
      <c r="E59" s="397">
        <f t="shared" si="9"/>
        <v>0</v>
      </c>
      <c r="F59" s="409"/>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row>
    <row r="60" spans="3:36" outlineLevel="1">
      <c r="E60" s="397"/>
      <c r="F60" s="409"/>
      <c r="G60" s="408"/>
      <c r="H60" s="408"/>
      <c r="I60" s="408"/>
      <c r="J60" s="408"/>
      <c r="K60" s="408"/>
      <c r="L60" s="408"/>
      <c r="M60" s="408"/>
      <c r="N60" s="408"/>
      <c r="O60" s="408"/>
      <c r="P60" s="408"/>
      <c r="Q60" s="408"/>
      <c r="R60" s="408"/>
      <c r="S60" s="408"/>
      <c r="T60" s="408"/>
      <c r="U60" s="408"/>
      <c r="V60" s="408"/>
      <c r="W60" s="408"/>
      <c r="X60" s="408"/>
      <c r="Y60" s="408"/>
      <c r="Z60" s="408"/>
      <c r="AA60" s="408"/>
      <c r="AB60" s="408"/>
      <c r="AC60" s="408"/>
      <c r="AD60" s="408"/>
      <c r="AE60" s="408"/>
      <c r="AF60" s="408"/>
    </row>
    <row r="61" spans="3:36">
      <c r="C61" s="386" t="s">
        <v>525</v>
      </c>
      <c r="D61" s="394" t="s">
        <v>470</v>
      </c>
      <c r="E61" s="397">
        <f>SUM(G61:AO61)</f>
        <v>0</v>
      </c>
      <c r="G61" s="408">
        <f t="shared" ref="G61:AE61" si="38">(G22-G24)*G16+G23*G16*0.5+G24*G16*0.5</f>
        <v>0</v>
      </c>
      <c r="H61" s="408">
        <f t="shared" si="38"/>
        <v>0</v>
      </c>
      <c r="I61" s="408">
        <f t="shared" si="38"/>
        <v>0</v>
      </c>
      <c r="J61" s="408">
        <f t="shared" si="38"/>
        <v>0</v>
      </c>
      <c r="K61" s="408">
        <f t="shared" si="38"/>
        <v>0</v>
      </c>
      <c r="L61" s="408">
        <f t="shared" si="38"/>
        <v>0</v>
      </c>
      <c r="M61" s="408">
        <f t="shared" si="38"/>
        <v>0</v>
      </c>
      <c r="N61" s="408">
        <f t="shared" si="38"/>
        <v>0</v>
      </c>
      <c r="O61" s="408">
        <f t="shared" si="38"/>
        <v>0</v>
      </c>
      <c r="P61" s="408">
        <f t="shared" si="38"/>
        <v>0</v>
      </c>
      <c r="Q61" s="408">
        <f t="shared" si="38"/>
        <v>0</v>
      </c>
      <c r="R61" s="408">
        <f t="shared" si="38"/>
        <v>0</v>
      </c>
      <c r="S61" s="408">
        <f t="shared" si="38"/>
        <v>0</v>
      </c>
      <c r="T61" s="408">
        <f t="shared" si="38"/>
        <v>0</v>
      </c>
      <c r="U61" s="408">
        <f t="shared" si="38"/>
        <v>0</v>
      </c>
      <c r="V61" s="408">
        <f t="shared" si="38"/>
        <v>0</v>
      </c>
      <c r="W61" s="408">
        <f t="shared" si="38"/>
        <v>0</v>
      </c>
      <c r="X61" s="408">
        <f t="shared" si="38"/>
        <v>0</v>
      </c>
      <c r="Y61" s="408">
        <f t="shared" si="38"/>
        <v>0</v>
      </c>
      <c r="Z61" s="408">
        <f t="shared" si="38"/>
        <v>0</v>
      </c>
      <c r="AA61" s="408">
        <f t="shared" si="38"/>
        <v>0</v>
      </c>
      <c r="AB61" s="408">
        <f t="shared" si="38"/>
        <v>0</v>
      </c>
      <c r="AC61" s="408">
        <f t="shared" si="38"/>
        <v>0</v>
      </c>
      <c r="AD61" s="408">
        <f t="shared" si="38"/>
        <v>0</v>
      </c>
      <c r="AE61" s="408">
        <f t="shared" si="38"/>
        <v>0</v>
      </c>
      <c r="AF61" s="408">
        <f t="shared" ref="AF61:AJ61" si="39">(AF22-AF24)*AF16+AF23*AF16*0.5+AF24*AF16*0.5</f>
        <v>0</v>
      </c>
      <c r="AG61" s="408">
        <f t="shared" si="39"/>
        <v>0</v>
      </c>
      <c r="AH61" s="408">
        <f t="shared" si="39"/>
        <v>0</v>
      </c>
      <c r="AI61" s="408">
        <f t="shared" si="39"/>
        <v>0</v>
      </c>
      <c r="AJ61" s="408">
        <f t="shared" si="39"/>
        <v>0</v>
      </c>
    </row>
    <row r="62" spans="3:36">
      <c r="C62" s="386" t="s">
        <v>526</v>
      </c>
      <c r="D62" s="394" t="s">
        <v>470</v>
      </c>
      <c r="E62" s="397">
        <f>SUM(G62:AO62)</f>
        <v>0</v>
      </c>
      <c r="G62" s="408">
        <f>G61</f>
        <v>0</v>
      </c>
      <c r="H62" s="408">
        <f>H61</f>
        <v>0</v>
      </c>
      <c r="I62" s="408">
        <f>I61</f>
        <v>0</v>
      </c>
      <c r="J62" s="408">
        <f t="shared" ref="J62:AJ62" si="40">J61</f>
        <v>0</v>
      </c>
      <c r="K62" s="408">
        <f>K61</f>
        <v>0</v>
      </c>
      <c r="L62" s="408">
        <f t="shared" si="40"/>
        <v>0</v>
      </c>
      <c r="M62" s="408">
        <f t="shared" si="40"/>
        <v>0</v>
      </c>
      <c r="N62" s="408">
        <f t="shared" si="40"/>
        <v>0</v>
      </c>
      <c r="O62" s="408">
        <f t="shared" si="40"/>
        <v>0</v>
      </c>
      <c r="P62" s="408">
        <f t="shared" si="40"/>
        <v>0</v>
      </c>
      <c r="Q62" s="408">
        <f t="shared" si="40"/>
        <v>0</v>
      </c>
      <c r="R62" s="408">
        <f t="shared" si="40"/>
        <v>0</v>
      </c>
      <c r="S62" s="408">
        <f t="shared" si="40"/>
        <v>0</v>
      </c>
      <c r="T62" s="408">
        <f t="shared" si="40"/>
        <v>0</v>
      </c>
      <c r="U62" s="408">
        <f t="shared" si="40"/>
        <v>0</v>
      </c>
      <c r="V62" s="408">
        <f t="shared" si="40"/>
        <v>0</v>
      </c>
      <c r="W62" s="408">
        <f t="shared" si="40"/>
        <v>0</v>
      </c>
      <c r="X62" s="408">
        <f t="shared" si="40"/>
        <v>0</v>
      </c>
      <c r="Y62" s="408">
        <f t="shared" si="40"/>
        <v>0</v>
      </c>
      <c r="Z62" s="408">
        <f t="shared" si="40"/>
        <v>0</v>
      </c>
      <c r="AA62" s="408">
        <f t="shared" si="40"/>
        <v>0</v>
      </c>
      <c r="AB62" s="408">
        <f t="shared" si="40"/>
        <v>0</v>
      </c>
      <c r="AC62" s="408">
        <f t="shared" si="40"/>
        <v>0</v>
      </c>
      <c r="AD62" s="408">
        <f t="shared" si="40"/>
        <v>0</v>
      </c>
      <c r="AE62" s="408">
        <f t="shared" si="40"/>
        <v>0</v>
      </c>
      <c r="AF62" s="408">
        <f t="shared" si="40"/>
        <v>0</v>
      </c>
      <c r="AG62" s="408">
        <f t="shared" si="40"/>
        <v>0</v>
      </c>
      <c r="AH62" s="408">
        <f t="shared" si="40"/>
        <v>0</v>
      </c>
      <c r="AI62" s="408">
        <f t="shared" si="40"/>
        <v>0</v>
      </c>
      <c r="AJ62" s="408">
        <f t="shared" si="40"/>
        <v>0</v>
      </c>
    </row>
    <row r="63" spans="3:36">
      <c r="C63" s="410" t="s">
        <v>527</v>
      </c>
      <c r="D63" s="394" t="s">
        <v>470</v>
      </c>
      <c r="G63" s="408">
        <f t="shared" ref="G63:AE63" si="41">G22+G23-G24+G61-G62</f>
        <v>0</v>
      </c>
      <c r="H63" s="408">
        <f t="shared" si="41"/>
        <v>0</v>
      </c>
      <c r="I63" s="408">
        <f t="shared" si="41"/>
        <v>0</v>
      </c>
      <c r="J63" s="408">
        <f t="shared" si="41"/>
        <v>0</v>
      </c>
      <c r="K63" s="408">
        <f t="shared" si="41"/>
        <v>0</v>
      </c>
      <c r="L63" s="408">
        <f t="shared" si="41"/>
        <v>0</v>
      </c>
      <c r="M63" s="408">
        <f t="shared" si="41"/>
        <v>0</v>
      </c>
      <c r="N63" s="408">
        <f t="shared" si="41"/>
        <v>0</v>
      </c>
      <c r="O63" s="408">
        <f t="shared" si="41"/>
        <v>0</v>
      </c>
      <c r="P63" s="408">
        <f t="shared" si="41"/>
        <v>0</v>
      </c>
      <c r="Q63" s="408">
        <f t="shared" si="41"/>
        <v>0</v>
      </c>
      <c r="R63" s="408">
        <f t="shared" si="41"/>
        <v>0</v>
      </c>
      <c r="S63" s="408">
        <f t="shared" si="41"/>
        <v>0</v>
      </c>
      <c r="T63" s="408">
        <f t="shared" si="41"/>
        <v>0</v>
      </c>
      <c r="U63" s="408">
        <f t="shared" si="41"/>
        <v>0</v>
      </c>
      <c r="V63" s="408">
        <f t="shared" si="41"/>
        <v>0</v>
      </c>
      <c r="W63" s="408">
        <f t="shared" si="41"/>
        <v>0</v>
      </c>
      <c r="X63" s="408">
        <f t="shared" si="41"/>
        <v>0</v>
      </c>
      <c r="Y63" s="408">
        <f t="shared" si="41"/>
        <v>0</v>
      </c>
      <c r="Z63" s="408">
        <f t="shared" si="41"/>
        <v>0</v>
      </c>
      <c r="AA63" s="408">
        <f t="shared" si="41"/>
        <v>0</v>
      </c>
      <c r="AB63" s="408">
        <f t="shared" si="41"/>
        <v>0</v>
      </c>
      <c r="AC63" s="408">
        <f t="shared" si="41"/>
        <v>0</v>
      </c>
      <c r="AD63" s="408">
        <f t="shared" si="41"/>
        <v>0</v>
      </c>
      <c r="AE63" s="408">
        <f t="shared" si="41"/>
        <v>0</v>
      </c>
      <c r="AF63" s="408">
        <f t="shared" ref="AF63:AJ63" si="42">AF22+AF23-AF24+AF61-AF62</f>
        <v>0</v>
      </c>
      <c r="AG63" s="408">
        <f t="shared" si="42"/>
        <v>0</v>
      </c>
      <c r="AH63" s="408">
        <f t="shared" si="42"/>
        <v>0</v>
      </c>
      <c r="AI63" s="408">
        <f t="shared" si="42"/>
        <v>0</v>
      </c>
      <c r="AJ63" s="408">
        <f t="shared" si="42"/>
        <v>0</v>
      </c>
    </row>
    <row r="65" spans="2:36" ht="11.25" customHeight="1" collapsed="1">
      <c r="C65" s="390" t="s">
        <v>528</v>
      </c>
      <c r="D65" s="391"/>
      <c r="E65" s="392"/>
      <c r="F65" s="392"/>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row>
    <row r="66" spans="2:36">
      <c r="C66" s="386" t="s">
        <v>522</v>
      </c>
      <c r="D66" s="394" t="s">
        <v>470</v>
      </c>
      <c r="G66" s="408">
        <f t="shared" ref="G66:AJ66" si="43">F71</f>
        <v>0</v>
      </c>
      <c r="H66" s="408">
        <f t="shared" si="43"/>
        <v>0</v>
      </c>
      <c r="I66" s="408">
        <f t="shared" si="43"/>
        <v>0</v>
      </c>
      <c r="J66" s="408">
        <f t="shared" si="43"/>
        <v>0</v>
      </c>
      <c r="K66" s="408">
        <f t="shared" si="43"/>
        <v>0</v>
      </c>
      <c r="L66" s="408">
        <f t="shared" si="43"/>
        <v>0</v>
      </c>
      <c r="M66" s="408">
        <f t="shared" si="43"/>
        <v>0</v>
      </c>
      <c r="N66" s="408">
        <f t="shared" si="43"/>
        <v>0</v>
      </c>
      <c r="O66" s="408">
        <f t="shared" si="43"/>
        <v>0</v>
      </c>
      <c r="P66" s="408">
        <f t="shared" si="43"/>
        <v>0</v>
      </c>
      <c r="Q66" s="408">
        <f t="shared" si="43"/>
        <v>0</v>
      </c>
      <c r="R66" s="408">
        <f t="shared" si="43"/>
        <v>0</v>
      </c>
      <c r="S66" s="408">
        <f t="shared" si="43"/>
        <v>0</v>
      </c>
      <c r="T66" s="408">
        <f t="shared" si="43"/>
        <v>0</v>
      </c>
      <c r="U66" s="408">
        <f t="shared" si="43"/>
        <v>0</v>
      </c>
      <c r="V66" s="408">
        <f t="shared" si="43"/>
        <v>0</v>
      </c>
      <c r="W66" s="408">
        <f t="shared" si="43"/>
        <v>0</v>
      </c>
      <c r="X66" s="408">
        <f t="shared" si="43"/>
        <v>0</v>
      </c>
      <c r="Y66" s="408">
        <f t="shared" si="43"/>
        <v>0</v>
      </c>
      <c r="Z66" s="408">
        <f t="shared" si="43"/>
        <v>0</v>
      </c>
      <c r="AA66" s="408">
        <f t="shared" si="43"/>
        <v>0</v>
      </c>
      <c r="AB66" s="408">
        <f t="shared" si="43"/>
        <v>0</v>
      </c>
      <c r="AC66" s="408">
        <f t="shared" si="43"/>
        <v>0</v>
      </c>
      <c r="AD66" s="408">
        <f t="shared" si="43"/>
        <v>0</v>
      </c>
      <c r="AE66" s="408">
        <f t="shared" si="43"/>
        <v>0</v>
      </c>
      <c r="AF66" s="408">
        <f t="shared" si="43"/>
        <v>0</v>
      </c>
      <c r="AG66" s="408">
        <f t="shared" si="43"/>
        <v>0</v>
      </c>
      <c r="AH66" s="408">
        <f t="shared" si="43"/>
        <v>0</v>
      </c>
      <c r="AI66" s="408">
        <f t="shared" si="43"/>
        <v>0</v>
      </c>
      <c r="AJ66" s="408">
        <f t="shared" si="43"/>
        <v>0</v>
      </c>
    </row>
    <row r="67" spans="2:36">
      <c r="B67" s="407"/>
      <c r="C67" s="386" t="s">
        <v>523</v>
      </c>
      <c r="D67" s="394" t="s">
        <v>470</v>
      </c>
      <c r="E67" s="397">
        <f>SUM(G67:AO67)</f>
        <v>0</v>
      </c>
      <c r="G67" s="408">
        <f t="shared" ref="G67:AE67" si="44">G10*G13</f>
        <v>0</v>
      </c>
      <c r="H67" s="408">
        <f>H10*H13</f>
        <v>0</v>
      </c>
      <c r="I67" s="408">
        <f t="shared" si="44"/>
        <v>0</v>
      </c>
      <c r="J67" s="408">
        <f t="shared" si="44"/>
        <v>0</v>
      </c>
      <c r="K67" s="408">
        <f t="shared" si="44"/>
        <v>0</v>
      </c>
      <c r="L67" s="408">
        <f t="shared" si="44"/>
        <v>0</v>
      </c>
      <c r="M67" s="408">
        <f t="shared" si="44"/>
        <v>0</v>
      </c>
      <c r="N67" s="408">
        <f t="shared" si="44"/>
        <v>0</v>
      </c>
      <c r="O67" s="408">
        <f t="shared" si="44"/>
        <v>0</v>
      </c>
      <c r="P67" s="408">
        <f t="shared" si="44"/>
        <v>0</v>
      </c>
      <c r="Q67" s="408">
        <f t="shared" si="44"/>
        <v>0</v>
      </c>
      <c r="R67" s="408">
        <f t="shared" si="44"/>
        <v>0</v>
      </c>
      <c r="S67" s="408">
        <f t="shared" si="44"/>
        <v>0</v>
      </c>
      <c r="T67" s="408">
        <f t="shared" si="44"/>
        <v>0</v>
      </c>
      <c r="U67" s="408">
        <f t="shared" si="44"/>
        <v>0</v>
      </c>
      <c r="V67" s="408">
        <f t="shared" si="44"/>
        <v>0</v>
      </c>
      <c r="W67" s="408">
        <f t="shared" si="44"/>
        <v>0</v>
      </c>
      <c r="X67" s="408">
        <f t="shared" si="44"/>
        <v>0</v>
      </c>
      <c r="Y67" s="408">
        <f t="shared" si="44"/>
        <v>0</v>
      </c>
      <c r="Z67" s="408">
        <f t="shared" si="44"/>
        <v>0</v>
      </c>
      <c r="AA67" s="408">
        <f t="shared" si="44"/>
        <v>0</v>
      </c>
      <c r="AB67" s="408">
        <f t="shared" si="44"/>
        <v>0</v>
      </c>
      <c r="AC67" s="408">
        <f t="shared" si="44"/>
        <v>0</v>
      </c>
      <c r="AD67" s="408">
        <f t="shared" si="44"/>
        <v>0</v>
      </c>
      <c r="AE67" s="408">
        <f t="shared" si="44"/>
        <v>0</v>
      </c>
      <c r="AF67" s="408">
        <f t="shared" ref="AF67:AJ67" si="45">AF10*AF13</f>
        <v>0</v>
      </c>
      <c r="AG67" s="408">
        <f t="shared" si="45"/>
        <v>0</v>
      </c>
      <c r="AH67" s="408">
        <f t="shared" si="45"/>
        <v>0</v>
      </c>
      <c r="AI67" s="408">
        <f t="shared" si="45"/>
        <v>0</v>
      </c>
      <c r="AJ67" s="408">
        <f t="shared" si="45"/>
        <v>0</v>
      </c>
    </row>
    <row r="68" spans="2:36">
      <c r="B68" s="407"/>
      <c r="C68" s="386" t="s">
        <v>524</v>
      </c>
      <c r="D68" s="394" t="s">
        <v>470</v>
      </c>
      <c r="E68" s="397">
        <f>SUM(G68:AO68)</f>
        <v>0</v>
      </c>
      <c r="G68" s="408"/>
      <c r="H68" s="408"/>
      <c r="I68" s="408"/>
      <c r="J68" s="408"/>
      <c r="K68" s="408"/>
      <c r="L68" s="408"/>
      <c r="M68" s="408"/>
      <c r="N68" s="408"/>
      <c r="O68" s="408"/>
      <c r="P68" s="408"/>
      <c r="Q68" s="408"/>
      <c r="R68" s="408"/>
      <c r="S68" s="408"/>
      <c r="T68" s="408"/>
      <c r="U68" s="408"/>
      <c r="V68" s="408"/>
      <c r="W68" s="408"/>
      <c r="X68" s="408"/>
      <c r="Y68" s="408"/>
      <c r="Z68" s="408"/>
      <c r="AA68" s="408"/>
      <c r="AB68" s="408"/>
      <c r="AC68" s="408"/>
      <c r="AD68" s="408"/>
      <c r="AE68" s="408"/>
      <c r="AF68" s="408"/>
      <c r="AG68" s="408"/>
      <c r="AH68" s="408"/>
      <c r="AI68" s="408"/>
      <c r="AJ68" s="408"/>
    </row>
    <row r="69" spans="2:36">
      <c r="C69" s="386" t="s">
        <v>525</v>
      </c>
      <c r="D69" s="394" t="s">
        <v>470</v>
      </c>
      <c r="E69" s="397">
        <f>SUM(G69:AO69)</f>
        <v>0</v>
      </c>
      <c r="G69" s="408">
        <f t="shared" ref="G69:AE69" si="46">(G66-G68)*G16+G67*G16*0.5+G68*G16*0.5</f>
        <v>0</v>
      </c>
      <c r="H69" s="408">
        <f t="shared" si="46"/>
        <v>0</v>
      </c>
      <c r="I69" s="408">
        <f t="shared" si="46"/>
        <v>0</v>
      </c>
      <c r="J69" s="408">
        <f t="shared" si="46"/>
        <v>0</v>
      </c>
      <c r="K69" s="408">
        <f t="shared" si="46"/>
        <v>0</v>
      </c>
      <c r="L69" s="408">
        <f t="shared" si="46"/>
        <v>0</v>
      </c>
      <c r="M69" s="408">
        <f t="shared" si="46"/>
        <v>0</v>
      </c>
      <c r="N69" s="408">
        <f t="shared" si="46"/>
        <v>0</v>
      </c>
      <c r="O69" s="408">
        <f t="shared" si="46"/>
        <v>0</v>
      </c>
      <c r="P69" s="408">
        <f t="shared" si="46"/>
        <v>0</v>
      </c>
      <c r="Q69" s="408">
        <f t="shared" si="46"/>
        <v>0</v>
      </c>
      <c r="R69" s="408">
        <f t="shared" si="46"/>
        <v>0</v>
      </c>
      <c r="S69" s="408">
        <f t="shared" si="46"/>
        <v>0</v>
      </c>
      <c r="T69" s="408">
        <f t="shared" si="46"/>
        <v>0</v>
      </c>
      <c r="U69" s="408">
        <f t="shared" si="46"/>
        <v>0</v>
      </c>
      <c r="V69" s="408">
        <f t="shared" si="46"/>
        <v>0</v>
      </c>
      <c r="W69" s="408">
        <f t="shared" si="46"/>
        <v>0</v>
      </c>
      <c r="X69" s="408">
        <f t="shared" si="46"/>
        <v>0</v>
      </c>
      <c r="Y69" s="408">
        <f t="shared" si="46"/>
        <v>0</v>
      </c>
      <c r="Z69" s="408">
        <f t="shared" si="46"/>
        <v>0</v>
      </c>
      <c r="AA69" s="408">
        <f t="shared" si="46"/>
        <v>0</v>
      </c>
      <c r="AB69" s="408">
        <f t="shared" si="46"/>
        <v>0</v>
      </c>
      <c r="AC69" s="408">
        <f t="shared" si="46"/>
        <v>0</v>
      </c>
      <c r="AD69" s="408">
        <f t="shared" si="46"/>
        <v>0</v>
      </c>
      <c r="AE69" s="408">
        <f t="shared" si="46"/>
        <v>0</v>
      </c>
      <c r="AF69" s="408">
        <f t="shared" ref="AF69:AJ69" si="47">(AF66-AF68)*AF16+AF67*AF16*0.5+AF68*AF16*0.5</f>
        <v>0</v>
      </c>
      <c r="AG69" s="408">
        <f t="shared" si="47"/>
        <v>0</v>
      </c>
      <c r="AH69" s="408">
        <f t="shared" si="47"/>
        <v>0</v>
      </c>
      <c r="AI69" s="408">
        <f t="shared" si="47"/>
        <v>0</v>
      </c>
      <c r="AJ69" s="408">
        <f t="shared" si="47"/>
        <v>0</v>
      </c>
    </row>
    <row r="70" spans="2:36">
      <c r="C70" s="386" t="s">
        <v>526</v>
      </c>
      <c r="D70" s="394" t="s">
        <v>470</v>
      </c>
      <c r="E70" s="397">
        <f>SUM(G70:AO70)</f>
        <v>0</v>
      </c>
      <c r="G70" s="408">
        <f>G69</f>
        <v>0</v>
      </c>
      <c r="H70" s="408">
        <f>H69</f>
        <v>0</v>
      </c>
      <c r="I70" s="408">
        <f>I69</f>
        <v>0</v>
      </c>
      <c r="J70" s="408">
        <f>J69</f>
        <v>0</v>
      </c>
      <c r="K70" s="408">
        <f>K69</f>
        <v>0</v>
      </c>
      <c r="L70" s="408">
        <f t="shared" ref="L70:AJ70" si="48">L69</f>
        <v>0</v>
      </c>
      <c r="M70" s="408">
        <f t="shared" si="48"/>
        <v>0</v>
      </c>
      <c r="N70" s="408">
        <f t="shared" si="48"/>
        <v>0</v>
      </c>
      <c r="O70" s="408">
        <f t="shared" si="48"/>
        <v>0</v>
      </c>
      <c r="P70" s="408">
        <f t="shared" si="48"/>
        <v>0</v>
      </c>
      <c r="Q70" s="408">
        <f t="shared" si="48"/>
        <v>0</v>
      </c>
      <c r="R70" s="408">
        <f t="shared" si="48"/>
        <v>0</v>
      </c>
      <c r="S70" s="408">
        <f t="shared" si="48"/>
        <v>0</v>
      </c>
      <c r="T70" s="408">
        <f t="shared" si="48"/>
        <v>0</v>
      </c>
      <c r="U70" s="408">
        <f t="shared" si="48"/>
        <v>0</v>
      </c>
      <c r="V70" s="408">
        <f t="shared" si="48"/>
        <v>0</v>
      </c>
      <c r="W70" s="408">
        <f t="shared" si="48"/>
        <v>0</v>
      </c>
      <c r="X70" s="408">
        <f t="shared" si="48"/>
        <v>0</v>
      </c>
      <c r="Y70" s="408">
        <f t="shared" si="48"/>
        <v>0</v>
      </c>
      <c r="Z70" s="408">
        <f t="shared" si="48"/>
        <v>0</v>
      </c>
      <c r="AA70" s="408">
        <f t="shared" si="48"/>
        <v>0</v>
      </c>
      <c r="AB70" s="408">
        <f t="shared" si="48"/>
        <v>0</v>
      </c>
      <c r="AC70" s="408">
        <f t="shared" si="48"/>
        <v>0</v>
      </c>
      <c r="AD70" s="408">
        <f t="shared" si="48"/>
        <v>0</v>
      </c>
      <c r="AE70" s="408">
        <f t="shared" si="48"/>
        <v>0</v>
      </c>
      <c r="AF70" s="408">
        <f t="shared" si="48"/>
        <v>0</v>
      </c>
      <c r="AG70" s="408">
        <f t="shared" si="48"/>
        <v>0</v>
      </c>
      <c r="AH70" s="408">
        <f t="shared" si="48"/>
        <v>0</v>
      </c>
      <c r="AI70" s="408">
        <f t="shared" si="48"/>
        <v>0</v>
      </c>
      <c r="AJ70" s="408">
        <f t="shared" si="48"/>
        <v>0</v>
      </c>
    </row>
    <row r="71" spans="2:36">
      <c r="C71" s="410" t="s">
        <v>527</v>
      </c>
      <c r="D71" s="394" t="s">
        <v>470</v>
      </c>
      <c r="G71" s="408">
        <f t="shared" ref="G71:AJ71" si="49">G66+G67-G68+G69-G70</f>
        <v>0</v>
      </c>
      <c r="H71" s="408">
        <f t="shared" si="49"/>
        <v>0</v>
      </c>
      <c r="I71" s="408">
        <f t="shared" si="49"/>
        <v>0</v>
      </c>
      <c r="J71" s="408">
        <f t="shared" si="49"/>
        <v>0</v>
      </c>
      <c r="K71" s="408">
        <f t="shared" si="49"/>
        <v>0</v>
      </c>
      <c r="L71" s="408">
        <f t="shared" si="49"/>
        <v>0</v>
      </c>
      <c r="M71" s="408">
        <f t="shared" si="49"/>
        <v>0</v>
      </c>
      <c r="N71" s="408">
        <f t="shared" si="49"/>
        <v>0</v>
      </c>
      <c r="O71" s="408">
        <f t="shared" si="49"/>
        <v>0</v>
      </c>
      <c r="P71" s="408">
        <f t="shared" si="49"/>
        <v>0</v>
      </c>
      <c r="Q71" s="408">
        <f t="shared" si="49"/>
        <v>0</v>
      </c>
      <c r="R71" s="408">
        <f t="shared" si="49"/>
        <v>0</v>
      </c>
      <c r="S71" s="408">
        <f t="shared" si="49"/>
        <v>0</v>
      </c>
      <c r="T71" s="408">
        <f t="shared" si="49"/>
        <v>0</v>
      </c>
      <c r="U71" s="408">
        <f t="shared" si="49"/>
        <v>0</v>
      </c>
      <c r="V71" s="408">
        <f t="shared" si="49"/>
        <v>0</v>
      </c>
      <c r="W71" s="408">
        <f t="shared" si="49"/>
        <v>0</v>
      </c>
      <c r="X71" s="408">
        <f t="shared" si="49"/>
        <v>0</v>
      </c>
      <c r="Y71" s="408">
        <f t="shared" si="49"/>
        <v>0</v>
      </c>
      <c r="Z71" s="408">
        <f t="shared" si="49"/>
        <v>0</v>
      </c>
      <c r="AA71" s="408">
        <f t="shared" si="49"/>
        <v>0</v>
      </c>
      <c r="AB71" s="408">
        <f t="shared" si="49"/>
        <v>0</v>
      </c>
      <c r="AC71" s="408">
        <f t="shared" si="49"/>
        <v>0</v>
      </c>
      <c r="AD71" s="408">
        <f t="shared" si="49"/>
        <v>0</v>
      </c>
      <c r="AE71" s="408">
        <f t="shared" si="49"/>
        <v>0</v>
      </c>
      <c r="AF71" s="408">
        <f t="shared" si="49"/>
        <v>0</v>
      </c>
      <c r="AG71" s="408">
        <f t="shared" si="49"/>
        <v>0</v>
      </c>
      <c r="AH71" s="408">
        <f t="shared" si="49"/>
        <v>0</v>
      </c>
      <c r="AI71" s="408">
        <f t="shared" si="49"/>
        <v>0</v>
      </c>
      <c r="AJ71" s="408">
        <f t="shared" si="49"/>
        <v>0</v>
      </c>
    </row>
    <row r="72" spans="2:36">
      <c r="C72" s="410"/>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c r="AF72" s="408"/>
      <c r="AG72" s="408"/>
      <c r="AH72" s="408"/>
      <c r="AI72" s="408"/>
      <c r="AJ72" s="408"/>
    </row>
    <row r="73" spans="2:36">
      <c r="C73" s="410"/>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c r="AD73" s="408"/>
      <c r="AE73" s="408"/>
      <c r="AF73" s="408"/>
      <c r="AG73" s="408"/>
      <c r="AH73" s="408"/>
      <c r="AI73" s="408"/>
      <c r="AJ73" s="408"/>
    </row>
    <row r="74" spans="2:36">
      <c r="C74" s="410"/>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c r="AD74" s="408"/>
      <c r="AE74" s="408"/>
      <c r="AF74" s="408"/>
      <c r="AG74" s="408"/>
      <c r="AH74" s="408"/>
      <c r="AI74" s="408"/>
      <c r="AJ74" s="408"/>
    </row>
    <row r="75" spans="2:36" ht="11.25" customHeight="1" collapsed="1">
      <c r="C75" s="390" t="s">
        <v>529</v>
      </c>
      <c r="D75" s="391"/>
      <c r="E75" s="392"/>
      <c r="F75" s="392"/>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row>
    <row r="76" spans="2:36">
      <c r="B76" s="400">
        <v>45</v>
      </c>
      <c r="C76" s="411" t="s">
        <v>530</v>
      </c>
      <c r="D76" s="394" t="s">
        <v>470</v>
      </c>
      <c r="E76" s="397">
        <f t="shared" ref="E76:E82" si="50">SUM(G76:AO76)</f>
        <v>0</v>
      </c>
      <c r="G76" s="408">
        <f>$B$76/365*(0)</f>
        <v>0</v>
      </c>
      <c r="H76" s="408">
        <f t="shared" ref="H76:AJ76" si="51">$B$76/365*(0)</f>
        <v>0</v>
      </c>
      <c r="I76" s="408">
        <f t="shared" si="51"/>
        <v>0</v>
      </c>
      <c r="J76" s="408">
        <f t="shared" si="51"/>
        <v>0</v>
      </c>
      <c r="K76" s="408">
        <f t="shared" si="51"/>
        <v>0</v>
      </c>
      <c r="L76" s="408">
        <f t="shared" si="51"/>
        <v>0</v>
      </c>
      <c r="M76" s="408">
        <f t="shared" si="51"/>
        <v>0</v>
      </c>
      <c r="N76" s="408">
        <f t="shared" si="51"/>
        <v>0</v>
      </c>
      <c r="O76" s="408">
        <f t="shared" si="51"/>
        <v>0</v>
      </c>
      <c r="P76" s="408">
        <f t="shared" si="51"/>
        <v>0</v>
      </c>
      <c r="Q76" s="408">
        <f t="shared" si="51"/>
        <v>0</v>
      </c>
      <c r="R76" s="408">
        <f t="shared" si="51"/>
        <v>0</v>
      </c>
      <c r="S76" s="408">
        <f t="shared" si="51"/>
        <v>0</v>
      </c>
      <c r="T76" s="408">
        <f t="shared" si="51"/>
        <v>0</v>
      </c>
      <c r="U76" s="408">
        <f t="shared" si="51"/>
        <v>0</v>
      </c>
      <c r="V76" s="408">
        <f t="shared" si="51"/>
        <v>0</v>
      </c>
      <c r="W76" s="408">
        <f t="shared" si="51"/>
        <v>0</v>
      </c>
      <c r="X76" s="408">
        <f t="shared" si="51"/>
        <v>0</v>
      </c>
      <c r="Y76" s="408">
        <f t="shared" si="51"/>
        <v>0</v>
      </c>
      <c r="Z76" s="408">
        <f t="shared" si="51"/>
        <v>0</v>
      </c>
      <c r="AA76" s="408">
        <f t="shared" si="51"/>
        <v>0</v>
      </c>
      <c r="AB76" s="408">
        <f t="shared" si="51"/>
        <v>0</v>
      </c>
      <c r="AC76" s="408">
        <f t="shared" si="51"/>
        <v>0</v>
      </c>
      <c r="AD76" s="408">
        <f t="shared" si="51"/>
        <v>0</v>
      </c>
      <c r="AE76" s="408">
        <f t="shared" si="51"/>
        <v>0</v>
      </c>
      <c r="AF76" s="408">
        <f t="shared" si="51"/>
        <v>0</v>
      </c>
      <c r="AG76" s="408">
        <f t="shared" si="51"/>
        <v>0</v>
      </c>
      <c r="AH76" s="408">
        <f t="shared" si="51"/>
        <v>0</v>
      </c>
      <c r="AI76" s="408">
        <f t="shared" si="51"/>
        <v>0</v>
      </c>
      <c r="AJ76" s="408">
        <f t="shared" si="51"/>
        <v>0</v>
      </c>
    </row>
    <row r="77" spans="2:36">
      <c r="B77" s="400">
        <v>30</v>
      </c>
      <c r="C77" s="411" t="s">
        <v>531</v>
      </c>
      <c r="D77" s="394" t="s">
        <v>470</v>
      </c>
      <c r="E77" s="397">
        <f t="shared" si="50"/>
        <v>0</v>
      </c>
      <c r="G77" s="408">
        <f>$B$77/365*(0)</f>
        <v>0</v>
      </c>
      <c r="H77" s="408">
        <f t="shared" ref="H77:AJ77" si="52">$B$77/365*(0)</f>
        <v>0</v>
      </c>
      <c r="I77" s="408">
        <f t="shared" si="52"/>
        <v>0</v>
      </c>
      <c r="J77" s="408">
        <f t="shared" si="52"/>
        <v>0</v>
      </c>
      <c r="K77" s="408">
        <f t="shared" si="52"/>
        <v>0</v>
      </c>
      <c r="L77" s="408">
        <f t="shared" si="52"/>
        <v>0</v>
      </c>
      <c r="M77" s="408">
        <f t="shared" si="52"/>
        <v>0</v>
      </c>
      <c r="N77" s="408">
        <f t="shared" si="52"/>
        <v>0</v>
      </c>
      <c r="O77" s="408">
        <f t="shared" si="52"/>
        <v>0</v>
      </c>
      <c r="P77" s="408">
        <f t="shared" si="52"/>
        <v>0</v>
      </c>
      <c r="Q77" s="408">
        <f t="shared" si="52"/>
        <v>0</v>
      </c>
      <c r="R77" s="408">
        <f t="shared" si="52"/>
        <v>0</v>
      </c>
      <c r="S77" s="408">
        <f t="shared" si="52"/>
        <v>0</v>
      </c>
      <c r="T77" s="408">
        <f t="shared" si="52"/>
        <v>0</v>
      </c>
      <c r="U77" s="408">
        <f t="shared" si="52"/>
        <v>0</v>
      </c>
      <c r="V77" s="408">
        <f t="shared" si="52"/>
        <v>0</v>
      </c>
      <c r="W77" s="408">
        <f t="shared" si="52"/>
        <v>0</v>
      </c>
      <c r="X77" s="408">
        <f t="shared" si="52"/>
        <v>0</v>
      </c>
      <c r="Y77" s="408">
        <f t="shared" si="52"/>
        <v>0</v>
      </c>
      <c r="Z77" s="408">
        <f t="shared" si="52"/>
        <v>0</v>
      </c>
      <c r="AA77" s="408">
        <f t="shared" si="52"/>
        <v>0</v>
      </c>
      <c r="AB77" s="408">
        <f t="shared" si="52"/>
        <v>0</v>
      </c>
      <c r="AC77" s="408">
        <f t="shared" si="52"/>
        <v>0</v>
      </c>
      <c r="AD77" s="408">
        <f t="shared" si="52"/>
        <v>0</v>
      </c>
      <c r="AE77" s="408">
        <f t="shared" si="52"/>
        <v>0</v>
      </c>
      <c r="AF77" s="408">
        <f t="shared" si="52"/>
        <v>0</v>
      </c>
      <c r="AG77" s="408">
        <f t="shared" si="52"/>
        <v>0</v>
      </c>
      <c r="AH77" s="408">
        <f t="shared" si="52"/>
        <v>0</v>
      </c>
      <c r="AI77" s="408">
        <f t="shared" si="52"/>
        <v>0</v>
      </c>
      <c r="AJ77" s="408">
        <f t="shared" si="52"/>
        <v>0</v>
      </c>
    </row>
    <row r="78" spans="2:36">
      <c r="B78" s="400">
        <v>21</v>
      </c>
      <c r="C78" s="411" t="s">
        <v>532</v>
      </c>
      <c r="D78" s="394" t="s">
        <v>470</v>
      </c>
      <c r="E78" s="397">
        <f t="shared" si="50"/>
        <v>0</v>
      </c>
      <c r="G78" s="408">
        <f>$B$78/365*(0)</f>
        <v>0</v>
      </c>
      <c r="H78" s="408">
        <f t="shared" ref="H78:AJ78" si="53">$B$78/365*(0)</f>
        <v>0</v>
      </c>
      <c r="I78" s="408">
        <f t="shared" si="53"/>
        <v>0</v>
      </c>
      <c r="J78" s="408">
        <f t="shared" si="53"/>
        <v>0</v>
      </c>
      <c r="K78" s="408">
        <f t="shared" si="53"/>
        <v>0</v>
      </c>
      <c r="L78" s="408">
        <f t="shared" si="53"/>
        <v>0</v>
      </c>
      <c r="M78" s="408">
        <f t="shared" si="53"/>
        <v>0</v>
      </c>
      <c r="N78" s="408">
        <f t="shared" si="53"/>
        <v>0</v>
      </c>
      <c r="O78" s="408">
        <f t="shared" si="53"/>
        <v>0</v>
      </c>
      <c r="P78" s="408">
        <f t="shared" si="53"/>
        <v>0</v>
      </c>
      <c r="Q78" s="408">
        <f t="shared" si="53"/>
        <v>0</v>
      </c>
      <c r="R78" s="408">
        <f t="shared" si="53"/>
        <v>0</v>
      </c>
      <c r="S78" s="408">
        <f t="shared" si="53"/>
        <v>0</v>
      </c>
      <c r="T78" s="408">
        <f t="shared" si="53"/>
        <v>0</v>
      </c>
      <c r="U78" s="408">
        <f t="shared" si="53"/>
        <v>0</v>
      </c>
      <c r="V78" s="408">
        <f t="shared" si="53"/>
        <v>0</v>
      </c>
      <c r="W78" s="408">
        <f t="shared" si="53"/>
        <v>0</v>
      </c>
      <c r="X78" s="408">
        <f t="shared" si="53"/>
        <v>0</v>
      </c>
      <c r="Y78" s="408">
        <f t="shared" si="53"/>
        <v>0</v>
      </c>
      <c r="Z78" s="408">
        <f t="shared" si="53"/>
        <v>0</v>
      </c>
      <c r="AA78" s="408">
        <f t="shared" si="53"/>
        <v>0</v>
      </c>
      <c r="AB78" s="408">
        <f t="shared" si="53"/>
        <v>0</v>
      </c>
      <c r="AC78" s="408">
        <f t="shared" si="53"/>
        <v>0</v>
      </c>
      <c r="AD78" s="408">
        <f t="shared" si="53"/>
        <v>0</v>
      </c>
      <c r="AE78" s="408">
        <f t="shared" si="53"/>
        <v>0</v>
      </c>
      <c r="AF78" s="408">
        <f t="shared" si="53"/>
        <v>0</v>
      </c>
      <c r="AG78" s="408">
        <f t="shared" si="53"/>
        <v>0</v>
      </c>
      <c r="AH78" s="408">
        <f t="shared" si="53"/>
        <v>0</v>
      </c>
      <c r="AI78" s="408">
        <f t="shared" si="53"/>
        <v>0</v>
      </c>
      <c r="AJ78" s="408">
        <f t="shared" si="53"/>
        <v>0</v>
      </c>
    </row>
    <row r="79" spans="2:36">
      <c r="C79" s="411" t="s">
        <v>533</v>
      </c>
      <c r="D79" s="394" t="s">
        <v>470</v>
      </c>
      <c r="E79" s="397">
        <f t="shared" si="50"/>
        <v>0</v>
      </c>
      <c r="G79" s="408">
        <f>SUM(G76:G77)-G78</f>
        <v>0</v>
      </c>
      <c r="H79" s="408">
        <f t="shared" ref="H79:AC79" si="54">SUM(H76:H77)-H78</f>
        <v>0</v>
      </c>
      <c r="I79" s="408">
        <f t="shared" si="54"/>
        <v>0</v>
      </c>
      <c r="J79" s="408">
        <f t="shared" si="54"/>
        <v>0</v>
      </c>
      <c r="K79" s="408">
        <f t="shared" si="54"/>
        <v>0</v>
      </c>
      <c r="L79" s="408">
        <f t="shared" si="54"/>
        <v>0</v>
      </c>
      <c r="M79" s="408">
        <f t="shared" si="54"/>
        <v>0</v>
      </c>
      <c r="N79" s="408">
        <f t="shared" si="54"/>
        <v>0</v>
      </c>
      <c r="O79" s="408">
        <f t="shared" si="54"/>
        <v>0</v>
      </c>
      <c r="P79" s="408">
        <f t="shared" si="54"/>
        <v>0</v>
      </c>
      <c r="Q79" s="408">
        <f t="shared" si="54"/>
        <v>0</v>
      </c>
      <c r="R79" s="408">
        <f t="shared" si="54"/>
        <v>0</v>
      </c>
      <c r="S79" s="408">
        <f t="shared" si="54"/>
        <v>0</v>
      </c>
      <c r="T79" s="408">
        <f t="shared" si="54"/>
        <v>0</v>
      </c>
      <c r="U79" s="408">
        <f t="shared" si="54"/>
        <v>0</v>
      </c>
      <c r="V79" s="408">
        <f t="shared" si="54"/>
        <v>0</v>
      </c>
      <c r="W79" s="408">
        <f t="shared" si="54"/>
        <v>0</v>
      </c>
      <c r="X79" s="408">
        <f t="shared" si="54"/>
        <v>0</v>
      </c>
      <c r="Y79" s="408">
        <f t="shared" si="54"/>
        <v>0</v>
      </c>
      <c r="Z79" s="408">
        <f t="shared" si="54"/>
        <v>0</v>
      </c>
      <c r="AA79" s="408">
        <f t="shared" si="54"/>
        <v>0</v>
      </c>
      <c r="AB79" s="408">
        <f t="shared" si="54"/>
        <v>0</v>
      </c>
      <c r="AC79" s="408">
        <f t="shared" si="54"/>
        <v>0</v>
      </c>
      <c r="AD79" s="408">
        <f>SUM(AD76:AD77)-AD78</f>
        <v>0</v>
      </c>
      <c r="AE79" s="408">
        <f>SUM(AE76:AE77)-AE78</f>
        <v>0</v>
      </c>
      <c r="AF79" s="408">
        <f t="shared" ref="AF79:AJ79" si="55">SUM(AF76:AF77)-AF78</f>
        <v>0</v>
      </c>
      <c r="AG79" s="408">
        <f t="shared" si="55"/>
        <v>0</v>
      </c>
      <c r="AH79" s="408">
        <f t="shared" si="55"/>
        <v>0</v>
      </c>
      <c r="AI79" s="408">
        <f t="shared" si="55"/>
        <v>0</v>
      </c>
      <c r="AJ79" s="408">
        <f t="shared" si="55"/>
        <v>0</v>
      </c>
    </row>
    <row r="80" spans="2:36">
      <c r="C80" s="411" t="s">
        <v>534</v>
      </c>
      <c r="D80" s="394" t="s">
        <v>470</v>
      </c>
      <c r="E80" s="397">
        <f t="shared" si="50"/>
        <v>0</v>
      </c>
      <c r="G80" s="408">
        <f>G79</f>
        <v>0</v>
      </c>
      <c r="H80" s="408">
        <f t="shared" ref="H80:AJ80" si="56">H79-G79</f>
        <v>0</v>
      </c>
      <c r="I80" s="408">
        <f t="shared" si="56"/>
        <v>0</v>
      </c>
      <c r="J80" s="408">
        <f t="shared" si="56"/>
        <v>0</v>
      </c>
      <c r="K80" s="408">
        <f t="shared" si="56"/>
        <v>0</v>
      </c>
      <c r="L80" s="408">
        <f t="shared" si="56"/>
        <v>0</v>
      </c>
      <c r="M80" s="408">
        <f t="shared" si="56"/>
        <v>0</v>
      </c>
      <c r="N80" s="408">
        <f t="shared" si="56"/>
        <v>0</v>
      </c>
      <c r="O80" s="408">
        <f t="shared" si="56"/>
        <v>0</v>
      </c>
      <c r="P80" s="408">
        <f t="shared" si="56"/>
        <v>0</v>
      </c>
      <c r="Q80" s="408">
        <f t="shared" si="56"/>
        <v>0</v>
      </c>
      <c r="R80" s="408">
        <f t="shared" si="56"/>
        <v>0</v>
      </c>
      <c r="S80" s="408">
        <f t="shared" si="56"/>
        <v>0</v>
      </c>
      <c r="T80" s="408">
        <f t="shared" si="56"/>
        <v>0</v>
      </c>
      <c r="U80" s="408">
        <f t="shared" si="56"/>
        <v>0</v>
      </c>
      <c r="V80" s="408">
        <f t="shared" si="56"/>
        <v>0</v>
      </c>
      <c r="W80" s="408">
        <f t="shared" si="56"/>
        <v>0</v>
      </c>
      <c r="X80" s="408">
        <f t="shared" si="56"/>
        <v>0</v>
      </c>
      <c r="Y80" s="408">
        <f t="shared" si="56"/>
        <v>0</v>
      </c>
      <c r="Z80" s="408">
        <f t="shared" si="56"/>
        <v>0</v>
      </c>
      <c r="AA80" s="408">
        <f t="shared" si="56"/>
        <v>0</v>
      </c>
      <c r="AB80" s="408">
        <f t="shared" si="56"/>
        <v>0</v>
      </c>
      <c r="AC80" s="408">
        <f t="shared" si="56"/>
        <v>0</v>
      </c>
      <c r="AD80" s="408">
        <f t="shared" si="56"/>
        <v>0</v>
      </c>
      <c r="AE80" s="408">
        <f t="shared" si="56"/>
        <v>0</v>
      </c>
      <c r="AF80" s="408">
        <f t="shared" si="56"/>
        <v>0</v>
      </c>
      <c r="AG80" s="408">
        <f t="shared" si="56"/>
        <v>0</v>
      </c>
      <c r="AH80" s="408">
        <f t="shared" si="56"/>
        <v>0</v>
      </c>
      <c r="AI80" s="408">
        <f t="shared" si="56"/>
        <v>0</v>
      </c>
      <c r="AJ80" s="408">
        <f t="shared" si="56"/>
        <v>0</v>
      </c>
    </row>
    <row r="81" spans="2:36">
      <c r="B81" s="412" t="s">
        <v>107</v>
      </c>
      <c r="C81" s="411" t="s">
        <v>535</v>
      </c>
      <c r="D81" s="394" t="s">
        <v>470</v>
      </c>
      <c r="E81" s="397">
        <f t="shared" si="50"/>
        <v>0</v>
      </c>
      <c r="G81" s="408">
        <f t="shared" ref="G81:AJ81" si="57">IF($B$81="Yes",G80,0)</f>
        <v>0</v>
      </c>
      <c r="H81" s="408">
        <f t="shared" si="57"/>
        <v>0</v>
      </c>
      <c r="I81" s="408">
        <f t="shared" si="57"/>
        <v>0</v>
      </c>
      <c r="J81" s="408">
        <f t="shared" si="57"/>
        <v>0</v>
      </c>
      <c r="K81" s="408">
        <f t="shared" si="57"/>
        <v>0</v>
      </c>
      <c r="L81" s="408">
        <f t="shared" si="57"/>
        <v>0</v>
      </c>
      <c r="M81" s="408">
        <f t="shared" si="57"/>
        <v>0</v>
      </c>
      <c r="N81" s="408">
        <f t="shared" si="57"/>
        <v>0</v>
      </c>
      <c r="O81" s="408">
        <f t="shared" si="57"/>
        <v>0</v>
      </c>
      <c r="P81" s="408">
        <f t="shared" si="57"/>
        <v>0</v>
      </c>
      <c r="Q81" s="408">
        <f t="shared" si="57"/>
        <v>0</v>
      </c>
      <c r="R81" s="408">
        <f t="shared" si="57"/>
        <v>0</v>
      </c>
      <c r="S81" s="408">
        <f t="shared" si="57"/>
        <v>0</v>
      </c>
      <c r="T81" s="408">
        <f t="shared" si="57"/>
        <v>0</v>
      </c>
      <c r="U81" s="408">
        <f t="shared" si="57"/>
        <v>0</v>
      </c>
      <c r="V81" s="408">
        <f t="shared" si="57"/>
        <v>0</v>
      </c>
      <c r="W81" s="408">
        <f t="shared" si="57"/>
        <v>0</v>
      </c>
      <c r="X81" s="408">
        <f t="shared" si="57"/>
        <v>0</v>
      </c>
      <c r="Y81" s="408">
        <f t="shared" si="57"/>
        <v>0</v>
      </c>
      <c r="Z81" s="408">
        <f t="shared" si="57"/>
        <v>0</v>
      </c>
      <c r="AA81" s="408">
        <f t="shared" si="57"/>
        <v>0</v>
      </c>
      <c r="AB81" s="408">
        <f t="shared" si="57"/>
        <v>0</v>
      </c>
      <c r="AC81" s="408">
        <f t="shared" si="57"/>
        <v>0</v>
      </c>
      <c r="AD81" s="408">
        <f t="shared" si="57"/>
        <v>0</v>
      </c>
      <c r="AE81" s="408">
        <f t="shared" si="57"/>
        <v>0</v>
      </c>
      <c r="AF81" s="408">
        <f t="shared" si="57"/>
        <v>0</v>
      </c>
      <c r="AG81" s="408">
        <f t="shared" si="57"/>
        <v>0</v>
      </c>
      <c r="AH81" s="408">
        <f t="shared" si="57"/>
        <v>0</v>
      </c>
      <c r="AI81" s="408">
        <f t="shared" si="57"/>
        <v>0</v>
      </c>
      <c r="AJ81" s="408">
        <f t="shared" si="57"/>
        <v>0</v>
      </c>
    </row>
    <row r="82" spans="2:36">
      <c r="C82" s="411" t="s">
        <v>267</v>
      </c>
      <c r="D82" s="394" t="s">
        <v>470</v>
      </c>
      <c r="E82" s="397">
        <f t="shared" si="50"/>
        <v>0</v>
      </c>
      <c r="G82" s="408">
        <f>G81</f>
        <v>0</v>
      </c>
      <c r="H82" s="408">
        <f t="shared" ref="H82:AJ82" si="58">H81</f>
        <v>0</v>
      </c>
      <c r="I82" s="408">
        <f t="shared" si="58"/>
        <v>0</v>
      </c>
      <c r="J82" s="408">
        <f t="shared" si="58"/>
        <v>0</v>
      </c>
      <c r="K82" s="408">
        <f t="shared" si="58"/>
        <v>0</v>
      </c>
      <c r="L82" s="408">
        <f t="shared" si="58"/>
        <v>0</v>
      </c>
      <c r="M82" s="408">
        <f t="shared" si="58"/>
        <v>0</v>
      </c>
      <c r="N82" s="408">
        <f t="shared" si="58"/>
        <v>0</v>
      </c>
      <c r="O82" s="408">
        <f t="shared" si="58"/>
        <v>0</v>
      </c>
      <c r="P82" s="408">
        <f t="shared" si="58"/>
        <v>0</v>
      </c>
      <c r="Q82" s="408">
        <f t="shared" si="58"/>
        <v>0</v>
      </c>
      <c r="R82" s="408">
        <f t="shared" si="58"/>
        <v>0</v>
      </c>
      <c r="S82" s="408">
        <f t="shared" si="58"/>
        <v>0</v>
      </c>
      <c r="T82" s="408">
        <f t="shared" si="58"/>
        <v>0</v>
      </c>
      <c r="U82" s="408">
        <f t="shared" si="58"/>
        <v>0</v>
      </c>
      <c r="V82" s="408">
        <f t="shared" si="58"/>
        <v>0</v>
      </c>
      <c r="W82" s="408">
        <f t="shared" si="58"/>
        <v>0</v>
      </c>
      <c r="X82" s="408">
        <f t="shared" si="58"/>
        <v>0</v>
      </c>
      <c r="Y82" s="408">
        <f t="shared" si="58"/>
        <v>0</v>
      </c>
      <c r="Z82" s="408">
        <f t="shared" si="58"/>
        <v>0</v>
      </c>
      <c r="AA82" s="408">
        <f t="shared" si="58"/>
        <v>0</v>
      </c>
      <c r="AB82" s="408">
        <f t="shared" si="58"/>
        <v>0</v>
      </c>
      <c r="AC82" s="408">
        <f t="shared" si="58"/>
        <v>0</v>
      </c>
      <c r="AD82" s="408">
        <f t="shared" si="58"/>
        <v>0</v>
      </c>
      <c r="AE82" s="408">
        <f t="shared" si="58"/>
        <v>0</v>
      </c>
      <c r="AF82" s="408">
        <f t="shared" si="58"/>
        <v>0</v>
      </c>
      <c r="AG82" s="408">
        <f t="shared" si="58"/>
        <v>0</v>
      </c>
      <c r="AH82" s="408">
        <f t="shared" si="58"/>
        <v>0</v>
      </c>
      <c r="AI82" s="408">
        <f t="shared" si="58"/>
        <v>0</v>
      </c>
      <c r="AJ82" s="408">
        <f t="shared" si="58"/>
        <v>0</v>
      </c>
    </row>
    <row r="83" spans="2:36">
      <c r="C83" s="411" t="s">
        <v>514</v>
      </c>
      <c r="AG83" s="401"/>
      <c r="AH83" s="401"/>
      <c r="AI83" s="401"/>
      <c r="AJ83" s="401"/>
    </row>
    <row r="84" spans="2:36">
      <c r="C84" s="413" t="s">
        <v>515</v>
      </c>
      <c r="D84" s="394" t="s">
        <v>516</v>
      </c>
      <c r="E84" s="402">
        <f>E13</f>
        <v>0</v>
      </c>
      <c r="G84" s="406">
        <f>E84</f>
        <v>0</v>
      </c>
      <c r="H84" s="406">
        <f>G84</f>
        <v>0</v>
      </c>
      <c r="I84" s="406">
        <f t="shared" ref="I84:X85" si="59">H84</f>
        <v>0</v>
      </c>
      <c r="J84" s="406">
        <f t="shared" si="59"/>
        <v>0</v>
      </c>
      <c r="K84" s="406">
        <f t="shared" si="59"/>
        <v>0</v>
      </c>
      <c r="L84" s="406">
        <f t="shared" si="59"/>
        <v>0</v>
      </c>
      <c r="M84" s="406">
        <f t="shared" si="59"/>
        <v>0</v>
      </c>
      <c r="N84" s="406">
        <f t="shared" si="59"/>
        <v>0</v>
      </c>
      <c r="O84" s="406">
        <f t="shared" si="59"/>
        <v>0</v>
      </c>
      <c r="P84" s="406">
        <f t="shared" si="59"/>
        <v>0</v>
      </c>
      <c r="Q84" s="406">
        <f t="shared" si="59"/>
        <v>0</v>
      </c>
      <c r="R84" s="406">
        <f t="shared" si="59"/>
        <v>0</v>
      </c>
      <c r="S84" s="406">
        <f t="shared" si="59"/>
        <v>0</v>
      </c>
      <c r="T84" s="406">
        <f t="shared" si="59"/>
        <v>0</v>
      </c>
      <c r="U84" s="406">
        <f t="shared" si="59"/>
        <v>0</v>
      </c>
      <c r="V84" s="406">
        <f t="shared" si="59"/>
        <v>0</v>
      </c>
      <c r="W84" s="406">
        <f t="shared" si="59"/>
        <v>0</v>
      </c>
      <c r="X84" s="406">
        <f t="shared" si="59"/>
        <v>0</v>
      </c>
      <c r="Y84" s="406">
        <f t="shared" ref="Y84:AJ85" si="60">X84</f>
        <v>0</v>
      </c>
      <c r="Z84" s="406">
        <f t="shared" si="60"/>
        <v>0</v>
      </c>
      <c r="AA84" s="406">
        <f t="shared" si="60"/>
        <v>0</v>
      </c>
      <c r="AB84" s="406">
        <f t="shared" si="60"/>
        <v>0</v>
      </c>
      <c r="AC84" s="406">
        <f t="shared" si="60"/>
        <v>0</v>
      </c>
      <c r="AD84" s="406">
        <f t="shared" si="60"/>
        <v>0</v>
      </c>
      <c r="AE84" s="406">
        <f t="shared" si="60"/>
        <v>0</v>
      </c>
      <c r="AF84" s="406">
        <f t="shared" si="60"/>
        <v>0</v>
      </c>
      <c r="AG84" s="406">
        <f t="shared" si="60"/>
        <v>0</v>
      </c>
      <c r="AH84" s="406">
        <f t="shared" si="60"/>
        <v>0</v>
      </c>
      <c r="AI84" s="406">
        <f t="shared" si="60"/>
        <v>0</v>
      </c>
      <c r="AJ84" s="406">
        <f t="shared" si="60"/>
        <v>0</v>
      </c>
    </row>
    <row r="85" spans="2:36">
      <c r="C85" s="413" t="s">
        <v>517</v>
      </c>
      <c r="D85" s="394" t="s">
        <v>516</v>
      </c>
      <c r="E85" s="402">
        <f>1-E84</f>
        <v>1</v>
      </c>
      <c r="G85" s="406">
        <f>E85</f>
        <v>1</v>
      </c>
      <c r="H85" s="406">
        <f>G85</f>
        <v>1</v>
      </c>
      <c r="I85" s="406">
        <f t="shared" si="59"/>
        <v>1</v>
      </c>
      <c r="J85" s="406">
        <f t="shared" si="59"/>
        <v>1</v>
      </c>
      <c r="K85" s="406">
        <f t="shared" si="59"/>
        <v>1</v>
      </c>
      <c r="L85" s="406">
        <f t="shared" si="59"/>
        <v>1</v>
      </c>
      <c r="M85" s="406">
        <f t="shared" si="59"/>
        <v>1</v>
      </c>
      <c r="N85" s="406">
        <f t="shared" si="59"/>
        <v>1</v>
      </c>
      <c r="O85" s="406">
        <f t="shared" si="59"/>
        <v>1</v>
      </c>
      <c r="P85" s="406">
        <f t="shared" si="59"/>
        <v>1</v>
      </c>
      <c r="Q85" s="406">
        <f t="shared" si="59"/>
        <v>1</v>
      </c>
      <c r="R85" s="406">
        <f t="shared" si="59"/>
        <v>1</v>
      </c>
      <c r="S85" s="406">
        <f t="shared" si="59"/>
        <v>1</v>
      </c>
      <c r="T85" s="406">
        <f t="shared" si="59"/>
        <v>1</v>
      </c>
      <c r="U85" s="406">
        <f t="shared" si="59"/>
        <v>1</v>
      </c>
      <c r="V85" s="406">
        <f t="shared" si="59"/>
        <v>1</v>
      </c>
      <c r="W85" s="406">
        <f t="shared" si="59"/>
        <v>1</v>
      </c>
      <c r="X85" s="406">
        <f t="shared" si="59"/>
        <v>1</v>
      </c>
      <c r="Y85" s="406">
        <f t="shared" si="60"/>
        <v>1</v>
      </c>
      <c r="Z85" s="406">
        <f t="shared" si="60"/>
        <v>1</v>
      </c>
      <c r="AA85" s="406">
        <f t="shared" si="60"/>
        <v>1</v>
      </c>
      <c r="AB85" s="406">
        <f t="shared" si="60"/>
        <v>1</v>
      </c>
      <c r="AC85" s="406">
        <f t="shared" si="60"/>
        <v>1</v>
      </c>
      <c r="AD85" s="406">
        <f t="shared" si="60"/>
        <v>1</v>
      </c>
      <c r="AE85" s="406">
        <f t="shared" si="60"/>
        <v>1</v>
      </c>
      <c r="AF85" s="406">
        <f t="shared" si="60"/>
        <v>1</v>
      </c>
      <c r="AG85" s="406">
        <f t="shared" si="60"/>
        <v>1</v>
      </c>
      <c r="AH85" s="406">
        <f t="shared" si="60"/>
        <v>1</v>
      </c>
      <c r="AI85" s="406">
        <f t="shared" si="60"/>
        <v>1</v>
      </c>
      <c r="AJ85" s="406">
        <f t="shared" si="60"/>
        <v>1</v>
      </c>
    </row>
    <row r="86" spans="2:36">
      <c r="C86" s="411"/>
      <c r="AG86" s="401"/>
      <c r="AH86" s="401"/>
      <c r="AI86" s="401"/>
      <c r="AJ86" s="401"/>
    </row>
    <row r="87" spans="2:36">
      <c r="C87" s="411" t="s">
        <v>522</v>
      </c>
      <c r="D87" s="394" t="s">
        <v>470</v>
      </c>
      <c r="E87" s="397">
        <f t="shared" ref="E87:E92" si="61">SUM(G87:AO87)</f>
        <v>0</v>
      </c>
      <c r="G87" s="408">
        <f>F92</f>
        <v>0</v>
      </c>
      <c r="H87" s="408">
        <f t="shared" ref="H87:AJ87" si="62">G92</f>
        <v>0</v>
      </c>
      <c r="I87" s="408">
        <f t="shared" si="62"/>
        <v>0</v>
      </c>
      <c r="J87" s="408">
        <f t="shared" si="62"/>
        <v>0</v>
      </c>
      <c r="K87" s="408">
        <f t="shared" si="62"/>
        <v>0</v>
      </c>
      <c r="L87" s="408">
        <f t="shared" si="62"/>
        <v>0</v>
      </c>
      <c r="M87" s="408">
        <f t="shared" si="62"/>
        <v>0</v>
      </c>
      <c r="N87" s="408">
        <f t="shared" si="62"/>
        <v>0</v>
      </c>
      <c r="O87" s="408">
        <f t="shared" si="62"/>
        <v>0</v>
      </c>
      <c r="P87" s="408">
        <f t="shared" si="62"/>
        <v>0</v>
      </c>
      <c r="Q87" s="408">
        <f t="shared" si="62"/>
        <v>0</v>
      </c>
      <c r="R87" s="408">
        <f t="shared" si="62"/>
        <v>0</v>
      </c>
      <c r="S87" s="408">
        <f t="shared" si="62"/>
        <v>0</v>
      </c>
      <c r="T87" s="408">
        <f t="shared" si="62"/>
        <v>0</v>
      </c>
      <c r="U87" s="408">
        <f t="shared" si="62"/>
        <v>0</v>
      </c>
      <c r="V87" s="408">
        <f t="shared" si="62"/>
        <v>0</v>
      </c>
      <c r="W87" s="408">
        <f t="shared" si="62"/>
        <v>0</v>
      </c>
      <c r="X87" s="408">
        <f t="shared" si="62"/>
        <v>0</v>
      </c>
      <c r="Y87" s="408">
        <f t="shared" si="62"/>
        <v>0</v>
      </c>
      <c r="Z87" s="408">
        <f t="shared" si="62"/>
        <v>0</v>
      </c>
      <c r="AA87" s="408">
        <f t="shared" si="62"/>
        <v>0</v>
      </c>
      <c r="AB87" s="408">
        <f t="shared" si="62"/>
        <v>0</v>
      </c>
      <c r="AC87" s="408">
        <f t="shared" si="62"/>
        <v>0</v>
      </c>
      <c r="AD87" s="408">
        <f t="shared" si="62"/>
        <v>0</v>
      </c>
      <c r="AE87" s="408">
        <f t="shared" si="62"/>
        <v>0</v>
      </c>
      <c r="AF87" s="408">
        <f t="shared" si="62"/>
        <v>0</v>
      </c>
      <c r="AG87" s="408">
        <f t="shared" si="62"/>
        <v>0</v>
      </c>
      <c r="AH87" s="408">
        <f t="shared" si="62"/>
        <v>0</v>
      </c>
      <c r="AI87" s="408">
        <f t="shared" si="62"/>
        <v>0</v>
      </c>
      <c r="AJ87" s="408">
        <f t="shared" si="62"/>
        <v>0</v>
      </c>
    </row>
    <row r="88" spans="2:36">
      <c r="B88" s="400" t="s">
        <v>107</v>
      </c>
      <c r="C88" s="411" t="s">
        <v>523</v>
      </c>
      <c r="D88" s="394" t="s">
        <v>470</v>
      </c>
      <c r="E88" s="397">
        <f t="shared" si="61"/>
        <v>0</v>
      </c>
      <c r="G88" s="408">
        <f>IF($B$88="No",0,MAX(G82*G84,0))</f>
        <v>0</v>
      </c>
      <c r="H88" s="408">
        <f t="shared" ref="H88:AJ88" si="63">IF($B$88="No",0,MAX(H82*H84,0))</f>
        <v>0</v>
      </c>
      <c r="I88" s="408">
        <f t="shared" si="63"/>
        <v>0</v>
      </c>
      <c r="J88" s="408">
        <f t="shared" si="63"/>
        <v>0</v>
      </c>
      <c r="K88" s="408">
        <f t="shared" si="63"/>
        <v>0</v>
      </c>
      <c r="L88" s="408">
        <f t="shared" si="63"/>
        <v>0</v>
      </c>
      <c r="M88" s="408">
        <f t="shared" si="63"/>
        <v>0</v>
      </c>
      <c r="N88" s="408">
        <f t="shared" si="63"/>
        <v>0</v>
      </c>
      <c r="O88" s="408">
        <f t="shared" si="63"/>
        <v>0</v>
      </c>
      <c r="P88" s="408">
        <f t="shared" si="63"/>
        <v>0</v>
      </c>
      <c r="Q88" s="408">
        <f t="shared" si="63"/>
        <v>0</v>
      </c>
      <c r="R88" s="408">
        <f t="shared" si="63"/>
        <v>0</v>
      </c>
      <c r="S88" s="408">
        <f t="shared" si="63"/>
        <v>0</v>
      </c>
      <c r="T88" s="408">
        <f t="shared" si="63"/>
        <v>0</v>
      </c>
      <c r="U88" s="408">
        <f t="shared" si="63"/>
        <v>0</v>
      </c>
      <c r="V88" s="408">
        <f t="shared" si="63"/>
        <v>0</v>
      </c>
      <c r="W88" s="408">
        <f t="shared" si="63"/>
        <v>0</v>
      </c>
      <c r="X88" s="408">
        <f t="shared" si="63"/>
        <v>0</v>
      </c>
      <c r="Y88" s="408">
        <f t="shared" si="63"/>
        <v>0</v>
      </c>
      <c r="Z88" s="408">
        <f t="shared" si="63"/>
        <v>0</v>
      </c>
      <c r="AA88" s="408">
        <f t="shared" si="63"/>
        <v>0</v>
      </c>
      <c r="AB88" s="408">
        <f t="shared" si="63"/>
        <v>0</v>
      </c>
      <c r="AC88" s="408">
        <f t="shared" si="63"/>
        <v>0</v>
      </c>
      <c r="AD88" s="408">
        <f t="shared" si="63"/>
        <v>0</v>
      </c>
      <c r="AE88" s="408">
        <f t="shared" si="63"/>
        <v>0</v>
      </c>
      <c r="AF88" s="408">
        <f t="shared" si="63"/>
        <v>0</v>
      </c>
      <c r="AG88" s="408">
        <f t="shared" si="63"/>
        <v>0</v>
      </c>
      <c r="AH88" s="408">
        <f t="shared" si="63"/>
        <v>0</v>
      </c>
      <c r="AI88" s="408">
        <f t="shared" si="63"/>
        <v>0</v>
      </c>
      <c r="AJ88" s="408">
        <f t="shared" si="63"/>
        <v>0</v>
      </c>
    </row>
    <row r="89" spans="2:36">
      <c r="B89" s="407"/>
      <c r="C89" s="411" t="s">
        <v>524</v>
      </c>
      <c r="D89" s="394" t="s">
        <v>470</v>
      </c>
      <c r="E89" s="397">
        <f t="shared" si="61"/>
        <v>0</v>
      </c>
      <c r="G89" s="408">
        <f>F88</f>
        <v>0</v>
      </c>
      <c r="H89" s="408">
        <f t="shared" ref="H89:AJ89" si="64">G88</f>
        <v>0</v>
      </c>
      <c r="I89" s="408">
        <f t="shared" si="64"/>
        <v>0</v>
      </c>
      <c r="J89" s="408">
        <f t="shared" si="64"/>
        <v>0</v>
      </c>
      <c r="K89" s="408">
        <f t="shared" si="64"/>
        <v>0</v>
      </c>
      <c r="L89" s="408">
        <f t="shared" si="64"/>
        <v>0</v>
      </c>
      <c r="M89" s="408">
        <f t="shared" si="64"/>
        <v>0</v>
      </c>
      <c r="N89" s="408">
        <f t="shared" si="64"/>
        <v>0</v>
      </c>
      <c r="O89" s="408">
        <f t="shared" si="64"/>
        <v>0</v>
      </c>
      <c r="P89" s="408">
        <f t="shared" si="64"/>
        <v>0</v>
      </c>
      <c r="Q89" s="408">
        <f t="shared" si="64"/>
        <v>0</v>
      </c>
      <c r="R89" s="408">
        <f t="shared" si="64"/>
        <v>0</v>
      </c>
      <c r="S89" s="408">
        <f t="shared" si="64"/>
        <v>0</v>
      </c>
      <c r="T89" s="408">
        <f t="shared" si="64"/>
        <v>0</v>
      </c>
      <c r="U89" s="408">
        <f t="shared" si="64"/>
        <v>0</v>
      </c>
      <c r="V89" s="408">
        <f t="shared" si="64"/>
        <v>0</v>
      </c>
      <c r="W89" s="408">
        <f t="shared" si="64"/>
        <v>0</v>
      </c>
      <c r="X89" s="408">
        <f t="shared" si="64"/>
        <v>0</v>
      </c>
      <c r="Y89" s="408">
        <f t="shared" si="64"/>
        <v>0</v>
      </c>
      <c r="Z89" s="408">
        <f t="shared" si="64"/>
        <v>0</v>
      </c>
      <c r="AA89" s="408">
        <f t="shared" si="64"/>
        <v>0</v>
      </c>
      <c r="AB89" s="408">
        <f t="shared" si="64"/>
        <v>0</v>
      </c>
      <c r="AC89" s="408">
        <f t="shared" si="64"/>
        <v>0</v>
      </c>
      <c r="AD89" s="408">
        <f t="shared" si="64"/>
        <v>0</v>
      </c>
      <c r="AE89" s="408">
        <f t="shared" si="64"/>
        <v>0</v>
      </c>
      <c r="AF89" s="408">
        <f t="shared" si="64"/>
        <v>0</v>
      </c>
      <c r="AG89" s="408">
        <f t="shared" si="64"/>
        <v>0</v>
      </c>
      <c r="AH89" s="408">
        <f t="shared" si="64"/>
        <v>0</v>
      </c>
      <c r="AI89" s="408">
        <f t="shared" si="64"/>
        <v>0</v>
      </c>
      <c r="AJ89" s="408">
        <f t="shared" si="64"/>
        <v>0</v>
      </c>
    </row>
    <row r="90" spans="2:36">
      <c r="C90" s="411" t="s">
        <v>525</v>
      </c>
      <c r="D90" s="394" t="s">
        <v>470</v>
      </c>
      <c r="E90" s="397">
        <f t="shared" si="61"/>
        <v>0</v>
      </c>
      <c r="G90" s="408">
        <f>+G87*$E$16+G88*$E$16/2</f>
        <v>0</v>
      </c>
      <c r="H90" s="408">
        <f t="shared" ref="H90:AJ90" si="65">+H87*$E$16+H88*$E$16/2</f>
        <v>0</v>
      </c>
      <c r="I90" s="408">
        <f t="shared" si="65"/>
        <v>0</v>
      </c>
      <c r="J90" s="408">
        <f t="shared" si="65"/>
        <v>0</v>
      </c>
      <c r="K90" s="408">
        <f t="shared" si="65"/>
        <v>0</v>
      </c>
      <c r="L90" s="408">
        <f t="shared" si="65"/>
        <v>0</v>
      </c>
      <c r="M90" s="408">
        <f t="shared" si="65"/>
        <v>0</v>
      </c>
      <c r="N90" s="408">
        <f t="shared" si="65"/>
        <v>0</v>
      </c>
      <c r="O90" s="408">
        <f t="shared" si="65"/>
        <v>0</v>
      </c>
      <c r="P90" s="408">
        <f t="shared" si="65"/>
        <v>0</v>
      </c>
      <c r="Q90" s="408">
        <f t="shared" si="65"/>
        <v>0</v>
      </c>
      <c r="R90" s="408">
        <f t="shared" si="65"/>
        <v>0</v>
      </c>
      <c r="S90" s="408">
        <f t="shared" si="65"/>
        <v>0</v>
      </c>
      <c r="T90" s="408">
        <f t="shared" si="65"/>
        <v>0</v>
      </c>
      <c r="U90" s="408">
        <f t="shared" si="65"/>
        <v>0</v>
      </c>
      <c r="V90" s="408">
        <f t="shared" si="65"/>
        <v>0</v>
      </c>
      <c r="W90" s="408">
        <f t="shared" si="65"/>
        <v>0</v>
      </c>
      <c r="X90" s="408">
        <f t="shared" si="65"/>
        <v>0</v>
      </c>
      <c r="Y90" s="408">
        <f t="shared" si="65"/>
        <v>0</v>
      </c>
      <c r="Z90" s="408">
        <f t="shared" si="65"/>
        <v>0</v>
      </c>
      <c r="AA90" s="408">
        <f t="shared" si="65"/>
        <v>0</v>
      </c>
      <c r="AB90" s="408">
        <f t="shared" si="65"/>
        <v>0</v>
      </c>
      <c r="AC90" s="408">
        <f t="shared" si="65"/>
        <v>0</v>
      </c>
      <c r="AD90" s="408">
        <f t="shared" si="65"/>
        <v>0</v>
      </c>
      <c r="AE90" s="408">
        <f t="shared" si="65"/>
        <v>0</v>
      </c>
      <c r="AF90" s="408">
        <f t="shared" si="65"/>
        <v>0</v>
      </c>
      <c r="AG90" s="408">
        <f t="shared" si="65"/>
        <v>0</v>
      </c>
      <c r="AH90" s="408">
        <f t="shared" si="65"/>
        <v>0</v>
      </c>
      <c r="AI90" s="408">
        <f t="shared" si="65"/>
        <v>0</v>
      </c>
      <c r="AJ90" s="408">
        <f t="shared" si="65"/>
        <v>0</v>
      </c>
    </row>
    <row r="91" spans="2:36">
      <c r="C91" s="411" t="s">
        <v>526</v>
      </c>
      <c r="D91" s="394" t="s">
        <v>470</v>
      </c>
      <c r="E91" s="397">
        <f t="shared" si="61"/>
        <v>0</v>
      </c>
      <c r="G91" s="408">
        <f>G90</f>
        <v>0</v>
      </c>
      <c r="H91" s="408">
        <f t="shared" ref="H91:AJ91" si="66">H90</f>
        <v>0</v>
      </c>
      <c r="I91" s="408">
        <f t="shared" si="66"/>
        <v>0</v>
      </c>
      <c r="J91" s="408">
        <f t="shared" si="66"/>
        <v>0</v>
      </c>
      <c r="K91" s="408">
        <f t="shared" si="66"/>
        <v>0</v>
      </c>
      <c r="L91" s="408">
        <f t="shared" si="66"/>
        <v>0</v>
      </c>
      <c r="M91" s="408">
        <f t="shared" si="66"/>
        <v>0</v>
      </c>
      <c r="N91" s="408">
        <f t="shared" si="66"/>
        <v>0</v>
      </c>
      <c r="O91" s="408">
        <f t="shared" si="66"/>
        <v>0</v>
      </c>
      <c r="P91" s="408">
        <f t="shared" si="66"/>
        <v>0</v>
      </c>
      <c r="Q91" s="408">
        <f t="shared" si="66"/>
        <v>0</v>
      </c>
      <c r="R91" s="408">
        <f t="shared" si="66"/>
        <v>0</v>
      </c>
      <c r="S91" s="408">
        <f t="shared" si="66"/>
        <v>0</v>
      </c>
      <c r="T91" s="408">
        <f t="shared" si="66"/>
        <v>0</v>
      </c>
      <c r="U91" s="408">
        <f t="shared" si="66"/>
        <v>0</v>
      </c>
      <c r="V91" s="408">
        <f t="shared" si="66"/>
        <v>0</v>
      </c>
      <c r="W91" s="408">
        <f t="shared" si="66"/>
        <v>0</v>
      </c>
      <c r="X91" s="408">
        <f t="shared" si="66"/>
        <v>0</v>
      </c>
      <c r="Y91" s="408">
        <f t="shared" si="66"/>
        <v>0</v>
      </c>
      <c r="Z91" s="408">
        <f t="shared" si="66"/>
        <v>0</v>
      </c>
      <c r="AA91" s="408">
        <f t="shared" si="66"/>
        <v>0</v>
      </c>
      <c r="AB91" s="408">
        <f t="shared" si="66"/>
        <v>0</v>
      </c>
      <c r="AC91" s="408">
        <f t="shared" si="66"/>
        <v>0</v>
      </c>
      <c r="AD91" s="408">
        <f t="shared" si="66"/>
        <v>0</v>
      </c>
      <c r="AE91" s="408">
        <f t="shared" si="66"/>
        <v>0</v>
      </c>
      <c r="AF91" s="408">
        <f t="shared" si="66"/>
        <v>0</v>
      </c>
      <c r="AG91" s="408">
        <f t="shared" si="66"/>
        <v>0</v>
      </c>
      <c r="AH91" s="408">
        <f t="shared" si="66"/>
        <v>0</v>
      </c>
      <c r="AI91" s="408">
        <f t="shared" si="66"/>
        <v>0</v>
      </c>
      <c r="AJ91" s="408">
        <f t="shared" si="66"/>
        <v>0</v>
      </c>
    </row>
    <row r="92" spans="2:36">
      <c r="C92" s="414" t="s">
        <v>527</v>
      </c>
      <c r="D92" s="394" t="s">
        <v>470</v>
      </c>
      <c r="E92" s="397">
        <f t="shared" si="61"/>
        <v>0</v>
      </c>
      <c r="G92" s="408">
        <f t="shared" ref="G92:AJ92" si="67">+G87+G88-G89+G90-G91</f>
        <v>0</v>
      </c>
      <c r="H92" s="408">
        <f t="shared" si="67"/>
        <v>0</v>
      </c>
      <c r="I92" s="408">
        <f t="shared" si="67"/>
        <v>0</v>
      </c>
      <c r="J92" s="408">
        <f t="shared" si="67"/>
        <v>0</v>
      </c>
      <c r="K92" s="408">
        <f t="shared" si="67"/>
        <v>0</v>
      </c>
      <c r="L92" s="408">
        <f t="shared" si="67"/>
        <v>0</v>
      </c>
      <c r="M92" s="408">
        <f t="shared" si="67"/>
        <v>0</v>
      </c>
      <c r="N92" s="408">
        <f t="shared" si="67"/>
        <v>0</v>
      </c>
      <c r="O92" s="408">
        <f t="shared" si="67"/>
        <v>0</v>
      </c>
      <c r="P92" s="408">
        <f t="shared" si="67"/>
        <v>0</v>
      </c>
      <c r="Q92" s="408">
        <f t="shared" si="67"/>
        <v>0</v>
      </c>
      <c r="R92" s="408">
        <f t="shared" si="67"/>
        <v>0</v>
      </c>
      <c r="S92" s="408">
        <f t="shared" si="67"/>
        <v>0</v>
      </c>
      <c r="T92" s="408">
        <f t="shared" si="67"/>
        <v>0</v>
      </c>
      <c r="U92" s="408">
        <f t="shared" si="67"/>
        <v>0</v>
      </c>
      <c r="V92" s="408">
        <f t="shared" si="67"/>
        <v>0</v>
      </c>
      <c r="W92" s="408">
        <f t="shared" si="67"/>
        <v>0</v>
      </c>
      <c r="X92" s="408">
        <f t="shared" si="67"/>
        <v>0</v>
      </c>
      <c r="Y92" s="408">
        <f t="shared" si="67"/>
        <v>0</v>
      </c>
      <c r="Z92" s="408">
        <f t="shared" si="67"/>
        <v>0</v>
      </c>
      <c r="AA92" s="408">
        <f t="shared" si="67"/>
        <v>0</v>
      </c>
      <c r="AB92" s="408">
        <f t="shared" si="67"/>
        <v>0</v>
      </c>
      <c r="AC92" s="408">
        <f t="shared" si="67"/>
        <v>0</v>
      </c>
      <c r="AD92" s="408">
        <f t="shared" si="67"/>
        <v>0</v>
      </c>
      <c r="AE92" s="408">
        <f t="shared" si="67"/>
        <v>0</v>
      </c>
      <c r="AF92" s="408">
        <f t="shared" si="67"/>
        <v>0</v>
      </c>
      <c r="AG92" s="408">
        <f t="shared" si="67"/>
        <v>0</v>
      </c>
      <c r="AH92" s="408">
        <f t="shared" si="67"/>
        <v>0</v>
      </c>
      <c r="AI92" s="408">
        <f t="shared" si="67"/>
        <v>0</v>
      </c>
      <c r="AJ92" s="408">
        <f t="shared" si="67"/>
        <v>0</v>
      </c>
    </row>
    <row r="93" spans="2:36">
      <c r="E93" s="397"/>
      <c r="AG93" s="401"/>
      <c r="AH93" s="401"/>
      <c r="AI93" s="401"/>
      <c r="AJ93" s="401"/>
    </row>
    <row r="94" spans="2:36">
      <c r="E94" s="397"/>
      <c r="AG94" s="401"/>
      <c r="AH94" s="401"/>
      <c r="AI94" s="401"/>
      <c r="AJ94" s="401"/>
    </row>
    <row r="95" spans="2:36">
      <c r="E95" s="397"/>
      <c r="AG95" s="401"/>
      <c r="AH95" s="401"/>
      <c r="AI95" s="401"/>
      <c r="AJ95" s="401"/>
    </row>
    <row r="96" spans="2:36">
      <c r="C96" s="386" t="s">
        <v>536</v>
      </c>
      <c r="D96" s="394" t="s">
        <v>470</v>
      </c>
      <c r="E96" s="397">
        <f>SUM(G96:AO96)</f>
        <v>0</v>
      </c>
      <c r="G96" s="408">
        <f>G62+G91+G70</f>
        <v>0</v>
      </c>
      <c r="H96" s="408">
        <f t="shared" ref="H96:AJ96" si="68">H62+H91+H70</f>
        <v>0</v>
      </c>
      <c r="I96" s="408">
        <f>I62+I91+I70</f>
        <v>0</v>
      </c>
      <c r="J96" s="408">
        <f t="shared" si="68"/>
        <v>0</v>
      </c>
      <c r="K96" s="408">
        <f t="shared" si="68"/>
        <v>0</v>
      </c>
      <c r="L96" s="408">
        <f t="shared" si="68"/>
        <v>0</v>
      </c>
      <c r="M96" s="408">
        <f t="shared" si="68"/>
        <v>0</v>
      </c>
      <c r="N96" s="408">
        <f t="shared" si="68"/>
        <v>0</v>
      </c>
      <c r="O96" s="408">
        <f t="shared" si="68"/>
        <v>0</v>
      </c>
      <c r="P96" s="408">
        <f t="shared" si="68"/>
        <v>0</v>
      </c>
      <c r="Q96" s="408">
        <f t="shared" si="68"/>
        <v>0</v>
      </c>
      <c r="R96" s="408">
        <f t="shared" si="68"/>
        <v>0</v>
      </c>
      <c r="S96" s="408">
        <f t="shared" si="68"/>
        <v>0</v>
      </c>
      <c r="T96" s="408">
        <f t="shared" si="68"/>
        <v>0</v>
      </c>
      <c r="U96" s="408">
        <f t="shared" si="68"/>
        <v>0</v>
      </c>
      <c r="V96" s="408">
        <f t="shared" si="68"/>
        <v>0</v>
      </c>
      <c r="W96" s="408">
        <f t="shared" si="68"/>
        <v>0</v>
      </c>
      <c r="X96" s="408">
        <f t="shared" si="68"/>
        <v>0</v>
      </c>
      <c r="Y96" s="408">
        <f t="shared" si="68"/>
        <v>0</v>
      </c>
      <c r="Z96" s="408">
        <f t="shared" si="68"/>
        <v>0</v>
      </c>
      <c r="AA96" s="408">
        <f t="shared" si="68"/>
        <v>0</v>
      </c>
      <c r="AB96" s="408">
        <f t="shared" si="68"/>
        <v>0</v>
      </c>
      <c r="AC96" s="408">
        <f t="shared" si="68"/>
        <v>0</v>
      </c>
      <c r="AD96" s="408">
        <f t="shared" si="68"/>
        <v>0</v>
      </c>
      <c r="AE96" s="408">
        <f t="shared" si="68"/>
        <v>0</v>
      </c>
      <c r="AF96" s="408">
        <f t="shared" si="68"/>
        <v>0</v>
      </c>
      <c r="AG96" s="408">
        <f t="shared" si="68"/>
        <v>0</v>
      </c>
      <c r="AH96" s="408">
        <f t="shared" si="68"/>
        <v>0</v>
      </c>
      <c r="AI96" s="408">
        <f t="shared" si="68"/>
        <v>0</v>
      </c>
      <c r="AJ96" s="408">
        <f t="shared" si="68"/>
        <v>0</v>
      </c>
    </row>
    <row r="97" spans="4:36">
      <c r="D97" s="394" t="s">
        <v>537</v>
      </c>
      <c r="E97" s="397">
        <f>IFERROR(E96/E4*10,0)</f>
        <v>0</v>
      </c>
      <c r="G97" s="408">
        <f t="shared" ref="G97:AE97" si="69">IFERROR(G96/G4*10,0)</f>
        <v>0</v>
      </c>
      <c r="H97" s="408">
        <f t="shared" si="69"/>
        <v>0</v>
      </c>
      <c r="I97" s="408">
        <f t="shared" si="69"/>
        <v>0</v>
      </c>
      <c r="J97" s="408">
        <f t="shared" si="69"/>
        <v>0</v>
      </c>
      <c r="K97" s="408">
        <f t="shared" si="69"/>
        <v>0</v>
      </c>
      <c r="L97" s="408">
        <f t="shared" si="69"/>
        <v>0</v>
      </c>
      <c r="M97" s="408">
        <f t="shared" si="69"/>
        <v>0</v>
      </c>
      <c r="N97" s="408">
        <f t="shared" si="69"/>
        <v>0</v>
      </c>
      <c r="O97" s="408">
        <f t="shared" si="69"/>
        <v>0</v>
      </c>
      <c r="P97" s="408">
        <f t="shared" si="69"/>
        <v>0</v>
      </c>
      <c r="Q97" s="408">
        <f t="shared" si="69"/>
        <v>0</v>
      </c>
      <c r="R97" s="408">
        <f t="shared" si="69"/>
        <v>0</v>
      </c>
      <c r="S97" s="408">
        <f t="shared" si="69"/>
        <v>0</v>
      </c>
      <c r="T97" s="408">
        <f t="shared" si="69"/>
        <v>0</v>
      </c>
      <c r="U97" s="408">
        <f t="shared" si="69"/>
        <v>0</v>
      </c>
      <c r="V97" s="408">
        <f t="shared" si="69"/>
        <v>0</v>
      </c>
      <c r="W97" s="408">
        <f t="shared" si="69"/>
        <v>0</v>
      </c>
      <c r="X97" s="408">
        <f t="shared" si="69"/>
        <v>0</v>
      </c>
      <c r="Y97" s="408">
        <f t="shared" si="69"/>
        <v>0</v>
      </c>
      <c r="Z97" s="408">
        <f t="shared" si="69"/>
        <v>0</v>
      </c>
      <c r="AA97" s="408">
        <f t="shared" si="69"/>
        <v>0</v>
      </c>
      <c r="AB97" s="408">
        <f t="shared" si="69"/>
        <v>0</v>
      </c>
      <c r="AC97" s="408">
        <f t="shared" si="69"/>
        <v>0</v>
      </c>
      <c r="AD97" s="408">
        <f t="shared" si="69"/>
        <v>0</v>
      </c>
      <c r="AE97" s="408">
        <f t="shared" si="69"/>
        <v>0</v>
      </c>
      <c r="AF97" s="408">
        <f t="shared" ref="AF97:AJ97" si="70">IFERROR(AF96/AF4*10,0)</f>
        <v>0</v>
      </c>
      <c r="AG97" s="408">
        <f t="shared" si="70"/>
        <v>0</v>
      </c>
      <c r="AH97" s="408">
        <f t="shared" si="70"/>
        <v>0</v>
      </c>
      <c r="AI97" s="408">
        <f t="shared" si="70"/>
        <v>0</v>
      </c>
      <c r="AJ97" s="408">
        <f t="shared" si="70"/>
        <v>0</v>
      </c>
    </row>
  </sheetData>
  <conditionalFormatting sqref="F20">
    <cfRule type="cellIs" dxfId="5" priority="2" operator="equal">
      <formula>TRUE</formula>
    </cfRule>
  </conditionalFormatting>
  <conditionalFormatting sqref="F25:F60">
    <cfRule type="cellIs" dxfId="4" priority="1" operator="equal">
      <formula>TRUE</formula>
    </cfRule>
  </conditionalFormatting>
  <dataValidations disablePrompts="1" count="1">
    <dataValidation type="list" allowBlank="1" showInputMessage="1" showErrorMessage="1" sqref="B7 B81 B20 B88" xr:uid="{4A824419-3EF4-4DA2-9083-A5C6C132FF8B}">
      <formula1>"Yes, No"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3C17-8BE0-4CEA-A010-8F0E23E19E0B}">
  <sheetPr codeName="Sheet47">
    <tabColor rgb="FF0070C0"/>
  </sheetPr>
  <dimension ref="B2:AD537"/>
  <sheetViews>
    <sheetView showGridLines="0" workbookViewId="0">
      <selection activeCell="M23" sqref="M23"/>
    </sheetView>
  </sheetViews>
  <sheetFormatPr baseColWidth="10" defaultColWidth="8.83203125" defaultRowHeight="13" outlineLevelRow="1"/>
  <cols>
    <col min="3" max="3" width="49.5" bestFit="1" customWidth="1"/>
    <col min="5" max="5" width="9.6640625" bestFit="1" customWidth="1"/>
    <col min="6" max="6" width="12.6640625" customWidth="1"/>
    <col min="11" max="11" width="9.33203125" bestFit="1" customWidth="1"/>
  </cols>
  <sheetData>
    <row r="2" spans="2:30">
      <c r="C2" s="140" t="s">
        <v>538</v>
      </c>
      <c r="H2" s="201">
        <f>'Production Schedule'!E1</f>
        <v>46023</v>
      </c>
      <c r="I2" s="201">
        <f>'Production Schedule'!F1</f>
        <v>46389</v>
      </c>
      <c r="J2" s="201">
        <f>'Production Schedule'!G1</f>
        <v>46755</v>
      </c>
      <c r="K2" s="201">
        <f>'Production Schedule'!H1</f>
        <v>47121</v>
      </c>
      <c r="L2" s="201">
        <f>'Production Schedule'!I1</f>
        <v>47487</v>
      </c>
      <c r="M2" s="201">
        <f>'Production Schedule'!J1</f>
        <v>47853</v>
      </c>
      <c r="N2" s="201">
        <f>'Production Schedule'!K1</f>
        <v>48219</v>
      </c>
      <c r="O2" s="201">
        <f>'Production Schedule'!L1</f>
        <v>48585</v>
      </c>
      <c r="P2" s="201">
        <f>'Production Schedule'!M1</f>
        <v>48951</v>
      </c>
      <c r="Q2" s="201">
        <f>'Production Schedule'!N1</f>
        <v>49317</v>
      </c>
      <c r="R2" s="201">
        <f>'Production Schedule'!O1</f>
        <v>49683</v>
      </c>
      <c r="S2" s="201">
        <f>'Production Schedule'!P1</f>
        <v>50049</v>
      </c>
      <c r="T2" s="201">
        <f>'Production Schedule'!Q1</f>
        <v>50415</v>
      </c>
      <c r="U2" s="201">
        <f>'Production Schedule'!R1</f>
        <v>50781</v>
      </c>
      <c r="V2" s="201">
        <f>'Production Schedule'!S1</f>
        <v>51147</v>
      </c>
      <c r="W2" s="201">
        <f>'Production Schedule'!T1</f>
        <v>51513</v>
      </c>
      <c r="X2" s="201">
        <f>'Production Schedule'!U1</f>
        <v>51879</v>
      </c>
      <c r="Y2" s="201">
        <f>'Production Schedule'!V1</f>
        <v>52245</v>
      </c>
      <c r="Z2" s="201">
        <f>'Production Schedule'!W1</f>
        <v>52611</v>
      </c>
      <c r="AA2" s="201">
        <f>'Production Schedule'!X1</f>
        <v>52977</v>
      </c>
      <c r="AB2" s="201">
        <f>'Production Schedule'!Y1</f>
        <v>53343</v>
      </c>
      <c r="AC2" s="201">
        <f>'Production Schedule'!Z1</f>
        <v>53709</v>
      </c>
      <c r="AD2" s="201">
        <f>'Production Schedule'!AA1</f>
        <v>54075</v>
      </c>
    </row>
    <row r="3" spans="2:30">
      <c r="C3" s="140"/>
      <c r="D3" s="144" t="s">
        <v>88</v>
      </c>
      <c r="E3" s="144" t="s">
        <v>267</v>
      </c>
      <c r="F3" s="144"/>
      <c r="G3" s="144"/>
      <c r="H3" s="1141">
        <f>'Production Schedule'!E3</f>
        <v>-4</v>
      </c>
      <c r="I3" s="1141">
        <f>'Production Schedule'!F3</f>
        <v>-3</v>
      </c>
      <c r="J3" s="1141">
        <f>'Production Schedule'!G3</f>
        <v>-2</v>
      </c>
      <c r="K3" s="1141">
        <f>'Production Schedule'!H3</f>
        <v>-1</v>
      </c>
      <c r="L3" s="1141">
        <f>'Production Schedule'!I3</f>
        <v>1</v>
      </c>
      <c r="M3" s="1141">
        <f>'Production Schedule'!J3</f>
        <v>2</v>
      </c>
      <c r="N3" s="1141">
        <f>'Production Schedule'!K3</f>
        <v>3</v>
      </c>
      <c r="O3" s="1141">
        <f>'Production Schedule'!L3</f>
        <v>4</v>
      </c>
      <c r="P3" s="1141">
        <f>'Production Schedule'!M3</f>
        <v>5</v>
      </c>
      <c r="Q3" s="1141">
        <f>'Production Schedule'!N3</f>
        <v>6</v>
      </c>
      <c r="R3" s="1141">
        <f>'Production Schedule'!O3</f>
        <v>7</v>
      </c>
      <c r="S3" s="1141">
        <f>'Production Schedule'!P3</f>
        <v>8</v>
      </c>
      <c r="T3" s="1141">
        <f>'Production Schedule'!Q3</f>
        <v>9</v>
      </c>
      <c r="U3" s="1141">
        <f>'Production Schedule'!R3</f>
        <v>10</v>
      </c>
      <c r="V3" s="1141">
        <f>'Production Schedule'!S3</f>
        <v>11</v>
      </c>
      <c r="W3" s="1141">
        <f>'Production Schedule'!T3</f>
        <v>12</v>
      </c>
      <c r="X3" s="1141">
        <f>'Production Schedule'!U3</f>
        <v>13</v>
      </c>
      <c r="Y3" s="1141">
        <f>'Production Schedule'!V3</f>
        <v>14</v>
      </c>
      <c r="Z3" s="1141">
        <f>'Production Schedule'!W3</f>
        <v>15</v>
      </c>
      <c r="AA3" s="1141">
        <f>'Production Schedule'!X3</f>
        <v>16</v>
      </c>
      <c r="AB3" s="1141">
        <f>'Production Schedule'!Y3</f>
        <v>17</v>
      </c>
      <c r="AC3" s="1141">
        <f>'Production Schedule'!Z3</f>
        <v>18</v>
      </c>
      <c r="AD3" s="1141">
        <f>'Production Schedule'!AA3</f>
        <v>19</v>
      </c>
    </row>
    <row r="4" spans="2:30">
      <c r="C4" t="s">
        <v>509</v>
      </c>
      <c r="D4" s="141" t="s">
        <v>113</v>
      </c>
      <c r="E4" s="418">
        <f>SUM(H4:AX4)</f>
        <v>225.70440651000001</v>
      </c>
      <c r="F4" s="141"/>
      <c r="G4" s="141"/>
      <c r="H4" s="181">
        <f>'Production Schedule'!E5</f>
        <v>0</v>
      </c>
      <c r="I4" s="181">
        <f>'Production Schedule'!F5</f>
        <v>0</v>
      </c>
      <c r="J4" s="181">
        <f>'Production Schedule'!G5</f>
        <v>0</v>
      </c>
      <c r="K4" s="181">
        <f>'Production Schedule'!H5</f>
        <v>0</v>
      </c>
      <c r="L4" s="181">
        <f>'Production Schedule'!I5</f>
        <v>1.9999997549999999</v>
      </c>
      <c r="M4" s="181">
        <f>'Production Schedule'!J5</f>
        <v>3.9999986549999997</v>
      </c>
      <c r="N4" s="181">
        <f>'Production Schedule'!K5</f>
        <v>8.00000073</v>
      </c>
      <c r="O4" s="181">
        <f>'Production Schedule'!L5</f>
        <v>11.999998529999999</v>
      </c>
      <c r="P4" s="181">
        <f>'Production Schedule'!M5</f>
        <v>14.99999517</v>
      </c>
      <c r="Q4" s="181">
        <f>'Production Schedule'!N5</f>
        <v>15.000007140000001</v>
      </c>
      <c r="R4" s="181">
        <f>'Production Schedule'!O5</f>
        <v>14.999998590000001</v>
      </c>
      <c r="S4" s="181">
        <f>'Production Schedule'!P5</f>
        <v>14.999996879999999</v>
      </c>
      <c r="T4" s="181">
        <f>'Production Schedule'!Q5</f>
        <v>15.000003719999999</v>
      </c>
      <c r="U4" s="181">
        <f>'Production Schedule'!R5</f>
        <v>14.99999517</v>
      </c>
      <c r="V4" s="181">
        <f>'Production Schedule'!S5</f>
        <v>14.999996879999999</v>
      </c>
      <c r="W4" s="181">
        <f>'Production Schedule'!T5</f>
        <v>15.000002009999999</v>
      </c>
      <c r="X4" s="181">
        <f>'Production Schedule'!U5</f>
        <v>15.00001569</v>
      </c>
      <c r="Y4" s="181">
        <f>'Production Schedule'!V5</f>
        <v>15.000002009999999</v>
      </c>
      <c r="Z4" s="181">
        <f>'Production Schedule'!W5</f>
        <v>15.000002009999999</v>
      </c>
      <c r="AA4" s="181">
        <f>'Production Schedule'!X5</f>
        <v>15.000000299999998</v>
      </c>
      <c r="AB4" s="181">
        <f>'Production Schedule'!Y5</f>
        <v>9.9999996299999996</v>
      </c>
      <c r="AC4" s="181">
        <f>'Production Schedule'!Z5</f>
        <v>7.5000027149999999</v>
      </c>
      <c r="AD4" s="181">
        <f>'Production Schedule'!AA5</f>
        <v>2.2043909249999998</v>
      </c>
    </row>
    <row r="5" spans="2:30">
      <c r="C5" t="s">
        <v>539</v>
      </c>
      <c r="D5" s="141" t="s">
        <v>118</v>
      </c>
      <c r="E5" s="418">
        <f>SUM(H5:AX5)</f>
        <v>535.39467341478871</v>
      </c>
      <c r="F5" s="141"/>
      <c r="G5" s="141"/>
      <c r="H5" s="181">
        <f>'Production Schedule'!E8</f>
        <v>0</v>
      </c>
      <c r="I5" s="181">
        <f>'Production Schedule'!F8</f>
        <v>0</v>
      </c>
      <c r="J5" s="181">
        <f>'Production Schedule'!G8</f>
        <v>0</v>
      </c>
      <c r="K5" s="181">
        <f>'Production Schedule'!H8</f>
        <v>0</v>
      </c>
      <c r="L5" s="181">
        <f>'Production Schedule'!I8</f>
        <v>11.466045729050279</v>
      </c>
      <c r="M5" s="181">
        <f>'Production Schedule'!J8</f>
        <v>9.5178188259668506</v>
      </c>
      <c r="N5" s="181">
        <f>'Production Schedule'!K8</f>
        <v>17.240514972375692</v>
      </c>
      <c r="O5" s="181">
        <f>'Production Schedule'!L8</f>
        <v>36.817196150000001</v>
      </c>
      <c r="P5" s="181">
        <f>'Production Schedule'!M8</f>
        <v>35.420574905555554</v>
      </c>
      <c r="Q5" s="181">
        <f>'Production Schedule'!N8</f>
        <v>47.463611318435753</v>
      </c>
      <c r="R5" s="181">
        <f>'Production Schedule'!O8</f>
        <v>43.447467227777778</v>
      </c>
      <c r="S5" s="181">
        <f>'Production Schedule'!P8</f>
        <v>36.33747506666667</v>
      </c>
      <c r="T5" s="181">
        <f>'Production Schedule'!Q8</f>
        <v>37.865191711111116</v>
      </c>
      <c r="U5" s="181">
        <f>'Production Schedule'!R8</f>
        <v>33.778948184357539</v>
      </c>
      <c r="V5" s="181">
        <f>'Production Schedule'!S8</f>
        <v>38.053482346368718</v>
      </c>
      <c r="W5" s="181">
        <f>'Production Schedule'!T8</f>
        <v>28.983164832402235</v>
      </c>
      <c r="X5" s="181">
        <f>'Production Schedule'!U8</f>
        <v>25.4498801284916</v>
      </c>
      <c r="Y5" s="181">
        <f>'Production Schedule'!V8</f>
        <v>31.615550832402231</v>
      </c>
      <c r="Z5" s="181">
        <f>'Production Schedule'!W8</f>
        <v>31.515274825842699</v>
      </c>
      <c r="AA5" s="181">
        <f>'Production Schedule'!X8</f>
        <v>40.123366662921349</v>
      </c>
      <c r="AB5" s="181">
        <f>'Production Schedule'!Y8</f>
        <v>24.726595192090397</v>
      </c>
      <c r="AC5" s="181">
        <f>'Production Schedule'!Z8</f>
        <v>4.2960406619318183</v>
      </c>
      <c r="AD5" s="181">
        <f>'Production Schedule'!AA8</f>
        <v>1.2764738410404626</v>
      </c>
    </row>
    <row r="6" spans="2:30">
      <c r="C6" t="s">
        <v>540</v>
      </c>
      <c r="D6" s="141" t="s">
        <v>118</v>
      </c>
      <c r="E6" s="418">
        <f>SUM(H6:AX6)</f>
        <v>75.64</v>
      </c>
      <c r="F6" s="141"/>
      <c r="G6" s="141"/>
      <c r="H6" s="181">
        <f>'Production Schedule'!E13</f>
        <v>0</v>
      </c>
      <c r="I6" s="181">
        <f>'Production Schedule'!F13</f>
        <v>0</v>
      </c>
      <c r="J6" s="181">
        <f>'Production Schedule'!G13</f>
        <v>0</v>
      </c>
      <c r="K6" s="181">
        <f>'Production Schedule'!H13</f>
        <v>0</v>
      </c>
      <c r="L6" s="181">
        <f>'Production Schedule'!I13</f>
        <v>0</v>
      </c>
      <c r="M6" s="181">
        <f>'Production Schedule'!J13</f>
        <v>0</v>
      </c>
      <c r="N6" s="181">
        <f>'Production Schedule'!K13</f>
        <v>0</v>
      </c>
      <c r="O6" s="181">
        <f>'Production Schedule'!L13</f>
        <v>0</v>
      </c>
      <c r="P6" s="181">
        <f>'Production Schedule'!M13</f>
        <v>0</v>
      </c>
      <c r="Q6" s="181">
        <f>'Production Schedule'!N13</f>
        <v>0</v>
      </c>
      <c r="R6" s="181">
        <f>'Production Schedule'!O13</f>
        <v>11.85</v>
      </c>
      <c r="S6" s="181">
        <f>'Production Schedule'!P13</f>
        <v>11.85</v>
      </c>
      <c r="T6" s="181">
        <f>'Production Schedule'!Q13</f>
        <v>11.85</v>
      </c>
      <c r="U6" s="181">
        <f>'Production Schedule'!R13</f>
        <v>11.85</v>
      </c>
      <c r="V6" s="181">
        <f>'Production Schedule'!S13</f>
        <v>7.06</v>
      </c>
      <c r="W6" s="181">
        <f>'Production Schedule'!T13</f>
        <v>7.06</v>
      </c>
      <c r="X6" s="181">
        <f>'Production Schedule'!U13</f>
        <v>7.06</v>
      </c>
      <c r="Y6" s="181">
        <f>'Production Schedule'!V13</f>
        <v>7.06</v>
      </c>
      <c r="Z6" s="181">
        <f>'Production Schedule'!W13</f>
        <v>0</v>
      </c>
      <c r="AA6" s="181">
        <f>'Production Schedule'!X13</f>
        <v>0</v>
      </c>
      <c r="AB6" s="181">
        <f>'Production Schedule'!Y13</f>
        <v>0</v>
      </c>
      <c r="AC6" s="181">
        <f>'Production Schedule'!Z13</f>
        <v>0</v>
      </c>
      <c r="AD6" s="181">
        <f>'Production Schedule'!AA13</f>
        <v>0</v>
      </c>
    </row>
    <row r="7" spans="2:30">
      <c r="C7" s="94" t="s">
        <v>541</v>
      </c>
      <c r="D7" s="141" t="s">
        <v>118</v>
      </c>
      <c r="E7" s="418">
        <f>SUM(H7:AX7)</f>
        <v>742.25816557176563</v>
      </c>
      <c r="H7" s="209">
        <f>(H4/Assumptions_Dashboard!$D$32)+H5+H6</f>
        <v>0</v>
      </c>
      <c r="I7" s="209">
        <f>(I4/Assumptions_Dashboard!$D$32)+I5+I6</f>
        <v>0</v>
      </c>
      <c r="J7" s="209">
        <f>(J4/Assumptions_Dashboard!$D$32)+J5+J6</f>
        <v>0</v>
      </c>
      <c r="K7" s="209">
        <f>(K4/Assumptions_Dashboard!$D$32)+K5+K6</f>
        <v>0</v>
      </c>
      <c r="L7" s="370">
        <f>(L4/Assumptions_Dashboard!$D$32)+L5+L6</f>
        <v>12.628836284282837</v>
      </c>
      <c r="M7" s="370">
        <f>(M4/Assumptions_Dashboard!$D$32)+M5+M6</f>
        <v>11.843399439338944</v>
      </c>
      <c r="N7" s="370">
        <f>(N4/Assumptions_Dashboard!$D$32)+N5+N6</f>
        <v>21.891678187491969</v>
      </c>
      <c r="O7" s="370">
        <f>(O4/Assumptions_Dashboard!$D$32)+O5+O6</f>
        <v>43.793939481395348</v>
      </c>
      <c r="P7" s="370">
        <f>(P4/Assumptions_Dashboard!$D$32)+P5+P6</f>
        <v>44.141502329974159</v>
      </c>
      <c r="Q7" s="370">
        <f>(Q4/Assumptions_Dashboard!$D$32)+Q5+Q6</f>
        <v>56.184545702156683</v>
      </c>
      <c r="R7" s="370">
        <f>(R4/Assumptions_Dashboard!$D$32)+R5+R6</f>
        <v>64.018396640568469</v>
      </c>
      <c r="S7" s="370">
        <f>(S4/Assumptions_Dashboard!$D$32)+S5+S6</f>
        <v>56.908403485271322</v>
      </c>
      <c r="T7" s="370">
        <f>(T4/Assumptions_Dashboard!$D$32)+T5+T6</f>
        <v>58.43612410645995</v>
      </c>
      <c r="U7" s="370">
        <f>(U4/Assumptions_Dashboard!$D$32)+U5+U6</f>
        <v>54.349875608776145</v>
      </c>
      <c r="V7" s="370">
        <f>(V4/Assumptions_Dashboard!$D$32)+V5+V6</f>
        <v>53.83441076497337</v>
      </c>
      <c r="W7" s="370">
        <f>(W4/Assumptions_Dashboard!$D$32)+W5+W6</f>
        <v>44.764096233565027</v>
      </c>
      <c r="X7" s="370">
        <f>(X4/Assumptions_Dashboard!$D$32)+X5+X6</f>
        <v>41.230819483142767</v>
      </c>
      <c r="Y7" s="370">
        <f>(Y4/Assumptions_Dashboard!$D$32)+Y5+Y6</f>
        <v>47.396482233565024</v>
      </c>
      <c r="Z7" s="370">
        <f>(Z4/Assumptions_Dashboard!$D$32)+Z5+Z6</f>
        <v>40.236206227005489</v>
      </c>
      <c r="AA7" s="370">
        <f>(AA4/Assumptions_Dashboard!$D$32)+AA5+AA6</f>
        <v>48.84429706989809</v>
      </c>
      <c r="AB7" s="370">
        <f>(AB4/Assumptions_Dashboard!$D$32)+AB5+AB6</f>
        <v>30.540548465346212</v>
      </c>
      <c r="AC7" s="370">
        <f>(AC4/Assumptions_Dashboard!$D$32)+AC5+AC6</f>
        <v>8.6565073566992599</v>
      </c>
      <c r="AD7" s="370">
        <f>(AD4/Assumptions_Dashboard!$D$32)+AD5+AD6</f>
        <v>2.5580964718544159</v>
      </c>
    </row>
    <row r="8" spans="2:30">
      <c r="C8" s="191" t="s">
        <v>542</v>
      </c>
    </row>
    <row r="9" spans="2:30">
      <c r="B9" s="416" t="s">
        <v>107</v>
      </c>
      <c r="C9" t="str">
        <f>'Owner CAPEX'!B11</f>
        <v xml:space="preserve">Pre-operative costs </v>
      </c>
      <c r="E9" s="418">
        <f t="shared" ref="E9:E23" ca="1" si="0">SUM(H9:AX9)</f>
        <v>214.12703999999999</v>
      </c>
      <c r="H9" s="419">
        <f ca="1">IF($B9="Yes",'Owner CAPEX'!E11,0)*(1+Sensitivity!$C$4)</f>
        <v>114.11025999999998</v>
      </c>
      <c r="I9" s="419">
        <f ca="1">IF($B9="Yes",'Owner CAPEX'!F11,0)*(1+Sensitivity!$C$4)</f>
        <v>32.27026</v>
      </c>
      <c r="J9" s="419">
        <f ca="1">IF($B9="Yes",'Owner CAPEX'!G11,0)*(1+Sensitivity!$C$4)</f>
        <v>33.458260000000003</v>
      </c>
      <c r="K9" s="419">
        <f ca="1">IF($B9="Yes",'Owner CAPEX'!H11,0)*(1+Sensitivity!$C$4)</f>
        <v>34.288260000000001</v>
      </c>
      <c r="L9" s="419">
        <f>IF($B9="Yes",'Owner CAPEX'!I11,0)*(1+Sensitivity!$C$4)</f>
        <v>0</v>
      </c>
      <c r="M9" s="419">
        <f>IF($B9="Yes",'Owner CAPEX'!J11,0)*(1+Sensitivity!$C$4)</f>
        <v>0</v>
      </c>
      <c r="N9" s="419">
        <f>IF($B9="Yes",'Owner CAPEX'!K11,0)*(1+Sensitivity!$C$4)</f>
        <v>0</v>
      </c>
      <c r="O9" s="419">
        <f>IF($B9="Yes",'Owner CAPEX'!L11,0)*(1+Sensitivity!$C$4)</f>
        <v>0</v>
      </c>
      <c r="P9" s="419">
        <f>IF($B9="Yes",'Owner CAPEX'!M11,0)*(1+Sensitivity!$C$4)</f>
        <v>0</v>
      </c>
      <c r="Q9" s="419">
        <f>IF($B9="Yes",'Owner CAPEX'!N11,0)*(1+Sensitivity!$C$4)</f>
        <v>0</v>
      </c>
      <c r="R9" s="419">
        <f>IF($B9="Yes",'Owner CAPEX'!O11,0)*(1+Sensitivity!$C$4)</f>
        <v>0</v>
      </c>
      <c r="S9" s="419">
        <f>IF($B9="Yes",'Owner CAPEX'!P11,0)*(1+Sensitivity!$C$4)</f>
        <v>0</v>
      </c>
      <c r="T9" s="419">
        <f>IF($B9="Yes",'Owner CAPEX'!Q11,0)*(1+Sensitivity!$C$4)</f>
        <v>0</v>
      </c>
      <c r="U9" s="419">
        <f>IF($B9="Yes",'Owner CAPEX'!R11,0)*(1+Sensitivity!$C$4)</f>
        <v>0</v>
      </c>
      <c r="V9" s="419">
        <f>IF($B9="Yes",'Owner CAPEX'!S11,0)*(1+Sensitivity!$C$4)</f>
        <v>0</v>
      </c>
      <c r="W9" s="419">
        <f>IF($B9="Yes",'Owner CAPEX'!T11,0)*(1+Sensitivity!$C$4)</f>
        <v>0</v>
      </c>
      <c r="X9" s="419">
        <f>IF($B9="Yes",'Owner CAPEX'!U11,0)*(1+Sensitivity!$C$4)</f>
        <v>0</v>
      </c>
      <c r="Y9" s="419">
        <f>IF($B9="Yes",'Owner CAPEX'!V11,0)*(1+Sensitivity!$C$4)</f>
        <v>0</v>
      </c>
      <c r="Z9" s="419">
        <f>IF($B9="Yes",'Owner CAPEX'!W11,0)*(1+Sensitivity!$C$4)</f>
        <v>0</v>
      </c>
      <c r="AA9" s="419">
        <f>IF($B9="Yes",'Owner CAPEX'!X11,0)*(1+Sensitivity!$C$4)</f>
        <v>0</v>
      </c>
      <c r="AB9" s="419">
        <f>IF($B9="Yes",'Owner CAPEX'!Y11,0)*(1+Sensitivity!$C$4)</f>
        <v>0</v>
      </c>
      <c r="AC9" s="419">
        <f>IF($B9="Yes",'Owner CAPEX'!Z11,0)*(1+Sensitivity!$C$4)</f>
        <v>0</v>
      </c>
      <c r="AD9" s="419">
        <f>IF($B9="Yes",'Owner CAPEX'!AA11,0)*(1+Sensitivity!$C$4)</f>
        <v>0</v>
      </c>
    </row>
    <row r="10" spans="2:30">
      <c r="B10" s="416" t="s">
        <v>107</v>
      </c>
      <c r="C10" t="str">
        <f>'Owner CAPEX'!B12</f>
        <v>Upfront Amount</v>
      </c>
      <c r="E10" s="418">
        <f t="shared" si="0"/>
        <v>99.07</v>
      </c>
      <c r="H10" s="419">
        <f>IF($B10="Yes",'Owner CAPEX'!E12,0)*(1+Sensitivity!$C$4)</f>
        <v>24.767499999999998</v>
      </c>
      <c r="I10" s="419">
        <f>IF($B10="Yes",'Owner CAPEX'!F12,0)*(1+Sensitivity!$C$4)</f>
        <v>0</v>
      </c>
      <c r="J10" s="419">
        <f>IF($B10="Yes",'Owner CAPEX'!G12,0)*(1+Sensitivity!$C$4)</f>
        <v>0</v>
      </c>
      <c r="K10" s="419">
        <f>IF($B10="Yes",'Owner CAPEX'!H12,0)*(1+Sensitivity!$C$4)</f>
        <v>24.767499999999998</v>
      </c>
      <c r="L10" s="419">
        <f>IF($B10="Yes",'Owner CAPEX'!I12,0)*(1+Sensitivity!$C$4)</f>
        <v>49.534999999999997</v>
      </c>
      <c r="M10" s="419">
        <f>IF($B10="Yes",'Owner CAPEX'!J12,0)*(1+Sensitivity!$C$4)</f>
        <v>0</v>
      </c>
      <c r="N10" s="419">
        <f>IF($B10="Yes",'Owner CAPEX'!K12,0)*(1+Sensitivity!$C$4)</f>
        <v>0</v>
      </c>
      <c r="O10" s="419">
        <f>IF($B10="Yes",'Owner CAPEX'!L12,0)*(1+Sensitivity!$C$4)</f>
        <v>0</v>
      </c>
      <c r="P10" s="419">
        <f>IF($B10="Yes",'Owner CAPEX'!M12,0)*(1+Sensitivity!$C$4)</f>
        <v>0</v>
      </c>
      <c r="Q10" s="419">
        <f>IF($B10="Yes",'Owner CAPEX'!N12,0)*(1+Sensitivity!$C$4)</f>
        <v>0</v>
      </c>
      <c r="R10" s="419">
        <f>IF($B10="Yes",'Owner CAPEX'!O12,0)*(1+Sensitivity!$C$4)</f>
        <v>0</v>
      </c>
      <c r="S10" s="419">
        <f>IF($B10="Yes",'Owner CAPEX'!P12,0)*(1+Sensitivity!$C$4)</f>
        <v>0</v>
      </c>
      <c r="T10" s="419">
        <f>IF($B10="Yes",'Owner CAPEX'!Q12,0)*(1+Sensitivity!$C$4)</f>
        <v>0</v>
      </c>
      <c r="U10" s="419">
        <f>IF($B10="Yes",'Owner CAPEX'!R12,0)*(1+Sensitivity!$C$4)</f>
        <v>0</v>
      </c>
      <c r="V10" s="419">
        <f>IF($B10="Yes",'Owner CAPEX'!S12,0)*(1+Sensitivity!$C$4)</f>
        <v>0</v>
      </c>
      <c r="W10" s="419">
        <f>IF($B10="Yes",'Owner CAPEX'!T12,0)*(1+Sensitivity!$C$4)</f>
        <v>0</v>
      </c>
      <c r="X10" s="419">
        <f>IF($B10="Yes",'Owner CAPEX'!U12,0)*(1+Sensitivity!$C$4)</f>
        <v>0</v>
      </c>
      <c r="Y10" s="419">
        <f>IF($B10="Yes",'Owner CAPEX'!V12,0)*(1+Sensitivity!$C$4)</f>
        <v>0</v>
      </c>
      <c r="Z10" s="419">
        <f>IF($B10="Yes",'Owner CAPEX'!W12,0)*(1+Sensitivity!$C$4)</f>
        <v>0</v>
      </c>
      <c r="AA10" s="419">
        <f>IF($B10="Yes",'Owner CAPEX'!X12,0)*(1+Sensitivity!$C$4)</f>
        <v>0</v>
      </c>
      <c r="AB10" s="419">
        <f>IF($B10="Yes",'Owner CAPEX'!Y12,0)*(1+Sensitivity!$C$4)</f>
        <v>0</v>
      </c>
      <c r="AC10" s="419">
        <f>IF($B10="Yes",'Owner CAPEX'!Z12,0)*(1+Sensitivity!$C$4)</f>
        <v>0</v>
      </c>
      <c r="AD10" s="419">
        <f>IF($B10="Yes",'Owner CAPEX'!AA12,0)*(1+Sensitivity!$C$4)</f>
        <v>0</v>
      </c>
    </row>
    <row r="11" spans="2:30">
      <c r="B11" s="416" t="s">
        <v>107</v>
      </c>
      <c r="C11" t="str">
        <f>'Owner CAPEX'!B13</f>
        <v>Land Cost</v>
      </c>
      <c r="E11" s="418">
        <f t="shared" si="0"/>
        <v>985.07801770063588</v>
      </c>
      <c r="H11" s="419">
        <f>IF($B11="Yes",'Owner CAPEX'!E13,0)*(1+Sensitivity!$C$4)</f>
        <v>0</v>
      </c>
      <c r="I11" s="419">
        <f>IF($B11="Yes",'Owner CAPEX'!F13,0)*(1+Sensitivity!$C$4)</f>
        <v>147.76226127539996</v>
      </c>
      <c r="J11" s="419">
        <f>IF($B11="Yes",'Owner CAPEX'!G13,0)*(1+Sensitivity!$C$4)</f>
        <v>98.508174183599976</v>
      </c>
      <c r="K11" s="419">
        <f>IF($B11="Yes",'Owner CAPEX'!H13,0)*(1+Sensitivity!$C$4)</f>
        <v>98.508174183599976</v>
      </c>
      <c r="L11" s="419">
        <f>IF($B11="Yes",'Owner CAPEX'!I13,0)*(1+Sensitivity!$C$4)</f>
        <v>95.878699625956514</v>
      </c>
      <c r="M11" s="419">
        <f>IF($B11="Yes",'Owner CAPEX'!J13,0)*(1+Sensitivity!$C$4)</f>
        <v>58.261429208676397</v>
      </c>
      <c r="N11" s="419">
        <f>IF($B11="Yes",'Owner CAPEX'!K13,0)*(1+Sensitivity!$C$4)</f>
        <v>73.814176098050424</v>
      </c>
      <c r="O11" s="419">
        <f>IF($B11="Yes",'Owner CAPEX'!L13,0)*(1+Sensitivity!$C$4)</f>
        <v>134.22055030231269</v>
      </c>
      <c r="P11" s="419">
        <f>IF($B11="Yes",'Owner CAPEX'!M13,0)*(1+Sensitivity!$C$4)</f>
        <v>45.69977963240305</v>
      </c>
      <c r="Q11" s="419">
        <f>IF($B11="Yes",'Owner CAPEX'!N13,0)*(1+Sensitivity!$C$4)</f>
        <v>46.998174705916021</v>
      </c>
      <c r="R11" s="419">
        <f>IF($B11="Yes",'Owner CAPEX'!O13,0)*(1+Sensitivity!$C$4)</f>
        <v>46.998174705916021</v>
      </c>
      <c r="S11" s="419">
        <f>IF($B11="Yes",'Owner CAPEX'!P13,0)*(1+Sensitivity!$C$4)</f>
        <v>46.998174705916021</v>
      </c>
      <c r="T11" s="419">
        <f>IF($B11="Yes",'Owner CAPEX'!Q13,0)*(1+Sensitivity!$C$4)</f>
        <v>46.998174705916021</v>
      </c>
      <c r="U11" s="419">
        <f>IF($B11="Yes",'Owner CAPEX'!R13,0)*(1+Sensitivity!$C$4)</f>
        <v>18.79926988236641</v>
      </c>
      <c r="V11" s="419">
        <f>IF($B11="Yes",'Owner CAPEX'!S13,0)*(1+Sensitivity!$C$4)</f>
        <v>25.632804484606595</v>
      </c>
      <c r="W11" s="419">
        <f>IF($B11="Yes",'Owner CAPEX'!T13,0)*(1+Sensitivity!$C$4)</f>
        <v>0</v>
      </c>
      <c r="X11" s="419">
        <f>IF($B11="Yes",'Owner CAPEX'!U13,0)*(1+Sensitivity!$C$4)</f>
        <v>0</v>
      </c>
      <c r="Y11" s="419">
        <f>IF($B11="Yes",'Owner CAPEX'!V13,0)*(1+Sensitivity!$C$4)</f>
        <v>0</v>
      </c>
      <c r="Z11" s="419">
        <f>IF($B11="Yes",'Owner CAPEX'!W13,0)*(1+Sensitivity!$C$4)</f>
        <v>0</v>
      </c>
      <c r="AA11" s="419">
        <f>IF($B11="Yes",'Owner CAPEX'!X13,0)*(1+Sensitivity!$C$4)</f>
        <v>0</v>
      </c>
      <c r="AB11" s="419">
        <f>IF($B11="Yes",'Owner CAPEX'!Y13,0)*(1+Sensitivity!$C$4)</f>
        <v>0</v>
      </c>
      <c r="AC11" s="419">
        <f>IF($B11="Yes",'Owner CAPEX'!Z13,0)*(1+Sensitivity!$C$4)</f>
        <v>0</v>
      </c>
      <c r="AD11" s="419">
        <f>IF($B11="Yes",'Owner CAPEX'!AA13,0)*(1+Sensitivity!$C$4)</f>
        <v>0</v>
      </c>
    </row>
    <row r="12" spans="2:30">
      <c r="B12" s="416" t="s">
        <v>107</v>
      </c>
      <c r="C12" t="str">
        <f>'Owner CAPEX'!B14</f>
        <v>R&amp;R Cost</v>
      </c>
      <c r="E12" s="418">
        <f t="shared" si="0"/>
        <v>1048.5700310581428</v>
      </c>
      <c r="H12" s="419">
        <f>IF($B12="Yes",'Owner CAPEX'!E14,0)*(1+Sensitivity!$C$4)</f>
        <v>0</v>
      </c>
      <c r="I12" s="419">
        <f>IF($B12="Yes",'Owner CAPEX'!F14,0)*(1+Sensitivity!$C$4)</f>
        <v>0</v>
      </c>
      <c r="J12" s="419">
        <f>IF($B12="Yes",'Owner CAPEX'!G14,0)*(1+Sensitivity!$C$4)</f>
        <v>0</v>
      </c>
      <c r="K12" s="419">
        <f>IF($B12="Yes",'Owner CAPEX'!H14,0)*(1+Sensitivity!$C$4)</f>
        <v>0</v>
      </c>
      <c r="L12" s="419">
        <f>IF($B12="Yes",'Owner CAPEX'!I14,0)*(1+Sensitivity!$C$4)</f>
        <v>0</v>
      </c>
      <c r="M12" s="419">
        <f>IF($B12="Yes",'Owner CAPEX'!J14,0)*(1+Sensitivity!$C$4)</f>
        <v>0</v>
      </c>
      <c r="N12" s="419">
        <f>IF($B12="Yes",'Owner CAPEX'!K14,0)*(1+Sensitivity!$C$4)</f>
        <v>0</v>
      </c>
      <c r="O12" s="419">
        <f>IF($B12="Yes",'Owner CAPEX'!L14,0)*(1+Sensitivity!$C$4)</f>
        <v>104.85700310581429</v>
      </c>
      <c r="P12" s="419">
        <f>IF($B12="Yes",'Owner CAPEX'!M14,0)*(1+Sensitivity!$C$4)</f>
        <v>209.71400621162857</v>
      </c>
      <c r="Q12" s="419">
        <f>IF($B12="Yes",'Owner CAPEX'!N14,0)*(1+Sensitivity!$C$4)</f>
        <v>209.71400621162857</v>
      </c>
      <c r="R12" s="419">
        <f>IF($B12="Yes",'Owner CAPEX'!O14,0)*(1+Sensitivity!$C$4)</f>
        <v>209.71400621162857</v>
      </c>
      <c r="S12" s="419">
        <f>IF($B12="Yes",'Owner CAPEX'!P14,0)*(1+Sensitivity!$C$4)</f>
        <v>209.71400621162857</v>
      </c>
      <c r="T12" s="419">
        <f>IF($B12="Yes",'Owner CAPEX'!Q14,0)*(1+Sensitivity!$C$4)</f>
        <v>104.85700310581429</v>
      </c>
      <c r="U12" s="419">
        <f>IF($B12="Yes",'Owner CAPEX'!R14,0)*(1+Sensitivity!$C$4)</f>
        <v>0</v>
      </c>
      <c r="V12" s="419">
        <f>IF($B12="Yes",'Owner CAPEX'!S14,0)*(1+Sensitivity!$C$4)</f>
        <v>0</v>
      </c>
      <c r="W12" s="419">
        <f>IF($B12="Yes",'Owner CAPEX'!T14,0)*(1+Sensitivity!$C$4)</f>
        <v>0</v>
      </c>
      <c r="X12" s="419">
        <f>IF($B12="Yes",'Owner CAPEX'!U14,0)*(1+Sensitivity!$C$4)</f>
        <v>0</v>
      </c>
      <c r="Y12" s="419">
        <f>IF($B12="Yes",'Owner CAPEX'!V14,0)*(1+Sensitivity!$C$4)</f>
        <v>0</v>
      </c>
      <c r="Z12" s="419">
        <f>IF($B12="Yes",'Owner CAPEX'!W14,0)*(1+Sensitivity!$C$4)</f>
        <v>0</v>
      </c>
      <c r="AA12" s="419">
        <f>IF($B12="Yes",'Owner CAPEX'!X14,0)*(1+Sensitivity!$C$4)</f>
        <v>0</v>
      </c>
      <c r="AB12" s="419">
        <f>IF($B12="Yes",'Owner CAPEX'!Y14,0)*(1+Sensitivity!$C$4)</f>
        <v>0</v>
      </c>
      <c r="AC12" s="419">
        <f>IF($B12="Yes",'Owner CAPEX'!Z14,0)*(1+Sensitivity!$C$4)</f>
        <v>0</v>
      </c>
      <c r="AD12" s="419">
        <f>IF($B12="Yes",'Owner CAPEX'!AA14,0)*(1+Sensitivity!$C$4)</f>
        <v>0</v>
      </c>
    </row>
    <row r="13" spans="2:30">
      <c r="B13" s="416" t="s">
        <v>107</v>
      </c>
      <c r="C13" t="str">
        <f>'Owner CAPEX'!B15</f>
        <v xml:space="preserve">HEMM Equipment </v>
      </c>
      <c r="E13" s="418">
        <f t="shared" si="0"/>
        <v>701.5158371549536</v>
      </c>
      <c r="H13" s="419">
        <f>IF($B13="Yes",'Owner CAPEX'!E15,0)*(1+Sensitivity!$C$4)</f>
        <v>0</v>
      </c>
      <c r="I13" s="419">
        <f>IF($B13="Yes",'Owner CAPEX'!F15,0)*(1+Sensitivity!$C$4)</f>
        <v>0</v>
      </c>
      <c r="J13" s="419">
        <f>IF($B13="Yes",'Owner CAPEX'!G15,0)*(1+Sensitivity!$C$4)</f>
        <v>0</v>
      </c>
      <c r="K13" s="419">
        <f>IF($B13="Yes",'Owner CAPEX'!H15,0)*(1+Sensitivity!$C$4)</f>
        <v>0</v>
      </c>
      <c r="L13" s="419">
        <f>IF($B13="Yes",'Owner CAPEX'!I15,0)*(1+Sensitivity!$C$4)</f>
        <v>134.12607857747673</v>
      </c>
      <c r="M13" s="419">
        <f>IF($B13="Yes",'Owner CAPEX'!J15,0)*(1+Sensitivity!$C$4)</f>
        <v>14.8766</v>
      </c>
      <c r="N13" s="419">
        <f>IF($B13="Yes",'Owner CAPEX'!K15,0)*(1+Sensitivity!$C$4)</f>
        <v>108.86267857747673</v>
      </c>
      <c r="O13" s="419">
        <f>IF($B13="Yes",'Owner CAPEX'!L15,0)*(1+Sensitivity!$C$4)</f>
        <v>272.02312799999999</v>
      </c>
      <c r="P13" s="419">
        <f>IF($B13="Yes",'Owner CAPEX'!M15,0)*(1+Sensitivity!$C$4)</f>
        <v>26.007168</v>
      </c>
      <c r="Q13" s="419">
        <f>IF($B13="Yes",'Owner CAPEX'!N15,0)*(1+Sensitivity!$C$4)</f>
        <v>123.513784</v>
      </c>
      <c r="R13" s="419">
        <f>IF($B13="Yes",'Owner CAPEX'!O15,0)*(1+Sensitivity!$C$4)</f>
        <v>3.6844000000000001</v>
      </c>
      <c r="S13" s="419">
        <f>IF($B13="Yes",'Owner CAPEX'!P15,0)*(1+Sensitivity!$C$4)</f>
        <v>1.8422000000000001</v>
      </c>
      <c r="T13" s="419">
        <f>IF($B13="Yes",'Owner CAPEX'!Q15,0)*(1+Sensitivity!$C$4)</f>
        <v>1.8422000000000001</v>
      </c>
      <c r="U13" s="419">
        <f>IF($B13="Yes",'Owner CAPEX'!R15,0)*(1+Sensitivity!$C$4)</f>
        <v>1.8422000000000001</v>
      </c>
      <c r="V13" s="419">
        <f>IF($B13="Yes",'Owner CAPEX'!S15,0)*(1+Sensitivity!$C$4)</f>
        <v>3.6844000000000001</v>
      </c>
      <c r="W13" s="419">
        <f>IF($B13="Yes",'Owner CAPEX'!T15,0)*(1+Sensitivity!$C$4)</f>
        <v>0</v>
      </c>
      <c r="X13" s="419">
        <f>IF($B13="Yes",'Owner CAPEX'!U15,0)*(1+Sensitivity!$C$4)</f>
        <v>3.6844000000000001</v>
      </c>
      <c r="Y13" s="419">
        <f>IF($B13="Yes",'Owner CAPEX'!V15,0)*(1+Sensitivity!$C$4)</f>
        <v>1.8422000000000001</v>
      </c>
      <c r="Z13" s="419">
        <f>IF($B13="Yes",'Owner CAPEX'!W15,0)*(1+Sensitivity!$C$4)</f>
        <v>3.6844000000000001</v>
      </c>
      <c r="AA13" s="419">
        <f>IF($B13="Yes",'Owner CAPEX'!X15,0)*(1+Sensitivity!$C$4)</f>
        <v>0</v>
      </c>
      <c r="AB13" s="419">
        <f>IF($B13="Yes",'Owner CAPEX'!Y15,0)*(1+Sensitivity!$C$4)</f>
        <v>0</v>
      </c>
      <c r="AC13" s="419">
        <f>IF($B13="Yes",'Owner CAPEX'!Z15,0)*(1+Sensitivity!$C$4)</f>
        <v>0</v>
      </c>
      <c r="AD13" s="419">
        <f>IF($B13="Yes",'Owner CAPEX'!AA15,0)*(1+Sensitivity!$C$4)</f>
        <v>0</v>
      </c>
    </row>
    <row r="14" spans="2:30">
      <c r="B14" s="416" t="s">
        <v>107</v>
      </c>
      <c r="C14" t="str">
        <f>'Owner CAPEX'!B16</f>
        <v>CHP</v>
      </c>
      <c r="E14" s="418">
        <f t="shared" si="0"/>
        <v>335.19</v>
      </c>
      <c r="H14" s="419">
        <f>IF($B14="Yes",'Owner CAPEX'!E16,0)*(1+Sensitivity!$C$4)</f>
        <v>0</v>
      </c>
      <c r="I14" s="419">
        <f>IF($B14="Yes",'Owner CAPEX'!F16,0)*(1+Sensitivity!$C$4)</f>
        <v>0</v>
      </c>
      <c r="J14" s="419">
        <f>IF($B14="Yes",'Owner CAPEX'!G16,0)*(1+Sensitivity!$C$4)</f>
        <v>11.99</v>
      </c>
      <c r="K14" s="419">
        <f>IF($B14="Yes",'Owner CAPEX'!H16,0)*(1+Sensitivity!$C$4)</f>
        <v>89.79249999999999</v>
      </c>
      <c r="L14" s="419">
        <f>IF($B14="Yes",'Owner CAPEX'!I16,0)*(1+Sensitivity!$C$4)</f>
        <v>155.60499999999999</v>
      </c>
      <c r="M14" s="419">
        <f>IF($B14="Yes",'Owner CAPEX'!J16,0)*(1+Sensitivity!$C$4)</f>
        <v>77.802499999999995</v>
      </c>
      <c r="N14" s="419">
        <f>IF($B14="Yes",'Owner CAPEX'!K16,0)*(1+Sensitivity!$C$4)</f>
        <v>0</v>
      </c>
      <c r="O14" s="419">
        <f>IF($B14="Yes",'Owner CAPEX'!L16,0)*(1+Sensitivity!$C$4)</f>
        <v>0</v>
      </c>
      <c r="P14" s="419">
        <f>IF($B14="Yes",'Owner CAPEX'!M16,0)*(1+Sensitivity!$C$4)</f>
        <v>0</v>
      </c>
      <c r="Q14" s="419">
        <f>IF($B14="Yes",'Owner CAPEX'!N16,0)*(1+Sensitivity!$C$4)</f>
        <v>0</v>
      </c>
      <c r="R14" s="419">
        <f>IF($B14="Yes",'Owner CAPEX'!O16,0)*(1+Sensitivity!$C$4)</f>
        <v>0</v>
      </c>
      <c r="S14" s="419">
        <f>IF($B14="Yes",'Owner CAPEX'!P16,0)*(1+Sensitivity!$C$4)</f>
        <v>0</v>
      </c>
      <c r="T14" s="419">
        <f>IF($B14="Yes",'Owner CAPEX'!Q16,0)*(1+Sensitivity!$C$4)</f>
        <v>0</v>
      </c>
      <c r="U14" s="419">
        <f>IF($B14="Yes",'Owner CAPEX'!R16,0)*(1+Sensitivity!$C$4)</f>
        <v>0</v>
      </c>
      <c r="V14" s="419">
        <f>IF($B14="Yes",'Owner CAPEX'!S16,0)*(1+Sensitivity!$C$4)</f>
        <v>0</v>
      </c>
      <c r="W14" s="419">
        <f>IF($B14="Yes",'Owner CAPEX'!T16,0)*(1+Sensitivity!$C$4)</f>
        <v>0</v>
      </c>
      <c r="X14" s="419">
        <f>IF($B14="Yes",'Owner CAPEX'!U16,0)*(1+Sensitivity!$C$4)</f>
        <v>0</v>
      </c>
      <c r="Y14" s="419">
        <f>IF($B14="Yes",'Owner CAPEX'!V16,0)*(1+Sensitivity!$C$4)</f>
        <v>0</v>
      </c>
      <c r="Z14" s="419">
        <f>IF($B14="Yes",'Owner CAPEX'!W16,0)*(1+Sensitivity!$C$4)</f>
        <v>0</v>
      </c>
      <c r="AA14" s="419">
        <f>IF($B14="Yes",'Owner CAPEX'!X16,0)*(1+Sensitivity!$C$4)</f>
        <v>0</v>
      </c>
      <c r="AB14" s="419">
        <f>IF($B14="Yes",'Owner CAPEX'!Y16,0)*(1+Sensitivity!$C$4)</f>
        <v>0</v>
      </c>
      <c r="AC14" s="419">
        <f>IF($B14="Yes",'Owner CAPEX'!Z16,0)*(1+Sensitivity!$C$4)</f>
        <v>0</v>
      </c>
      <c r="AD14" s="419">
        <f>IF($B14="Yes",'Owner CAPEX'!AA16,0)*(1+Sensitivity!$C$4)</f>
        <v>0</v>
      </c>
    </row>
    <row r="15" spans="2:30">
      <c r="B15" s="416" t="s">
        <v>107</v>
      </c>
      <c r="C15" t="str">
        <f>'Owner CAPEX'!B17</f>
        <v>Railway Siding</v>
      </c>
      <c r="E15" s="418">
        <f t="shared" si="0"/>
        <v>540</v>
      </c>
      <c r="H15" s="419">
        <f>IF($B15="Yes",'Owner CAPEX'!E17,0)*(1+Sensitivity!$C$4)</f>
        <v>0</v>
      </c>
      <c r="I15" s="419">
        <f>IF($B15="Yes",'Owner CAPEX'!F17,0)*(1+Sensitivity!$C$4)</f>
        <v>54</v>
      </c>
      <c r="J15" s="419">
        <f>IF($B15="Yes",'Owner CAPEX'!G17,0)*(1+Sensitivity!$C$4)</f>
        <v>324</v>
      </c>
      <c r="K15" s="419">
        <f>IF($B15="Yes",'Owner CAPEX'!H17,0)*(1+Sensitivity!$C$4)</f>
        <v>162</v>
      </c>
      <c r="L15" s="419">
        <f>IF($B15="Yes",'Owner CAPEX'!I17,0)*(1+Sensitivity!$C$4)</f>
        <v>0</v>
      </c>
      <c r="M15" s="419">
        <f>IF($B15="Yes",'Owner CAPEX'!J17,0)*(1+Sensitivity!$C$4)</f>
        <v>0</v>
      </c>
      <c r="N15" s="419">
        <f>IF($B15="Yes",'Owner CAPEX'!K17,0)*(1+Sensitivity!$C$4)</f>
        <v>0</v>
      </c>
      <c r="O15" s="419">
        <f>IF($B15="Yes",'Owner CAPEX'!L17,0)*(1+Sensitivity!$C$4)</f>
        <v>0</v>
      </c>
      <c r="P15" s="419">
        <f>IF($B15="Yes",'Owner CAPEX'!M17,0)*(1+Sensitivity!$C$4)</f>
        <v>0</v>
      </c>
      <c r="Q15" s="419">
        <f>IF($B15="Yes",'Owner CAPEX'!N17,0)*(1+Sensitivity!$C$4)</f>
        <v>0</v>
      </c>
      <c r="R15" s="419">
        <f>IF($B15="Yes",'Owner CAPEX'!O17,0)*(1+Sensitivity!$C$4)</f>
        <v>0</v>
      </c>
      <c r="S15" s="419">
        <f>IF($B15="Yes",'Owner CAPEX'!P17,0)*(1+Sensitivity!$C$4)</f>
        <v>0</v>
      </c>
      <c r="T15" s="419">
        <f>IF($B15="Yes",'Owner CAPEX'!Q17,0)*(1+Sensitivity!$C$4)</f>
        <v>0</v>
      </c>
      <c r="U15" s="419">
        <f>IF($B15="Yes",'Owner CAPEX'!R17,0)*(1+Sensitivity!$C$4)</f>
        <v>0</v>
      </c>
      <c r="V15" s="419">
        <f>IF($B15="Yes",'Owner CAPEX'!S17,0)*(1+Sensitivity!$C$4)</f>
        <v>0</v>
      </c>
      <c r="W15" s="419">
        <f>IF($B15="Yes",'Owner CAPEX'!T17,0)*(1+Sensitivity!$C$4)</f>
        <v>0</v>
      </c>
      <c r="X15" s="419">
        <f>IF($B15="Yes",'Owner CAPEX'!U17,0)*(1+Sensitivity!$C$4)</f>
        <v>0</v>
      </c>
      <c r="Y15" s="419">
        <f>IF($B15="Yes",'Owner CAPEX'!V17,0)*(1+Sensitivity!$C$4)</f>
        <v>0</v>
      </c>
      <c r="Z15" s="419">
        <f>IF($B15="Yes",'Owner CAPEX'!W17,0)*(1+Sensitivity!$C$4)</f>
        <v>0</v>
      </c>
      <c r="AA15" s="419">
        <f>IF($B15="Yes",'Owner CAPEX'!X17,0)*(1+Sensitivity!$C$4)</f>
        <v>0</v>
      </c>
      <c r="AB15" s="419">
        <f>IF($B15="Yes",'Owner CAPEX'!Y17,0)*(1+Sensitivity!$C$4)</f>
        <v>0</v>
      </c>
      <c r="AC15" s="419">
        <f>IF($B15="Yes",'Owner CAPEX'!Z17,0)*(1+Sensitivity!$C$4)</f>
        <v>0</v>
      </c>
      <c r="AD15" s="419">
        <f>IF($B15="Yes",'Owner CAPEX'!AA17,0)*(1+Sensitivity!$C$4)</f>
        <v>0</v>
      </c>
    </row>
    <row r="16" spans="2:30">
      <c r="B16" s="416" t="s">
        <v>107</v>
      </c>
      <c r="C16" t="str">
        <f>'Owner CAPEX'!B18</f>
        <v>Civil Infrastructure</v>
      </c>
      <c r="E16" s="418">
        <f t="shared" si="0"/>
        <v>191</v>
      </c>
      <c r="H16" s="419">
        <f>IF($B16="Yes",'Owner CAPEX'!E18,0)*(1+Sensitivity!$C$4)</f>
        <v>0</v>
      </c>
      <c r="I16" s="419">
        <f>IF($B16="Yes",'Owner CAPEX'!F18,0)*(1+Sensitivity!$C$4)</f>
        <v>57.3</v>
      </c>
      <c r="J16" s="419">
        <f>IF($B16="Yes",'Owner CAPEX'!G18,0)*(1+Sensitivity!$C$4)</f>
        <v>95.5</v>
      </c>
      <c r="K16" s="419">
        <f>IF($B16="Yes",'Owner CAPEX'!H18,0)*(1+Sensitivity!$C$4)</f>
        <v>38.200000000000003</v>
      </c>
      <c r="L16" s="419">
        <f>IF($B16="Yes",'Owner CAPEX'!I18,0)*(1+Sensitivity!$C$4)</f>
        <v>0</v>
      </c>
      <c r="M16" s="419">
        <f>IF($B16="Yes",'Owner CAPEX'!J18,0)*(1+Sensitivity!$C$4)</f>
        <v>0</v>
      </c>
      <c r="N16" s="419">
        <f>IF($B16="Yes",'Owner CAPEX'!K18,0)*(1+Sensitivity!$C$4)</f>
        <v>0</v>
      </c>
      <c r="O16" s="419">
        <f>IF($B16="Yes",'Owner CAPEX'!L18,0)*(1+Sensitivity!$C$4)</f>
        <v>0</v>
      </c>
      <c r="P16" s="419">
        <f>IF($B16="Yes",'Owner CAPEX'!M18,0)*(1+Sensitivity!$C$4)</f>
        <v>0</v>
      </c>
      <c r="Q16" s="419">
        <f>IF($B16="Yes",'Owner CAPEX'!N18,0)*(1+Sensitivity!$C$4)</f>
        <v>0</v>
      </c>
      <c r="R16" s="419">
        <f>IF($B16="Yes",'Owner CAPEX'!O18,0)*(1+Sensitivity!$C$4)</f>
        <v>0</v>
      </c>
      <c r="S16" s="419">
        <f>IF($B16="Yes",'Owner CAPEX'!P18,0)*(1+Sensitivity!$C$4)</f>
        <v>0</v>
      </c>
      <c r="T16" s="419">
        <f>IF($B16="Yes",'Owner CAPEX'!Q18,0)*(1+Sensitivity!$C$4)</f>
        <v>0</v>
      </c>
      <c r="U16" s="419">
        <f>IF($B16="Yes",'Owner CAPEX'!R18,0)*(1+Sensitivity!$C$4)</f>
        <v>0</v>
      </c>
      <c r="V16" s="419">
        <f>IF($B16="Yes",'Owner CAPEX'!S18,0)*(1+Sensitivity!$C$4)</f>
        <v>0</v>
      </c>
      <c r="W16" s="419">
        <f>IF($B16="Yes",'Owner CAPEX'!T18,0)*(1+Sensitivity!$C$4)</f>
        <v>0</v>
      </c>
      <c r="X16" s="419">
        <f>IF($B16="Yes",'Owner CAPEX'!U18,0)*(1+Sensitivity!$C$4)</f>
        <v>0</v>
      </c>
      <c r="Y16" s="419">
        <f>IF($B16="Yes",'Owner CAPEX'!V18,0)*(1+Sensitivity!$C$4)</f>
        <v>0</v>
      </c>
      <c r="Z16" s="419">
        <f>IF($B16="Yes",'Owner CAPEX'!W18,0)*(1+Sensitivity!$C$4)</f>
        <v>0</v>
      </c>
      <c r="AA16" s="419">
        <f>IF($B16="Yes",'Owner CAPEX'!X18,0)*(1+Sensitivity!$C$4)</f>
        <v>0</v>
      </c>
      <c r="AB16" s="419">
        <f>IF($B16="Yes",'Owner CAPEX'!Y18,0)*(1+Sensitivity!$C$4)</f>
        <v>0</v>
      </c>
      <c r="AC16" s="419">
        <f>IF($B16="Yes",'Owner CAPEX'!Z18,0)*(1+Sensitivity!$C$4)</f>
        <v>0</v>
      </c>
      <c r="AD16" s="419">
        <f>IF($B16="Yes",'Owner CAPEX'!AA18,0)*(1+Sensitivity!$C$4)</f>
        <v>0</v>
      </c>
    </row>
    <row r="17" spans="2:30">
      <c r="B17" s="416" t="s">
        <v>107</v>
      </c>
      <c r="C17" t="str">
        <f>'Owner CAPEX'!B19</f>
        <v>Fire Fighting &amp; Dust Suppression</v>
      </c>
      <c r="E17" s="418">
        <f t="shared" si="0"/>
        <v>14.45</v>
      </c>
      <c r="H17" s="419">
        <f>IF($B17="Yes",'Owner CAPEX'!E19,0)*(1+Sensitivity!$C$4)</f>
        <v>0</v>
      </c>
      <c r="I17" s="419">
        <f>IF($B17="Yes",'Owner CAPEX'!F19,0)*(1+Sensitivity!$C$4)</f>
        <v>4.335</v>
      </c>
      <c r="J17" s="419">
        <f>IF($B17="Yes",'Owner CAPEX'!G19,0)*(1+Sensitivity!$C$4)</f>
        <v>7.2249999999999996</v>
      </c>
      <c r="K17" s="419">
        <f>IF($B17="Yes",'Owner CAPEX'!H19,0)*(1+Sensitivity!$C$4)</f>
        <v>2.89</v>
      </c>
      <c r="L17" s="419">
        <f>IF($B17="Yes",'Owner CAPEX'!I19,0)*(1+Sensitivity!$C$4)</f>
        <v>0</v>
      </c>
      <c r="M17" s="419">
        <f>IF($B17="Yes",'Owner CAPEX'!J19,0)*(1+Sensitivity!$C$4)</f>
        <v>0</v>
      </c>
      <c r="N17" s="419">
        <f>IF($B17="Yes",'Owner CAPEX'!K19,0)*(1+Sensitivity!$C$4)</f>
        <v>0</v>
      </c>
      <c r="O17" s="419">
        <f>IF($B17="Yes",'Owner CAPEX'!L19,0)*(1+Sensitivity!$C$4)</f>
        <v>0</v>
      </c>
      <c r="P17" s="419">
        <f>IF($B17="Yes",'Owner CAPEX'!M19,0)*(1+Sensitivity!$C$4)</f>
        <v>0</v>
      </c>
      <c r="Q17" s="419">
        <f>IF($B17="Yes",'Owner CAPEX'!N19,0)*(1+Sensitivity!$C$4)</f>
        <v>0</v>
      </c>
      <c r="R17" s="419">
        <f>IF($B17="Yes",'Owner CAPEX'!O19,0)*(1+Sensitivity!$C$4)</f>
        <v>0</v>
      </c>
      <c r="S17" s="419">
        <f>IF($B17="Yes",'Owner CAPEX'!P19,0)*(1+Sensitivity!$C$4)</f>
        <v>0</v>
      </c>
      <c r="T17" s="419">
        <f>IF($B17="Yes",'Owner CAPEX'!Q19,0)*(1+Sensitivity!$C$4)</f>
        <v>0</v>
      </c>
      <c r="U17" s="419">
        <f>IF($B17="Yes",'Owner CAPEX'!R19,0)*(1+Sensitivity!$C$4)</f>
        <v>0</v>
      </c>
      <c r="V17" s="419">
        <f>IF($B17="Yes",'Owner CAPEX'!S19,0)*(1+Sensitivity!$C$4)</f>
        <v>0</v>
      </c>
      <c r="W17" s="419">
        <f>IF($B17="Yes",'Owner CAPEX'!T19,0)*(1+Sensitivity!$C$4)</f>
        <v>0</v>
      </c>
      <c r="X17" s="419">
        <f>IF($B17="Yes",'Owner CAPEX'!U19,0)*(1+Sensitivity!$C$4)</f>
        <v>0</v>
      </c>
      <c r="Y17" s="419">
        <f>IF($B17="Yes",'Owner CAPEX'!V19,0)*(1+Sensitivity!$C$4)</f>
        <v>0</v>
      </c>
      <c r="Z17" s="419">
        <f>IF($B17="Yes",'Owner CAPEX'!W19,0)*(1+Sensitivity!$C$4)</f>
        <v>0</v>
      </c>
      <c r="AA17" s="419">
        <f>IF($B17="Yes",'Owner CAPEX'!X19,0)*(1+Sensitivity!$C$4)</f>
        <v>0</v>
      </c>
      <c r="AB17" s="419">
        <f>IF($B17="Yes",'Owner CAPEX'!Y19,0)*(1+Sensitivity!$C$4)</f>
        <v>0</v>
      </c>
      <c r="AC17" s="419">
        <f>IF($B17="Yes",'Owner CAPEX'!Z19,0)*(1+Sensitivity!$C$4)</f>
        <v>0</v>
      </c>
      <c r="AD17" s="419">
        <f>IF($B17="Yes",'Owner CAPEX'!AA19,0)*(1+Sensitivity!$C$4)</f>
        <v>0</v>
      </c>
    </row>
    <row r="18" spans="2:30">
      <c r="B18" s="416" t="s">
        <v>107</v>
      </c>
      <c r="C18" t="str">
        <f>'Owner CAPEX'!B20</f>
        <v>Workshop and Store</v>
      </c>
      <c r="E18" s="418">
        <f t="shared" si="0"/>
        <v>27.27</v>
      </c>
      <c r="H18" s="419">
        <f>IF($B18="Yes",'Owner CAPEX'!E20,0)*(1+Sensitivity!$C$4)</f>
        <v>0</v>
      </c>
      <c r="I18" s="419">
        <f>IF($B18="Yes",'Owner CAPEX'!F20,0)*(1+Sensitivity!$C$4)</f>
        <v>0</v>
      </c>
      <c r="J18" s="419">
        <f>IF($B18="Yes",'Owner CAPEX'!G20,0)*(1+Sensitivity!$C$4)</f>
        <v>13.635</v>
      </c>
      <c r="K18" s="419">
        <f>IF($B18="Yes",'Owner CAPEX'!H20,0)*(1+Sensitivity!$C$4)</f>
        <v>13.635</v>
      </c>
      <c r="L18" s="419">
        <f>IF($B18="Yes",'Owner CAPEX'!I20,0)*(1+Sensitivity!$C$4)</f>
        <v>0</v>
      </c>
      <c r="M18" s="419">
        <f>IF($B18="Yes",'Owner CAPEX'!J20,0)*(1+Sensitivity!$C$4)</f>
        <v>0</v>
      </c>
      <c r="N18" s="419">
        <f>IF($B18="Yes",'Owner CAPEX'!K20,0)*(1+Sensitivity!$C$4)</f>
        <v>0</v>
      </c>
      <c r="O18" s="419">
        <f>IF($B18="Yes",'Owner CAPEX'!L20,0)*(1+Sensitivity!$C$4)</f>
        <v>0</v>
      </c>
      <c r="P18" s="419">
        <f>IF($B18="Yes",'Owner CAPEX'!M20,0)*(1+Sensitivity!$C$4)</f>
        <v>0</v>
      </c>
      <c r="Q18" s="419">
        <f>IF($B18="Yes",'Owner CAPEX'!N20,0)*(1+Sensitivity!$C$4)</f>
        <v>0</v>
      </c>
      <c r="R18" s="419">
        <f>IF($B18="Yes",'Owner CAPEX'!O20,0)*(1+Sensitivity!$C$4)</f>
        <v>0</v>
      </c>
      <c r="S18" s="419">
        <f>IF($B18="Yes",'Owner CAPEX'!P20,0)*(1+Sensitivity!$C$4)</f>
        <v>0</v>
      </c>
      <c r="T18" s="419">
        <f>IF($B18="Yes",'Owner CAPEX'!Q20,0)*(1+Sensitivity!$C$4)</f>
        <v>0</v>
      </c>
      <c r="U18" s="419">
        <f>IF($B18="Yes",'Owner CAPEX'!R20,0)*(1+Sensitivity!$C$4)</f>
        <v>0</v>
      </c>
      <c r="V18" s="419">
        <f>IF($B18="Yes",'Owner CAPEX'!S20,0)*(1+Sensitivity!$C$4)</f>
        <v>0</v>
      </c>
      <c r="W18" s="419">
        <f>IF($B18="Yes",'Owner CAPEX'!T20,0)*(1+Sensitivity!$C$4)</f>
        <v>0</v>
      </c>
      <c r="X18" s="419">
        <f>IF($B18="Yes",'Owner CAPEX'!U20,0)*(1+Sensitivity!$C$4)</f>
        <v>0</v>
      </c>
      <c r="Y18" s="419">
        <f>IF($B18="Yes",'Owner CAPEX'!V20,0)*(1+Sensitivity!$C$4)</f>
        <v>0</v>
      </c>
      <c r="Z18" s="419">
        <f>IF($B18="Yes",'Owner CAPEX'!W20,0)*(1+Sensitivity!$C$4)</f>
        <v>0</v>
      </c>
      <c r="AA18" s="419">
        <f>IF($B18="Yes",'Owner CAPEX'!X20,0)*(1+Sensitivity!$C$4)</f>
        <v>0</v>
      </c>
      <c r="AB18" s="419">
        <f>IF($B18="Yes",'Owner CAPEX'!Y20,0)*(1+Sensitivity!$C$4)</f>
        <v>0</v>
      </c>
      <c r="AC18" s="419">
        <f>IF($B18="Yes",'Owner CAPEX'!Z20,0)*(1+Sensitivity!$C$4)</f>
        <v>0</v>
      </c>
      <c r="AD18" s="419">
        <f>IF($B18="Yes",'Owner CAPEX'!AA20,0)*(1+Sensitivity!$C$4)</f>
        <v>0</v>
      </c>
    </row>
    <row r="19" spans="2:30">
      <c r="B19" s="416" t="s">
        <v>107</v>
      </c>
      <c r="C19" t="str">
        <f>'Owner CAPEX'!B21</f>
        <v xml:space="preserve">Electrical </v>
      </c>
      <c r="E19" s="418">
        <f t="shared" si="0"/>
        <v>34.35</v>
      </c>
      <c r="H19" s="419">
        <f>IF($B19="Yes",'Owner CAPEX'!E21,0)*(1+Sensitivity!$C$4)</f>
        <v>0</v>
      </c>
      <c r="I19" s="419">
        <f>IF($B19="Yes",'Owner CAPEX'!F21,0)*(1+Sensitivity!$C$4)</f>
        <v>0</v>
      </c>
      <c r="J19" s="419">
        <f>IF($B19="Yes",'Owner CAPEX'!G21,0)*(1+Sensitivity!$C$4)</f>
        <v>0</v>
      </c>
      <c r="K19" s="419">
        <f>IF($B19="Yes",'Owner CAPEX'!H21,0)*(1+Sensitivity!$C$4)</f>
        <v>8.5875000000000004</v>
      </c>
      <c r="L19" s="419">
        <f>IF($B19="Yes",'Owner CAPEX'!I21,0)*(1+Sensitivity!$C$4)</f>
        <v>13.740000000000002</v>
      </c>
      <c r="M19" s="419">
        <f>IF($B19="Yes",'Owner CAPEX'!J21,0)*(1+Sensitivity!$C$4)</f>
        <v>8.5875000000000004</v>
      </c>
      <c r="N19" s="419">
        <f>IF($B19="Yes",'Owner CAPEX'!K21,0)*(1+Sensitivity!$C$4)</f>
        <v>3.4350000000000005</v>
      </c>
      <c r="O19" s="419">
        <f>IF($B19="Yes",'Owner CAPEX'!L21,0)*(1+Sensitivity!$C$4)</f>
        <v>0</v>
      </c>
      <c r="P19" s="419">
        <f>IF($B19="Yes",'Owner CAPEX'!M21,0)*(1+Sensitivity!$C$4)</f>
        <v>0</v>
      </c>
      <c r="Q19" s="419">
        <f>IF($B19="Yes",'Owner CAPEX'!N21,0)*(1+Sensitivity!$C$4)</f>
        <v>0</v>
      </c>
      <c r="R19" s="419">
        <f>IF($B19="Yes",'Owner CAPEX'!O21,0)*(1+Sensitivity!$C$4)</f>
        <v>0</v>
      </c>
      <c r="S19" s="419">
        <f>IF($B19="Yes",'Owner CAPEX'!P21,0)*(1+Sensitivity!$C$4)</f>
        <v>0</v>
      </c>
      <c r="T19" s="419">
        <f>IF($B19="Yes",'Owner CAPEX'!Q21,0)*(1+Sensitivity!$C$4)</f>
        <v>0</v>
      </c>
      <c r="U19" s="419">
        <f>IF($B19="Yes",'Owner CAPEX'!R21,0)*(1+Sensitivity!$C$4)</f>
        <v>0</v>
      </c>
      <c r="V19" s="419">
        <f>IF($B19="Yes",'Owner CAPEX'!S21,0)*(1+Sensitivity!$C$4)</f>
        <v>0</v>
      </c>
      <c r="W19" s="419">
        <f>IF($B19="Yes",'Owner CAPEX'!T21,0)*(1+Sensitivity!$C$4)</f>
        <v>0</v>
      </c>
      <c r="X19" s="419">
        <f>IF($B19="Yes",'Owner CAPEX'!U21,0)*(1+Sensitivity!$C$4)</f>
        <v>0</v>
      </c>
      <c r="Y19" s="419">
        <f>IF($B19="Yes",'Owner CAPEX'!V21,0)*(1+Sensitivity!$C$4)</f>
        <v>0</v>
      </c>
      <c r="Z19" s="419">
        <f>IF($B19="Yes",'Owner CAPEX'!W21,0)*(1+Sensitivity!$C$4)</f>
        <v>0</v>
      </c>
      <c r="AA19" s="419">
        <f>IF($B19="Yes",'Owner CAPEX'!X21,0)*(1+Sensitivity!$C$4)</f>
        <v>0</v>
      </c>
      <c r="AB19" s="419">
        <f>IF($B19="Yes",'Owner CAPEX'!Y21,0)*(1+Sensitivity!$C$4)</f>
        <v>0</v>
      </c>
      <c r="AC19" s="419">
        <f>IF($B19="Yes",'Owner CAPEX'!Z21,0)*(1+Sensitivity!$C$4)</f>
        <v>0</v>
      </c>
      <c r="AD19" s="419">
        <f>IF($B19="Yes",'Owner CAPEX'!AA21,0)*(1+Sensitivity!$C$4)</f>
        <v>0</v>
      </c>
    </row>
    <row r="20" spans="2:30">
      <c r="B20" s="416" t="s">
        <v>107</v>
      </c>
      <c r="C20" t="str">
        <f>'Owner CAPEX'!B22</f>
        <v>Mine Dewatering System</v>
      </c>
      <c r="E20" s="418">
        <f t="shared" si="0"/>
        <v>15</v>
      </c>
      <c r="H20" s="419">
        <f>IF($B20="Yes",'Owner CAPEX'!E22,0)*(1+Sensitivity!$C$4)</f>
        <v>0</v>
      </c>
      <c r="I20" s="419">
        <f>IF($B20="Yes",'Owner CAPEX'!F22,0)*(1+Sensitivity!$C$4)</f>
        <v>0</v>
      </c>
      <c r="J20" s="419">
        <f>IF($B20="Yes",'Owner CAPEX'!G22,0)*(1+Sensitivity!$C$4)</f>
        <v>0</v>
      </c>
      <c r="K20" s="419">
        <f>IF($B20="Yes",'Owner CAPEX'!H22,0)*(1+Sensitivity!$C$4)</f>
        <v>0</v>
      </c>
      <c r="L20" s="419">
        <f>IF($B20="Yes",'Owner CAPEX'!I22,0)*(1+Sensitivity!$C$4)</f>
        <v>2.8256089083763327</v>
      </c>
      <c r="M20" s="419">
        <f>IF($B20="Yes",'Owner CAPEX'!J22,0)*(1+Sensitivity!$C$4)</f>
        <v>2.0484987835200386</v>
      </c>
      <c r="N20" s="419">
        <f>IF($B20="Yes",'Owner CAPEX'!K22,0)*(1+Sensitivity!$C$4)</f>
        <v>0</v>
      </c>
      <c r="O20" s="419">
        <f>IF($B20="Yes",'Owner CAPEX'!L22,0)*(1+Sensitivity!$C$4)</f>
        <v>0</v>
      </c>
      <c r="P20" s="419">
        <f>IF($B20="Yes",'Owner CAPEX'!M22,0)*(1+Sensitivity!$C$4)</f>
        <v>3.7895021789696011</v>
      </c>
      <c r="Q20" s="419">
        <f>IF($B20="Yes",'Owner CAPEX'!N22,0)*(1+Sensitivity!$C$4)</f>
        <v>0</v>
      </c>
      <c r="R20" s="419">
        <f>IF($B20="Yes",'Owner CAPEX'!O22,0)*(1+Sensitivity!$C$4)</f>
        <v>0</v>
      </c>
      <c r="S20" s="419">
        <f>IF($B20="Yes",'Owner CAPEX'!P22,0)*(1+Sensitivity!$C$4)</f>
        <v>0</v>
      </c>
      <c r="T20" s="419">
        <f>IF($B20="Yes",'Owner CAPEX'!Q22,0)*(1+Sensitivity!$C$4)</f>
        <v>0</v>
      </c>
      <c r="U20" s="419">
        <f>IF($B20="Yes",'Owner CAPEX'!R22,0)*(1+Sensitivity!$C$4)</f>
        <v>3.3687137395396092</v>
      </c>
      <c r="V20" s="419">
        <f>IF($B20="Yes",'Owner CAPEX'!S22,0)*(1+Sensitivity!$C$4)</f>
        <v>0</v>
      </c>
      <c r="W20" s="419">
        <f>IF($B20="Yes",'Owner CAPEX'!T22,0)*(1+Sensitivity!$C$4)</f>
        <v>0</v>
      </c>
      <c r="X20" s="419">
        <f>IF($B20="Yes",'Owner CAPEX'!U22,0)*(1+Sensitivity!$C$4)</f>
        <v>0</v>
      </c>
      <c r="Y20" s="419">
        <f>IF($B20="Yes",'Owner CAPEX'!V22,0)*(1+Sensitivity!$C$4)</f>
        <v>0</v>
      </c>
      <c r="Z20" s="419">
        <f>IF($B20="Yes",'Owner CAPEX'!W22,0)*(1+Sensitivity!$C$4)</f>
        <v>2.9676763895944172</v>
      </c>
      <c r="AA20" s="419">
        <f>IF($B20="Yes",'Owner CAPEX'!X22,0)*(1+Sensitivity!$C$4)</f>
        <v>0</v>
      </c>
      <c r="AB20" s="419">
        <f>IF($B20="Yes",'Owner CAPEX'!Y22,0)*(1+Sensitivity!$C$4)</f>
        <v>0</v>
      </c>
      <c r="AC20" s="419">
        <f>IF($B20="Yes",'Owner CAPEX'!Z22,0)*(1+Sensitivity!$C$4)</f>
        <v>0</v>
      </c>
      <c r="AD20" s="419">
        <f>IF($B20="Yes",'Owner CAPEX'!AA22,0)*(1+Sensitivity!$C$4)</f>
        <v>0</v>
      </c>
    </row>
    <row r="21" spans="2:30">
      <c r="B21" s="416" t="s">
        <v>107</v>
      </c>
      <c r="C21" t="str">
        <f>'Owner CAPEX'!B23</f>
        <v>Digitalisation</v>
      </c>
      <c r="E21" s="418">
        <f t="shared" si="0"/>
        <v>10</v>
      </c>
      <c r="H21" s="419">
        <f>IF($B21="Yes",'Owner CAPEX'!E23,0)*(1+Sensitivity!$C$4)</f>
        <v>0</v>
      </c>
      <c r="I21" s="419">
        <f>IF($B21="Yes",'Owner CAPEX'!F23,0)*(1+Sensitivity!$C$4)</f>
        <v>3</v>
      </c>
      <c r="J21" s="419">
        <f>IF($B21="Yes",'Owner CAPEX'!G23,0)*(1+Sensitivity!$C$4)</f>
        <v>5</v>
      </c>
      <c r="K21" s="419">
        <f>IF($B21="Yes",'Owner CAPEX'!H23,0)*(1+Sensitivity!$C$4)</f>
        <v>2</v>
      </c>
      <c r="L21" s="419">
        <f>IF($B21="Yes",'Owner CAPEX'!I23,0)*(1+Sensitivity!$C$4)</f>
        <v>0</v>
      </c>
      <c r="M21" s="419">
        <f>IF($B21="Yes",'Owner CAPEX'!J23,0)*(1+Sensitivity!$C$4)</f>
        <v>0</v>
      </c>
      <c r="N21" s="419">
        <f>IF($B21="Yes",'Owner CAPEX'!K23,0)*(1+Sensitivity!$C$4)</f>
        <v>0</v>
      </c>
      <c r="O21" s="419">
        <f>IF($B21="Yes",'Owner CAPEX'!L23,0)*(1+Sensitivity!$C$4)</f>
        <v>0</v>
      </c>
      <c r="P21" s="419">
        <f>IF($B21="Yes",'Owner CAPEX'!M23,0)*(1+Sensitivity!$C$4)</f>
        <v>0</v>
      </c>
      <c r="Q21" s="419">
        <f>IF($B21="Yes",'Owner CAPEX'!N23,0)*(1+Sensitivity!$C$4)</f>
        <v>0</v>
      </c>
      <c r="R21" s="419">
        <f>IF($B21="Yes",'Owner CAPEX'!O23,0)*(1+Sensitivity!$C$4)</f>
        <v>0</v>
      </c>
      <c r="S21" s="419">
        <f>IF($B21="Yes",'Owner CAPEX'!P23,0)*(1+Sensitivity!$C$4)</f>
        <v>0</v>
      </c>
      <c r="T21" s="419">
        <f>IF($B21="Yes",'Owner CAPEX'!Q23,0)*(1+Sensitivity!$C$4)</f>
        <v>0</v>
      </c>
      <c r="U21" s="419">
        <f>IF($B21="Yes",'Owner CAPEX'!R23,0)*(1+Sensitivity!$C$4)</f>
        <v>0</v>
      </c>
      <c r="V21" s="419">
        <f>IF($B21="Yes",'Owner CAPEX'!S23,0)*(1+Sensitivity!$C$4)</f>
        <v>0</v>
      </c>
      <c r="W21" s="419">
        <f>IF($B21="Yes",'Owner CAPEX'!T23,0)*(1+Sensitivity!$C$4)</f>
        <v>0</v>
      </c>
      <c r="X21" s="419">
        <f>IF($B21="Yes",'Owner CAPEX'!U23,0)*(1+Sensitivity!$C$4)</f>
        <v>0</v>
      </c>
      <c r="Y21" s="419">
        <f>IF($B21="Yes",'Owner CAPEX'!V23,0)*(1+Sensitivity!$C$4)</f>
        <v>0</v>
      </c>
      <c r="Z21" s="419">
        <f>IF($B21="Yes",'Owner CAPEX'!W23,0)*(1+Sensitivity!$C$4)</f>
        <v>0</v>
      </c>
      <c r="AA21" s="419">
        <f>IF($B21="Yes",'Owner CAPEX'!X23,0)*(1+Sensitivity!$C$4)</f>
        <v>0</v>
      </c>
      <c r="AB21" s="419">
        <f>IF($B21="Yes",'Owner CAPEX'!Y23,0)*(1+Sensitivity!$C$4)</f>
        <v>0</v>
      </c>
      <c r="AC21" s="419">
        <f>IF($B21="Yes",'Owner CAPEX'!Z23,0)*(1+Sensitivity!$C$4)</f>
        <v>0</v>
      </c>
      <c r="AD21" s="419">
        <f>IF($B21="Yes",'Owner CAPEX'!AA23,0)*(1+Sensitivity!$C$4)</f>
        <v>0</v>
      </c>
    </row>
    <row r="22" spans="2:30">
      <c r="B22" s="416" t="s">
        <v>107</v>
      </c>
      <c r="C22" t="str">
        <f>'Owner CAPEX'!B24</f>
        <v>Contingency</v>
      </c>
      <c r="E22" s="418">
        <f t="shared" ca="1" si="0"/>
        <v>617.48263888705969</v>
      </c>
      <c r="H22" s="419">
        <f ca="1">IF($B22="Yes",'Owner CAPEX'!E24,0)*(1+Sensitivity!$C$4)</f>
        <v>17.116538999999996</v>
      </c>
      <c r="I22" s="419">
        <f ca="1">IF($B22="Yes",'Owner CAPEX'!F24,0)*(1+Sensitivity!$C$4)</f>
        <v>44.800128191309994</v>
      </c>
      <c r="J22" s="419">
        <f ca="1">IF($B22="Yes",'Owner CAPEX'!G24,0)*(1+Sensitivity!$C$4)</f>
        <v>88.397465127540002</v>
      </c>
      <c r="K22" s="419">
        <f ca="1">IF($B22="Yes",'Owner CAPEX'!H24,0)*(1+Sensitivity!$C$4)</f>
        <v>67.485215127539988</v>
      </c>
      <c r="L22" s="419">
        <f>IF($B22="Yes",'Owner CAPEX'!I24,0)*(1+Sensitivity!$C$4)</f>
        <v>60.326308066771446</v>
      </c>
      <c r="M22" s="419">
        <f>IF($B22="Yes",'Owner CAPEX'!J24,0)*(1+Sensitivity!$C$4)</f>
        <v>24.236479198829468</v>
      </c>
      <c r="N22" s="419">
        <f>IF($B22="Yes",'Owner CAPEX'!K24,0)*(1+Sensitivity!$C$4)</f>
        <v>27.916778201329073</v>
      </c>
      <c r="O22" s="419">
        <f>IF($B22="Yes",'Owner CAPEX'!L24,0)*(1+Sensitivity!$C$4)</f>
        <v>76.665102211219036</v>
      </c>
      <c r="P22" s="419">
        <f>IF($B22="Yes",'Owner CAPEX'!M24,0)*(1+Sensitivity!$C$4)</f>
        <v>42.78156840345018</v>
      </c>
      <c r="Q22" s="419">
        <f>IF($B22="Yes",'Owner CAPEX'!N24,0)*(1+Sensitivity!$C$4)</f>
        <v>57.033894737631684</v>
      </c>
      <c r="R22" s="419">
        <f>IF($B22="Yes",'Owner CAPEX'!O24,0)*(1+Sensitivity!$C$4)</f>
        <v>39.059487137631685</v>
      </c>
      <c r="S22" s="419">
        <f>IF($B22="Yes",'Owner CAPEX'!P24,0)*(1+Sensitivity!$C$4)</f>
        <v>38.783157137631683</v>
      </c>
      <c r="T22" s="419">
        <f>IF($B22="Yes",'Owner CAPEX'!Q24,0)*(1+Sensitivity!$C$4)</f>
        <v>23.054606671759544</v>
      </c>
      <c r="U22" s="419">
        <f>IF($B22="Yes",'Owner CAPEX'!R24,0)*(1+Sensitivity!$C$4)</f>
        <v>3.6015275432859024</v>
      </c>
      <c r="V22" s="419">
        <f>IF($B22="Yes",'Owner CAPEX'!S24,0)*(1+Sensitivity!$C$4)</f>
        <v>4.3975806726909887</v>
      </c>
      <c r="W22" s="419">
        <f>IF($B22="Yes",'Owner CAPEX'!T24,0)*(1+Sensitivity!$C$4)</f>
        <v>0</v>
      </c>
      <c r="X22" s="419">
        <f>IF($B22="Yes",'Owner CAPEX'!U24,0)*(1+Sensitivity!$C$4)</f>
        <v>0.55266000000000004</v>
      </c>
      <c r="Y22" s="419">
        <f>IF($B22="Yes",'Owner CAPEX'!V24,0)*(1+Sensitivity!$C$4)</f>
        <v>0.27633000000000002</v>
      </c>
      <c r="Z22" s="419">
        <f>IF($B22="Yes",'Owner CAPEX'!W24,0)*(1+Sensitivity!$C$4)</f>
        <v>0.99781145843916252</v>
      </c>
      <c r="AA22" s="419">
        <f>IF($B22="Yes",'Owner CAPEX'!X24,0)*(1+Sensitivity!$C$4)</f>
        <v>0</v>
      </c>
      <c r="AB22" s="419">
        <f>IF($B22="Yes",'Owner CAPEX'!Y24,0)*(1+Sensitivity!$C$4)</f>
        <v>0</v>
      </c>
      <c r="AC22" s="419">
        <f>IF($B22="Yes",'Owner CAPEX'!Z24,0)*(1+Sensitivity!$C$4)</f>
        <v>0</v>
      </c>
      <c r="AD22" s="419">
        <f>IF($B22="Yes",'Owner CAPEX'!AA24,0)*(1+Sensitivity!$C$4)</f>
        <v>0</v>
      </c>
    </row>
    <row r="23" spans="2:30">
      <c r="B23" s="417"/>
      <c r="C23" s="191" t="s">
        <v>543</v>
      </c>
      <c r="E23" s="418">
        <f t="shared" ca="1" si="0"/>
        <v>4833.103564800791</v>
      </c>
      <c r="H23" s="420">
        <f ca="1">SUM(H9:H22)</f>
        <v>155.99429899999996</v>
      </c>
      <c r="I23" s="420">
        <f t="shared" ref="I23:AD23" ca="1" si="1">SUM(I9:I22)</f>
        <v>343.46764946670999</v>
      </c>
      <c r="J23" s="420">
        <f t="shared" ca="1" si="1"/>
        <v>677.71389931114004</v>
      </c>
      <c r="K23" s="420">
        <f t="shared" ca="1" si="1"/>
        <v>542.15414931113992</v>
      </c>
      <c r="L23" s="420">
        <f t="shared" si="1"/>
        <v>512.03669517858111</v>
      </c>
      <c r="M23" s="420">
        <f t="shared" si="1"/>
        <v>185.81300719102592</v>
      </c>
      <c r="N23" s="420">
        <f t="shared" si="1"/>
        <v>214.02863287685622</v>
      </c>
      <c r="O23" s="420">
        <f t="shared" si="1"/>
        <v>587.76578361934594</v>
      </c>
      <c r="P23" s="420">
        <f t="shared" si="1"/>
        <v>327.99202442645139</v>
      </c>
      <c r="Q23" s="420">
        <f t="shared" si="1"/>
        <v>437.25985965517623</v>
      </c>
      <c r="R23" s="420">
        <f t="shared" si="1"/>
        <v>299.45606805517622</v>
      </c>
      <c r="S23" s="420">
        <f t="shared" si="1"/>
        <v>297.33753805517625</v>
      </c>
      <c r="T23" s="420">
        <f t="shared" si="1"/>
        <v>176.75198448348982</v>
      </c>
      <c r="U23" s="420">
        <f t="shared" si="1"/>
        <v>27.61171116519192</v>
      </c>
      <c r="V23" s="420">
        <f t="shared" si="1"/>
        <v>33.714785157297584</v>
      </c>
      <c r="W23" s="420">
        <f t="shared" si="1"/>
        <v>0</v>
      </c>
      <c r="X23" s="420">
        <f t="shared" si="1"/>
        <v>4.2370600000000005</v>
      </c>
      <c r="Y23" s="420">
        <f t="shared" si="1"/>
        <v>2.1185300000000002</v>
      </c>
      <c r="Z23" s="420">
        <f t="shared" si="1"/>
        <v>7.6498878480335799</v>
      </c>
      <c r="AA23" s="420">
        <f t="shared" si="1"/>
        <v>0</v>
      </c>
      <c r="AB23" s="420">
        <f t="shared" si="1"/>
        <v>0</v>
      </c>
      <c r="AC23" s="420">
        <f t="shared" si="1"/>
        <v>0</v>
      </c>
      <c r="AD23" s="420">
        <f t="shared" si="1"/>
        <v>0</v>
      </c>
    </row>
    <row r="24" spans="2:30">
      <c r="B24" s="417"/>
      <c r="C24" s="191" t="s">
        <v>544</v>
      </c>
    </row>
    <row r="25" spans="2:30">
      <c r="B25" s="416" t="s">
        <v>107</v>
      </c>
      <c r="C25" t="str">
        <f>'Owner CAPEX'!B31</f>
        <v>Mining Equipment Replacement</v>
      </c>
      <c r="E25" s="418">
        <f t="shared" ref="E25:E33" si="2">SUM(H25:AX25)</f>
        <v>1365.0487594828739</v>
      </c>
      <c r="H25" s="419">
        <f>IF($B25="Yes",'Owner CAPEX'!E31,0)*(1+Sensitivity!$C$4)</f>
        <v>0</v>
      </c>
      <c r="I25" s="419">
        <f>IF($B25="Yes",'Owner CAPEX'!F31,0)*(1+Sensitivity!$C$4)</f>
        <v>0</v>
      </c>
      <c r="J25" s="419">
        <f>IF($B25="Yes",'Owner CAPEX'!G31,0)*(1+Sensitivity!$C$4)</f>
        <v>0</v>
      </c>
      <c r="K25" s="419">
        <f>IF($B25="Yes",'Owner CAPEX'!H31,0)*(1+Sensitivity!$C$4)</f>
        <v>0</v>
      </c>
      <c r="L25" s="419">
        <f>IF($B25="Yes",'Owner CAPEX'!I31,0)*(1+Sensitivity!$C$4)</f>
        <v>0</v>
      </c>
      <c r="M25" s="419">
        <f>IF($B25="Yes",'Owner CAPEX'!J31,0)*(1+Sensitivity!$C$4)</f>
        <v>0</v>
      </c>
      <c r="N25" s="419">
        <f>IF($B25="Yes",'Owner CAPEX'!K31,0)*(1+Sensitivity!$C$4)</f>
        <v>0</v>
      </c>
      <c r="O25" s="419">
        <f>IF($B25="Yes",'Owner CAPEX'!L31,0)*(1+Sensitivity!$C$4)</f>
        <v>0</v>
      </c>
      <c r="P25" s="419">
        <f>IF($B25="Yes",'Owner CAPEX'!M31,0)*(1+Sensitivity!$C$4)</f>
        <v>0</v>
      </c>
      <c r="Q25" s="419">
        <f>IF($B25="Yes",'Owner CAPEX'!N31,0)*(1+Sensitivity!$C$4)</f>
        <v>76.680000000000007</v>
      </c>
      <c r="R25" s="419">
        <f>IF($B25="Yes",'Owner CAPEX'!O31,0)*(1+Sensitivity!$C$4)</f>
        <v>25.3156</v>
      </c>
      <c r="S25" s="419">
        <f>IF($B25="Yes",'Owner CAPEX'!P31,0)*(1+Sensitivity!$C$4)</f>
        <v>79.373661163960321</v>
      </c>
      <c r="T25" s="419">
        <f>IF($B25="Yes",'Owner CAPEX'!Q31,0)*(1+Sensitivity!$C$4)</f>
        <v>152.65219999999999</v>
      </c>
      <c r="U25" s="419">
        <f>IF($B25="Yes",'Owner CAPEX'!R31,0)*(1+Sensitivity!$C$4)</f>
        <v>73.456861163960312</v>
      </c>
      <c r="V25" s="419">
        <f>IF($B25="Yes",'Owner CAPEX'!S31,0)*(1+Sensitivity!$C$4)</f>
        <v>94.363200000000006</v>
      </c>
      <c r="W25" s="419">
        <f>IF($B25="Yes",'Owner CAPEX'!T31,0)*(1+Sensitivity!$C$4)</f>
        <v>26.558854800000002</v>
      </c>
      <c r="X25" s="419">
        <f>IF($B25="Yes",'Owner CAPEX'!U31,0)*(1+Sensitivity!$C$4)</f>
        <v>80.112400000000008</v>
      </c>
      <c r="Y25" s="419">
        <f>IF($B25="Yes",'Owner CAPEX'!V31,0)*(1+Sensitivity!$C$4)</f>
        <v>232.38658279999999</v>
      </c>
      <c r="Z25" s="419">
        <f>IF($B25="Yes",'Owner CAPEX'!W31,0)*(1+Sensitivity!$C$4)</f>
        <v>42.660029163960317</v>
      </c>
      <c r="AA25" s="419">
        <f>IF($B25="Yes",'Owner CAPEX'!X31,0)*(1+Sensitivity!$C$4)</f>
        <v>203.02134661351636</v>
      </c>
      <c r="AB25" s="419">
        <f>IF($B25="Yes",'Owner CAPEX'!Y31,0)*(1+Sensitivity!$C$4)</f>
        <v>28.090261163960317</v>
      </c>
      <c r="AC25" s="419">
        <f>IF($B25="Yes",'Owner CAPEX'!Z31,0)*(1+Sensitivity!$C$4)</f>
        <v>93.352162613516413</v>
      </c>
      <c r="AD25" s="419">
        <f>IF($B25="Yes",'Owner CAPEX'!AA31,0)*(1+Sensitivity!$C$4)</f>
        <v>157.0256</v>
      </c>
    </row>
    <row r="26" spans="2:30">
      <c r="B26" s="416" t="s">
        <v>107</v>
      </c>
      <c r="C26" t="str">
        <f>'Owner CAPEX'!B32</f>
        <v>CHP</v>
      </c>
      <c r="E26" s="418">
        <f t="shared" si="2"/>
        <v>20.1114</v>
      </c>
      <c r="H26" s="419">
        <f>IF($B26="Yes",'Owner CAPEX'!E32,0)*(1+Sensitivity!$C$4)</f>
        <v>0</v>
      </c>
      <c r="I26" s="419">
        <f>IF($B26="Yes",'Owner CAPEX'!F32,0)*(1+Sensitivity!$C$4)</f>
        <v>0</v>
      </c>
      <c r="J26" s="419">
        <f>IF($B26="Yes",'Owner CAPEX'!G32,0)*(1+Sensitivity!$C$4)</f>
        <v>0</v>
      </c>
      <c r="K26" s="419">
        <f>IF($B26="Yes",'Owner CAPEX'!H32,0)*(1+Sensitivity!$C$4)</f>
        <v>0</v>
      </c>
      <c r="L26" s="419">
        <f>IF($B26="Yes",'Owner CAPEX'!I32,0)*(1+Sensitivity!$C$4)</f>
        <v>0</v>
      </c>
      <c r="M26" s="419">
        <f>IF($B26="Yes",'Owner CAPEX'!J32,0)*(1+Sensitivity!$C$4)</f>
        <v>0</v>
      </c>
      <c r="N26" s="419">
        <f>IF($B26="Yes",'Owner CAPEX'!K32,0)*(1+Sensitivity!$C$4)</f>
        <v>0</v>
      </c>
      <c r="O26" s="419">
        <f>IF($B26="Yes",'Owner CAPEX'!L32,0)*(1+Sensitivity!$C$4)</f>
        <v>0</v>
      </c>
      <c r="P26" s="419">
        <f>IF($B26="Yes",'Owner CAPEX'!M32,0)*(1+Sensitivity!$C$4)</f>
        <v>0</v>
      </c>
      <c r="Q26" s="419">
        <f>IF($B26="Yes",'Owner CAPEX'!N32,0)*(1+Sensitivity!$C$4)</f>
        <v>0</v>
      </c>
      <c r="R26" s="419">
        <f>IF($B26="Yes",'Owner CAPEX'!O32,0)*(1+Sensitivity!$C$4)</f>
        <v>0</v>
      </c>
      <c r="S26" s="419">
        <f>IF($B26="Yes",'Owner CAPEX'!P32,0)*(1+Sensitivity!$C$4)</f>
        <v>10.0557</v>
      </c>
      <c r="T26" s="419">
        <f>IF($B26="Yes",'Owner CAPEX'!Q32,0)*(1+Sensitivity!$C$4)</f>
        <v>0</v>
      </c>
      <c r="U26" s="419">
        <f>IF($B26="Yes",'Owner CAPEX'!R32,0)*(1+Sensitivity!$C$4)</f>
        <v>0</v>
      </c>
      <c r="V26" s="419">
        <f>IF($B26="Yes",'Owner CAPEX'!S32,0)*(1+Sensitivity!$C$4)</f>
        <v>0</v>
      </c>
      <c r="W26" s="419">
        <f>IF($B26="Yes",'Owner CAPEX'!T32,0)*(1+Sensitivity!$C$4)</f>
        <v>0</v>
      </c>
      <c r="X26" s="419">
        <f>IF($B26="Yes",'Owner CAPEX'!U32,0)*(1+Sensitivity!$C$4)</f>
        <v>0</v>
      </c>
      <c r="Y26" s="419">
        <f>IF($B26="Yes",'Owner CAPEX'!V32,0)*(1+Sensitivity!$C$4)</f>
        <v>0</v>
      </c>
      <c r="Z26" s="419">
        <f>IF($B26="Yes",'Owner CAPEX'!W32,0)*(1+Sensitivity!$C$4)</f>
        <v>0</v>
      </c>
      <c r="AA26" s="419">
        <f>IF($B26="Yes",'Owner CAPEX'!X32,0)*(1+Sensitivity!$C$4)</f>
        <v>10.0557</v>
      </c>
      <c r="AB26" s="419">
        <f>IF($B26="Yes",'Owner CAPEX'!Y32,0)*(1+Sensitivity!$C$4)</f>
        <v>0</v>
      </c>
      <c r="AC26" s="419">
        <f>IF($B26="Yes",'Owner CAPEX'!Z32,0)*(1+Sensitivity!$C$4)</f>
        <v>0</v>
      </c>
      <c r="AD26" s="419">
        <f>IF($B26="Yes",'Owner CAPEX'!AA32,0)*(1+Sensitivity!$C$4)</f>
        <v>0</v>
      </c>
    </row>
    <row r="27" spans="2:30">
      <c r="B27" s="416" t="s">
        <v>107</v>
      </c>
      <c r="C27" t="str">
        <f>'Owner CAPEX'!B33</f>
        <v>Civil Infrastructure</v>
      </c>
      <c r="E27" s="418">
        <f t="shared" si="2"/>
        <v>6.6850000000000005</v>
      </c>
      <c r="H27" s="419">
        <f>IF($B27="Yes",'Owner CAPEX'!E33,0)*(1+Sensitivity!$C$4)</f>
        <v>0</v>
      </c>
      <c r="I27" s="419">
        <f>IF($B27="Yes",'Owner CAPEX'!F33,0)*(1+Sensitivity!$C$4)</f>
        <v>0</v>
      </c>
      <c r="J27" s="419">
        <f>IF($B27="Yes",'Owner CAPEX'!G33,0)*(1+Sensitivity!$C$4)</f>
        <v>0</v>
      </c>
      <c r="K27" s="419">
        <f>IF($B27="Yes",'Owner CAPEX'!H33,0)*(1+Sensitivity!$C$4)</f>
        <v>0</v>
      </c>
      <c r="L27" s="419">
        <f>IF($B27="Yes",'Owner CAPEX'!I33,0)*(1+Sensitivity!$C$4)</f>
        <v>0</v>
      </c>
      <c r="M27" s="419">
        <f>IF($B27="Yes",'Owner CAPEX'!J33,0)*(1+Sensitivity!$C$4)</f>
        <v>0</v>
      </c>
      <c r="N27" s="419">
        <f>IF($B27="Yes",'Owner CAPEX'!K33,0)*(1+Sensitivity!$C$4)</f>
        <v>0</v>
      </c>
      <c r="O27" s="419">
        <f>IF($B27="Yes",'Owner CAPEX'!L33,0)*(1+Sensitivity!$C$4)</f>
        <v>0</v>
      </c>
      <c r="P27" s="419">
        <f>IF($B27="Yes",'Owner CAPEX'!M33,0)*(1+Sensitivity!$C$4)</f>
        <v>0</v>
      </c>
      <c r="Q27" s="419">
        <f>IF($B27="Yes",'Owner CAPEX'!N33,0)*(1+Sensitivity!$C$4)</f>
        <v>0</v>
      </c>
      <c r="R27" s="419">
        <f>IF($B27="Yes",'Owner CAPEX'!O33,0)*(1+Sensitivity!$C$4)</f>
        <v>0</v>
      </c>
      <c r="S27" s="419">
        <f>IF($B27="Yes",'Owner CAPEX'!P33,0)*(1+Sensitivity!$C$4)</f>
        <v>0</v>
      </c>
      <c r="T27" s="419">
        <f>IF($B27="Yes",'Owner CAPEX'!Q33,0)*(1+Sensitivity!$C$4)</f>
        <v>0</v>
      </c>
      <c r="U27" s="419">
        <f>IF($B27="Yes",'Owner CAPEX'!R33,0)*(1+Sensitivity!$C$4)</f>
        <v>6.6850000000000005</v>
      </c>
      <c r="V27" s="419">
        <f>IF($B27="Yes",'Owner CAPEX'!S33,0)*(1+Sensitivity!$C$4)</f>
        <v>0</v>
      </c>
      <c r="W27" s="419">
        <f>IF($B27="Yes",'Owner CAPEX'!T33,0)*(1+Sensitivity!$C$4)</f>
        <v>0</v>
      </c>
      <c r="X27" s="419">
        <f>IF($B27="Yes",'Owner CAPEX'!U33,0)*(1+Sensitivity!$C$4)</f>
        <v>0</v>
      </c>
      <c r="Y27" s="419">
        <f>IF($B27="Yes",'Owner CAPEX'!V33,0)*(1+Sensitivity!$C$4)</f>
        <v>0</v>
      </c>
      <c r="Z27" s="419">
        <f>IF($B27="Yes",'Owner CAPEX'!W33,0)*(1+Sensitivity!$C$4)</f>
        <v>0</v>
      </c>
      <c r="AA27" s="419">
        <f>IF($B27="Yes",'Owner CAPEX'!X33,0)*(1+Sensitivity!$C$4)</f>
        <v>0</v>
      </c>
      <c r="AB27" s="419">
        <f>IF($B27="Yes",'Owner CAPEX'!Y33,0)*(1+Sensitivity!$C$4)</f>
        <v>0</v>
      </c>
      <c r="AC27" s="419">
        <f>IF($B27="Yes",'Owner CAPEX'!Z33,0)*(1+Sensitivity!$C$4)</f>
        <v>0</v>
      </c>
      <c r="AD27" s="419">
        <f>IF($B27="Yes",'Owner CAPEX'!AA33,0)*(1+Sensitivity!$C$4)</f>
        <v>0</v>
      </c>
    </row>
    <row r="28" spans="2:30">
      <c r="B28" s="416" t="s">
        <v>107</v>
      </c>
      <c r="C28" t="str">
        <f>'Owner CAPEX'!B34</f>
        <v>Workshop and Store</v>
      </c>
      <c r="E28" s="418">
        <f t="shared" si="2"/>
        <v>0</v>
      </c>
      <c r="H28" s="419">
        <f>IF($B28="Yes",'Owner CAPEX'!E34,0)*(1+Sensitivity!$C$4)</f>
        <v>0</v>
      </c>
      <c r="I28" s="419">
        <f>IF($B28="Yes",'Owner CAPEX'!F34,0)*(1+Sensitivity!$C$4)</f>
        <v>0</v>
      </c>
      <c r="J28" s="419">
        <f>IF($B28="Yes",'Owner CAPEX'!G34,0)*(1+Sensitivity!$C$4)</f>
        <v>0</v>
      </c>
      <c r="K28" s="419">
        <f>IF($B28="Yes",'Owner CAPEX'!H34,0)*(1+Sensitivity!$C$4)</f>
        <v>0</v>
      </c>
      <c r="L28" s="419">
        <f>IF($B28="Yes",'Owner CAPEX'!I34,0)*(1+Sensitivity!$C$4)</f>
        <v>0</v>
      </c>
      <c r="M28" s="419">
        <f>IF($B28="Yes",'Owner CAPEX'!J34,0)*(1+Sensitivity!$C$4)</f>
        <v>0</v>
      </c>
      <c r="N28" s="419">
        <f>IF($B28="Yes",'Owner CAPEX'!K34,0)*(1+Sensitivity!$C$4)</f>
        <v>0</v>
      </c>
      <c r="O28" s="419">
        <f>IF($B28="Yes",'Owner CAPEX'!L34,0)*(1+Sensitivity!$C$4)</f>
        <v>0</v>
      </c>
      <c r="P28" s="419">
        <f>IF($B28="Yes",'Owner CAPEX'!M34,0)*(1+Sensitivity!$C$4)</f>
        <v>0</v>
      </c>
      <c r="Q28" s="419">
        <f>IF($B28="Yes",'Owner CAPEX'!N34,0)*(1+Sensitivity!$C$4)</f>
        <v>0</v>
      </c>
      <c r="R28" s="419">
        <f>IF($B28="Yes",'Owner CAPEX'!O34,0)*(1+Sensitivity!$C$4)</f>
        <v>0</v>
      </c>
      <c r="S28" s="419">
        <f>IF($B28="Yes",'Owner CAPEX'!P34,0)*(1+Sensitivity!$C$4)</f>
        <v>0</v>
      </c>
      <c r="T28" s="419">
        <f>IF($B28="Yes",'Owner CAPEX'!Q34,0)*(1+Sensitivity!$C$4)</f>
        <v>0</v>
      </c>
      <c r="U28" s="419">
        <f>IF($B28="Yes",'Owner CAPEX'!R34,0)*(1+Sensitivity!$C$4)</f>
        <v>0</v>
      </c>
      <c r="V28" s="419">
        <f>IF($B28="Yes",'Owner CAPEX'!S34,0)*(1+Sensitivity!$C$4)</f>
        <v>0</v>
      </c>
      <c r="W28" s="419">
        <f>IF($B28="Yes",'Owner CAPEX'!T34,0)*(1+Sensitivity!$C$4)</f>
        <v>0</v>
      </c>
      <c r="X28" s="419">
        <f>IF($B28="Yes",'Owner CAPEX'!U34,0)*(1+Sensitivity!$C$4)</f>
        <v>0</v>
      </c>
      <c r="Y28" s="419">
        <f>IF($B28="Yes",'Owner CAPEX'!V34,0)*(1+Sensitivity!$C$4)</f>
        <v>0</v>
      </c>
      <c r="Z28" s="419">
        <f>IF($B28="Yes",'Owner CAPEX'!W34,0)*(1+Sensitivity!$C$4)</f>
        <v>0</v>
      </c>
      <c r="AA28" s="419">
        <f>IF($B28="Yes",'Owner CAPEX'!X34,0)*(1+Sensitivity!$C$4)</f>
        <v>0</v>
      </c>
      <c r="AB28" s="419">
        <f>IF($B28="Yes",'Owner CAPEX'!Y34,0)*(1+Sensitivity!$C$4)</f>
        <v>0</v>
      </c>
      <c r="AC28" s="419">
        <f>IF($B28="Yes",'Owner CAPEX'!Z34,0)*(1+Sensitivity!$C$4)</f>
        <v>0</v>
      </c>
      <c r="AD28" s="419">
        <f>IF($B28="Yes",'Owner CAPEX'!AA34,0)*(1+Sensitivity!$C$4)</f>
        <v>0</v>
      </c>
    </row>
    <row r="29" spans="2:30">
      <c r="B29" s="416" t="s">
        <v>107</v>
      </c>
      <c r="C29" t="str">
        <f>'Owner CAPEX'!B35</f>
        <v xml:space="preserve">Electrical </v>
      </c>
      <c r="E29" s="418">
        <f t="shared" si="2"/>
        <v>0</v>
      </c>
      <c r="H29" s="419">
        <f>IF($B29="Yes",'Owner CAPEX'!E35,0)*(1+Sensitivity!$C$4)</f>
        <v>0</v>
      </c>
      <c r="I29" s="419">
        <f>IF($B29="Yes",'Owner CAPEX'!F35,0)*(1+Sensitivity!$C$4)</f>
        <v>0</v>
      </c>
      <c r="J29" s="419">
        <f>IF($B29="Yes",'Owner CAPEX'!G35,0)*(1+Sensitivity!$C$4)</f>
        <v>0</v>
      </c>
      <c r="K29" s="419">
        <f>IF($B29="Yes",'Owner CAPEX'!H35,0)*(1+Sensitivity!$C$4)</f>
        <v>0</v>
      </c>
      <c r="L29" s="419">
        <f>IF($B29="Yes",'Owner CAPEX'!I35,0)*(1+Sensitivity!$C$4)</f>
        <v>0</v>
      </c>
      <c r="M29" s="419">
        <f>IF($B29="Yes",'Owner CAPEX'!J35,0)*(1+Sensitivity!$C$4)</f>
        <v>0</v>
      </c>
      <c r="N29" s="419">
        <f>IF($B29="Yes",'Owner CAPEX'!K35,0)*(1+Sensitivity!$C$4)</f>
        <v>0</v>
      </c>
      <c r="O29" s="419">
        <f>IF($B29="Yes",'Owner CAPEX'!L35,0)*(1+Sensitivity!$C$4)</f>
        <v>0</v>
      </c>
      <c r="P29" s="419">
        <f>IF($B29="Yes",'Owner CAPEX'!M35,0)*(1+Sensitivity!$C$4)</f>
        <v>0</v>
      </c>
      <c r="Q29" s="419">
        <f>IF($B29="Yes",'Owner CAPEX'!N35,0)*(1+Sensitivity!$C$4)</f>
        <v>0</v>
      </c>
      <c r="R29" s="419">
        <f>IF($B29="Yes",'Owner CAPEX'!O35,0)*(1+Sensitivity!$C$4)</f>
        <v>0</v>
      </c>
      <c r="S29" s="419">
        <f>IF($B29="Yes",'Owner CAPEX'!P35,0)*(1+Sensitivity!$C$4)</f>
        <v>0</v>
      </c>
      <c r="T29" s="419">
        <f>IF($B29="Yes",'Owner CAPEX'!Q35,0)*(1+Sensitivity!$C$4)</f>
        <v>0</v>
      </c>
      <c r="U29" s="419">
        <f>IF($B29="Yes",'Owner CAPEX'!R35,0)*(1+Sensitivity!$C$4)</f>
        <v>0</v>
      </c>
      <c r="V29" s="419">
        <f>IF($B29="Yes",'Owner CAPEX'!S35,0)*(1+Sensitivity!$C$4)</f>
        <v>0</v>
      </c>
      <c r="W29" s="419">
        <f>IF($B29="Yes",'Owner CAPEX'!T35,0)*(1+Sensitivity!$C$4)</f>
        <v>0</v>
      </c>
      <c r="X29" s="419">
        <f>IF($B29="Yes",'Owner CAPEX'!U35,0)*(1+Sensitivity!$C$4)</f>
        <v>0</v>
      </c>
      <c r="Y29" s="419">
        <f>IF($B29="Yes",'Owner CAPEX'!V35,0)*(1+Sensitivity!$C$4)</f>
        <v>0</v>
      </c>
      <c r="Z29" s="419">
        <f>IF($B29="Yes",'Owner CAPEX'!W35,0)*(1+Sensitivity!$C$4)</f>
        <v>0</v>
      </c>
      <c r="AA29" s="419">
        <f>IF($B29="Yes",'Owner CAPEX'!X35,0)*(1+Sensitivity!$C$4)</f>
        <v>0</v>
      </c>
      <c r="AB29" s="419">
        <f>IF($B29="Yes",'Owner CAPEX'!Y35,0)*(1+Sensitivity!$C$4)</f>
        <v>0</v>
      </c>
      <c r="AC29" s="419">
        <f>IF($B29="Yes",'Owner CAPEX'!Z35,0)*(1+Sensitivity!$C$4)</f>
        <v>0</v>
      </c>
      <c r="AD29" s="419">
        <f>IF($B29="Yes",'Owner CAPEX'!AA35,0)*(1+Sensitivity!$C$4)</f>
        <v>0</v>
      </c>
    </row>
    <row r="30" spans="2:30">
      <c r="B30" s="416" t="s">
        <v>107</v>
      </c>
      <c r="C30" t="str">
        <f>'Owner CAPEX'!B36</f>
        <v>Mine Dewatering System</v>
      </c>
      <c r="E30" s="418">
        <f t="shared" si="2"/>
        <v>0</v>
      </c>
      <c r="H30" s="419">
        <f>IF($B30="Yes",'Owner CAPEX'!E36,0)*(1+Sensitivity!$C$4)</f>
        <v>0</v>
      </c>
      <c r="I30" s="419">
        <f>IF($B30="Yes",'Owner CAPEX'!F36,0)*(1+Sensitivity!$C$4)</f>
        <v>0</v>
      </c>
      <c r="J30" s="419">
        <f>IF($B30="Yes",'Owner CAPEX'!G36,0)*(1+Sensitivity!$C$4)</f>
        <v>0</v>
      </c>
      <c r="K30" s="419">
        <f>IF($B30="Yes",'Owner CAPEX'!H36,0)*(1+Sensitivity!$C$4)</f>
        <v>0</v>
      </c>
      <c r="L30" s="419">
        <f>IF($B30="Yes",'Owner CAPEX'!I36,0)*(1+Sensitivity!$C$4)</f>
        <v>0</v>
      </c>
      <c r="M30" s="419">
        <f>IF($B30="Yes",'Owner CAPEX'!J36,0)*(1+Sensitivity!$C$4)</f>
        <v>0</v>
      </c>
      <c r="N30" s="419">
        <f>IF($B30="Yes",'Owner CAPEX'!K36,0)*(1+Sensitivity!$C$4)</f>
        <v>0</v>
      </c>
      <c r="O30" s="419">
        <f>IF($B30="Yes",'Owner CAPEX'!L36,0)*(1+Sensitivity!$C$4)</f>
        <v>0</v>
      </c>
      <c r="P30" s="419">
        <f>IF($B30="Yes",'Owner CAPEX'!M36,0)*(1+Sensitivity!$C$4)</f>
        <v>0</v>
      </c>
      <c r="Q30" s="419">
        <f>IF($B30="Yes",'Owner CAPEX'!N36,0)*(1+Sensitivity!$C$4)</f>
        <v>0</v>
      </c>
      <c r="R30" s="419">
        <f>IF($B30="Yes",'Owner CAPEX'!O36,0)*(1+Sensitivity!$C$4)</f>
        <v>0</v>
      </c>
      <c r="S30" s="419">
        <f>IF($B30="Yes",'Owner CAPEX'!P36,0)*(1+Sensitivity!$C$4)</f>
        <v>0</v>
      </c>
      <c r="T30" s="419">
        <f>IF($B30="Yes",'Owner CAPEX'!Q36,0)*(1+Sensitivity!$C$4)</f>
        <v>0</v>
      </c>
      <c r="U30" s="419">
        <f>IF($B30="Yes",'Owner CAPEX'!R36,0)*(1+Sensitivity!$C$4)</f>
        <v>0</v>
      </c>
      <c r="V30" s="419">
        <f>IF($B30="Yes",'Owner CAPEX'!S36,0)*(1+Sensitivity!$C$4)</f>
        <v>0</v>
      </c>
      <c r="W30" s="419">
        <f>IF($B30="Yes",'Owner CAPEX'!T36,0)*(1+Sensitivity!$C$4)</f>
        <v>0</v>
      </c>
      <c r="X30" s="419">
        <f>IF($B30="Yes",'Owner CAPEX'!U36,0)*(1+Sensitivity!$C$4)</f>
        <v>0</v>
      </c>
      <c r="Y30" s="419">
        <f>IF($B30="Yes",'Owner CAPEX'!V36,0)*(1+Sensitivity!$C$4)</f>
        <v>0</v>
      </c>
      <c r="Z30" s="419">
        <f>IF($B30="Yes",'Owner CAPEX'!W36,0)*(1+Sensitivity!$C$4)</f>
        <v>0</v>
      </c>
      <c r="AA30" s="419">
        <f>IF($B30="Yes",'Owner CAPEX'!X36,0)*(1+Sensitivity!$C$4)</f>
        <v>0</v>
      </c>
      <c r="AB30" s="419">
        <f>IF($B30="Yes",'Owner CAPEX'!Y36,0)*(1+Sensitivity!$C$4)</f>
        <v>0</v>
      </c>
      <c r="AC30" s="419">
        <f>IF($B30="Yes",'Owner CAPEX'!Z36,0)*(1+Sensitivity!$C$4)</f>
        <v>0</v>
      </c>
      <c r="AD30" s="419">
        <f>IF($B30="Yes",'Owner CAPEX'!AA36,0)*(1+Sensitivity!$C$4)</f>
        <v>0</v>
      </c>
    </row>
    <row r="31" spans="2:30">
      <c r="B31" s="416" t="s">
        <v>107</v>
      </c>
      <c r="C31" t="str">
        <f>'Owner CAPEX'!B37</f>
        <v>Digitalisation</v>
      </c>
      <c r="E31" s="418">
        <f t="shared" si="2"/>
        <v>0</v>
      </c>
      <c r="H31" s="419">
        <f>IF($B31="Yes",'Owner CAPEX'!E37,0)*(1+Sensitivity!$C$4)</f>
        <v>0</v>
      </c>
      <c r="I31" s="419">
        <f>IF($B31="Yes",'Owner CAPEX'!F37,0)*(1+Sensitivity!$C$4)</f>
        <v>0</v>
      </c>
      <c r="J31" s="419">
        <f>IF($B31="Yes",'Owner CAPEX'!G37,0)*(1+Sensitivity!$C$4)</f>
        <v>0</v>
      </c>
      <c r="K31" s="419">
        <f>IF($B31="Yes",'Owner CAPEX'!H37,0)*(1+Sensitivity!$C$4)</f>
        <v>0</v>
      </c>
      <c r="L31" s="419">
        <f>IF($B31="Yes",'Owner CAPEX'!I37,0)*(1+Sensitivity!$C$4)</f>
        <v>0</v>
      </c>
      <c r="M31" s="419">
        <f>IF($B31="Yes",'Owner CAPEX'!J37,0)*(1+Sensitivity!$C$4)</f>
        <v>0</v>
      </c>
      <c r="N31" s="419">
        <f>IF($B31="Yes",'Owner CAPEX'!K37,0)*(1+Sensitivity!$C$4)</f>
        <v>0</v>
      </c>
      <c r="O31" s="419">
        <f>IF($B31="Yes",'Owner CAPEX'!L37,0)*(1+Sensitivity!$C$4)</f>
        <v>0</v>
      </c>
      <c r="P31" s="419">
        <f>IF($B31="Yes",'Owner CAPEX'!M37,0)*(1+Sensitivity!$C$4)</f>
        <v>0</v>
      </c>
      <c r="Q31" s="419">
        <f>IF($B31="Yes",'Owner CAPEX'!N37,0)*(1+Sensitivity!$C$4)</f>
        <v>0</v>
      </c>
      <c r="R31" s="419">
        <f>IF($B31="Yes",'Owner CAPEX'!O37,0)*(1+Sensitivity!$C$4)</f>
        <v>0</v>
      </c>
      <c r="S31" s="419">
        <f>IF($B31="Yes",'Owner CAPEX'!P37,0)*(1+Sensitivity!$C$4)</f>
        <v>0</v>
      </c>
      <c r="T31" s="419">
        <f>IF($B31="Yes",'Owner CAPEX'!Q37,0)*(1+Sensitivity!$C$4)</f>
        <v>0</v>
      </c>
      <c r="U31" s="419">
        <f>IF($B31="Yes",'Owner CAPEX'!R37,0)*(1+Sensitivity!$C$4)</f>
        <v>0</v>
      </c>
      <c r="V31" s="419">
        <f>IF($B31="Yes",'Owner CAPEX'!S37,0)*(1+Sensitivity!$C$4)</f>
        <v>0</v>
      </c>
      <c r="W31" s="419">
        <f>IF($B31="Yes",'Owner CAPEX'!T37,0)*(1+Sensitivity!$C$4)</f>
        <v>0</v>
      </c>
      <c r="X31" s="419">
        <f>IF($B31="Yes",'Owner CAPEX'!U37,0)*(1+Sensitivity!$C$4)</f>
        <v>0</v>
      </c>
      <c r="Y31" s="419">
        <f>IF($B31="Yes",'Owner CAPEX'!V37,0)*(1+Sensitivity!$C$4)</f>
        <v>0</v>
      </c>
      <c r="Z31" s="419">
        <f>IF($B31="Yes",'Owner CAPEX'!W37,0)*(1+Sensitivity!$C$4)</f>
        <v>0</v>
      </c>
      <c r="AA31" s="419">
        <f>IF($B31="Yes",'Owner CAPEX'!X37,0)*(1+Sensitivity!$C$4)</f>
        <v>0</v>
      </c>
      <c r="AB31" s="419">
        <f>IF($B31="Yes",'Owner CAPEX'!Y37,0)*(1+Sensitivity!$C$4)</f>
        <v>0</v>
      </c>
      <c r="AC31" s="419">
        <f>IF($B31="Yes",'Owner CAPEX'!Z37,0)*(1+Sensitivity!$C$4)</f>
        <v>0</v>
      </c>
      <c r="AD31" s="419">
        <f>IF($B31="Yes",'Owner CAPEX'!AA37,0)*(1+Sensitivity!$C$4)</f>
        <v>0</v>
      </c>
    </row>
    <row r="32" spans="2:30">
      <c r="B32" s="416" t="s">
        <v>107</v>
      </c>
      <c r="C32" t="str">
        <f>'Owner CAPEX'!B38</f>
        <v xml:space="preserve">Contingency </v>
      </c>
      <c r="E32" s="418">
        <f t="shared" si="2"/>
        <v>208.77677392243115</v>
      </c>
      <c r="H32" s="419">
        <f>IF($B32="Yes",'Owner CAPEX'!E38,0)*(1+Sensitivity!$C$4)</f>
        <v>0</v>
      </c>
      <c r="I32" s="419">
        <f>IF($B32="Yes",'Owner CAPEX'!F38,0)*(1+Sensitivity!$C$4)</f>
        <v>0</v>
      </c>
      <c r="J32" s="419">
        <f>IF($B32="Yes",'Owner CAPEX'!G38,0)*(1+Sensitivity!$C$4)</f>
        <v>0</v>
      </c>
      <c r="K32" s="419">
        <f>IF($B32="Yes",'Owner CAPEX'!H38,0)*(1+Sensitivity!$C$4)</f>
        <v>0</v>
      </c>
      <c r="L32" s="419">
        <f>IF($B32="Yes",'Owner CAPEX'!I38,0)*(1+Sensitivity!$C$4)</f>
        <v>0</v>
      </c>
      <c r="M32" s="419">
        <f>IF($B32="Yes",'Owner CAPEX'!J38,0)*(1+Sensitivity!$C$4)</f>
        <v>0</v>
      </c>
      <c r="N32" s="419">
        <f>IF($B32="Yes",'Owner CAPEX'!K38,0)*(1+Sensitivity!$C$4)</f>
        <v>0</v>
      </c>
      <c r="O32" s="419">
        <f>IF($B32="Yes",'Owner CAPEX'!L38,0)*(1+Sensitivity!$C$4)</f>
        <v>0</v>
      </c>
      <c r="P32" s="419">
        <f>IF($B32="Yes",'Owner CAPEX'!M38,0)*(1+Sensitivity!$C$4)</f>
        <v>0</v>
      </c>
      <c r="Q32" s="419">
        <f>IF($B32="Yes",'Owner CAPEX'!N38,0)*(1+Sensitivity!$C$4)</f>
        <v>11.502000000000001</v>
      </c>
      <c r="R32" s="419">
        <f>IF($B32="Yes",'Owner CAPEX'!O38,0)*(1+Sensitivity!$C$4)</f>
        <v>3.7973399999999997</v>
      </c>
      <c r="S32" s="419">
        <f>IF($B32="Yes",'Owner CAPEX'!P38,0)*(1+Sensitivity!$C$4)</f>
        <v>13.414404174594049</v>
      </c>
      <c r="T32" s="419">
        <f>IF($B32="Yes",'Owner CAPEX'!Q38,0)*(1+Sensitivity!$C$4)</f>
        <v>22.897829999999999</v>
      </c>
      <c r="U32" s="419">
        <f>IF($B32="Yes",'Owner CAPEX'!R38,0)*(1+Sensitivity!$C$4)</f>
        <v>12.021279174594047</v>
      </c>
      <c r="V32" s="419">
        <f>IF($B32="Yes",'Owner CAPEX'!S38,0)*(1+Sensitivity!$C$4)</f>
        <v>14.154480000000001</v>
      </c>
      <c r="W32" s="419">
        <f>IF($B32="Yes",'Owner CAPEX'!T38,0)*(1+Sensitivity!$C$4)</f>
        <v>3.9838282200000004</v>
      </c>
      <c r="X32" s="419">
        <f>IF($B32="Yes",'Owner CAPEX'!U38,0)*(1+Sensitivity!$C$4)</f>
        <v>12.016860000000001</v>
      </c>
      <c r="Y32" s="419">
        <f>IF($B32="Yes",'Owner CAPEX'!V38,0)*(1+Sensitivity!$C$4)</f>
        <v>34.857987419999994</v>
      </c>
      <c r="Z32" s="419">
        <f>IF($B32="Yes",'Owner CAPEX'!W38,0)*(1+Sensitivity!$C$4)</f>
        <v>6.399004374594047</v>
      </c>
      <c r="AA32" s="419">
        <f>IF($B32="Yes",'Owner CAPEX'!X38,0)*(1+Sensitivity!$C$4)</f>
        <v>31.961556992027454</v>
      </c>
      <c r="AB32" s="419">
        <f>IF($B32="Yes",'Owner CAPEX'!Y38,0)*(1+Sensitivity!$C$4)</f>
        <v>4.2135391745940476</v>
      </c>
      <c r="AC32" s="419">
        <f>IF($B32="Yes",'Owner CAPEX'!Z38,0)*(1+Sensitivity!$C$4)</f>
        <v>14.002824392027462</v>
      </c>
      <c r="AD32" s="419">
        <f>IF($B32="Yes",'Owner CAPEX'!AA38,0)*(1+Sensitivity!$C$4)</f>
        <v>23.553839999999997</v>
      </c>
    </row>
    <row r="33" spans="2:30">
      <c r="C33" s="191" t="s">
        <v>543</v>
      </c>
      <c r="E33" s="418">
        <f t="shared" si="2"/>
        <v>1600.6219334053048</v>
      </c>
      <c r="H33" s="421">
        <f>SUM(H25:H32)</f>
        <v>0</v>
      </c>
      <c r="I33" s="421">
        <f t="shared" ref="I33:AD33" si="3">SUM(I25:I32)</f>
        <v>0</v>
      </c>
      <c r="J33" s="421">
        <f t="shared" si="3"/>
        <v>0</v>
      </c>
      <c r="K33" s="421">
        <f t="shared" si="3"/>
        <v>0</v>
      </c>
      <c r="L33" s="421">
        <f t="shared" si="3"/>
        <v>0</v>
      </c>
      <c r="M33" s="421">
        <f t="shared" si="3"/>
        <v>0</v>
      </c>
      <c r="N33" s="421">
        <f t="shared" si="3"/>
        <v>0</v>
      </c>
      <c r="O33" s="421">
        <f t="shared" si="3"/>
        <v>0</v>
      </c>
      <c r="P33" s="421">
        <f t="shared" si="3"/>
        <v>0</v>
      </c>
      <c r="Q33" s="421">
        <f t="shared" si="3"/>
        <v>88.182000000000002</v>
      </c>
      <c r="R33" s="421">
        <f t="shared" si="3"/>
        <v>29.112939999999998</v>
      </c>
      <c r="S33" s="421">
        <f t="shared" si="3"/>
        <v>102.84376533855438</v>
      </c>
      <c r="T33" s="421">
        <f t="shared" si="3"/>
        <v>175.55002999999999</v>
      </c>
      <c r="U33" s="421">
        <f t="shared" si="3"/>
        <v>92.163140338554356</v>
      </c>
      <c r="V33" s="421">
        <f t="shared" si="3"/>
        <v>108.51768000000001</v>
      </c>
      <c r="W33" s="421">
        <f t="shared" si="3"/>
        <v>30.542683020000002</v>
      </c>
      <c r="X33" s="421">
        <f t="shared" si="3"/>
        <v>92.129260000000016</v>
      </c>
      <c r="Y33" s="421">
        <f t="shared" si="3"/>
        <v>267.24457021999996</v>
      </c>
      <c r="Z33" s="421">
        <f t="shared" si="3"/>
        <v>49.059033538554367</v>
      </c>
      <c r="AA33" s="421">
        <f t="shared" si="3"/>
        <v>245.03860360554381</v>
      </c>
      <c r="AB33" s="421">
        <f t="shared" si="3"/>
        <v>32.303800338554367</v>
      </c>
      <c r="AC33" s="421">
        <f t="shared" si="3"/>
        <v>107.35498700554388</v>
      </c>
      <c r="AD33" s="421">
        <f t="shared" si="3"/>
        <v>180.57944000000001</v>
      </c>
    </row>
    <row r="35" spans="2:30">
      <c r="C35" s="191" t="s">
        <v>545</v>
      </c>
      <c r="E35" s="418">
        <f ca="1">SUM(H35:AX35)</f>
        <v>6433.7254982060995</v>
      </c>
      <c r="H35" s="420">
        <f ca="1">H23+H33</f>
        <v>155.99429899999996</v>
      </c>
      <c r="I35" s="420">
        <f t="shared" ref="I35:AD35" ca="1" si="4">I23+I33</f>
        <v>343.46764946670999</v>
      </c>
      <c r="J35" s="420">
        <f t="shared" ca="1" si="4"/>
        <v>677.71389931114004</v>
      </c>
      <c r="K35" s="420">
        <f t="shared" ca="1" si="4"/>
        <v>542.15414931113992</v>
      </c>
      <c r="L35" s="420">
        <f t="shared" si="4"/>
        <v>512.03669517858111</v>
      </c>
      <c r="M35" s="420">
        <f t="shared" si="4"/>
        <v>185.81300719102592</v>
      </c>
      <c r="N35" s="420">
        <f t="shared" si="4"/>
        <v>214.02863287685622</v>
      </c>
      <c r="O35" s="420">
        <f t="shared" si="4"/>
        <v>587.76578361934594</v>
      </c>
      <c r="P35" s="420">
        <f t="shared" si="4"/>
        <v>327.99202442645139</v>
      </c>
      <c r="Q35" s="420">
        <f t="shared" si="4"/>
        <v>525.44185965517624</v>
      </c>
      <c r="R35" s="420">
        <f t="shared" si="4"/>
        <v>328.5690080551762</v>
      </c>
      <c r="S35" s="420">
        <f t="shared" si="4"/>
        <v>400.18130339373062</v>
      </c>
      <c r="T35" s="420">
        <f t="shared" si="4"/>
        <v>352.30201448348981</v>
      </c>
      <c r="U35" s="420">
        <f t="shared" si="4"/>
        <v>119.77485150374628</v>
      </c>
      <c r="V35" s="420">
        <f t="shared" si="4"/>
        <v>142.23246515729761</v>
      </c>
      <c r="W35" s="420">
        <f t="shared" si="4"/>
        <v>30.542683020000002</v>
      </c>
      <c r="X35" s="420">
        <f t="shared" si="4"/>
        <v>96.366320000000016</v>
      </c>
      <c r="Y35" s="420">
        <f t="shared" si="4"/>
        <v>269.36310021999998</v>
      </c>
      <c r="Z35" s="420">
        <f t="shared" si="4"/>
        <v>56.708921386587946</v>
      </c>
      <c r="AA35" s="420">
        <f t="shared" si="4"/>
        <v>245.03860360554381</v>
      </c>
      <c r="AB35" s="420">
        <f t="shared" si="4"/>
        <v>32.303800338554367</v>
      </c>
      <c r="AC35" s="420">
        <f t="shared" si="4"/>
        <v>107.35498700554388</v>
      </c>
      <c r="AD35" s="420">
        <f t="shared" si="4"/>
        <v>180.57944000000001</v>
      </c>
    </row>
    <row r="36" spans="2:30">
      <c r="E36" s="418" t="b">
        <f ca="1">E35='Owner CAPEX'!D41-'Owner CAPEX'!D25</f>
        <v>1</v>
      </c>
    </row>
    <row r="38" spans="2:30">
      <c r="C38" s="94" t="s">
        <v>546</v>
      </c>
    </row>
    <row r="39" spans="2:30">
      <c r="B39" s="431">
        <v>1</v>
      </c>
      <c r="C39" s="191" t="s">
        <v>166</v>
      </c>
      <c r="H39" s="201">
        <f>H2</f>
        <v>46023</v>
      </c>
      <c r="I39" s="201">
        <f t="shared" ref="I39:AD39" si="5">I2</f>
        <v>46389</v>
      </c>
      <c r="J39" s="201">
        <f t="shared" si="5"/>
        <v>46755</v>
      </c>
      <c r="K39" s="201">
        <f t="shared" si="5"/>
        <v>47121</v>
      </c>
      <c r="L39" s="201">
        <f t="shared" si="5"/>
        <v>47487</v>
      </c>
      <c r="M39" s="201">
        <f t="shared" si="5"/>
        <v>47853</v>
      </c>
      <c r="N39" s="201">
        <f t="shared" si="5"/>
        <v>48219</v>
      </c>
      <c r="O39" s="201">
        <f t="shared" si="5"/>
        <v>48585</v>
      </c>
      <c r="P39" s="201">
        <f t="shared" si="5"/>
        <v>48951</v>
      </c>
      <c r="Q39" s="201">
        <f t="shared" si="5"/>
        <v>49317</v>
      </c>
      <c r="R39" s="201">
        <f t="shared" si="5"/>
        <v>49683</v>
      </c>
      <c r="S39" s="201">
        <f t="shared" si="5"/>
        <v>50049</v>
      </c>
      <c r="T39" s="201">
        <f t="shared" si="5"/>
        <v>50415</v>
      </c>
      <c r="U39" s="201">
        <f t="shared" si="5"/>
        <v>50781</v>
      </c>
      <c r="V39" s="201">
        <f t="shared" si="5"/>
        <v>51147</v>
      </c>
      <c r="W39" s="201">
        <f t="shared" si="5"/>
        <v>51513</v>
      </c>
      <c r="X39" s="201">
        <f t="shared" si="5"/>
        <v>51879</v>
      </c>
      <c r="Y39" s="201">
        <f t="shared" si="5"/>
        <v>52245</v>
      </c>
      <c r="Z39" s="201">
        <f t="shared" si="5"/>
        <v>52611</v>
      </c>
      <c r="AA39" s="201">
        <f t="shared" si="5"/>
        <v>52977</v>
      </c>
      <c r="AB39" s="201">
        <f t="shared" si="5"/>
        <v>53343</v>
      </c>
      <c r="AC39" s="201">
        <f t="shared" si="5"/>
        <v>53709</v>
      </c>
      <c r="AD39" s="201">
        <f t="shared" si="5"/>
        <v>54075</v>
      </c>
    </row>
    <row r="40" spans="2:30">
      <c r="B40" s="431">
        <v>2</v>
      </c>
      <c r="H40" s="1141">
        <f>H3</f>
        <v>-4</v>
      </c>
      <c r="I40" s="1141">
        <f t="shared" ref="I40:AD40" si="6">I3</f>
        <v>-3</v>
      </c>
      <c r="J40" s="1141">
        <f t="shared" si="6"/>
        <v>-2</v>
      </c>
      <c r="K40" s="1141">
        <f t="shared" si="6"/>
        <v>-1</v>
      </c>
      <c r="L40" s="1141">
        <f t="shared" si="6"/>
        <v>1</v>
      </c>
      <c r="M40" s="1141">
        <f t="shared" si="6"/>
        <v>2</v>
      </c>
      <c r="N40" s="1141">
        <f t="shared" si="6"/>
        <v>3</v>
      </c>
      <c r="O40" s="1141">
        <f t="shared" si="6"/>
        <v>4</v>
      </c>
      <c r="P40" s="1141">
        <f t="shared" si="6"/>
        <v>5</v>
      </c>
      <c r="Q40" s="1141">
        <f t="shared" si="6"/>
        <v>6</v>
      </c>
      <c r="R40" s="1141">
        <f t="shared" si="6"/>
        <v>7</v>
      </c>
      <c r="S40" s="1141">
        <f t="shared" si="6"/>
        <v>8</v>
      </c>
      <c r="T40" s="1141">
        <f t="shared" si="6"/>
        <v>9</v>
      </c>
      <c r="U40" s="1141">
        <f t="shared" si="6"/>
        <v>10</v>
      </c>
      <c r="V40" s="1141">
        <f t="shared" si="6"/>
        <v>11</v>
      </c>
      <c r="W40" s="1141">
        <f t="shared" si="6"/>
        <v>12</v>
      </c>
      <c r="X40" s="1141">
        <f t="shared" si="6"/>
        <v>13</v>
      </c>
      <c r="Y40" s="1141">
        <f t="shared" si="6"/>
        <v>14</v>
      </c>
      <c r="Z40" s="1141">
        <f t="shared" si="6"/>
        <v>15</v>
      </c>
      <c r="AA40" s="1141">
        <f t="shared" si="6"/>
        <v>16</v>
      </c>
      <c r="AB40" s="1141">
        <f t="shared" si="6"/>
        <v>17</v>
      </c>
      <c r="AC40" s="1141">
        <f t="shared" si="6"/>
        <v>18</v>
      </c>
      <c r="AD40" s="1141">
        <f t="shared" si="6"/>
        <v>19</v>
      </c>
    </row>
    <row r="41" spans="2:30">
      <c r="B41" s="431">
        <v>3</v>
      </c>
      <c r="C41" s="191" t="str">
        <f>C9</f>
        <v xml:space="preserve">Pre-operative costs </v>
      </c>
      <c r="F41" s="423">
        <v>0.1</v>
      </c>
      <c r="H41" s="424"/>
      <c r="I41" s="424"/>
      <c r="J41" s="424"/>
      <c r="K41" s="424"/>
      <c r="L41" s="424"/>
      <c r="M41" s="424"/>
    </row>
    <row r="42" spans="2:30">
      <c r="B42" s="431">
        <v>4</v>
      </c>
      <c r="C42" s="422" t="s">
        <v>547</v>
      </c>
      <c r="D42" s="422" t="s">
        <v>134</v>
      </c>
      <c r="H42" s="424">
        <f>G46</f>
        <v>0</v>
      </c>
      <c r="I42" s="424">
        <f ca="1">H46</f>
        <v>124.98998399999996</v>
      </c>
      <c r="J42" s="424">
        <f t="shared" ref="J42:M42" ca="1" si="7">I46</f>
        <v>140.14544199999997</v>
      </c>
      <c r="K42" s="424">
        <f t="shared" ca="1" si="7"/>
        <v>153.14307399999996</v>
      </c>
      <c r="L42" s="424">
        <f t="shared" ca="1" si="7"/>
        <v>185.83262999999994</v>
      </c>
      <c r="M42" s="424">
        <f t="shared" ca="1" si="7"/>
        <v>204.04792599999993</v>
      </c>
      <c r="N42" s="424">
        <f t="shared" ref="N42:AD42" ca="1" si="8">M46</f>
        <v>172.72822199999993</v>
      </c>
      <c r="O42" s="424">
        <f t="shared" ca="1" si="8"/>
        <v>141.40851799999993</v>
      </c>
      <c r="P42" s="424">
        <f t="shared" ca="1" si="8"/>
        <v>110.08881399999993</v>
      </c>
      <c r="Q42" s="424">
        <f t="shared" ca="1" si="8"/>
        <v>78.769109999999927</v>
      </c>
      <c r="R42" s="424">
        <f t="shared" ca="1" si="8"/>
        <v>47.449405999999946</v>
      </c>
      <c r="S42" s="424">
        <f t="shared" ca="1" si="8"/>
        <v>30.017477999999958</v>
      </c>
      <c r="T42" s="424">
        <f t="shared" ca="1" si="8"/>
        <v>15.81257599999997</v>
      </c>
      <c r="U42" s="424">
        <f t="shared" ca="1" si="8"/>
        <v>4.9534999999999698</v>
      </c>
      <c r="V42" s="424">
        <f t="shared" ca="1" si="8"/>
        <v>-3.730349362740526E-14</v>
      </c>
      <c r="W42" s="424">
        <f t="shared" ca="1" si="8"/>
        <v>-4.4408920985006262E-14</v>
      </c>
      <c r="X42" s="424">
        <f t="shared" ca="1" si="8"/>
        <v>-4.4408920985006262E-14</v>
      </c>
      <c r="Y42" s="424">
        <f t="shared" ca="1" si="8"/>
        <v>-4.4408920985006262E-14</v>
      </c>
      <c r="Z42" s="424">
        <f t="shared" ca="1" si="8"/>
        <v>-4.4408920985006262E-14</v>
      </c>
      <c r="AA42" s="424">
        <f t="shared" ca="1" si="8"/>
        <v>-4.4408920985006262E-14</v>
      </c>
      <c r="AB42" s="424">
        <f t="shared" ca="1" si="8"/>
        <v>-4.4408920985006262E-14</v>
      </c>
      <c r="AC42" s="424">
        <f t="shared" ca="1" si="8"/>
        <v>-4.4408920985006262E-14</v>
      </c>
      <c r="AD42" s="424">
        <f t="shared" ca="1" si="8"/>
        <v>-4.4408920985006262E-14</v>
      </c>
    </row>
    <row r="43" spans="2:30">
      <c r="B43" s="431">
        <v>5</v>
      </c>
      <c r="C43" s="422" t="s">
        <v>548</v>
      </c>
      <c r="D43" s="422" t="s">
        <v>134</v>
      </c>
      <c r="E43" s="424">
        <f ca="1">SUM(H43:AI43)</f>
        <v>313.19704000000002</v>
      </c>
      <c r="H43" s="424">
        <f ca="1">H9+H10</f>
        <v>138.87775999999997</v>
      </c>
      <c r="I43" s="424">
        <f t="shared" ref="I43:AD43" ca="1" si="9">I9+I10</f>
        <v>32.27026</v>
      </c>
      <c r="J43" s="424">
        <f t="shared" ca="1" si="9"/>
        <v>33.458260000000003</v>
      </c>
      <c r="K43" s="424">
        <f t="shared" ca="1" si="9"/>
        <v>59.055759999999999</v>
      </c>
      <c r="L43" s="424">
        <f t="shared" si="9"/>
        <v>49.534999999999997</v>
      </c>
      <c r="M43" s="424">
        <f t="shared" si="9"/>
        <v>0</v>
      </c>
      <c r="N43" s="424">
        <f t="shared" si="9"/>
        <v>0</v>
      </c>
      <c r="O43" s="424">
        <f t="shared" si="9"/>
        <v>0</v>
      </c>
      <c r="P43" s="424">
        <f t="shared" si="9"/>
        <v>0</v>
      </c>
      <c r="Q43" s="424">
        <f t="shared" si="9"/>
        <v>0</v>
      </c>
      <c r="R43" s="424">
        <f t="shared" si="9"/>
        <v>0</v>
      </c>
      <c r="S43" s="424">
        <f t="shared" si="9"/>
        <v>0</v>
      </c>
      <c r="T43" s="424">
        <f t="shared" si="9"/>
        <v>0</v>
      </c>
      <c r="U43" s="424">
        <f t="shared" si="9"/>
        <v>0</v>
      </c>
      <c r="V43" s="424">
        <f t="shared" si="9"/>
        <v>0</v>
      </c>
      <c r="W43" s="424">
        <f t="shared" si="9"/>
        <v>0</v>
      </c>
      <c r="X43" s="424">
        <f t="shared" si="9"/>
        <v>0</v>
      </c>
      <c r="Y43" s="424">
        <f t="shared" si="9"/>
        <v>0</v>
      </c>
      <c r="Z43" s="424">
        <f t="shared" si="9"/>
        <v>0</v>
      </c>
      <c r="AA43" s="424">
        <f t="shared" si="9"/>
        <v>0</v>
      </c>
      <c r="AB43" s="424">
        <f t="shared" si="9"/>
        <v>0</v>
      </c>
      <c r="AC43" s="424">
        <f t="shared" si="9"/>
        <v>0</v>
      </c>
      <c r="AD43" s="424">
        <f t="shared" si="9"/>
        <v>0</v>
      </c>
    </row>
    <row r="44" spans="2:30">
      <c r="B44" s="431">
        <v>6</v>
      </c>
      <c r="C44" s="422" t="s">
        <v>549</v>
      </c>
      <c r="D44" s="422" t="s">
        <v>134</v>
      </c>
      <c r="E44" s="424">
        <f ca="1">SUM(H44:AI44)</f>
        <v>313.19704000000002</v>
      </c>
      <c r="H44" s="424">
        <f ca="1">H221</f>
        <v>13.887775999999997</v>
      </c>
      <c r="I44" s="424">
        <f ca="1">I221</f>
        <v>17.114801999999997</v>
      </c>
      <c r="J44" s="424">
        <f t="shared" ref="J44:M44" ca="1" si="10">J221</f>
        <v>20.460628</v>
      </c>
      <c r="K44" s="424">
        <f t="shared" ca="1" si="10"/>
        <v>26.366204</v>
      </c>
      <c r="L44" s="424">
        <f t="shared" ca="1" si="10"/>
        <v>31.319704000000002</v>
      </c>
      <c r="M44" s="424">
        <f t="shared" ca="1" si="10"/>
        <v>31.319704000000002</v>
      </c>
      <c r="N44" s="424">
        <f t="shared" ref="N44:AD44" ca="1" si="11">N221</f>
        <v>31.319704000000002</v>
      </c>
      <c r="O44" s="424">
        <f t="shared" ca="1" si="11"/>
        <v>31.319704000000002</v>
      </c>
      <c r="P44" s="424">
        <f t="shared" ca="1" si="11"/>
        <v>31.319704000000002</v>
      </c>
      <c r="Q44" s="424">
        <f t="shared" ca="1" si="11"/>
        <v>31.31970399999998</v>
      </c>
      <c r="R44" s="424">
        <f t="shared" ca="1" si="11"/>
        <v>17.431927999999989</v>
      </c>
      <c r="S44" s="424">
        <f t="shared" ca="1" si="11"/>
        <v>14.204901999999988</v>
      </c>
      <c r="T44" s="424">
        <f t="shared" ca="1" si="11"/>
        <v>10.859076</v>
      </c>
      <c r="U44" s="424">
        <f t="shared" ca="1" si="11"/>
        <v>4.9535000000000071</v>
      </c>
      <c r="V44" s="424">
        <f t="shared" ca="1" si="11"/>
        <v>7.1054273576010019E-15</v>
      </c>
      <c r="W44" s="424">
        <f t="shared" ca="1" si="11"/>
        <v>0</v>
      </c>
      <c r="X44" s="424">
        <f t="shared" ca="1" si="11"/>
        <v>0</v>
      </c>
      <c r="Y44" s="424">
        <f t="shared" ca="1" si="11"/>
        <v>0</v>
      </c>
      <c r="Z44" s="424">
        <f t="shared" ca="1" si="11"/>
        <v>0</v>
      </c>
      <c r="AA44" s="424">
        <f t="shared" ca="1" si="11"/>
        <v>0</v>
      </c>
      <c r="AB44" s="424">
        <f t="shared" ca="1" si="11"/>
        <v>0</v>
      </c>
      <c r="AC44" s="424">
        <f t="shared" ca="1" si="11"/>
        <v>0</v>
      </c>
      <c r="AD44" s="424">
        <f t="shared" ca="1" si="11"/>
        <v>0</v>
      </c>
    </row>
    <row r="45" spans="2:30">
      <c r="B45" s="431">
        <v>7</v>
      </c>
      <c r="C45" s="422" t="s">
        <v>550</v>
      </c>
      <c r="D45" s="422" t="s">
        <v>134</v>
      </c>
      <c r="H45" s="424">
        <f ca="1">SUM($H44:H44)</f>
        <v>13.887775999999997</v>
      </c>
      <c r="I45" s="424">
        <f ca="1">SUM($H44:I44)</f>
        <v>31.002577999999993</v>
      </c>
      <c r="J45" s="424">
        <f ca="1">SUM($H44:J44)</f>
        <v>51.463205999999992</v>
      </c>
      <c r="K45" s="424">
        <f ca="1">SUM($H44:K44)</f>
        <v>77.829409999999996</v>
      </c>
      <c r="L45" s="424">
        <f ca="1">SUM($H44:L44)</f>
        <v>109.149114</v>
      </c>
      <c r="M45" s="424">
        <f ca="1">SUM($H44:M44)</f>
        <v>140.468818</v>
      </c>
      <c r="N45" s="424">
        <f ca="1">SUM($H44:N44)</f>
        <v>171.788522</v>
      </c>
      <c r="O45" s="424">
        <f ca="1">SUM($H44:O44)</f>
        <v>203.108226</v>
      </c>
      <c r="P45" s="424">
        <f ca="1">SUM($H44:P44)</f>
        <v>234.42793</v>
      </c>
      <c r="Q45" s="424">
        <f ca="1">SUM($H44:Q44)</f>
        <v>265.74763400000001</v>
      </c>
      <c r="R45" s="424">
        <f ca="1">SUM($H44:R44)</f>
        <v>283.17956199999998</v>
      </c>
      <c r="S45" s="424">
        <f ca="1">SUM($H44:S44)</f>
        <v>297.38446399999998</v>
      </c>
      <c r="T45" s="424">
        <f ca="1">SUM($H44:T44)</f>
        <v>308.24354</v>
      </c>
      <c r="U45" s="424">
        <f ca="1">SUM($H44:U44)</f>
        <v>313.19704000000002</v>
      </c>
      <c r="V45" s="424">
        <f ca="1">SUM($H44:V44)</f>
        <v>313.19704000000002</v>
      </c>
      <c r="W45" s="424">
        <f ca="1">SUM($H44:W44)</f>
        <v>313.19704000000002</v>
      </c>
      <c r="X45" s="424">
        <f ca="1">SUM($H44:X44)</f>
        <v>313.19704000000002</v>
      </c>
      <c r="Y45" s="424">
        <f ca="1">SUM($H44:Y44)</f>
        <v>313.19704000000002</v>
      </c>
      <c r="Z45" s="424">
        <f ca="1">SUM($H44:Z44)</f>
        <v>313.19704000000002</v>
      </c>
      <c r="AA45" s="424">
        <f ca="1">SUM($H44:AA44)</f>
        <v>313.19704000000002</v>
      </c>
      <c r="AB45" s="424">
        <f ca="1">SUM($H44:AB44)</f>
        <v>313.19704000000002</v>
      </c>
      <c r="AC45" s="424">
        <f ca="1">SUM($H44:AC44)</f>
        <v>313.19704000000002</v>
      </c>
      <c r="AD45" s="424">
        <f ca="1">SUM($H44:AD44)</f>
        <v>313.19704000000002</v>
      </c>
    </row>
    <row r="46" spans="2:30">
      <c r="B46" s="431">
        <v>8</v>
      </c>
      <c r="C46" s="422" t="s">
        <v>551</v>
      </c>
      <c r="D46" s="422" t="s">
        <v>134</v>
      </c>
      <c r="H46" s="424">
        <f ca="1">H42+H43-H44</f>
        <v>124.98998399999996</v>
      </c>
      <c r="I46" s="424">
        <f ca="1">I42+I43-I44</f>
        <v>140.14544199999997</v>
      </c>
      <c r="J46" s="424">
        <f t="shared" ref="J46:M46" ca="1" si="12">J42+J43-J44</f>
        <v>153.14307399999996</v>
      </c>
      <c r="K46" s="424">
        <f t="shared" ca="1" si="12"/>
        <v>185.83262999999994</v>
      </c>
      <c r="L46" s="424">
        <f t="shared" ca="1" si="12"/>
        <v>204.04792599999993</v>
      </c>
      <c r="M46" s="424">
        <f t="shared" ca="1" si="12"/>
        <v>172.72822199999993</v>
      </c>
      <c r="N46" s="424">
        <f t="shared" ref="N46:AD46" ca="1" si="13">N42+N43-N44</f>
        <v>141.40851799999993</v>
      </c>
      <c r="O46" s="424">
        <f t="shared" ca="1" si="13"/>
        <v>110.08881399999993</v>
      </c>
      <c r="P46" s="424">
        <f t="shared" ca="1" si="13"/>
        <v>78.769109999999927</v>
      </c>
      <c r="Q46" s="424">
        <f t="shared" ca="1" si="13"/>
        <v>47.449405999999946</v>
      </c>
      <c r="R46" s="424">
        <f t="shared" ca="1" si="13"/>
        <v>30.017477999999958</v>
      </c>
      <c r="S46" s="424">
        <f t="shared" ca="1" si="13"/>
        <v>15.81257599999997</v>
      </c>
      <c r="T46" s="424">
        <f t="shared" ca="1" si="13"/>
        <v>4.9534999999999698</v>
      </c>
      <c r="U46" s="424">
        <f t="shared" ca="1" si="13"/>
        <v>-3.730349362740526E-14</v>
      </c>
      <c r="V46" s="424">
        <f t="shared" ca="1" si="13"/>
        <v>-4.4408920985006262E-14</v>
      </c>
      <c r="W46" s="424">
        <f t="shared" ca="1" si="13"/>
        <v>-4.4408920985006262E-14</v>
      </c>
      <c r="X46" s="424">
        <f t="shared" ca="1" si="13"/>
        <v>-4.4408920985006262E-14</v>
      </c>
      <c r="Y46" s="424">
        <f t="shared" ca="1" si="13"/>
        <v>-4.4408920985006262E-14</v>
      </c>
      <c r="Z46" s="424">
        <f t="shared" ca="1" si="13"/>
        <v>-4.4408920985006262E-14</v>
      </c>
      <c r="AA46" s="424">
        <f t="shared" ca="1" si="13"/>
        <v>-4.4408920985006262E-14</v>
      </c>
      <c r="AB46" s="424">
        <f t="shared" ca="1" si="13"/>
        <v>-4.4408920985006262E-14</v>
      </c>
      <c r="AC46" s="424">
        <f t="shared" ca="1" si="13"/>
        <v>-4.4408920985006262E-14</v>
      </c>
      <c r="AD46" s="424">
        <f t="shared" ca="1" si="13"/>
        <v>-4.4408920985006262E-14</v>
      </c>
    </row>
    <row r="47" spans="2:30">
      <c r="B47" s="431">
        <v>9</v>
      </c>
      <c r="C47" s="191" t="str">
        <f>C11</f>
        <v>Land Cost</v>
      </c>
      <c r="F47" s="423">
        <f>1/COUNT(H40:AD40)</f>
        <v>4.3478260869565216E-2</v>
      </c>
    </row>
    <row r="48" spans="2:30">
      <c r="B48" s="431">
        <v>10</v>
      </c>
      <c r="C48" s="422" t="s">
        <v>547</v>
      </c>
      <c r="D48" s="422" t="s">
        <v>134</v>
      </c>
      <c r="H48" s="424">
        <f>G52</f>
        <v>0</v>
      </c>
      <c r="I48" s="424">
        <f>H52</f>
        <v>0</v>
      </c>
      <c r="J48" s="424">
        <f t="shared" ref="J48:AD48" si="14">I52</f>
        <v>141.33781513299127</v>
      </c>
      <c r="K48" s="424">
        <f t="shared" si="14"/>
        <v>229.13857907924341</v>
      </c>
      <c r="L48" s="424">
        <f t="shared" si="14"/>
        <v>312.65637893055646</v>
      </c>
      <c r="M48" s="424">
        <f t="shared" si="14"/>
        <v>389.37606511005401</v>
      </c>
      <c r="N48" s="424">
        <f t="shared" si="14"/>
        <v>425.94537525450295</v>
      </c>
      <c r="O48" s="424">
        <f t="shared" si="14"/>
        <v>474.85812028406281</v>
      </c>
      <c r="P48" s="424">
        <f t="shared" si="14"/>
        <v>678.63956638856325</v>
      </c>
      <c r="Q48" s="424">
        <f t="shared" si="14"/>
        <v>887.65229771835823</v>
      </c>
      <c r="R48" s="424">
        <f t="shared" si="14"/>
        <v>1086.8020249513381</v>
      </c>
      <c r="S48" s="424">
        <f t="shared" si="14"/>
        <v>1274.7903530139902</v>
      </c>
      <c r="T48" s="424">
        <f t="shared" si="14"/>
        <v>1451.617281906314</v>
      </c>
      <c r="U48" s="424">
        <f t="shared" si="14"/>
        <v>1516.9848086575309</v>
      </c>
      <c r="V48" s="424">
        <f t="shared" si="14"/>
        <v>1448.4790679192811</v>
      </c>
      <c r="W48" s="424">
        <f t="shared" si="14"/>
        <v>1385.6923920230713</v>
      </c>
      <c r="X48" s="424">
        <f t="shared" si="14"/>
        <v>1297.2729116422549</v>
      </c>
      <c r="Y48" s="424">
        <f t="shared" si="14"/>
        <v>1208.8534312614386</v>
      </c>
      <c r="Z48" s="424">
        <f t="shared" si="14"/>
        <v>1120.4339508806222</v>
      </c>
      <c r="AA48" s="424">
        <f t="shared" si="14"/>
        <v>1032.0144704998058</v>
      </c>
      <c r="AB48" s="424">
        <f t="shared" si="14"/>
        <v>943.59499011898936</v>
      </c>
      <c r="AC48" s="424">
        <f t="shared" si="14"/>
        <v>855.17550973817288</v>
      </c>
      <c r="AD48" s="424">
        <f t="shared" si="14"/>
        <v>766.7560293573564</v>
      </c>
    </row>
    <row r="49" spans="2:30">
      <c r="B49" s="431">
        <v>11</v>
      </c>
      <c r="C49" s="422" t="s">
        <v>548</v>
      </c>
      <c r="D49" s="422" t="s">
        <v>134</v>
      </c>
      <c r="E49" s="424">
        <f>SUM(H49:AI49)</f>
        <v>2033.6480487587789</v>
      </c>
      <c r="H49" s="424">
        <f>H11+H12</f>
        <v>0</v>
      </c>
      <c r="I49" s="424">
        <f t="shared" ref="I49:AD49" si="15">I11+I12</f>
        <v>147.76226127539996</v>
      </c>
      <c r="J49" s="424">
        <f t="shared" si="15"/>
        <v>98.508174183599976</v>
      </c>
      <c r="K49" s="424">
        <f t="shared" si="15"/>
        <v>98.508174183599976</v>
      </c>
      <c r="L49" s="424">
        <f t="shared" si="15"/>
        <v>95.878699625956514</v>
      </c>
      <c r="M49" s="424">
        <f t="shared" si="15"/>
        <v>58.261429208676397</v>
      </c>
      <c r="N49" s="424">
        <f t="shared" si="15"/>
        <v>73.814176098050424</v>
      </c>
      <c r="O49" s="424">
        <f t="shared" si="15"/>
        <v>239.07755340812696</v>
      </c>
      <c r="P49" s="424">
        <f t="shared" si="15"/>
        <v>255.41378584403162</v>
      </c>
      <c r="Q49" s="424">
        <f t="shared" si="15"/>
        <v>256.71218091754457</v>
      </c>
      <c r="R49" s="424">
        <f t="shared" si="15"/>
        <v>256.71218091754457</v>
      </c>
      <c r="S49" s="424">
        <f t="shared" si="15"/>
        <v>256.71218091754457</v>
      </c>
      <c r="T49" s="424">
        <f t="shared" si="15"/>
        <v>151.8551778117303</v>
      </c>
      <c r="U49" s="424">
        <f t="shared" si="15"/>
        <v>18.79926988236641</v>
      </c>
      <c r="V49" s="424">
        <f t="shared" si="15"/>
        <v>25.632804484606595</v>
      </c>
      <c r="W49" s="424">
        <f t="shared" si="15"/>
        <v>0</v>
      </c>
      <c r="X49" s="424">
        <f t="shared" si="15"/>
        <v>0</v>
      </c>
      <c r="Y49" s="424">
        <f t="shared" si="15"/>
        <v>0</v>
      </c>
      <c r="Z49" s="424">
        <f t="shared" si="15"/>
        <v>0</v>
      </c>
      <c r="AA49" s="424">
        <f t="shared" si="15"/>
        <v>0</v>
      </c>
      <c r="AB49" s="424">
        <f t="shared" si="15"/>
        <v>0</v>
      </c>
      <c r="AC49" s="424">
        <f t="shared" si="15"/>
        <v>0</v>
      </c>
      <c r="AD49" s="424">
        <f t="shared" si="15"/>
        <v>0</v>
      </c>
    </row>
    <row r="50" spans="2:30">
      <c r="B50" s="431">
        <v>12</v>
      </c>
      <c r="C50" s="422" t="s">
        <v>549</v>
      </c>
      <c r="D50" s="422" t="s">
        <v>134</v>
      </c>
      <c r="E50" s="424">
        <f>SUM(H50:AI50)</f>
        <v>1355.3114997822388</v>
      </c>
      <c r="H50" s="424">
        <f t="shared" ref="H50:AD50" si="16">H249</f>
        <v>0</v>
      </c>
      <c r="I50" s="424">
        <f t="shared" si="16"/>
        <v>6.4244461424086943</v>
      </c>
      <c r="J50" s="424">
        <f t="shared" si="16"/>
        <v>10.707410237347823</v>
      </c>
      <c r="K50" s="424">
        <f t="shared" si="16"/>
        <v>14.990374332286951</v>
      </c>
      <c r="L50" s="424">
        <f t="shared" si="16"/>
        <v>19.159013446458971</v>
      </c>
      <c r="M50" s="424">
        <f t="shared" si="16"/>
        <v>21.692119064227509</v>
      </c>
      <c r="N50" s="424">
        <f t="shared" si="16"/>
        <v>24.90143106849057</v>
      </c>
      <c r="O50" s="424">
        <f t="shared" si="16"/>
        <v>35.296107303626528</v>
      </c>
      <c r="P50" s="424">
        <f t="shared" si="16"/>
        <v>46.401054514236598</v>
      </c>
      <c r="Q50" s="424">
        <f t="shared" si="16"/>
        <v>57.562453684564623</v>
      </c>
      <c r="R50" s="424">
        <f t="shared" si="16"/>
        <v>68.723852854892641</v>
      </c>
      <c r="S50" s="424">
        <f t="shared" si="16"/>
        <v>79.885252025220666</v>
      </c>
      <c r="T50" s="424">
        <f t="shared" si="16"/>
        <v>86.487651060513286</v>
      </c>
      <c r="U50" s="424">
        <f t="shared" si="16"/>
        <v>87.305010620616173</v>
      </c>
      <c r="V50" s="424">
        <f t="shared" si="16"/>
        <v>88.419480380816466</v>
      </c>
      <c r="W50" s="424">
        <f t="shared" si="16"/>
        <v>88.419480380816466</v>
      </c>
      <c r="X50" s="424">
        <f t="shared" si="16"/>
        <v>88.419480380816466</v>
      </c>
      <c r="Y50" s="424">
        <f t="shared" si="16"/>
        <v>88.419480380816466</v>
      </c>
      <c r="Z50" s="424">
        <f t="shared" si="16"/>
        <v>88.419480380816466</v>
      </c>
      <c r="AA50" s="424">
        <f t="shared" si="16"/>
        <v>88.419480380816466</v>
      </c>
      <c r="AB50" s="424">
        <f t="shared" si="16"/>
        <v>88.419480380816466</v>
      </c>
      <c r="AC50" s="424">
        <f t="shared" si="16"/>
        <v>88.419480380816466</v>
      </c>
      <c r="AD50" s="424">
        <f t="shared" si="16"/>
        <v>88.419480380816466</v>
      </c>
    </row>
    <row r="51" spans="2:30">
      <c r="B51" s="431">
        <v>13</v>
      </c>
      <c r="C51" s="422" t="s">
        <v>550</v>
      </c>
      <c r="D51" s="422" t="s">
        <v>134</v>
      </c>
      <c r="H51" s="424">
        <f>SUM($H50:H50)</f>
        <v>0</v>
      </c>
      <c r="I51" s="424">
        <f>SUM($H50:I50)</f>
        <v>6.4244461424086943</v>
      </c>
      <c r="J51" s="424">
        <f>SUM($H50:J50)</f>
        <v>17.131856379756517</v>
      </c>
      <c r="K51" s="424">
        <f>SUM($H50:K50)</f>
        <v>32.122230712043468</v>
      </c>
      <c r="L51" s="424">
        <f>SUM($H50:L50)</f>
        <v>51.281244158502439</v>
      </c>
      <c r="M51" s="424">
        <f>SUM($H50:M50)</f>
        <v>72.973363222729944</v>
      </c>
      <c r="N51" s="424">
        <f>SUM($H50:N50)</f>
        <v>97.87479429122051</v>
      </c>
      <c r="O51" s="424">
        <f>SUM($H50:O50)</f>
        <v>133.17090159484704</v>
      </c>
      <c r="P51" s="424">
        <f>SUM($H50:P50)</f>
        <v>179.57195610908363</v>
      </c>
      <c r="Q51" s="424">
        <f>SUM($H50:Q50)</f>
        <v>237.13440979364825</v>
      </c>
      <c r="R51" s="424">
        <f>SUM($H50:R50)</f>
        <v>305.85826264854086</v>
      </c>
      <c r="S51" s="424">
        <f>SUM($H50:S50)</f>
        <v>385.74351467376152</v>
      </c>
      <c r="T51" s="424">
        <f>SUM($H50:T50)</f>
        <v>472.23116573427478</v>
      </c>
      <c r="U51" s="424">
        <f>SUM($H50:U50)</f>
        <v>559.53617635489093</v>
      </c>
      <c r="V51" s="424">
        <f>SUM($H50:V50)</f>
        <v>647.95565673570741</v>
      </c>
      <c r="W51" s="424">
        <f>SUM($H50:W50)</f>
        <v>736.37513711652389</v>
      </c>
      <c r="X51" s="424">
        <f>SUM($H50:X50)</f>
        <v>824.79461749734037</v>
      </c>
      <c r="Y51" s="424">
        <f>SUM($H50:Y50)</f>
        <v>913.21409787815685</v>
      </c>
      <c r="Z51" s="424">
        <f>SUM($H50:Z50)</f>
        <v>1001.6335782589733</v>
      </c>
      <c r="AA51" s="424">
        <f>SUM($H50:AA50)</f>
        <v>1090.0530586397897</v>
      </c>
      <c r="AB51" s="424">
        <f>SUM($H50:AB50)</f>
        <v>1178.4725390206061</v>
      </c>
      <c r="AC51" s="424">
        <f>SUM($H50:AC50)</f>
        <v>1266.8920194014224</v>
      </c>
      <c r="AD51" s="424">
        <f>SUM($H50:AD50)</f>
        <v>1355.3114997822388</v>
      </c>
    </row>
    <row r="52" spans="2:30">
      <c r="B52" s="431">
        <v>14</v>
      </c>
      <c r="C52" s="422" t="s">
        <v>551</v>
      </c>
      <c r="D52" s="422" t="s">
        <v>134</v>
      </c>
      <c r="H52" s="424">
        <f>H48+H49-H50</f>
        <v>0</v>
      </c>
      <c r="I52" s="424">
        <f>I48+I49-I50</f>
        <v>141.33781513299127</v>
      </c>
      <c r="J52" s="424">
        <f t="shared" ref="J52:AD52" si="17">J48+J49-J50</f>
        <v>229.13857907924341</v>
      </c>
      <c r="K52" s="424">
        <f t="shared" si="17"/>
        <v>312.65637893055646</v>
      </c>
      <c r="L52" s="424">
        <f t="shared" si="17"/>
        <v>389.37606511005401</v>
      </c>
      <c r="M52" s="424">
        <f t="shared" si="17"/>
        <v>425.94537525450295</v>
      </c>
      <c r="N52" s="424">
        <f t="shared" si="17"/>
        <v>474.85812028406281</v>
      </c>
      <c r="O52" s="424">
        <f t="shared" si="17"/>
        <v>678.63956638856325</v>
      </c>
      <c r="P52" s="424">
        <f t="shared" si="17"/>
        <v>887.65229771835823</v>
      </c>
      <c r="Q52" s="424">
        <f t="shared" si="17"/>
        <v>1086.8020249513381</v>
      </c>
      <c r="R52" s="424">
        <f t="shared" si="17"/>
        <v>1274.7903530139902</v>
      </c>
      <c r="S52" s="424">
        <f t="shared" si="17"/>
        <v>1451.617281906314</v>
      </c>
      <c r="T52" s="424">
        <f t="shared" si="17"/>
        <v>1516.9848086575309</v>
      </c>
      <c r="U52" s="424">
        <f t="shared" si="17"/>
        <v>1448.4790679192811</v>
      </c>
      <c r="V52" s="424">
        <f t="shared" si="17"/>
        <v>1385.6923920230713</v>
      </c>
      <c r="W52" s="424">
        <f t="shared" si="17"/>
        <v>1297.2729116422549</v>
      </c>
      <c r="X52" s="424">
        <f t="shared" si="17"/>
        <v>1208.8534312614386</v>
      </c>
      <c r="Y52" s="424">
        <f t="shared" si="17"/>
        <v>1120.4339508806222</v>
      </c>
      <c r="Z52" s="424">
        <f t="shared" si="17"/>
        <v>1032.0144704998058</v>
      </c>
      <c r="AA52" s="424">
        <f t="shared" si="17"/>
        <v>943.59499011898936</v>
      </c>
      <c r="AB52" s="424">
        <f t="shared" si="17"/>
        <v>855.17550973817288</v>
      </c>
      <c r="AC52" s="424">
        <f t="shared" si="17"/>
        <v>766.7560293573564</v>
      </c>
      <c r="AD52" s="424">
        <f t="shared" si="17"/>
        <v>678.33654897653992</v>
      </c>
    </row>
    <row r="53" spans="2:30">
      <c r="B53" s="431">
        <v>15</v>
      </c>
      <c r="C53" s="191" t="str">
        <f>C13</f>
        <v xml:space="preserve">HEMM Equipment </v>
      </c>
      <c r="F53" s="423">
        <v>0.1188</v>
      </c>
    </row>
    <row r="54" spans="2:30">
      <c r="B54" s="431">
        <v>16</v>
      </c>
      <c r="C54" s="422" t="s">
        <v>547</v>
      </c>
      <c r="D54" s="422" t="s">
        <v>134</v>
      </c>
      <c r="H54" s="424">
        <f>G58</f>
        <v>0</v>
      </c>
      <c r="I54" s="424">
        <f t="shared" ref="I54:AD54" si="18">H58</f>
        <v>0</v>
      </c>
      <c r="J54" s="424">
        <f t="shared" si="18"/>
        <v>0</v>
      </c>
      <c r="K54" s="424">
        <f t="shared" si="18"/>
        <v>0</v>
      </c>
      <c r="L54" s="424">
        <f t="shared" si="18"/>
        <v>0</v>
      </c>
      <c r="M54" s="424">
        <f t="shared" si="18"/>
        <v>118.1919004424725</v>
      </c>
      <c r="N54" s="424">
        <f t="shared" si="18"/>
        <v>115.36698222746827</v>
      </c>
      <c r="O54" s="424">
        <f t="shared" si="18"/>
        <v>193.59525637493653</v>
      </c>
      <c r="P54" s="424">
        <f t="shared" si="18"/>
        <v>402.66763233852805</v>
      </c>
      <c r="Q54" s="424">
        <f t="shared" si="18"/>
        <v>362.63439674371955</v>
      </c>
      <c r="R54" s="424">
        <f t="shared" si="18"/>
        <v>473.00475560971097</v>
      </c>
      <c r="S54" s="424">
        <f t="shared" si="18"/>
        <v>408.73613047570245</v>
      </c>
      <c r="T54" s="424">
        <f t="shared" si="18"/>
        <v>387.03492219937579</v>
      </c>
      <c r="U54" s="424">
        <f t="shared" si="18"/>
        <v>429.53984267665021</v>
      </c>
      <c r="V54" s="424">
        <f t="shared" si="18"/>
        <v>391.58601006904934</v>
      </c>
      <c r="W54" s="424">
        <f t="shared" si="18"/>
        <v>373.00383813504948</v>
      </c>
      <c r="X54" s="424">
        <f t="shared" si="18"/>
        <v>304.00131836585251</v>
      </c>
      <c r="Y54" s="424">
        <f t="shared" si="18"/>
        <v>297.57372713105553</v>
      </c>
      <c r="Z54" s="424">
        <f t="shared" si="18"/>
        <v>428.8951046852186</v>
      </c>
      <c r="AA54" s="424">
        <f t="shared" si="18"/>
        <v>378.76282210506344</v>
      </c>
      <c r="AB54" s="424">
        <f t="shared" si="18"/>
        <v>468.24705858932469</v>
      </c>
      <c r="AC54" s="424">
        <f t="shared" si="18"/>
        <v>394.1824057914838</v>
      </c>
      <c r="AD54" s="424">
        <f t="shared" si="18"/>
        <v>387.16303479725929</v>
      </c>
    </row>
    <row r="55" spans="2:30">
      <c r="B55" s="431">
        <v>17</v>
      </c>
      <c r="C55" s="422" t="s">
        <v>548</v>
      </c>
      <c r="D55" s="422" t="s">
        <v>134</v>
      </c>
      <c r="E55" s="424">
        <f>SUM(H55:AI55)</f>
        <v>2066.5645966378279</v>
      </c>
      <c r="H55" s="424">
        <f>H13+H25</f>
        <v>0</v>
      </c>
      <c r="I55" s="424">
        <f t="shared" ref="I55:AD55" si="19">I13+I25</f>
        <v>0</v>
      </c>
      <c r="J55" s="424">
        <f t="shared" si="19"/>
        <v>0</v>
      </c>
      <c r="K55" s="424">
        <f t="shared" si="19"/>
        <v>0</v>
      </c>
      <c r="L55" s="424">
        <f t="shared" si="19"/>
        <v>134.12607857747673</v>
      </c>
      <c r="M55" s="424">
        <f t="shared" si="19"/>
        <v>14.8766</v>
      </c>
      <c r="N55" s="424">
        <f t="shared" si="19"/>
        <v>108.86267857747673</v>
      </c>
      <c r="O55" s="424">
        <f t="shared" si="19"/>
        <v>272.02312799999999</v>
      </c>
      <c r="P55" s="424">
        <f t="shared" si="19"/>
        <v>26.007168</v>
      </c>
      <c r="Q55" s="424">
        <f t="shared" si="19"/>
        <v>200.19378399999999</v>
      </c>
      <c r="R55" s="424">
        <f t="shared" si="19"/>
        <v>29</v>
      </c>
      <c r="S55" s="424">
        <f t="shared" si="19"/>
        <v>81.215861163960327</v>
      </c>
      <c r="T55" s="424">
        <f t="shared" si="19"/>
        <v>154.49439999999998</v>
      </c>
      <c r="U55" s="424">
        <f t="shared" si="19"/>
        <v>75.299061163960317</v>
      </c>
      <c r="V55" s="424">
        <f t="shared" si="19"/>
        <v>98.047600000000003</v>
      </c>
      <c r="W55" s="424">
        <f t="shared" si="19"/>
        <v>26.558854800000002</v>
      </c>
      <c r="X55" s="424">
        <f t="shared" si="19"/>
        <v>83.796800000000005</v>
      </c>
      <c r="Y55" s="424">
        <f t="shared" si="19"/>
        <v>234.22878279999998</v>
      </c>
      <c r="Z55" s="424">
        <f t="shared" si="19"/>
        <v>46.344429163960314</v>
      </c>
      <c r="AA55" s="424">
        <f t="shared" si="19"/>
        <v>203.02134661351636</v>
      </c>
      <c r="AB55" s="424">
        <f t="shared" si="19"/>
        <v>28.090261163960317</v>
      </c>
      <c r="AC55" s="424">
        <f t="shared" si="19"/>
        <v>93.352162613516413</v>
      </c>
      <c r="AD55" s="424">
        <f t="shared" si="19"/>
        <v>157.0256</v>
      </c>
    </row>
    <row r="56" spans="2:30">
      <c r="B56" s="431">
        <v>18</v>
      </c>
      <c r="C56" s="422" t="s">
        <v>549</v>
      </c>
      <c r="D56" s="422" t="s">
        <v>134</v>
      </c>
      <c r="E56" s="424">
        <f>SUM(H56:AI56)</f>
        <v>1630.8824093745764</v>
      </c>
      <c r="H56" s="424">
        <f t="shared" ref="H56:AD56" si="20">H277</f>
        <v>0</v>
      </c>
      <c r="I56" s="424">
        <f t="shared" si="20"/>
        <v>0</v>
      </c>
      <c r="J56" s="424">
        <f t="shared" si="20"/>
        <v>0</v>
      </c>
      <c r="K56" s="424">
        <f t="shared" si="20"/>
        <v>0</v>
      </c>
      <c r="L56" s="424">
        <f t="shared" si="20"/>
        <v>15.934178135004236</v>
      </c>
      <c r="M56" s="424">
        <f t="shared" si="20"/>
        <v>17.701518215004235</v>
      </c>
      <c r="N56" s="424">
        <f t="shared" si="20"/>
        <v>30.634404430008473</v>
      </c>
      <c r="O56" s="424">
        <f t="shared" si="20"/>
        <v>62.950752036408474</v>
      </c>
      <c r="P56" s="424">
        <f t="shared" si="20"/>
        <v>66.040403594808481</v>
      </c>
      <c r="Q56" s="424">
        <f t="shared" si="20"/>
        <v>89.823425134008488</v>
      </c>
      <c r="R56" s="424">
        <f t="shared" si="20"/>
        <v>93.268625134008488</v>
      </c>
      <c r="S56" s="424">
        <f t="shared" si="20"/>
        <v>102.91706944028698</v>
      </c>
      <c r="T56" s="424">
        <f t="shared" si="20"/>
        <v>111.98947952272557</v>
      </c>
      <c r="U56" s="424">
        <f t="shared" si="20"/>
        <v>113.25289377156122</v>
      </c>
      <c r="V56" s="424">
        <f t="shared" si="20"/>
        <v>116.62977193399983</v>
      </c>
      <c r="W56" s="424">
        <f t="shared" si="20"/>
        <v>95.561374569196943</v>
      </c>
      <c r="X56" s="424">
        <f t="shared" si="20"/>
        <v>90.224391234796968</v>
      </c>
      <c r="Y56" s="424">
        <f t="shared" si="20"/>
        <v>102.90740524583693</v>
      </c>
      <c r="Z56" s="424">
        <f t="shared" si="20"/>
        <v>96.476711744115448</v>
      </c>
      <c r="AA56" s="424">
        <f t="shared" si="20"/>
        <v>113.53711012925515</v>
      </c>
      <c r="AB56" s="424">
        <f t="shared" si="20"/>
        <v>102.1549139618012</v>
      </c>
      <c r="AC56" s="424">
        <f t="shared" si="20"/>
        <v>100.3715336077409</v>
      </c>
      <c r="AD56" s="424">
        <f t="shared" si="20"/>
        <v>108.50644753400846</v>
      </c>
    </row>
    <row r="57" spans="2:30">
      <c r="B57" s="431">
        <v>19</v>
      </c>
      <c r="C57" s="422" t="s">
        <v>550</v>
      </c>
      <c r="D57" s="422" t="s">
        <v>134</v>
      </c>
      <c r="H57" s="424">
        <f>SUM($H56:H56)</f>
        <v>0</v>
      </c>
      <c r="I57" s="424">
        <f>SUM($H56:I56)</f>
        <v>0</v>
      </c>
      <c r="J57" s="424">
        <f>SUM($H56:J56)</f>
        <v>0</v>
      </c>
      <c r="K57" s="424">
        <f>SUM($H56:K56)</f>
        <v>0</v>
      </c>
      <c r="L57" s="424">
        <f>SUM($H56:L56)</f>
        <v>15.934178135004236</v>
      </c>
      <c r="M57" s="424">
        <f>SUM($H56:M56)</f>
        <v>33.635696350008473</v>
      </c>
      <c r="N57" s="424">
        <f>SUM($H56:N56)</f>
        <v>64.270100780016946</v>
      </c>
      <c r="O57" s="424">
        <f>SUM($H56:O56)</f>
        <v>127.22085281642542</v>
      </c>
      <c r="P57" s="424">
        <f>SUM($H56:P56)</f>
        <v>193.26125641123389</v>
      </c>
      <c r="Q57" s="424">
        <f>SUM($H56:Q56)</f>
        <v>283.08468154524235</v>
      </c>
      <c r="R57" s="424">
        <f>SUM($H56:R56)</f>
        <v>376.35330667925086</v>
      </c>
      <c r="S57" s="424">
        <f>SUM($H56:S56)</f>
        <v>479.27037611953784</v>
      </c>
      <c r="T57" s="424">
        <f>SUM($H56:T56)</f>
        <v>591.25985564226346</v>
      </c>
      <c r="U57" s="424">
        <f>SUM($H56:U56)</f>
        <v>704.51274941382462</v>
      </c>
      <c r="V57" s="424">
        <f>SUM($H56:V56)</f>
        <v>821.14252134782441</v>
      </c>
      <c r="W57" s="424">
        <f>SUM($H56:W56)</f>
        <v>916.70389591702133</v>
      </c>
      <c r="X57" s="424">
        <f>SUM($H56:X56)</f>
        <v>1006.9282871518183</v>
      </c>
      <c r="Y57" s="424">
        <f>SUM($H56:Y56)</f>
        <v>1109.8356923976553</v>
      </c>
      <c r="Z57" s="424">
        <f>SUM($H56:Z56)</f>
        <v>1206.3124041417707</v>
      </c>
      <c r="AA57" s="424">
        <f>SUM($H56:AA56)</f>
        <v>1319.8495142710258</v>
      </c>
      <c r="AB57" s="424">
        <f>SUM($H56:AB56)</f>
        <v>1422.004428232827</v>
      </c>
      <c r="AC57" s="424">
        <f>SUM($H56:AC56)</f>
        <v>1522.3759618405679</v>
      </c>
      <c r="AD57" s="424">
        <f>SUM($H56:AD56)</f>
        <v>1630.8824093745764</v>
      </c>
    </row>
    <row r="58" spans="2:30">
      <c r="B58" s="431">
        <v>20</v>
      </c>
      <c r="C58" s="422" t="s">
        <v>551</v>
      </c>
      <c r="D58" s="422" t="s">
        <v>134</v>
      </c>
      <c r="H58" s="424">
        <f>H54+H55-H56</f>
        <v>0</v>
      </c>
      <c r="I58" s="424">
        <f t="shared" ref="I58:AD58" si="21">I54+I55-I56</f>
        <v>0</v>
      </c>
      <c r="J58" s="424">
        <f t="shared" si="21"/>
        <v>0</v>
      </c>
      <c r="K58" s="424">
        <f t="shared" si="21"/>
        <v>0</v>
      </c>
      <c r="L58" s="424">
        <f t="shared" si="21"/>
        <v>118.1919004424725</v>
      </c>
      <c r="M58" s="424">
        <f t="shared" si="21"/>
        <v>115.36698222746827</v>
      </c>
      <c r="N58" s="424">
        <f t="shared" si="21"/>
        <v>193.59525637493653</v>
      </c>
      <c r="O58" s="424">
        <f t="shared" si="21"/>
        <v>402.66763233852805</v>
      </c>
      <c r="P58" s="424">
        <f t="shared" si="21"/>
        <v>362.63439674371955</v>
      </c>
      <c r="Q58" s="424">
        <f t="shared" si="21"/>
        <v>473.00475560971097</v>
      </c>
      <c r="R58" s="424">
        <f t="shared" si="21"/>
        <v>408.73613047570245</v>
      </c>
      <c r="S58" s="424">
        <f t="shared" si="21"/>
        <v>387.03492219937579</v>
      </c>
      <c r="T58" s="424">
        <f t="shared" si="21"/>
        <v>429.53984267665021</v>
      </c>
      <c r="U58" s="424">
        <f t="shared" si="21"/>
        <v>391.58601006904934</v>
      </c>
      <c r="V58" s="424">
        <f t="shared" si="21"/>
        <v>373.00383813504948</v>
      </c>
      <c r="W58" s="424">
        <f t="shared" si="21"/>
        <v>304.00131836585251</v>
      </c>
      <c r="X58" s="424">
        <f t="shared" si="21"/>
        <v>297.57372713105553</v>
      </c>
      <c r="Y58" s="424">
        <f t="shared" si="21"/>
        <v>428.8951046852186</v>
      </c>
      <c r="Z58" s="424">
        <f t="shared" si="21"/>
        <v>378.76282210506344</v>
      </c>
      <c r="AA58" s="424">
        <f t="shared" si="21"/>
        <v>468.24705858932469</v>
      </c>
      <c r="AB58" s="424">
        <f t="shared" si="21"/>
        <v>394.1824057914838</v>
      </c>
      <c r="AC58" s="424">
        <f t="shared" si="21"/>
        <v>387.16303479725929</v>
      </c>
      <c r="AD58" s="424">
        <f t="shared" si="21"/>
        <v>435.68218726325085</v>
      </c>
    </row>
    <row r="59" spans="2:30">
      <c r="B59" s="431">
        <v>21</v>
      </c>
      <c r="C59" s="191" t="str">
        <f>C14</f>
        <v>CHP</v>
      </c>
      <c r="F59" s="423">
        <v>6.6699999999999995E-2</v>
      </c>
    </row>
    <row r="60" spans="2:30">
      <c r="B60" s="431">
        <v>22</v>
      </c>
      <c r="C60" s="422" t="s">
        <v>547</v>
      </c>
      <c r="D60" s="422" t="s">
        <v>134</v>
      </c>
      <c r="H60" s="424">
        <f>G64</f>
        <v>0</v>
      </c>
      <c r="I60" s="424">
        <f t="shared" ref="I60:AD60" si="22">H64</f>
        <v>0</v>
      </c>
      <c r="J60" s="424">
        <f t="shared" si="22"/>
        <v>0</v>
      </c>
      <c r="K60" s="424">
        <f t="shared" si="22"/>
        <v>11.190267</v>
      </c>
      <c r="L60" s="424">
        <f t="shared" si="22"/>
        <v>94.193874249999993</v>
      </c>
      <c r="M60" s="424">
        <f t="shared" si="22"/>
        <v>232.63112799999999</v>
      </c>
      <c r="N60" s="424">
        <f t="shared" si="22"/>
        <v>288.07645500000001</v>
      </c>
      <c r="O60" s="424">
        <f t="shared" si="22"/>
        <v>265.71928200000002</v>
      </c>
      <c r="P60" s="424">
        <f t="shared" si="22"/>
        <v>243.36210900000003</v>
      </c>
      <c r="Q60" s="424">
        <f t="shared" si="22"/>
        <v>221.00493600000004</v>
      </c>
      <c r="R60" s="424">
        <f t="shared" si="22"/>
        <v>198.64776300000005</v>
      </c>
      <c r="S60" s="424">
        <f t="shared" si="22"/>
        <v>176.29059000000007</v>
      </c>
      <c r="T60" s="424">
        <f t="shared" si="22"/>
        <v>163.31840181000007</v>
      </c>
      <c r="U60" s="424">
        <f t="shared" si="22"/>
        <v>140.29051362000007</v>
      </c>
      <c r="V60" s="424">
        <f t="shared" si="22"/>
        <v>117.26262543000007</v>
      </c>
      <c r="W60" s="424">
        <f t="shared" si="22"/>
        <v>94.234737240000072</v>
      </c>
      <c r="X60" s="424">
        <f t="shared" si="22"/>
        <v>71.206849050000073</v>
      </c>
      <c r="Y60" s="424">
        <f t="shared" si="22"/>
        <v>48.184955860000073</v>
      </c>
      <c r="Z60" s="424">
        <f t="shared" si="22"/>
        <v>26.001696920000072</v>
      </c>
      <c r="AA60" s="424">
        <f t="shared" si="22"/>
        <v>9.8405039800000154</v>
      </c>
      <c r="AB60" s="424">
        <f t="shared" si="22"/>
        <v>13.404248099999988</v>
      </c>
      <c r="AC60" s="424">
        <f t="shared" si="22"/>
        <v>12.062817719999988</v>
      </c>
      <c r="AD60" s="424">
        <f t="shared" si="22"/>
        <v>10.721387339999987</v>
      </c>
    </row>
    <row r="61" spans="2:30">
      <c r="B61" s="431">
        <v>23</v>
      </c>
      <c r="C61" s="422" t="s">
        <v>548</v>
      </c>
      <c r="D61" s="422" t="s">
        <v>134</v>
      </c>
      <c r="E61" s="424">
        <f>SUM(H61:AI61)</f>
        <v>355.3014</v>
      </c>
      <c r="H61" s="424">
        <f>H14+H26</f>
        <v>0</v>
      </c>
      <c r="I61" s="424">
        <f t="shared" ref="I61:AD61" si="23">I14+I26</f>
        <v>0</v>
      </c>
      <c r="J61" s="424">
        <f t="shared" si="23"/>
        <v>11.99</v>
      </c>
      <c r="K61" s="424">
        <f t="shared" si="23"/>
        <v>89.79249999999999</v>
      </c>
      <c r="L61" s="424">
        <f t="shared" si="23"/>
        <v>155.60499999999999</v>
      </c>
      <c r="M61" s="424">
        <f t="shared" si="23"/>
        <v>77.802499999999995</v>
      </c>
      <c r="N61" s="424">
        <f t="shared" si="23"/>
        <v>0</v>
      </c>
      <c r="O61" s="424">
        <f t="shared" si="23"/>
        <v>0</v>
      </c>
      <c r="P61" s="424">
        <f t="shared" si="23"/>
        <v>0</v>
      </c>
      <c r="Q61" s="424">
        <f t="shared" si="23"/>
        <v>0</v>
      </c>
      <c r="R61" s="424">
        <f t="shared" si="23"/>
        <v>0</v>
      </c>
      <c r="S61" s="424">
        <f t="shared" si="23"/>
        <v>10.0557</v>
      </c>
      <c r="T61" s="424">
        <f t="shared" si="23"/>
        <v>0</v>
      </c>
      <c r="U61" s="424">
        <f t="shared" si="23"/>
        <v>0</v>
      </c>
      <c r="V61" s="424">
        <f t="shared" si="23"/>
        <v>0</v>
      </c>
      <c r="W61" s="424">
        <f t="shared" si="23"/>
        <v>0</v>
      </c>
      <c r="X61" s="424">
        <f t="shared" si="23"/>
        <v>0</v>
      </c>
      <c r="Y61" s="424">
        <f t="shared" si="23"/>
        <v>0</v>
      </c>
      <c r="Z61" s="424">
        <f t="shared" si="23"/>
        <v>0</v>
      </c>
      <c r="AA61" s="424">
        <f t="shared" si="23"/>
        <v>10.0557</v>
      </c>
      <c r="AB61" s="424">
        <f t="shared" si="23"/>
        <v>0</v>
      </c>
      <c r="AC61" s="424">
        <f t="shared" si="23"/>
        <v>0</v>
      </c>
      <c r="AD61" s="424">
        <f t="shared" si="23"/>
        <v>0</v>
      </c>
    </row>
    <row r="62" spans="2:30">
      <c r="B62" s="431">
        <v>24</v>
      </c>
      <c r="C62" s="422" t="s">
        <v>549</v>
      </c>
      <c r="D62" s="422" t="s">
        <v>134</v>
      </c>
      <c r="E62" s="424">
        <f>SUM(H62:AI62)</f>
        <v>345.9214430400001</v>
      </c>
      <c r="H62" s="424">
        <f t="shared" ref="H62:AD62" si="24">H305</f>
        <v>0</v>
      </c>
      <c r="I62" s="424">
        <f t="shared" si="24"/>
        <v>0</v>
      </c>
      <c r="J62" s="424">
        <f t="shared" si="24"/>
        <v>0.79973299999999992</v>
      </c>
      <c r="K62" s="424">
        <f t="shared" si="24"/>
        <v>6.7888927499999987</v>
      </c>
      <c r="L62" s="424">
        <f t="shared" si="24"/>
        <v>17.167746249999997</v>
      </c>
      <c r="M62" s="424">
        <f t="shared" si="24"/>
        <v>22.357172999999996</v>
      </c>
      <c r="N62" s="424">
        <f t="shared" si="24"/>
        <v>22.357172999999996</v>
      </c>
      <c r="O62" s="424">
        <f t="shared" si="24"/>
        <v>22.357172999999996</v>
      </c>
      <c r="P62" s="424">
        <f t="shared" si="24"/>
        <v>22.357172999999996</v>
      </c>
      <c r="Q62" s="424">
        <f t="shared" si="24"/>
        <v>22.357172999999996</v>
      </c>
      <c r="R62" s="424">
        <f t="shared" si="24"/>
        <v>22.357172999999996</v>
      </c>
      <c r="S62" s="424">
        <f t="shared" si="24"/>
        <v>23.027888189999995</v>
      </c>
      <c r="T62" s="424">
        <f t="shared" si="24"/>
        <v>23.027888189999995</v>
      </c>
      <c r="U62" s="424">
        <f t="shared" si="24"/>
        <v>23.027888189999995</v>
      </c>
      <c r="V62" s="424">
        <f t="shared" si="24"/>
        <v>23.027888189999995</v>
      </c>
      <c r="W62" s="424">
        <f t="shared" si="24"/>
        <v>23.027888189999995</v>
      </c>
      <c r="X62" s="424">
        <f t="shared" si="24"/>
        <v>23.021893189999997</v>
      </c>
      <c r="Y62" s="424">
        <f t="shared" si="24"/>
        <v>22.183258940000002</v>
      </c>
      <c r="Z62" s="424">
        <f t="shared" si="24"/>
        <v>16.161192940000056</v>
      </c>
      <c r="AA62" s="424">
        <f t="shared" si="24"/>
        <v>6.4919558800000292</v>
      </c>
      <c r="AB62" s="424">
        <f t="shared" si="24"/>
        <v>1.3414303799999998</v>
      </c>
      <c r="AC62" s="424">
        <f t="shared" si="24"/>
        <v>1.3414303799999998</v>
      </c>
      <c r="AD62" s="424">
        <f t="shared" si="24"/>
        <v>1.3414303799999998</v>
      </c>
    </row>
    <row r="63" spans="2:30">
      <c r="B63" s="431">
        <v>25</v>
      </c>
      <c r="C63" s="422" t="s">
        <v>550</v>
      </c>
      <c r="D63" s="422" t="s">
        <v>134</v>
      </c>
      <c r="H63" s="424">
        <f>SUM($H62:H62)</f>
        <v>0</v>
      </c>
      <c r="I63" s="424">
        <f>SUM($H62:I62)</f>
        <v>0</v>
      </c>
      <c r="J63" s="424">
        <f>SUM($H62:J62)</f>
        <v>0.79973299999999992</v>
      </c>
      <c r="K63" s="424">
        <f>SUM($H62:K62)</f>
        <v>7.5886257499999985</v>
      </c>
      <c r="L63" s="424">
        <f>SUM($H62:L62)</f>
        <v>24.756371999999995</v>
      </c>
      <c r="M63" s="424">
        <f>SUM($H62:M62)</f>
        <v>47.113544999999988</v>
      </c>
      <c r="N63" s="424">
        <f>SUM($H62:N62)</f>
        <v>69.470717999999977</v>
      </c>
      <c r="O63" s="424">
        <f>SUM($H62:O62)</f>
        <v>91.827890999999966</v>
      </c>
      <c r="P63" s="424">
        <f>SUM($H62:P62)</f>
        <v>114.18506399999995</v>
      </c>
      <c r="Q63" s="424">
        <f>SUM($H62:Q62)</f>
        <v>136.54223699999994</v>
      </c>
      <c r="R63" s="424">
        <f>SUM($H62:R62)</f>
        <v>158.89940999999993</v>
      </c>
      <c r="S63" s="424">
        <f>SUM($H62:S62)</f>
        <v>181.92729818999993</v>
      </c>
      <c r="T63" s="424">
        <f>SUM($H62:T62)</f>
        <v>204.95518637999993</v>
      </c>
      <c r="U63" s="424">
        <f>SUM($H62:U62)</f>
        <v>227.98307456999993</v>
      </c>
      <c r="V63" s="424">
        <f>SUM($H62:V62)</f>
        <v>251.01096275999993</v>
      </c>
      <c r="W63" s="424">
        <f>SUM($H62:W62)</f>
        <v>274.03885094999993</v>
      </c>
      <c r="X63" s="424">
        <f>SUM($H62:X62)</f>
        <v>297.06074413999994</v>
      </c>
      <c r="Y63" s="424">
        <f>SUM($H62:Y62)</f>
        <v>319.24400307999997</v>
      </c>
      <c r="Z63" s="424">
        <f>SUM($H62:Z62)</f>
        <v>335.40519602000001</v>
      </c>
      <c r="AA63" s="424">
        <f>SUM($H62:AA62)</f>
        <v>341.89715190000004</v>
      </c>
      <c r="AB63" s="424">
        <f>SUM($H62:AB62)</f>
        <v>343.23858228000006</v>
      </c>
      <c r="AC63" s="424">
        <f>SUM($H62:AC62)</f>
        <v>344.58001266000008</v>
      </c>
      <c r="AD63" s="424">
        <f>SUM($H62:AD62)</f>
        <v>345.9214430400001</v>
      </c>
    </row>
    <row r="64" spans="2:30">
      <c r="B64" s="431">
        <v>26</v>
      </c>
      <c r="C64" s="422" t="s">
        <v>551</v>
      </c>
      <c r="D64" s="422" t="s">
        <v>134</v>
      </c>
      <c r="H64" s="424">
        <f>H60+H61-H62</f>
        <v>0</v>
      </c>
      <c r="I64" s="424">
        <f t="shared" ref="I64:AD64" si="25">I60+I61-I62</f>
        <v>0</v>
      </c>
      <c r="J64" s="424">
        <f t="shared" si="25"/>
        <v>11.190267</v>
      </c>
      <c r="K64" s="424">
        <f t="shared" si="25"/>
        <v>94.193874249999993</v>
      </c>
      <c r="L64" s="424">
        <f t="shared" si="25"/>
        <v>232.63112799999999</v>
      </c>
      <c r="M64" s="424">
        <f t="shared" si="25"/>
        <v>288.07645500000001</v>
      </c>
      <c r="N64" s="424">
        <f t="shared" si="25"/>
        <v>265.71928200000002</v>
      </c>
      <c r="O64" s="424">
        <f t="shared" si="25"/>
        <v>243.36210900000003</v>
      </c>
      <c r="P64" s="424">
        <f t="shared" si="25"/>
        <v>221.00493600000004</v>
      </c>
      <c r="Q64" s="424">
        <f t="shared" si="25"/>
        <v>198.64776300000005</v>
      </c>
      <c r="R64" s="424">
        <f t="shared" si="25"/>
        <v>176.29059000000007</v>
      </c>
      <c r="S64" s="424">
        <f t="shared" si="25"/>
        <v>163.31840181000007</v>
      </c>
      <c r="T64" s="424">
        <f t="shared" si="25"/>
        <v>140.29051362000007</v>
      </c>
      <c r="U64" s="424">
        <f t="shared" si="25"/>
        <v>117.26262543000007</v>
      </c>
      <c r="V64" s="424">
        <f t="shared" si="25"/>
        <v>94.234737240000072</v>
      </c>
      <c r="W64" s="424">
        <f t="shared" si="25"/>
        <v>71.206849050000073</v>
      </c>
      <c r="X64" s="424">
        <f t="shared" si="25"/>
        <v>48.184955860000073</v>
      </c>
      <c r="Y64" s="424">
        <f t="shared" si="25"/>
        <v>26.001696920000072</v>
      </c>
      <c r="Z64" s="424">
        <f t="shared" si="25"/>
        <v>9.8405039800000154</v>
      </c>
      <c r="AA64" s="424">
        <f t="shared" si="25"/>
        <v>13.404248099999988</v>
      </c>
      <c r="AB64" s="424">
        <f t="shared" si="25"/>
        <v>12.062817719999988</v>
      </c>
      <c r="AC64" s="424">
        <f t="shared" si="25"/>
        <v>10.721387339999987</v>
      </c>
      <c r="AD64" s="424">
        <f t="shared" si="25"/>
        <v>9.379956959999987</v>
      </c>
    </row>
    <row r="65" spans="2:30">
      <c r="B65" s="431">
        <v>27</v>
      </c>
      <c r="C65" s="191" t="str">
        <f>C15</f>
        <v>Railway Siding</v>
      </c>
      <c r="F65" s="423">
        <v>0.05</v>
      </c>
    </row>
    <row r="66" spans="2:30">
      <c r="B66" s="431">
        <v>28</v>
      </c>
      <c r="C66" s="422" t="s">
        <v>547</v>
      </c>
      <c r="D66" s="422" t="s">
        <v>134</v>
      </c>
      <c r="H66" s="424">
        <f>G70</f>
        <v>0</v>
      </c>
      <c r="I66" s="424">
        <f t="shared" ref="I66:AD66" si="26">H70</f>
        <v>0</v>
      </c>
      <c r="J66" s="424">
        <f t="shared" si="26"/>
        <v>51.3</v>
      </c>
      <c r="K66" s="424">
        <f t="shared" si="26"/>
        <v>356.40000000000003</v>
      </c>
      <c r="L66" s="424">
        <f t="shared" si="26"/>
        <v>491.40000000000009</v>
      </c>
      <c r="M66" s="424">
        <f t="shared" si="26"/>
        <v>464.40000000000009</v>
      </c>
      <c r="N66" s="424">
        <f t="shared" si="26"/>
        <v>437.40000000000009</v>
      </c>
      <c r="O66" s="424">
        <f t="shared" si="26"/>
        <v>410.40000000000009</v>
      </c>
      <c r="P66" s="424">
        <f t="shared" si="26"/>
        <v>383.40000000000009</v>
      </c>
      <c r="Q66" s="424">
        <f t="shared" si="26"/>
        <v>356.40000000000009</v>
      </c>
      <c r="R66" s="424">
        <f t="shared" si="26"/>
        <v>329.40000000000009</v>
      </c>
      <c r="S66" s="424">
        <f t="shared" si="26"/>
        <v>302.40000000000009</v>
      </c>
      <c r="T66" s="424">
        <f t="shared" si="26"/>
        <v>275.40000000000009</v>
      </c>
      <c r="U66" s="424">
        <f t="shared" si="26"/>
        <v>248.40000000000009</v>
      </c>
      <c r="V66" s="424">
        <f t="shared" si="26"/>
        <v>221.40000000000009</v>
      </c>
      <c r="W66" s="424">
        <f t="shared" si="26"/>
        <v>194.40000000000009</v>
      </c>
      <c r="X66" s="424">
        <f t="shared" si="26"/>
        <v>167.40000000000009</v>
      </c>
      <c r="Y66" s="424">
        <f t="shared" si="26"/>
        <v>140.40000000000009</v>
      </c>
      <c r="Z66" s="424">
        <f t="shared" si="26"/>
        <v>113.40000000000009</v>
      </c>
      <c r="AA66" s="424">
        <f t="shared" si="26"/>
        <v>86.400000000000091</v>
      </c>
      <c r="AB66" s="424">
        <f t="shared" si="26"/>
        <v>59.400000000000091</v>
      </c>
      <c r="AC66" s="424">
        <f t="shared" si="26"/>
        <v>32.400000000000112</v>
      </c>
      <c r="AD66" s="424">
        <f t="shared" si="26"/>
        <v>8.1000000000001151</v>
      </c>
    </row>
    <row r="67" spans="2:30">
      <c r="B67" s="431">
        <v>29</v>
      </c>
      <c r="C67" s="422" t="s">
        <v>548</v>
      </c>
      <c r="D67" s="422" t="s">
        <v>134</v>
      </c>
      <c r="E67" s="424">
        <f>SUM(H67:AI67)</f>
        <v>540</v>
      </c>
      <c r="H67" s="424">
        <f>H15</f>
        <v>0</v>
      </c>
      <c r="I67" s="424">
        <f t="shared" ref="I67:AD67" si="27">I15</f>
        <v>54</v>
      </c>
      <c r="J67" s="424">
        <f t="shared" si="27"/>
        <v>324</v>
      </c>
      <c r="K67" s="424">
        <f t="shared" si="27"/>
        <v>162</v>
      </c>
      <c r="L67" s="424">
        <f t="shared" si="27"/>
        <v>0</v>
      </c>
      <c r="M67" s="424">
        <f t="shared" si="27"/>
        <v>0</v>
      </c>
      <c r="N67" s="424">
        <f t="shared" si="27"/>
        <v>0</v>
      </c>
      <c r="O67" s="424">
        <f t="shared" si="27"/>
        <v>0</v>
      </c>
      <c r="P67" s="424">
        <f t="shared" si="27"/>
        <v>0</v>
      </c>
      <c r="Q67" s="424">
        <f t="shared" si="27"/>
        <v>0</v>
      </c>
      <c r="R67" s="424">
        <f t="shared" si="27"/>
        <v>0</v>
      </c>
      <c r="S67" s="424">
        <f t="shared" si="27"/>
        <v>0</v>
      </c>
      <c r="T67" s="424">
        <f t="shared" si="27"/>
        <v>0</v>
      </c>
      <c r="U67" s="424">
        <f t="shared" si="27"/>
        <v>0</v>
      </c>
      <c r="V67" s="424">
        <f t="shared" si="27"/>
        <v>0</v>
      </c>
      <c r="W67" s="424">
        <f t="shared" si="27"/>
        <v>0</v>
      </c>
      <c r="X67" s="424">
        <f t="shared" si="27"/>
        <v>0</v>
      </c>
      <c r="Y67" s="424">
        <f t="shared" si="27"/>
        <v>0</v>
      </c>
      <c r="Z67" s="424">
        <f t="shared" si="27"/>
        <v>0</v>
      </c>
      <c r="AA67" s="424">
        <f t="shared" si="27"/>
        <v>0</v>
      </c>
      <c r="AB67" s="424">
        <f t="shared" si="27"/>
        <v>0</v>
      </c>
      <c r="AC67" s="424">
        <f t="shared" si="27"/>
        <v>0</v>
      </c>
      <c r="AD67" s="424">
        <f t="shared" si="27"/>
        <v>0</v>
      </c>
    </row>
    <row r="68" spans="2:30">
      <c r="B68" s="431">
        <v>30</v>
      </c>
      <c r="C68" s="422" t="s">
        <v>549</v>
      </c>
      <c r="D68" s="422" t="s">
        <v>134</v>
      </c>
      <c r="E68" s="424">
        <f>SUM(H68:AI68)</f>
        <v>540.00000000000011</v>
      </c>
      <c r="H68" s="424">
        <f t="shared" ref="H68:AD68" si="28">H333</f>
        <v>0</v>
      </c>
      <c r="I68" s="424">
        <f t="shared" si="28"/>
        <v>2.7</v>
      </c>
      <c r="J68" s="424">
        <f t="shared" si="28"/>
        <v>18.899999999999999</v>
      </c>
      <c r="K68" s="424">
        <f t="shared" si="28"/>
        <v>27</v>
      </c>
      <c r="L68" s="424">
        <f t="shared" si="28"/>
        <v>27</v>
      </c>
      <c r="M68" s="424">
        <f t="shared" si="28"/>
        <v>27</v>
      </c>
      <c r="N68" s="424">
        <f t="shared" si="28"/>
        <v>27</v>
      </c>
      <c r="O68" s="424">
        <f t="shared" si="28"/>
        <v>27</v>
      </c>
      <c r="P68" s="424">
        <f t="shared" si="28"/>
        <v>27</v>
      </c>
      <c r="Q68" s="424">
        <f t="shared" si="28"/>
        <v>27</v>
      </c>
      <c r="R68" s="424">
        <f t="shared" si="28"/>
        <v>27</v>
      </c>
      <c r="S68" s="424">
        <f t="shared" si="28"/>
        <v>27</v>
      </c>
      <c r="T68" s="424">
        <f t="shared" si="28"/>
        <v>27</v>
      </c>
      <c r="U68" s="424">
        <f t="shared" si="28"/>
        <v>27</v>
      </c>
      <c r="V68" s="424">
        <f t="shared" si="28"/>
        <v>27</v>
      </c>
      <c r="W68" s="424">
        <f t="shared" si="28"/>
        <v>27</v>
      </c>
      <c r="X68" s="424">
        <f t="shared" si="28"/>
        <v>27</v>
      </c>
      <c r="Y68" s="424">
        <f t="shared" si="28"/>
        <v>27</v>
      </c>
      <c r="Z68" s="424">
        <f t="shared" si="28"/>
        <v>27</v>
      </c>
      <c r="AA68" s="424">
        <f t="shared" si="28"/>
        <v>27</v>
      </c>
      <c r="AB68" s="424">
        <f t="shared" si="28"/>
        <v>26.999999999999979</v>
      </c>
      <c r="AC68" s="424">
        <f t="shared" si="28"/>
        <v>24.299999999999997</v>
      </c>
      <c r="AD68" s="424">
        <f t="shared" si="28"/>
        <v>8.1000000000001133</v>
      </c>
    </row>
    <row r="69" spans="2:30">
      <c r="B69" s="431">
        <v>31</v>
      </c>
      <c r="C69" s="422" t="s">
        <v>550</v>
      </c>
      <c r="D69" s="422" t="s">
        <v>134</v>
      </c>
      <c r="H69" s="424">
        <f>SUM($H68:H68)</f>
        <v>0</v>
      </c>
      <c r="I69" s="424">
        <f>SUM($H68:I68)</f>
        <v>2.7</v>
      </c>
      <c r="J69" s="424">
        <f>SUM($H68:J68)</f>
        <v>21.599999999999998</v>
      </c>
      <c r="K69" s="424">
        <f>SUM($H68:K68)</f>
        <v>48.599999999999994</v>
      </c>
      <c r="L69" s="424">
        <f>SUM($H68:L68)</f>
        <v>75.599999999999994</v>
      </c>
      <c r="M69" s="424">
        <f>SUM($H68:M68)</f>
        <v>102.6</v>
      </c>
      <c r="N69" s="424">
        <f>SUM($H68:N68)</f>
        <v>129.6</v>
      </c>
      <c r="O69" s="424">
        <f>SUM($H68:O68)</f>
        <v>156.6</v>
      </c>
      <c r="P69" s="424">
        <f>SUM($H68:P68)</f>
        <v>183.6</v>
      </c>
      <c r="Q69" s="424">
        <f>SUM($H68:Q68)</f>
        <v>210.6</v>
      </c>
      <c r="R69" s="424">
        <f>SUM($H68:R68)</f>
        <v>237.6</v>
      </c>
      <c r="S69" s="424">
        <f>SUM($H68:S68)</f>
        <v>264.60000000000002</v>
      </c>
      <c r="T69" s="424">
        <f>SUM($H68:T68)</f>
        <v>291.60000000000002</v>
      </c>
      <c r="U69" s="424">
        <f>SUM($H68:U68)</f>
        <v>318.60000000000002</v>
      </c>
      <c r="V69" s="424">
        <f>SUM($H68:V68)</f>
        <v>345.6</v>
      </c>
      <c r="W69" s="424">
        <f>SUM($H68:W68)</f>
        <v>372.6</v>
      </c>
      <c r="X69" s="424">
        <f>SUM($H68:X68)</f>
        <v>399.6</v>
      </c>
      <c r="Y69" s="424">
        <f>SUM($H68:Y68)</f>
        <v>426.6</v>
      </c>
      <c r="Z69" s="424">
        <f>SUM($H68:Z68)</f>
        <v>453.6</v>
      </c>
      <c r="AA69" s="424">
        <f>SUM($H68:AA68)</f>
        <v>480.6</v>
      </c>
      <c r="AB69" s="424">
        <f>SUM($H68:AB68)</f>
        <v>507.6</v>
      </c>
      <c r="AC69" s="424">
        <f>SUM($H68:AC68)</f>
        <v>531.9</v>
      </c>
      <c r="AD69" s="424">
        <f>SUM($H68:AD68)</f>
        <v>540.00000000000011</v>
      </c>
    </row>
    <row r="70" spans="2:30">
      <c r="B70" s="431">
        <v>32</v>
      </c>
      <c r="C70" s="422" t="s">
        <v>551</v>
      </c>
      <c r="D70" s="422" t="s">
        <v>134</v>
      </c>
      <c r="H70" s="424">
        <f>H66+H67-H68</f>
        <v>0</v>
      </c>
      <c r="I70" s="424">
        <f t="shared" ref="I70:AD70" si="29">I66+I67-I68</f>
        <v>51.3</v>
      </c>
      <c r="J70" s="424">
        <f t="shared" si="29"/>
        <v>356.40000000000003</v>
      </c>
      <c r="K70" s="424">
        <f t="shared" si="29"/>
        <v>491.40000000000009</v>
      </c>
      <c r="L70" s="424">
        <f t="shared" si="29"/>
        <v>464.40000000000009</v>
      </c>
      <c r="M70" s="424">
        <f t="shared" si="29"/>
        <v>437.40000000000009</v>
      </c>
      <c r="N70" s="424">
        <f t="shared" si="29"/>
        <v>410.40000000000009</v>
      </c>
      <c r="O70" s="424">
        <f t="shared" si="29"/>
        <v>383.40000000000009</v>
      </c>
      <c r="P70" s="424">
        <f t="shared" si="29"/>
        <v>356.40000000000009</v>
      </c>
      <c r="Q70" s="424">
        <f t="shared" si="29"/>
        <v>329.40000000000009</v>
      </c>
      <c r="R70" s="424">
        <f t="shared" si="29"/>
        <v>302.40000000000009</v>
      </c>
      <c r="S70" s="424">
        <f t="shared" si="29"/>
        <v>275.40000000000009</v>
      </c>
      <c r="T70" s="424">
        <f t="shared" si="29"/>
        <v>248.40000000000009</v>
      </c>
      <c r="U70" s="424">
        <f t="shared" si="29"/>
        <v>221.40000000000009</v>
      </c>
      <c r="V70" s="424">
        <f t="shared" si="29"/>
        <v>194.40000000000009</v>
      </c>
      <c r="W70" s="424">
        <f t="shared" si="29"/>
        <v>167.40000000000009</v>
      </c>
      <c r="X70" s="424">
        <f t="shared" si="29"/>
        <v>140.40000000000009</v>
      </c>
      <c r="Y70" s="424">
        <f t="shared" si="29"/>
        <v>113.40000000000009</v>
      </c>
      <c r="Z70" s="424">
        <f t="shared" si="29"/>
        <v>86.400000000000091</v>
      </c>
      <c r="AA70" s="424">
        <f t="shared" si="29"/>
        <v>59.400000000000091</v>
      </c>
      <c r="AB70" s="424">
        <f t="shared" si="29"/>
        <v>32.400000000000112</v>
      </c>
      <c r="AC70" s="424">
        <f t="shared" si="29"/>
        <v>8.1000000000001151</v>
      </c>
      <c r="AD70" s="424">
        <f t="shared" si="29"/>
        <v>0</v>
      </c>
    </row>
    <row r="71" spans="2:30">
      <c r="B71" s="431">
        <v>33</v>
      </c>
      <c r="C71" s="191" t="str">
        <f>C16</f>
        <v>Civil Infrastructure</v>
      </c>
      <c r="F71" s="423">
        <v>3.1699999999999999E-2</v>
      </c>
    </row>
    <row r="72" spans="2:30">
      <c r="B72" s="431">
        <v>34</v>
      </c>
      <c r="C72" s="422" t="s">
        <v>547</v>
      </c>
      <c r="D72" s="422" t="s">
        <v>134</v>
      </c>
      <c r="H72" s="424">
        <f>G76</f>
        <v>0</v>
      </c>
      <c r="I72" s="424">
        <f t="shared" ref="I72:AD72" si="30">H76</f>
        <v>0</v>
      </c>
      <c r="J72" s="424">
        <f t="shared" si="30"/>
        <v>55.48359</v>
      </c>
      <c r="K72" s="424">
        <f t="shared" si="30"/>
        <v>146.13982999999999</v>
      </c>
      <c r="L72" s="424">
        <f t="shared" si="30"/>
        <v>178.28513000000001</v>
      </c>
      <c r="M72" s="424">
        <f t="shared" si="30"/>
        <v>172.23043000000001</v>
      </c>
      <c r="N72" s="424">
        <f t="shared" si="30"/>
        <v>166.17573000000002</v>
      </c>
      <c r="O72" s="424">
        <f t="shared" si="30"/>
        <v>160.12103000000002</v>
      </c>
      <c r="P72" s="424">
        <f t="shared" si="30"/>
        <v>154.06633000000002</v>
      </c>
      <c r="Q72" s="424">
        <f t="shared" si="30"/>
        <v>148.01163000000003</v>
      </c>
      <c r="R72" s="424">
        <f t="shared" si="30"/>
        <v>141.95693000000003</v>
      </c>
      <c r="S72" s="424">
        <f t="shared" si="30"/>
        <v>135.90223000000003</v>
      </c>
      <c r="T72" s="424">
        <f t="shared" si="30"/>
        <v>129.84753000000003</v>
      </c>
      <c r="U72" s="424">
        <f t="shared" si="30"/>
        <v>123.79283000000004</v>
      </c>
      <c r="V72" s="424">
        <f t="shared" si="30"/>
        <v>124.21121550000004</v>
      </c>
      <c r="W72" s="424">
        <f t="shared" si="30"/>
        <v>117.94460100000003</v>
      </c>
      <c r="X72" s="424">
        <f t="shared" si="30"/>
        <v>111.67798650000003</v>
      </c>
      <c r="Y72" s="424">
        <f t="shared" si="30"/>
        <v>105.41137200000003</v>
      </c>
      <c r="Z72" s="424">
        <f t="shared" si="30"/>
        <v>99.144757500000026</v>
      </c>
      <c r="AA72" s="424">
        <f t="shared" si="30"/>
        <v>92.878143000000023</v>
      </c>
      <c r="AB72" s="424">
        <f t="shared" si="30"/>
        <v>86.61152850000002</v>
      </c>
      <c r="AC72" s="424">
        <f t="shared" si="30"/>
        <v>80.344914000000017</v>
      </c>
      <c r="AD72" s="424">
        <f t="shared" si="30"/>
        <v>74.078299500000014</v>
      </c>
    </row>
    <row r="73" spans="2:30">
      <c r="B73" s="431">
        <v>35</v>
      </c>
      <c r="C73" s="422" t="s">
        <v>548</v>
      </c>
      <c r="D73" s="422" t="s">
        <v>134</v>
      </c>
      <c r="E73" s="424">
        <f>SUM(H73:AI73)</f>
        <v>197.685</v>
      </c>
      <c r="H73" s="424">
        <f>H16+H27</f>
        <v>0</v>
      </c>
      <c r="I73" s="424">
        <f t="shared" ref="I73:AD73" si="31">I16+I27</f>
        <v>57.3</v>
      </c>
      <c r="J73" s="424">
        <f t="shared" si="31"/>
        <v>95.5</v>
      </c>
      <c r="K73" s="424">
        <f t="shared" si="31"/>
        <v>38.200000000000003</v>
      </c>
      <c r="L73" s="424">
        <f t="shared" si="31"/>
        <v>0</v>
      </c>
      <c r="M73" s="424">
        <f t="shared" si="31"/>
        <v>0</v>
      </c>
      <c r="N73" s="424">
        <f t="shared" si="31"/>
        <v>0</v>
      </c>
      <c r="O73" s="424">
        <f t="shared" si="31"/>
        <v>0</v>
      </c>
      <c r="P73" s="424">
        <f t="shared" si="31"/>
        <v>0</v>
      </c>
      <c r="Q73" s="424">
        <f t="shared" si="31"/>
        <v>0</v>
      </c>
      <c r="R73" s="424">
        <f t="shared" si="31"/>
        <v>0</v>
      </c>
      <c r="S73" s="424">
        <f t="shared" si="31"/>
        <v>0</v>
      </c>
      <c r="T73" s="424">
        <f t="shared" si="31"/>
        <v>0</v>
      </c>
      <c r="U73" s="424">
        <f t="shared" si="31"/>
        <v>6.6850000000000005</v>
      </c>
      <c r="V73" s="424">
        <f t="shared" si="31"/>
        <v>0</v>
      </c>
      <c r="W73" s="424">
        <f t="shared" si="31"/>
        <v>0</v>
      </c>
      <c r="X73" s="424">
        <f t="shared" si="31"/>
        <v>0</v>
      </c>
      <c r="Y73" s="424">
        <f t="shared" si="31"/>
        <v>0</v>
      </c>
      <c r="Z73" s="424">
        <f t="shared" si="31"/>
        <v>0</v>
      </c>
      <c r="AA73" s="424">
        <f t="shared" si="31"/>
        <v>0</v>
      </c>
      <c r="AB73" s="424">
        <f t="shared" si="31"/>
        <v>0</v>
      </c>
      <c r="AC73" s="424">
        <f t="shared" si="31"/>
        <v>0</v>
      </c>
      <c r="AD73" s="424">
        <f t="shared" si="31"/>
        <v>0</v>
      </c>
    </row>
    <row r="74" spans="2:30">
      <c r="B74" s="431">
        <v>36</v>
      </c>
      <c r="C74" s="422" t="s">
        <v>549</v>
      </c>
      <c r="D74" s="422" t="s">
        <v>134</v>
      </c>
      <c r="E74" s="424">
        <f>SUM(H74:AI74)</f>
        <v>129.87331500000002</v>
      </c>
      <c r="H74" s="424">
        <f t="shared" ref="H74:AD74" si="32">H361</f>
        <v>0</v>
      </c>
      <c r="I74" s="424">
        <f t="shared" si="32"/>
        <v>1.8164099999999999</v>
      </c>
      <c r="J74" s="424">
        <f t="shared" si="32"/>
        <v>4.8437599999999996</v>
      </c>
      <c r="K74" s="424">
        <f t="shared" si="32"/>
        <v>6.0546999999999995</v>
      </c>
      <c r="L74" s="424">
        <f t="shared" si="32"/>
        <v>6.0546999999999995</v>
      </c>
      <c r="M74" s="424">
        <f t="shared" si="32"/>
        <v>6.0546999999999995</v>
      </c>
      <c r="N74" s="424">
        <f t="shared" si="32"/>
        <v>6.0546999999999995</v>
      </c>
      <c r="O74" s="424">
        <f t="shared" si="32"/>
        <v>6.0546999999999995</v>
      </c>
      <c r="P74" s="424">
        <f t="shared" si="32"/>
        <v>6.0546999999999995</v>
      </c>
      <c r="Q74" s="424">
        <f t="shared" si="32"/>
        <v>6.0546999999999995</v>
      </c>
      <c r="R74" s="424">
        <f t="shared" si="32"/>
        <v>6.0546999999999995</v>
      </c>
      <c r="S74" s="424">
        <f t="shared" si="32"/>
        <v>6.0546999999999995</v>
      </c>
      <c r="T74" s="424">
        <f t="shared" si="32"/>
        <v>6.0546999999999995</v>
      </c>
      <c r="U74" s="424">
        <f t="shared" si="32"/>
        <v>6.2666144999999993</v>
      </c>
      <c r="V74" s="424">
        <f t="shared" si="32"/>
        <v>6.2666144999999993</v>
      </c>
      <c r="W74" s="424">
        <f t="shared" si="32"/>
        <v>6.2666144999999993</v>
      </c>
      <c r="X74" s="424">
        <f t="shared" si="32"/>
        <v>6.2666144999999993</v>
      </c>
      <c r="Y74" s="424">
        <f t="shared" si="32"/>
        <v>6.2666144999999993</v>
      </c>
      <c r="Z74" s="424">
        <f t="shared" si="32"/>
        <v>6.2666144999999993</v>
      </c>
      <c r="AA74" s="424">
        <f t="shared" si="32"/>
        <v>6.2666144999999993</v>
      </c>
      <c r="AB74" s="424">
        <f t="shared" si="32"/>
        <v>6.2666144999999993</v>
      </c>
      <c r="AC74" s="424">
        <f t="shared" si="32"/>
        <v>6.2666144999999993</v>
      </c>
      <c r="AD74" s="424">
        <f t="shared" si="32"/>
        <v>6.2666144999999993</v>
      </c>
    </row>
    <row r="75" spans="2:30">
      <c r="B75" s="431">
        <v>37</v>
      </c>
      <c r="C75" s="422" t="s">
        <v>550</v>
      </c>
      <c r="D75" s="422" t="s">
        <v>134</v>
      </c>
      <c r="H75" s="424">
        <f>SUM($H74:H74)</f>
        <v>0</v>
      </c>
      <c r="I75" s="424">
        <f>SUM($H74:I74)</f>
        <v>1.8164099999999999</v>
      </c>
      <c r="J75" s="424">
        <f>SUM($H74:J74)</f>
        <v>6.660169999999999</v>
      </c>
      <c r="K75" s="424">
        <f>SUM($H74:K74)</f>
        <v>12.714869999999998</v>
      </c>
      <c r="L75" s="424">
        <f>SUM($H74:L74)</f>
        <v>18.769569999999998</v>
      </c>
      <c r="M75" s="424">
        <f>SUM($H74:M74)</f>
        <v>24.824269999999999</v>
      </c>
      <c r="N75" s="424">
        <f>SUM($H74:N74)</f>
        <v>30.878969999999999</v>
      </c>
      <c r="O75" s="424">
        <f>SUM($H74:O74)</f>
        <v>36.933669999999999</v>
      </c>
      <c r="P75" s="424">
        <f>SUM($H74:P74)</f>
        <v>42.988369999999996</v>
      </c>
      <c r="Q75" s="424">
        <f>SUM($H74:Q74)</f>
        <v>49.043069999999993</v>
      </c>
      <c r="R75" s="424">
        <f>SUM($H74:R74)</f>
        <v>55.09776999999999</v>
      </c>
      <c r="S75" s="424">
        <f>SUM($H74:S74)</f>
        <v>61.152469999999987</v>
      </c>
      <c r="T75" s="424">
        <f>SUM($H74:T74)</f>
        <v>67.207169999999991</v>
      </c>
      <c r="U75" s="424">
        <f>SUM($H74:U74)</f>
        <v>73.473784499999994</v>
      </c>
      <c r="V75" s="424">
        <f>SUM($H74:V74)</f>
        <v>79.740398999999996</v>
      </c>
      <c r="W75" s="424">
        <f>SUM($H74:W74)</f>
        <v>86.007013499999999</v>
      </c>
      <c r="X75" s="424">
        <f>SUM($H74:X74)</f>
        <v>92.273628000000002</v>
      </c>
      <c r="Y75" s="424">
        <f>SUM($H74:Y74)</f>
        <v>98.540242500000005</v>
      </c>
      <c r="Z75" s="424">
        <f>SUM($H74:Z74)</f>
        <v>104.80685700000001</v>
      </c>
      <c r="AA75" s="424">
        <f>SUM($H74:AA74)</f>
        <v>111.07347150000001</v>
      </c>
      <c r="AB75" s="424">
        <f>SUM($H74:AB74)</f>
        <v>117.34008600000001</v>
      </c>
      <c r="AC75" s="424">
        <f>SUM($H74:AC74)</f>
        <v>123.60670050000002</v>
      </c>
      <c r="AD75" s="424">
        <f>SUM($H74:AD74)</f>
        <v>129.87331500000002</v>
      </c>
    </row>
    <row r="76" spans="2:30">
      <c r="B76" s="431">
        <v>38</v>
      </c>
      <c r="C76" s="422" t="s">
        <v>551</v>
      </c>
      <c r="D76" s="422" t="s">
        <v>134</v>
      </c>
      <c r="H76" s="424">
        <f>H72+H73-H74</f>
        <v>0</v>
      </c>
      <c r="I76" s="424">
        <f t="shared" ref="I76:AD76" si="33">I72+I73-I74</f>
        <v>55.48359</v>
      </c>
      <c r="J76" s="424">
        <f t="shared" si="33"/>
        <v>146.13982999999999</v>
      </c>
      <c r="K76" s="424">
        <f t="shared" si="33"/>
        <v>178.28513000000001</v>
      </c>
      <c r="L76" s="424">
        <f t="shared" si="33"/>
        <v>172.23043000000001</v>
      </c>
      <c r="M76" s="424">
        <f t="shared" si="33"/>
        <v>166.17573000000002</v>
      </c>
      <c r="N76" s="424">
        <f t="shared" si="33"/>
        <v>160.12103000000002</v>
      </c>
      <c r="O76" s="424">
        <f t="shared" si="33"/>
        <v>154.06633000000002</v>
      </c>
      <c r="P76" s="424">
        <f t="shared" si="33"/>
        <v>148.01163000000003</v>
      </c>
      <c r="Q76" s="424">
        <f t="shared" si="33"/>
        <v>141.95693000000003</v>
      </c>
      <c r="R76" s="424">
        <f t="shared" si="33"/>
        <v>135.90223000000003</v>
      </c>
      <c r="S76" s="424">
        <f t="shared" si="33"/>
        <v>129.84753000000003</v>
      </c>
      <c r="T76" s="424">
        <f t="shared" si="33"/>
        <v>123.79283000000004</v>
      </c>
      <c r="U76" s="424">
        <f t="shared" si="33"/>
        <v>124.21121550000004</v>
      </c>
      <c r="V76" s="424">
        <f t="shared" si="33"/>
        <v>117.94460100000003</v>
      </c>
      <c r="W76" s="424">
        <f t="shared" si="33"/>
        <v>111.67798650000003</v>
      </c>
      <c r="X76" s="424">
        <f t="shared" si="33"/>
        <v>105.41137200000003</v>
      </c>
      <c r="Y76" s="424">
        <f t="shared" si="33"/>
        <v>99.144757500000026</v>
      </c>
      <c r="Z76" s="424">
        <f t="shared" si="33"/>
        <v>92.878143000000023</v>
      </c>
      <c r="AA76" s="424">
        <f t="shared" si="33"/>
        <v>86.61152850000002</v>
      </c>
      <c r="AB76" s="424">
        <f t="shared" si="33"/>
        <v>80.344914000000017</v>
      </c>
      <c r="AC76" s="424">
        <f t="shared" si="33"/>
        <v>74.078299500000014</v>
      </c>
      <c r="AD76" s="424">
        <f t="shared" si="33"/>
        <v>67.811685000000011</v>
      </c>
    </row>
    <row r="77" spans="2:30">
      <c r="B77" s="431">
        <v>39</v>
      </c>
      <c r="C77" s="191" t="str">
        <f>C17</f>
        <v>Fire Fighting &amp; Dust Suppression</v>
      </c>
      <c r="F77" s="423">
        <v>6.6699999999999995E-2</v>
      </c>
    </row>
    <row r="78" spans="2:30">
      <c r="B78" s="431">
        <v>40</v>
      </c>
      <c r="C78" s="422" t="s">
        <v>547</v>
      </c>
      <c r="D78" s="422" t="s">
        <v>134</v>
      </c>
      <c r="H78" s="424">
        <f>G82</f>
        <v>0</v>
      </c>
      <c r="I78" s="424">
        <f t="shared" ref="I78:AD78" si="34">H82</f>
        <v>0</v>
      </c>
      <c r="J78" s="424">
        <f t="shared" si="34"/>
        <v>4.0458555</v>
      </c>
      <c r="K78" s="424">
        <f t="shared" si="34"/>
        <v>10.499803500000001</v>
      </c>
      <c r="L78" s="424">
        <f t="shared" si="34"/>
        <v>12.425988500000001</v>
      </c>
      <c r="M78" s="424">
        <f t="shared" si="34"/>
        <v>11.4621735</v>
      </c>
      <c r="N78" s="424">
        <f t="shared" si="34"/>
        <v>10.4983585</v>
      </c>
      <c r="O78" s="424">
        <f t="shared" si="34"/>
        <v>9.5345434999999998</v>
      </c>
      <c r="P78" s="424">
        <f t="shared" si="34"/>
        <v>8.5707284999999995</v>
      </c>
      <c r="Q78" s="424">
        <f t="shared" si="34"/>
        <v>7.6069134999999992</v>
      </c>
      <c r="R78" s="424">
        <f t="shared" si="34"/>
        <v>6.6430984999999989</v>
      </c>
      <c r="S78" s="424">
        <f t="shared" si="34"/>
        <v>5.6792834999999986</v>
      </c>
      <c r="T78" s="424">
        <f t="shared" si="34"/>
        <v>4.7154684999999983</v>
      </c>
      <c r="U78" s="424">
        <f t="shared" si="34"/>
        <v>3.7516534999999984</v>
      </c>
      <c r="V78" s="424">
        <f t="shared" si="34"/>
        <v>2.7878384999999986</v>
      </c>
      <c r="W78" s="424">
        <f t="shared" si="34"/>
        <v>1.8240234999999987</v>
      </c>
      <c r="X78" s="424">
        <f t="shared" si="34"/>
        <v>0.86237599999999848</v>
      </c>
      <c r="Y78" s="424">
        <f t="shared" si="34"/>
        <v>0.1913180000000001</v>
      </c>
      <c r="Z78" s="424">
        <f t="shared" si="34"/>
        <v>-6.6613381477509392E-16</v>
      </c>
      <c r="AA78" s="424">
        <f t="shared" si="34"/>
        <v>-6.6613381477509392E-16</v>
      </c>
      <c r="AB78" s="424">
        <f t="shared" si="34"/>
        <v>-6.6613381477509392E-16</v>
      </c>
      <c r="AC78" s="424">
        <f t="shared" si="34"/>
        <v>-6.6613381477509392E-16</v>
      </c>
      <c r="AD78" s="424">
        <f t="shared" si="34"/>
        <v>-6.6613381477509392E-16</v>
      </c>
    </row>
    <row r="79" spans="2:30">
      <c r="B79" s="431">
        <v>41</v>
      </c>
      <c r="C79" s="422" t="s">
        <v>548</v>
      </c>
      <c r="D79" s="422" t="s">
        <v>134</v>
      </c>
      <c r="E79" s="424">
        <f>SUM(H79:AI79)</f>
        <v>14.45</v>
      </c>
      <c r="H79" s="424">
        <f>H17</f>
        <v>0</v>
      </c>
      <c r="I79" s="424">
        <f t="shared" ref="I79:AD79" si="35">I17</f>
        <v>4.335</v>
      </c>
      <c r="J79" s="424">
        <f t="shared" si="35"/>
        <v>7.2249999999999996</v>
      </c>
      <c r="K79" s="424">
        <f t="shared" si="35"/>
        <v>2.89</v>
      </c>
      <c r="L79" s="424">
        <f t="shared" si="35"/>
        <v>0</v>
      </c>
      <c r="M79" s="424">
        <f t="shared" si="35"/>
        <v>0</v>
      </c>
      <c r="N79" s="424">
        <f t="shared" si="35"/>
        <v>0</v>
      </c>
      <c r="O79" s="424">
        <f t="shared" si="35"/>
        <v>0</v>
      </c>
      <c r="P79" s="424">
        <f t="shared" si="35"/>
        <v>0</v>
      </c>
      <c r="Q79" s="424">
        <f t="shared" si="35"/>
        <v>0</v>
      </c>
      <c r="R79" s="424">
        <f t="shared" si="35"/>
        <v>0</v>
      </c>
      <c r="S79" s="424">
        <f t="shared" si="35"/>
        <v>0</v>
      </c>
      <c r="T79" s="424">
        <f t="shared" si="35"/>
        <v>0</v>
      </c>
      <c r="U79" s="424">
        <f t="shared" si="35"/>
        <v>0</v>
      </c>
      <c r="V79" s="424">
        <f t="shared" si="35"/>
        <v>0</v>
      </c>
      <c r="W79" s="424">
        <f t="shared" si="35"/>
        <v>0</v>
      </c>
      <c r="X79" s="424">
        <f t="shared" si="35"/>
        <v>0</v>
      </c>
      <c r="Y79" s="424">
        <f t="shared" si="35"/>
        <v>0</v>
      </c>
      <c r="Z79" s="424">
        <f t="shared" si="35"/>
        <v>0</v>
      </c>
      <c r="AA79" s="424">
        <f t="shared" si="35"/>
        <v>0</v>
      </c>
      <c r="AB79" s="424">
        <f t="shared" si="35"/>
        <v>0</v>
      </c>
      <c r="AC79" s="424">
        <f t="shared" si="35"/>
        <v>0</v>
      </c>
      <c r="AD79" s="424">
        <f t="shared" si="35"/>
        <v>0</v>
      </c>
    </row>
    <row r="80" spans="2:30">
      <c r="B80" s="431">
        <v>42</v>
      </c>
      <c r="C80" s="422" t="s">
        <v>549</v>
      </c>
      <c r="D80" s="422" t="s">
        <v>134</v>
      </c>
      <c r="E80" s="424">
        <f>SUM(H80:AI80)</f>
        <v>14.450000000000001</v>
      </c>
      <c r="H80" s="424">
        <f t="shared" ref="H80:AD80" si="36">H389</f>
        <v>0</v>
      </c>
      <c r="I80" s="424">
        <f t="shared" si="36"/>
        <v>0.28914449999999997</v>
      </c>
      <c r="J80" s="424">
        <f t="shared" si="36"/>
        <v>0.77105199999999985</v>
      </c>
      <c r="K80" s="424">
        <f t="shared" si="36"/>
        <v>0.96381499999999987</v>
      </c>
      <c r="L80" s="424">
        <f t="shared" si="36"/>
        <v>0.96381499999999987</v>
      </c>
      <c r="M80" s="424">
        <f t="shared" si="36"/>
        <v>0.96381499999999987</v>
      </c>
      <c r="N80" s="424">
        <f t="shared" si="36"/>
        <v>0.96381499999999987</v>
      </c>
      <c r="O80" s="424">
        <f t="shared" si="36"/>
        <v>0.96381499999999987</v>
      </c>
      <c r="P80" s="424">
        <f t="shared" si="36"/>
        <v>0.96381499999999987</v>
      </c>
      <c r="Q80" s="424">
        <f t="shared" si="36"/>
        <v>0.96381499999999987</v>
      </c>
      <c r="R80" s="424">
        <f t="shared" si="36"/>
        <v>0.96381499999999987</v>
      </c>
      <c r="S80" s="424">
        <f t="shared" si="36"/>
        <v>0.96381499999999987</v>
      </c>
      <c r="T80" s="424">
        <f t="shared" si="36"/>
        <v>0.96381499999999987</v>
      </c>
      <c r="U80" s="424">
        <f t="shared" si="36"/>
        <v>0.96381499999999987</v>
      </c>
      <c r="V80" s="424">
        <f t="shared" si="36"/>
        <v>0.96381499999999987</v>
      </c>
      <c r="W80" s="424">
        <f t="shared" si="36"/>
        <v>0.96164750000000021</v>
      </c>
      <c r="X80" s="424">
        <f t="shared" si="36"/>
        <v>0.67105799999999838</v>
      </c>
      <c r="Y80" s="424">
        <f t="shared" si="36"/>
        <v>0.19131800000000077</v>
      </c>
      <c r="Z80" s="424">
        <f t="shared" si="36"/>
        <v>0</v>
      </c>
      <c r="AA80" s="424">
        <f t="shared" si="36"/>
        <v>0</v>
      </c>
      <c r="AB80" s="424">
        <f t="shared" si="36"/>
        <v>0</v>
      </c>
      <c r="AC80" s="424">
        <f t="shared" si="36"/>
        <v>0</v>
      </c>
      <c r="AD80" s="424">
        <f t="shared" si="36"/>
        <v>0</v>
      </c>
    </row>
    <row r="81" spans="2:30">
      <c r="B81" s="431">
        <v>43</v>
      </c>
      <c r="C81" s="422" t="s">
        <v>550</v>
      </c>
      <c r="D81" s="422" t="s">
        <v>134</v>
      </c>
      <c r="H81" s="424">
        <f>SUM($H80:H80)</f>
        <v>0</v>
      </c>
      <c r="I81" s="424">
        <f>SUM($H80:I80)</f>
        <v>0.28914449999999997</v>
      </c>
      <c r="J81" s="424">
        <f>SUM($H80:J80)</f>
        <v>1.0601964999999998</v>
      </c>
      <c r="K81" s="424">
        <f>SUM($H80:K80)</f>
        <v>2.0240114999999994</v>
      </c>
      <c r="L81" s="424">
        <f>SUM($H80:L80)</f>
        <v>2.9878264999999993</v>
      </c>
      <c r="M81" s="424">
        <f>SUM($H80:M80)</f>
        <v>3.9516414999999991</v>
      </c>
      <c r="N81" s="424">
        <f>SUM($H80:N80)</f>
        <v>4.9154564999999995</v>
      </c>
      <c r="O81" s="424">
        <f>SUM($H80:O80)</f>
        <v>5.8792714999999998</v>
      </c>
      <c r="P81" s="424">
        <f>SUM($H80:P80)</f>
        <v>6.8430865000000001</v>
      </c>
      <c r="Q81" s="424">
        <f>SUM($H80:Q80)</f>
        <v>7.8069015000000004</v>
      </c>
      <c r="R81" s="424">
        <f>SUM($H80:R80)</f>
        <v>8.7707165000000007</v>
      </c>
      <c r="S81" s="424">
        <f>SUM($H80:S80)</f>
        <v>9.734531500000001</v>
      </c>
      <c r="T81" s="424">
        <f>SUM($H80:T80)</f>
        <v>10.698346500000001</v>
      </c>
      <c r="U81" s="424">
        <f>SUM($H80:U80)</f>
        <v>11.662161500000002</v>
      </c>
      <c r="V81" s="424">
        <f>SUM($H80:V80)</f>
        <v>12.625976500000002</v>
      </c>
      <c r="W81" s="424">
        <f>SUM($H80:W80)</f>
        <v>13.587624000000002</v>
      </c>
      <c r="X81" s="424">
        <f>SUM($H80:X80)</f>
        <v>14.258682</v>
      </c>
      <c r="Y81" s="424">
        <f>SUM($H80:Y80)</f>
        <v>14.450000000000001</v>
      </c>
      <c r="Z81" s="424">
        <f>SUM($H80:Z80)</f>
        <v>14.450000000000001</v>
      </c>
      <c r="AA81" s="424">
        <f>SUM($H80:AA80)</f>
        <v>14.450000000000001</v>
      </c>
      <c r="AB81" s="424">
        <f>SUM($H80:AB80)</f>
        <v>14.450000000000001</v>
      </c>
      <c r="AC81" s="424">
        <f>SUM($H80:AC80)</f>
        <v>14.450000000000001</v>
      </c>
      <c r="AD81" s="424">
        <f>SUM($H80:AD80)</f>
        <v>14.450000000000001</v>
      </c>
    </row>
    <row r="82" spans="2:30">
      <c r="B82" s="431">
        <v>44</v>
      </c>
      <c r="C82" s="422" t="s">
        <v>551</v>
      </c>
      <c r="D82" s="422" t="s">
        <v>134</v>
      </c>
      <c r="H82" s="424">
        <f>H78+H79-H80</f>
        <v>0</v>
      </c>
      <c r="I82" s="424">
        <f t="shared" ref="I82:AD82" si="37">I78+I79-I80</f>
        <v>4.0458555</v>
      </c>
      <c r="J82" s="424">
        <f t="shared" si="37"/>
        <v>10.499803500000001</v>
      </c>
      <c r="K82" s="424">
        <f t="shared" si="37"/>
        <v>12.425988500000001</v>
      </c>
      <c r="L82" s="424">
        <f t="shared" si="37"/>
        <v>11.4621735</v>
      </c>
      <c r="M82" s="424">
        <f t="shared" si="37"/>
        <v>10.4983585</v>
      </c>
      <c r="N82" s="424">
        <f t="shared" si="37"/>
        <v>9.5345434999999998</v>
      </c>
      <c r="O82" s="424">
        <f t="shared" si="37"/>
        <v>8.5707284999999995</v>
      </c>
      <c r="P82" s="424">
        <f t="shared" si="37"/>
        <v>7.6069134999999992</v>
      </c>
      <c r="Q82" s="424">
        <f t="shared" si="37"/>
        <v>6.6430984999999989</v>
      </c>
      <c r="R82" s="424">
        <f t="shared" si="37"/>
        <v>5.6792834999999986</v>
      </c>
      <c r="S82" s="424">
        <f t="shared" si="37"/>
        <v>4.7154684999999983</v>
      </c>
      <c r="T82" s="424">
        <f t="shared" si="37"/>
        <v>3.7516534999999984</v>
      </c>
      <c r="U82" s="424">
        <f t="shared" si="37"/>
        <v>2.7878384999999986</v>
      </c>
      <c r="V82" s="424">
        <f t="shared" si="37"/>
        <v>1.8240234999999987</v>
      </c>
      <c r="W82" s="424">
        <f t="shared" si="37"/>
        <v>0.86237599999999848</v>
      </c>
      <c r="X82" s="424">
        <f t="shared" si="37"/>
        <v>0.1913180000000001</v>
      </c>
      <c r="Y82" s="424">
        <f t="shared" si="37"/>
        <v>-6.6613381477509392E-16</v>
      </c>
      <c r="Z82" s="424">
        <f t="shared" si="37"/>
        <v>-6.6613381477509392E-16</v>
      </c>
      <c r="AA82" s="424">
        <f t="shared" si="37"/>
        <v>-6.6613381477509392E-16</v>
      </c>
      <c r="AB82" s="424">
        <f t="shared" si="37"/>
        <v>-6.6613381477509392E-16</v>
      </c>
      <c r="AC82" s="424">
        <f t="shared" si="37"/>
        <v>-6.6613381477509392E-16</v>
      </c>
      <c r="AD82" s="424">
        <f t="shared" si="37"/>
        <v>-6.6613381477509392E-16</v>
      </c>
    </row>
    <row r="83" spans="2:30">
      <c r="B83" s="431">
        <v>45</v>
      </c>
      <c r="C83" s="191" t="str">
        <f>C18</f>
        <v>Workshop and Store</v>
      </c>
      <c r="F83" s="423">
        <v>6.6699999999999995E-2</v>
      </c>
    </row>
    <row r="84" spans="2:30">
      <c r="B84" s="431">
        <v>46</v>
      </c>
      <c r="C84" s="422" t="s">
        <v>547</v>
      </c>
      <c r="D84" s="422" t="s">
        <v>134</v>
      </c>
      <c r="H84" s="424">
        <f>G88</f>
        <v>0</v>
      </c>
      <c r="I84" s="424">
        <f t="shared" ref="I84:AD84" si="38">H88</f>
        <v>0</v>
      </c>
      <c r="J84" s="424">
        <f t="shared" si="38"/>
        <v>0</v>
      </c>
      <c r="K84" s="424">
        <f t="shared" si="38"/>
        <v>12.725545499999999</v>
      </c>
      <c r="L84" s="424">
        <f t="shared" si="38"/>
        <v>24.541636499999999</v>
      </c>
      <c r="M84" s="424">
        <f t="shared" si="38"/>
        <v>22.722727499999998</v>
      </c>
      <c r="N84" s="424">
        <f t="shared" si="38"/>
        <v>20.903818499999996</v>
      </c>
      <c r="O84" s="424">
        <f t="shared" si="38"/>
        <v>19.084909499999995</v>
      </c>
      <c r="P84" s="424">
        <f t="shared" si="38"/>
        <v>17.266000499999993</v>
      </c>
      <c r="Q84" s="424">
        <f t="shared" si="38"/>
        <v>15.447091499999994</v>
      </c>
      <c r="R84" s="424">
        <f t="shared" si="38"/>
        <v>13.628182499999994</v>
      </c>
      <c r="S84" s="424">
        <f t="shared" si="38"/>
        <v>11.809273499999994</v>
      </c>
      <c r="T84" s="424">
        <f t="shared" si="38"/>
        <v>9.9903644999999948</v>
      </c>
      <c r="U84" s="424">
        <f t="shared" si="38"/>
        <v>8.1714554999999951</v>
      </c>
      <c r="V84" s="424">
        <f t="shared" si="38"/>
        <v>6.3525464999999954</v>
      </c>
      <c r="W84" s="424">
        <f t="shared" si="38"/>
        <v>4.5336374999999958</v>
      </c>
      <c r="X84" s="424">
        <f t="shared" si="38"/>
        <v>2.7147284999999961</v>
      </c>
      <c r="Y84" s="424">
        <f t="shared" si="38"/>
        <v>0.90263699999999947</v>
      </c>
      <c r="Z84" s="424">
        <f t="shared" si="38"/>
        <v>2.6645352591003757E-15</v>
      </c>
      <c r="AA84" s="424">
        <f t="shared" si="38"/>
        <v>2.6645352591003757E-15</v>
      </c>
      <c r="AB84" s="424">
        <f t="shared" si="38"/>
        <v>2.6645352591003757E-15</v>
      </c>
      <c r="AC84" s="424">
        <f t="shared" si="38"/>
        <v>2.6645352591003757E-15</v>
      </c>
      <c r="AD84" s="424">
        <f t="shared" si="38"/>
        <v>2.6645352591003757E-15</v>
      </c>
    </row>
    <row r="85" spans="2:30">
      <c r="B85" s="431">
        <v>47</v>
      </c>
      <c r="C85" s="422" t="s">
        <v>548</v>
      </c>
      <c r="D85" s="422" t="s">
        <v>134</v>
      </c>
      <c r="E85" s="424">
        <f>SUM(H85:AI85)</f>
        <v>27.27</v>
      </c>
      <c r="H85" s="424">
        <f>H18+H28</f>
        <v>0</v>
      </c>
      <c r="I85" s="424">
        <f t="shared" ref="I85:AD85" si="39">I18+I28</f>
        <v>0</v>
      </c>
      <c r="J85" s="424">
        <f t="shared" si="39"/>
        <v>13.635</v>
      </c>
      <c r="K85" s="424">
        <f t="shared" si="39"/>
        <v>13.635</v>
      </c>
      <c r="L85" s="424">
        <f t="shared" si="39"/>
        <v>0</v>
      </c>
      <c r="M85" s="424">
        <f t="shared" si="39"/>
        <v>0</v>
      </c>
      <c r="N85" s="424">
        <f t="shared" si="39"/>
        <v>0</v>
      </c>
      <c r="O85" s="424">
        <f t="shared" si="39"/>
        <v>0</v>
      </c>
      <c r="P85" s="424">
        <f t="shared" si="39"/>
        <v>0</v>
      </c>
      <c r="Q85" s="424">
        <f t="shared" si="39"/>
        <v>0</v>
      </c>
      <c r="R85" s="424">
        <f t="shared" si="39"/>
        <v>0</v>
      </c>
      <c r="S85" s="424">
        <f t="shared" si="39"/>
        <v>0</v>
      </c>
      <c r="T85" s="424">
        <f t="shared" si="39"/>
        <v>0</v>
      </c>
      <c r="U85" s="424">
        <f t="shared" si="39"/>
        <v>0</v>
      </c>
      <c r="V85" s="424">
        <f t="shared" si="39"/>
        <v>0</v>
      </c>
      <c r="W85" s="424">
        <f t="shared" si="39"/>
        <v>0</v>
      </c>
      <c r="X85" s="424">
        <f t="shared" si="39"/>
        <v>0</v>
      </c>
      <c r="Y85" s="424">
        <f t="shared" si="39"/>
        <v>0</v>
      </c>
      <c r="Z85" s="424">
        <f t="shared" si="39"/>
        <v>0</v>
      </c>
      <c r="AA85" s="424">
        <f t="shared" si="39"/>
        <v>0</v>
      </c>
      <c r="AB85" s="424">
        <f t="shared" si="39"/>
        <v>0</v>
      </c>
      <c r="AC85" s="424">
        <f t="shared" si="39"/>
        <v>0</v>
      </c>
      <c r="AD85" s="424">
        <f t="shared" si="39"/>
        <v>0</v>
      </c>
    </row>
    <row r="86" spans="2:30">
      <c r="B86" s="431">
        <v>48</v>
      </c>
      <c r="C86" s="422" t="s">
        <v>549</v>
      </c>
      <c r="D86" s="422" t="s">
        <v>134</v>
      </c>
      <c r="E86" s="424">
        <f>SUM(H86:AI86)</f>
        <v>27.269999999999996</v>
      </c>
      <c r="H86" s="424">
        <f t="shared" ref="H86:AD86" si="40">H417</f>
        <v>0</v>
      </c>
      <c r="I86" s="424">
        <f t="shared" si="40"/>
        <v>0</v>
      </c>
      <c r="J86" s="424">
        <f t="shared" si="40"/>
        <v>0.90945449999999994</v>
      </c>
      <c r="K86" s="424">
        <f t="shared" si="40"/>
        <v>1.8189089999999999</v>
      </c>
      <c r="L86" s="424">
        <f t="shared" si="40"/>
        <v>1.8189089999999999</v>
      </c>
      <c r="M86" s="424">
        <f t="shared" si="40"/>
        <v>1.8189089999999999</v>
      </c>
      <c r="N86" s="424">
        <f t="shared" si="40"/>
        <v>1.8189089999999999</v>
      </c>
      <c r="O86" s="424">
        <f t="shared" si="40"/>
        <v>1.8189089999999999</v>
      </c>
      <c r="P86" s="424">
        <f t="shared" si="40"/>
        <v>1.8189089999999999</v>
      </c>
      <c r="Q86" s="424">
        <f t="shared" si="40"/>
        <v>1.8189089999999999</v>
      </c>
      <c r="R86" s="424">
        <f t="shared" si="40"/>
        <v>1.8189089999999999</v>
      </c>
      <c r="S86" s="424">
        <f t="shared" si="40"/>
        <v>1.8189089999999999</v>
      </c>
      <c r="T86" s="424">
        <f t="shared" si="40"/>
        <v>1.8189089999999999</v>
      </c>
      <c r="U86" s="424">
        <f t="shared" si="40"/>
        <v>1.8189089999999999</v>
      </c>
      <c r="V86" s="424">
        <f t="shared" si="40"/>
        <v>1.8189089999999999</v>
      </c>
      <c r="W86" s="424">
        <f t="shared" si="40"/>
        <v>1.8189089999999999</v>
      </c>
      <c r="X86" s="424">
        <f t="shared" si="40"/>
        <v>1.8120914999999966</v>
      </c>
      <c r="Y86" s="424">
        <f t="shared" si="40"/>
        <v>0.9026369999999968</v>
      </c>
      <c r="Z86" s="424">
        <f t="shared" si="40"/>
        <v>0</v>
      </c>
      <c r="AA86" s="424">
        <f t="shared" si="40"/>
        <v>0</v>
      </c>
      <c r="AB86" s="424">
        <f t="shared" si="40"/>
        <v>0</v>
      </c>
      <c r="AC86" s="424">
        <f t="shared" si="40"/>
        <v>0</v>
      </c>
      <c r="AD86" s="424">
        <f t="shared" si="40"/>
        <v>0</v>
      </c>
    </row>
    <row r="87" spans="2:30">
      <c r="B87" s="431">
        <v>49</v>
      </c>
      <c r="C87" s="422" t="s">
        <v>550</v>
      </c>
      <c r="D87" s="422" t="s">
        <v>134</v>
      </c>
      <c r="H87" s="424">
        <f>SUM($H86:H86)</f>
        <v>0</v>
      </c>
      <c r="I87" s="424">
        <f>SUM($H86:I86)</f>
        <v>0</v>
      </c>
      <c r="J87" s="424">
        <f>SUM($H86:J86)</f>
        <v>0.90945449999999994</v>
      </c>
      <c r="K87" s="424">
        <f>SUM($H86:K86)</f>
        <v>2.7283634999999999</v>
      </c>
      <c r="L87" s="424">
        <f>SUM($H86:L86)</f>
        <v>4.5472725000000001</v>
      </c>
      <c r="M87" s="424">
        <f>SUM($H86:M86)</f>
        <v>6.3661814999999997</v>
      </c>
      <c r="N87" s="424">
        <f>SUM($H86:N86)</f>
        <v>8.1850904999999994</v>
      </c>
      <c r="O87" s="424">
        <f>SUM($H86:O86)</f>
        <v>10.003999499999999</v>
      </c>
      <c r="P87" s="424">
        <f>SUM($H86:P86)</f>
        <v>11.822908499999999</v>
      </c>
      <c r="Q87" s="424">
        <f>SUM($H86:Q86)</f>
        <v>13.641817499999998</v>
      </c>
      <c r="R87" s="424">
        <f>SUM($H86:R86)</f>
        <v>15.460726499999998</v>
      </c>
      <c r="S87" s="424">
        <f>SUM($H86:S86)</f>
        <v>17.279635499999998</v>
      </c>
      <c r="T87" s="424">
        <f>SUM($H86:T86)</f>
        <v>19.098544499999999</v>
      </c>
      <c r="U87" s="424">
        <f>SUM($H86:U86)</f>
        <v>20.917453500000001</v>
      </c>
      <c r="V87" s="424">
        <f>SUM($H86:V86)</f>
        <v>22.736362500000002</v>
      </c>
      <c r="W87" s="424">
        <f>SUM($H86:W86)</f>
        <v>24.555271500000003</v>
      </c>
      <c r="X87" s="424">
        <f>SUM($H86:X86)</f>
        <v>26.367363000000001</v>
      </c>
      <c r="Y87" s="424">
        <f>SUM($H86:Y86)</f>
        <v>27.269999999999996</v>
      </c>
      <c r="Z87" s="424">
        <f>SUM($H86:Z86)</f>
        <v>27.269999999999996</v>
      </c>
      <c r="AA87" s="424">
        <f>SUM($H86:AA86)</f>
        <v>27.269999999999996</v>
      </c>
      <c r="AB87" s="424">
        <f>SUM($H86:AB86)</f>
        <v>27.269999999999996</v>
      </c>
      <c r="AC87" s="424">
        <f>SUM($H86:AC86)</f>
        <v>27.269999999999996</v>
      </c>
      <c r="AD87" s="424">
        <f>SUM($H86:AD86)</f>
        <v>27.269999999999996</v>
      </c>
    </row>
    <row r="88" spans="2:30">
      <c r="B88" s="431">
        <v>50</v>
      </c>
      <c r="C88" s="422" t="s">
        <v>551</v>
      </c>
      <c r="D88" s="422" t="s">
        <v>134</v>
      </c>
      <c r="H88" s="424">
        <f>H84+H85-H86</f>
        <v>0</v>
      </c>
      <c r="I88" s="424">
        <f t="shared" ref="I88:AD88" si="41">I84+I85-I86</f>
        <v>0</v>
      </c>
      <c r="J88" s="424">
        <f t="shared" si="41"/>
        <v>12.725545499999999</v>
      </c>
      <c r="K88" s="424">
        <f t="shared" si="41"/>
        <v>24.541636499999999</v>
      </c>
      <c r="L88" s="424">
        <f t="shared" si="41"/>
        <v>22.722727499999998</v>
      </c>
      <c r="M88" s="424">
        <f t="shared" si="41"/>
        <v>20.903818499999996</v>
      </c>
      <c r="N88" s="424">
        <f t="shared" si="41"/>
        <v>19.084909499999995</v>
      </c>
      <c r="O88" s="424">
        <f t="shared" si="41"/>
        <v>17.266000499999993</v>
      </c>
      <c r="P88" s="424">
        <f t="shared" si="41"/>
        <v>15.447091499999994</v>
      </c>
      <c r="Q88" s="424">
        <f t="shared" si="41"/>
        <v>13.628182499999994</v>
      </c>
      <c r="R88" s="424">
        <f t="shared" si="41"/>
        <v>11.809273499999994</v>
      </c>
      <c r="S88" s="424">
        <f t="shared" si="41"/>
        <v>9.9903644999999948</v>
      </c>
      <c r="T88" s="424">
        <f t="shared" si="41"/>
        <v>8.1714554999999951</v>
      </c>
      <c r="U88" s="424">
        <f t="shared" si="41"/>
        <v>6.3525464999999954</v>
      </c>
      <c r="V88" s="424">
        <f t="shared" si="41"/>
        <v>4.5336374999999958</v>
      </c>
      <c r="W88" s="424">
        <f t="shared" si="41"/>
        <v>2.7147284999999961</v>
      </c>
      <c r="X88" s="424">
        <f t="shared" si="41"/>
        <v>0.90263699999999947</v>
      </c>
      <c r="Y88" s="424">
        <f t="shared" si="41"/>
        <v>2.6645352591003757E-15</v>
      </c>
      <c r="Z88" s="424">
        <f t="shared" si="41"/>
        <v>2.6645352591003757E-15</v>
      </c>
      <c r="AA88" s="424">
        <f t="shared" si="41"/>
        <v>2.6645352591003757E-15</v>
      </c>
      <c r="AB88" s="424">
        <f t="shared" si="41"/>
        <v>2.6645352591003757E-15</v>
      </c>
      <c r="AC88" s="424">
        <f t="shared" si="41"/>
        <v>2.6645352591003757E-15</v>
      </c>
      <c r="AD88" s="424">
        <f t="shared" si="41"/>
        <v>2.6645352591003757E-15</v>
      </c>
    </row>
    <row r="89" spans="2:30">
      <c r="B89" s="431">
        <v>51</v>
      </c>
      <c r="C89" s="191" t="str">
        <f>C19</f>
        <v xml:space="preserve">Electrical </v>
      </c>
      <c r="F89" s="423">
        <v>0.05</v>
      </c>
    </row>
    <row r="90" spans="2:30">
      <c r="B90" s="431">
        <v>52</v>
      </c>
      <c r="C90" s="422" t="s">
        <v>547</v>
      </c>
      <c r="D90" s="422" t="s">
        <v>134</v>
      </c>
      <c r="H90" s="424">
        <f>G94</f>
        <v>0</v>
      </c>
      <c r="I90" s="424">
        <f t="shared" ref="I90:AD90" si="42">H94</f>
        <v>0</v>
      </c>
      <c r="J90" s="424">
        <f t="shared" si="42"/>
        <v>0</v>
      </c>
      <c r="K90" s="424">
        <f t="shared" si="42"/>
        <v>0</v>
      </c>
      <c r="L90" s="424">
        <f t="shared" si="42"/>
        <v>8.1581250000000001</v>
      </c>
      <c r="M90" s="424">
        <f t="shared" si="42"/>
        <v>20.781749999999999</v>
      </c>
      <c r="N90" s="424">
        <f t="shared" si="42"/>
        <v>27.823499999999999</v>
      </c>
      <c r="O90" s="424">
        <f t="shared" si="42"/>
        <v>29.540999999999997</v>
      </c>
      <c r="P90" s="424">
        <f t="shared" si="42"/>
        <v>27.823499999999996</v>
      </c>
      <c r="Q90" s="424">
        <f t="shared" si="42"/>
        <v>26.105999999999995</v>
      </c>
      <c r="R90" s="424">
        <f t="shared" si="42"/>
        <v>24.388499999999993</v>
      </c>
      <c r="S90" s="424">
        <f t="shared" si="42"/>
        <v>22.670999999999992</v>
      </c>
      <c r="T90" s="424">
        <f t="shared" si="42"/>
        <v>20.953499999999991</v>
      </c>
      <c r="U90" s="424">
        <f t="shared" si="42"/>
        <v>19.23599999999999</v>
      </c>
      <c r="V90" s="424">
        <f t="shared" si="42"/>
        <v>17.518499999999989</v>
      </c>
      <c r="W90" s="424">
        <f t="shared" si="42"/>
        <v>15.800999999999988</v>
      </c>
      <c r="X90" s="424">
        <f t="shared" si="42"/>
        <v>14.083499999999987</v>
      </c>
      <c r="Y90" s="424">
        <f t="shared" si="42"/>
        <v>12.365999999999985</v>
      </c>
      <c r="Z90" s="424">
        <f t="shared" si="42"/>
        <v>10.648499999999984</v>
      </c>
      <c r="AA90" s="424">
        <f t="shared" si="42"/>
        <v>8.9309999999999832</v>
      </c>
      <c r="AB90" s="424">
        <f t="shared" si="42"/>
        <v>7.2134999999999829</v>
      </c>
      <c r="AC90" s="424">
        <f t="shared" si="42"/>
        <v>5.4959999999999827</v>
      </c>
      <c r="AD90" s="424">
        <f t="shared" si="42"/>
        <v>3.7784999999999824</v>
      </c>
    </row>
    <row r="91" spans="2:30">
      <c r="B91" s="431">
        <v>53</v>
      </c>
      <c r="C91" s="422" t="s">
        <v>548</v>
      </c>
      <c r="D91" s="422" t="s">
        <v>134</v>
      </c>
      <c r="E91" s="424">
        <f>SUM(H91:AI91)</f>
        <v>34.35</v>
      </c>
      <c r="H91" s="424">
        <f>H19+H29</f>
        <v>0</v>
      </c>
      <c r="I91" s="424">
        <f t="shared" ref="I91:AD91" si="43">I19+I29</f>
        <v>0</v>
      </c>
      <c r="J91" s="424">
        <f t="shared" si="43"/>
        <v>0</v>
      </c>
      <c r="K91" s="424">
        <f t="shared" si="43"/>
        <v>8.5875000000000004</v>
      </c>
      <c r="L91" s="424">
        <f t="shared" si="43"/>
        <v>13.740000000000002</v>
      </c>
      <c r="M91" s="424">
        <f t="shared" si="43"/>
        <v>8.5875000000000004</v>
      </c>
      <c r="N91" s="424">
        <f t="shared" si="43"/>
        <v>3.4350000000000005</v>
      </c>
      <c r="O91" s="424">
        <f t="shared" si="43"/>
        <v>0</v>
      </c>
      <c r="P91" s="424">
        <f t="shared" si="43"/>
        <v>0</v>
      </c>
      <c r="Q91" s="424">
        <f t="shared" si="43"/>
        <v>0</v>
      </c>
      <c r="R91" s="424">
        <f t="shared" si="43"/>
        <v>0</v>
      </c>
      <c r="S91" s="424">
        <f t="shared" si="43"/>
        <v>0</v>
      </c>
      <c r="T91" s="424">
        <f t="shared" si="43"/>
        <v>0</v>
      </c>
      <c r="U91" s="424">
        <f t="shared" si="43"/>
        <v>0</v>
      </c>
      <c r="V91" s="424">
        <f t="shared" si="43"/>
        <v>0</v>
      </c>
      <c r="W91" s="424">
        <f t="shared" si="43"/>
        <v>0</v>
      </c>
      <c r="X91" s="424">
        <f t="shared" si="43"/>
        <v>0</v>
      </c>
      <c r="Y91" s="424">
        <f t="shared" si="43"/>
        <v>0</v>
      </c>
      <c r="Z91" s="424">
        <f t="shared" si="43"/>
        <v>0</v>
      </c>
      <c r="AA91" s="424">
        <f t="shared" si="43"/>
        <v>0</v>
      </c>
      <c r="AB91" s="424">
        <f t="shared" si="43"/>
        <v>0</v>
      </c>
      <c r="AC91" s="424">
        <f t="shared" si="43"/>
        <v>0</v>
      </c>
      <c r="AD91" s="424">
        <f t="shared" si="43"/>
        <v>0</v>
      </c>
    </row>
    <row r="92" spans="2:30">
      <c r="B92" s="431">
        <v>54</v>
      </c>
      <c r="C92" s="422" t="s">
        <v>549</v>
      </c>
      <c r="D92" s="422" t="s">
        <v>134</v>
      </c>
      <c r="E92" s="424">
        <f>SUM(H92:AI92)</f>
        <v>32.289000000000009</v>
      </c>
      <c r="H92" s="424">
        <f t="shared" ref="H92:AD92" si="44">H445</f>
        <v>0</v>
      </c>
      <c r="I92" s="424">
        <f t="shared" si="44"/>
        <v>0</v>
      </c>
      <c r="J92" s="424">
        <f t="shared" si="44"/>
        <v>0</v>
      </c>
      <c r="K92" s="424">
        <f t="shared" si="44"/>
        <v>0.42937500000000006</v>
      </c>
      <c r="L92" s="424">
        <f t="shared" si="44"/>
        <v>1.1163750000000001</v>
      </c>
      <c r="M92" s="424">
        <f t="shared" si="44"/>
        <v>1.5457500000000002</v>
      </c>
      <c r="N92" s="424">
        <f t="shared" si="44"/>
        <v>1.7175000000000002</v>
      </c>
      <c r="O92" s="424">
        <f t="shared" si="44"/>
        <v>1.7175000000000002</v>
      </c>
      <c r="P92" s="424">
        <f t="shared" si="44"/>
        <v>1.7175000000000002</v>
      </c>
      <c r="Q92" s="424">
        <f t="shared" si="44"/>
        <v>1.7175000000000002</v>
      </c>
      <c r="R92" s="424">
        <f t="shared" si="44"/>
        <v>1.7175000000000002</v>
      </c>
      <c r="S92" s="424">
        <f t="shared" si="44"/>
        <v>1.7175000000000002</v>
      </c>
      <c r="T92" s="424">
        <f t="shared" si="44"/>
        <v>1.7175000000000002</v>
      </c>
      <c r="U92" s="424">
        <f t="shared" si="44"/>
        <v>1.7175000000000002</v>
      </c>
      <c r="V92" s="424">
        <f t="shared" si="44"/>
        <v>1.7175000000000002</v>
      </c>
      <c r="W92" s="424">
        <f t="shared" si="44"/>
        <v>1.7175000000000002</v>
      </c>
      <c r="X92" s="424">
        <f t="shared" si="44"/>
        <v>1.7175000000000002</v>
      </c>
      <c r="Y92" s="424">
        <f t="shared" si="44"/>
        <v>1.7175000000000002</v>
      </c>
      <c r="Z92" s="424">
        <f t="shared" si="44"/>
        <v>1.7175000000000002</v>
      </c>
      <c r="AA92" s="424">
        <f t="shared" si="44"/>
        <v>1.7175000000000002</v>
      </c>
      <c r="AB92" s="424">
        <f t="shared" si="44"/>
        <v>1.7175000000000002</v>
      </c>
      <c r="AC92" s="424">
        <f t="shared" si="44"/>
        <v>1.7175000000000002</v>
      </c>
      <c r="AD92" s="424">
        <f t="shared" si="44"/>
        <v>1.7174999999999971</v>
      </c>
    </row>
    <row r="93" spans="2:30">
      <c r="B93" s="431">
        <v>55</v>
      </c>
      <c r="C93" s="422" t="s">
        <v>550</v>
      </c>
      <c r="D93" s="422" t="s">
        <v>134</v>
      </c>
      <c r="H93" s="424">
        <f>SUM($H92:H92)</f>
        <v>0</v>
      </c>
      <c r="I93" s="424">
        <f>SUM($H92:I92)</f>
        <v>0</v>
      </c>
      <c r="J93" s="424">
        <f>SUM($H92:J92)</f>
        <v>0</v>
      </c>
      <c r="K93" s="424">
        <f>SUM($H92:K92)</f>
        <v>0.42937500000000006</v>
      </c>
      <c r="L93" s="424">
        <f>SUM($H92:L92)</f>
        <v>1.5457500000000002</v>
      </c>
      <c r="M93" s="424">
        <f>SUM($H92:M92)</f>
        <v>3.0915000000000004</v>
      </c>
      <c r="N93" s="424">
        <f>SUM($H92:N92)</f>
        <v>4.8090000000000011</v>
      </c>
      <c r="O93" s="424">
        <f>SUM($H92:O92)</f>
        <v>6.5265000000000013</v>
      </c>
      <c r="P93" s="424">
        <f>SUM($H92:P92)</f>
        <v>8.2440000000000015</v>
      </c>
      <c r="Q93" s="424">
        <f>SUM($H92:Q92)</f>
        <v>9.9615000000000009</v>
      </c>
      <c r="R93" s="424">
        <f>SUM($H92:R92)</f>
        <v>11.679000000000002</v>
      </c>
      <c r="S93" s="424">
        <f>SUM($H92:S92)</f>
        <v>13.396500000000003</v>
      </c>
      <c r="T93" s="424">
        <f>SUM($H92:T92)</f>
        <v>15.114000000000004</v>
      </c>
      <c r="U93" s="424">
        <f>SUM($H92:U92)</f>
        <v>16.831500000000005</v>
      </c>
      <c r="V93" s="424">
        <f>SUM($H92:V92)</f>
        <v>18.549000000000007</v>
      </c>
      <c r="W93" s="424">
        <f>SUM($H92:W92)</f>
        <v>20.266500000000008</v>
      </c>
      <c r="X93" s="424">
        <f>SUM($H92:X92)</f>
        <v>21.984000000000009</v>
      </c>
      <c r="Y93" s="424">
        <f>SUM($H92:Y92)</f>
        <v>23.70150000000001</v>
      </c>
      <c r="Z93" s="424">
        <f>SUM($H92:Z92)</f>
        <v>25.419000000000011</v>
      </c>
      <c r="AA93" s="424">
        <f>SUM($H92:AA92)</f>
        <v>27.136500000000012</v>
      </c>
      <c r="AB93" s="424">
        <f>SUM($H92:AB92)</f>
        <v>28.854000000000013</v>
      </c>
      <c r="AC93" s="424">
        <f>SUM($H92:AC92)</f>
        <v>30.571500000000015</v>
      </c>
      <c r="AD93" s="424">
        <f>SUM($H92:AD92)</f>
        <v>32.289000000000009</v>
      </c>
    </row>
    <row r="94" spans="2:30">
      <c r="B94" s="431">
        <v>56</v>
      </c>
      <c r="C94" s="422" t="s">
        <v>551</v>
      </c>
      <c r="D94" s="422" t="s">
        <v>134</v>
      </c>
      <c r="H94" s="424">
        <f>H90+H91-H92</f>
        <v>0</v>
      </c>
      <c r="I94" s="424">
        <f t="shared" ref="I94:AD94" si="45">I90+I91-I92</f>
        <v>0</v>
      </c>
      <c r="J94" s="424">
        <f t="shared" si="45"/>
        <v>0</v>
      </c>
      <c r="K94" s="424">
        <f t="shared" si="45"/>
        <v>8.1581250000000001</v>
      </c>
      <c r="L94" s="424">
        <f t="shared" si="45"/>
        <v>20.781749999999999</v>
      </c>
      <c r="M94" s="424">
        <f t="shared" si="45"/>
        <v>27.823499999999999</v>
      </c>
      <c r="N94" s="424">
        <f t="shared" si="45"/>
        <v>29.540999999999997</v>
      </c>
      <c r="O94" s="424">
        <f t="shared" si="45"/>
        <v>27.823499999999996</v>
      </c>
      <c r="P94" s="424">
        <f t="shared" si="45"/>
        <v>26.105999999999995</v>
      </c>
      <c r="Q94" s="424">
        <f t="shared" si="45"/>
        <v>24.388499999999993</v>
      </c>
      <c r="R94" s="424">
        <f t="shared" si="45"/>
        <v>22.670999999999992</v>
      </c>
      <c r="S94" s="424">
        <f t="shared" si="45"/>
        <v>20.953499999999991</v>
      </c>
      <c r="T94" s="424">
        <f t="shared" si="45"/>
        <v>19.23599999999999</v>
      </c>
      <c r="U94" s="424">
        <f t="shared" si="45"/>
        <v>17.518499999999989</v>
      </c>
      <c r="V94" s="424">
        <f t="shared" si="45"/>
        <v>15.800999999999988</v>
      </c>
      <c r="W94" s="424">
        <f t="shared" si="45"/>
        <v>14.083499999999987</v>
      </c>
      <c r="X94" s="424">
        <f t="shared" si="45"/>
        <v>12.365999999999985</v>
      </c>
      <c r="Y94" s="424">
        <f t="shared" si="45"/>
        <v>10.648499999999984</v>
      </c>
      <c r="Z94" s="424">
        <f t="shared" si="45"/>
        <v>8.9309999999999832</v>
      </c>
      <c r="AA94" s="424">
        <f t="shared" si="45"/>
        <v>7.2134999999999829</v>
      </c>
      <c r="AB94" s="424">
        <f t="shared" si="45"/>
        <v>5.4959999999999827</v>
      </c>
      <c r="AC94" s="424">
        <f t="shared" si="45"/>
        <v>3.7784999999999824</v>
      </c>
      <c r="AD94" s="424">
        <f t="shared" si="45"/>
        <v>2.0609999999999853</v>
      </c>
    </row>
    <row r="95" spans="2:30">
      <c r="B95" s="431">
        <v>57</v>
      </c>
      <c r="C95" s="191" t="str">
        <f>C20</f>
        <v>Mine Dewatering System</v>
      </c>
      <c r="F95" s="423">
        <v>6.6699999999999995E-2</v>
      </c>
    </row>
    <row r="96" spans="2:30">
      <c r="B96" s="431">
        <v>58</v>
      </c>
      <c r="C96" s="422" t="s">
        <v>547</v>
      </c>
      <c r="D96" s="422" t="s">
        <v>134</v>
      </c>
      <c r="H96" s="424">
        <f>G100</f>
        <v>0</v>
      </c>
      <c r="I96" s="424">
        <f t="shared" ref="I96:AD96" si="46">H100</f>
        <v>0</v>
      </c>
      <c r="J96" s="424">
        <f t="shared" si="46"/>
        <v>0</v>
      </c>
      <c r="K96" s="424">
        <f t="shared" si="46"/>
        <v>0</v>
      </c>
      <c r="L96" s="424">
        <f t="shared" si="46"/>
        <v>0</v>
      </c>
      <c r="M96" s="424">
        <f t="shared" si="46"/>
        <v>2.6371407941876313</v>
      </c>
      <c r="N96" s="424">
        <f t="shared" si="46"/>
        <v>4.360536594658182</v>
      </c>
      <c r="O96" s="424">
        <f t="shared" si="46"/>
        <v>4.0354336116086937</v>
      </c>
      <c r="P96" s="424">
        <f t="shared" si="46"/>
        <v>3.7103306285592059</v>
      </c>
      <c r="Q96" s="424">
        <f t="shared" si="46"/>
        <v>6.921970029142047</v>
      </c>
      <c r="R96" s="424">
        <f t="shared" si="46"/>
        <v>6.3441072507552869</v>
      </c>
      <c r="S96" s="424">
        <f t="shared" si="46"/>
        <v>5.7662444723685269</v>
      </c>
      <c r="T96" s="424">
        <f t="shared" si="46"/>
        <v>5.1883816939817669</v>
      </c>
      <c r="U96" s="424">
        <f t="shared" si="46"/>
        <v>4.6105189155950068</v>
      </c>
      <c r="V96" s="424">
        <f t="shared" si="46"/>
        <v>7.176676670320564</v>
      </c>
      <c r="W96" s="424">
        <f t="shared" si="46"/>
        <v>6.3741206855065116</v>
      </c>
      <c r="X96" s="424">
        <f t="shared" si="46"/>
        <v>5.5715647006924591</v>
      </c>
      <c r="Y96" s="424">
        <f t="shared" si="46"/>
        <v>4.7690087158784067</v>
      </c>
      <c r="Z96" s="424">
        <f t="shared" si="46"/>
        <v>3.9664527310643543</v>
      </c>
      <c r="AA96" s="424">
        <f t="shared" si="46"/>
        <v>5.9350419251129605</v>
      </c>
      <c r="AB96" s="424">
        <f t="shared" si="46"/>
        <v>5.124034288693422</v>
      </c>
      <c r="AC96" s="424">
        <f t="shared" si="46"/>
        <v>4.4486372717429106</v>
      </c>
      <c r="AD96" s="424">
        <f t="shared" si="46"/>
        <v>3.7732402547923987</v>
      </c>
    </row>
    <row r="97" spans="2:30">
      <c r="B97" s="431">
        <v>59</v>
      </c>
      <c r="C97" s="422" t="s">
        <v>548</v>
      </c>
      <c r="D97" s="422" t="s">
        <v>134</v>
      </c>
      <c r="E97" s="424">
        <f>SUM(H97:AI97)</f>
        <v>15</v>
      </c>
      <c r="H97" s="424">
        <f>H20+H30</f>
        <v>0</v>
      </c>
      <c r="I97" s="424">
        <f t="shared" ref="I97:AD97" si="47">I20+I30</f>
        <v>0</v>
      </c>
      <c r="J97" s="424">
        <f t="shared" si="47"/>
        <v>0</v>
      </c>
      <c r="K97" s="424">
        <f t="shared" si="47"/>
        <v>0</v>
      </c>
      <c r="L97" s="424">
        <f t="shared" si="47"/>
        <v>2.8256089083763327</v>
      </c>
      <c r="M97" s="424">
        <f t="shared" si="47"/>
        <v>2.0484987835200386</v>
      </c>
      <c r="N97" s="424">
        <f t="shared" si="47"/>
        <v>0</v>
      </c>
      <c r="O97" s="424">
        <f t="shared" si="47"/>
        <v>0</v>
      </c>
      <c r="P97" s="424">
        <f t="shared" si="47"/>
        <v>3.7895021789696011</v>
      </c>
      <c r="Q97" s="424">
        <f t="shared" si="47"/>
        <v>0</v>
      </c>
      <c r="R97" s="424">
        <f t="shared" si="47"/>
        <v>0</v>
      </c>
      <c r="S97" s="424">
        <f t="shared" si="47"/>
        <v>0</v>
      </c>
      <c r="T97" s="424">
        <f t="shared" si="47"/>
        <v>0</v>
      </c>
      <c r="U97" s="424">
        <f t="shared" si="47"/>
        <v>3.3687137395396092</v>
      </c>
      <c r="V97" s="424">
        <f t="shared" si="47"/>
        <v>0</v>
      </c>
      <c r="W97" s="424">
        <f t="shared" si="47"/>
        <v>0</v>
      </c>
      <c r="X97" s="424">
        <f t="shared" si="47"/>
        <v>0</v>
      </c>
      <c r="Y97" s="424">
        <f t="shared" si="47"/>
        <v>0</v>
      </c>
      <c r="Z97" s="424">
        <f t="shared" si="47"/>
        <v>2.9676763895944172</v>
      </c>
      <c r="AA97" s="424">
        <f t="shared" si="47"/>
        <v>0</v>
      </c>
      <c r="AB97" s="424">
        <f t="shared" si="47"/>
        <v>0</v>
      </c>
      <c r="AC97" s="424">
        <f t="shared" si="47"/>
        <v>0</v>
      </c>
      <c r="AD97" s="424">
        <f t="shared" si="47"/>
        <v>0</v>
      </c>
    </row>
    <row r="98" spans="2:30">
      <c r="B98" s="431">
        <v>60</v>
      </c>
      <c r="C98" s="422" t="s">
        <v>549</v>
      </c>
      <c r="D98" s="422" t="s">
        <v>134</v>
      </c>
      <c r="E98" s="424">
        <f>SUM(H98:AI98)</f>
        <v>11.90026201106863</v>
      </c>
      <c r="H98" s="424">
        <f t="shared" ref="H98:AD98" si="48">H473</f>
        <v>0</v>
      </c>
      <c r="I98" s="424">
        <f t="shared" si="48"/>
        <v>0</v>
      </c>
      <c r="J98" s="424">
        <f t="shared" si="48"/>
        <v>0</v>
      </c>
      <c r="K98" s="424">
        <f t="shared" si="48"/>
        <v>0</v>
      </c>
      <c r="L98" s="424">
        <f t="shared" si="48"/>
        <v>0.18846811418870138</v>
      </c>
      <c r="M98" s="424">
        <f t="shared" si="48"/>
        <v>0.32510298304948793</v>
      </c>
      <c r="N98" s="424">
        <f t="shared" si="48"/>
        <v>0.32510298304948793</v>
      </c>
      <c r="O98" s="424">
        <f t="shared" si="48"/>
        <v>0.32510298304948793</v>
      </c>
      <c r="P98" s="424">
        <f t="shared" si="48"/>
        <v>0.57786277838676026</v>
      </c>
      <c r="Q98" s="424">
        <f t="shared" si="48"/>
        <v>0.57786277838676026</v>
      </c>
      <c r="R98" s="424">
        <f t="shared" si="48"/>
        <v>0.57786277838676026</v>
      </c>
      <c r="S98" s="424">
        <f t="shared" si="48"/>
        <v>0.57786277838676026</v>
      </c>
      <c r="T98" s="424">
        <f t="shared" si="48"/>
        <v>0.57786277838676026</v>
      </c>
      <c r="U98" s="424">
        <f t="shared" si="48"/>
        <v>0.80255598481405221</v>
      </c>
      <c r="V98" s="424">
        <f t="shared" si="48"/>
        <v>0.80255598481405221</v>
      </c>
      <c r="W98" s="424">
        <f t="shared" si="48"/>
        <v>0.80255598481405221</v>
      </c>
      <c r="X98" s="424">
        <f t="shared" si="48"/>
        <v>0.80255598481405221</v>
      </c>
      <c r="Y98" s="424">
        <f t="shared" si="48"/>
        <v>0.80255598481405221</v>
      </c>
      <c r="Z98" s="424">
        <f t="shared" si="48"/>
        <v>0.99908719554581127</v>
      </c>
      <c r="AA98" s="424">
        <f t="shared" si="48"/>
        <v>0.81100763641953844</v>
      </c>
      <c r="AB98" s="424">
        <f t="shared" si="48"/>
        <v>0.67539701695051191</v>
      </c>
      <c r="AC98" s="424">
        <f t="shared" si="48"/>
        <v>0.67539701695051191</v>
      </c>
      <c r="AD98" s="424">
        <f t="shared" si="48"/>
        <v>0.67350226586102813</v>
      </c>
    </row>
    <row r="99" spans="2:30">
      <c r="B99" s="431">
        <v>61</v>
      </c>
      <c r="C99" s="422" t="s">
        <v>550</v>
      </c>
      <c r="D99" s="422" t="s">
        <v>134</v>
      </c>
      <c r="H99" s="424">
        <f>SUM($H98:H98)</f>
        <v>0</v>
      </c>
      <c r="I99" s="424">
        <f>SUM($H98:I98)</f>
        <v>0</v>
      </c>
      <c r="J99" s="424">
        <f>SUM($H98:J98)</f>
        <v>0</v>
      </c>
      <c r="K99" s="424">
        <f>SUM($H98:K98)</f>
        <v>0</v>
      </c>
      <c r="L99" s="424">
        <f>SUM($H98:L98)</f>
        <v>0.18846811418870138</v>
      </c>
      <c r="M99" s="424">
        <f>SUM($H98:M98)</f>
        <v>0.51357109723818928</v>
      </c>
      <c r="N99" s="424">
        <f>SUM($H98:N98)</f>
        <v>0.8386740802876772</v>
      </c>
      <c r="O99" s="424">
        <f>SUM($H98:O98)</f>
        <v>1.1637770633371651</v>
      </c>
      <c r="P99" s="424">
        <f>SUM($H98:P98)</f>
        <v>1.7416398417239254</v>
      </c>
      <c r="Q99" s="424">
        <f>SUM($H98:Q98)</f>
        <v>2.3195026201106854</v>
      </c>
      <c r="R99" s="424">
        <f>SUM($H98:R98)</f>
        <v>2.8973653984974455</v>
      </c>
      <c r="S99" s="424">
        <f>SUM($H98:S98)</f>
        <v>3.4752281768842055</v>
      </c>
      <c r="T99" s="424">
        <f>SUM($H98:T98)</f>
        <v>4.0530909552709655</v>
      </c>
      <c r="U99" s="424">
        <f>SUM($H98:U98)</f>
        <v>4.855646940085018</v>
      </c>
      <c r="V99" s="424">
        <f>SUM($H98:V98)</f>
        <v>5.6582029248990704</v>
      </c>
      <c r="W99" s="424">
        <f>SUM($H98:W98)</f>
        <v>6.4607589097131228</v>
      </c>
      <c r="X99" s="424">
        <f>SUM($H98:X98)</f>
        <v>7.2633148945271753</v>
      </c>
      <c r="Y99" s="424">
        <f>SUM($H98:Y98)</f>
        <v>8.0658708793412277</v>
      </c>
      <c r="Z99" s="424">
        <f>SUM($H98:Z98)</f>
        <v>9.0649580748870395</v>
      </c>
      <c r="AA99" s="424">
        <f>SUM($H98:AA98)</f>
        <v>9.8759657113065771</v>
      </c>
      <c r="AB99" s="424">
        <f>SUM($H98:AB98)</f>
        <v>10.551362728257089</v>
      </c>
      <c r="AC99" s="424">
        <f>SUM($H98:AC98)</f>
        <v>11.226759745207602</v>
      </c>
      <c r="AD99" s="424">
        <f>SUM($H98:AD98)</f>
        <v>11.90026201106863</v>
      </c>
    </row>
    <row r="100" spans="2:30">
      <c r="B100" s="431">
        <v>62</v>
      </c>
      <c r="C100" s="422" t="s">
        <v>551</v>
      </c>
      <c r="D100" s="422" t="s">
        <v>134</v>
      </c>
      <c r="H100" s="424">
        <f>H96+H97-H98</f>
        <v>0</v>
      </c>
      <c r="I100" s="424">
        <f t="shared" ref="I100:AD100" si="49">I96+I97-I98</f>
        <v>0</v>
      </c>
      <c r="J100" s="424">
        <f t="shared" si="49"/>
        <v>0</v>
      </c>
      <c r="K100" s="424">
        <f t="shared" si="49"/>
        <v>0</v>
      </c>
      <c r="L100" s="424">
        <f t="shared" si="49"/>
        <v>2.6371407941876313</v>
      </c>
      <c r="M100" s="424">
        <f t="shared" si="49"/>
        <v>4.360536594658182</v>
      </c>
      <c r="N100" s="424">
        <f t="shared" si="49"/>
        <v>4.0354336116086937</v>
      </c>
      <c r="O100" s="424">
        <f t="shared" si="49"/>
        <v>3.7103306285592059</v>
      </c>
      <c r="P100" s="424">
        <f t="shared" si="49"/>
        <v>6.921970029142047</v>
      </c>
      <c r="Q100" s="424">
        <f t="shared" si="49"/>
        <v>6.3441072507552869</v>
      </c>
      <c r="R100" s="424">
        <f t="shared" si="49"/>
        <v>5.7662444723685269</v>
      </c>
      <c r="S100" s="424">
        <f t="shared" si="49"/>
        <v>5.1883816939817669</v>
      </c>
      <c r="T100" s="424">
        <f t="shared" si="49"/>
        <v>4.6105189155950068</v>
      </c>
      <c r="U100" s="424">
        <f t="shared" si="49"/>
        <v>7.176676670320564</v>
      </c>
      <c r="V100" s="424">
        <f t="shared" si="49"/>
        <v>6.3741206855065116</v>
      </c>
      <c r="W100" s="424">
        <f t="shared" si="49"/>
        <v>5.5715647006924591</v>
      </c>
      <c r="X100" s="424">
        <f t="shared" si="49"/>
        <v>4.7690087158784067</v>
      </c>
      <c r="Y100" s="424">
        <f t="shared" si="49"/>
        <v>3.9664527310643543</v>
      </c>
      <c r="Z100" s="424">
        <f t="shared" si="49"/>
        <v>5.9350419251129605</v>
      </c>
      <c r="AA100" s="424">
        <f t="shared" si="49"/>
        <v>5.124034288693422</v>
      </c>
      <c r="AB100" s="424">
        <f t="shared" si="49"/>
        <v>4.4486372717429106</v>
      </c>
      <c r="AC100" s="424">
        <f t="shared" si="49"/>
        <v>3.7732402547923987</v>
      </c>
      <c r="AD100" s="424">
        <f t="shared" si="49"/>
        <v>3.0997379889313708</v>
      </c>
    </row>
    <row r="101" spans="2:30">
      <c r="B101" s="431">
        <v>63</v>
      </c>
      <c r="C101" s="191" t="str">
        <f>C21</f>
        <v>Digitalisation</v>
      </c>
      <c r="F101" s="423">
        <v>0.33329999999999999</v>
      </c>
    </row>
    <row r="102" spans="2:30">
      <c r="B102" s="431">
        <v>64</v>
      </c>
      <c r="C102" s="422" t="s">
        <v>547</v>
      </c>
      <c r="D102" s="422" t="s">
        <v>134</v>
      </c>
      <c r="H102" s="424">
        <f>G106</f>
        <v>0</v>
      </c>
      <c r="I102" s="424">
        <f t="shared" ref="I102:AD102" si="50">H106</f>
        <v>0</v>
      </c>
      <c r="J102" s="424">
        <f t="shared" si="50"/>
        <v>2.0000999999999998</v>
      </c>
      <c r="K102" s="424">
        <f t="shared" si="50"/>
        <v>4.3337000000000003</v>
      </c>
      <c r="L102" s="424">
        <f t="shared" si="50"/>
        <v>3.0007000000000006</v>
      </c>
      <c r="M102" s="424">
        <f t="shared" si="50"/>
        <v>0.66730000000000045</v>
      </c>
      <c r="N102" s="424">
        <f t="shared" si="50"/>
        <v>1.9999999999986695E-4</v>
      </c>
      <c r="O102" s="424">
        <f t="shared" si="50"/>
        <v>-1.1102230246251565E-16</v>
      </c>
      <c r="P102" s="424">
        <f t="shared" si="50"/>
        <v>-1.1102230246251565E-16</v>
      </c>
      <c r="Q102" s="424">
        <f t="shared" si="50"/>
        <v>-1.1102230246251565E-16</v>
      </c>
      <c r="R102" s="424">
        <f t="shared" si="50"/>
        <v>-1.1102230246251565E-16</v>
      </c>
      <c r="S102" s="424">
        <f t="shared" si="50"/>
        <v>-1.1102230246251565E-16</v>
      </c>
      <c r="T102" s="424">
        <f t="shared" si="50"/>
        <v>-1.1102230246251565E-16</v>
      </c>
      <c r="U102" s="424">
        <f t="shared" si="50"/>
        <v>-1.1102230246251565E-16</v>
      </c>
      <c r="V102" s="424">
        <f t="shared" si="50"/>
        <v>-1.1102230246251565E-16</v>
      </c>
      <c r="W102" s="424">
        <f t="shared" si="50"/>
        <v>-1.1102230246251565E-16</v>
      </c>
      <c r="X102" s="424">
        <f t="shared" si="50"/>
        <v>-1.1102230246251565E-16</v>
      </c>
      <c r="Y102" s="424">
        <f t="shared" si="50"/>
        <v>-1.1102230246251565E-16</v>
      </c>
      <c r="Z102" s="424">
        <f t="shared" si="50"/>
        <v>-1.1102230246251565E-16</v>
      </c>
      <c r="AA102" s="424">
        <f t="shared" si="50"/>
        <v>-1.1102230246251565E-16</v>
      </c>
      <c r="AB102" s="424">
        <f t="shared" si="50"/>
        <v>-1.1102230246251565E-16</v>
      </c>
      <c r="AC102" s="424">
        <f t="shared" si="50"/>
        <v>-1.1102230246251565E-16</v>
      </c>
      <c r="AD102" s="424">
        <f t="shared" si="50"/>
        <v>-1.1102230246251565E-16</v>
      </c>
    </row>
    <row r="103" spans="2:30">
      <c r="B103" s="431">
        <v>65</v>
      </c>
      <c r="C103" s="422" t="s">
        <v>548</v>
      </c>
      <c r="D103" s="422" t="s">
        <v>134</v>
      </c>
      <c r="E103" s="424">
        <f>SUM(H103:AI103)</f>
        <v>10</v>
      </c>
      <c r="H103" s="424">
        <f>H21+H31</f>
        <v>0</v>
      </c>
      <c r="I103" s="424">
        <f t="shared" ref="I103:AD103" si="51">I21+I31</f>
        <v>3</v>
      </c>
      <c r="J103" s="424">
        <f t="shared" si="51"/>
        <v>5</v>
      </c>
      <c r="K103" s="424">
        <f t="shared" si="51"/>
        <v>2</v>
      </c>
      <c r="L103" s="424">
        <f t="shared" si="51"/>
        <v>0</v>
      </c>
      <c r="M103" s="424">
        <f t="shared" si="51"/>
        <v>0</v>
      </c>
      <c r="N103" s="424">
        <f t="shared" si="51"/>
        <v>0</v>
      </c>
      <c r="O103" s="424">
        <f t="shared" si="51"/>
        <v>0</v>
      </c>
      <c r="P103" s="424">
        <f t="shared" si="51"/>
        <v>0</v>
      </c>
      <c r="Q103" s="424">
        <f t="shared" si="51"/>
        <v>0</v>
      </c>
      <c r="R103" s="424">
        <f t="shared" si="51"/>
        <v>0</v>
      </c>
      <c r="S103" s="424">
        <f t="shared" si="51"/>
        <v>0</v>
      </c>
      <c r="T103" s="424">
        <f t="shared" si="51"/>
        <v>0</v>
      </c>
      <c r="U103" s="424">
        <f t="shared" si="51"/>
        <v>0</v>
      </c>
      <c r="V103" s="424">
        <f t="shared" si="51"/>
        <v>0</v>
      </c>
      <c r="W103" s="424">
        <f t="shared" si="51"/>
        <v>0</v>
      </c>
      <c r="X103" s="424">
        <f t="shared" si="51"/>
        <v>0</v>
      </c>
      <c r="Y103" s="424">
        <f t="shared" si="51"/>
        <v>0</v>
      </c>
      <c r="Z103" s="424">
        <f t="shared" si="51"/>
        <v>0</v>
      </c>
      <c r="AA103" s="424">
        <f t="shared" si="51"/>
        <v>0</v>
      </c>
      <c r="AB103" s="424">
        <f t="shared" si="51"/>
        <v>0</v>
      </c>
      <c r="AC103" s="424">
        <f t="shared" si="51"/>
        <v>0</v>
      </c>
      <c r="AD103" s="424">
        <f t="shared" si="51"/>
        <v>0</v>
      </c>
    </row>
    <row r="104" spans="2:30">
      <c r="B104" s="431">
        <v>66</v>
      </c>
      <c r="C104" s="422" t="s">
        <v>549</v>
      </c>
      <c r="D104" s="422" t="s">
        <v>134</v>
      </c>
      <c r="E104" s="424">
        <f>SUM(H104:AI104)</f>
        <v>10</v>
      </c>
      <c r="H104" s="424">
        <f t="shared" ref="H104:AD104" si="52">H501</f>
        <v>0</v>
      </c>
      <c r="I104" s="424">
        <f t="shared" si="52"/>
        <v>0.99990000000000001</v>
      </c>
      <c r="J104" s="424">
        <f t="shared" si="52"/>
        <v>2.6663999999999999</v>
      </c>
      <c r="K104" s="424">
        <f t="shared" si="52"/>
        <v>3.3329999999999997</v>
      </c>
      <c r="L104" s="424">
        <f t="shared" si="52"/>
        <v>2.3334000000000001</v>
      </c>
      <c r="M104" s="424">
        <f t="shared" si="52"/>
        <v>0.66710000000000058</v>
      </c>
      <c r="N104" s="424">
        <f t="shared" si="52"/>
        <v>1.9999999999997797E-4</v>
      </c>
      <c r="O104" s="424">
        <f t="shared" si="52"/>
        <v>0</v>
      </c>
      <c r="P104" s="424">
        <f t="shared" si="52"/>
        <v>0</v>
      </c>
      <c r="Q104" s="424">
        <f t="shared" si="52"/>
        <v>0</v>
      </c>
      <c r="R104" s="424">
        <f t="shared" si="52"/>
        <v>0</v>
      </c>
      <c r="S104" s="424">
        <f t="shared" si="52"/>
        <v>0</v>
      </c>
      <c r="T104" s="424">
        <f t="shared" si="52"/>
        <v>0</v>
      </c>
      <c r="U104" s="424">
        <f t="shared" si="52"/>
        <v>0</v>
      </c>
      <c r="V104" s="424">
        <f t="shared" si="52"/>
        <v>0</v>
      </c>
      <c r="W104" s="424">
        <f t="shared" si="52"/>
        <v>0</v>
      </c>
      <c r="X104" s="424">
        <f t="shared" si="52"/>
        <v>0</v>
      </c>
      <c r="Y104" s="424">
        <f t="shared" si="52"/>
        <v>0</v>
      </c>
      <c r="Z104" s="424">
        <f t="shared" si="52"/>
        <v>0</v>
      </c>
      <c r="AA104" s="424">
        <f t="shared" si="52"/>
        <v>0</v>
      </c>
      <c r="AB104" s="424">
        <f t="shared" si="52"/>
        <v>0</v>
      </c>
      <c r="AC104" s="424">
        <f t="shared" si="52"/>
        <v>0</v>
      </c>
      <c r="AD104" s="424">
        <f t="shared" si="52"/>
        <v>0</v>
      </c>
    </row>
    <row r="105" spans="2:30">
      <c r="B105" s="431">
        <v>67</v>
      </c>
      <c r="C105" s="422" t="s">
        <v>550</v>
      </c>
      <c r="D105" s="422" t="s">
        <v>134</v>
      </c>
      <c r="H105" s="424">
        <f>SUM($H104:H104)</f>
        <v>0</v>
      </c>
      <c r="I105" s="424">
        <f>SUM($H104:I104)</f>
        <v>0.99990000000000001</v>
      </c>
      <c r="J105" s="424">
        <f>SUM($H104:J104)</f>
        <v>3.6662999999999997</v>
      </c>
      <c r="K105" s="424">
        <f>SUM($H104:K104)</f>
        <v>6.9992999999999999</v>
      </c>
      <c r="L105" s="424">
        <f>SUM($H104:L104)</f>
        <v>9.3326999999999991</v>
      </c>
      <c r="M105" s="424">
        <f>SUM($H104:M104)</f>
        <v>9.9998000000000005</v>
      </c>
      <c r="N105" s="424">
        <f>SUM($H104:N104)</f>
        <v>10</v>
      </c>
      <c r="O105" s="424">
        <f>SUM($H104:O104)</f>
        <v>10</v>
      </c>
      <c r="P105" s="424">
        <f>SUM($H104:P104)</f>
        <v>10</v>
      </c>
      <c r="Q105" s="424">
        <f>SUM($H104:Q104)</f>
        <v>10</v>
      </c>
      <c r="R105" s="424">
        <f>SUM($H104:R104)</f>
        <v>10</v>
      </c>
      <c r="S105" s="424">
        <f>SUM($H104:S104)</f>
        <v>10</v>
      </c>
      <c r="T105" s="424">
        <f>SUM($H104:T104)</f>
        <v>10</v>
      </c>
      <c r="U105" s="424">
        <f>SUM($H104:U104)</f>
        <v>10</v>
      </c>
      <c r="V105" s="424">
        <f>SUM($H104:V104)</f>
        <v>10</v>
      </c>
      <c r="W105" s="424">
        <f>SUM($H104:W104)</f>
        <v>10</v>
      </c>
      <c r="X105" s="424">
        <f>SUM($H104:X104)</f>
        <v>10</v>
      </c>
      <c r="Y105" s="424">
        <f>SUM($H104:Y104)</f>
        <v>10</v>
      </c>
      <c r="Z105" s="424">
        <f>SUM($H104:Z104)</f>
        <v>10</v>
      </c>
      <c r="AA105" s="424">
        <f>SUM($H104:AA104)</f>
        <v>10</v>
      </c>
      <c r="AB105" s="424">
        <f>SUM($H104:AB104)</f>
        <v>10</v>
      </c>
      <c r="AC105" s="424">
        <f>SUM($H104:AC104)</f>
        <v>10</v>
      </c>
      <c r="AD105" s="424">
        <f>SUM($H104:AD104)</f>
        <v>10</v>
      </c>
    </row>
    <row r="106" spans="2:30">
      <c r="B106" s="431">
        <v>68</v>
      </c>
      <c r="C106" s="422" t="s">
        <v>551</v>
      </c>
      <c r="D106" s="422" t="s">
        <v>134</v>
      </c>
      <c r="H106" s="424">
        <f>H102+H103-H104</f>
        <v>0</v>
      </c>
      <c r="I106" s="424">
        <f>I102+I103-I104</f>
        <v>2.0000999999999998</v>
      </c>
      <c r="J106" s="424">
        <f t="shared" ref="J106:AD106" si="53">J102+J103-J104</f>
        <v>4.3337000000000003</v>
      </c>
      <c r="K106" s="424">
        <f t="shared" si="53"/>
        <v>3.0007000000000006</v>
      </c>
      <c r="L106" s="424">
        <f t="shared" si="53"/>
        <v>0.66730000000000045</v>
      </c>
      <c r="M106" s="424">
        <f t="shared" si="53"/>
        <v>1.9999999999986695E-4</v>
      </c>
      <c r="N106" s="424">
        <f t="shared" si="53"/>
        <v>-1.1102230246251565E-16</v>
      </c>
      <c r="O106" s="424">
        <f t="shared" si="53"/>
        <v>-1.1102230246251565E-16</v>
      </c>
      <c r="P106" s="424">
        <f t="shared" si="53"/>
        <v>-1.1102230246251565E-16</v>
      </c>
      <c r="Q106" s="424">
        <f t="shared" si="53"/>
        <v>-1.1102230246251565E-16</v>
      </c>
      <c r="R106" s="424">
        <f t="shared" si="53"/>
        <v>-1.1102230246251565E-16</v>
      </c>
      <c r="S106" s="424">
        <f t="shared" si="53"/>
        <v>-1.1102230246251565E-16</v>
      </c>
      <c r="T106" s="424">
        <f t="shared" si="53"/>
        <v>-1.1102230246251565E-16</v>
      </c>
      <c r="U106" s="424">
        <f t="shared" si="53"/>
        <v>-1.1102230246251565E-16</v>
      </c>
      <c r="V106" s="424">
        <f t="shared" si="53"/>
        <v>-1.1102230246251565E-16</v>
      </c>
      <c r="W106" s="424">
        <f t="shared" si="53"/>
        <v>-1.1102230246251565E-16</v>
      </c>
      <c r="X106" s="424">
        <f t="shared" si="53"/>
        <v>-1.1102230246251565E-16</v>
      </c>
      <c r="Y106" s="424">
        <f t="shared" si="53"/>
        <v>-1.1102230246251565E-16</v>
      </c>
      <c r="Z106" s="424">
        <f t="shared" si="53"/>
        <v>-1.1102230246251565E-16</v>
      </c>
      <c r="AA106" s="424">
        <f t="shared" si="53"/>
        <v>-1.1102230246251565E-16</v>
      </c>
      <c r="AB106" s="424">
        <f t="shared" si="53"/>
        <v>-1.1102230246251565E-16</v>
      </c>
      <c r="AC106" s="424">
        <f t="shared" si="53"/>
        <v>-1.1102230246251565E-16</v>
      </c>
      <c r="AD106" s="424">
        <f t="shared" si="53"/>
        <v>-1.1102230246251565E-16</v>
      </c>
    </row>
    <row r="107" spans="2:30">
      <c r="B107" s="431">
        <v>69</v>
      </c>
      <c r="C107" s="191" t="str">
        <f>C22</f>
        <v>Contingency</v>
      </c>
      <c r="F107" s="423">
        <f>1/COUNT(H40:AD40)</f>
        <v>4.3478260869565216E-2</v>
      </c>
    </row>
    <row r="108" spans="2:30">
      <c r="B108" s="431">
        <v>70</v>
      </c>
      <c r="C108" s="422" t="s">
        <v>547</v>
      </c>
      <c r="D108" s="422" t="s">
        <v>134</v>
      </c>
      <c r="H108" s="424">
        <f>G112</f>
        <v>0</v>
      </c>
      <c r="I108" s="424">
        <f t="shared" ref="I108:AD108" ca="1" si="54">H112</f>
        <v>16.372341652173908</v>
      </c>
      <c r="J108" s="424">
        <f t="shared" ca="1" si="54"/>
        <v>58.480440835166078</v>
      </c>
      <c r="K108" s="424">
        <f t="shared" ca="1" si="54"/>
        <v>140.34250890536478</v>
      </c>
      <c r="L108" s="424">
        <f t="shared" ca="1" si="54"/>
        <v>198.35818718740956</v>
      </c>
      <c r="M108" s="424">
        <f t="shared" ca="1" si="54"/>
        <v>246.59207544926093</v>
      </c>
      <c r="N108" s="424">
        <f t="shared" ca="1" si="54"/>
        <v>257.68237487800383</v>
      </c>
      <c r="O108" s="424">
        <f t="shared" ca="1" si="54"/>
        <v>271.23920034397116</v>
      </c>
      <c r="P108" s="424">
        <f t="shared" ca="1" si="54"/>
        <v>330.2110845062972</v>
      </c>
      <c r="Q108" s="424">
        <f t="shared" ca="1" si="54"/>
        <v>353.43936666940004</v>
      </c>
      <c r="R108" s="424">
        <f t="shared" ca="1" si="54"/>
        <v>399.44215365635256</v>
      </c>
      <c r="S108" s="424">
        <f t="shared" ca="1" si="54"/>
        <v>417.90253273297327</v>
      </c>
      <c r="T108" s="424">
        <f t="shared" ca="1" si="54"/>
        <v>443.43418679669992</v>
      </c>
      <c r="U108" s="424">
        <f t="shared" ca="1" si="54"/>
        <v>460.72278419075343</v>
      </c>
      <c r="V108" s="424">
        <f t="shared" ca="1" si="54"/>
        <v>447.0024991649326</v>
      </c>
      <c r="W108" s="424">
        <f t="shared" ca="1" si="54"/>
        <v>435.40485676032756</v>
      </c>
      <c r="X108" s="424">
        <f t="shared" ca="1" si="54"/>
        <v>409.06577198042288</v>
      </c>
      <c r="Y108" s="424">
        <f t="shared" ca="1" si="54"/>
        <v>390.76587811095294</v>
      </c>
      <c r="Z108" s="424">
        <f t="shared" ca="1" si="54"/>
        <v>393.50320264322215</v>
      </c>
      <c r="AA108" s="424">
        <f t="shared" ca="1" si="54"/>
        <v>368.18142490013179</v>
      </c>
      <c r="AB108" s="424">
        <f t="shared" ca="1" si="54"/>
        <v>366.03475540333886</v>
      </c>
      <c r="AC108" s="424">
        <f t="shared" ca="1" si="54"/>
        <v>335.95687073369538</v>
      </c>
      <c r="AD108" s="424">
        <f t="shared" ca="1" si="54"/>
        <v>315.05945282965797</v>
      </c>
    </row>
    <row r="109" spans="2:30">
      <c r="B109" s="431">
        <v>71</v>
      </c>
      <c r="C109" s="422" t="s">
        <v>548</v>
      </c>
      <c r="D109" s="422" t="s">
        <v>134</v>
      </c>
      <c r="E109" s="424">
        <f ca="1">SUM(H109:AI109)</f>
        <v>826.25941280949087</v>
      </c>
      <c r="H109" s="424">
        <f ca="1">H22+H32</f>
        <v>17.116538999999996</v>
      </c>
      <c r="I109" s="424">
        <f t="shared" ref="I109:AD109" ca="1" si="55">I22+I32</f>
        <v>44.800128191309994</v>
      </c>
      <c r="J109" s="424">
        <f t="shared" ca="1" si="55"/>
        <v>88.397465127540002</v>
      </c>
      <c r="K109" s="424">
        <f t="shared" ca="1" si="55"/>
        <v>67.485215127539988</v>
      </c>
      <c r="L109" s="424">
        <f t="shared" si="55"/>
        <v>60.326308066771446</v>
      </c>
      <c r="M109" s="424">
        <f t="shared" si="55"/>
        <v>24.236479198829468</v>
      </c>
      <c r="N109" s="424">
        <f t="shared" si="55"/>
        <v>27.916778201329073</v>
      </c>
      <c r="O109" s="424">
        <f t="shared" si="55"/>
        <v>76.665102211219036</v>
      </c>
      <c r="P109" s="424">
        <f t="shared" si="55"/>
        <v>42.78156840345018</v>
      </c>
      <c r="Q109" s="424">
        <f t="shared" si="55"/>
        <v>68.535894737631679</v>
      </c>
      <c r="R109" s="424">
        <f t="shared" si="55"/>
        <v>42.856827137631683</v>
      </c>
      <c r="S109" s="424">
        <f t="shared" si="55"/>
        <v>52.19756131222573</v>
      </c>
      <c r="T109" s="424">
        <f t="shared" si="55"/>
        <v>45.952436671759543</v>
      </c>
      <c r="U109" s="424">
        <f t="shared" si="55"/>
        <v>15.62280671787995</v>
      </c>
      <c r="V109" s="424">
        <f t="shared" si="55"/>
        <v>18.552060672690992</v>
      </c>
      <c r="W109" s="424">
        <f t="shared" si="55"/>
        <v>3.9838282200000004</v>
      </c>
      <c r="X109" s="424">
        <f t="shared" si="55"/>
        <v>12.569520000000001</v>
      </c>
      <c r="Y109" s="424">
        <f t="shared" si="55"/>
        <v>35.134317419999995</v>
      </c>
      <c r="Z109" s="424">
        <f t="shared" si="55"/>
        <v>7.3968158330332097</v>
      </c>
      <c r="AA109" s="424">
        <f t="shared" si="55"/>
        <v>31.961556992027454</v>
      </c>
      <c r="AB109" s="424">
        <f t="shared" si="55"/>
        <v>4.2135391745940476</v>
      </c>
      <c r="AC109" s="424">
        <f t="shared" si="55"/>
        <v>14.002824392027462</v>
      </c>
      <c r="AD109" s="424">
        <f t="shared" si="55"/>
        <v>23.553839999999997</v>
      </c>
    </row>
    <row r="110" spans="2:30">
      <c r="B110" s="431">
        <v>72</v>
      </c>
      <c r="C110" s="422" t="s">
        <v>549</v>
      </c>
      <c r="D110" s="422" t="s">
        <v>134</v>
      </c>
      <c r="E110" s="424">
        <f ca="1">SUM(H110:AI110)</f>
        <v>523.57044227589779</v>
      </c>
      <c r="H110" s="424">
        <f t="shared" ref="H110:AD110" ca="1" si="56">H529</f>
        <v>0.74419734782608671</v>
      </c>
      <c r="I110" s="424">
        <f t="shared" ca="1" si="56"/>
        <v>2.6920290083178253</v>
      </c>
      <c r="J110" s="424">
        <f t="shared" ca="1" si="56"/>
        <v>6.5353970573413029</v>
      </c>
      <c r="K110" s="424">
        <f t="shared" ca="1" si="56"/>
        <v>9.4695368454952149</v>
      </c>
      <c r="L110" s="424">
        <f t="shared" ca="1" si="56"/>
        <v>12.092419804920061</v>
      </c>
      <c r="M110" s="424">
        <f t="shared" ca="1" si="56"/>
        <v>13.14617977008656</v>
      </c>
      <c r="N110" s="424">
        <f t="shared" ca="1" si="56"/>
        <v>14.359952735361738</v>
      </c>
      <c r="O110" s="424">
        <f t="shared" ca="1" si="56"/>
        <v>17.693218048893002</v>
      </c>
      <c r="P110" s="424">
        <f t="shared" ca="1" si="56"/>
        <v>19.553286240347358</v>
      </c>
      <c r="Q110" s="424">
        <f t="shared" ca="1" si="56"/>
        <v>22.533107750679171</v>
      </c>
      <c r="R110" s="424">
        <f t="shared" ca="1" si="56"/>
        <v>24.396448061010982</v>
      </c>
      <c r="S110" s="424">
        <f t="shared" ca="1" si="56"/>
        <v>26.665907248499057</v>
      </c>
      <c r="T110" s="424">
        <f t="shared" ca="1" si="56"/>
        <v>28.663839277705993</v>
      </c>
      <c r="U110" s="424">
        <f t="shared" ca="1" si="56"/>
        <v>29.343091743700771</v>
      </c>
      <c r="V110" s="424">
        <f t="shared" ca="1" si="56"/>
        <v>30.149703077296031</v>
      </c>
      <c r="W110" s="424">
        <f t="shared" ca="1" si="56"/>
        <v>30.322912999904727</v>
      </c>
      <c r="X110" s="424">
        <f t="shared" ca="1" si="56"/>
        <v>30.869413869469945</v>
      </c>
      <c r="Y110" s="424">
        <f t="shared" ca="1" si="56"/>
        <v>32.396992887730811</v>
      </c>
      <c r="Z110" s="424">
        <f t="shared" ca="1" si="56"/>
        <v>32.71859357612356</v>
      </c>
      <c r="AA110" s="424">
        <f t="shared" ca="1" si="56"/>
        <v>34.108226488820407</v>
      </c>
      <c r="AB110" s="424">
        <f t="shared" ca="1" si="56"/>
        <v>34.291423844237542</v>
      </c>
      <c r="AC110" s="424">
        <f t="shared" ca="1" si="56"/>
        <v>34.900242296064825</v>
      </c>
      <c r="AD110" s="424">
        <f t="shared" ca="1" si="56"/>
        <v>35.924322296064823</v>
      </c>
    </row>
    <row r="111" spans="2:30">
      <c r="B111" s="431">
        <v>73</v>
      </c>
      <c r="C111" s="422" t="s">
        <v>550</v>
      </c>
      <c r="D111" s="422" t="s">
        <v>134</v>
      </c>
      <c r="H111" s="424">
        <f ca="1">SUM($H110:H110)</f>
        <v>0.74419734782608671</v>
      </c>
      <c r="I111" s="424">
        <f ca="1">SUM($H110:I110)</f>
        <v>3.4362263561439121</v>
      </c>
      <c r="J111" s="424">
        <f ca="1">SUM($H110:J110)</f>
        <v>9.9716234134852151</v>
      </c>
      <c r="K111" s="424">
        <f ca="1">SUM($H110:K110)</f>
        <v>19.441160258980432</v>
      </c>
      <c r="L111" s="424">
        <f ca="1">SUM($H110:L110)</f>
        <v>31.533580063900494</v>
      </c>
      <c r="M111" s="424">
        <f ca="1">SUM($H110:M110)</f>
        <v>44.679759833987056</v>
      </c>
      <c r="N111" s="424">
        <f ca="1">SUM($H110:N110)</f>
        <v>59.039712569348794</v>
      </c>
      <c r="O111" s="424">
        <f ca="1">SUM($H110:O110)</f>
        <v>76.732930618241795</v>
      </c>
      <c r="P111" s="424">
        <f ca="1">SUM($H110:P110)</f>
        <v>96.286216858589157</v>
      </c>
      <c r="Q111" s="424">
        <f ca="1">SUM($H110:Q110)</f>
        <v>118.81932460926834</v>
      </c>
      <c r="R111" s="424">
        <f ca="1">SUM($H110:R110)</f>
        <v>143.21577267027931</v>
      </c>
      <c r="S111" s="424">
        <f ca="1">SUM($H110:S110)</f>
        <v>169.88167991877836</v>
      </c>
      <c r="T111" s="424">
        <f ca="1">SUM($H110:T110)</f>
        <v>198.54551919648435</v>
      </c>
      <c r="U111" s="424">
        <f ca="1">SUM($H110:U110)</f>
        <v>227.88861094018512</v>
      </c>
      <c r="V111" s="424">
        <f ca="1">SUM($H110:V110)</f>
        <v>258.03831401748113</v>
      </c>
      <c r="W111" s="424">
        <f ca="1">SUM($H110:W110)</f>
        <v>288.36122701738583</v>
      </c>
      <c r="X111" s="424">
        <f ca="1">SUM($H110:X110)</f>
        <v>319.23064088685578</v>
      </c>
      <c r="Y111" s="424">
        <f ca="1">SUM($H110:Y110)</f>
        <v>351.62763377458657</v>
      </c>
      <c r="Z111" s="424">
        <f ca="1">SUM($H110:Z110)</f>
        <v>384.34622735071014</v>
      </c>
      <c r="AA111" s="424">
        <f ca="1">SUM($H110:AA110)</f>
        <v>418.45445383953052</v>
      </c>
      <c r="AB111" s="424">
        <f ca="1">SUM($H110:AB110)</f>
        <v>452.74587768376807</v>
      </c>
      <c r="AC111" s="424">
        <f ca="1">SUM($H110:AC110)</f>
        <v>487.64611997983292</v>
      </c>
      <c r="AD111" s="424">
        <f ca="1">SUM($H110:AD110)</f>
        <v>523.57044227589779</v>
      </c>
    </row>
    <row r="112" spans="2:30">
      <c r="B112" s="431">
        <v>74</v>
      </c>
      <c r="C112" s="422" t="s">
        <v>551</v>
      </c>
      <c r="D112" s="422" t="s">
        <v>134</v>
      </c>
      <c r="H112" s="424">
        <f ca="1">H108+H109-H110</f>
        <v>16.372341652173908</v>
      </c>
      <c r="I112" s="424">
        <f t="shared" ref="I112:AD112" ca="1" si="57">I108+I109-I110</f>
        <v>58.480440835166078</v>
      </c>
      <c r="J112" s="424">
        <f t="shared" ca="1" si="57"/>
        <v>140.34250890536478</v>
      </c>
      <c r="K112" s="424">
        <f t="shared" ca="1" si="57"/>
        <v>198.35818718740956</v>
      </c>
      <c r="L112" s="424">
        <f t="shared" ca="1" si="57"/>
        <v>246.59207544926093</v>
      </c>
      <c r="M112" s="424">
        <f t="shared" ca="1" si="57"/>
        <v>257.68237487800383</v>
      </c>
      <c r="N112" s="424">
        <f t="shared" ca="1" si="57"/>
        <v>271.23920034397116</v>
      </c>
      <c r="O112" s="424">
        <f t="shared" ca="1" si="57"/>
        <v>330.2110845062972</v>
      </c>
      <c r="P112" s="424">
        <f t="shared" ca="1" si="57"/>
        <v>353.43936666940004</v>
      </c>
      <c r="Q112" s="424">
        <f t="shared" ca="1" si="57"/>
        <v>399.44215365635256</v>
      </c>
      <c r="R112" s="424">
        <f t="shared" ca="1" si="57"/>
        <v>417.90253273297327</v>
      </c>
      <c r="S112" s="424">
        <f t="shared" ca="1" si="57"/>
        <v>443.43418679669992</v>
      </c>
      <c r="T112" s="424">
        <f t="shared" ca="1" si="57"/>
        <v>460.72278419075343</v>
      </c>
      <c r="U112" s="424">
        <f t="shared" ca="1" si="57"/>
        <v>447.0024991649326</v>
      </c>
      <c r="V112" s="424">
        <f t="shared" ca="1" si="57"/>
        <v>435.40485676032756</v>
      </c>
      <c r="W112" s="424">
        <f t="shared" ca="1" si="57"/>
        <v>409.06577198042288</v>
      </c>
      <c r="X112" s="424">
        <f t="shared" ca="1" si="57"/>
        <v>390.76587811095294</v>
      </c>
      <c r="Y112" s="424">
        <f t="shared" ca="1" si="57"/>
        <v>393.50320264322215</v>
      </c>
      <c r="Z112" s="424">
        <f t="shared" ca="1" si="57"/>
        <v>368.18142490013179</v>
      </c>
      <c r="AA112" s="424">
        <f t="shared" ca="1" si="57"/>
        <v>366.03475540333886</v>
      </c>
      <c r="AB112" s="424">
        <f t="shared" ca="1" si="57"/>
        <v>335.95687073369538</v>
      </c>
      <c r="AC112" s="424">
        <f t="shared" ca="1" si="57"/>
        <v>315.05945282965797</v>
      </c>
      <c r="AD112" s="424">
        <f t="shared" ca="1" si="57"/>
        <v>302.68897053359314</v>
      </c>
    </row>
    <row r="114" spans="3:30" ht="14" thickBot="1">
      <c r="C114" s="425" t="s">
        <v>552</v>
      </c>
      <c r="D114" s="425" t="s">
        <v>134</v>
      </c>
      <c r="E114" s="433">
        <f ca="1">SUM(H114:AI114)</f>
        <v>4934.665411483782</v>
      </c>
      <c r="F114" s="433">
        <f ca="1">E43+E49+E55+E61+E67+E73+E79+E85+E91+E97+E103+E109</f>
        <v>6433.7254982060986</v>
      </c>
      <c r="G114" s="242" t="b">
        <f ca="1">F114=E35</f>
        <v>1</v>
      </c>
      <c r="H114" s="432">
        <f ca="1">H44+H50+H56+H62+H68+H74+H80+H86+H92+H98+H104+H110</f>
        <v>14.631973347826083</v>
      </c>
      <c r="I114" s="432">
        <f t="shared" ref="I114:AD114" ca="1" si="58">I44+I50+I56+I62+I68+I74+I80+I86+I92+I98+I104+I110</f>
        <v>32.036731650726516</v>
      </c>
      <c r="J114" s="432">
        <f t="shared" ca="1" si="58"/>
        <v>66.59383479468913</v>
      </c>
      <c r="K114" s="432">
        <f t="shared" ca="1" si="58"/>
        <v>97.214806927782149</v>
      </c>
      <c r="L114" s="432">
        <f t="shared" ca="1" si="58"/>
        <v>135.14872875057196</v>
      </c>
      <c r="M114" s="432">
        <f t="shared" ca="1" si="58"/>
        <v>144.59207103236776</v>
      </c>
      <c r="N114" s="432">
        <f t="shared" ca="1" si="58"/>
        <v>161.45289221691024</v>
      </c>
      <c r="O114" s="432">
        <f t="shared" ca="1" si="58"/>
        <v>207.49698137197748</v>
      </c>
      <c r="P114" s="432">
        <f t="shared" ca="1" si="58"/>
        <v>223.80440812777917</v>
      </c>
      <c r="Q114" s="432">
        <f t="shared" ca="1" si="58"/>
        <v>261.72865034763902</v>
      </c>
      <c r="R114" s="432">
        <f t="shared" ca="1" si="58"/>
        <v>264.31081382829888</v>
      </c>
      <c r="S114" s="432">
        <f t="shared" ca="1" si="58"/>
        <v>284.83380568239346</v>
      </c>
      <c r="T114" s="432">
        <f t="shared" ca="1" si="58"/>
        <v>299.16072082933169</v>
      </c>
      <c r="U114" s="432">
        <f t="shared" ca="1" si="58"/>
        <v>296.45177881069219</v>
      </c>
      <c r="V114" s="432">
        <f t="shared" ca="1" si="58"/>
        <v>296.79623806692638</v>
      </c>
      <c r="W114" s="432">
        <f t="shared" ca="1" si="58"/>
        <v>275.89888312473215</v>
      </c>
      <c r="X114" s="432">
        <f t="shared" ca="1" si="58"/>
        <v>270.80499865989742</v>
      </c>
      <c r="Y114" s="432">
        <f t="shared" ca="1" si="58"/>
        <v>282.78776293919827</v>
      </c>
      <c r="Z114" s="432">
        <f t="shared" ca="1" si="58"/>
        <v>269.75918033660133</v>
      </c>
      <c r="AA114" s="432">
        <f t="shared" ca="1" si="58"/>
        <v>278.35189501531158</v>
      </c>
      <c r="AB114" s="432">
        <f t="shared" ca="1" si="58"/>
        <v>261.86676008380567</v>
      </c>
      <c r="AC114" s="432">
        <f t="shared" ca="1" si="58"/>
        <v>257.99219818157269</v>
      </c>
      <c r="AD114" s="432">
        <f t="shared" ca="1" si="58"/>
        <v>250.94929735675086</v>
      </c>
    </row>
    <row r="115" spans="3:30" ht="14" thickTop="1">
      <c r="D115" s="422" t="s">
        <v>275</v>
      </c>
      <c r="E115" s="441">
        <f ca="1">E114/($E$4/10)</f>
        <v>218.63398627377475</v>
      </c>
      <c r="F115" s="370">
        <f ca="1">F114-E114</f>
        <v>1499.0600867223166</v>
      </c>
    </row>
    <row r="116" spans="3:30">
      <c r="C116" s="191" t="s">
        <v>553</v>
      </c>
      <c r="F116" s="370"/>
    </row>
    <row r="117" spans="3:30" outlineLevel="1">
      <c r="C117" s="191" t="s">
        <v>166</v>
      </c>
      <c r="H117" s="201">
        <f>H39</f>
        <v>46023</v>
      </c>
      <c r="I117" s="201">
        <f t="shared" ref="I117:AD117" si="59">I39</f>
        <v>46389</v>
      </c>
      <c r="J117" s="201">
        <f t="shared" si="59"/>
        <v>46755</v>
      </c>
      <c r="K117" s="201">
        <f t="shared" si="59"/>
        <v>47121</v>
      </c>
      <c r="L117" s="201">
        <f t="shared" si="59"/>
        <v>47487</v>
      </c>
      <c r="M117" s="201">
        <f t="shared" si="59"/>
        <v>47853</v>
      </c>
      <c r="N117" s="201">
        <f t="shared" si="59"/>
        <v>48219</v>
      </c>
      <c r="O117" s="201">
        <f t="shared" si="59"/>
        <v>48585</v>
      </c>
      <c r="P117" s="201">
        <f t="shared" si="59"/>
        <v>48951</v>
      </c>
      <c r="Q117" s="201">
        <f t="shared" si="59"/>
        <v>49317</v>
      </c>
      <c r="R117" s="201">
        <f t="shared" si="59"/>
        <v>49683</v>
      </c>
      <c r="S117" s="201">
        <f t="shared" si="59"/>
        <v>50049</v>
      </c>
      <c r="T117" s="201">
        <f t="shared" si="59"/>
        <v>50415</v>
      </c>
      <c r="U117" s="201">
        <f t="shared" si="59"/>
        <v>50781</v>
      </c>
      <c r="V117" s="201">
        <f t="shared" si="59"/>
        <v>51147</v>
      </c>
      <c r="W117" s="201">
        <f t="shared" si="59"/>
        <v>51513</v>
      </c>
      <c r="X117" s="201">
        <f t="shared" si="59"/>
        <v>51879</v>
      </c>
      <c r="Y117" s="201">
        <f t="shared" si="59"/>
        <v>52245</v>
      </c>
      <c r="Z117" s="201">
        <f t="shared" si="59"/>
        <v>52611</v>
      </c>
      <c r="AA117" s="201">
        <f t="shared" si="59"/>
        <v>52977</v>
      </c>
      <c r="AB117" s="201">
        <f t="shared" si="59"/>
        <v>53343</v>
      </c>
      <c r="AC117" s="201">
        <f t="shared" si="59"/>
        <v>53709</v>
      </c>
      <c r="AD117" s="201">
        <f t="shared" si="59"/>
        <v>54075</v>
      </c>
    </row>
    <row r="118" spans="3:30" outlineLevel="1">
      <c r="H118" s="1141">
        <f>H40</f>
        <v>-4</v>
      </c>
      <c r="I118" s="1141">
        <f t="shared" ref="I118:AD118" si="60">I40</f>
        <v>-3</v>
      </c>
      <c r="J118" s="1141">
        <f t="shared" si="60"/>
        <v>-2</v>
      </c>
      <c r="K118" s="1141">
        <f t="shared" si="60"/>
        <v>-1</v>
      </c>
      <c r="L118" s="1141">
        <f t="shared" si="60"/>
        <v>1</v>
      </c>
      <c r="M118" s="1141">
        <f t="shared" si="60"/>
        <v>2</v>
      </c>
      <c r="N118" s="1141">
        <f t="shared" si="60"/>
        <v>3</v>
      </c>
      <c r="O118" s="1141">
        <f t="shared" si="60"/>
        <v>4</v>
      </c>
      <c r="P118" s="1141">
        <f t="shared" si="60"/>
        <v>5</v>
      </c>
      <c r="Q118" s="1141">
        <f t="shared" si="60"/>
        <v>6</v>
      </c>
      <c r="R118" s="1141">
        <f t="shared" si="60"/>
        <v>7</v>
      </c>
      <c r="S118" s="1141">
        <f t="shared" si="60"/>
        <v>8</v>
      </c>
      <c r="T118" s="1141">
        <f t="shared" si="60"/>
        <v>9</v>
      </c>
      <c r="U118" s="1141">
        <f t="shared" si="60"/>
        <v>10</v>
      </c>
      <c r="V118" s="1141">
        <f t="shared" si="60"/>
        <v>11</v>
      </c>
      <c r="W118" s="1141">
        <f t="shared" si="60"/>
        <v>12</v>
      </c>
      <c r="X118" s="1141">
        <f t="shared" si="60"/>
        <v>13</v>
      </c>
      <c r="Y118" s="1141">
        <f t="shared" si="60"/>
        <v>14</v>
      </c>
      <c r="Z118" s="1141">
        <f t="shared" si="60"/>
        <v>15</v>
      </c>
      <c r="AA118" s="1141">
        <f t="shared" si="60"/>
        <v>16</v>
      </c>
      <c r="AB118" s="1141">
        <f t="shared" si="60"/>
        <v>17</v>
      </c>
      <c r="AC118" s="1141">
        <f t="shared" si="60"/>
        <v>18</v>
      </c>
      <c r="AD118" s="1141">
        <f t="shared" si="60"/>
        <v>19</v>
      </c>
    </row>
    <row r="119" spans="3:30" outlineLevel="1">
      <c r="C119" s="191" t="str">
        <f>C41</f>
        <v xml:space="preserve">Pre-operative costs </v>
      </c>
      <c r="F119" s="423">
        <f>F41</f>
        <v>0.1</v>
      </c>
    </row>
    <row r="120" spans="3:30" outlineLevel="1">
      <c r="C120" s="422" t="s">
        <v>547</v>
      </c>
      <c r="D120" s="422" t="s">
        <v>134</v>
      </c>
      <c r="H120" s="424">
        <f>G124</f>
        <v>0</v>
      </c>
      <c r="I120" s="424">
        <f t="shared" ref="I120:Q120" ca="1" si="61">H124</f>
        <v>124.98998399999996</v>
      </c>
      <c r="J120" s="424">
        <f t="shared" ca="1" si="61"/>
        <v>141.53421959999997</v>
      </c>
      <c r="K120" s="424">
        <f t="shared" ca="1" si="61"/>
        <v>157.49323163999998</v>
      </c>
      <c r="L120" s="424">
        <f t="shared" ca="1" si="61"/>
        <v>194.89409247599997</v>
      </c>
      <c r="M120" s="424">
        <f t="shared" ca="1" si="61"/>
        <v>219.98618322839997</v>
      </c>
      <c r="N120" s="424">
        <f t="shared" ca="1" si="61"/>
        <v>197.98756490555996</v>
      </c>
      <c r="O120" s="424">
        <f t="shared" ca="1" si="61"/>
        <v>178.18880841500396</v>
      </c>
      <c r="P120" s="424">
        <f t="shared" ca="1" si="61"/>
        <v>160.36992757350356</v>
      </c>
      <c r="Q120" s="424">
        <f t="shared" ca="1" si="61"/>
        <v>144.3329348161532</v>
      </c>
      <c r="R120" s="424">
        <f t="shared" ref="R120:AD120" ca="1" si="62">Q124</f>
        <v>129.89964133453788</v>
      </c>
      <c r="S120" s="424">
        <f t="shared" ca="1" si="62"/>
        <v>116.90967720108409</v>
      </c>
      <c r="T120" s="424">
        <f t="shared" ca="1" si="62"/>
        <v>105.21870948097569</v>
      </c>
      <c r="U120" s="424">
        <f t="shared" ca="1" si="62"/>
        <v>94.696838532878118</v>
      </c>
      <c r="V120" s="424">
        <f t="shared" ca="1" si="62"/>
        <v>85.227154679590313</v>
      </c>
      <c r="W120" s="424">
        <f t="shared" ca="1" si="62"/>
        <v>76.704439211631282</v>
      </c>
      <c r="X120" s="424">
        <f t="shared" ca="1" si="62"/>
        <v>69.033995290468155</v>
      </c>
      <c r="Y120" s="424">
        <f t="shared" ca="1" si="62"/>
        <v>62.13059576142134</v>
      </c>
      <c r="Z120" s="424">
        <f t="shared" ca="1" si="62"/>
        <v>55.917536185279204</v>
      </c>
      <c r="AA120" s="424">
        <f t="shared" ca="1" si="62"/>
        <v>50.325782566751286</v>
      </c>
      <c r="AB120" s="424">
        <f t="shared" ca="1" si="62"/>
        <v>45.293204310076156</v>
      </c>
      <c r="AC120" s="424">
        <f t="shared" ca="1" si="62"/>
        <v>40.763883879068544</v>
      </c>
      <c r="AD120" s="424">
        <f t="shared" ca="1" si="62"/>
        <v>36.687495491161691</v>
      </c>
    </row>
    <row r="121" spans="3:30" outlineLevel="1">
      <c r="C121" s="422" t="s">
        <v>548</v>
      </c>
      <c r="D121" s="422" t="s">
        <v>134</v>
      </c>
      <c r="E121" s="424">
        <f ca="1">SUM(H121:AI121)</f>
        <v>313.19704000000002</v>
      </c>
      <c r="H121" s="424">
        <f ca="1">H43</f>
        <v>138.87775999999997</v>
      </c>
      <c r="I121" s="424">
        <f t="shared" ref="I121:AD121" ca="1" si="63">I43</f>
        <v>32.27026</v>
      </c>
      <c r="J121" s="424">
        <f t="shared" ca="1" si="63"/>
        <v>33.458260000000003</v>
      </c>
      <c r="K121" s="424">
        <f t="shared" ca="1" si="63"/>
        <v>59.055759999999999</v>
      </c>
      <c r="L121" s="424">
        <f t="shared" si="63"/>
        <v>49.534999999999997</v>
      </c>
      <c r="M121" s="424">
        <f t="shared" si="63"/>
        <v>0</v>
      </c>
      <c r="N121" s="424">
        <f t="shared" si="63"/>
        <v>0</v>
      </c>
      <c r="O121" s="424">
        <f t="shared" si="63"/>
        <v>0</v>
      </c>
      <c r="P121" s="424">
        <f t="shared" si="63"/>
        <v>0</v>
      </c>
      <c r="Q121" s="424">
        <f t="shared" si="63"/>
        <v>0</v>
      </c>
      <c r="R121" s="424">
        <f t="shared" si="63"/>
        <v>0</v>
      </c>
      <c r="S121" s="424">
        <f t="shared" si="63"/>
        <v>0</v>
      </c>
      <c r="T121" s="424">
        <f t="shared" si="63"/>
        <v>0</v>
      </c>
      <c r="U121" s="424">
        <f t="shared" si="63"/>
        <v>0</v>
      </c>
      <c r="V121" s="424">
        <f t="shared" si="63"/>
        <v>0</v>
      </c>
      <c r="W121" s="424">
        <f t="shared" si="63"/>
        <v>0</v>
      </c>
      <c r="X121" s="424">
        <f t="shared" si="63"/>
        <v>0</v>
      </c>
      <c r="Y121" s="424">
        <f t="shared" si="63"/>
        <v>0</v>
      </c>
      <c r="Z121" s="424">
        <f t="shared" si="63"/>
        <v>0</v>
      </c>
      <c r="AA121" s="424">
        <f t="shared" si="63"/>
        <v>0</v>
      </c>
      <c r="AB121" s="424">
        <f t="shared" si="63"/>
        <v>0</v>
      </c>
      <c r="AC121" s="424">
        <f t="shared" si="63"/>
        <v>0</v>
      </c>
      <c r="AD121" s="424">
        <f t="shared" si="63"/>
        <v>0</v>
      </c>
    </row>
    <row r="122" spans="3:30" outlineLevel="1">
      <c r="C122" s="422" t="s">
        <v>549</v>
      </c>
      <c r="D122" s="422" t="s">
        <v>134</v>
      </c>
      <c r="E122" s="424">
        <f ca="1">SUM(H122:AI122)</f>
        <v>280.17829405795447</v>
      </c>
      <c r="H122" s="439">
        <f ca="1">IF(H$117&lt;Assumptions_Dashboard!$D$5,0,$F$119)*(H120+H121)</f>
        <v>13.887775999999997</v>
      </c>
      <c r="I122" s="439">
        <f ca="1">IF(I$117&lt;Assumptions_Dashboard!$D$5,0,$F$119)*(I120+I121)</f>
        <v>15.726024399999998</v>
      </c>
      <c r="J122" s="439">
        <f ca="1">IF(J$117&lt;Assumptions_Dashboard!$D$5,0,$F$119)*(J120+J121)</f>
        <v>17.499247959999998</v>
      </c>
      <c r="K122" s="439">
        <f ca="1">IF(K$117&lt;Assumptions_Dashboard!$D$5,0,$F$119)*(K120+K121)</f>
        <v>21.654899164</v>
      </c>
      <c r="L122" s="439">
        <f ca="1">IF(L$117&lt;Assumptions_Dashboard!$D$5,0,$F$119)*(L120+L121)</f>
        <v>24.442909247599999</v>
      </c>
      <c r="M122" s="439">
        <f ca="1">IF(M$117&lt;Assumptions_Dashboard!$D$5,0,$F$119)*(M120+M121)</f>
        <v>21.998618322839999</v>
      </c>
      <c r="N122" s="439">
        <f ca="1">IF(N$117&lt;Assumptions_Dashboard!$D$5,0,$F$119)*(N120+N121)</f>
        <v>19.798756490555999</v>
      </c>
      <c r="O122" s="439">
        <f ca="1">IF(O$117&lt;Assumptions_Dashboard!$D$5,0,$F$119)*(O120+O121)</f>
        <v>17.818880841500398</v>
      </c>
      <c r="P122" s="439">
        <f ca="1">IF(P$117&lt;Assumptions_Dashboard!$D$5,0,$F$119)*(P120+P121)</f>
        <v>16.036992757350358</v>
      </c>
      <c r="Q122" s="439">
        <f ca="1">IF(Q$117&lt;Assumptions_Dashboard!$D$5,0,$F$119)*(Q120+Q121)</f>
        <v>14.433293481615321</v>
      </c>
      <c r="R122" s="439">
        <f ca="1">IF(R$117&lt;Assumptions_Dashboard!$D$5,0,$F$119)*(R120+R121)</f>
        <v>12.989964133453789</v>
      </c>
      <c r="S122" s="439">
        <f ca="1">IF(S$117&lt;Assumptions_Dashboard!$D$5,0,$F$119)*(S120+S121)</f>
        <v>11.690967720108411</v>
      </c>
      <c r="T122" s="439">
        <f ca="1">IF(T$117&lt;Assumptions_Dashboard!$D$5,0,$F$119)*(T120+T121)</f>
        <v>10.52187094809757</v>
      </c>
      <c r="U122" s="439">
        <f ca="1">IF(U$117&lt;Assumptions_Dashboard!$D$5,0,$F$119)*(U120+U121)</f>
        <v>9.4696838532878118</v>
      </c>
      <c r="V122" s="439">
        <f ca="1">IF(V$117&lt;Assumptions_Dashboard!$D$5,0,$F$119)*(V120+V121)</f>
        <v>8.5227154679590313</v>
      </c>
      <c r="W122" s="439">
        <f ca="1">IF(W$117&lt;Assumptions_Dashboard!$D$5,0,$F$119)*(W120+W121)</f>
        <v>7.6704439211631286</v>
      </c>
      <c r="X122" s="439">
        <f ca="1">IF(X$117&lt;Assumptions_Dashboard!$D$5,0,$F$119)*(X120+X121)</f>
        <v>6.9033995290468155</v>
      </c>
      <c r="Y122" s="439">
        <f ca="1">IF(Y$117&lt;Assumptions_Dashboard!$D$5,0,$F$119)*(Y120+Y121)</f>
        <v>6.2130595761421343</v>
      </c>
      <c r="Z122" s="439">
        <f ca="1">IF(Z$117&lt;Assumptions_Dashboard!$D$5,0,$F$119)*(Z120+Z121)</f>
        <v>5.5917536185279211</v>
      </c>
      <c r="AA122" s="439">
        <f ca="1">IF(AA$117&lt;Assumptions_Dashboard!$D$5,0,$F$119)*(AA120+AA121)</f>
        <v>5.0325782566751291</v>
      </c>
      <c r="AB122" s="439">
        <f ca="1">IF(AB$117&lt;Assumptions_Dashboard!$D$5,0,$F$119)*(AB120+AB121)</f>
        <v>4.5293204310076156</v>
      </c>
      <c r="AC122" s="439">
        <f ca="1">IF(AC$117&lt;Assumptions_Dashboard!$D$5,0,$F$119)*(AC120+AC121)</f>
        <v>4.0763883879068548</v>
      </c>
      <c r="AD122" s="439">
        <f ca="1">IF(AD$117&lt;Assumptions_Dashboard!$D$5,0,$F$119)*(AD120+AD121)</f>
        <v>3.6687495491161695</v>
      </c>
    </row>
    <row r="123" spans="3:30" outlineLevel="1">
      <c r="C123" s="422" t="s">
        <v>550</v>
      </c>
      <c r="D123" s="422" t="s">
        <v>134</v>
      </c>
      <c r="H123" s="424">
        <f ca="1">SUM($H122:H122)</f>
        <v>13.887775999999997</v>
      </c>
      <c r="I123" s="424">
        <f ca="1">SUM($H122:I122)</f>
        <v>29.613800399999995</v>
      </c>
      <c r="J123" s="424">
        <f ca="1">SUM($H122:J122)</f>
        <v>47.113048359999993</v>
      </c>
      <c r="K123" s="424">
        <f ca="1">SUM($H122:K122)</f>
        <v>68.767947523999993</v>
      </c>
      <c r="L123" s="424">
        <f ca="1">SUM($H122:L122)</f>
        <v>93.210856771599992</v>
      </c>
      <c r="M123" s="424">
        <f ca="1">SUM($H122:M122)</f>
        <v>115.20947509443999</v>
      </c>
      <c r="N123" s="424">
        <f ca="1">SUM($H122:N122)</f>
        <v>135.008231584996</v>
      </c>
      <c r="O123" s="424">
        <f ca="1">SUM($H122:O122)</f>
        <v>152.8271124264964</v>
      </c>
      <c r="P123" s="424">
        <f ca="1">SUM($H122:P122)</f>
        <v>168.86410518384676</v>
      </c>
      <c r="Q123" s="424">
        <f ca="1">SUM($H122:Q122)</f>
        <v>183.29739866546208</v>
      </c>
      <c r="R123" s="424">
        <f ca="1">SUM($H122:R122)</f>
        <v>196.28736279891586</v>
      </c>
      <c r="S123" s="424">
        <f ca="1">SUM($H122:S122)</f>
        <v>207.97833051902427</v>
      </c>
      <c r="T123" s="424">
        <f ca="1">SUM($H122:T122)</f>
        <v>218.50020146712183</v>
      </c>
      <c r="U123" s="424">
        <f ca="1">SUM($H122:U122)</f>
        <v>227.96988532040965</v>
      </c>
      <c r="V123" s="424">
        <f ca="1">SUM($H122:V122)</f>
        <v>236.49260078836869</v>
      </c>
      <c r="W123" s="424">
        <f ca="1">SUM($H122:W122)</f>
        <v>244.16304470953182</v>
      </c>
      <c r="X123" s="424">
        <f ca="1">SUM($H122:X122)</f>
        <v>251.06644423857864</v>
      </c>
      <c r="Y123" s="424">
        <f ca="1">SUM($H122:Y122)</f>
        <v>257.27950381472078</v>
      </c>
      <c r="Z123" s="424">
        <f ca="1">SUM($H122:Z122)</f>
        <v>262.87125743324873</v>
      </c>
      <c r="AA123" s="424">
        <f ca="1">SUM($H122:AA122)</f>
        <v>267.90383568992388</v>
      </c>
      <c r="AB123" s="424">
        <f ca="1">SUM($H122:AB122)</f>
        <v>272.43315612093147</v>
      </c>
      <c r="AC123" s="424">
        <f ca="1">SUM($H122:AC122)</f>
        <v>276.5095445088383</v>
      </c>
      <c r="AD123" s="424">
        <f ca="1">SUM($H122:AD122)</f>
        <v>280.17829405795447</v>
      </c>
    </row>
    <row r="124" spans="3:30" outlineLevel="1">
      <c r="C124" s="422" t="s">
        <v>551</v>
      </c>
      <c r="D124" s="422" t="s">
        <v>134</v>
      </c>
      <c r="H124" s="424">
        <f ca="1">H120+H121-H122</f>
        <v>124.98998399999996</v>
      </c>
      <c r="I124" s="424">
        <f t="shared" ref="I124:Q124" ca="1" si="64">I120+I121-I122</f>
        <v>141.53421959999997</v>
      </c>
      <c r="J124" s="424">
        <f t="shared" ca="1" si="64"/>
        <v>157.49323163999998</v>
      </c>
      <c r="K124" s="424">
        <f t="shared" ca="1" si="64"/>
        <v>194.89409247599997</v>
      </c>
      <c r="L124" s="424">
        <f t="shared" ca="1" si="64"/>
        <v>219.98618322839997</v>
      </c>
      <c r="M124" s="424">
        <f t="shared" ca="1" si="64"/>
        <v>197.98756490555996</v>
      </c>
      <c r="N124" s="424">
        <f t="shared" ca="1" si="64"/>
        <v>178.18880841500396</v>
      </c>
      <c r="O124" s="424">
        <f t="shared" ca="1" si="64"/>
        <v>160.36992757350356</v>
      </c>
      <c r="P124" s="424">
        <f t="shared" ca="1" si="64"/>
        <v>144.3329348161532</v>
      </c>
      <c r="Q124" s="424">
        <f t="shared" ca="1" si="64"/>
        <v>129.89964133453788</v>
      </c>
      <c r="R124" s="424">
        <f t="shared" ref="R124:AD124" ca="1" si="65">R120+R121-R122</f>
        <v>116.90967720108409</v>
      </c>
      <c r="S124" s="424">
        <f t="shared" ca="1" si="65"/>
        <v>105.21870948097569</v>
      </c>
      <c r="T124" s="424">
        <f t="shared" ca="1" si="65"/>
        <v>94.696838532878118</v>
      </c>
      <c r="U124" s="424">
        <f t="shared" ca="1" si="65"/>
        <v>85.227154679590313</v>
      </c>
      <c r="V124" s="424">
        <f t="shared" ca="1" si="65"/>
        <v>76.704439211631282</v>
      </c>
      <c r="W124" s="424">
        <f t="shared" ca="1" si="65"/>
        <v>69.033995290468155</v>
      </c>
      <c r="X124" s="424">
        <f t="shared" ca="1" si="65"/>
        <v>62.13059576142134</v>
      </c>
      <c r="Y124" s="424">
        <f t="shared" ca="1" si="65"/>
        <v>55.917536185279204</v>
      </c>
      <c r="Z124" s="424">
        <f t="shared" ca="1" si="65"/>
        <v>50.325782566751286</v>
      </c>
      <c r="AA124" s="424">
        <f t="shared" ca="1" si="65"/>
        <v>45.293204310076156</v>
      </c>
      <c r="AB124" s="424">
        <f t="shared" ca="1" si="65"/>
        <v>40.763883879068544</v>
      </c>
      <c r="AC124" s="424">
        <f t="shared" ca="1" si="65"/>
        <v>36.687495491161691</v>
      </c>
      <c r="AD124" s="424">
        <f t="shared" ca="1" si="65"/>
        <v>33.01874594204552</v>
      </c>
    </row>
    <row r="125" spans="3:30" outlineLevel="1">
      <c r="C125" s="191" t="str">
        <f>C47</f>
        <v>Land Cost</v>
      </c>
      <c r="F125" s="423">
        <f>F119</f>
        <v>0.1</v>
      </c>
    </row>
    <row r="126" spans="3:30" outlineLevel="1">
      <c r="C126" s="422" t="s">
        <v>547</v>
      </c>
      <c r="D126" s="422" t="s">
        <v>134</v>
      </c>
      <c r="H126" s="424">
        <f>G130</f>
        <v>0</v>
      </c>
      <c r="I126" s="424">
        <f t="shared" ref="I126:AD126" si="66">H130</f>
        <v>0</v>
      </c>
      <c r="J126" s="424">
        <f t="shared" si="66"/>
        <v>132.98603514785998</v>
      </c>
      <c r="K126" s="424">
        <f t="shared" si="66"/>
        <v>208.34478839831397</v>
      </c>
      <c r="L126" s="424">
        <f t="shared" si="66"/>
        <v>276.16766632372259</v>
      </c>
      <c r="M126" s="424">
        <f t="shared" si="66"/>
        <v>334.84172935471122</v>
      </c>
      <c r="N126" s="424">
        <f t="shared" si="66"/>
        <v>353.79284270704886</v>
      </c>
      <c r="O126" s="424">
        <f t="shared" si="66"/>
        <v>384.84631692458936</v>
      </c>
      <c r="P126" s="424">
        <f t="shared" si="66"/>
        <v>561.53148329944474</v>
      </c>
      <c r="Q126" s="424">
        <f t="shared" si="66"/>
        <v>735.25074222912872</v>
      </c>
      <c r="R126" s="424">
        <f t="shared" si="66"/>
        <v>892.76663083200606</v>
      </c>
      <c r="S126" s="424">
        <f t="shared" si="66"/>
        <v>1034.5309305745957</v>
      </c>
      <c r="T126" s="424">
        <f t="shared" si="66"/>
        <v>1162.1188003429263</v>
      </c>
      <c r="U126" s="424">
        <f t="shared" si="66"/>
        <v>1182.576580339191</v>
      </c>
      <c r="V126" s="424">
        <f t="shared" si="66"/>
        <v>1081.2382651994017</v>
      </c>
      <c r="W126" s="424">
        <f t="shared" si="66"/>
        <v>996.18396271560744</v>
      </c>
      <c r="X126" s="424">
        <f t="shared" si="66"/>
        <v>896.56556644404668</v>
      </c>
      <c r="Y126" s="424">
        <f t="shared" si="66"/>
        <v>806.90900979964204</v>
      </c>
      <c r="Z126" s="424">
        <f t="shared" si="66"/>
        <v>726.21810881967781</v>
      </c>
      <c r="AA126" s="424">
        <f t="shared" si="66"/>
        <v>653.59629793771001</v>
      </c>
      <c r="AB126" s="424">
        <f t="shared" si="66"/>
        <v>588.23666814393903</v>
      </c>
      <c r="AC126" s="424">
        <f t="shared" si="66"/>
        <v>529.41300132954507</v>
      </c>
      <c r="AD126" s="424">
        <f t="shared" si="66"/>
        <v>476.47170119659057</v>
      </c>
    </row>
    <row r="127" spans="3:30" outlineLevel="1">
      <c r="C127" s="422" t="s">
        <v>548</v>
      </c>
      <c r="D127" s="422" t="s">
        <v>134</v>
      </c>
      <c r="E127" s="424">
        <f>SUM(H127:AI127)</f>
        <v>2033.6480487587789</v>
      </c>
      <c r="H127" s="424">
        <f>H49</f>
        <v>0</v>
      </c>
      <c r="I127" s="424">
        <f t="shared" ref="I127:AD127" si="67">I49</f>
        <v>147.76226127539996</v>
      </c>
      <c r="J127" s="424">
        <f t="shared" si="67"/>
        <v>98.508174183599976</v>
      </c>
      <c r="K127" s="424">
        <f t="shared" si="67"/>
        <v>98.508174183599976</v>
      </c>
      <c r="L127" s="424">
        <f t="shared" si="67"/>
        <v>95.878699625956514</v>
      </c>
      <c r="M127" s="424">
        <f t="shared" si="67"/>
        <v>58.261429208676397</v>
      </c>
      <c r="N127" s="424">
        <f t="shared" si="67"/>
        <v>73.814176098050424</v>
      </c>
      <c r="O127" s="424">
        <f t="shared" si="67"/>
        <v>239.07755340812696</v>
      </c>
      <c r="P127" s="424">
        <f t="shared" si="67"/>
        <v>255.41378584403162</v>
      </c>
      <c r="Q127" s="424">
        <f t="shared" si="67"/>
        <v>256.71218091754457</v>
      </c>
      <c r="R127" s="424">
        <f t="shared" si="67"/>
        <v>256.71218091754457</v>
      </c>
      <c r="S127" s="424">
        <f t="shared" si="67"/>
        <v>256.71218091754457</v>
      </c>
      <c r="T127" s="424">
        <f t="shared" si="67"/>
        <v>151.8551778117303</v>
      </c>
      <c r="U127" s="424">
        <f t="shared" si="67"/>
        <v>18.79926988236641</v>
      </c>
      <c r="V127" s="424">
        <f t="shared" si="67"/>
        <v>25.632804484606595</v>
      </c>
      <c r="W127" s="424">
        <f t="shared" si="67"/>
        <v>0</v>
      </c>
      <c r="X127" s="424">
        <f t="shared" si="67"/>
        <v>0</v>
      </c>
      <c r="Y127" s="424">
        <f t="shared" si="67"/>
        <v>0</v>
      </c>
      <c r="Z127" s="424">
        <f t="shared" si="67"/>
        <v>0</v>
      </c>
      <c r="AA127" s="424">
        <f t="shared" si="67"/>
        <v>0</v>
      </c>
      <c r="AB127" s="424">
        <f t="shared" si="67"/>
        <v>0</v>
      </c>
      <c r="AC127" s="424">
        <f t="shared" si="67"/>
        <v>0</v>
      </c>
      <c r="AD127" s="424">
        <f t="shared" si="67"/>
        <v>0</v>
      </c>
    </row>
    <row r="128" spans="3:30" outlineLevel="1">
      <c r="C128" s="422" t="s">
        <v>549</v>
      </c>
      <c r="D128" s="422" t="s">
        <v>134</v>
      </c>
      <c r="E128" s="424">
        <f>SUM(H128:AI128)</f>
        <v>1604.8235176818478</v>
      </c>
      <c r="H128" s="439">
        <f>IF(H$117&lt;Assumptions_Dashboard!$D$5,0,$F$125)*(H126+H127)</f>
        <v>0</v>
      </c>
      <c r="I128" s="439">
        <f>IF(I$117&lt;Assumptions_Dashboard!$D$5,0,$F$125)*(I126+I127)</f>
        <v>14.776226127539998</v>
      </c>
      <c r="J128" s="439">
        <f>IF(J$117&lt;Assumptions_Dashboard!$D$5,0,$F$125)*(J126+J127)</f>
        <v>23.149420933145997</v>
      </c>
      <c r="K128" s="439">
        <f>IF(K$117&lt;Assumptions_Dashboard!$D$5,0,$F$125)*(K126+K127)</f>
        <v>30.6852962581914</v>
      </c>
      <c r="L128" s="439">
        <f>IF(L$117&lt;Assumptions_Dashboard!$D$5,0,$F$125)*(L126+L127)</f>
        <v>37.204636594967916</v>
      </c>
      <c r="M128" s="439">
        <f>IF(M$117&lt;Assumptions_Dashboard!$D$5,0,$F$125)*(M126+M127)</f>
        <v>39.310315856338768</v>
      </c>
      <c r="N128" s="439">
        <f>IF(N$117&lt;Assumptions_Dashboard!$D$5,0,$F$125)*(N126+N127)</f>
        <v>42.760701880509934</v>
      </c>
      <c r="O128" s="439">
        <f>IF(O$117&lt;Assumptions_Dashboard!$D$5,0,$F$125)*(O126+O127)</f>
        <v>62.392387033271632</v>
      </c>
      <c r="P128" s="439">
        <f>IF(P$117&lt;Assumptions_Dashboard!$D$5,0,$F$125)*(P126+P127)</f>
        <v>81.694526914347648</v>
      </c>
      <c r="Q128" s="439">
        <f>IF(Q$117&lt;Assumptions_Dashboard!$D$5,0,$F$125)*(Q126+Q127)</f>
        <v>99.196292314667346</v>
      </c>
      <c r="R128" s="439">
        <f>IF(R$117&lt;Assumptions_Dashboard!$D$5,0,$F$125)*(R126+R127)</f>
        <v>114.94788117495507</v>
      </c>
      <c r="S128" s="439">
        <f>IF(S$117&lt;Assumptions_Dashboard!$D$5,0,$F$125)*(S126+S127)</f>
        <v>129.12431114921404</v>
      </c>
      <c r="T128" s="439">
        <f>IF(T$117&lt;Assumptions_Dashboard!$D$5,0,$F$125)*(T126+T127)</f>
        <v>131.39739781546567</v>
      </c>
      <c r="U128" s="439">
        <f>IF(U$117&lt;Assumptions_Dashboard!$D$5,0,$F$125)*(U126+U127)</f>
        <v>120.13758502215575</v>
      </c>
      <c r="V128" s="439">
        <f>IF(V$117&lt;Assumptions_Dashboard!$D$5,0,$F$125)*(V126+V127)</f>
        <v>110.68710696840083</v>
      </c>
      <c r="W128" s="439">
        <f>IF(W$117&lt;Assumptions_Dashboard!$D$5,0,$F$125)*(W126+W127)</f>
        <v>99.618396271560755</v>
      </c>
      <c r="X128" s="439">
        <f>IF(X$117&lt;Assumptions_Dashboard!$D$5,0,$F$125)*(X126+X127)</f>
        <v>89.656556644404674</v>
      </c>
      <c r="Y128" s="439">
        <f>IF(Y$117&lt;Assumptions_Dashboard!$D$5,0,$F$125)*(Y126+Y127)</f>
        <v>80.690900979964212</v>
      </c>
      <c r="Z128" s="439">
        <f>IF(Z$117&lt;Assumptions_Dashboard!$D$5,0,$F$125)*(Z126+Z127)</f>
        <v>72.621810881967789</v>
      </c>
      <c r="AA128" s="439">
        <f>IF(AA$117&lt;Assumptions_Dashboard!$D$5,0,$F$125)*(AA126+AA127)</f>
        <v>65.359629793771006</v>
      </c>
      <c r="AB128" s="439">
        <f>IF(AB$117&lt;Assumptions_Dashboard!$D$5,0,$F$125)*(AB126+AB127)</f>
        <v>58.823666814393903</v>
      </c>
      <c r="AC128" s="439">
        <f>IF(AC$117&lt;Assumptions_Dashboard!$D$5,0,$F$125)*(AC126+AC127)</f>
        <v>52.94130013295451</v>
      </c>
      <c r="AD128" s="439">
        <f>IF(AD$117&lt;Assumptions_Dashboard!$D$5,0,$F$125)*(AD126+AD127)</f>
        <v>47.647170119659059</v>
      </c>
    </row>
    <row r="129" spans="3:30" outlineLevel="1">
      <c r="C129" s="422" t="s">
        <v>550</v>
      </c>
      <c r="D129" s="422" t="s">
        <v>134</v>
      </c>
      <c r="H129" s="424">
        <f>SUM($H128:H128)</f>
        <v>0</v>
      </c>
      <c r="I129" s="424">
        <f>SUM($H128:I128)</f>
        <v>14.776226127539998</v>
      </c>
      <c r="J129" s="424">
        <f>SUM($H128:J128)</f>
        <v>37.925647060685996</v>
      </c>
      <c r="K129" s="424">
        <f>SUM($H128:K128)</f>
        <v>68.610943318877389</v>
      </c>
      <c r="L129" s="424">
        <f>SUM($H128:L128)</f>
        <v>105.81557991384531</v>
      </c>
      <c r="M129" s="424">
        <f>SUM($H128:M128)</f>
        <v>145.12589577018409</v>
      </c>
      <c r="N129" s="424">
        <f>SUM($H128:N128)</f>
        <v>187.88659765069403</v>
      </c>
      <c r="O129" s="424">
        <f>SUM($H128:O128)</f>
        <v>250.27898468396566</v>
      </c>
      <c r="P129" s="424">
        <f>SUM($H128:P128)</f>
        <v>331.97351159831328</v>
      </c>
      <c r="Q129" s="424">
        <f>SUM($H128:Q128)</f>
        <v>431.16980391298063</v>
      </c>
      <c r="R129" s="424">
        <f>SUM($H128:R128)</f>
        <v>546.11768508793568</v>
      </c>
      <c r="S129" s="424">
        <f>SUM($H128:S128)</f>
        <v>675.24199623714969</v>
      </c>
      <c r="T129" s="424">
        <f>SUM($H128:T128)</f>
        <v>806.63939405261533</v>
      </c>
      <c r="U129" s="424">
        <f>SUM($H128:U128)</f>
        <v>926.77697907477113</v>
      </c>
      <c r="V129" s="424">
        <f>SUM($H128:V128)</f>
        <v>1037.4640860431718</v>
      </c>
      <c r="W129" s="424">
        <f>SUM($H128:W128)</f>
        <v>1137.0824823147327</v>
      </c>
      <c r="X129" s="424">
        <f>SUM($H128:X128)</f>
        <v>1226.7390389591374</v>
      </c>
      <c r="Y129" s="424">
        <f>SUM($H128:Y128)</f>
        <v>1307.4299399391016</v>
      </c>
      <c r="Z129" s="424">
        <f>SUM($H128:Z128)</f>
        <v>1380.0517508210694</v>
      </c>
      <c r="AA129" s="424">
        <f>SUM($H128:AA128)</f>
        <v>1445.4113806148405</v>
      </c>
      <c r="AB129" s="424">
        <f>SUM($H128:AB128)</f>
        <v>1504.2350474292343</v>
      </c>
      <c r="AC129" s="424">
        <f>SUM($H128:AC128)</f>
        <v>1557.1763475621888</v>
      </c>
      <c r="AD129" s="424">
        <f>SUM($H128:AD128)</f>
        <v>1604.8235176818478</v>
      </c>
    </row>
    <row r="130" spans="3:30" outlineLevel="1">
      <c r="C130" s="422" t="s">
        <v>551</v>
      </c>
      <c r="D130" s="422" t="s">
        <v>134</v>
      </c>
      <c r="H130" s="424">
        <f>H126+H127-H128</f>
        <v>0</v>
      </c>
      <c r="I130" s="424">
        <f t="shared" ref="I130:AD130" si="68">I126+I127-I128</f>
        <v>132.98603514785998</v>
      </c>
      <c r="J130" s="424">
        <f t="shared" si="68"/>
        <v>208.34478839831397</v>
      </c>
      <c r="K130" s="424">
        <f t="shared" si="68"/>
        <v>276.16766632372259</v>
      </c>
      <c r="L130" s="424">
        <f t="shared" si="68"/>
        <v>334.84172935471122</v>
      </c>
      <c r="M130" s="424">
        <f t="shared" si="68"/>
        <v>353.79284270704886</v>
      </c>
      <c r="N130" s="424">
        <f t="shared" si="68"/>
        <v>384.84631692458936</v>
      </c>
      <c r="O130" s="424">
        <f t="shared" si="68"/>
        <v>561.53148329944474</v>
      </c>
      <c r="P130" s="424">
        <f t="shared" si="68"/>
        <v>735.25074222912872</v>
      </c>
      <c r="Q130" s="424">
        <f t="shared" si="68"/>
        <v>892.76663083200606</v>
      </c>
      <c r="R130" s="424">
        <f t="shared" si="68"/>
        <v>1034.5309305745957</v>
      </c>
      <c r="S130" s="424">
        <f t="shared" si="68"/>
        <v>1162.1188003429263</v>
      </c>
      <c r="T130" s="424">
        <f t="shared" si="68"/>
        <v>1182.576580339191</v>
      </c>
      <c r="U130" s="424">
        <f t="shared" si="68"/>
        <v>1081.2382651994017</v>
      </c>
      <c r="V130" s="424">
        <f t="shared" si="68"/>
        <v>996.18396271560744</v>
      </c>
      <c r="W130" s="424">
        <f t="shared" si="68"/>
        <v>896.56556644404668</v>
      </c>
      <c r="X130" s="424">
        <f t="shared" si="68"/>
        <v>806.90900979964204</v>
      </c>
      <c r="Y130" s="424">
        <f t="shared" si="68"/>
        <v>726.21810881967781</v>
      </c>
      <c r="Z130" s="424">
        <f t="shared" si="68"/>
        <v>653.59629793771001</v>
      </c>
      <c r="AA130" s="424">
        <f t="shared" si="68"/>
        <v>588.23666814393903</v>
      </c>
      <c r="AB130" s="424">
        <f t="shared" si="68"/>
        <v>529.41300132954507</v>
      </c>
      <c r="AC130" s="424">
        <f t="shared" si="68"/>
        <v>476.47170119659057</v>
      </c>
      <c r="AD130" s="424">
        <f t="shared" si="68"/>
        <v>428.82453107693152</v>
      </c>
    </row>
    <row r="131" spans="3:30" outlineLevel="1">
      <c r="C131" s="191" t="str">
        <f>C53</f>
        <v xml:space="preserve">HEMM Equipment </v>
      </c>
      <c r="F131" s="423">
        <v>0.4</v>
      </c>
    </row>
    <row r="132" spans="3:30" outlineLevel="1">
      <c r="C132" s="422" t="s">
        <v>547</v>
      </c>
      <c r="D132" s="422" t="s">
        <v>134</v>
      </c>
      <c r="H132" s="424">
        <f>G136</f>
        <v>0</v>
      </c>
      <c r="I132" s="424">
        <f t="shared" ref="I132:AD132" si="69">H136</f>
        <v>0</v>
      </c>
      <c r="J132" s="424">
        <f t="shared" si="69"/>
        <v>0</v>
      </c>
      <c r="K132" s="424">
        <f t="shared" si="69"/>
        <v>0</v>
      </c>
      <c r="L132" s="424">
        <f t="shared" si="69"/>
        <v>0</v>
      </c>
      <c r="M132" s="424">
        <f t="shared" si="69"/>
        <v>80.47564714648604</v>
      </c>
      <c r="N132" s="424">
        <f t="shared" si="69"/>
        <v>57.211348287891617</v>
      </c>
      <c r="O132" s="424">
        <f t="shared" si="69"/>
        <v>99.644416119221006</v>
      </c>
      <c r="P132" s="424">
        <f t="shared" si="69"/>
        <v>223.00052647153259</v>
      </c>
      <c r="Q132" s="424">
        <f t="shared" si="69"/>
        <v>149.40461668291954</v>
      </c>
      <c r="R132" s="424">
        <f t="shared" si="69"/>
        <v>209.75904040975172</v>
      </c>
      <c r="S132" s="424">
        <f t="shared" si="69"/>
        <v>143.25542424585103</v>
      </c>
      <c r="T132" s="424">
        <f t="shared" si="69"/>
        <v>134.68277124588678</v>
      </c>
      <c r="U132" s="424">
        <f t="shared" si="69"/>
        <v>173.50630274753206</v>
      </c>
      <c r="V132" s="424">
        <f t="shared" si="69"/>
        <v>149.28321834689541</v>
      </c>
      <c r="W132" s="424">
        <f t="shared" si="69"/>
        <v>148.39849100813723</v>
      </c>
      <c r="X132" s="424">
        <f t="shared" si="69"/>
        <v>104.97440748488233</v>
      </c>
      <c r="Y132" s="424">
        <f t="shared" si="69"/>
        <v>113.26272449092939</v>
      </c>
      <c r="Z132" s="424">
        <f t="shared" si="69"/>
        <v>208.49490437455759</v>
      </c>
      <c r="AA132" s="424">
        <f t="shared" si="69"/>
        <v>152.90360012311072</v>
      </c>
      <c r="AB132" s="424">
        <f t="shared" si="69"/>
        <v>213.55496804197625</v>
      </c>
      <c r="AC132" s="424">
        <f t="shared" si="69"/>
        <v>144.98713752356196</v>
      </c>
      <c r="AD132" s="424">
        <f t="shared" si="69"/>
        <v>143.00358008224703</v>
      </c>
    </row>
    <row r="133" spans="3:30" outlineLevel="1">
      <c r="C133" s="422" t="s">
        <v>548</v>
      </c>
      <c r="D133" s="422" t="s">
        <v>134</v>
      </c>
      <c r="E133" s="424">
        <f>SUM(H133:AI133)</f>
        <v>2066.5645966378279</v>
      </c>
      <c r="H133" s="424">
        <f>H55</f>
        <v>0</v>
      </c>
      <c r="I133" s="424">
        <f t="shared" ref="I133:AD133" si="70">I55</f>
        <v>0</v>
      </c>
      <c r="J133" s="424">
        <f t="shared" si="70"/>
        <v>0</v>
      </c>
      <c r="K133" s="424">
        <f t="shared" si="70"/>
        <v>0</v>
      </c>
      <c r="L133" s="424">
        <f t="shared" si="70"/>
        <v>134.12607857747673</v>
      </c>
      <c r="M133" s="424">
        <f t="shared" si="70"/>
        <v>14.8766</v>
      </c>
      <c r="N133" s="424">
        <f t="shared" si="70"/>
        <v>108.86267857747673</v>
      </c>
      <c r="O133" s="424">
        <f t="shared" si="70"/>
        <v>272.02312799999999</v>
      </c>
      <c r="P133" s="424">
        <f t="shared" si="70"/>
        <v>26.007168</v>
      </c>
      <c r="Q133" s="424">
        <f t="shared" si="70"/>
        <v>200.19378399999999</v>
      </c>
      <c r="R133" s="424">
        <f t="shared" si="70"/>
        <v>29</v>
      </c>
      <c r="S133" s="424">
        <f t="shared" si="70"/>
        <v>81.215861163960327</v>
      </c>
      <c r="T133" s="424">
        <f t="shared" si="70"/>
        <v>154.49439999999998</v>
      </c>
      <c r="U133" s="424">
        <f t="shared" si="70"/>
        <v>75.299061163960317</v>
      </c>
      <c r="V133" s="424">
        <f t="shared" si="70"/>
        <v>98.047600000000003</v>
      </c>
      <c r="W133" s="424">
        <f t="shared" si="70"/>
        <v>26.558854800000002</v>
      </c>
      <c r="X133" s="424">
        <f t="shared" si="70"/>
        <v>83.796800000000005</v>
      </c>
      <c r="Y133" s="424">
        <f t="shared" si="70"/>
        <v>234.22878279999998</v>
      </c>
      <c r="Z133" s="424">
        <f t="shared" si="70"/>
        <v>46.344429163960314</v>
      </c>
      <c r="AA133" s="424">
        <f t="shared" si="70"/>
        <v>203.02134661351636</v>
      </c>
      <c r="AB133" s="424">
        <f t="shared" si="70"/>
        <v>28.090261163960317</v>
      </c>
      <c r="AC133" s="424">
        <f t="shared" si="70"/>
        <v>93.352162613516413</v>
      </c>
      <c r="AD133" s="424">
        <f t="shared" si="70"/>
        <v>157.0256</v>
      </c>
    </row>
    <row r="134" spans="3:30" outlineLevel="1">
      <c r="C134" s="422" t="s">
        <v>549</v>
      </c>
      <c r="D134" s="422" t="s">
        <v>134</v>
      </c>
      <c r="E134" s="424">
        <f>SUM(H134:AI134)</f>
        <v>1886.5470885884793</v>
      </c>
      <c r="H134" s="439">
        <f>IF(H$117&lt;Assumptions_Dashboard!$D$5,0,$F$131)*(H132+H133)</f>
        <v>0</v>
      </c>
      <c r="I134" s="439">
        <f>IF(I$117&lt;Assumptions_Dashboard!$D$5,0,$F$131)*(I132+I133)</f>
        <v>0</v>
      </c>
      <c r="J134" s="439">
        <f>IF(J$117&lt;Assumptions_Dashboard!$D$5,0,$F$131)*(J132+J133)</f>
        <v>0</v>
      </c>
      <c r="K134" s="439">
        <f>IF(K$117&lt;Assumptions_Dashboard!$D$5,0,$F$131)*(K132+K133)</f>
        <v>0</v>
      </c>
      <c r="L134" s="439">
        <f>IF(L$117&lt;Assumptions_Dashboard!$D$5,0,$F$131)*(L132+L133)</f>
        <v>53.650431430990693</v>
      </c>
      <c r="M134" s="439">
        <f>IF(M$117&lt;Assumptions_Dashboard!$D$5,0,$F$131)*(M132+M133)</f>
        <v>38.140898858594419</v>
      </c>
      <c r="N134" s="439">
        <f>IF(N$117&lt;Assumptions_Dashboard!$D$5,0,$F$131)*(N132+N133)</f>
        <v>66.429610746147347</v>
      </c>
      <c r="O134" s="439">
        <f>IF(O$117&lt;Assumptions_Dashboard!$D$5,0,$F$131)*(O132+O133)</f>
        <v>148.66701764768843</v>
      </c>
      <c r="P134" s="439">
        <f>IF(P$117&lt;Assumptions_Dashboard!$D$5,0,$F$131)*(P132+P133)</f>
        <v>99.603077788613049</v>
      </c>
      <c r="Q134" s="439">
        <f>IF(Q$117&lt;Assumptions_Dashboard!$D$5,0,$F$131)*(Q132+Q133)</f>
        <v>139.83936027316781</v>
      </c>
      <c r="R134" s="439">
        <f>IF(R$117&lt;Assumptions_Dashboard!$D$5,0,$F$131)*(R132+R133)</f>
        <v>95.503616163900688</v>
      </c>
      <c r="S134" s="439">
        <f>IF(S$117&lt;Assumptions_Dashboard!$D$5,0,$F$131)*(S132+S133)</f>
        <v>89.788514163924546</v>
      </c>
      <c r="T134" s="439">
        <f>IF(T$117&lt;Assumptions_Dashboard!$D$5,0,$F$131)*(T132+T133)</f>
        <v>115.67086849835471</v>
      </c>
      <c r="U134" s="439">
        <f>IF(U$117&lt;Assumptions_Dashboard!$D$5,0,$F$131)*(U132+U133)</f>
        <v>99.522145564596954</v>
      </c>
      <c r="V134" s="439">
        <f>IF(V$117&lt;Assumptions_Dashboard!$D$5,0,$F$131)*(V132+V133)</f>
        <v>98.932327338758171</v>
      </c>
      <c r="W134" s="439">
        <f>IF(W$117&lt;Assumptions_Dashboard!$D$5,0,$F$131)*(W132+W133)</f>
        <v>69.982938323254899</v>
      </c>
      <c r="X134" s="439">
        <f>IF(X$117&lt;Assumptions_Dashboard!$D$5,0,$F$131)*(X132+X133)</f>
        <v>75.508482993952939</v>
      </c>
      <c r="Y134" s="439">
        <f>IF(Y$117&lt;Assumptions_Dashboard!$D$5,0,$F$131)*(Y132+Y133)</f>
        <v>138.99660291637176</v>
      </c>
      <c r="Z134" s="439">
        <f>IF(Z$117&lt;Assumptions_Dashboard!$D$5,0,$F$131)*(Z132+Z133)</f>
        <v>101.93573341540717</v>
      </c>
      <c r="AA134" s="439">
        <f>IF(AA$117&lt;Assumptions_Dashboard!$D$5,0,$F$131)*(AA132+AA133)</f>
        <v>142.36997869465083</v>
      </c>
      <c r="AB134" s="439">
        <f>IF(AB$117&lt;Assumptions_Dashboard!$D$5,0,$F$131)*(AB132+AB133)</f>
        <v>96.658091682374632</v>
      </c>
      <c r="AC134" s="439">
        <f>IF(AC$117&lt;Assumptions_Dashboard!$D$5,0,$F$131)*(AC132+AC133)</f>
        <v>95.335720054831356</v>
      </c>
      <c r="AD134" s="439">
        <f>IF(AD$117&lt;Assumptions_Dashboard!$D$5,0,$F$131)*(AD132+AD133)</f>
        <v>120.01167203289882</v>
      </c>
    </row>
    <row r="135" spans="3:30" outlineLevel="1">
      <c r="C135" s="422" t="s">
        <v>550</v>
      </c>
      <c r="D135" s="422" t="s">
        <v>134</v>
      </c>
      <c r="H135" s="424">
        <f>SUM($H134:H134)</f>
        <v>0</v>
      </c>
      <c r="I135" s="424">
        <f>SUM($H134:I134)</f>
        <v>0</v>
      </c>
      <c r="J135" s="424">
        <f>SUM($H134:J134)</f>
        <v>0</v>
      </c>
      <c r="K135" s="424">
        <f>SUM($H134:K134)</f>
        <v>0</v>
      </c>
      <c r="L135" s="424">
        <f>SUM($H134:L134)</f>
        <v>53.650431430990693</v>
      </c>
      <c r="M135" s="424">
        <f>SUM($H134:M134)</f>
        <v>91.791330289585119</v>
      </c>
      <c r="N135" s="424">
        <f>SUM($H134:N134)</f>
        <v>158.22094103573247</v>
      </c>
      <c r="O135" s="424">
        <f>SUM($H134:O134)</f>
        <v>306.88795868342089</v>
      </c>
      <c r="P135" s="424">
        <f>SUM($H134:P134)</f>
        <v>406.49103647203395</v>
      </c>
      <c r="Q135" s="424">
        <f>SUM($H134:Q134)</f>
        <v>546.33039674520182</v>
      </c>
      <c r="R135" s="424">
        <f>SUM($H134:R134)</f>
        <v>641.83401290910251</v>
      </c>
      <c r="S135" s="424">
        <f>SUM($H134:S134)</f>
        <v>731.62252707302707</v>
      </c>
      <c r="T135" s="424">
        <f>SUM($H134:T134)</f>
        <v>847.29339557138178</v>
      </c>
      <c r="U135" s="424">
        <f>SUM($H134:U134)</f>
        <v>946.81554113597872</v>
      </c>
      <c r="V135" s="424">
        <f>SUM($H134:V134)</f>
        <v>1045.7478684747368</v>
      </c>
      <c r="W135" s="424">
        <f>SUM($H134:W134)</f>
        <v>1115.7308067979918</v>
      </c>
      <c r="X135" s="424">
        <f>SUM($H134:X134)</f>
        <v>1191.2392897919447</v>
      </c>
      <c r="Y135" s="424">
        <f>SUM($H134:Y134)</f>
        <v>1330.2358927083164</v>
      </c>
      <c r="Z135" s="424">
        <f>SUM($H134:Z134)</f>
        <v>1432.1716261237236</v>
      </c>
      <c r="AA135" s="424">
        <f>SUM($H134:AA134)</f>
        <v>1574.5416048183745</v>
      </c>
      <c r="AB135" s="424">
        <f>SUM($H134:AB134)</f>
        <v>1671.199696500749</v>
      </c>
      <c r="AC135" s="424">
        <f>SUM($H134:AC134)</f>
        <v>1766.5354165555805</v>
      </c>
      <c r="AD135" s="424">
        <f>SUM($H134:AD134)</f>
        <v>1886.5470885884793</v>
      </c>
    </row>
    <row r="136" spans="3:30" outlineLevel="1">
      <c r="C136" s="422" t="s">
        <v>551</v>
      </c>
      <c r="D136" s="422" t="s">
        <v>134</v>
      </c>
      <c r="H136" s="424">
        <f>H132+H133-H134</f>
        <v>0</v>
      </c>
      <c r="I136" s="424">
        <f t="shared" ref="I136:AD136" si="71">I132+I133-I134</f>
        <v>0</v>
      </c>
      <c r="J136" s="424">
        <f t="shared" si="71"/>
        <v>0</v>
      </c>
      <c r="K136" s="424">
        <f t="shared" si="71"/>
        <v>0</v>
      </c>
      <c r="L136" s="424">
        <f t="shared" si="71"/>
        <v>80.47564714648604</v>
      </c>
      <c r="M136" s="424">
        <f t="shared" si="71"/>
        <v>57.211348287891617</v>
      </c>
      <c r="N136" s="424">
        <f t="shared" si="71"/>
        <v>99.644416119221006</v>
      </c>
      <c r="O136" s="424">
        <f t="shared" si="71"/>
        <v>223.00052647153259</v>
      </c>
      <c r="P136" s="424">
        <f t="shared" si="71"/>
        <v>149.40461668291954</v>
      </c>
      <c r="Q136" s="424">
        <f t="shared" si="71"/>
        <v>209.75904040975172</v>
      </c>
      <c r="R136" s="424">
        <f t="shared" si="71"/>
        <v>143.25542424585103</v>
      </c>
      <c r="S136" s="424">
        <f t="shared" si="71"/>
        <v>134.68277124588678</v>
      </c>
      <c r="T136" s="424">
        <f t="shared" si="71"/>
        <v>173.50630274753206</v>
      </c>
      <c r="U136" s="424">
        <f t="shared" si="71"/>
        <v>149.28321834689541</v>
      </c>
      <c r="V136" s="424">
        <f t="shared" si="71"/>
        <v>148.39849100813723</v>
      </c>
      <c r="W136" s="424">
        <f t="shared" si="71"/>
        <v>104.97440748488233</v>
      </c>
      <c r="X136" s="424">
        <f t="shared" si="71"/>
        <v>113.26272449092939</v>
      </c>
      <c r="Y136" s="424">
        <f t="shared" si="71"/>
        <v>208.49490437455759</v>
      </c>
      <c r="Z136" s="424">
        <f t="shared" si="71"/>
        <v>152.90360012311072</v>
      </c>
      <c r="AA136" s="424">
        <f t="shared" si="71"/>
        <v>213.55496804197625</v>
      </c>
      <c r="AB136" s="424">
        <f t="shared" si="71"/>
        <v>144.98713752356196</v>
      </c>
      <c r="AC136" s="424">
        <f t="shared" si="71"/>
        <v>143.00358008224703</v>
      </c>
      <c r="AD136" s="424">
        <f t="shared" si="71"/>
        <v>180.01750804934821</v>
      </c>
    </row>
    <row r="137" spans="3:30" outlineLevel="1">
      <c r="C137" s="191" t="str">
        <f>C59</f>
        <v>CHP</v>
      </c>
      <c r="F137" s="423">
        <v>0.15</v>
      </c>
    </row>
    <row r="138" spans="3:30" outlineLevel="1">
      <c r="C138" s="422" t="s">
        <v>547</v>
      </c>
      <c r="D138" s="422" t="s">
        <v>134</v>
      </c>
      <c r="H138" s="424">
        <f>G142</f>
        <v>0</v>
      </c>
      <c r="I138" s="424">
        <f t="shared" ref="I138:AD138" si="72">H142</f>
        <v>0</v>
      </c>
      <c r="J138" s="424">
        <f t="shared" si="72"/>
        <v>0</v>
      </c>
      <c r="K138" s="424">
        <f t="shared" si="72"/>
        <v>10.1915</v>
      </c>
      <c r="L138" s="424">
        <f t="shared" si="72"/>
        <v>84.986400000000003</v>
      </c>
      <c r="M138" s="424">
        <f t="shared" si="72"/>
        <v>204.50269</v>
      </c>
      <c r="N138" s="424">
        <f t="shared" si="72"/>
        <v>239.95941149999999</v>
      </c>
      <c r="O138" s="424">
        <f t="shared" si="72"/>
        <v>203.96549977499998</v>
      </c>
      <c r="P138" s="424">
        <f t="shared" si="72"/>
        <v>173.37067480874998</v>
      </c>
      <c r="Q138" s="424">
        <f t="shared" si="72"/>
        <v>147.36507358743748</v>
      </c>
      <c r="R138" s="424">
        <f t="shared" si="72"/>
        <v>125.26031254932185</v>
      </c>
      <c r="S138" s="424">
        <f t="shared" si="72"/>
        <v>106.47126566692357</v>
      </c>
      <c r="T138" s="424">
        <f t="shared" si="72"/>
        <v>99.047920816885039</v>
      </c>
      <c r="U138" s="424">
        <f t="shared" si="72"/>
        <v>84.190732694352278</v>
      </c>
      <c r="V138" s="424">
        <f t="shared" si="72"/>
        <v>71.562122790199439</v>
      </c>
      <c r="W138" s="424">
        <f t="shared" si="72"/>
        <v>60.827804371669522</v>
      </c>
      <c r="X138" s="424">
        <f t="shared" si="72"/>
        <v>51.703633715919096</v>
      </c>
      <c r="Y138" s="424">
        <f t="shared" si="72"/>
        <v>43.948088658531233</v>
      </c>
      <c r="Z138" s="424">
        <f t="shared" si="72"/>
        <v>37.35587535975155</v>
      </c>
      <c r="AA138" s="424">
        <f t="shared" si="72"/>
        <v>31.752494055788819</v>
      </c>
      <c r="AB138" s="424">
        <f t="shared" si="72"/>
        <v>35.536964947420493</v>
      </c>
      <c r="AC138" s="424">
        <f t="shared" si="72"/>
        <v>30.20642020530742</v>
      </c>
      <c r="AD138" s="424">
        <f t="shared" si="72"/>
        <v>25.675457174511308</v>
      </c>
    </row>
    <row r="139" spans="3:30" outlineLevel="1">
      <c r="C139" s="422" t="s">
        <v>548</v>
      </c>
      <c r="D139" s="422" t="s">
        <v>134</v>
      </c>
      <c r="E139" s="424">
        <f>SUM(H139:AI139)</f>
        <v>355.3014</v>
      </c>
      <c r="H139" s="424">
        <f>H61</f>
        <v>0</v>
      </c>
      <c r="I139" s="424">
        <f t="shared" ref="I139:AD139" si="73">I61</f>
        <v>0</v>
      </c>
      <c r="J139" s="424">
        <f t="shared" si="73"/>
        <v>11.99</v>
      </c>
      <c r="K139" s="424">
        <f t="shared" si="73"/>
        <v>89.79249999999999</v>
      </c>
      <c r="L139" s="424">
        <f t="shared" si="73"/>
        <v>155.60499999999999</v>
      </c>
      <c r="M139" s="424">
        <f t="shared" si="73"/>
        <v>77.802499999999995</v>
      </c>
      <c r="N139" s="424">
        <f t="shared" si="73"/>
        <v>0</v>
      </c>
      <c r="O139" s="424">
        <f t="shared" si="73"/>
        <v>0</v>
      </c>
      <c r="P139" s="424">
        <f t="shared" si="73"/>
        <v>0</v>
      </c>
      <c r="Q139" s="424">
        <f t="shared" si="73"/>
        <v>0</v>
      </c>
      <c r="R139" s="424">
        <f t="shared" si="73"/>
        <v>0</v>
      </c>
      <c r="S139" s="424">
        <f t="shared" si="73"/>
        <v>10.0557</v>
      </c>
      <c r="T139" s="424">
        <f t="shared" si="73"/>
        <v>0</v>
      </c>
      <c r="U139" s="424">
        <f t="shared" si="73"/>
        <v>0</v>
      </c>
      <c r="V139" s="424">
        <f t="shared" si="73"/>
        <v>0</v>
      </c>
      <c r="W139" s="424">
        <f t="shared" si="73"/>
        <v>0</v>
      </c>
      <c r="X139" s="424">
        <f t="shared" si="73"/>
        <v>0</v>
      </c>
      <c r="Y139" s="424">
        <f t="shared" si="73"/>
        <v>0</v>
      </c>
      <c r="Z139" s="424">
        <f t="shared" si="73"/>
        <v>0</v>
      </c>
      <c r="AA139" s="424">
        <f t="shared" si="73"/>
        <v>10.0557</v>
      </c>
      <c r="AB139" s="424">
        <f t="shared" si="73"/>
        <v>0</v>
      </c>
      <c r="AC139" s="424">
        <f t="shared" si="73"/>
        <v>0</v>
      </c>
      <c r="AD139" s="424">
        <f t="shared" si="73"/>
        <v>0</v>
      </c>
    </row>
    <row r="140" spans="3:30" outlineLevel="1">
      <c r="C140" s="422" t="s">
        <v>549</v>
      </c>
      <c r="D140" s="422" t="s">
        <v>134</v>
      </c>
      <c r="E140" s="424">
        <f>SUM(H140:AI140)</f>
        <v>333.47726140166543</v>
      </c>
      <c r="H140" s="439">
        <f>IF(H$117&lt;Assumptions_Dashboard!$D$5,0,$F$137)*(H138+H139)</f>
        <v>0</v>
      </c>
      <c r="I140" s="439">
        <f>IF(I$117&lt;Assumptions_Dashboard!$D$5,0,$F$137)*(I138+I139)</f>
        <v>0</v>
      </c>
      <c r="J140" s="439">
        <f>IF(J$117&lt;Assumptions_Dashboard!$D$5,0,$F$137)*(J138+J139)</f>
        <v>1.7985</v>
      </c>
      <c r="K140" s="439">
        <f>IF(K$117&lt;Assumptions_Dashboard!$D$5,0,$F$137)*(K138+K139)</f>
        <v>14.997599999999998</v>
      </c>
      <c r="L140" s="439">
        <f>IF(L$117&lt;Assumptions_Dashboard!$D$5,0,$F$137)*(L138+L139)</f>
        <v>36.088709999999999</v>
      </c>
      <c r="M140" s="439">
        <f>IF(M$117&lt;Assumptions_Dashboard!$D$5,0,$F$137)*(M138+M139)</f>
        <v>42.345778499999994</v>
      </c>
      <c r="N140" s="439">
        <f>IF(N$117&lt;Assumptions_Dashboard!$D$5,0,$F$137)*(N138+N139)</f>
        <v>35.993911724999997</v>
      </c>
      <c r="O140" s="439">
        <f>IF(O$117&lt;Assumptions_Dashboard!$D$5,0,$F$137)*(O138+O139)</f>
        <v>30.594824966249995</v>
      </c>
      <c r="P140" s="439">
        <f>IF(P$117&lt;Assumptions_Dashboard!$D$5,0,$F$137)*(P138+P139)</f>
        <v>26.005601221312496</v>
      </c>
      <c r="Q140" s="439">
        <f>IF(Q$117&lt;Assumptions_Dashboard!$D$5,0,$F$137)*(Q138+Q139)</f>
        <v>22.104761038115623</v>
      </c>
      <c r="R140" s="439">
        <f>IF(R$117&lt;Assumptions_Dashboard!$D$5,0,$F$137)*(R138+R139)</f>
        <v>18.789046882398278</v>
      </c>
      <c r="S140" s="439">
        <f>IF(S$117&lt;Assumptions_Dashboard!$D$5,0,$F$137)*(S138+S139)</f>
        <v>17.479044850038534</v>
      </c>
      <c r="T140" s="439">
        <f>IF(T$117&lt;Assumptions_Dashboard!$D$5,0,$F$137)*(T138+T139)</f>
        <v>14.857188122532754</v>
      </c>
      <c r="U140" s="439">
        <f>IF(U$117&lt;Assumptions_Dashboard!$D$5,0,$F$137)*(U138+U139)</f>
        <v>12.628609904152841</v>
      </c>
      <c r="V140" s="439">
        <f>IF(V$117&lt;Assumptions_Dashboard!$D$5,0,$F$137)*(V138+V139)</f>
        <v>10.734318418529915</v>
      </c>
      <c r="W140" s="439">
        <f>IF(W$117&lt;Assumptions_Dashboard!$D$5,0,$F$137)*(W138+W139)</f>
        <v>9.1241706557504276</v>
      </c>
      <c r="X140" s="439">
        <f>IF(X$117&lt;Assumptions_Dashboard!$D$5,0,$F$137)*(X138+X139)</f>
        <v>7.7555450573878639</v>
      </c>
      <c r="Y140" s="439">
        <f>IF(Y$117&lt;Assumptions_Dashboard!$D$5,0,$F$137)*(Y138+Y139)</f>
        <v>6.5922132987796846</v>
      </c>
      <c r="Z140" s="439">
        <f>IF(Z$117&lt;Assumptions_Dashboard!$D$5,0,$F$137)*(Z138+Z139)</f>
        <v>5.603381303962732</v>
      </c>
      <c r="AA140" s="439">
        <f>IF(AA$117&lt;Assumptions_Dashboard!$D$5,0,$F$137)*(AA138+AA139)</f>
        <v>6.2712291083683223</v>
      </c>
      <c r="AB140" s="439">
        <f>IF(AB$117&lt;Assumptions_Dashboard!$D$5,0,$F$137)*(AB138+AB139)</f>
        <v>5.3305447421130738</v>
      </c>
      <c r="AC140" s="439">
        <f>IF(AC$117&lt;Assumptions_Dashboard!$D$5,0,$F$137)*(AC138+AC139)</f>
        <v>4.5309630307961131</v>
      </c>
      <c r="AD140" s="439">
        <f>IF(AD$117&lt;Assumptions_Dashboard!$D$5,0,$F$137)*(AD138+AD139)</f>
        <v>3.8513185761766962</v>
      </c>
    </row>
    <row r="141" spans="3:30" outlineLevel="1">
      <c r="C141" s="422" t="s">
        <v>550</v>
      </c>
      <c r="D141" s="422" t="s">
        <v>134</v>
      </c>
      <c r="H141" s="424">
        <f>SUM($H140:H140)</f>
        <v>0</v>
      </c>
      <c r="I141" s="424">
        <f>SUM($H140:I140)</f>
        <v>0</v>
      </c>
      <c r="J141" s="424">
        <f>SUM($H140:J140)</f>
        <v>1.7985</v>
      </c>
      <c r="K141" s="424">
        <f>SUM($H140:K140)</f>
        <v>16.796099999999999</v>
      </c>
      <c r="L141" s="424">
        <f>SUM($H140:L140)</f>
        <v>52.884810000000002</v>
      </c>
      <c r="M141" s="424">
        <f>SUM($H140:M140)</f>
        <v>95.230588499999996</v>
      </c>
      <c r="N141" s="424">
        <f>SUM($H140:N140)</f>
        <v>131.22450022499999</v>
      </c>
      <c r="O141" s="424">
        <f>SUM($H140:O140)</f>
        <v>161.81932519124999</v>
      </c>
      <c r="P141" s="424">
        <f>SUM($H140:P140)</f>
        <v>187.82492641256249</v>
      </c>
      <c r="Q141" s="424">
        <f>SUM($H140:Q140)</f>
        <v>209.9296874506781</v>
      </c>
      <c r="R141" s="424">
        <f>SUM($H140:R140)</f>
        <v>228.71873433307638</v>
      </c>
      <c r="S141" s="424">
        <f>SUM($H140:S140)</f>
        <v>246.1977791831149</v>
      </c>
      <c r="T141" s="424">
        <f>SUM($H140:T140)</f>
        <v>261.05496730564766</v>
      </c>
      <c r="U141" s="424">
        <f>SUM($H140:U140)</f>
        <v>273.68357720980049</v>
      </c>
      <c r="V141" s="424">
        <f>SUM($H140:V140)</f>
        <v>284.41789562833043</v>
      </c>
      <c r="W141" s="424">
        <f>SUM($H140:W140)</f>
        <v>293.54206628408087</v>
      </c>
      <c r="X141" s="424">
        <f>SUM($H140:X140)</f>
        <v>301.29761134146872</v>
      </c>
      <c r="Y141" s="424">
        <f>SUM($H140:Y140)</f>
        <v>307.88982464024843</v>
      </c>
      <c r="Z141" s="424">
        <f>SUM($H140:Z140)</f>
        <v>313.49320594421118</v>
      </c>
      <c r="AA141" s="424">
        <f>SUM($H140:AA140)</f>
        <v>319.76443505257953</v>
      </c>
      <c r="AB141" s="424">
        <f>SUM($H140:AB140)</f>
        <v>325.09497979469262</v>
      </c>
      <c r="AC141" s="424">
        <f>SUM($H140:AC140)</f>
        <v>329.62594282548872</v>
      </c>
      <c r="AD141" s="424">
        <f>SUM($H140:AD140)</f>
        <v>333.47726140166543</v>
      </c>
    </row>
    <row r="142" spans="3:30" outlineLevel="1">
      <c r="C142" s="422" t="s">
        <v>551</v>
      </c>
      <c r="D142" s="422" t="s">
        <v>134</v>
      </c>
      <c r="H142" s="424">
        <f>H138+H139-H140</f>
        <v>0</v>
      </c>
      <c r="I142" s="424">
        <f t="shared" ref="I142:AD142" si="74">I138+I139-I140</f>
        <v>0</v>
      </c>
      <c r="J142" s="424">
        <f t="shared" si="74"/>
        <v>10.1915</v>
      </c>
      <c r="K142" s="424">
        <f t="shared" si="74"/>
        <v>84.986400000000003</v>
      </c>
      <c r="L142" s="424">
        <f t="shared" si="74"/>
        <v>204.50269</v>
      </c>
      <c r="M142" s="424">
        <f t="shared" si="74"/>
        <v>239.95941149999999</v>
      </c>
      <c r="N142" s="424">
        <f t="shared" si="74"/>
        <v>203.96549977499998</v>
      </c>
      <c r="O142" s="424">
        <f t="shared" si="74"/>
        <v>173.37067480874998</v>
      </c>
      <c r="P142" s="424">
        <f t="shared" si="74"/>
        <v>147.36507358743748</v>
      </c>
      <c r="Q142" s="424">
        <f t="shared" si="74"/>
        <v>125.26031254932185</v>
      </c>
      <c r="R142" s="424">
        <f t="shared" si="74"/>
        <v>106.47126566692357</v>
      </c>
      <c r="S142" s="424">
        <f t="shared" si="74"/>
        <v>99.047920816885039</v>
      </c>
      <c r="T142" s="424">
        <f t="shared" si="74"/>
        <v>84.190732694352278</v>
      </c>
      <c r="U142" s="424">
        <f t="shared" si="74"/>
        <v>71.562122790199439</v>
      </c>
      <c r="V142" s="424">
        <f t="shared" si="74"/>
        <v>60.827804371669522</v>
      </c>
      <c r="W142" s="424">
        <f t="shared" si="74"/>
        <v>51.703633715919096</v>
      </c>
      <c r="X142" s="424">
        <f t="shared" si="74"/>
        <v>43.948088658531233</v>
      </c>
      <c r="Y142" s="424">
        <f t="shared" si="74"/>
        <v>37.35587535975155</v>
      </c>
      <c r="Z142" s="424">
        <f t="shared" si="74"/>
        <v>31.752494055788819</v>
      </c>
      <c r="AA142" s="424">
        <f t="shared" si="74"/>
        <v>35.536964947420493</v>
      </c>
      <c r="AB142" s="424">
        <f t="shared" si="74"/>
        <v>30.20642020530742</v>
      </c>
      <c r="AC142" s="424">
        <f t="shared" si="74"/>
        <v>25.675457174511308</v>
      </c>
      <c r="AD142" s="424">
        <f t="shared" si="74"/>
        <v>21.824138598334613</v>
      </c>
    </row>
    <row r="143" spans="3:30" outlineLevel="1">
      <c r="C143" s="191" t="str">
        <f>C65</f>
        <v>Railway Siding</v>
      </c>
      <c r="F143" s="423">
        <v>0.15</v>
      </c>
    </row>
    <row r="144" spans="3:30" outlineLevel="1">
      <c r="C144" s="422" t="s">
        <v>547</v>
      </c>
      <c r="D144" s="422" t="s">
        <v>134</v>
      </c>
      <c r="H144" s="424">
        <f>G148</f>
        <v>0</v>
      </c>
      <c r="I144" s="424">
        <f t="shared" ref="I144:AD144" si="75">H148</f>
        <v>0</v>
      </c>
      <c r="J144" s="424">
        <f t="shared" si="75"/>
        <v>45.9</v>
      </c>
      <c r="K144" s="424">
        <f t="shared" si="75"/>
        <v>314.41499999999996</v>
      </c>
      <c r="L144" s="424">
        <f t="shared" si="75"/>
        <v>404.95274999999998</v>
      </c>
      <c r="M144" s="424">
        <f t="shared" si="75"/>
        <v>344.20983749999999</v>
      </c>
      <c r="N144" s="424">
        <f t="shared" si="75"/>
        <v>292.57836187499998</v>
      </c>
      <c r="O144" s="424">
        <f t="shared" si="75"/>
        <v>248.69160759374998</v>
      </c>
      <c r="P144" s="424">
        <f t="shared" si="75"/>
        <v>211.38786645468747</v>
      </c>
      <c r="Q144" s="424">
        <f t="shared" si="75"/>
        <v>179.67968648648434</v>
      </c>
      <c r="R144" s="424">
        <f t="shared" si="75"/>
        <v>152.72773351351168</v>
      </c>
      <c r="S144" s="424">
        <f t="shared" si="75"/>
        <v>129.81857348648492</v>
      </c>
      <c r="T144" s="424">
        <f t="shared" si="75"/>
        <v>110.34578746351218</v>
      </c>
      <c r="U144" s="424">
        <f t="shared" si="75"/>
        <v>93.793919343985351</v>
      </c>
      <c r="V144" s="424">
        <f t="shared" si="75"/>
        <v>79.724831442387554</v>
      </c>
      <c r="W144" s="424">
        <f t="shared" si="75"/>
        <v>67.76610672602942</v>
      </c>
      <c r="X144" s="424">
        <f t="shared" si="75"/>
        <v>57.601190717125007</v>
      </c>
      <c r="Y144" s="424">
        <f t="shared" si="75"/>
        <v>48.961012109556258</v>
      </c>
      <c r="Z144" s="424">
        <f t="shared" si="75"/>
        <v>41.616860293122819</v>
      </c>
      <c r="AA144" s="424">
        <f t="shared" si="75"/>
        <v>35.374331249154395</v>
      </c>
      <c r="AB144" s="424">
        <f t="shared" si="75"/>
        <v>30.068181561781238</v>
      </c>
      <c r="AC144" s="424">
        <f t="shared" si="75"/>
        <v>25.557954327514054</v>
      </c>
      <c r="AD144" s="424">
        <f t="shared" si="75"/>
        <v>21.724261178386946</v>
      </c>
    </row>
    <row r="145" spans="3:30" outlineLevel="1">
      <c r="C145" s="422" t="s">
        <v>548</v>
      </c>
      <c r="D145" s="422" t="s">
        <v>134</v>
      </c>
      <c r="E145" s="424">
        <f>SUM(H145:AI145)</f>
        <v>540</v>
      </c>
      <c r="H145" s="424">
        <f>H67</f>
        <v>0</v>
      </c>
      <c r="I145" s="424">
        <f t="shared" ref="I145:AD145" si="76">I67</f>
        <v>54</v>
      </c>
      <c r="J145" s="424">
        <f t="shared" si="76"/>
        <v>324</v>
      </c>
      <c r="K145" s="424">
        <f t="shared" si="76"/>
        <v>162</v>
      </c>
      <c r="L145" s="424">
        <f t="shared" si="76"/>
        <v>0</v>
      </c>
      <c r="M145" s="424">
        <f t="shared" si="76"/>
        <v>0</v>
      </c>
      <c r="N145" s="424">
        <f t="shared" si="76"/>
        <v>0</v>
      </c>
      <c r="O145" s="424">
        <f t="shared" si="76"/>
        <v>0</v>
      </c>
      <c r="P145" s="424">
        <f t="shared" si="76"/>
        <v>0</v>
      </c>
      <c r="Q145" s="424">
        <f t="shared" si="76"/>
        <v>0</v>
      </c>
      <c r="R145" s="424">
        <f t="shared" si="76"/>
        <v>0</v>
      </c>
      <c r="S145" s="424">
        <f t="shared" si="76"/>
        <v>0</v>
      </c>
      <c r="T145" s="424">
        <f t="shared" si="76"/>
        <v>0</v>
      </c>
      <c r="U145" s="424">
        <f t="shared" si="76"/>
        <v>0</v>
      </c>
      <c r="V145" s="424">
        <f t="shared" si="76"/>
        <v>0</v>
      </c>
      <c r="W145" s="424">
        <f t="shared" si="76"/>
        <v>0</v>
      </c>
      <c r="X145" s="424">
        <f t="shared" si="76"/>
        <v>0</v>
      </c>
      <c r="Y145" s="424">
        <f t="shared" si="76"/>
        <v>0</v>
      </c>
      <c r="Z145" s="424">
        <f t="shared" si="76"/>
        <v>0</v>
      </c>
      <c r="AA145" s="424">
        <f t="shared" si="76"/>
        <v>0</v>
      </c>
      <c r="AB145" s="424">
        <f t="shared" si="76"/>
        <v>0</v>
      </c>
      <c r="AC145" s="424">
        <f t="shared" si="76"/>
        <v>0</v>
      </c>
      <c r="AD145" s="424">
        <f t="shared" si="76"/>
        <v>0</v>
      </c>
    </row>
    <row r="146" spans="3:30" outlineLevel="1">
      <c r="C146" s="422" t="s">
        <v>549</v>
      </c>
      <c r="D146" s="422" t="s">
        <v>134</v>
      </c>
      <c r="E146" s="424">
        <f>SUM(H146:AI146)</f>
        <v>521.53437799837116</v>
      </c>
      <c r="H146" s="439">
        <f>IF(H$117&lt;Assumptions_Dashboard!$D$5,0,$F$143)*(H144+H145)</f>
        <v>0</v>
      </c>
      <c r="I146" s="439">
        <f>IF(I$117&lt;Assumptions_Dashboard!$D$5,0,$F$143)*(I144+I145)</f>
        <v>8.1</v>
      </c>
      <c r="J146" s="439">
        <f>IF(J$117&lt;Assumptions_Dashboard!$D$5,0,$F$143)*(J144+J145)</f>
        <v>55.484999999999992</v>
      </c>
      <c r="K146" s="439">
        <f>IF(K$117&lt;Assumptions_Dashboard!$D$5,0,$F$143)*(K144+K145)</f>
        <v>71.462249999999997</v>
      </c>
      <c r="L146" s="439">
        <f>IF(L$117&lt;Assumptions_Dashboard!$D$5,0,$F$143)*(L144+L145)</f>
        <v>60.742912499999996</v>
      </c>
      <c r="M146" s="439">
        <f>IF(M$117&lt;Assumptions_Dashboard!$D$5,0,$F$143)*(M144+M145)</f>
        <v>51.631475625</v>
      </c>
      <c r="N146" s="439">
        <f>IF(N$117&lt;Assumptions_Dashboard!$D$5,0,$F$143)*(N144+N145)</f>
        <v>43.886754281249999</v>
      </c>
      <c r="O146" s="439">
        <f>IF(O$117&lt;Assumptions_Dashboard!$D$5,0,$F$143)*(O144+O145)</f>
        <v>37.303741139062495</v>
      </c>
      <c r="P146" s="439">
        <f>IF(P$117&lt;Assumptions_Dashboard!$D$5,0,$F$143)*(P144+P145)</f>
        <v>31.708179968203119</v>
      </c>
      <c r="Q146" s="439">
        <f>IF(Q$117&lt;Assumptions_Dashboard!$D$5,0,$F$143)*(Q144+Q145)</f>
        <v>26.951952972972652</v>
      </c>
      <c r="R146" s="439">
        <f>IF(R$117&lt;Assumptions_Dashboard!$D$5,0,$F$143)*(R144+R145)</f>
        <v>22.909160027026751</v>
      </c>
      <c r="S146" s="439">
        <f>IF(S$117&lt;Assumptions_Dashboard!$D$5,0,$F$143)*(S144+S145)</f>
        <v>19.472786022972738</v>
      </c>
      <c r="T146" s="439">
        <f>IF(T$117&lt;Assumptions_Dashboard!$D$5,0,$F$143)*(T144+T145)</f>
        <v>16.551868119526826</v>
      </c>
      <c r="U146" s="439">
        <f>IF(U$117&lt;Assumptions_Dashboard!$D$5,0,$F$143)*(U144+U145)</f>
        <v>14.069087901597802</v>
      </c>
      <c r="V146" s="439">
        <f>IF(V$117&lt;Assumptions_Dashboard!$D$5,0,$F$143)*(V144+V145)</f>
        <v>11.958724716358132</v>
      </c>
      <c r="W146" s="439">
        <f>IF(W$117&lt;Assumptions_Dashboard!$D$5,0,$F$143)*(W144+W145)</f>
        <v>10.164916008904413</v>
      </c>
      <c r="X146" s="439">
        <f>IF(X$117&lt;Assumptions_Dashboard!$D$5,0,$F$143)*(X144+X145)</f>
        <v>8.6401786075687514</v>
      </c>
      <c r="Y146" s="439">
        <f>IF(Y$117&lt;Assumptions_Dashboard!$D$5,0,$F$143)*(Y144+Y145)</f>
        <v>7.3441518164334383</v>
      </c>
      <c r="Z146" s="439">
        <f>IF(Z$117&lt;Assumptions_Dashboard!$D$5,0,$F$143)*(Z144+Z145)</f>
        <v>6.2425290439684229</v>
      </c>
      <c r="AA146" s="439">
        <f>IF(AA$117&lt;Assumptions_Dashboard!$D$5,0,$F$143)*(AA144+AA145)</f>
        <v>5.3061496873731588</v>
      </c>
      <c r="AB146" s="439">
        <f>IF(AB$117&lt;Assumptions_Dashboard!$D$5,0,$F$143)*(AB144+AB145)</f>
        <v>4.5102272342671856</v>
      </c>
      <c r="AC146" s="439">
        <f>IF(AC$117&lt;Assumptions_Dashboard!$D$5,0,$F$143)*(AC144+AC145)</f>
        <v>3.8336931491271078</v>
      </c>
      <c r="AD146" s="439">
        <f>IF(AD$117&lt;Assumptions_Dashboard!$D$5,0,$F$143)*(AD144+AD145)</f>
        <v>3.258639176758042</v>
      </c>
    </row>
    <row r="147" spans="3:30" outlineLevel="1">
      <c r="C147" s="422" t="s">
        <v>550</v>
      </c>
      <c r="D147" s="422" t="s">
        <v>134</v>
      </c>
      <c r="H147" s="424">
        <f>SUM($H146:H146)</f>
        <v>0</v>
      </c>
      <c r="I147" s="424">
        <f>SUM($H146:I146)</f>
        <v>8.1</v>
      </c>
      <c r="J147" s="424">
        <f>SUM($H146:J146)</f>
        <v>63.584999999999994</v>
      </c>
      <c r="K147" s="424">
        <f>SUM($H146:K146)</f>
        <v>135.04724999999999</v>
      </c>
      <c r="L147" s="424">
        <f>SUM($H146:L146)</f>
        <v>195.79016249999998</v>
      </c>
      <c r="M147" s="424">
        <f>SUM($H146:M146)</f>
        <v>247.42163812499999</v>
      </c>
      <c r="N147" s="424">
        <f>SUM($H146:N146)</f>
        <v>291.30839240624999</v>
      </c>
      <c r="O147" s="424">
        <f>SUM($H146:O146)</f>
        <v>328.61213354531247</v>
      </c>
      <c r="P147" s="424">
        <f>SUM($H146:P146)</f>
        <v>360.3203135135156</v>
      </c>
      <c r="Q147" s="424">
        <f>SUM($H146:Q146)</f>
        <v>387.27226648648826</v>
      </c>
      <c r="R147" s="424">
        <f>SUM($H146:R146)</f>
        <v>410.18142651351502</v>
      </c>
      <c r="S147" s="424">
        <f>SUM($H146:S146)</f>
        <v>429.65421253648776</v>
      </c>
      <c r="T147" s="424">
        <f>SUM($H146:T146)</f>
        <v>446.20608065601459</v>
      </c>
      <c r="U147" s="424">
        <f>SUM($H146:U146)</f>
        <v>460.2751685576124</v>
      </c>
      <c r="V147" s="424">
        <f>SUM($H146:V146)</f>
        <v>472.23389327397052</v>
      </c>
      <c r="W147" s="424">
        <f>SUM($H146:W146)</f>
        <v>482.39880928287494</v>
      </c>
      <c r="X147" s="424">
        <f>SUM($H146:X146)</f>
        <v>491.03898789044371</v>
      </c>
      <c r="Y147" s="424">
        <f>SUM($H146:Y146)</f>
        <v>498.38313970687716</v>
      </c>
      <c r="Z147" s="424">
        <f>SUM($H146:Z146)</f>
        <v>504.62566875084559</v>
      </c>
      <c r="AA147" s="424">
        <f>SUM($H146:AA146)</f>
        <v>509.93181843821873</v>
      </c>
      <c r="AB147" s="424">
        <f>SUM($H146:AB146)</f>
        <v>514.44204567248596</v>
      </c>
      <c r="AC147" s="424">
        <f>SUM($H146:AC146)</f>
        <v>518.27573882161312</v>
      </c>
      <c r="AD147" s="424">
        <f>SUM($H146:AD146)</f>
        <v>521.53437799837116</v>
      </c>
    </row>
    <row r="148" spans="3:30" outlineLevel="1">
      <c r="C148" s="422" t="s">
        <v>551</v>
      </c>
      <c r="D148" s="422" t="s">
        <v>134</v>
      </c>
      <c r="H148" s="424">
        <f>H144+H145-H146</f>
        <v>0</v>
      </c>
      <c r="I148" s="424">
        <f t="shared" ref="I148:AD148" si="77">I144+I145-I146</f>
        <v>45.9</v>
      </c>
      <c r="J148" s="424">
        <f t="shared" si="77"/>
        <v>314.41499999999996</v>
      </c>
      <c r="K148" s="424">
        <f t="shared" si="77"/>
        <v>404.95274999999998</v>
      </c>
      <c r="L148" s="424">
        <f t="shared" si="77"/>
        <v>344.20983749999999</v>
      </c>
      <c r="M148" s="424">
        <f t="shared" si="77"/>
        <v>292.57836187499998</v>
      </c>
      <c r="N148" s="424">
        <f t="shared" si="77"/>
        <v>248.69160759374998</v>
      </c>
      <c r="O148" s="424">
        <f t="shared" si="77"/>
        <v>211.38786645468747</v>
      </c>
      <c r="P148" s="424">
        <f t="shared" si="77"/>
        <v>179.67968648648434</v>
      </c>
      <c r="Q148" s="424">
        <f t="shared" si="77"/>
        <v>152.72773351351168</v>
      </c>
      <c r="R148" s="424">
        <f t="shared" si="77"/>
        <v>129.81857348648492</v>
      </c>
      <c r="S148" s="424">
        <f t="shared" si="77"/>
        <v>110.34578746351218</v>
      </c>
      <c r="T148" s="424">
        <f t="shared" si="77"/>
        <v>93.793919343985351</v>
      </c>
      <c r="U148" s="424">
        <f t="shared" si="77"/>
        <v>79.724831442387554</v>
      </c>
      <c r="V148" s="424">
        <f t="shared" si="77"/>
        <v>67.76610672602942</v>
      </c>
      <c r="W148" s="424">
        <f t="shared" si="77"/>
        <v>57.601190717125007</v>
      </c>
      <c r="X148" s="424">
        <f t="shared" si="77"/>
        <v>48.961012109556258</v>
      </c>
      <c r="Y148" s="424">
        <f t="shared" si="77"/>
        <v>41.616860293122819</v>
      </c>
      <c r="Z148" s="424">
        <f t="shared" si="77"/>
        <v>35.374331249154395</v>
      </c>
      <c r="AA148" s="424">
        <f t="shared" si="77"/>
        <v>30.068181561781238</v>
      </c>
      <c r="AB148" s="424">
        <f t="shared" si="77"/>
        <v>25.557954327514054</v>
      </c>
      <c r="AC148" s="424">
        <f t="shared" si="77"/>
        <v>21.724261178386946</v>
      </c>
      <c r="AD148" s="424">
        <f t="shared" si="77"/>
        <v>18.465622001628905</v>
      </c>
    </row>
    <row r="149" spans="3:30" outlineLevel="1">
      <c r="C149" s="191" t="str">
        <f>C71</f>
        <v>Civil Infrastructure</v>
      </c>
      <c r="F149" s="423">
        <v>0.1</v>
      </c>
    </row>
    <row r="150" spans="3:30" outlineLevel="1">
      <c r="C150" s="422" t="s">
        <v>547</v>
      </c>
      <c r="D150" s="422" t="s">
        <v>134</v>
      </c>
      <c r="H150" s="424">
        <f>G154</f>
        <v>0</v>
      </c>
      <c r="I150" s="424">
        <f t="shared" ref="I150:AD150" si="78">H154</f>
        <v>0</v>
      </c>
      <c r="J150" s="424">
        <f t="shared" si="78"/>
        <v>51.569999999999993</v>
      </c>
      <c r="K150" s="424">
        <f t="shared" si="78"/>
        <v>132.363</v>
      </c>
      <c r="L150" s="424">
        <f t="shared" si="78"/>
        <v>153.5067</v>
      </c>
      <c r="M150" s="424">
        <f t="shared" si="78"/>
        <v>138.15602999999999</v>
      </c>
      <c r="N150" s="424">
        <f t="shared" si="78"/>
        <v>124.34042699999999</v>
      </c>
      <c r="O150" s="424">
        <f t="shared" si="78"/>
        <v>111.90638429999998</v>
      </c>
      <c r="P150" s="424">
        <f t="shared" si="78"/>
        <v>100.71574586999998</v>
      </c>
      <c r="Q150" s="424">
        <f t="shared" si="78"/>
        <v>90.644171282999977</v>
      </c>
      <c r="R150" s="424">
        <f t="shared" si="78"/>
        <v>81.579754154699984</v>
      </c>
      <c r="S150" s="424">
        <f t="shared" si="78"/>
        <v>73.421778739229978</v>
      </c>
      <c r="T150" s="424">
        <f t="shared" si="78"/>
        <v>66.079600865306986</v>
      </c>
      <c r="U150" s="424">
        <f t="shared" si="78"/>
        <v>59.47164077877629</v>
      </c>
      <c r="V150" s="424">
        <f t="shared" si="78"/>
        <v>59.540976700898661</v>
      </c>
      <c r="W150" s="424">
        <f t="shared" si="78"/>
        <v>53.586879030808795</v>
      </c>
      <c r="X150" s="424">
        <f t="shared" si="78"/>
        <v>48.228191127727918</v>
      </c>
      <c r="Y150" s="424">
        <f t="shared" si="78"/>
        <v>43.405372014955127</v>
      </c>
      <c r="Z150" s="424">
        <f t="shared" si="78"/>
        <v>39.064834813459612</v>
      </c>
      <c r="AA150" s="424">
        <f t="shared" si="78"/>
        <v>35.158351332113654</v>
      </c>
      <c r="AB150" s="424">
        <f t="shared" si="78"/>
        <v>31.642516198902289</v>
      </c>
      <c r="AC150" s="424">
        <f t="shared" si="78"/>
        <v>28.478264579012059</v>
      </c>
      <c r="AD150" s="424">
        <f t="shared" si="78"/>
        <v>25.630438121110853</v>
      </c>
    </row>
    <row r="151" spans="3:30" outlineLevel="1">
      <c r="C151" s="422" t="s">
        <v>548</v>
      </c>
      <c r="D151" s="422" t="s">
        <v>134</v>
      </c>
      <c r="E151" s="424">
        <f>SUM(H151:AI151)</f>
        <v>197.685</v>
      </c>
      <c r="H151" s="424">
        <f>H73</f>
        <v>0</v>
      </c>
      <c r="I151" s="424">
        <f t="shared" ref="I151:AD151" si="79">I73</f>
        <v>57.3</v>
      </c>
      <c r="J151" s="424">
        <f t="shared" si="79"/>
        <v>95.5</v>
      </c>
      <c r="K151" s="424">
        <f t="shared" si="79"/>
        <v>38.200000000000003</v>
      </c>
      <c r="L151" s="424">
        <f t="shared" si="79"/>
        <v>0</v>
      </c>
      <c r="M151" s="424">
        <f t="shared" si="79"/>
        <v>0</v>
      </c>
      <c r="N151" s="424">
        <f t="shared" si="79"/>
        <v>0</v>
      </c>
      <c r="O151" s="424">
        <f t="shared" si="79"/>
        <v>0</v>
      </c>
      <c r="P151" s="424">
        <f t="shared" si="79"/>
        <v>0</v>
      </c>
      <c r="Q151" s="424">
        <f t="shared" si="79"/>
        <v>0</v>
      </c>
      <c r="R151" s="424">
        <f t="shared" si="79"/>
        <v>0</v>
      </c>
      <c r="S151" s="424">
        <f t="shared" si="79"/>
        <v>0</v>
      </c>
      <c r="T151" s="424">
        <f t="shared" si="79"/>
        <v>0</v>
      </c>
      <c r="U151" s="424">
        <f t="shared" si="79"/>
        <v>6.6850000000000005</v>
      </c>
      <c r="V151" s="424">
        <f t="shared" si="79"/>
        <v>0</v>
      </c>
      <c r="W151" s="424">
        <f t="shared" si="79"/>
        <v>0</v>
      </c>
      <c r="X151" s="424">
        <f t="shared" si="79"/>
        <v>0</v>
      </c>
      <c r="Y151" s="424">
        <f t="shared" si="79"/>
        <v>0</v>
      </c>
      <c r="Z151" s="424">
        <f t="shared" si="79"/>
        <v>0</v>
      </c>
      <c r="AA151" s="424">
        <f t="shared" si="79"/>
        <v>0</v>
      </c>
      <c r="AB151" s="424">
        <f t="shared" si="79"/>
        <v>0</v>
      </c>
      <c r="AC151" s="424">
        <f t="shared" si="79"/>
        <v>0</v>
      </c>
      <c r="AD151" s="424">
        <f t="shared" si="79"/>
        <v>0</v>
      </c>
    </row>
    <row r="152" spans="3:30" outlineLevel="1">
      <c r="C152" s="422" t="s">
        <v>549</v>
      </c>
      <c r="D152" s="422" t="s">
        <v>134</v>
      </c>
      <c r="E152" s="424">
        <f>SUM(H152:AI152)</f>
        <v>174.61760569100031</v>
      </c>
      <c r="H152" s="439">
        <f>IF(H$117&lt;Assumptions_Dashboard!$D$5,0,$F$149)*(H150+H151)</f>
        <v>0</v>
      </c>
      <c r="I152" s="439">
        <f>IF(I$117&lt;Assumptions_Dashboard!$D$5,0,$F$149)*(I150+I151)</f>
        <v>5.73</v>
      </c>
      <c r="J152" s="439">
        <f>IF(J$117&lt;Assumptions_Dashboard!$D$5,0,$F$149)*(J150+J151)</f>
        <v>14.707000000000001</v>
      </c>
      <c r="K152" s="439">
        <f>IF(K$117&lt;Assumptions_Dashboard!$D$5,0,$F$149)*(K150+K151)</f>
        <v>17.0563</v>
      </c>
      <c r="L152" s="439">
        <f>IF(L$117&lt;Assumptions_Dashboard!$D$5,0,$F$149)*(L150+L151)</f>
        <v>15.350670000000001</v>
      </c>
      <c r="M152" s="439">
        <f>IF(M$117&lt;Assumptions_Dashboard!$D$5,0,$F$149)*(M150+M151)</f>
        <v>13.815602999999999</v>
      </c>
      <c r="N152" s="439">
        <f>IF(N$117&lt;Assumptions_Dashboard!$D$5,0,$F$149)*(N150+N151)</f>
        <v>12.434042699999999</v>
      </c>
      <c r="O152" s="439">
        <f>IF(O$117&lt;Assumptions_Dashboard!$D$5,0,$F$149)*(O150+O151)</f>
        <v>11.19063843</v>
      </c>
      <c r="P152" s="439">
        <f>IF(P$117&lt;Assumptions_Dashboard!$D$5,0,$F$149)*(P150+P151)</f>
        <v>10.071574586999999</v>
      </c>
      <c r="Q152" s="439">
        <f>IF(Q$117&lt;Assumptions_Dashboard!$D$5,0,$F$149)*(Q150+Q151)</f>
        <v>9.0644171282999988</v>
      </c>
      <c r="R152" s="439">
        <f>IF(R$117&lt;Assumptions_Dashboard!$D$5,0,$F$149)*(R150+R151)</f>
        <v>8.1579754154699984</v>
      </c>
      <c r="S152" s="439">
        <f>IF(S$117&lt;Assumptions_Dashboard!$D$5,0,$F$149)*(S150+S151)</f>
        <v>7.3421778739229984</v>
      </c>
      <c r="T152" s="439">
        <f>IF(T$117&lt;Assumptions_Dashboard!$D$5,0,$F$149)*(T150+T151)</f>
        <v>6.6079600865306993</v>
      </c>
      <c r="U152" s="439">
        <f>IF(U$117&lt;Assumptions_Dashboard!$D$5,0,$F$149)*(U150+U151)</f>
        <v>6.6156640778776294</v>
      </c>
      <c r="V152" s="439">
        <f>IF(V$117&lt;Assumptions_Dashboard!$D$5,0,$F$149)*(V150+V151)</f>
        <v>5.9540976700898662</v>
      </c>
      <c r="W152" s="439">
        <f>IF(W$117&lt;Assumptions_Dashboard!$D$5,0,$F$149)*(W150+W151)</f>
        <v>5.3586879030808801</v>
      </c>
      <c r="X152" s="439">
        <f>IF(X$117&lt;Assumptions_Dashboard!$D$5,0,$F$149)*(X150+X151)</f>
        <v>4.822819112772792</v>
      </c>
      <c r="Y152" s="439">
        <f>IF(Y$117&lt;Assumptions_Dashboard!$D$5,0,$F$149)*(Y150+Y151)</f>
        <v>4.340537201495513</v>
      </c>
      <c r="Z152" s="439">
        <f>IF(Z$117&lt;Assumptions_Dashboard!$D$5,0,$F$149)*(Z150+Z151)</f>
        <v>3.9064834813459615</v>
      </c>
      <c r="AA152" s="439">
        <f>IF(AA$117&lt;Assumptions_Dashboard!$D$5,0,$F$149)*(AA150+AA151)</f>
        <v>3.5158351332113655</v>
      </c>
      <c r="AB152" s="439">
        <f>IF(AB$117&lt;Assumptions_Dashboard!$D$5,0,$F$149)*(AB150+AB151)</f>
        <v>3.1642516198902291</v>
      </c>
      <c r="AC152" s="439">
        <f>IF(AC$117&lt;Assumptions_Dashboard!$D$5,0,$F$149)*(AC150+AC151)</f>
        <v>2.8478264579012063</v>
      </c>
      <c r="AD152" s="439">
        <f>IF(AD$117&lt;Assumptions_Dashboard!$D$5,0,$F$149)*(AD150+AD151)</f>
        <v>2.5630438121110855</v>
      </c>
    </row>
    <row r="153" spans="3:30" outlineLevel="1">
      <c r="C153" s="422" t="s">
        <v>550</v>
      </c>
      <c r="D153" s="422" t="s">
        <v>134</v>
      </c>
      <c r="H153" s="424">
        <f>SUM($H152:H152)</f>
        <v>0</v>
      </c>
      <c r="I153" s="424">
        <f>SUM($H152:I152)</f>
        <v>5.73</v>
      </c>
      <c r="J153" s="424">
        <f>SUM($H152:J152)</f>
        <v>20.437000000000001</v>
      </c>
      <c r="K153" s="424">
        <f>SUM($H152:K152)</f>
        <v>37.493300000000005</v>
      </c>
      <c r="L153" s="424">
        <f>SUM($H152:L152)</f>
        <v>52.843970000000006</v>
      </c>
      <c r="M153" s="424">
        <f>SUM($H152:M152)</f>
        <v>66.659573000000009</v>
      </c>
      <c r="N153" s="424">
        <f>SUM($H152:N152)</f>
        <v>79.093615700000015</v>
      </c>
      <c r="O153" s="424">
        <f>SUM($H152:O152)</f>
        <v>90.284254130000022</v>
      </c>
      <c r="P153" s="424">
        <f>SUM($H152:P152)</f>
        <v>100.35582871700002</v>
      </c>
      <c r="Q153" s="424">
        <f>SUM($H152:Q152)</f>
        <v>109.42024584530002</v>
      </c>
      <c r="R153" s="424">
        <f>SUM($H152:R152)</f>
        <v>117.57822126077002</v>
      </c>
      <c r="S153" s="424">
        <f>SUM($H152:S152)</f>
        <v>124.92039913469301</v>
      </c>
      <c r="T153" s="424">
        <f>SUM($H152:T152)</f>
        <v>131.52835922122372</v>
      </c>
      <c r="U153" s="424">
        <f>SUM($H152:U152)</f>
        <v>138.14402329910135</v>
      </c>
      <c r="V153" s="424">
        <f>SUM($H152:V152)</f>
        <v>144.09812096919123</v>
      </c>
      <c r="W153" s="424">
        <f>SUM($H152:W152)</f>
        <v>149.45680887227212</v>
      </c>
      <c r="X153" s="424">
        <f>SUM($H152:X152)</f>
        <v>154.27962798504493</v>
      </c>
      <c r="Y153" s="424">
        <f>SUM($H152:Y152)</f>
        <v>158.62016518654045</v>
      </c>
      <c r="Z153" s="424">
        <f>SUM($H152:Z152)</f>
        <v>162.52664866788641</v>
      </c>
      <c r="AA153" s="424">
        <f>SUM($H152:AA152)</f>
        <v>166.04248380109777</v>
      </c>
      <c r="AB153" s="424">
        <f>SUM($H152:AB152)</f>
        <v>169.206735420988</v>
      </c>
      <c r="AC153" s="424">
        <f>SUM($H152:AC152)</f>
        <v>172.05456187888922</v>
      </c>
      <c r="AD153" s="424">
        <f>SUM($H152:AD152)</f>
        <v>174.61760569100031</v>
      </c>
    </row>
    <row r="154" spans="3:30" outlineLevel="1">
      <c r="C154" s="422" t="s">
        <v>551</v>
      </c>
      <c r="D154" s="422" t="s">
        <v>134</v>
      </c>
      <c r="H154" s="424">
        <f>H150+H151-H152</f>
        <v>0</v>
      </c>
      <c r="I154" s="424">
        <f t="shared" ref="I154:AD154" si="80">I150+I151-I152</f>
        <v>51.569999999999993</v>
      </c>
      <c r="J154" s="424">
        <f t="shared" si="80"/>
        <v>132.363</v>
      </c>
      <c r="K154" s="424">
        <f t="shared" si="80"/>
        <v>153.5067</v>
      </c>
      <c r="L154" s="424">
        <f t="shared" si="80"/>
        <v>138.15602999999999</v>
      </c>
      <c r="M154" s="424">
        <f t="shared" si="80"/>
        <v>124.34042699999999</v>
      </c>
      <c r="N154" s="424">
        <f t="shared" si="80"/>
        <v>111.90638429999998</v>
      </c>
      <c r="O154" s="424">
        <f t="shared" si="80"/>
        <v>100.71574586999998</v>
      </c>
      <c r="P154" s="424">
        <f t="shared" si="80"/>
        <v>90.644171282999977</v>
      </c>
      <c r="Q154" s="424">
        <f t="shared" si="80"/>
        <v>81.579754154699984</v>
      </c>
      <c r="R154" s="424">
        <f t="shared" si="80"/>
        <v>73.421778739229978</v>
      </c>
      <c r="S154" s="424">
        <f t="shared" si="80"/>
        <v>66.079600865306986</v>
      </c>
      <c r="T154" s="424">
        <f t="shared" si="80"/>
        <v>59.47164077877629</v>
      </c>
      <c r="U154" s="424">
        <f t="shared" si="80"/>
        <v>59.540976700898661</v>
      </c>
      <c r="V154" s="424">
        <f t="shared" si="80"/>
        <v>53.586879030808795</v>
      </c>
      <c r="W154" s="424">
        <f t="shared" si="80"/>
        <v>48.228191127727918</v>
      </c>
      <c r="X154" s="424">
        <f t="shared" si="80"/>
        <v>43.405372014955127</v>
      </c>
      <c r="Y154" s="424">
        <f t="shared" si="80"/>
        <v>39.064834813459612</v>
      </c>
      <c r="Z154" s="424">
        <f t="shared" si="80"/>
        <v>35.158351332113654</v>
      </c>
      <c r="AA154" s="424">
        <f t="shared" si="80"/>
        <v>31.642516198902289</v>
      </c>
      <c r="AB154" s="424">
        <f t="shared" si="80"/>
        <v>28.478264579012059</v>
      </c>
      <c r="AC154" s="424">
        <f t="shared" si="80"/>
        <v>25.630438121110853</v>
      </c>
      <c r="AD154" s="424">
        <f t="shared" si="80"/>
        <v>23.067394308999766</v>
      </c>
    </row>
    <row r="155" spans="3:30" outlineLevel="1">
      <c r="C155" s="191" t="str">
        <f>C77</f>
        <v>Fire Fighting &amp; Dust Suppression</v>
      </c>
      <c r="F155" s="423">
        <v>0.15</v>
      </c>
    </row>
    <row r="156" spans="3:30" outlineLevel="1">
      <c r="C156" s="422" t="s">
        <v>547</v>
      </c>
      <c r="D156" s="422" t="s">
        <v>134</v>
      </c>
      <c r="H156" s="424">
        <f>G160</f>
        <v>0</v>
      </c>
      <c r="I156" s="424">
        <f t="shared" ref="I156:Z156" si="81">H160</f>
        <v>0</v>
      </c>
      <c r="J156" s="424">
        <f t="shared" si="81"/>
        <v>3.6847500000000002</v>
      </c>
      <c r="K156" s="424">
        <f t="shared" si="81"/>
        <v>9.2732874999999986</v>
      </c>
      <c r="L156" s="424">
        <f t="shared" si="81"/>
        <v>10.338794374999999</v>
      </c>
      <c r="M156" s="424">
        <f t="shared" si="81"/>
        <v>8.7879752187499989</v>
      </c>
      <c r="N156" s="424">
        <f t="shared" si="81"/>
        <v>7.4697789359374989</v>
      </c>
      <c r="O156" s="424">
        <f t="shared" si="81"/>
        <v>6.3493120955468738</v>
      </c>
      <c r="P156" s="424">
        <f t="shared" si="81"/>
        <v>5.3969152812148424</v>
      </c>
      <c r="Q156" s="424">
        <f t="shared" si="81"/>
        <v>4.5873779890326158</v>
      </c>
      <c r="R156" s="424">
        <f t="shared" si="81"/>
        <v>3.8992712906777234</v>
      </c>
      <c r="S156" s="424">
        <f t="shared" si="81"/>
        <v>3.3143805970760649</v>
      </c>
      <c r="T156" s="424">
        <f t="shared" si="81"/>
        <v>2.8172235075146554</v>
      </c>
      <c r="U156" s="424">
        <f t="shared" si="81"/>
        <v>2.3946399813874573</v>
      </c>
      <c r="V156" s="424">
        <f t="shared" si="81"/>
        <v>2.0354439841793388</v>
      </c>
      <c r="W156" s="424">
        <f t="shared" si="81"/>
        <v>1.730127386552438</v>
      </c>
      <c r="X156" s="424">
        <f t="shared" si="81"/>
        <v>1.4706082785695722</v>
      </c>
      <c r="Y156" s="424">
        <f t="shared" si="81"/>
        <v>1.2500170367841363</v>
      </c>
      <c r="Z156" s="424">
        <f t="shared" si="81"/>
        <v>1.0625144812665159</v>
      </c>
      <c r="AA156" s="424">
        <f>Z160</f>
        <v>0.90313730907653855</v>
      </c>
      <c r="AB156" s="424">
        <f t="shared" ref="AB156:AD156" si="82">AA160</f>
        <v>0.76766671271505782</v>
      </c>
      <c r="AC156" s="424">
        <f t="shared" si="82"/>
        <v>0.65251670580779919</v>
      </c>
      <c r="AD156" s="424">
        <f t="shared" si="82"/>
        <v>0.55463919993662936</v>
      </c>
    </row>
    <row r="157" spans="3:30" outlineLevel="1">
      <c r="C157" s="422" t="s">
        <v>548</v>
      </c>
      <c r="D157" s="422" t="s">
        <v>134</v>
      </c>
      <c r="E157" s="424">
        <f>SUM(H157:AI157)</f>
        <v>14.45</v>
      </c>
      <c r="H157" s="424">
        <f>H79</f>
        <v>0</v>
      </c>
      <c r="I157" s="424">
        <f t="shared" ref="I157:AD157" si="83">I79</f>
        <v>4.335</v>
      </c>
      <c r="J157" s="424">
        <f t="shared" si="83"/>
        <v>7.2249999999999996</v>
      </c>
      <c r="K157" s="424">
        <f t="shared" si="83"/>
        <v>2.89</v>
      </c>
      <c r="L157" s="424">
        <f t="shared" si="83"/>
        <v>0</v>
      </c>
      <c r="M157" s="424">
        <f t="shared" si="83"/>
        <v>0</v>
      </c>
      <c r="N157" s="424">
        <f t="shared" si="83"/>
        <v>0</v>
      </c>
      <c r="O157" s="424">
        <f t="shared" si="83"/>
        <v>0</v>
      </c>
      <c r="P157" s="424">
        <f t="shared" si="83"/>
        <v>0</v>
      </c>
      <c r="Q157" s="424">
        <f t="shared" si="83"/>
        <v>0</v>
      </c>
      <c r="R157" s="424">
        <f t="shared" si="83"/>
        <v>0</v>
      </c>
      <c r="S157" s="424">
        <f t="shared" si="83"/>
        <v>0</v>
      </c>
      <c r="T157" s="424">
        <f t="shared" si="83"/>
        <v>0</v>
      </c>
      <c r="U157" s="424">
        <f t="shared" si="83"/>
        <v>0</v>
      </c>
      <c r="V157" s="424">
        <f t="shared" si="83"/>
        <v>0</v>
      </c>
      <c r="W157" s="424">
        <f t="shared" si="83"/>
        <v>0</v>
      </c>
      <c r="X157" s="424">
        <f t="shared" si="83"/>
        <v>0</v>
      </c>
      <c r="Y157" s="424">
        <f t="shared" si="83"/>
        <v>0</v>
      </c>
      <c r="Z157" s="424">
        <f t="shared" si="83"/>
        <v>0</v>
      </c>
      <c r="AA157" s="424">
        <f t="shared" si="83"/>
        <v>0</v>
      </c>
      <c r="AB157" s="424">
        <f t="shared" si="83"/>
        <v>0</v>
      </c>
      <c r="AC157" s="424">
        <f t="shared" si="83"/>
        <v>0</v>
      </c>
      <c r="AD157" s="424">
        <f t="shared" si="83"/>
        <v>0</v>
      </c>
    </row>
    <row r="158" spans="3:30" outlineLevel="1">
      <c r="C158" s="422" t="s">
        <v>549</v>
      </c>
      <c r="D158" s="422" t="s">
        <v>134</v>
      </c>
      <c r="E158" s="424">
        <f>SUM(H158:AI158)</f>
        <v>13.978556680053858</v>
      </c>
      <c r="H158" s="439">
        <f>IF(H$117&lt;Assumptions_Dashboard!$D$5,0,$F$155)*(H156+H157)</f>
        <v>0</v>
      </c>
      <c r="I158" s="439">
        <f>IF(I$117&lt;Assumptions_Dashboard!$D$5,0,$F$155)*(I156+I157)</f>
        <v>0.65024999999999999</v>
      </c>
      <c r="J158" s="439">
        <f>IF(J$117&lt;Assumptions_Dashboard!$D$5,0,$F$155)*(J156+J157)</f>
        <v>1.6364624999999997</v>
      </c>
      <c r="K158" s="439">
        <f>IF(K$117&lt;Assumptions_Dashboard!$D$5,0,$F$155)*(K156+K157)</f>
        <v>1.8244931249999998</v>
      </c>
      <c r="L158" s="439">
        <f>IF(L$117&lt;Assumptions_Dashboard!$D$5,0,$F$155)*(L156+L157)</f>
        <v>1.5508191562499998</v>
      </c>
      <c r="M158" s="439">
        <f>IF(M$117&lt;Assumptions_Dashboard!$D$5,0,$F$155)*(M156+M157)</f>
        <v>1.3181962828124998</v>
      </c>
      <c r="N158" s="439">
        <f>IF(N$117&lt;Assumptions_Dashboard!$D$5,0,$F$155)*(N156+N157)</f>
        <v>1.1204668403906248</v>
      </c>
      <c r="O158" s="439">
        <f>IF(O$117&lt;Assumptions_Dashboard!$D$5,0,$F$155)*(O156+O157)</f>
        <v>0.95239681433203105</v>
      </c>
      <c r="P158" s="439">
        <f>IF(P$117&lt;Assumptions_Dashboard!$D$5,0,$F$155)*(P156+P157)</f>
        <v>0.80953729218222636</v>
      </c>
      <c r="Q158" s="439">
        <f>IF(Q$117&lt;Assumptions_Dashboard!$D$5,0,$F$155)*(Q156+Q157)</f>
        <v>0.68810669835489235</v>
      </c>
      <c r="R158" s="439">
        <f>IF(R$117&lt;Assumptions_Dashboard!$D$5,0,$F$155)*(R156+R157)</f>
        <v>0.58489069360165846</v>
      </c>
      <c r="S158" s="439">
        <f>IF(S$117&lt;Assumptions_Dashboard!$D$5,0,$F$155)*(S156+S157)</f>
        <v>0.49715708956140969</v>
      </c>
      <c r="T158" s="439">
        <f>IF(T$117&lt;Assumptions_Dashboard!$D$5,0,$F$155)*(T156+T157)</f>
        <v>0.42258352612719829</v>
      </c>
      <c r="U158" s="439">
        <f>IF(U$117&lt;Assumptions_Dashboard!$D$5,0,$F$155)*(U156+U157)</f>
        <v>0.35919599720811857</v>
      </c>
      <c r="V158" s="439">
        <f>IF(V$117&lt;Assumptions_Dashboard!$D$5,0,$F$155)*(V156+V157)</f>
        <v>0.30531659762690083</v>
      </c>
      <c r="W158" s="439">
        <f>IF(W$117&lt;Assumptions_Dashboard!$D$5,0,$F$155)*(W156+W157)</f>
        <v>0.2595191079828657</v>
      </c>
      <c r="X158" s="439">
        <f>IF(X$117&lt;Assumptions_Dashboard!$D$5,0,$F$155)*(X156+X157)</f>
        <v>0.22059124178543582</v>
      </c>
      <c r="Y158" s="439">
        <f>IF(Y$117&lt;Assumptions_Dashboard!$D$5,0,$F$155)*(Y156+Y157)</f>
        <v>0.18750255551762043</v>
      </c>
      <c r="Z158" s="439">
        <f>IF(Z$117&lt;Assumptions_Dashboard!$D$5,0,$F$155)*(Z156+Z157)</f>
        <v>0.15937717218997738</v>
      </c>
      <c r="AA158" s="439">
        <f>IF(AA$117&lt;Assumptions_Dashboard!$D$5,0,$F$155)*(AA156+AA157)</f>
        <v>0.13547059636148079</v>
      </c>
      <c r="AB158" s="439">
        <f>IF(AB$117&lt;Assumptions_Dashboard!$D$5,0,$F$155)*(AB156+AB157)</f>
        <v>0.11515000690725867</v>
      </c>
      <c r="AC158" s="439">
        <f>IF(AC$117&lt;Assumptions_Dashboard!$D$5,0,$F$155)*(AC156+AC157)</f>
        <v>9.7877505871169876E-2</v>
      </c>
      <c r="AD158" s="439">
        <f>IF(AD$117&lt;Assumptions_Dashboard!$D$5,0,$F$155)*(AD156+AD157)</f>
        <v>8.3195879990494395E-2</v>
      </c>
    </row>
    <row r="159" spans="3:30" outlineLevel="1">
      <c r="C159" s="422" t="s">
        <v>550</v>
      </c>
      <c r="D159" s="422" t="s">
        <v>134</v>
      </c>
      <c r="H159" s="424">
        <f>SUM($H158:H158)</f>
        <v>0</v>
      </c>
      <c r="I159" s="424">
        <f>SUM($H158:I158)</f>
        <v>0.65024999999999999</v>
      </c>
      <c r="J159" s="424">
        <f>SUM($H158:J158)</f>
        <v>2.2867124999999997</v>
      </c>
      <c r="K159" s="424">
        <f>SUM($H158:K158)</f>
        <v>4.1112056249999993</v>
      </c>
      <c r="L159" s="424">
        <f>SUM($H158:L158)</f>
        <v>5.6620247812499986</v>
      </c>
      <c r="M159" s="424">
        <f>SUM($H158:M158)</f>
        <v>6.9802210640624986</v>
      </c>
      <c r="N159" s="424">
        <f>SUM($H158:N158)</f>
        <v>8.1006879044531228</v>
      </c>
      <c r="O159" s="424">
        <f>SUM($H158:O158)</f>
        <v>9.0530847187851542</v>
      </c>
      <c r="P159" s="424">
        <f>SUM($H158:P158)</f>
        <v>9.8626220109673799</v>
      </c>
      <c r="Q159" s="424">
        <f>SUM($H158:Q158)</f>
        <v>10.550728709322271</v>
      </c>
      <c r="R159" s="424">
        <f>SUM($H158:R158)</f>
        <v>11.135619402923929</v>
      </c>
      <c r="S159" s="424">
        <f>SUM($H158:S158)</f>
        <v>11.632776492485339</v>
      </c>
      <c r="T159" s="424">
        <f>SUM($H158:T158)</f>
        <v>12.055360018612538</v>
      </c>
      <c r="U159" s="424">
        <f>SUM($H158:U158)</f>
        <v>12.414556015820656</v>
      </c>
      <c r="V159" s="424">
        <f>SUM($H158:V158)</f>
        <v>12.719872613447556</v>
      </c>
      <c r="W159" s="424">
        <f>SUM($H158:W158)</f>
        <v>12.979391721430423</v>
      </c>
      <c r="X159" s="424">
        <f>SUM($H158:X158)</f>
        <v>13.199982963215858</v>
      </c>
      <c r="Y159" s="424">
        <f>SUM($H158:Y158)</f>
        <v>13.387485518733477</v>
      </c>
      <c r="Z159" s="424">
        <f>SUM($H158:Z158)</f>
        <v>13.546862690923454</v>
      </c>
      <c r="AA159" s="424">
        <f>SUM($H158:AA158)</f>
        <v>13.682333287284935</v>
      </c>
      <c r="AB159" s="424">
        <f>SUM($H158:AB158)</f>
        <v>13.797483294192194</v>
      </c>
      <c r="AC159" s="424">
        <f>SUM($H158:AC158)</f>
        <v>13.895360800063363</v>
      </c>
      <c r="AD159" s="424">
        <f>SUM($H158:AD158)</f>
        <v>13.978556680053858</v>
      </c>
    </row>
    <row r="160" spans="3:30" outlineLevel="1">
      <c r="C160" s="422" t="s">
        <v>551</v>
      </c>
      <c r="D160" s="422" t="s">
        <v>134</v>
      </c>
      <c r="H160" s="424">
        <f>H156+H157-H158</f>
        <v>0</v>
      </c>
      <c r="I160" s="424">
        <f t="shared" ref="I160:Z160" si="84">I156+I157-I158</f>
        <v>3.6847500000000002</v>
      </c>
      <c r="J160" s="424">
        <f t="shared" si="84"/>
        <v>9.2732874999999986</v>
      </c>
      <c r="K160" s="424">
        <f t="shared" si="84"/>
        <v>10.338794374999999</v>
      </c>
      <c r="L160" s="424">
        <f t="shared" si="84"/>
        <v>8.7879752187499989</v>
      </c>
      <c r="M160" s="424">
        <f t="shared" si="84"/>
        <v>7.4697789359374989</v>
      </c>
      <c r="N160" s="424">
        <f t="shared" si="84"/>
        <v>6.3493120955468738</v>
      </c>
      <c r="O160" s="424">
        <f t="shared" si="84"/>
        <v>5.3969152812148424</v>
      </c>
      <c r="P160" s="424">
        <f t="shared" si="84"/>
        <v>4.5873779890326158</v>
      </c>
      <c r="Q160" s="424">
        <f t="shared" si="84"/>
        <v>3.8992712906777234</v>
      </c>
      <c r="R160" s="424">
        <f t="shared" si="84"/>
        <v>3.3143805970760649</v>
      </c>
      <c r="S160" s="424">
        <f t="shared" si="84"/>
        <v>2.8172235075146554</v>
      </c>
      <c r="T160" s="424">
        <f t="shared" si="84"/>
        <v>2.3946399813874573</v>
      </c>
      <c r="U160" s="424">
        <f t="shared" si="84"/>
        <v>2.0354439841793388</v>
      </c>
      <c r="V160" s="424">
        <f t="shared" si="84"/>
        <v>1.730127386552438</v>
      </c>
      <c r="W160" s="424">
        <f t="shared" si="84"/>
        <v>1.4706082785695722</v>
      </c>
      <c r="X160" s="424">
        <f t="shared" si="84"/>
        <v>1.2500170367841363</v>
      </c>
      <c r="Y160" s="424">
        <f t="shared" si="84"/>
        <v>1.0625144812665159</v>
      </c>
      <c r="Z160" s="424">
        <f t="shared" si="84"/>
        <v>0.90313730907653855</v>
      </c>
      <c r="AA160" s="424">
        <f>AA156+AA157-AA158</f>
        <v>0.76766671271505782</v>
      </c>
      <c r="AB160" s="424">
        <f t="shared" ref="AB160:AD160" si="85">AB156+AB157-AB158</f>
        <v>0.65251670580779919</v>
      </c>
      <c r="AC160" s="424">
        <f t="shared" si="85"/>
        <v>0.55463919993662936</v>
      </c>
      <c r="AD160" s="424">
        <f t="shared" si="85"/>
        <v>0.47144331994613498</v>
      </c>
    </row>
    <row r="161" spans="3:30" outlineLevel="1">
      <c r="C161" s="191" t="str">
        <f>C83</f>
        <v>Workshop and Store</v>
      </c>
      <c r="F161" s="423">
        <v>6.6699999999999995E-2</v>
      </c>
    </row>
    <row r="162" spans="3:30" outlineLevel="1">
      <c r="C162" s="422" t="s">
        <v>547</v>
      </c>
      <c r="D162" s="422" t="s">
        <v>134</v>
      </c>
      <c r="H162" s="424">
        <f>G166</f>
        <v>0</v>
      </c>
      <c r="I162" s="424">
        <f t="shared" ref="I162:Z162" si="86">H166</f>
        <v>0</v>
      </c>
      <c r="J162" s="424">
        <f t="shared" si="86"/>
        <v>0</v>
      </c>
      <c r="K162" s="424">
        <f t="shared" si="86"/>
        <v>12.725545499999999</v>
      </c>
      <c r="L162" s="424">
        <f t="shared" si="86"/>
        <v>24.602297115150002</v>
      </c>
      <c r="M162" s="424">
        <f t="shared" si="86"/>
        <v>22.961323897569496</v>
      </c>
      <c r="N162" s="424">
        <f t="shared" si="86"/>
        <v>21.429803593601612</v>
      </c>
      <c r="O162" s="424">
        <f t="shared" si="86"/>
        <v>20.000435693908386</v>
      </c>
      <c r="P162" s="424">
        <f t="shared" si="86"/>
        <v>18.666406633124698</v>
      </c>
      <c r="Q162" s="424">
        <f t="shared" si="86"/>
        <v>17.421357310695281</v>
      </c>
      <c r="R162" s="424">
        <f t="shared" si="86"/>
        <v>16.259352778071907</v>
      </c>
      <c r="S162" s="424">
        <f t="shared" si="86"/>
        <v>15.174853947774512</v>
      </c>
      <c r="T162" s="424">
        <f t="shared" si="86"/>
        <v>14.162691189457952</v>
      </c>
      <c r="U162" s="424">
        <f t="shared" si="86"/>
        <v>13.218039687121106</v>
      </c>
      <c r="V162" s="424">
        <f t="shared" si="86"/>
        <v>12.336396439990128</v>
      </c>
      <c r="W162" s="424">
        <f t="shared" si="86"/>
        <v>11.513558797442787</v>
      </c>
      <c r="X162" s="424">
        <f t="shared" si="86"/>
        <v>10.745604425653353</v>
      </c>
      <c r="Y162" s="424">
        <f t="shared" si="86"/>
        <v>10.028872610462274</v>
      </c>
      <c r="Z162" s="424">
        <f t="shared" si="86"/>
        <v>9.359946807344441</v>
      </c>
      <c r="AA162" s="424">
        <f>Z166</f>
        <v>8.7356383552945669</v>
      </c>
      <c r="AB162" s="424">
        <f t="shared" ref="AB162:AD162" si="87">AA166</f>
        <v>8.1529712769964195</v>
      </c>
      <c r="AC162" s="424">
        <f t="shared" si="87"/>
        <v>7.6091680928207586</v>
      </c>
      <c r="AD162" s="424">
        <f t="shared" si="87"/>
        <v>7.1016365810296138</v>
      </c>
    </row>
    <row r="163" spans="3:30" outlineLevel="1">
      <c r="C163" s="422" t="s">
        <v>548</v>
      </c>
      <c r="D163" s="422" t="s">
        <v>134</v>
      </c>
      <c r="E163" s="424">
        <f>SUM(H163:AI163)</f>
        <v>27.27</v>
      </c>
      <c r="H163" s="424">
        <f>H85</f>
        <v>0</v>
      </c>
      <c r="I163" s="424">
        <f t="shared" ref="I163:AD163" si="88">I85</f>
        <v>0</v>
      </c>
      <c r="J163" s="424">
        <f t="shared" si="88"/>
        <v>13.635</v>
      </c>
      <c r="K163" s="424">
        <f t="shared" si="88"/>
        <v>13.635</v>
      </c>
      <c r="L163" s="424">
        <f t="shared" si="88"/>
        <v>0</v>
      </c>
      <c r="M163" s="424">
        <f t="shared" si="88"/>
        <v>0</v>
      </c>
      <c r="N163" s="424">
        <f t="shared" si="88"/>
        <v>0</v>
      </c>
      <c r="O163" s="424">
        <f t="shared" si="88"/>
        <v>0</v>
      </c>
      <c r="P163" s="424">
        <f t="shared" si="88"/>
        <v>0</v>
      </c>
      <c r="Q163" s="424">
        <f t="shared" si="88"/>
        <v>0</v>
      </c>
      <c r="R163" s="424">
        <f t="shared" si="88"/>
        <v>0</v>
      </c>
      <c r="S163" s="424">
        <f t="shared" si="88"/>
        <v>0</v>
      </c>
      <c r="T163" s="424">
        <f t="shared" si="88"/>
        <v>0</v>
      </c>
      <c r="U163" s="424">
        <f t="shared" si="88"/>
        <v>0</v>
      </c>
      <c r="V163" s="424">
        <f t="shared" si="88"/>
        <v>0</v>
      </c>
      <c r="W163" s="424">
        <f t="shared" si="88"/>
        <v>0</v>
      </c>
      <c r="X163" s="424">
        <f t="shared" si="88"/>
        <v>0</v>
      </c>
      <c r="Y163" s="424">
        <f t="shared" si="88"/>
        <v>0</v>
      </c>
      <c r="Z163" s="424">
        <f t="shared" si="88"/>
        <v>0</v>
      </c>
      <c r="AA163" s="424">
        <f t="shared" si="88"/>
        <v>0</v>
      </c>
      <c r="AB163" s="424">
        <f t="shared" si="88"/>
        <v>0</v>
      </c>
      <c r="AC163" s="424">
        <f t="shared" si="88"/>
        <v>0</v>
      </c>
      <c r="AD163" s="424">
        <f t="shared" si="88"/>
        <v>0</v>
      </c>
    </row>
    <row r="164" spans="3:30" outlineLevel="1">
      <c r="C164" s="422" t="s">
        <v>549</v>
      </c>
      <c r="D164" s="422" t="s">
        <v>134</v>
      </c>
      <c r="E164" s="424">
        <f>SUM(H164:AI164)</f>
        <v>20.642042578925064</v>
      </c>
      <c r="H164" s="439">
        <f>IF(H$117&lt;Assumptions_Dashboard!$D$5,0,$F$161)*(H162+H163)</f>
        <v>0</v>
      </c>
      <c r="I164" s="439">
        <f>IF(I$117&lt;Assumptions_Dashboard!$D$5,0,$F$161)*(I162+I163)</f>
        <v>0</v>
      </c>
      <c r="J164" s="439">
        <f>IF(J$117&lt;Assumptions_Dashboard!$D$5,0,$F$161)*(J162+J163)</f>
        <v>0.90945449999999994</v>
      </c>
      <c r="K164" s="439">
        <f>IF(K$117&lt;Assumptions_Dashboard!$D$5,0,$F$161)*(K162+K163)</f>
        <v>1.7582483848499999</v>
      </c>
      <c r="L164" s="439">
        <f>IF(L$117&lt;Assumptions_Dashboard!$D$5,0,$F$161)*(L162+L163)</f>
        <v>1.640973217580505</v>
      </c>
      <c r="M164" s="439">
        <f>IF(M$117&lt;Assumptions_Dashboard!$D$5,0,$F$161)*(M162+M163)</f>
        <v>1.5315203039678853</v>
      </c>
      <c r="N164" s="439">
        <f>IF(N$117&lt;Assumptions_Dashboard!$D$5,0,$F$161)*(N162+N163)</f>
        <v>1.4293678996932275</v>
      </c>
      <c r="O164" s="439">
        <f>IF(O$117&lt;Assumptions_Dashboard!$D$5,0,$F$161)*(O162+O163)</f>
        <v>1.3340290607836893</v>
      </c>
      <c r="P164" s="439">
        <f>IF(P$117&lt;Assumptions_Dashboard!$D$5,0,$F$161)*(P162+P163)</f>
        <v>1.2450493224294172</v>
      </c>
      <c r="Q164" s="439">
        <f>IF(Q$117&lt;Assumptions_Dashboard!$D$5,0,$F$161)*(Q162+Q163)</f>
        <v>1.1620045326233752</v>
      </c>
      <c r="R164" s="439">
        <f>IF(R$117&lt;Assumptions_Dashboard!$D$5,0,$F$161)*(R162+R163)</f>
        <v>1.0844988302973961</v>
      </c>
      <c r="S164" s="439">
        <f>IF(S$117&lt;Assumptions_Dashboard!$D$5,0,$F$161)*(S162+S163)</f>
        <v>1.0121627583165598</v>
      </c>
      <c r="T164" s="439">
        <f>IF(T$117&lt;Assumptions_Dashboard!$D$5,0,$F$161)*(T162+T163)</f>
        <v>0.94465150233684536</v>
      </c>
      <c r="U164" s="439">
        <f>IF(U$117&lt;Assumptions_Dashboard!$D$5,0,$F$161)*(U162+U163)</f>
        <v>0.88164324713097775</v>
      </c>
      <c r="V164" s="439">
        <f>IF(V$117&lt;Assumptions_Dashboard!$D$5,0,$F$161)*(V162+V163)</f>
        <v>0.82283764254734149</v>
      </c>
      <c r="W164" s="439">
        <f>IF(W$117&lt;Assumptions_Dashboard!$D$5,0,$F$161)*(W162+W163)</f>
        <v>0.76795437178943382</v>
      </c>
      <c r="X164" s="439">
        <f>IF(X$117&lt;Assumptions_Dashboard!$D$5,0,$F$161)*(X162+X163)</f>
        <v>0.71673181519107854</v>
      </c>
      <c r="Y164" s="439">
        <f>IF(Y$117&lt;Assumptions_Dashboard!$D$5,0,$F$161)*(Y162+Y163)</f>
        <v>0.66892580311783367</v>
      </c>
      <c r="Z164" s="439">
        <f>IF(Z$117&lt;Assumptions_Dashboard!$D$5,0,$F$161)*(Z162+Z163)</f>
        <v>0.62430845204987417</v>
      </c>
      <c r="AA164" s="439">
        <f>IF(AA$117&lt;Assumptions_Dashboard!$D$5,0,$F$161)*(AA162+AA163)</f>
        <v>0.58266707829814757</v>
      </c>
      <c r="AB164" s="439">
        <f>IF(AB$117&lt;Assumptions_Dashboard!$D$5,0,$F$161)*(AB162+AB163)</f>
        <v>0.54380318417566109</v>
      </c>
      <c r="AC164" s="439">
        <f>IF(AC$117&lt;Assumptions_Dashboard!$D$5,0,$F$161)*(AC162+AC163)</f>
        <v>0.50753151179114453</v>
      </c>
      <c r="AD164" s="439">
        <f>IF(AD$117&lt;Assumptions_Dashboard!$D$5,0,$F$161)*(AD162+AD163)</f>
        <v>0.47367915995467519</v>
      </c>
    </row>
    <row r="165" spans="3:30" outlineLevel="1">
      <c r="C165" s="422" t="s">
        <v>550</v>
      </c>
      <c r="D165" s="422" t="s">
        <v>134</v>
      </c>
      <c r="H165" s="424">
        <f>SUM($H164:H164)</f>
        <v>0</v>
      </c>
      <c r="I165" s="424">
        <f>SUM($H164:I164)</f>
        <v>0</v>
      </c>
      <c r="J165" s="424">
        <f>SUM($H164:J164)</f>
        <v>0.90945449999999994</v>
      </c>
      <c r="K165" s="424">
        <f>SUM($H164:K164)</f>
        <v>2.6677028848499997</v>
      </c>
      <c r="L165" s="424">
        <f>SUM($H164:L164)</f>
        <v>4.3086761024305051</v>
      </c>
      <c r="M165" s="424">
        <f>SUM($H164:M164)</f>
        <v>5.8401964063983902</v>
      </c>
      <c r="N165" s="424">
        <f>SUM($H164:N164)</f>
        <v>7.2695643060916177</v>
      </c>
      <c r="O165" s="424">
        <f>SUM($H164:O164)</f>
        <v>8.6035933668753071</v>
      </c>
      <c r="P165" s="424">
        <f>SUM($H164:P164)</f>
        <v>9.8486426893047252</v>
      </c>
      <c r="Q165" s="424">
        <f>SUM($H164:Q164)</f>
        <v>11.0106472219281</v>
      </c>
      <c r="R165" s="424">
        <f>SUM($H164:R164)</f>
        <v>12.095146052225495</v>
      </c>
      <c r="S165" s="424">
        <f>SUM($H164:S164)</f>
        <v>13.107308810542055</v>
      </c>
      <c r="T165" s="424">
        <f>SUM($H164:T164)</f>
        <v>14.051960312878901</v>
      </c>
      <c r="U165" s="424">
        <f>SUM($H164:U164)</f>
        <v>14.933603560009878</v>
      </c>
      <c r="V165" s="424">
        <f>SUM($H164:V164)</f>
        <v>15.75644120255722</v>
      </c>
      <c r="W165" s="424">
        <f>SUM($H164:W164)</f>
        <v>16.524395574346652</v>
      </c>
      <c r="X165" s="424">
        <f>SUM($H164:X164)</f>
        <v>17.241127389537731</v>
      </c>
      <c r="Y165" s="424">
        <f>SUM($H164:Y164)</f>
        <v>17.910053192655564</v>
      </c>
      <c r="Z165" s="424">
        <f>SUM($H164:Z164)</f>
        <v>18.534361644705438</v>
      </c>
      <c r="AA165" s="424">
        <f>SUM($H164:AA164)</f>
        <v>19.117028723003585</v>
      </c>
      <c r="AB165" s="424">
        <f>SUM($H164:AB164)</f>
        <v>19.660831907179247</v>
      </c>
      <c r="AC165" s="424">
        <f>SUM($H164:AC164)</f>
        <v>20.16836341897039</v>
      </c>
      <c r="AD165" s="424">
        <f>SUM($H164:AD164)</f>
        <v>20.642042578925064</v>
      </c>
    </row>
    <row r="166" spans="3:30" outlineLevel="1">
      <c r="C166" s="422" t="s">
        <v>551</v>
      </c>
      <c r="D166" s="422" t="s">
        <v>134</v>
      </c>
      <c r="H166" s="424">
        <f>H162+H163-H164</f>
        <v>0</v>
      </c>
      <c r="I166" s="424">
        <f t="shared" ref="I166:Z166" si="89">I162+I163-I164</f>
        <v>0</v>
      </c>
      <c r="J166" s="424">
        <f t="shared" si="89"/>
        <v>12.725545499999999</v>
      </c>
      <c r="K166" s="424">
        <f t="shared" si="89"/>
        <v>24.602297115150002</v>
      </c>
      <c r="L166" s="424">
        <f t="shared" si="89"/>
        <v>22.961323897569496</v>
      </c>
      <c r="M166" s="424">
        <f t="shared" si="89"/>
        <v>21.429803593601612</v>
      </c>
      <c r="N166" s="424">
        <f t="shared" si="89"/>
        <v>20.000435693908386</v>
      </c>
      <c r="O166" s="424">
        <f t="shared" si="89"/>
        <v>18.666406633124698</v>
      </c>
      <c r="P166" s="424">
        <f t="shared" si="89"/>
        <v>17.421357310695281</v>
      </c>
      <c r="Q166" s="424">
        <f t="shared" si="89"/>
        <v>16.259352778071907</v>
      </c>
      <c r="R166" s="424">
        <f t="shared" si="89"/>
        <v>15.174853947774512</v>
      </c>
      <c r="S166" s="424">
        <f t="shared" si="89"/>
        <v>14.162691189457952</v>
      </c>
      <c r="T166" s="424">
        <f t="shared" si="89"/>
        <v>13.218039687121106</v>
      </c>
      <c r="U166" s="424">
        <f t="shared" si="89"/>
        <v>12.336396439990128</v>
      </c>
      <c r="V166" s="424">
        <f t="shared" si="89"/>
        <v>11.513558797442787</v>
      </c>
      <c r="W166" s="424">
        <f t="shared" si="89"/>
        <v>10.745604425653353</v>
      </c>
      <c r="X166" s="424">
        <f t="shared" si="89"/>
        <v>10.028872610462274</v>
      </c>
      <c r="Y166" s="424">
        <f t="shared" si="89"/>
        <v>9.359946807344441</v>
      </c>
      <c r="Z166" s="424">
        <f t="shared" si="89"/>
        <v>8.7356383552945669</v>
      </c>
      <c r="AA166" s="424">
        <f>AA162+AA163-AA164</f>
        <v>8.1529712769964195</v>
      </c>
      <c r="AB166" s="424">
        <f t="shared" ref="AB166:AD166" si="90">AB162+AB163-AB164</f>
        <v>7.6091680928207586</v>
      </c>
      <c r="AC166" s="424">
        <f t="shared" si="90"/>
        <v>7.1016365810296138</v>
      </c>
      <c r="AD166" s="424">
        <f t="shared" si="90"/>
        <v>6.6279574210749388</v>
      </c>
    </row>
    <row r="167" spans="3:30" outlineLevel="1">
      <c r="C167" s="191" t="str">
        <f>C89</f>
        <v xml:space="preserve">Electrical </v>
      </c>
      <c r="F167" s="423">
        <v>0.05</v>
      </c>
    </row>
    <row r="168" spans="3:30" outlineLevel="1">
      <c r="C168" s="422" t="s">
        <v>547</v>
      </c>
      <c r="D168" s="422" t="s">
        <v>134</v>
      </c>
      <c r="H168" s="424">
        <f>G172</f>
        <v>0</v>
      </c>
      <c r="I168" s="424">
        <f t="shared" ref="I168:Z168" si="91">H172</f>
        <v>0</v>
      </c>
      <c r="J168" s="424">
        <f t="shared" si="91"/>
        <v>0</v>
      </c>
      <c r="K168" s="424">
        <f t="shared" si="91"/>
        <v>0</v>
      </c>
      <c r="L168" s="424">
        <f t="shared" si="91"/>
        <v>8.1581250000000001</v>
      </c>
      <c r="M168" s="424">
        <f t="shared" si="91"/>
        <v>20.803218749999999</v>
      </c>
      <c r="N168" s="424">
        <f t="shared" si="91"/>
        <v>27.9211828125</v>
      </c>
      <c r="O168" s="424">
        <f t="shared" si="91"/>
        <v>29.788373671875</v>
      </c>
      <c r="P168" s="424">
        <f t="shared" si="91"/>
        <v>28.298954988281249</v>
      </c>
      <c r="Q168" s="424">
        <f t="shared" si="91"/>
        <v>26.884007238867188</v>
      </c>
      <c r="R168" s="424">
        <f t="shared" si="91"/>
        <v>25.539806876923826</v>
      </c>
      <c r="S168" s="424">
        <f t="shared" si="91"/>
        <v>24.262816533077636</v>
      </c>
      <c r="T168" s="424">
        <f t="shared" si="91"/>
        <v>23.049675706423756</v>
      </c>
      <c r="U168" s="424">
        <f t="shared" si="91"/>
        <v>21.897191921102568</v>
      </c>
      <c r="V168" s="424">
        <f t="shared" si="91"/>
        <v>20.802332325047438</v>
      </c>
      <c r="W168" s="424">
        <f t="shared" si="91"/>
        <v>19.762215708795065</v>
      </c>
      <c r="X168" s="424">
        <f t="shared" si="91"/>
        <v>18.77410492335531</v>
      </c>
      <c r="Y168" s="424">
        <f t="shared" si="91"/>
        <v>17.835399677187546</v>
      </c>
      <c r="Z168" s="424">
        <f t="shared" si="91"/>
        <v>16.94362969332817</v>
      </c>
      <c r="AA168" s="424">
        <f>Z172</f>
        <v>16.096448208661762</v>
      </c>
      <c r="AB168" s="424">
        <f t="shared" ref="AB168:AD168" si="92">AA172</f>
        <v>15.291625798228674</v>
      </c>
      <c r="AC168" s="424">
        <f t="shared" si="92"/>
        <v>14.527044508317241</v>
      </c>
      <c r="AD168" s="424">
        <f t="shared" si="92"/>
        <v>13.800692282901379</v>
      </c>
    </row>
    <row r="169" spans="3:30" outlineLevel="1">
      <c r="C169" s="422" t="s">
        <v>548</v>
      </c>
      <c r="D169" s="422" t="s">
        <v>134</v>
      </c>
      <c r="E169" s="424">
        <f>SUM(H169:AI169)</f>
        <v>34.35</v>
      </c>
      <c r="H169" s="424">
        <f>H91</f>
        <v>0</v>
      </c>
      <c r="I169" s="424">
        <f t="shared" ref="I169:AD169" si="93">I91</f>
        <v>0</v>
      </c>
      <c r="J169" s="424">
        <f t="shared" si="93"/>
        <v>0</v>
      </c>
      <c r="K169" s="424">
        <f t="shared" si="93"/>
        <v>8.5875000000000004</v>
      </c>
      <c r="L169" s="424">
        <f t="shared" si="93"/>
        <v>13.740000000000002</v>
      </c>
      <c r="M169" s="424">
        <f t="shared" si="93"/>
        <v>8.5875000000000004</v>
      </c>
      <c r="N169" s="424">
        <f t="shared" si="93"/>
        <v>3.4350000000000005</v>
      </c>
      <c r="O169" s="424">
        <f t="shared" si="93"/>
        <v>0</v>
      </c>
      <c r="P169" s="424">
        <f t="shared" si="93"/>
        <v>0</v>
      </c>
      <c r="Q169" s="424">
        <f t="shared" si="93"/>
        <v>0</v>
      </c>
      <c r="R169" s="424">
        <f t="shared" si="93"/>
        <v>0</v>
      </c>
      <c r="S169" s="424">
        <f t="shared" si="93"/>
        <v>0</v>
      </c>
      <c r="T169" s="424">
        <f t="shared" si="93"/>
        <v>0</v>
      </c>
      <c r="U169" s="424">
        <f t="shared" si="93"/>
        <v>0</v>
      </c>
      <c r="V169" s="424">
        <f t="shared" si="93"/>
        <v>0</v>
      </c>
      <c r="W169" s="424">
        <f t="shared" si="93"/>
        <v>0</v>
      </c>
      <c r="X169" s="424">
        <f t="shared" si="93"/>
        <v>0</v>
      </c>
      <c r="Y169" s="424">
        <f t="shared" si="93"/>
        <v>0</v>
      </c>
      <c r="Z169" s="424">
        <f t="shared" si="93"/>
        <v>0</v>
      </c>
      <c r="AA169" s="424">
        <f t="shared" si="93"/>
        <v>0</v>
      </c>
      <c r="AB169" s="424">
        <f t="shared" si="93"/>
        <v>0</v>
      </c>
      <c r="AC169" s="424">
        <f t="shared" si="93"/>
        <v>0</v>
      </c>
      <c r="AD169" s="424">
        <f t="shared" si="93"/>
        <v>0</v>
      </c>
    </row>
    <row r="170" spans="3:30" outlineLevel="1">
      <c r="C170" s="422" t="s">
        <v>549</v>
      </c>
      <c r="D170" s="422" t="s">
        <v>134</v>
      </c>
      <c r="E170" s="424">
        <f>SUM(H170:AI170)</f>
        <v>21.239342331243687</v>
      </c>
      <c r="H170" s="439">
        <f>IF(H$117&lt;Assumptions_Dashboard!$D$5,0,$F$167)*(H168+H169)</f>
        <v>0</v>
      </c>
      <c r="I170" s="439">
        <f>IF(I$117&lt;Assumptions_Dashboard!$D$5,0,$F$167)*(I168+I169)</f>
        <v>0</v>
      </c>
      <c r="J170" s="439">
        <f>IF(J$117&lt;Assumptions_Dashboard!$D$5,0,$F$167)*(J168+J169)</f>
        <v>0</v>
      </c>
      <c r="K170" s="439">
        <f>IF(K$117&lt;Assumptions_Dashboard!$D$5,0,$F$167)*(K168+K169)</f>
        <v>0.42937500000000006</v>
      </c>
      <c r="L170" s="439">
        <f>IF(L$117&lt;Assumptions_Dashboard!$D$5,0,$F$167)*(L168+L169)</f>
        <v>1.09490625</v>
      </c>
      <c r="M170" s="439">
        <f>IF(M$117&lt;Assumptions_Dashboard!$D$5,0,$F$167)*(M168+M169)</f>
        <v>1.4695359374999999</v>
      </c>
      <c r="N170" s="439">
        <f>IF(N$117&lt;Assumptions_Dashboard!$D$5,0,$F$167)*(N168+N169)</f>
        <v>1.5678091406250001</v>
      </c>
      <c r="O170" s="439">
        <f>IF(O$117&lt;Assumptions_Dashboard!$D$5,0,$F$167)*(O168+O169)</f>
        <v>1.4894186835937502</v>
      </c>
      <c r="P170" s="439">
        <f>IF(P$117&lt;Assumptions_Dashboard!$D$5,0,$F$167)*(P168+P169)</f>
        <v>1.4149477494140625</v>
      </c>
      <c r="Q170" s="439">
        <f>IF(Q$117&lt;Assumptions_Dashboard!$D$5,0,$F$167)*(Q168+Q169)</f>
        <v>1.3442003619433596</v>
      </c>
      <c r="R170" s="439">
        <f>IF(R$117&lt;Assumptions_Dashboard!$D$5,0,$F$167)*(R168+R169)</f>
        <v>1.2769903438461914</v>
      </c>
      <c r="S170" s="439">
        <f>IF(S$117&lt;Assumptions_Dashboard!$D$5,0,$F$167)*(S168+S169)</f>
        <v>1.2131408266538819</v>
      </c>
      <c r="T170" s="439">
        <f>IF(T$117&lt;Assumptions_Dashboard!$D$5,0,$F$167)*(T168+T169)</f>
        <v>1.1524837853211878</v>
      </c>
      <c r="U170" s="439">
        <f>IF(U$117&lt;Assumptions_Dashboard!$D$5,0,$F$167)*(U168+U169)</f>
        <v>1.0948595960551284</v>
      </c>
      <c r="V170" s="439">
        <f>IF(V$117&lt;Assumptions_Dashboard!$D$5,0,$F$167)*(V168+V169)</f>
        <v>1.0401166162523718</v>
      </c>
      <c r="W170" s="439">
        <f>IF(W$117&lt;Assumptions_Dashboard!$D$5,0,$F$167)*(W168+W169)</f>
        <v>0.98811078543975328</v>
      </c>
      <c r="X170" s="439">
        <f>IF(X$117&lt;Assumptions_Dashboard!$D$5,0,$F$167)*(X168+X169)</f>
        <v>0.93870524616776552</v>
      </c>
      <c r="Y170" s="439">
        <f>IF(Y$117&lt;Assumptions_Dashboard!$D$5,0,$F$167)*(Y168+Y169)</f>
        <v>0.89176998385937734</v>
      </c>
      <c r="Z170" s="439">
        <f>IF(Z$117&lt;Assumptions_Dashboard!$D$5,0,$F$167)*(Z168+Z169)</f>
        <v>0.84718148466640852</v>
      </c>
      <c r="AA170" s="439">
        <f>IF(AA$117&lt;Assumptions_Dashboard!$D$5,0,$F$167)*(AA168+AA169)</f>
        <v>0.80482241043308811</v>
      </c>
      <c r="AB170" s="439">
        <f>IF(AB$117&lt;Assumptions_Dashboard!$D$5,0,$F$167)*(AB168+AB169)</f>
        <v>0.7645812899114337</v>
      </c>
      <c r="AC170" s="439">
        <f>IF(AC$117&lt;Assumptions_Dashboard!$D$5,0,$F$167)*(AC168+AC169)</f>
        <v>0.72635222541586209</v>
      </c>
      <c r="AD170" s="439">
        <f>IF(AD$117&lt;Assumptions_Dashboard!$D$5,0,$F$167)*(AD168+AD169)</f>
        <v>0.69003461414506895</v>
      </c>
    </row>
    <row r="171" spans="3:30" outlineLevel="1">
      <c r="C171" s="422" t="s">
        <v>550</v>
      </c>
      <c r="D171" s="422" t="s">
        <v>134</v>
      </c>
      <c r="H171" s="424">
        <f>SUM($H170:H170)</f>
        <v>0</v>
      </c>
      <c r="I171" s="424">
        <f>SUM($H170:I170)</f>
        <v>0</v>
      </c>
      <c r="J171" s="424">
        <f>SUM($H170:J170)</f>
        <v>0</v>
      </c>
      <c r="K171" s="424">
        <f>SUM($H170:K170)</f>
        <v>0.42937500000000006</v>
      </c>
      <c r="L171" s="424">
        <f>SUM($H170:L170)</f>
        <v>1.52428125</v>
      </c>
      <c r="M171" s="424">
        <f>SUM($H170:M170)</f>
        <v>2.9938171874999999</v>
      </c>
      <c r="N171" s="424">
        <f>SUM($H170:N170)</f>
        <v>4.5616263281249996</v>
      </c>
      <c r="O171" s="424">
        <f>SUM($H170:O170)</f>
        <v>6.0510450117187498</v>
      </c>
      <c r="P171" s="424">
        <f>SUM($H170:P170)</f>
        <v>7.4659927611328119</v>
      </c>
      <c r="Q171" s="424">
        <f>SUM($H170:Q170)</f>
        <v>8.8101931230761714</v>
      </c>
      <c r="R171" s="424">
        <f>SUM($H170:R170)</f>
        <v>10.087183466922363</v>
      </c>
      <c r="S171" s="424">
        <f>SUM($H170:S170)</f>
        <v>11.300324293576246</v>
      </c>
      <c r="T171" s="424">
        <f>SUM($H170:T170)</f>
        <v>12.452808078897434</v>
      </c>
      <c r="U171" s="424">
        <f>SUM($H170:U170)</f>
        <v>13.547667674952562</v>
      </c>
      <c r="V171" s="424">
        <f>SUM($H170:V170)</f>
        <v>14.587784291204933</v>
      </c>
      <c r="W171" s="424">
        <f>SUM($H170:W170)</f>
        <v>15.575895076644686</v>
      </c>
      <c r="X171" s="424">
        <f>SUM($H170:X170)</f>
        <v>16.514600322812452</v>
      </c>
      <c r="Y171" s="424">
        <f>SUM($H170:Y170)</f>
        <v>17.406370306671828</v>
      </c>
      <c r="Z171" s="424">
        <f>SUM($H170:Z170)</f>
        <v>18.253551791338236</v>
      </c>
      <c r="AA171" s="424">
        <f>SUM($H170:AA170)</f>
        <v>19.058374201771322</v>
      </c>
      <c r="AB171" s="424">
        <f>SUM($H170:AB170)</f>
        <v>19.822955491682755</v>
      </c>
      <c r="AC171" s="424">
        <f>SUM($H170:AC170)</f>
        <v>20.549307717098618</v>
      </c>
      <c r="AD171" s="424">
        <f>SUM($H170:AD170)</f>
        <v>21.239342331243687</v>
      </c>
    </row>
    <row r="172" spans="3:30" outlineLevel="1">
      <c r="C172" s="422" t="s">
        <v>551</v>
      </c>
      <c r="D172" s="422" t="s">
        <v>134</v>
      </c>
      <c r="H172" s="424">
        <f>H168+H169-H170</f>
        <v>0</v>
      </c>
      <c r="I172" s="424">
        <f t="shared" ref="I172:Z172" si="94">I168+I169-I170</f>
        <v>0</v>
      </c>
      <c r="J172" s="424">
        <f t="shared" si="94"/>
        <v>0</v>
      </c>
      <c r="K172" s="424">
        <f t="shared" si="94"/>
        <v>8.1581250000000001</v>
      </c>
      <c r="L172" s="424">
        <f t="shared" si="94"/>
        <v>20.803218749999999</v>
      </c>
      <c r="M172" s="424">
        <f t="shared" si="94"/>
        <v>27.9211828125</v>
      </c>
      <c r="N172" s="424">
        <f t="shared" si="94"/>
        <v>29.788373671875</v>
      </c>
      <c r="O172" s="424">
        <f t="shared" si="94"/>
        <v>28.298954988281249</v>
      </c>
      <c r="P172" s="424">
        <f t="shared" si="94"/>
        <v>26.884007238867188</v>
      </c>
      <c r="Q172" s="424">
        <f t="shared" si="94"/>
        <v>25.539806876923826</v>
      </c>
      <c r="R172" s="424">
        <f t="shared" si="94"/>
        <v>24.262816533077636</v>
      </c>
      <c r="S172" s="424">
        <f t="shared" si="94"/>
        <v>23.049675706423756</v>
      </c>
      <c r="T172" s="424">
        <f t="shared" si="94"/>
        <v>21.897191921102568</v>
      </c>
      <c r="U172" s="424">
        <f t="shared" si="94"/>
        <v>20.802332325047438</v>
      </c>
      <c r="V172" s="424">
        <f t="shared" si="94"/>
        <v>19.762215708795065</v>
      </c>
      <c r="W172" s="424">
        <f t="shared" si="94"/>
        <v>18.77410492335531</v>
      </c>
      <c r="X172" s="424">
        <f t="shared" si="94"/>
        <v>17.835399677187546</v>
      </c>
      <c r="Y172" s="424">
        <f t="shared" si="94"/>
        <v>16.94362969332817</v>
      </c>
      <c r="Z172" s="424">
        <f t="shared" si="94"/>
        <v>16.096448208661762</v>
      </c>
      <c r="AA172" s="424">
        <f>AA168+AA169-AA170</f>
        <v>15.291625798228674</v>
      </c>
      <c r="AB172" s="424">
        <f t="shared" ref="AB172:AD172" si="95">AB168+AB169-AB170</f>
        <v>14.527044508317241</v>
      </c>
      <c r="AC172" s="424">
        <f t="shared" si="95"/>
        <v>13.800692282901379</v>
      </c>
      <c r="AD172" s="424">
        <f t="shared" si="95"/>
        <v>13.110657668756309</v>
      </c>
    </row>
    <row r="173" spans="3:30" outlineLevel="1">
      <c r="C173" s="191" t="str">
        <f>C95</f>
        <v>Mine Dewatering System</v>
      </c>
      <c r="F173" s="423">
        <v>6.6699999999999995E-2</v>
      </c>
    </row>
    <row r="174" spans="3:30" outlineLevel="1">
      <c r="C174" s="422" t="s">
        <v>547</v>
      </c>
      <c r="D174" s="422" t="s">
        <v>134</v>
      </c>
      <c r="H174" s="424">
        <f>G178</f>
        <v>0</v>
      </c>
      <c r="I174" s="424">
        <f t="shared" ref="I174:Z174" si="96">H178</f>
        <v>0</v>
      </c>
      <c r="J174" s="424">
        <f t="shared" si="96"/>
        <v>0</v>
      </c>
      <c r="K174" s="424">
        <f t="shared" si="96"/>
        <v>0</v>
      </c>
      <c r="L174" s="424">
        <f t="shared" si="96"/>
        <v>0</v>
      </c>
      <c r="M174" s="424">
        <f t="shared" si="96"/>
        <v>2.6371407941876313</v>
      </c>
      <c r="N174" s="424">
        <f t="shared" si="96"/>
        <v>4.3731074178745688</v>
      </c>
      <c r="O174" s="424">
        <f t="shared" si="96"/>
        <v>4.081421153102335</v>
      </c>
      <c r="P174" s="424">
        <f t="shared" si="96"/>
        <v>3.8091903621904093</v>
      </c>
      <c r="Q174" s="424">
        <f t="shared" si="96"/>
        <v>7.0918597486646382</v>
      </c>
      <c r="R174" s="424">
        <f t="shared" si="96"/>
        <v>6.6188327034287067</v>
      </c>
      <c r="S174" s="424">
        <f t="shared" si="96"/>
        <v>6.1773565621100115</v>
      </c>
      <c r="T174" s="424">
        <f t="shared" si="96"/>
        <v>5.7653268794172741</v>
      </c>
      <c r="U174" s="424">
        <f t="shared" si="96"/>
        <v>5.3807795765601423</v>
      </c>
      <c r="V174" s="424">
        <f t="shared" si="96"/>
        <v>8.1659021119158979</v>
      </c>
      <c r="W174" s="424">
        <f t="shared" si="96"/>
        <v>7.6212364410511073</v>
      </c>
      <c r="X174" s="424">
        <f t="shared" si="96"/>
        <v>7.1128999704329985</v>
      </c>
      <c r="Y174" s="424">
        <f t="shared" si="96"/>
        <v>6.6384695424051179</v>
      </c>
      <c r="Z174" s="424">
        <f t="shared" si="96"/>
        <v>6.1956836239266968</v>
      </c>
      <c r="AA174" s="424">
        <f>Z178</f>
        <v>8.5521639006192558</v>
      </c>
      <c r="AB174" s="424">
        <f t="shared" ref="AB174:AD174" si="97">AA178</f>
        <v>7.9817345684479513</v>
      </c>
      <c r="AC174" s="424">
        <f t="shared" si="97"/>
        <v>7.4493528727324732</v>
      </c>
      <c r="AD174" s="424">
        <f t="shared" si="97"/>
        <v>6.9524810361212168</v>
      </c>
    </row>
    <row r="175" spans="3:30" outlineLevel="1">
      <c r="C175" s="422" t="s">
        <v>548</v>
      </c>
      <c r="D175" s="422" t="s">
        <v>134</v>
      </c>
      <c r="E175" s="424">
        <f>SUM(H175:AI175)</f>
        <v>15</v>
      </c>
      <c r="H175" s="424">
        <f>H97</f>
        <v>0</v>
      </c>
      <c r="I175" s="424">
        <f t="shared" ref="I175:AD175" si="98">I97</f>
        <v>0</v>
      </c>
      <c r="J175" s="424">
        <f t="shared" si="98"/>
        <v>0</v>
      </c>
      <c r="K175" s="424">
        <f t="shared" si="98"/>
        <v>0</v>
      </c>
      <c r="L175" s="424">
        <f t="shared" si="98"/>
        <v>2.8256089083763327</v>
      </c>
      <c r="M175" s="424">
        <f t="shared" si="98"/>
        <v>2.0484987835200386</v>
      </c>
      <c r="N175" s="424">
        <f t="shared" si="98"/>
        <v>0</v>
      </c>
      <c r="O175" s="424">
        <f t="shared" si="98"/>
        <v>0</v>
      </c>
      <c r="P175" s="424">
        <f t="shared" si="98"/>
        <v>3.7895021789696011</v>
      </c>
      <c r="Q175" s="424">
        <f t="shared" si="98"/>
        <v>0</v>
      </c>
      <c r="R175" s="424">
        <f t="shared" si="98"/>
        <v>0</v>
      </c>
      <c r="S175" s="424">
        <f t="shared" si="98"/>
        <v>0</v>
      </c>
      <c r="T175" s="424">
        <f t="shared" si="98"/>
        <v>0</v>
      </c>
      <c r="U175" s="424">
        <f t="shared" si="98"/>
        <v>3.3687137395396092</v>
      </c>
      <c r="V175" s="424">
        <f t="shared" si="98"/>
        <v>0</v>
      </c>
      <c r="W175" s="424">
        <f t="shared" si="98"/>
        <v>0</v>
      </c>
      <c r="X175" s="424">
        <f t="shared" si="98"/>
        <v>0</v>
      </c>
      <c r="Y175" s="424">
        <f t="shared" si="98"/>
        <v>0</v>
      </c>
      <c r="Z175" s="424">
        <f t="shared" si="98"/>
        <v>2.9676763895944172</v>
      </c>
      <c r="AA175" s="424">
        <f t="shared" si="98"/>
        <v>0</v>
      </c>
      <c r="AB175" s="424">
        <f t="shared" si="98"/>
        <v>0</v>
      </c>
      <c r="AC175" s="424">
        <f t="shared" si="98"/>
        <v>0</v>
      </c>
      <c r="AD175" s="424">
        <f t="shared" si="98"/>
        <v>0</v>
      </c>
    </row>
    <row r="176" spans="3:30" outlineLevel="1">
      <c r="C176" s="422" t="s">
        <v>549</v>
      </c>
      <c r="D176" s="422" t="s">
        <v>134</v>
      </c>
      <c r="E176" s="424">
        <f>SUM(H176:AI176)</f>
        <v>8.5112494489880675</v>
      </c>
      <c r="H176" s="439">
        <f>IF(H$117&lt;Assumptions_Dashboard!$D$5,0,$F$173)*(H174+H175)</f>
        <v>0</v>
      </c>
      <c r="I176" s="439">
        <f>IF(I$117&lt;Assumptions_Dashboard!$D$5,0,$F$173)*(I174+I175)</f>
        <v>0</v>
      </c>
      <c r="J176" s="439">
        <f>IF(J$117&lt;Assumptions_Dashboard!$D$5,0,$F$173)*(J174+J175)</f>
        <v>0</v>
      </c>
      <c r="K176" s="439">
        <f>IF(K$117&lt;Assumptions_Dashboard!$D$5,0,$F$173)*(K174+K175)</f>
        <v>0</v>
      </c>
      <c r="L176" s="439">
        <f>IF(L$117&lt;Assumptions_Dashboard!$D$5,0,$F$173)*(L174+L175)</f>
        <v>0.18846811418870138</v>
      </c>
      <c r="M176" s="439">
        <f>IF(M$117&lt;Assumptions_Dashboard!$D$5,0,$F$173)*(M174+M175)</f>
        <v>0.31253215983310156</v>
      </c>
      <c r="N176" s="439">
        <f>IF(N$117&lt;Assumptions_Dashboard!$D$5,0,$F$173)*(N174+N175)</f>
        <v>0.29168626477223369</v>
      </c>
      <c r="O176" s="439">
        <f>IF(O$117&lt;Assumptions_Dashboard!$D$5,0,$F$173)*(O174+O175)</f>
        <v>0.2722307909119257</v>
      </c>
      <c r="P176" s="439">
        <f>IF(P$117&lt;Assumptions_Dashboard!$D$5,0,$F$173)*(P174+P175)</f>
        <v>0.50683279249537272</v>
      </c>
      <c r="Q176" s="439">
        <f>IF(Q$117&lt;Assumptions_Dashboard!$D$5,0,$F$173)*(Q174+Q175)</f>
        <v>0.47302704523593131</v>
      </c>
      <c r="R176" s="439">
        <f>IF(R$117&lt;Assumptions_Dashboard!$D$5,0,$F$173)*(R174+R175)</f>
        <v>0.44147614131869473</v>
      </c>
      <c r="S176" s="439">
        <f>IF(S$117&lt;Assumptions_Dashboard!$D$5,0,$F$173)*(S174+S175)</f>
        <v>0.41202968269273776</v>
      </c>
      <c r="T176" s="439">
        <f>IF(T$117&lt;Assumptions_Dashboard!$D$5,0,$F$173)*(T174+T175)</f>
        <v>0.38454730285713218</v>
      </c>
      <c r="U176" s="439">
        <f>IF(U$117&lt;Assumptions_Dashboard!$D$5,0,$F$173)*(U174+U175)</f>
        <v>0.58359120418385346</v>
      </c>
      <c r="V176" s="439">
        <f>IF(V$117&lt;Assumptions_Dashboard!$D$5,0,$F$173)*(V174+V175)</f>
        <v>0.54466567086479034</v>
      </c>
      <c r="W176" s="439">
        <f>IF(W$117&lt;Assumptions_Dashboard!$D$5,0,$F$173)*(W174+W175)</f>
        <v>0.50833647061810883</v>
      </c>
      <c r="X176" s="439">
        <f>IF(X$117&lt;Assumptions_Dashboard!$D$5,0,$F$173)*(X174+X175)</f>
        <v>0.47443042802788099</v>
      </c>
      <c r="Y176" s="439">
        <f>IF(Y$117&lt;Assumptions_Dashboard!$D$5,0,$F$173)*(Y174+Y175)</f>
        <v>0.44278591847842136</v>
      </c>
      <c r="Z176" s="439">
        <f>IF(Z$117&lt;Assumptions_Dashboard!$D$5,0,$F$173)*(Z174+Z175)</f>
        <v>0.61119611290185827</v>
      </c>
      <c r="AA176" s="439">
        <f>IF(AA$117&lt;Assumptions_Dashboard!$D$5,0,$F$173)*(AA174+AA175)</f>
        <v>0.57042933217130432</v>
      </c>
      <c r="AB176" s="439">
        <f>IF(AB$117&lt;Assumptions_Dashboard!$D$5,0,$F$173)*(AB174+AB175)</f>
        <v>0.53238169571547833</v>
      </c>
      <c r="AC176" s="439">
        <f>IF(AC$117&lt;Assumptions_Dashboard!$D$5,0,$F$173)*(AC174+AC175)</f>
        <v>0.49687183661125595</v>
      </c>
      <c r="AD176" s="439">
        <f>IF(AD$117&lt;Assumptions_Dashboard!$D$5,0,$F$173)*(AD174+AD175)</f>
        <v>0.46373048510928511</v>
      </c>
    </row>
    <row r="177" spans="3:30" outlineLevel="1">
      <c r="C177" s="422" t="s">
        <v>550</v>
      </c>
      <c r="D177" s="422" t="s">
        <v>134</v>
      </c>
      <c r="H177" s="424">
        <f>SUM($H176:H176)</f>
        <v>0</v>
      </c>
      <c r="I177" s="424">
        <f>SUM($H176:I176)</f>
        <v>0</v>
      </c>
      <c r="J177" s="424">
        <f>SUM($H176:J176)</f>
        <v>0</v>
      </c>
      <c r="K177" s="424">
        <f>SUM($H176:K176)</f>
        <v>0</v>
      </c>
      <c r="L177" s="424">
        <f>SUM($H176:L176)</f>
        <v>0.18846811418870138</v>
      </c>
      <c r="M177" s="424">
        <f>SUM($H176:M176)</f>
        <v>0.50100027402180292</v>
      </c>
      <c r="N177" s="424">
        <f>SUM($H176:N176)</f>
        <v>0.79268653879403661</v>
      </c>
      <c r="O177" s="424">
        <f>SUM($H176:O176)</f>
        <v>1.0649173297059624</v>
      </c>
      <c r="P177" s="424">
        <f>SUM($H176:P176)</f>
        <v>1.571750122201335</v>
      </c>
      <c r="Q177" s="424">
        <f>SUM($H176:Q176)</f>
        <v>2.0447771674372666</v>
      </c>
      <c r="R177" s="424">
        <f>SUM($H176:R176)</f>
        <v>2.4862533087559613</v>
      </c>
      <c r="S177" s="424">
        <f>SUM($H176:S176)</f>
        <v>2.8982829914486992</v>
      </c>
      <c r="T177" s="424">
        <f>SUM($H176:T176)</f>
        <v>3.2828302943058314</v>
      </c>
      <c r="U177" s="424">
        <f>SUM($H176:U176)</f>
        <v>3.866421498489685</v>
      </c>
      <c r="V177" s="424">
        <f>SUM($H176:V176)</f>
        <v>4.4110871693544755</v>
      </c>
      <c r="W177" s="424">
        <f>SUM($H176:W176)</f>
        <v>4.9194236399725844</v>
      </c>
      <c r="X177" s="424">
        <f>SUM($H176:X176)</f>
        <v>5.393854068000465</v>
      </c>
      <c r="Y177" s="424">
        <f>SUM($H176:Y176)</f>
        <v>5.836639986478886</v>
      </c>
      <c r="Z177" s="424">
        <f>SUM($H176:Z176)</f>
        <v>6.4478360993807442</v>
      </c>
      <c r="AA177" s="424">
        <f>SUM($H176:AA176)</f>
        <v>7.0182654315520487</v>
      </c>
      <c r="AB177" s="424">
        <f>SUM($H176:AB176)</f>
        <v>7.5506471272675268</v>
      </c>
      <c r="AC177" s="424">
        <f>SUM($H176:AC176)</f>
        <v>8.0475189638787832</v>
      </c>
      <c r="AD177" s="424">
        <f>SUM($H176:AD176)</f>
        <v>8.5112494489880675</v>
      </c>
    </row>
    <row r="178" spans="3:30" outlineLevel="1">
      <c r="C178" s="422" t="s">
        <v>551</v>
      </c>
      <c r="D178" s="422" t="s">
        <v>134</v>
      </c>
      <c r="H178" s="424">
        <f>H174+H175-H176</f>
        <v>0</v>
      </c>
      <c r="I178" s="424">
        <f t="shared" ref="I178:Z178" si="99">I174+I175-I176</f>
        <v>0</v>
      </c>
      <c r="J178" s="424">
        <f t="shared" si="99"/>
        <v>0</v>
      </c>
      <c r="K178" s="424">
        <f t="shared" si="99"/>
        <v>0</v>
      </c>
      <c r="L178" s="424">
        <f t="shared" si="99"/>
        <v>2.6371407941876313</v>
      </c>
      <c r="M178" s="424">
        <f t="shared" si="99"/>
        <v>4.3731074178745688</v>
      </c>
      <c r="N178" s="424">
        <f t="shared" si="99"/>
        <v>4.081421153102335</v>
      </c>
      <c r="O178" s="424">
        <f t="shared" si="99"/>
        <v>3.8091903621904093</v>
      </c>
      <c r="P178" s="424">
        <f t="shared" si="99"/>
        <v>7.0918597486646382</v>
      </c>
      <c r="Q178" s="424">
        <f t="shared" si="99"/>
        <v>6.6188327034287067</v>
      </c>
      <c r="R178" s="424">
        <f t="shared" si="99"/>
        <v>6.1773565621100115</v>
      </c>
      <c r="S178" s="424">
        <f t="shared" si="99"/>
        <v>5.7653268794172741</v>
      </c>
      <c r="T178" s="424">
        <f t="shared" si="99"/>
        <v>5.3807795765601423</v>
      </c>
      <c r="U178" s="424">
        <f t="shared" si="99"/>
        <v>8.1659021119158979</v>
      </c>
      <c r="V178" s="424">
        <f t="shared" si="99"/>
        <v>7.6212364410511073</v>
      </c>
      <c r="W178" s="424">
        <f t="shared" si="99"/>
        <v>7.1128999704329985</v>
      </c>
      <c r="X178" s="424">
        <f t="shared" si="99"/>
        <v>6.6384695424051179</v>
      </c>
      <c r="Y178" s="424">
        <f t="shared" si="99"/>
        <v>6.1956836239266968</v>
      </c>
      <c r="Z178" s="424">
        <f t="shared" si="99"/>
        <v>8.5521639006192558</v>
      </c>
      <c r="AA178" s="424">
        <f>AA174+AA175-AA176</f>
        <v>7.9817345684479513</v>
      </c>
      <c r="AB178" s="424">
        <f t="shared" ref="AB178:AD178" si="100">AB174+AB175-AB176</f>
        <v>7.4493528727324732</v>
      </c>
      <c r="AC178" s="424">
        <f t="shared" si="100"/>
        <v>6.9524810361212168</v>
      </c>
      <c r="AD178" s="424">
        <f t="shared" si="100"/>
        <v>6.4887505510119317</v>
      </c>
    </row>
    <row r="179" spans="3:30" outlineLevel="1">
      <c r="C179" s="191" t="str">
        <f>C101</f>
        <v>Digitalisation</v>
      </c>
      <c r="F179" s="423">
        <v>0.33329999999999999</v>
      </c>
    </row>
    <row r="180" spans="3:30" outlineLevel="1">
      <c r="C180" s="422" t="s">
        <v>547</v>
      </c>
      <c r="D180" s="422" t="s">
        <v>134</v>
      </c>
      <c r="H180" s="424">
        <f>G184</f>
        <v>0</v>
      </c>
      <c r="I180" s="424">
        <f t="shared" ref="I180:Z180" si="101">H184</f>
        <v>0</v>
      </c>
      <c r="J180" s="424">
        <f t="shared" si="101"/>
        <v>2.0000999999999998</v>
      </c>
      <c r="K180" s="424">
        <f t="shared" si="101"/>
        <v>4.6669666699999999</v>
      </c>
      <c r="L180" s="424">
        <f t="shared" si="101"/>
        <v>4.4448666788889994</v>
      </c>
      <c r="M180" s="424">
        <f t="shared" si="101"/>
        <v>2.9633926148152963</v>
      </c>
      <c r="N180" s="424">
        <f t="shared" si="101"/>
        <v>1.9756938562973581</v>
      </c>
      <c r="O180" s="424">
        <f t="shared" si="101"/>
        <v>1.3171950939934487</v>
      </c>
      <c r="P180" s="424">
        <f t="shared" si="101"/>
        <v>0.87817396916543222</v>
      </c>
      <c r="Q180" s="424">
        <f t="shared" si="101"/>
        <v>0.58547858524259366</v>
      </c>
      <c r="R180" s="424">
        <f t="shared" si="101"/>
        <v>0.39033857278123718</v>
      </c>
      <c r="S180" s="424">
        <f t="shared" si="101"/>
        <v>0.26023872647325086</v>
      </c>
      <c r="T180" s="424">
        <f t="shared" si="101"/>
        <v>0.17350115893971635</v>
      </c>
      <c r="U180" s="424">
        <f t="shared" si="101"/>
        <v>0.11567322266510889</v>
      </c>
      <c r="V180" s="424">
        <f t="shared" si="101"/>
        <v>7.7119337550828101E-2</v>
      </c>
      <c r="W180" s="424">
        <f t="shared" si="101"/>
        <v>5.1415462345137095E-2</v>
      </c>
      <c r="X180" s="424">
        <f t="shared" si="101"/>
        <v>3.4278688745502897E-2</v>
      </c>
      <c r="Y180" s="424">
        <f t="shared" si="101"/>
        <v>2.2853601786626782E-2</v>
      </c>
      <c r="Z180" s="424">
        <f t="shared" si="101"/>
        <v>1.5236496311144076E-2</v>
      </c>
      <c r="AA180" s="424">
        <f>Z184</f>
        <v>1.0158172090639756E-2</v>
      </c>
      <c r="AB180" s="424">
        <f t="shared" ref="AB180:AD180" si="102">AA184</f>
        <v>6.7724533328295256E-3</v>
      </c>
      <c r="AC180" s="424">
        <f t="shared" si="102"/>
        <v>4.5151946369974445E-3</v>
      </c>
      <c r="AD180" s="424">
        <f t="shared" si="102"/>
        <v>3.0102802644861966E-3</v>
      </c>
    </row>
    <row r="181" spans="3:30" outlineLevel="1">
      <c r="C181" s="422" t="s">
        <v>548</v>
      </c>
      <c r="D181" s="422" t="s">
        <v>134</v>
      </c>
      <c r="E181" s="424">
        <f>SUM(H181:AI181)</f>
        <v>10</v>
      </c>
      <c r="H181" s="424">
        <f>H103</f>
        <v>0</v>
      </c>
      <c r="I181" s="424">
        <f t="shared" ref="I181:AD181" si="103">I103</f>
        <v>3</v>
      </c>
      <c r="J181" s="424">
        <f t="shared" si="103"/>
        <v>5</v>
      </c>
      <c r="K181" s="424">
        <f t="shared" si="103"/>
        <v>2</v>
      </c>
      <c r="L181" s="424">
        <f t="shared" si="103"/>
        <v>0</v>
      </c>
      <c r="M181" s="424">
        <f t="shared" si="103"/>
        <v>0</v>
      </c>
      <c r="N181" s="424">
        <f t="shared" si="103"/>
        <v>0</v>
      </c>
      <c r="O181" s="424">
        <f t="shared" si="103"/>
        <v>0</v>
      </c>
      <c r="P181" s="424">
        <f t="shared" si="103"/>
        <v>0</v>
      </c>
      <c r="Q181" s="424">
        <f t="shared" si="103"/>
        <v>0</v>
      </c>
      <c r="R181" s="424">
        <f t="shared" si="103"/>
        <v>0</v>
      </c>
      <c r="S181" s="424">
        <f t="shared" si="103"/>
        <v>0</v>
      </c>
      <c r="T181" s="424">
        <f t="shared" si="103"/>
        <v>0</v>
      </c>
      <c r="U181" s="424">
        <f t="shared" si="103"/>
        <v>0</v>
      </c>
      <c r="V181" s="424">
        <f t="shared" si="103"/>
        <v>0</v>
      </c>
      <c r="W181" s="424">
        <f t="shared" si="103"/>
        <v>0</v>
      </c>
      <c r="X181" s="424">
        <f t="shared" si="103"/>
        <v>0</v>
      </c>
      <c r="Y181" s="424">
        <f t="shared" si="103"/>
        <v>0</v>
      </c>
      <c r="Z181" s="424">
        <f t="shared" si="103"/>
        <v>0</v>
      </c>
      <c r="AA181" s="424">
        <f t="shared" si="103"/>
        <v>0</v>
      </c>
      <c r="AB181" s="424">
        <f t="shared" si="103"/>
        <v>0</v>
      </c>
      <c r="AC181" s="424">
        <f t="shared" si="103"/>
        <v>0</v>
      </c>
      <c r="AD181" s="424">
        <f t="shared" si="103"/>
        <v>0</v>
      </c>
    </row>
    <row r="182" spans="3:30" outlineLevel="1">
      <c r="C182" s="422" t="s">
        <v>549</v>
      </c>
      <c r="D182" s="422" t="s">
        <v>134</v>
      </c>
      <c r="E182" s="424">
        <f>SUM(H182:AI182)</f>
        <v>9.997993046147668</v>
      </c>
      <c r="H182" s="439">
        <f>IF(H$117&lt;Assumptions_Dashboard!$D$5,0,$F$179)*(H180+H181)</f>
        <v>0</v>
      </c>
      <c r="I182" s="439">
        <f>IF(I$117&lt;Assumptions_Dashboard!$D$5,0,$F$179)*(I180+I181)</f>
        <v>0.99990000000000001</v>
      </c>
      <c r="J182" s="439">
        <f>IF(J$117&lt;Assumptions_Dashboard!$D$5,0,$F$179)*(J180+J181)</f>
        <v>2.3331333299999999</v>
      </c>
      <c r="K182" s="439">
        <f>IF(K$117&lt;Assumptions_Dashboard!$D$5,0,$F$179)*(K180+K181)</f>
        <v>2.222099991111</v>
      </c>
      <c r="L182" s="439">
        <f>IF(L$117&lt;Assumptions_Dashboard!$D$5,0,$F$179)*(L180+L181)</f>
        <v>1.4814740640737034</v>
      </c>
      <c r="M182" s="439">
        <f>IF(M$117&lt;Assumptions_Dashboard!$D$5,0,$F$179)*(M180+M181)</f>
        <v>0.9876987585179382</v>
      </c>
      <c r="N182" s="439">
        <f>IF(N$117&lt;Assumptions_Dashboard!$D$5,0,$F$179)*(N180+N181)</f>
        <v>0.65849876230390936</v>
      </c>
      <c r="O182" s="439">
        <f>IF(O$117&lt;Assumptions_Dashboard!$D$5,0,$F$179)*(O180+O181)</f>
        <v>0.43902112482801642</v>
      </c>
      <c r="P182" s="439">
        <f>IF(P$117&lt;Assumptions_Dashboard!$D$5,0,$F$179)*(P180+P181)</f>
        <v>0.29269538392283856</v>
      </c>
      <c r="Q182" s="439">
        <f>IF(Q$117&lt;Assumptions_Dashboard!$D$5,0,$F$179)*(Q180+Q181)</f>
        <v>0.19514001246135645</v>
      </c>
      <c r="R182" s="439">
        <f>IF(R$117&lt;Assumptions_Dashboard!$D$5,0,$F$179)*(R180+R181)</f>
        <v>0.13009984630798635</v>
      </c>
      <c r="S182" s="439">
        <f>IF(S$117&lt;Assumptions_Dashboard!$D$5,0,$F$179)*(S180+S181)</f>
        <v>8.673756753353451E-2</v>
      </c>
      <c r="T182" s="439">
        <f>IF(T$117&lt;Assumptions_Dashboard!$D$5,0,$F$179)*(T180+T181)</f>
        <v>5.7827936274607458E-2</v>
      </c>
      <c r="U182" s="439">
        <f>IF(U$117&lt;Assumptions_Dashboard!$D$5,0,$F$179)*(U180+U181)</f>
        <v>3.8553885114280789E-2</v>
      </c>
      <c r="V182" s="439">
        <f>IF(V$117&lt;Assumptions_Dashboard!$D$5,0,$F$179)*(V180+V181)</f>
        <v>2.5703875205691003E-2</v>
      </c>
      <c r="W182" s="439">
        <f>IF(W$117&lt;Assumptions_Dashboard!$D$5,0,$F$179)*(W180+W181)</f>
        <v>1.7136773599634194E-2</v>
      </c>
      <c r="X182" s="439">
        <f>IF(X$117&lt;Assumptions_Dashboard!$D$5,0,$F$179)*(X180+X181)</f>
        <v>1.1425086958876115E-2</v>
      </c>
      <c r="Y182" s="439">
        <f>IF(Y$117&lt;Assumptions_Dashboard!$D$5,0,$F$179)*(Y180+Y181)</f>
        <v>7.617105475482706E-3</v>
      </c>
      <c r="Z182" s="439">
        <f>IF(Z$117&lt;Assumptions_Dashboard!$D$5,0,$F$179)*(Z180+Z181)</f>
        <v>5.07832422050432E-3</v>
      </c>
      <c r="AA182" s="439">
        <f>IF(AA$117&lt;Assumptions_Dashboard!$D$5,0,$F$179)*(AA180+AA181)</f>
        <v>3.3857187578102306E-3</v>
      </c>
      <c r="AB182" s="439">
        <f>IF(AB$117&lt;Assumptions_Dashboard!$D$5,0,$F$179)*(AB180+AB181)</f>
        <v>2.2572586958320806E-3</v>
      </c>
      <c r="AC182" s="439">
        <f>IF(AC$117&lt;Assumptions_Dashboard!$D$5,0,$F$179)*(AC180+AC181)</f>
        <v>1.5049143725112482E-3</v>
      </c>
      <c r="AD182" s="439">
        <f>IF(AD$117&lt;Assumptions_Dashboard!$D$5,0,$F$179)*(AD180+AD181)</f>
        <v>1.0033264121532492E-3</v>
      </c>
    </row>
    <row r="183" spans="3:30" outlineLevel="1">
      <c r="C183" s="422" t="s">
        <v>550</v>
      </c>
      <c r="D183" s="422" t="s">
        <v>134</v>
      </c>
      <c r="H183" s="424">
        <f>SUM($H182:H182)</f>
        <v>0</v>
      </c>
      <c r="I183" s="424">
        <f>SUM($H182:I182)</f>
        <v>0.99990000000000001</v>
      </c>
      <c r="J183" s="424">
        <f>SUM($H182:J182)</f>
        <v>3.3330333300000001</v>
      </c>
      <c r="K183" s="424">
        <f>SUM($H182:K182)</f>
        <v>5.5551333211110006</v>
      </c>
      <c r="L183" s="424">
        <f>SUM($H182:L182)</f>
        <v>7.0366073851847037</v>
      </c>
      <c r="M183" s="424">
        <f>SUM($H182:M182)</f>
        <v>8.0243061437026419</v>
      </c>
      <c r="N183" s="424">
        <f>SUM($H182:N182)</f>
        <v>8.6828049060065506</v>
      </c>
      <c r="O183" s="424">
        <f>SUM($H182:O182)</f>
        <v>9.1218260308345673</v>
      </c>
      <c r="P183" s="424">
        <f>SUM($H182:P182)</f>
        <v>9.4145214147574059</v>
      </c>
      <c r="Q183" s="424">
        <f>SUM($H182:Q182)</f>
        <v>9.6096614272187626</v>
      </c>
      <c r="R183" s="424">
        <f>SUM($H182:R182)</f>
        <v>9.7397612735267494</v>
      </c>
      <c r="S183" s="424">
        <f>SUM($H182:S182)</f>
        <v>9.8264988410602836</v>
      </c>
      <c r="T183" s="424">
        <f>SUM($H182:T182)</f>
        <v>9.8843267773348913</v>
      </c>
      <c r="U183" s="424">
        <f>SUM($H182:U182)</f>
        <v>9.9228806624491721</v>
      </c>
      <c r="V183" s="424">
        <f>SUM($H182:V182)</f>
        <v>9.9485845376548632</v>
      </c>
      <c r="W183" s="424">
        <f>SUM($H182:W182)</f>
        <v>9.965721311254498</v>
      </c>
      <c r="X183" s="424">
        <f>SUM($H182:X182)</f>
        <v>9.9771463982133746</v>
      </c>
      <c r="Y183" s="424">
        <f>SUM($H182:Y182)</f>
        <v>9.9847635036888569</v>
      </c>
      <c r="Z183" s="424">
        <f>SUM($H182:Z182)</f>
        <v>9.9898418279093608</v>
      </c>
      <c r="AA183" s="424">
        <f>SUM($H182:AA182)</f>
        <v>9.9932275466671712</v>
      </c>
      <c r="AB183" s="424">
        <f>SUM($H182:AB182)</f>
        <v>9.9954848053630041</v>
      </c>
      <c r="AC183" s="424">
        <f>SUM($H182:AC182)</f>
        <v>9.9969897197355149</v>
      </c>
      <c r="AD183" s="424">
        <f>SUM($H182:AD182)</f>
        <v>9.997993046147668</v>
      </c>
    </row>
    <row r="184" spans="3:30" outlineLevel="1">
      <c r="C184" s="422" t="s">
        <v>551</v>
      </c>
      <c r="D184" s="422" t="s">
        <v>134</v>
      </c>
      <c r="H184" s="424">
        <f>H180+H181-H182</f>
        <v>0</v>
      </c>
      <c r="I184" s="424">
        <f t="shared" ref="I184:Z184" si="104">I180+I181-I182</f>
        <v>2.0000999999999998</v>
      </c>
      <c r="J184" s="424">
        <f t="shared" si="104"/>
        <v>4.6669666699999999</v>
      </c>
      <c r="K184" s="424">
        <f t="shared" si="104"/>
        <v>4.4448666788889994</v>
      </c>
      <c r="L184" s="424">
        <f t="shared" si="104"/>
        <v>2.9633926148152963</v>
      </c>
      <c r="M184" s="424">
        <f t="shared" si="104"/>
        <v>1.9756938562973581</v>
      </c>
      <c r="N184" s="424">
        <f t="shared" si="104"/>
        <v>1.3171950939934487</v>
      </c>
      <c r="O184" s="424">
        <f t="shared" si="104"/>
        <v>0.87817396916543222</v>
      </c>
      <c r="P184" s="424">
        <f t="shared" si="104"/>
        <v>0.58547858524259366</v>
      </c>
      <c r="Q184" s="424">
        <f t="shared" si="104"/>
        <v>0.39033857278123718</v>
      </c>
      <c r="R184" s="424">
        <f t="shared" si="104"/>
        <v>0.26023872647325086</v>
      </c>
      <c r="S184" s="424">
        <f t="shared" si="104"/>
        <v>0.17350115893971635</v>
      </c>
      <c r="T184" s="424">
        <f t="shared" si="104"/>
        <v>0.11567322266510889</v>
      </c>
      <c r="U184" s="424">
        <f t="shared" si="104"/>
        <v>7.7119337550828101E-2</v>
      </c>
      <c r="V184" s="424">
        <f t="shared" si="104"/>
        <v>5.1415462345137095E-2</v>
      </c>
      <c r="W184" s="424">
        <f t="shared" si="104"/>
        <v>3.4278688745502897E-2</v>
      </c>
      <c r="X184" s="424">
        <f t="shared" si="104"/>
        <v>2.2853601786626782E-2</v>
      </c>
      <c r="Y184" s="424">
        <f t="shared" si="104"/>
        <v>1.5236496311144076E-2</v>
      </c>
      <c r="Z184" s="424">
        <f t="shared" si="104"/>
        <v>1.0158172090639756E-2</v>
      </c>
      <c r="AA184" s="424">
        <f>AA180+AA181-AA182</f>
        <v>6.7724533328295256E-3</v>
      </c>
      <c r="AB184" s="424">
        <f t="shared" ref="AB184:AD184" si="105">AB180+AB181-AB182</f>
        <v>4.5151946369974445E-3</v>
      </c>
      <c r="AC184" s="424">
        <f t="shared" si="105"/>
        <v>3.0102802644861966E-3</v>
      </c>
      <c r="AD184" s="424">
        <f t="shared" si="105"/>
        <v>2.0069538523329474E-3</v>
      </c>
    </row>
    <row r="185" spans="3:30" outlineLevel="1">
      <c r="C185" s="191" t="str">
        <f>C107</f>
        <v>Contingency</v>
      </c>
      <c r="F185" s="423">
        <f>F119</f>
        <v>0.1</v>
      </c>
    </row>
    <row r="186" spans="3:30" outlineLevel="1">
      <c r="C186" s="422" t="s">
        <v>547</v>
      </c>
      <c r="D186" s="422" t="s">
        <v>134</v>
      </c>
      <c r="H186" s="424">
        <f>G190</f>
        <v>0</v>
      </c>
      <c r="I186" s="424">
        <f t="shared" ref="I186:Z186" ca="1" si="106">H190</f>
        <v>15.404885099999996</v>
      </c>
      <c r="J186" s="424">
        <f t="shared" ca="1" si="106"/>
        <v>54.184511962178988</v>
      </c>
      <c r="K186" s="424">
        <f t="shared" ca="1" si="106"/>
        <v>128.32377938074708</v>
      </c>
      <c r="L186" s="424">
        <f t="shared" ca="1" si="106"/>
        <v>176.22809505745835</v>
      </c>
      <c r="M186" s="424">
        <f t="shared" ca="1" si="106"/>
        <v>212.89896281180683</v>
      </c>
      <c r="N186" s="424">
        <f t="shared" ca="1" si="106"/>
        <v>213.42189780957267</v>
      </c>
      <c r="O186" s="424">
        <f t="shared" ca="1" si="106"/>
        <v>217.20480840981156</v>
      </c>
      <c r="P186" s="424">
        <f t="shared" ca="1" si="106"/>
        <v>264.48291955892756</v>
      </c>
      <c r="Q186" s="424">
        <f t="shared" ca="1" si="106"/>
        <v>276.53803916613998</v>
      </c>
      <c r="R186" s="424">
        <f t="shared" ca="1" si="106"/>
        <v>310.5665405133945</v>
      </c>
      <c r="S186" s="424">
        <f t="shared" ca="1" si="106"/>
        <v>318.08103088592355</v>
      </c>
      <c r="T186" s="424">
        <f t="shared" ca="1" si="106"/>
        <v>333.25073297833433</v>
      </c>
      <c r="U186" s="424">
        <f t="shared" ca="1" si="106"/>
        <v>341.28285268508449</v>
      </c>
      <c r="V186" s="424">
        <f t="shared" ca="1" si="106"/>
        <v>321.21509346266799</v>
      </c>
      <c r="W186" s="424">
        <f t="shared" ca="1" si="106"/>
        <v>305.79043872182308</v>
      </c>
      <c r="X186" s="424">
        <f t="shared" ca="1" si="106"/>
        <v>278.79684024764077</v>
      </c>
      <c r="Y186" s="424">
        <f t="shared" ca="1" si="106"/>
        <v>262.22972422287671</v>
      </c>
      <c r="Z186" s="424">
        <f t="shared" ca="1" si="106"/>
        <v>267.62763747858907</v>
      </c>
      <c r="AA186" s="424">
        <f ca="1">Z190</f>
        <v>247.52200798046005</v>
      </c>
      <c r="AB186" s="424">
        <f t="shared" ref="AB186:AD186" ca="1" si="107">AA190</f>
        <v>251.53520847523873</v>
      </c>
      <c r="AC186" s="424">
        <f t="shared" ca="1" si="107"/>
        <v>230.17387288484952</v>
      </c>
      <c r="AD186" s="424">
        <f t="shared" ca="1" si="107"/>
        <v>219.75902754918928</v>
      </c>
    </row>
    <row r="187" spans="3:30" outlineLevel="1">
      <c r="C187" s="422" t="s">
        <v>548</v>
      </c>
      <c r="D187" s="422" t="s">
        <v>134</v>
      </c>
      <c r="E187" s="424">
        <f ca="1">SUM(H187:AI187)</f>
        <v>826.25941280949087</v>
      </c>
      <c r="H187" s="424">
        <f ca="1">H109</f>
        <v>17.116538999999996</v>
      </c>
      <c r="I187" s="424">
        <f t="shared" ref="I187:AD187" ca="1" si="108">I109</f>
        <v>44.800128191309994</v>
      </c>
      <c r="J187" s="424">
        <f t="shared" ca="1" si="108"/>
        <v>88.397465127540002</v>
      </c>
      <c r="K187" s="424">
        <f t="shared" ca="1" si="108"/>
        <v>67.485215127539988</v>
      </c>
      <c r="L187" s="424">
        <f t="shared" si="108"/>
        <v>60.326308066771446</v>
      </c>
      <c r="M187" s="424">
        <f t="shared" si="108"/>
        <v>24.236479198829468</v>
      </c>
      <c r="N187" s="424">
        <f t="shared" si="108"/>
        <v>27.916778201329073</v>
      </c>
      <c r="O187" s="424">
        <f t="shared" si="108"/>
        <v>76.665102211219036</v>
      </c>
      <c r="P187" s="424">
        <f t="shared" si="108"/>
        <v>42.78156840345018</v>
      </c>
      <c r="Q187" s="424">
        <f t="shared" si="108"/>
        <v>68.535894737631679</v>
      </c>
      <c r="R187" s="424">
        <f t="shared" si="108"/>
        <v>42.856827137631683</v>
      </c>
      <c r="S187" s="424">
        <f t="shared" si="108"/>
        <v>52.19756131222573</v>
      </c>
      <c r="T187" s="424">
        <f t="shared" si="108"/>
        <v>45.952436671759543</v>
      </c>
      <c r="U187" s="424">
        <f t="shared" si="108"/>
        <v>15.62280671787995</v>
      </c>
      <c r="V187" s="424">
        <f t="shared" si="108"/>
        <v>18.552060672690992</v>
      </c>
      <c r="W187" s="424">
        <f t="shared" si="108"/>
        <v>3.9838282200000004</v>
      </c>
      <c r="X187" s="424">
        <f t="shared" si="108"/>
        <v>12.569520000000001</v>
      </c>
      <c r="Y187" s="424">
        <f t="shared" si="108"/>
        <v>35.134317419999995</v>
      </c>
      <c r="Z187" s="424">
        <f t="shared" si="108"/>
        <v>7.3968158330332097</v>
      </c>
      <c r="AA187" s="424">
        <f t="shared" si="108"/>
        <v>31.961556992027454</v>
      </c>
      <c r="AB187" s="424">
        <f t="shared" si="108"/>
        <v>4.2135391745940476</v>
      </c>
      <c r="AC187" s="424">
        <f t="shared" si="108"/>
        <v>14.002824392027462</v>
      </c>
      <c r="AD187" s="424">
        <f t="shared" si="108"/>
        <v>23.553839999999997</v>
      </c>
    </row>
    <row r="188" spans="3:30" outlineLevel="1">
      <c r="C188" s="422" t="s">
        <v>549</v>
      </c>
      <c r="D188" s="422" t="s">
        <v>134</v>
      </c>
      <c r="E188" s="424">
        <f ca="1">SUM(H188:AI188)</f>
        <v>607.2778320152205</v>
      </c>
      <c r="H188" s="439">
        <f ca="1">IF(H$117&lt;Assumptions_Dashboard!$D$5,0,$F$185)*(H186+H187)</f>
        <v>1.7116538999999997</v>
      </c>
      <c r="I188" s="439">
        <f ca="1">IF(I$117&lt;Assumptions_Dashboard!$D$5,0,$F$185)*(I186+I187)</f>
        <v>6.0205013291309992</v>
      </c>
      <c r="J188" s="439">
        <f ca="1">IF(J$117&lt;Assumptions_Dashboard!$D$5,0,$F$185)*(J186+J187)</f>
        <v>14.258197708971899</v>
      </c>
      <c r="K188" s="439">
        <f ca="1">IF(K$117&lt;Assumptions_Dashboard!$D$5,0,$F$185)*(K186+K187)</f>
        <v>19.58089945082871</v>
      </c>
      <c r="L188" s="439">
        <f ca="1">IF(L$117&lt;Assumptions_Dashboard!$D$5,0,$F$185)*(L186+L187)</f>
        <v>23.655440312422982</v>
      </c>
      <c r="M188" s="439">
        <f ca="1">IF(M$117&lt;Assumptions_Dashboard!$D$5,0,$F$185)*(M186+M187)</f>
        <v>23.71354420106363</v>
      </c>
      <c r="N188" s="439">
        <f ca="1">IF(N$117&lt;Assumptions_Dashboard!$D$5,0,$F$185)*(N186+N187)</f>
        <v>24.133867601090174</v>
      </c>
      <c r="O188" s="439">
        <f ca="1">IF(O$117&lt;Assumptions_Dashboard!$D$5,0,$F$185)*(O186+O187)</f>
        <v>29.386991062103064</v>
      </c>
      <c r="P188" s="439">
        <f ca="1">IF(P$117&lt;Assumptions_Dashboard!$D$5,0,$F$185)*(P186+P187)</f>
        <v>30.726448796237776</v>
      </c>
      <c r="Q188" s="439">
        <f ca="1">IF(Q$117&lt;Assumptions_Dashboard!$D$5,0,$F$185)*(Q186+Q187)</f>
        <v>34.507393390377167</v>
      </c>
      <c r="R188" s="439">
        <f ca="1">IF(R$117&lt;Assumptions_Dashboard!$D$5,0,$F$185)*(R186+R187)</f>
        <v>35.342336765102623</v>
      </c>
      <c r="S188" s="439">
        <f ca="1">IF(S$117&lt;Assumptions_Dashboard!$D$5,0,$F$185)*(S186+S187)</f>
        <v>37.027859219814928</v>
      </c>
      <c r="T188" s="439">
        <f ca="1">IF(T$117&lt;Assumptions_Dashboard!$D$5,0,$F$185)*(T186+T187)</f>
        <v>37.920316965009384</v>
      </c>
      <c r="U188" s="439">
        <f ca="1">IF(U$117&lt;Assumptions_Dashboard!$D$5,0,$F$185)*(U186+U187)</f>
        <v>35.690565940296445</v>
      </c>
      <c r="V188" s="439">
        <f ca="1">IF(V$117&lt;Assumptions_Dashboard!$D$5,0,$F$185)*(V186+V187)</f>
        <v>33.976715413535899</v>
      </c>
      <c r="W188" s="439">
        <f ca="1">IF(W$117&lt;Assumptions_Dashboard!$D$5,0,$F$185)*(W186+W187)</f>
        <v>30.977426694182313</v>
      </c>
      <c r="X188" s="439">
        <f ca="1">IF(X$117&lt;Assumptions_Dashboard!$D$5,0,$F$185)*(X186+X187)</f>
        <v>29.13663602476408</v>
      </c>
      <c r="Y188" s="439">
        <f ca="1">IF(Y$117&lt;Assumptions_Dashboard!$D$5,0,$F$185)*(Y186+Y187)</f>
        <v>29.736404164287674</v>
      </c>
      <c r="Z188" s="439">
        <f ca="1">IF(Z$117&lt;Assumptions_Dashboard!$D$5,0,$F$185)*(Z186+Z187)</f>
        <v>27.502445331162228</v>
      </c>
      <c r="AA188" s="439">
        <f ca="1">IF(AA$117&lt;Assumptions_Dashboard!$D$5,0,$F$185)*(AA186+AA187)</f>
        <v>27.948356497248753</v>
      </c>
      <c r="AB188" s="439">
        <f ca="1">IF(AB$117&lt;Assumptions_Dashboard!$D$5,0,$F$185)*(AB186+AB187)</f>
        <v>25.574874764983278</v>
      </c>
      <c r="AC188" s="439">
        <f ca="1">IF(AC$117&lt;Assumptions_Dashboard!$D$5,0,$F$185)*(AC186+AC187)</f>
        <v>24.417669727687699</v>
      </c>
      <c r="AD188" s="439">
        <f ca="1">IF(AD$117&lt;Assumptions_Dashboard!$D$5,0,$F$185)*(AD186+AD187)</f>
        <v>24.331286754918931</v>
      </c>
    </row>
    <row r="189" spans="3:30" outlineLevel="1">
      <c r="C189" s="422" t="s">
        <v>550</v>
      </c>
      <c r="D189" s="422" t="s">
        <v>134</v>
      </c>
      <c r="H189" s="424">
        <f ca="1">SUM($H188:H188)</f>
        <v>1.7116538999999997</v>
      </c>
      <c r="I189" s="424">
        <f ca="1">SUM($H188:I188)</f>
        <v>7.7321552291309992</v>
      </c>
      <c r="J189" s="424">
        <f ca="1">SUM($H188:J188)</f>
        <v>21.990352938102898</v>
      </c>
      <c r="K189" s="424">
        <f ca="1">SUM($H188:K188)</f>
        <v>41.571252388931612</v>
      </c>
      <c r="L189" s="424">
        <f ca="1">SUM($H188:L188)</f>
        <v>65.226692701354594</v>
      </c>
      <c r="M189" s="424">
        <f ca="1">SUM($H188:M188)</f>
        <v>88.940236902418221</v>
      </c>
      <c r="N189" s="424">
        <f ca="1">SUM($H188:N188)</f>
        <v>113.07410450350839</v>
      </c>
      <c r="O189" s="424">
        <f ca="1">SUM($H188:O188)</f>
        <v>142.46109556561146</v>
      </c>
      <c r="P189" s="424">
        <f ca="1">SUM($H188:P188)</f>
        <v>173.18754436184923</v>
      </c>
      <c r="Q189" s="424">
        <f ca="1">SUM($H188:Q188)</f>
        <v>207.69493775222639</v>
      </c>
      <c r="R189" s="424">
        <f ca="1">SUM($H188:R188)</f>
        <v>243.03727451732902</v>
      </c>
      <c r="S189" s="424">
        <f ca="1">SUM($H188:S188)</f>
        <v>280.06513373714392</v>
      </c>
      <c r="T189" s="424">
        <f ca="1">SUM($H188:T188)</f>
        <v>317.98545070215329</v>
      </c>
      <c r="U189" s="424">
        <f ca="1">SUM($H188:U188)</f>
        <v>353.67601664244972</v>
      </c>
      <c r="V189" s="424">
        <f ca="1">SUM($H188:V188)</f>
        <v>387.65273205598561</v>
      </c>
      <c r="W189" s="424">
        <f ca="1">SUM($H188:W188)</f>
        <v>418.63015875016794</v>
      </c>
      <c r="X189" s="424">
        <f ca="1">SUM($H188:X188)</f>
        <v>447.76679477493201</v>
      </c>
      <c r="Y189" s="424">
        <f ca="1">SUM($H188:Y188)</f>
        <v>477.50319893921966</v>
      </c>
      <c r="Z189" s="424">
        <f ca="1">SUM($H188:Z188)</f>
        <v>505.00564427038188</v>
      </c>
      <c r="AA189" s="424">
        <f ca="1">SUM($H188:AA188)</f>
        <v>532.95400076763065</v>
      </c>
      <c r="AB189" s="424">
        <f ca="1">SUM($H188:AB188)</f>
        <v>558.52887553261394</v>
      </c>
      <c r="AC189" s="424">
        <f ca="1">SUM($H188:AC188)</f>
        <v>582.9465452603016</v>
      </c>
      <c r="AD189" s="424">
        <f ca="1">SUM($H188:AD188)</f>
        <v>607.2778320152205</v>
      </c>
    </row>
    <row r="190" spans="3:30" outlineLevel="1">
      <c r="C190" s="422" t="s">
        <v>551</v>
      </c>
      <c r="D190" s="422" t="s">
        <v>134</v>
      </c>
      <c r="H190" s="424">
        <f ca="1">H186+H187-H188</f>
        <v>15.404885099999996</v>
      </c>
      <c r="I190" s="424">
        <f t="shared" ref="I190:Z190" ca="1" si="109">I186+I187-I188</f>
        <v>54.184511962178988</v>
      </c>
      <c r="J190" s="424">
        <f t="shared" ca="1" si="109"/>
        <v>128.32377938074708</v>
      </c>
      <c r="K190" s="424">
        <f t="shared" ca="1" si="109"/>
        <v>176.22809505745835</v>
      </c>
      <c r="L190" s="424">
        <f t="shared" ca="1" si="109"/>
        <v>212.89896281180683</v>
      </c>
      <c r="M190" s="424">
        <f t="shared" ca="1" si="109"/>
        <v>213.42189780957267</v>
      </c>
      <c r="N190" s="424">
        <f t="shared" ca="1" si="109"/>
        <v>217.20480840981156</v>
      </c>
      <c r="O190" s="424">
        <f t="shared" ca="1" si="109"/>
        <v>264.48291955892756</v>
      </c>
      <c r="P190" s="424">
        <f t="shared" ca="1" si="109"/>
        <v>276.53803916613998</v>
      </c>
      <c r="Q190" s="424">
        <f t="shared" ca="1" si="109"/>
        <v>310.5665405133945</v>
      </c>
      <c r="R190" s="424">
        <f t="shared" ca="1" si="109"/>
        <v>318.08103088592355</v>
      </c>
      <c r="S190" s="424">
        <f t="shared" ca="1" si="109"/>
        <v>333.25073297833433</v>
      </c>
      <c r="T190" s="424">
        <f t="shared" ca="1" si="109"/>
        <v>341.28285268508449</v>
      </c>
      <c r="U190" s="424">
        <f t="shared" ca="1" si="109"/>
        <v>321.21509346266799</v>
      </c>
      <c r="V190" s="424">
        <f t="shared" ca="1" si="109"/>
        <v>305.79043872182308</v>
      </c>
      <c r="W190" s="424">
        <f t="shared" ca="1" si="109"/>
        <v>278.79684024764077</v>
      </c>
      <c r="X190" s="424">
        <f t="shared" ca="1" si="109"/>
        <v>262.22972422287671</v>
      </c>
      <c r="Y190" s="424">
        <f t="shared" ca="1" si="109"/>
        <v>267.62763747858907</v>
      </c>
      <c r="Z190" s="424">
        <f t="shared" ca="1" si="109"/>
        <v>247.52200798046005</v>
      </c>
      <c r="AA190" s="424">
        <f ca="1">AA186+AA187-AA188</f>
        <v>251.53520847523873</v>
      </c>
      <c r="AB190" s="424">
        <f t="shared" ref="AB190:AD190" ca="1" si="110">AB186+AB187-AB188</f>
        <v>230.17387288484952</v>
      </c>
      <c r="AC190" s="424">
        <f t="shared" ca="1" si="110"/>
        <v>219.75902754918928</v>
      </c>
      <c r="AD190" s="424">
        <f t="shared" ca="1" si="110"/>
        <v>218.98158079427037</v>
      </c>
    </row>
    <row r="191" spans="3:30" outlineLevel="1">
      <c r="H191" s="146"/>
    </row>
    <row r="192" spans="3:30" ht="14" outlineLevel="1" thickBot="1">
      <c r="C192" s="426" t="s">
        <v>554</v>
      </c>
      <c r="D192" s="425" t="s">
        <v>134</v>
      </c>
      <c r="E192" s="440">
        <f ca="1">SUM(G192:AH192)</f>
        <v>5482.8251615198978</v>
      </c>
      <c r="F192" s="433">
        <f ca="1">E121+E127+E133+E139+E145+E151+E157+E163+E169+E175+E181+E187</f>
        <v>6433.7254982060986</v>
      </c>
      <c r="G192" s="242" t="b">
        <f ca="1">F192=E35</f>
        <v>1</v>
      </c>
      <c r="H192" s="440">
        <f ca="1">SUM(H122,H128,H134,H140,H146,H152,H158,H164,H170,H176,H182,H188)</f>
        <v>15.599429899999997</v>
      </c>
      <c r="I192" s="440">
        <f t="shared" ref="I192:AD192" ca="1" si="111">SUM(I122,I128,I134,I140,I146,I152,I158,I164,I170,I176,I182,I188)</f>
        <v>52.002901856670995</v>
      </c>
      <c r="J192" s="440">
        <f t="shared" ca="1" si="111"/>
        <v>131.77641693211785</v>
      </c>
      <c r="K192" s="440">
        <f t="shared" ca="1" si="111"/>
        <v>181.67146137398106</v>
      </c>
      <c r="L192" s="440">
        <f t="shared" ca="1" si="111"/>
        <v>257.09235088807446</v>
      </c>
      <c r="M192" s="440">
        <f t="shared" ca="1" si="111"/>
        <v>236.57571780646825</v>
      </c>
      <c r="N192" s="440">
        <f t="shared" ca="1" si="111"/>
        <v>250.50547433233845</v>
      </c>
      <c r="O192" s="440">
        <f t="shared" ca="1" si="111"/>
        <v>341.84157759432532</v>
      </c>
      <c r="P192" s="440">
        <f t="shared" ca="1" si="111"/>
        <v>300.11546457350829</v>
      </c>
      <c r="Q192" s="440">
        <f t="shared" ca="1" si="111"/>
        <v>349.95994924983489</v>
      </c>
      <c r="R192" s="440">
        <f t="shared" ca="1" si="111"/>
        <v>312.15793641767908</v>
      </c>
      <c r="S192" s="440">
        <f t="shared" ca="1" si="111"/>
        <v>315.14688892475431</v>
      </c>
      <c r="T192" s="440">
        <f t="shared" ca="1" si="111"/>
        <v>336.48956460843453</v>
      </c>
      <c r="U192" s="440">
        <f t="shared" ca="1" si="111"/>
        <v>301.09118619365762</v>
      </c>
      <c r="V192" s="440">
        <f t="shared" ca="1" si="111"/>
        <v>283.50464639612892</v>
      </c>
      <c r="W192" s="440">
        <f t="shared" ca="1" si="111"/>
        <v>235.43803728732661</v>
      </c>
      <c r="X192" s="440">
        <f t="shared" ca="1" si="111"/>
        <v>224.78550178802897</v>
      </c>
      <c r="Y192" s="440">
        <f t="shared" ca="1" si="111"/>
        <v>276.11247131992315</v>
      </c>
      <c r="Z192" s="440">
        <f t="shared" ca="1" si="111"/>
        <v>225.65127862237085</v>
      </c>
      <c r="AA192" s="440">
        <f t="shared" ca="1" si="111"/>
        <v>257.90053230732036</v>
      </c>
      <c r="AB192" s="440">
        <f t="shared" ca="1" si="111"/>
        <v>200.54915072443561</v>
      </c>
      <c r="AC192" s="440">
        <f t="shared" ca="1" si="111"/>
        <v>189.81369893526679</v>
      </c>
      <c r="AD192" s="440">
        <f t="shared" ca="1" si="111"/>
        <v>207.0435234872505</v>
      </c>
    </row>
    <row r="193" spans="3:30" ht="14" thickTop="1">
      <c r="D193" s="422" t="s">
        <v>275</v>
      </c>
      <c r="E193" s="441">
        <f ca="1">E192/($E$4/10)</f>
        <v>242.92060781174766</v>
      </c>
    </row>
    <row r="194" spans="3:30">
      <c r="C194" s="191" t="s">
        <v>546</v>
      </c>
    </row>
    <row r="195" spans="3:30" ht="28">
      <c r="C195" s="428" t="s">
        <v>166</v>
      </c>
      <c r="D195" s="428" t="s">
        <v>88</v>
      </c>
      <c r="E195" s="428" t="s">
        <v>555</v>
      </c>
      <c r="F195" s="429" t="s">
        <v>556</v>
      </c>
      <c r="G195" s="430"/>
      <c r="H195" s="201">
        <f>H117</f>
        <v>46023</v>
      </c>
      <c r="I195" s="201">
        <f t="shared" ref="I195:AD195" si="112">I117</f>
        <v>46389</v>
      </c>
      <c r="J195" s="201">
        <f t="shared" si="112"/>
        <v>46755</v>
      </c>
      <c r="K195" s="201">
        <f t="shared" si="112"/>
        <v>47121</v>
      </c>
      <c r="L195" s="201">
        <f t="shared" si="112"/>
        <v>47487</v>
      </c>
      <c r="M195" s="201">
        <f t="shared" si="112"/>
        <v>47853</v>
      </c>
      <c r="N195" s="201">
        <f t="shared" si="112"/>
        <v>48219</v>
      </c>
      <c r="O195" s="201">
        <f t="shared" si="112"/>
        <v>48585</v>
      </c>
      <c r="P195" s="201">
        <f t="shared" si="112"/>
        <v>48951</v>
      </c>
      <c r="Q195" s="201">
        <f t="shared" si="112"/>
        <v>49317</v>
      </c>
      <c r="R195" s="201">
        <f t="shared" si="112"/>
        <v>49683</v>
      </c>
      <c r="S195" s="201">
        <f t="shared" si="112"/>
        <v>50049</v>
      </c>
      <c r="T195" s="201">
        <f t="shared" si="112"/>
        <v>50415</v>
      </c>
      <c r="U195" s="201">
        <f t="shared" si="112"/>
        <v>50781</v>
      </c>
      <c r="V195" s="201">
        <f t="shared" si="112"/>
        <v>51147</v>
      </c>
      <c r="W195" s="201">
        <f t="shared" si="112"/>
        <v>51513</v>
      </c>
      <c r="X195" s="201">
        <f t="shared" si="112"/>
        <v>51879</v>
      </c>
      <c r="Y195" s="201">
        <f t="shared" si="112"/>
        <v>52245</v>
      </c>
      <c r="Z195" s="201">
        <f t="shared" si="112"/>
        <v>52611</v>
      </c>
      <c r="AA195" s="201">
        <f t="shared" si="112"/>
        <v>52977</v>
      </c>
      <c r="AB195" s="201">
        <f t="shared" si="112"/>
        <v>53343</v>
      </c>
      <c r="AC195" s="201">
        <f t="shared" si="112"/>
        <v>53709</v>
      </c>
      <c r="AD195" s="201">
        <f t="shared" si="112"/>
        <v>54075</v>
      </c>
    </row>
    <row r="196" spans="3:30">
      <c r="C196" s="430"/>
      <c r="D196" s="430"/>
      <c r="E196" s="428" t="s">
        <v>134</v>
      </c>
      <c r="F196" s="428" t="s">
        <v>134</v>
      </c>
      <c r="G196" s="430"/>
      <c r="H196" s="1141">
        <f>H118</f>
        <v>-4</v>
      </c>
      <c r="I196" s="1141">
        <f t="shared" ref="I196:AD196" si="113">I118</f>
        <v>-3</v>
      </c>
      <c r="J196" s="1141">
        <f t="shared" si="113"/>
        <v>-2</v>
      </c>
      <c r="K196" s="1141">
        <f t="shared" si="113"/>
        <v>-1</v>
      </c>
      <c r="L196" s="1141">
        <f t="shared" si="113"/>
        <v>1</v>
      </c>
      <c r="M196" s="1141">
        <f t="shared" si="113"/>
        <v>2</v>
      </c>
      <c r="N196" s="1141">
        <f t="shared" si="113"/>
        <v>3</v>
      </c>
      <c r="O196" s="1141">
        <f t="shared" si="113"/>
        <v>4</v>
      </c>
      <c r="P196" s="1141">
        <f t="shared" si="113"/>
        <v>5</v>
      </c>
      <c r="Q196" s="1141">
        <f t="shared" si="113"/>
        <v>6</v>
      </c>
      <c r="R196" s="1141">
        <f t="shared" si="113"/>
        <v>7</v>
      </c>
      <c r="S196" s="1141">
        <f t="shared" si="113"/>
        <v>8</v>
      </c>
      <c r="T196" s="1141">
        <f t="shared" si="113"/>
        <v>9</v>
      </c>
      <c r="U196" s="1141">
        <f t="shared" si="113"/>
        <v>10</v>
      </c>
      <c r="V196" s="1141">
        <f t="shared" si="113"/>
        <v>11</v>
      </c>
      <c r="W196" s="1141">
        <f t="shared" si="113"/>
        <v>12</v>
      </c>
      <c r="X196" s="1141">
        <f t="shared" si="113"/>
        <v>13</v>
      </c>
      <c r="Y196" s="1141">
        <f t="shared" si="113"/>
        <v>14</v>
      </c>
      <c r="Z196" s="1141">
        <f t="shared" si="113"/>
        <v>15</v>
      </c>
      <c r="AA196" s="1141">
        <f t="shared" si="113"/>
        <v>16</v>
      </c>
      <c r="AB196" s="1141">
        <f t="shared" si="113"/>
        <v>17</v>
      </c>
      <c r="AC196" s="1141">
        <f t="shared" si="113"/>
        <v>18</v>
      </c>
      <c r="AD196" s="1141">
        <f t="shared" si="113"/>
        <v>19</v>
      </c>
    </row>
    <row r="197" spans="3:30">
      <c r="C197" s="191" t="str">
        <f>C41</f>
        <v xml:space="preserve">Pre-operative costs </v>
      </c>
    </row>
    <row r="198" spans="3:30">
      <c r="C198" s="201" cm="1">
        <f t="array" ref="C198:C220">TRANSPOSE(H195:AD195)</f>
        <v>46023</v>
      </c>
      <c r="D198" s="94" t="s">
        <v>134</v>
      </c>
      <c r="E198" s="424">
        <f t="shared" ref="E198:E220" ca="1" si="114">HLOOKUP($C198,$H$39:$AI$112,5,FALSE)</f>
        <v>138.87775999999997</v>
      </c>
      <c r="F198" s="209">
        <f ca="1">E198*$F$41</f>
        <v>13.887775999999997</v>
      </c>
      <c r="H198" s="424">
        <f ca="1">IF(OR(H$195&lt;$C198,H$195&lt;$H$2),0,MIN($E198-SUM($G198:G198),$F198))</f>
        <v>13.887775999999997</v>
      </c>
      <c r="I198" s="424">
        <f ca="1">IF(OR(I$195&lt;$C198,I$195&lt;$H$2),0,MIN($E198-SUM($G198:H198),$F198))</f>
        <v>13.887775999999997</v>
      </c>
      <c r="J198" s="424">
        <f ca="1">IF(OR(J$195&lt;$C198,J$195&lt;$H$2),0,MIN($E198-SUM($G198:I198),$F198))</f>
        <v>13.887775999999997</v>
      </c>
      <c r="K198" s="424">
        <f ca="1">IF(OR(K$195&lt;$C198,K$195&lt;$H$2),0,MIN($E198-SUM($G198:J198),$F198))</f>
        <v>13.887775999999997</v>
      </c>
      <c r="L198" s="424">
        <f ca="1">IF(OR(L$195&lt;$C198,L$195&lt;$H$2),0,MIN($E198-SUM($G198:K198),$F198))</f>
        <v>13.887775999999997</v>
      </c>
      <c r="M198" s="424">
        <f ca="1">IF(OR(M$195&lt;$C198,M$195&lt;$H$2),0,MIN($E198-SUM($G198:L198),$F198))</f>
        <v>13.887775999999997</v>
      </c>
      <c r="N198" s="424">
        <f ca="1">IF(OR(N$195&lt;$C198,N$195&lt;$H$2),0,MIN($E198-SUM($G198:M198),$F198))</f>
        <v>13.887775999999997</v>
      </c>
      <c r="O198" s="424">
        <f ca="1">IF(OR(O$195&lt;$C198,O$195&lt;$H$2),0,MIN($E198-SUM($G198:N198),$F198))</f>
        <v>13.887775999999997</v>
      </c>
      <c r="P198" s="424">
        <f ca="1">IF(OR(P$195&lt;$C198,P$195&lt;$H$2),0,MIN($E198-SUM($G198:O198),$F198))</f>
        <v>13.887775999999997</v>
      </c>
      <c r="Q198" s="424">
        <f ca="1">IF(OR(Q$195&lt;$C198,Q$195&lt;$H$2),0,MIN($E198-SUM($G198:P198),$F198))</f>
        <v>13.887775999999974</v>
      </c>
      <c r="R198" s="424">
        <f ca="1">IF(OR(R$195&lt;$C198,R$195&lt;$H$2),0,MIN($E198-SUM($G198:Q198),$F198))</f>
        <v>0</v>
      </c>
      <c r="S198" s="424">
        <f ca="1">IF(OR(S$195&lt;$C198,S$195&lt;$H$2),0,MIN($E198-SUM($G198:R198),$F198))</f>
        <v>0</v>
      </c>
      <c r="T198" s="424">
        <f ca="1">IF(OR(T$195&lt;$C198,T$195&lt;$H$2),0,MIN($E198-SUM($G198:S198),$F198))</f>
        <v>0</v>
      </c>
      <c r="U198" s="424">
        <f ca="1">IF(OR(U$195&lt;$C198,U$195&lt;$H$2),0,MIN($E198-SUM($G198:T198),$F198))</f>
        <v>0</v>
      </c>
      <c r="V198" s="424">
        <f ca="1">IF(OR(V$195&lt;$C198,V$195&lt;$H$2),0,MIN($E198-SUM($G198:U198),$F198))</f>
        <v>0</v>
      </c>
      <c r="W198" s="424">
        <f ca="1">IF(OR(W$195&lt;$C198,W$195&lt;$H$2),0,MIN($E198-SUM($G198:V198),$F198))</f>
        <v>0</v>
      </c>
      <c r="X198" s="424">
        <f ca="1">IF(OR(X$195&lt;$C198,X$195&lt;$H$2),0,MIN($E198-SUM($G198:W198),$F198))</f>
        <v>0</v>
      </c>
      <c r="Y198" s="424">
        <f ca="1">IF(OR(Y$195&lt;$C198,Y$195&lt;$H$2),0,MIN($E198-SUM($G198:X198),$F198))</f>
        <v>0</v>
      </c>
      <c r="Z198" s="424">
        <f ca="1">IF(OR(Z$195&lt;$C198,Z$195&lt;$H$2),0,MIN($E198-SUM($G198:Y198),$F198))</f>
        <v>0</v>
      </c>
      <c r="AA198" s="424">
        <f ca="1">IF(OR(AA$195&lt;$C198,AA$195&lt;$H$2),0,MIN($E198-SUM($G198:Z198),$F198))</f>
        <v>0</v>
      </c>
      <c r="AB198" s="424">
        <f ca="1">IF(OR(AB$195&lt;$C198,AB$195&lt;$H$2),0,MIN($E198-SUM($G198:AA198),$F198))</f>
        <v>0</v>
      </c>
      <c r="AC198" s="424">
        <f ca="1">IF(OR(AC$195&lt;$C198,AC$195&lt;$H$2),0,MIN($E198-SUM($G198:AB198),$F198))</f>
        <v>0</v>
      </c>
      <c r="AD198" s="424">
        <f ca="1">IF(OR(AD$195&lt;$C198,AD$195&lt;$H$2),0,MIN($E198-SUM($G198:AC198),$F198))</f>
        <v>0</v>
      </c>
    </row>
    <row r="199" spans="3:30">
      <c r="C199" s="201">
        <v>46389</v>
      </c>
      <c r="D199" s="94" t="s">
        <v>134</v>
      </c>
      <c r="E199" s="424">
        <f t="shared" ca="1" si="114"/>
        <v>32.27026</v>
      </c>
      <c r="F199" s="209">
        <f t="shared" ref="F199:F220" ca="1" si="115">E199*$F$41</f>
        <v>3.2270260000000004</v>
      </c>
      <c r="H199" s="424">
        <f>IF(OR(H$195&lt;$C199,H$195&lt;$H$2),0,MIN($E199-SUM($G199:G199),$F199))</f>
        <v>0</v>
      </c>
      <c r="I199" s="424">
        <f ca="1">IF(OR(I$195&lt;$C199,I$195&lt;$H$2),0,MIN($E199-SUM($G199:H199),$F199))</f>
        <v>3.2270260000000004</v>
      </c>
      <c r="J199" s="424">
        <f ca="1">IF(OR(J$195&lt;$C199,J$195&lt;$H$2),0,MIN($E199-SUM($G199:I199),$F199))</f>
        <v>3.2270260000000004</v>
      </c>
      <c r="K199" s="424">
        <f ca="1">IF(OR(K$195&lt;$C199,K$195&lt;$H$2),0,MIN($E199-SUM($G199:J199),$F199))</f>
        <v>3.2270260000000004</v>
      </c>
      <c r="L199" s="424">
        <f ca="1">IF(OR(L$195&lt;$C199,L$195&lt;$H$2),0,MIN($E199-SUM($G199:K199),$F199))</f>
        <v>3.2270260000000004</v>
      </c>
      <c r="M199" s="424">
        <f ca="1">IF(OR(M$195&lt;$C199,M$195&lt;$H$2),0,MIN($E199-SUM($G199:L199),$F199))</f>
        <v>3.2270260000000004</v>
      </c>
      <c r="N199" s="424">
        <f ca="1">IF(OR(N$195&lt;$C199,N$195&lt;$H$2),0,MIN($E199-SUM($G199:M199),$F199))</f>
        <v>3.2270260000000004</v>
      </c>
      <c r="O199" s="424">
        <f ca="1">IF(OR(O$195&lt;$C199,O$195&lt;$H$2),0,MIN($E199-SUM($G199:N199),$F199))</f>
        <v>3.2270260000000004</v>
      </c>
      <c r="P199" s="424">
        <f ca="1">IF(OR(P$195&lt;$C199,P$195&lt;$H$2),0,MIN($E199-SUM($G199:O199),$F199))</f>
        <v>3.2270260000000004</v>
      </c>
      <c r="Q199" s="424">
        <f ca="1">IF(OR(Q$195&lt;$C199,Q$195&lt;$H$2),0,MIN($E199-SUM($G199:P199),$F199))</f>
        <v>3.2270260000000004</v>
      </c>
      <c r="R199" s="424">
        <f ca="1">IF(OR(R$195&lt;$C199,R$195&lt;$H$2),0,MIN($E199-SUM($G199:Q199),$F199))</f>
        <v>3.227025999999988</v>
      </c>
      <c r="S199" s="424">
        <f ca="1">IF(OR(S$195&lt;$C199,S$195&lt;$H$2),0,MIN($E199-SUM($G199:R199),$F199))</f>
        <v>0</v>
      </c>
      <c r="T199" s="424">
        <f ca="1">IF(OR(T$195&lt;$C199,T$195&lt;$H$2),0,MIN($E199-SUM($G199:S199),$F199))</f>
        <v>0</v>
      </c>
      <c r="U199" s="424">
        <f ca="1">IF(OR(U$195&lt;$C199,U$195&lt;$H$2),0,MIN($E199-SUM($G199:T199),$F199))</f>
        <v>0</v>
      </c>
      <c r="V199" s="424">
        <f ca="1">IF(OR(V$195&lt;$C199,V$195&lt;$H$2),0,MIN($E199-SUM($G199:U199),$F199))</f>
        <v>0</v>
      </c>
      <c r="W199" s="424">
        <f ca="1">IF(OR(W$195&lt;$C199,W$195&lt;$H$2),0,MIN($E199-SUM($G199:V199),$F199))</f>
        <v>0</v>
      </c>
      <c r="X199" s="424">
        <f ca="1">IF(OR(X$195&lt;$C199,X$195&lt;$H$2),0,MIN($E199-SUM($G199:W199),$F199))</f>
        <v>0</v>
      </c>
      <c r="Y199" s="424">
        <f ca="1">IF(OR(Y$195&lt;$C199,Y$195&lt;$H$2),0,MIN($E199-SUM($G199:X199),$F199))</f>
        <v>0</v>
      </c>
      <c r="Z199" s="424">
        <f ca="1">IF(OR(Z$195&lt;$C199,Z$195&lt;$H$2),0,MIN($E199-SUM($G199:Y199),$F199))</f>
        <v>0</v>
      </c>
      <c r="AA199" s="424">
        <f ca="1">IF(OR(AA$195&lt;$C199,AA$195&lt;$H$2),0,MIN($E199-SUM($G199:Z199),$F199))</f>
        <v>0</v>
      </c>
      <c r="AB199" s="424">
        <f ca="1">IF(OR(AB$195&lt;$C199,AB$195&lt;$H$2),0,MIN($E199-SUM($G199:AA199),$F199))</f>
        <v>0</v>
      </c>
      <c r="AC199" s="424">
        <f ca="1">IF(OR(AC$195&lt;$C199,AC$195&lt;$H$2),0,MIN($E199-SUM($G199:AB199),$F199))</f>
        <v>0</v>
      </c>
      <c r="AD199" s="424">
        <f ca="1">IF(OR(AD$195&lt;$C199,AD$195&lt;$H$2),0,MIN($E199-SUM($G199:AC199),$F199))</f>
        <v>0</v>
      </c>
    </row>
    <row r="200" spans="3:30">
      <c r="C200" s="201">
        <v>46755</v>
      </c>
      <c r="D200" s="94" t="s">
        <v>134</v>
      </c>
      <c r="E200" s="424">
        <f t="shared" ca="1" si="114"/>
        <v>33.458260000000003</v>
      </c>
      <c r="F200" s="209">
        <f t="shared" ca="1" si="115"/>
        <v>3.3458260000000006</v>
      </c>
      <c r="H200" s="424">
        <f>IF(OR(H$195&lt;$C200,H$195&lt;$H$2),0,MIN($E200-SUM($G200:G200),$F200))</f>
        <v>0</v>
      </c>
      <c r="I200" s="424">
        <f>IF(OR(I$195&lt;$C200,I$195&lt;$H$2),0,MIN($E200-SUM($G200:H200),$F200))</f>
        <v>0</v>
      </c>
      <c r="J200" s="424">
        <f ca="1">IF(OR(J$195&lt;$C200,J$195&lt;$H$2),0,MIN($E200-SUM($G200:I200),$F200))</f>
        <v>3.3458260000000006</v>
      </c>
      <c r="K200" s="424">
        <f ca="1">IF(OR(K$195&lt;$C200,K$195&lt;$H$2),0,MIN($E200-SUM($G200:J200),$F200))</f>
        <v>3.3458260000000006</v>
      </c>
      <c r="L200" s="424">
        <f ca="1">IF(OR(L$195&lt;$C200,L$195&lt;$H$2),0,MIN($E200-SUM($G200:K200),$F200))</f>
        <v>3.3458260000000006</v>
      </c>
      <c r="M200" s="424">
        <f ca="1">IF(OR(M$195&lt;$C200,M$195&lt;$H$2),0,MIN($E200-SUM($G200:L200),$F200))</f>
        <v>3.3458260000000006</v>
      </c>
      <c r="N200" s="424">
        <f ca="1">IF(OR(N$195&lt;$C200,N$195&lt;$H$2),0,MIN($E200-SUM($G200:M200),$F200))</f>
        <v>3.3458260000000006</v>
      </c>
      <c r="O200" s="424">
        <f ca="1">IF(OR(O$195&lt;$C200,O$195&lt;$H$2),0,MIN($E200-SUM($G200:N200),$F200))</f>
        <v>3.3458260000000006</v>
      </c>
      <c r="P200" s="424">
        <f ca="1">IF(OR(P$195&lt;$C200,P$195&lt;$H$2),0,MIN($E200-SUM($G200:O200),$F200))</f>
        <v>3.3458260000000006</v>
      </c>
      <c r="Q200" s="424">
        <f ca="1">IF(OR(Q$195&lt;$C200,Q$195&lt;$H$2),0,MIN($E200-SUM($G200:P200),$F200))</f>
        <v>3.3458260000000006</v>
      </c>
      <c r="R200" s="424">
        <f ca="1">IF(OR(R$195&lt;$C200,R$195&lt;$H$2),0,MIN($E200-SUM($G200:Q200),$F200))</f>
        <v>3.3458260000000006</v>
      </c>
      <c r="S200" s="424">
        <f ca="1">IF(OR(S$195&lt;$C200,S$195&lt;$H$2),0,MIN($E200-SUM($G200:R200),$F200))</f>
        <v>3.3458259999999882</v>
      </c>
      <c r="T200" s="424">
        <f ca="1">IF(OR(T$195&lt;$C200,T$195&lt;$H$2),0,MIN($E200-SUM($G200:S200),$F200))</f>
        <v>0</v>
      </c>
      <c r="U200" s="424">
        <f ca="1">IF(OR(U$195&lt;$C200,U$195&lt;$H$2),0,MIN($E200-SUM($G200:T200),$F200))</f>
        <v>0</v>
      </c>
      <c r="V200" s="424">
        <f ca="1">IF(OR(V$195&lt;$C200,V$195&lt;$H$2),0,MIN($E200-SUM($G200:U200),$F200))</f>
        <v>0</v>
      </c>
      <c r="W200" s="424">
        <f ca="1">IF(OR(W$195&lt;$C200,W$195&lt;$H$2),0,MIN($E200-SUM($G200:V200),$F200))</f>
        <v>0</v>
      </c>
      <c r="X200" s="424">
        <f ca="1">IF(OR(X$195&lt;$C200,X$195&lt;$H$2),0,MIN($E200-SUM($G200:W200),$F200))</f>
        <v>0</v>
      </c>
      <c r="Y200" s="424">
        <f ca="1">IF(OR(Y$195&lt;$C200,Y$195&lt;$H$2),0,MIN($E200-SUM($G200:X200),$F200))</f>
        <v>0</v>
      </c>
      <c r="Z200" s="424">
        <f ca="1">IF(OR(Z$195&lt;$C200,Z$195&lt;$H$2),0,MIN($E200-SUM($G200:Y200),$F200))</f>
        <v>0</v>
      </c>
      <c r="AA200" s="424">
        <f ca="1">IF(OR(AA$195&lt;$C200,AA$195&lt;$H$2),0,MIN($E200-SUM($G200:Z200),$F200))</f>
        <v>0</v>
      </c>
      <c r="AB200" s="424">
        <f ca="1">IF(OR(AB$195&lt;$C200,AB$195&lt;$H$2),0,MIN($E200-SUM($G200:AA200),$F200))</f>
        <v>0</v>
      </c>
      <c r="AC200" s="424">
        <f ca="1">IF(OR(AC$195&lt;$C200,AC$195&lt;$H$2),0,MIN($E200-SUM($G200:AB200),$F200))</f>
        <v>0</v>
      </c>
      <c r="AD200" s="424">
        <f ca="1">IF(OR(AD$195&lt;$C200,AD$195&lt;$H$2),0,MIN($E200-SUM($G200:AC200),$F200))</f>
        <v>0</v>
      </c>
    </row>
    <row r="201" spans="3:30">
      <c r="C201" s="201">
        <v>47121</v>
      </c>
      <c r="D201" s="94" t="s">
        <v>134</v>
      </c>
      <c r="E201" s="424">
        <f t="shared" ca="1" si="114"/>
        <v>59.055759999999999</v>
      </c>
      <c r="F201" s="209">
        <f t="shared" ca="1" si="115"/>
        <v>5.9055759999999999</v>
      </c>
      <c r="H201" s="424">
        <f>IF(OR(H$195&lt;$C201,H$195&lt;$H$2),0,MIN($E201-SUM($G201:G201),$F201))</f>
        <v>0</v>
      </c>
      <c r="I201" s="424">
        <f>IF(OR(I$195&lt;$C201,I$195&lt;$H$2),0,MIN($E201-SUM($G201:H201),$F201))</f>
        <v>0</v>
      </c>
      <c r="J201" s="424">
        <f>IF(OR(J$195&lt;$C201,J$195&lt;$H$2),0,MIN($E201-SUM($G201:I201),$F201))</f>
        <v>0</v>
      </c>
      <c r="K201" s="424">
        <f ca="1">IF(OR(K$195&lt;$C201,K$195&lt;$H$2),0,MIN($E201-SUM($G201:J201),$F201))</f>
        <v>5.9055759999999999</v>
      </c>
      <c r="L201" s="424">
        <f ca="1">IF(OR(L$195&lt;$C201,L$195&lt;$H$2),0,MIN($E201-SUM($G201:K201),$F201))</f>
        <v>5.9055759999999999</v>
      </c>
      <c r="M201" s="424">
        <f ca="1">IF(OR(M$195&lt;$C201,M$195&lt;$H$2),0,MIN($E201-SUM($G201:L201),$F201))</f>
        <v>5.9055759999999999</v>
      </c>
      <c r="N201" s="424">
        <f ca="1">IF(OR(N$195&lt;$C201,N$195&lt;$H$2),0,MIN($E201-SUM($G201:M201),$F201))</f>
        <v>5.9055759999999999</v>
      </c>
      <c r="O201" s="424">
        <f ca="1">IF(OR(O$195&lt;$C201,O$195&lt;$H$2),0,MIN($E201-SUM($G201:N201),$F201))</f>
        <v>5.9055759999999999</v>
      </c>
      <c r="P201" s="424">
        <f ca="1">IF(OR(P$195&lt;$C201,P$195&lt;$H$2),0,MIN($E201-SUM($G201:O201),$F201))</f>
        <v>5.9055759999999999</v>
      </c>
      <c r="Q201" s="424">
        <f ca="1">IF(OR(Q$195&lt;$C201,Q$195&lt;$H$2),0,MIN($E201-SUM($G201:P201),$F201))</f>
        <v>5.9055759999999999</v>
      </c>
      <c r="R201" s="424">
        <f ca="1">IF(OR(R$195&lt;$C201,R$195&lt;$H$2),0,MIN($E201-SUM($G201:Q201),$F201))</f>
        <v>5.9055759999999999</v>
      </c>
      <c r="S201" s="424">
        <f ca="1">IF(OR(S$195&lt;$C201,S$195&lt;$H$2),0,MIN($E201-SUM($G201:R201),$F201))</f>
        <v>5.9055759999999999</v>
      </c>
      <c r="T201" s="424">
        <f ca="1">IF(OR(T$195&lt;$C201,T$195&lt;$H$2),0,MIN($E201-SUM($G201:S201),$F201))</f>
        <v>5.9055759999999999</v>
      </c>
      <c r="U201" s="424">
        <f ca="1">IF(OR(U$195&lt;$C201,U$195&lt;$H$2),0,MIN($E201-SUM($G201:T201),$F201))</f>
        <v>7.1054273576010019E-15</v>
      </c>
      <c r="V201" s="424">
        <f ca="1">IF(OR(V$195&lt;$C201,V$195&lt;$H$2),0,MIN($E201-SUM($G201:U201),$F201))</f>
        <v>0</v>
      </c>
      <c r="W201" s="424">
        <f ca="1">IF(OR(W$195&lt;$C201,W$195&lt;$H$2),0,MIN($E201-SUM($G201:V201),$F201))</f>
        <v>0</v>
      </c>
      <c r="X201" s="424">
        <f ca="1">IF(OR(X$195&lt;$C201,X$195&lt;$H$2),0,MIN($E201-SUM($G201:W201),$F201))</f>
        <v>0</v>
      </c>
      <c r="Y201" s="424">
        <f ca="1">IF(OR(Y$195&lt;$C201,Y$195&lt;$H$2),0,MIN($E201-SUM($G201:X201),$F201))</f>
        <v>0</v>
      </c>
      <c r="Z201" s="424">
        <f ca="1">IF(OR(Z$195&lt;$C201,Z$195&lt;$H$2),0,MIN($E201-SUM($G201:Y201),$F201))</f>
        <v>0</v>
      </c>
      <c r="AA201" s="424">
        <f ca="1">IF(OR(AA$195&lt;$C201,AA$195&lt;$H$2),0,MIN($E201-SUM($G201:Z201),$F201))</f>
        <v>0</v>
      </c>
      <c r="AB201" s="424">
        <f ca="1">IF(OR(AB$195&lt;$C201,AB$195&lt;$H$2),0,MIN($E201-SUM($G201:AA201),$F201))</f>
        <v>0</v>
      </c>
      <c r="AC201" s="424">
        <f ca="1">IF(OR(AC$195&lt;$C201,AC$195&lt;$H$2),0,MIN($E201-SUM($G201:AB201),$F201))</f>
        <v>0</v>
      </c>
      <c r="AD201" s="424">
        <f ca="1">IF(OR(AD$195&lt;$C201,AD$195&lt;$H$2),0,MIN($E201-SUM($G201:AC201),$F201))</f>
        <v>0</v>
      </c>
    </row>
    <row r="202" spans="3:30">
      <c r="C202" s="201">
        <v>47487</v>
      </c>
      <c r="D202" s="94" t="s">
        <v>134</v>
      </c>
      <c r="E202" s="424">
        <f t="shared" si="114"/>
        <v>49.534999999999997</v>
      </c>
      <c r="F202" s="209">
        <f t="shared" si="115"/>
        <v>4.9535</v>
      </c>
      <c r="H202" s="424">
        <f>IF(OR(H$195&lt;$C202,H$195&lt;$H$2),0,MIN($E202-SUM($G202:G202),$F202))</f>
        <v>0</v>
      </c>
      <c r="I202" s="424">
        <f>IF(OR(I$195&lt;$C202,I$195&lt;$H$2),0,MIN($E202-SUM($G202:H202),$F202))</f>
        <v>0</v>
      </c>
      <c r="J202" s="424">
        <f>IF(OR(J$195&lt;$C202,J$195&lt;$H$2),0,MIN($E202-SUM($G202:I202),$F202))</f>
        <v>0</v>
      </c>
      <c r="K202" s="424">
        <f>IF(OR(K$195&lt;$C202,K$195&lt;$H$2),0,MIN($E202-SUM($G202:J202),$F202))</f>
        <v>0</v>
      </c>
      <c r="L202" s="424">
        <f>IF(OR(L$195&lt;$C202,L$195&lt;$H$2),0,MIN($E202-SUM($G202:K202),$F202))</f>
        <v>4.9535</v>
      </c>
      <c r="M202" s="424">
        <f>IF(OR(M$195&lt;$C202,M$195&lt;$H$2),0,MIN($E202-SUM($G202:L202),$F202))</f>
        <v>4.9535</v>
      </c>
      <c r="N202" s="424">
        <f>IF(OR(N$195&lt;$C202,N$195&lt;$H$2),0,MIN($E202-SUM($G202:M202),$F202))</f>
        <v>4.9535</v>
      </c>
      <c r="O202" s="424">
        <f>IF(OR(O$195&lt;$C202,O$195&lt;$H$2),0,MIN($E202-SUM($G202:N202),$F202))</f>
        <v>4.9535</v>
      </c>
      <c r="P202" s="424">
        <f>IF(OR(P$195&lt;$C202,P$195&lt;$H$2),0,MIN($E202-SUM($G202:O202),$F202))</f>
        <v>4.9535</v>
      </c>
      <c r="Q202" s="424">
        <f>IF(OR(Q$195&lt;$C202,Q$195&lt;$H$2),0,MIN($E202-SUM($G202:P202),$F202))</f>
        <v>4.9535</v>
      </c>
      <c r="R202" s="424">
        <f>IF(OR(R$195&lt;$C202,R$195&lt;$H$2),0,MIN($E202-SUM($G202:Q202),$F202))</f>
        <v>4.9535</v>
      </c>
      <c r="S202" s="424">
        <f>IF(OR(S$195&lt;$C202,S$195&lt;$H$2),0,MIN($E202-SUM($G202:R202),$F202))</f>
        <v>4.9535</v>
      </c>
      <c r="T202" s="424">
        <f>IF(OR(T$195&lt;$C202,T$195&lt;$H$2),0,MIN($E202-SUM($G202:S202),$F202))</f>
        <v>4.9535</v>
      </c>
      <c r="U202" s="424">
        <f>IF(OR(U$195&lt;$C202,U$195&lt;$H$2),0,MIN($E202-SUM($G202:T202),$F202))</f>
        <v>4.9535</v>
      </c>
      <c r="V202" s="424">
        <f>IF(OR(V$195&lt;$C202,V$195&lt;$H$2),0,MIN($E202-SUM($G202:U202),$F202))</f>
        <v>7.1054273576010019E-15</v>
      </c>
      <c r="W202" s="424">
        <f>IF(OR(W$195&lt;$C202,W$195&lt;$H$2),0,MIN($E202-SUM($G202:V202),$F202))</f>
        <v>0</v>
      </c>
      <c r="X202" s="424">
        <f>IF(OR(X$195&lt;$C202,X$195&lt;$H$2),0,MIN($E202-SUM($G202:W202),$F202))</f>
        <v>0</v>
      </c>
      <c r="Y202" s="424">
        <f>IF(OR(Y$195&lt;$C202,Y$195&lt;$H$2),0,MIN($E202-SUM($G202:X202),$F202))</f>
        <v>0</v>
      </c>
      <c r="Z202" s="424">
        <f>IF(OR(Z$195&lt;$C202,Z$195&lt;$H$2),0,MIN($E202-SUM($G202:Y202),$F202))</f>
        <v>0</v>
      </c>
      <c r="AA202" s="424">
        <f>IF(OR(AA$195&lt;$C202,AA$195&lt;$H$2),0,MIN($E202-SUM($G202:Z202),$F202))</f>
        <v>0</v>
      </c>
      <c r="AB202" s="424">
        <f>IF(OR(AB$195&lt;$C202,AB$195&lt;$H$2),0,MIN($E202-SUM($G202:AA202),$F202))</f>
        <v>0</v>
      </c>
      <c r="AC202" s="424">
        <f>IF(OR(AC$195&lt;$C202,AC$195&lt;$H$2),0,MIN($E202-SUM($G202:AB202),$F202))</f>
        <v>0</v>
      </c>
      <c r="AD202" s="424">
        <f>IF(OR(AD$195&lt;$C202,AD$195&lt;$H$2),0,MIN($E202-SUM($G202:AC202),$F202))</f>
        <v>0</v>
      </c>
    </row>
    <row r="203" spans="3:30">
      <c r="C203" s="201">
        <v>47853</v>
      </c>
      <c r="D203" s="94" t="s">
        <v>134</v>
      </c>
      <c r="E203" s="424">
        <f t="shared" si="114"/>
        <v>0</v>
      </c>
      <c r="F203" s="209">
        <f t="shared" si="115"/>
        <v>0</v>
      </c>
      <c r="H203" s="424">
        <f>IF(OR(H$195&lt;$C203,H$195&lt;$H$2),0,MIN($E203-SUM($G203:G203),$F203))</f>
        <v>0</v>
      </c>
      <c r="I203" s="424">
        <f>IF(OR(I$195&lt;$C203,I$195&lt;$H$2),0,MIN($E203-SUM($G203:H203),$F203))</f>
        <v>0</v>
      </c>
      <c r="J203" s="424">
        <f>IF(OR(J$195&lt;$C203,J$195&lt;$H$2),0,MIN($E203-SUM($G203:I203),$F203))</f>
        <v>0</v>
      </c>
      <c r="K203" s="424">
        <f>IF(OR(K$195&lt;$C203,K$195&lt;$H$2),0,MIN($E203-SUM($G203:J203),$F203))</f>
        <v>0</v>
      </c>
      <c r="L203" s="424">
        <f>IF(OR(L$195&lt;$C203,L$195&lt;$H$2),0,MIN($E203-SUM($G203:K203),$F203))</f>
        <v>0</v>
      </c>
      <c r="M203" s="424">
        <f>IF(OR(M$195&lt;$C203,M$195&lt;$H$2),0,MIN($E203-SUM($G203:L203),$F203))</f>
        <v>0</v>
      </c>
      <c r="N203" s="424">
        <f>IF(OR(N$195&lt;$C203,N$195&lt;$H$2),0,MIN($E203-SUM($G203:M203),$F203))</f>
        <v>0</v>
      </c>
      <c r="O203" s="424">
        <f>IF(OR(O$195&lt;$C203,O$195&lt;$H$2),0,MIN($E203-SUM($G203:N203),$F203))</f>
        <v>0</v>
      </c>
      <c r="P203" s="424">
        <f>IF(OR(P$195&lt;$C203,P$195&lt;$H$2),0,MIN($E203-SUM($G203:O203),$F203))</f>
        <v>0</v>
      </c>
      <c r="Q203" s="424">
        <f>IF(OR(Q$195&lt;$C203,Q$195&lt;$H$2),0,MIN($E203-SUM($G203:P203),$F203))</f>
        <v>0</v>
      </c>
      <c r="R203" s="424">
        <f>IF(OR(R$195&lt;$C203,R$195&lt;$H$2),0,MIN($E203-SUM($G203:Q203),$F203))</f>
        <v>0</v>
      </c>
      <c r="S203" s="424">
        <f>IF(OR(S$195&lt;$C203,S$195&lt;$H$2),0,MIN($E203-SUM($G203:R203),$F203))</f>
        <v>0</v>
      </c>
      <c r="T203" s="424">
        <f>IF(OR(T$195&lt;$C203,T$195&lt;$H$2),0,MIN($E203-SUM($G203:S203),$F203))</f>
        <v>0</v>
      </c>
      <c r="U203" s="424">
        <f>IF(OR(U$195&lt;$C203,U$195&lt;$H$2),0,MIN($E203-SUM($G203:T203),$F203))</f>
        <v>0</v>
      </c>
      <c r="V203" s="424">
        <f>IF(OR(V$195&lt;$C203,V$195&lt;$H$2),0,MIN($E203-SUM($G203:U203),$F203))</f>
        <v>0</v>
      </c>
      <c r="W203" s="424">
        <f>IF(OR(W$195&lt;$C203,W$195&lt;$H$2),0,MIN($E203-SUM($G203:V203),$F203))</f>
        <v>0</v>
      </c>
      <c r="X203" s="424">
        <f>IF(OR(X$195&lt;$C203,X$195&lt;$H$2),0,MIN($E203-SUM($G203:W203),$F203))</f>
        <v>0</v>
      </c>
      <c r="Y203" s="424">
        <f>IF(OR(Y$195&lt;$C203,Y$195&lt;$H$2),0,MIN($E203-SUM($G203:X203),$F203))</f>
        <v>0</v>
      </c>
      <c r="Z203" s="424">
        <f>IF(OR(Z$195&lt;$C203,Z$195&lt;$H$2),0,MIN($E203-SUM($G203:Y203),$F203))</f>
        <v>0</v>
      </c>
      <c r="AA203" s="424">
        <f>IF(OR(AA$195&lt;$C203,AA$195&lt;$H$2),0,MIN($E203-SUM($G203:Z203),$F203))</f>
        <v>0</v>
      </c>
      <c r="AB203" s="424">
        <f>IF(OR(AB$195&lt;$C203,AB$195&lt;$H$2),0,MIN($E203-SUM($G203:AA203),$F203))</f>
        <v>0</v>
      </c>
      <c r="AC203" s="424">
        <f>IF(OR(AC$195&lt;$C203,AC$195&lt;$H$2),0,MIN($E203-SUM($G203:AB203),$F203))</f>
        <v>0</v>
      </c>
      <c r="AD203" s="424">
        <f>IF(OR(AD$195&lt;$C203,AD$195&lt;$H$2),0,MIN($E203-SUM($G203:AC203),$F203))</f>
        <v>0</v>
      </c>
    </row>
    <row r="204" spans="3:30">
      <c r="C204" s="201">
        <v>48219</v>
      </c>
      <c r="D204" s="94" t="s">
        <v>134</v>
      </c>
      <c r="E204" s="424">
        <f t="shared" si="114"/>
        <v>0</v>
      </c>
      <c r="F204" s="209">
        <f t="shared" si="115"/>
        <v>0</v>
      </c>
      <c r="H204" s="424">
        <f>IF(OR(H$195&lt;$C204,H$195&lt;$H$2),0,MIN($E204-SUM($G204:G204),$F204))</f>
        <v>0</v>
      </c>
      <c r="I204" s="424">
        <f>IF(OR(I$195&lt;$C204,I$195&lt;$H$2),0,MIN($E204-SUM($G204:H204),$F204))</f>
        <v>0</v>
      </c>
      <c r="J204" s="424">
        <f>IF(OR(J$195&lt;$C204,J$195&lt;$H$2),0,MIN($E204-SUM($G204:I204),$F204))</f>
        <v>0</v>
      </c>
      <c r="K204" s="424">
        <f>IF(OR(K$195&lt;$C204,K$195&lt;$H$2),0,MIN($E204-SUM($G204:J204),$F204))</f>
        <v>0</v>
      </c>
      <c r="L204" s="424">
        <f>IF(OR(L$195&lt;$C204,L$195&lt;$H$2),0,MIN($E204-SUM($G204:K204),$F204))</f>
        <v>0</v>
      </c>
      <c r="M204" s="424">
        <f>IF(OR(M$195&lt;$C204,M$195&lt;$H$2),0,MIN($E204-SUM($G204:L204),$F204))</f>
        <v>0</v>
      </c>
      <c r="N204" s="424">
        <f>IF(OR(N$195&lt;$C204,N$195&lt;$H$2),0,MIN($E204-SUM($G204:M204),$F204))</f>
        <v>0</v>
      </c>
      <c r="O204" s="424">
        <f>IF(OR(O$195&lt;$C204,O$195&lt;$H$2),0,MIN($E204-SUM($G204:N204),$F204))</f>
        <v>0</v>
      </c>
      <c r="P204" s="424">
        <f>IF(OR(P$195&lt;$C204,P$195&lt;$H$2),0,MIN($E204-SUM($G204:O204),$F204))</f>
        <v>0</v>
      </c>
      <c r="Q204" s="424">
        <f>IF(OR(Q$195&lt;$C204,Q$195&lt;$H$2),0,MIN($E204-SUM($G204:P204),$F204))</f>
        <v>0</v>
      </c>
      <c r="R204" s="424">
        <f>IF(OR(R$195&lt;$C204,R$195&lt;$H$2),0,MIN($E204-SUM($G204:Q204),$F204))</f>
        <v>0</v>
      </c>
      <c r="S204" s="424">
        <f>IF(OR(S$195&lt;$C204,S$195&lt;$H$2),0,MIN($E204-SUM($G204:R204),$F204))</f>
        <v>0</v>
      </c>
      <c r="T204" s="424">
        <f>IF(OR(T$195&lt;$C204,T$195&lt;$H$2),0,MIN($E204-SUM($G204:S204),$F204))</f>
        <v>0</v>
      </c>
      <c r="U204" s="424">
        <f>IF(OR(U$195&lt;$C204,U$195&lt;$H$2),0,MIN($E204-SUM($G204:T204),$F204))</f>
        <v>0</v>
      </c>
      <c r="V204" s="424">
        <f>IF(OR(V$195&lt;$C204,V$195&lt;$H$2),0,MIN($E204-SUM($G204:U204),$F204))</f>
        <v>0</v>
      </c>
      <c r="W204" s="424">
        <f>IF(OR(W$195&lt;$C204,W$195&lt;$H$2),0,MIN($E204-SUM($G204:V204),$F204))</f>
        <v>0</v>
      </c>
      <c r="X204" s="424">
        <f>IF(OR(X$195&lt;$C204,X$195&lt;$H$2),0,MIN($E204-SUM($G204:W204),$F204))</f>
        <v>0</v>
      </c>
      <c r="Y204" s="424">
        <f>IF(OR(Y$195&lt;$C204,Y$195&lt;$H$2),0,MIN($E204-SUM($G204:X204),$F204))</f>
        <v>0</v>
      </c>
      <c r="Z204" s="424">
        <f>IF(OR(Z$195&lt;$C204,Z$195&lt;$H$2),0,MIN($E204-SUM($G204:Y204),$F204))</f>
        <v>0</v>
      </c>
      <c r="AA204" s="424">
        <f>IF(OR(AA$195&lt;$C204,AA$195&lt;$H$2),0,MIN($E204-SUM($G204:Z204),$F204))</f>
        <v>0</v>
      </c>
      <c r="AB204" s="424">
        <f>IF(OR(AB$195&lt;$C204,AB$195&lt;$H$2),0,MIN($E204-SUM($G204:AA204),$F204))</f>
        <v>0</v>
      </c>
      <c r="AC204" s="424">
        <f>IF(OR(AC$195&lt;$C204,AC$195&lt;$H$2),0,MIN($E204-SUM($G204:AB204),$F204))</f>
        <v>0</v>
      </c>
      <c r="AD204" s="424">
        <f>IF(OR(AD$195&lt;$C204,AD$195&lt;$H$2),0,MIN($E204-SUM($G204:AC204),$F204))</f>
        <v>0</v>
      </c>
    </row>
    <row r="205" spans="3:30">
      <c r="C205" s="201">
        <v>48585</v>
      </c>
      <c r="D205" s="94" t="s">
        <v>134</v>
      </c>
      <c r="E205" s="424">
        <f t="shared" si="114"/>
        <v>0</v>
      </c>
      <c r="F205" s="209">
        <f t="shared" si="115"/>
        <v>0</v>
      </c>
      <c r="H205" s="424">
        <f>IF(OR(H$195&lt;$C205,H$195&lt;$H$2),0,MIN($E205-SUM($G205:G205),$F205))</f>
        <v>0</v>
      </c>
      <c r="I205" s="424">
        <f>IF(OR(I$195&lt;$C205,I$195&lt;$H$2),0,MIN($E205-SUM($G205:H205),$F205))</f>
        <v>0</v>
      </c>
      <c r="J205" s="424">
        <f>IF(OR(J$195&lt;$C205,J$195&lt;$H$2),0,MIN($E205-SUM($G205:I205),$F205))</f>
        <v>0</v>
      </c>
      <c r="K205" s="424">
        <f>IF(OR(K$195&lt;$C205,K$195&lt;$H$2),0,MIN($E205-SUM($G205:J205),$F205))</f>
        <v>0</v>
      </c>
      <c r="L205" s="424">
        <f>IF(OR(L$195&lt;$C205,L$195&lt;$H$2),0,MIN($E205-SUM($G205:K205),$F205))</f>
        <v>0</v>
      </c>
      <c r="M205" s="424">
        <f>IF(OR(M$195&lt;$C205,M$195&lt;$H$2),0,MIN($E205-SUM($G205:L205),$F205))</f>
        <v>0</v>
      </c>
      <c r="N205" s="424">
        <f>IF(OR(N$195&lt;$C205,N$195&lt;$H$2),0,MIN($E205-SUM($G205:M205),$F205))</f>
        <v>0</v>
      </c>
      <c r="O205" s="424">
        <f>IF(OR(O$195&lt;$C205,O$195&lt;$H$2),0,MIN($E205-SUM($G205:N205),$F205))</f>
        <v>0</v>
      </c>
      <c r="P205" s="424">
        <f>IF(OR(P$195&lt;$C205,P$195&lt;$H$2),0,MIN($E205-SUM($G205:O205),$F205))</f>
        <v>0</v>
      </c>
      <c r="Q205" s="424">
        <f>IF(OR(Q$195&lt;$C205,Q$195&lt;$H$2),0,MIN($E205-SUM($G205:P205),$F205))</f>
        <v>0</v>
      </c>
      <c r="R205" s="424">
        <f>IF(OR(R$195&lt;$C205,R$195&lt;$H$2),0,MIN($E205-SUM($G205:Q205),$F205))</f>
        <v>0</v>
      </c>
      <c r="S205" s="424">
        <f>IF(OR(S$195&lt;$C205,S$195&lt;$H$2),0,MIN($E205-SUM($G205:R205),$F205))</f>
        <v>0</v>
      </c>
      <c r="T205" s="424">
        <f>IF(OR(T$195&lt;$C205,T$195&lt;$H$2),0,MIN($E205-SUM($G205:S205),$F205))</f>
        <v>0</v>
      </c>
      <c r="U205" s="424">
        <f>IF(OR(U$195&lt;$C205,U$195&lt;$H$2),0,MIN($E205-SUM($G205:T205),$F205))</f>
        <v>0</v>
      </c>
      <c r="V205" s="424">
        <f>IF(OR(V$195&lt;$C205,V$195&lt;$H$2),0,MIN($E205-SUM($G205:U205),$F205))</f>
        <v>0</v>
      </c>
      <c r="W205" s="424">
        <f>IF(OR(W$195&lt;$C205,W$195&lt;$H$2),0,MIN($E205-SUM($G205:V205),$F205))</f>
        <v>0</v>
      </c>
      <c r="X205" s="424">
        <f>IF(OR(X$195&lt;$C205,X$195&lt;$H$2),0,MIN($E205-SUM($G205:W205),$F205))</f>
        <v>0</v>
      </c>
      <c r="Y205" s="424">
        <f>IF(OR(Y$195&lt;$C205,Y$195&lt;$H$2),0,MIN($E205-SUM($G205:X205),$F205))</f>
        <v>0</v>
      </c>
      <c r="Z205" s="424">
        <f>IF(OR(Z$195&lt;$C205,Z$195&lt;$H$2),0,MIN($E205-SUM($G205:Y205),$F205))</f>
        <v>0</v>
      </c>
      <c r="AA205" s="424">
        <f>IF(OR(AA$195&lt;$C205,AA$195&lt;$H$2),0,MIN($E205-SUM($G205:Z205),$F205))</f>
        <v>0</v>
      </c>
      <c r="AB205" s="424">
        <f>IF(OR(AB$195&lt;$C205,AB$195&lt;$H$2),0,MIN($E205-SUM($G205:AA205),$F205))</f>
        <v>0</v>
      </c>
      <c r="AC205" s="424">
        <f>IF(OR(AC$195&lt;$C205,AC$195&lt;$H$2),0,MIN($E205-SUM($G205:AB205),$F205))</f>
        <v>0</v>
      </c>
      <c r="AD205" s="424">
        <f>IF(OR(AD$195&lt;$C205,AD$195&lt;$H$2),0,MIN($E205-SUM($G205:AC205),$F205))</f>
        <v>0</v>
      </c>
    </row>
    <row r="206" spans="3:30">
      <c r="C206" s="201">
        <v>48951</v>
      </c>
      <c r="D206" s="94" t="s">
        <v>134</v>
      </c>
      <c r="E206" s="424">
        <f t="shared" si="114"/>
        <v>0</v>
      </c>
      <c r="F206" s="209">
        <f t="shared" si="115"/>
        <v>0</v>
      </c>
      <c r="H206" s="424">
        <f>IF(OR(H$195&lt;$C206,H$195&lt;$H$2),0,MIN($E206-SUM($G206:G206),$F206))</f>
        <v>0</v>
      </c>
      <c r="I206" s="424">
        <f>IF(OR(I$195&lt;$C206,I$195&lt;$H$2),0,MIN($E206-SUM($G206:H206),$F206))</f>
        <v>0</v>
      </c>
      <c r="J206" s="424">
        <f>IF(OR(J$195&lt;$C206,J$195&lt;$H$2),0,MIN($E206-SUM($G206:I206),$F206))</f>
        <v>0</v>
      </c>
      <c r="K206" s="424">
        <f>IF(OR(K$195&lt;$C206,K$195&lt;$H$2),0,MIN($E206-SUM($G206:J206),$F206))</f>
        <v>0</v>
      </c>
      <c r="L206" s="424">
        <f>IF(OR(L$195&lt;$C206,L$195&lt;$H$2),0,MIN($E206-SUM($G206:K206),$F206))</f>
        <v>0</v>
      </c>
      <c r="M206" s="424">
        <f>IF(OR(M$195&lt;$C206,M$195&lt;$H$2),0,MIN($E206-SUM($G206:L206),$F206))</f>
        <v>0</v>
      </c>
      <c r="N206" s="424">
        <f>IF(OR(N$195&lt;$C206,N$195&lt;$H$2),0,MIN($E206-SUM($G206:M206),$F206))</f>
        <v>0</v>
      </c>
      <c r="O206" s="424">
        <f>IF(OR(O$195&lt;$C206,O$195&lt;$H$2),0,MIN($E206-SUM($G206:N206),$F206))</f>
        <v>0</v>
      </c>
      <c r="P206" s="424">
        <f>IF(OR(P$195&lt;$C206,P$195&lt;$H$2),0,MIN($E206-SUM($G206:O206),$F206))</f>
        <v>0</v>
      </c>
      <c r="Q206" s="424">
        <f>IF(OR(Q$195&lt;$C206,Q$195&lt;$H$2),0,MIN($E206-SUM($G206:P206),$F206))</f>
        <v>0</v>
      </c>
      <c r="R206" s="424">
        <f>IF(OR(R$195&lt;$C206,R$195&lt;$H$2),0,MIN($E206-SUM($G206:Q206),$F206))</f>
        <v>0</v>
      </c>
      <c r="S206" s="424">
        <f>IF(OR(S$195&lt;$C206,S$195&lt;$H$2),0,MIN($E206-SUM($G206:R206),$F206))</f>
        <v>0</v>
      </c>
      <c r="T206" s="424">
        <f>IF(OR(T$195&lt;$C206,T$195&lt;$H$2),0,MIN($E206-SUM($G206:S206),$F206))</f>
        <v>0</v>
      </c>
      <c r="U206" s="424">
        <f>IF(OR(U$195&lt;$C206,U$195&lt;$H$2),0,MIN($E206-SUM($G206:T206),$F206))</f>
        <v>0</v>
      </c>
      <c r="V206" s="424">
        <f>IF(OR(V$195&lt;$C206,V$195&lt;$H$2),0,MIN($E206-SUM($G206:U206),$F206))</f>
        <v>0</v>
      </c>
      <c r="W206" s="424">
        <f>IF(OR(W$195&lt;$C206,W$195&lt;$H$2),0,MIN($E206-SUM($G206:V206),$F206))</f>
        <v>0</v>
      </c>
      <c r="X206" s="424">
        <f>IF(OR(X$195&lt;$C206,X$195&lt;$H$2),0,MIN($E206-SUM($G206:W206),$F206))</f>
        <v>0</v>
      </c>
      <c r="Y206" s="424">
        <f>IF(OR(Y$195&lt;$C206,Y$195&lt;$H$2),0,MIN($E206-SUM($G206:X206),$F206))</f>
        <v>0</v>
      </c>
      <c r="Z206" s="424">
        <f>IF(OR(Z$195&lt;$C206,Z$195&lt;$H$2),0,MIN($E206-SUM($G206:Y206),$F206))</f>
        <v>0</v>
      </c>
      <c r="AA206" s="424">
        <f>IF(OR(AA$195&lt;$C206,AA$195&lt;$H$2),0,MIN($E206-SUM($G206:Z206),$F206))</f>
        <v>0</v>
      </c>
      <c r="AB206" s="424">
        <f>IF(OR(AB$195&lt;$C206,AB$195&lt;$H$2),0,MIN($E206-SUM($G206:AA206),$F206))</f>
        <v>0</v>
      </c>
      <c r="AC206" s="424">
        <f>IF(OR(AC$195&lt;$C206,AC$195&lt;$H$2),0,MIN($E206-SUM($G206:AB206),$F206))</f>
        <v>0</v>
      </c>
      <c r="AD206" s="424">
        <f>IF(OR(AD$195&lt;$C206,AD$195&lt;$H$2),0,MIN($E206-SUM($G206:AC206),$F206))</f>
        <v>0</v>
      </c>
    </row>
    <row r="207" spans="3:30">
      <c r="C207" s="201">
        <v>49317</v>
      </c>
      <c r="D207" s="94" t="s">
        <v>134</v>
      </c>
      <c r="E207" s="424">
        <f t="shared" si="114"/>
        <v>0</v>
      </c>
      <c r="F207" s="209">
        <f t="shared" si="115"/>
        <v>0</v>
      </c>
      <c r="H207" s="424">
        <f>IF(OR(H$195&lt;$C207,H$195&lt;$H$2),0,MIN($E207-SUM($G207:G207),$F207))</f>
        <v>0</v>
      </c>
      <c r="I207" s="424">
        <f>IF(OR(I$195&lt;$C207,I$195&lt;$H$2),0,MIN($E207-SUM($G207:H207),$F207))</f>
        <v>0</v>
      </c>
      <c r="J207" s="424">
        <f>IF(OR(J$195&lt;$C207,J$195&lt;$H$2),0,MIN($E207-SUM($G207:I207),$F207))</f>
        <v>0</v>
      </c>
      <c r="K207" s="424">
        <f>IF(OR(K$195&lt;$C207,K$195&lt;$H$2),0,MIN($E207-SUM($G207:J207),$F207))</f>
        <v>0</v>
      </c>
      <c r="L207" s="424">
        <f>IF(OR(L$195&lt;$C207,L$195&lt;$H$2),0,MIN($E207-SUM($G207:K207),$F207))</f>
        <v>0</v>
      </c>
      <c r="M207" s="424">
        <f>IF(OR(M$195&lt;$C207,M$195&lt;$H$2),0,MIN($E207-SUM($G207:L207),$F207))</f>
        <v>0</v>
      </c>
      <c r="N207" s="424">
        <f>IF(OR(N$195&lt;$C207,N$195&lt;$H$2),0,MIN($E207-SUM($G207:M207),$F207))</f>
        <v>0</v>
      </c>
      <c r="O207" s="424">
        <f>IF(OR(O$195&lt;$C207,O$195&lt;$H$2),0,MIN($E207-SUM($G207:N207),$F207))</f>
        <v>0</v>
      </c>
      <c r="P207" s="424">
        <f>IF(OR(P$195&lt;$C207,P$195&lt;$H$2),0,MIN($E207-SUM($G207:O207),$F207))</f>
        <v>0</v>
      </c>
      <c r="Q207" s="424">
        <f>IF(OR(Q$195&lt;$C207,Q$195&lt;$H$2),0,MIN($E207-SUM($G207:P207),$F207))</f>
        <v>0</v>
      </c>
      <c r="R207" s="424">
        <f>IF(OR(R$195&lt;$C207,R$195&lt;$H$2),0,MIN($E207-SUM($G207:Q207),$F207))</f>
        <v>0</v>
      </c>
      <c r="S207" s="424">
        <f>IF(OR(S$195&lt;$C207,S$195&lt;$H$2),0,MIN($E207-SUM($G207:R207),$F207))</f>
        <v>0</v>
      </c>
      <c r="T207" s="424">
        <f>IF(OR(T$195&lt;$C207,T$195&lt;$H$2),0,MIN($E207-SUM($G207:S207),$F207))</f>
        <v>0</v>
      </c>
      <c r="U207" s="424">
        <f>IF(OR(U$195&lt;$C207,U$195&lt;$H$2),0,MIN($E207-SUM($G207:T207),$F207))</f>
        <v>0</v>
      </c>
      <c r="V207" s="424">
        <f>IF(OR(V$195&lt;$C207,V$195&lt;$H$2),0,MIN($E207-SUM($G207:U207),$F207))</f>
        <v>0</v>
      </c>
      <c r="W207" s="424">
        <f>IF(OR(W$195&lt;$C207,W$195&lt;$H$2),0,MIN($E207-SUM($G207:V207),$F207))</f>
        <v>0</v>
      </c>
      <c r="X207" s="424">
        <f>IF(OR(X$195&lt;$C207,X$195&lt;$H$2),0,MIN($E207-SUM($G207:W207),$F207))</f>
        <v>0</v>
      </c>
      <c r="Y207" s="424">
        <f>IF(OR(Y$195&lt;$C207,Y$195&lt;$H$2),0,MIN($E207-SUM($G207:X207),$F207))</f>
        <v>0</v>
      </c>
      <c r="Z207" s="424">
        <f>IF(OR(Z$195&lt;$C207,Z$195&lt;$H$2),0,MIN($E207-SUM($G207:Y207),$F207))</f>
        <v>0</v>
      </c>
      <c r="AA207" s="424">
        <f>IF(OR(AA$195&lt;$C207,AA$195&lt;$H$2),0,MIN($E207-SUM($G207:Z207),$F207))</f>
        <v>0</v>
      </c>
      <c r="AB207" s="424">
        <f>IF(OR(AB$195&lt;$C207,AB$195&lt;$H$2),0,MIN($E207-SUM($G207:AA207),$F207))</f>
        <v>0</v>
      </c>
      <c r="AC207" s="424">
        <f>IF(OR(AC$195&lt;$C207,AC$195&lt;$H$2),0,MIN($E207-SUM($G207:AB207),$F207))</f>
        <v>0</v>
      </c>
      <c r="AD207" s="424">
        <f>IF(OR(AD$195&lt;$C207,AD$195&lt;$H$2),0,MIN($E207-SUM($G207:AC207),$F207))</f>
        <v>0</v>
      </c>
    </row>
    <row r="208" spans="3:30">
      <c r="C208" s="201">
        <v>49683</v>
      </c>
      <c r="D208" s="94" t="s">
        <v>134</v>
      </c>
      <c r="E208" s="424">
        <f t="shared" si="114"/>
        <v>0</v>
      </c>
      <c r="F208" s="209">
        <f t="shared" si="115"/>
        <v>0</v>
      </c>
      <c r="H208" s="424">
        <f>IF(OR(H$195&lt;$C208,H$195&lt;$H$2),0,MIN($E208-SUM($G208:G208),$F208))</f>
        <v>0</v>
      </c>
      <c r="I208" s="424">
        <f>IF(OR(I$195&lt;$C208,I$195&lt;$H$2),0,MIN($E208-SUM($G208:H208),$F208))</f>
        <v>0</v>
      </c>
      <c r="J208" s="424">
        <f>IF(OR(J$195&lt;$C208,J$195&lt;$H$2),0,MIN($E208-SUM($G208:I208),$F208))</f>
        <v>0</v>
      </c>
      <c r="K208" s="424">
        <f>IF(OR(K$195&lt;$C208,K$195&lt;$H$2),0,MIN($E208-SUM($G208:J208),$F208))</f>
        <v>0</v>
      </c>
      <c r="L208" s="424">
        <f>IF(OR(L$195&lt;$C208,L$195&lt;$H$2),0,MIN($E208-SUM($G208:K208),$F208))</f>
        <v>0</v>
      </c>
      <c r="M208" s="424">
        <f>IF(OR(M$195&lt;$C208,M$195&lt;$H$2),0,MIN($E208-SUM($G208:L208),$F208))</f>
        <v>0</v>
      </c>
      <c r="N208" s="424">
        <f>IF(OR(N$195&lt;$C208,N$195&lt;$H$2),0,MIN($E208-SUM($G208:M208),$F208))</f>
        <v>0</v>
      </c>
      <c r="O208" s="424">
        <f>IF(OR(O$195&lt;$C208,O$195&lt;$H$2),0,MIN($E208-SUM($G208:N208),$F208))</f>
        <v>0</v>
      </c>
      <c r="P208" s="424">
        <f>IF(OR(P$195&lt;$C208,P$195&lt;$H$2),0,MIN($E208-SUM($G208:O208),$F208))</f>
        <v>0</v>
      </c>
      <c r="Q208" s="424">
        <f>IF(OR(Q$195&lt;$C208,Q$195&lt;$H$2),0,MIN($E208-SUM($G208:P208),$F208))</f>
        <v>0</v>
      </c>
      <c r="R208" s="424">
        <f>IF(OR(R$195&lt;$C208,R$195&lt;$H$2),0,MIN($E208-SUM($G208:Q208),$F208))</f>
        <v>0</v>
      </c>
      <c r="S208" s="424">
        <f>IF(OR(S$195&lt;$C208,S$195&lt;$H$2),0,MIN($E208-SUM($G208:R208),$F208))</f>
        <v>0</v>
      </c>
      <c r="T208" s="424">
        <f>IF(OR(T$195&lt;$C208,T$195&lt;$H$2),0,MIN($E208-SUM($G208:S208),$F208))</f>
        <v>0</v>
      </c>
      <c r="U208" s="424">
        <f>IF(OR(U$195&lt;$C208,U$195&lt;$H$2),0,MIN($E208-SUM($G208:T208),$F208))</f>
        <v>0</v>
      </c>
      <c r="V208" s="424">
        <f>IF(OR(V$195&lt;$C208,V$195&lt;$H$2),0,MIN($E208-SUM($G208:U208),$F208))</f>
        <v>0</v>
      </c>
      <c r="W208" s="424">
        <f>IF(OR(W$195&lt;$C208,W$195&lt;$H$2),0,MIN($E208-SUM($G208:V208),$F208))</f>
        <v>0</v>
      </c>
      <c r="X208" s="424">
        <f>IF(OR(X$195&lt;$C208,X$195&lt;$H$2),0,MIN($E208-SUM($G208:W208),$F208))</f>
        <v>0</v>
      </c>
      <c r="Y208" s="424">
        <f>IF(OR(Y$195&lt;$C208,Y$195&lt;$H$2),0,MIN($E208-SUM($G208:X208),$F208))</f>
        <v>0</v>
      </c>
      <c r="Z208" s="424">
        <f>IF(OR(Z$195&lt;$C208,Z$195&lt;$H$2),0,MIN($E208-SUM($G208:Y208),$F208))</f>
        <v>0</v>
      </c>
      <c r="AA208" s="424">
        <f>IF(OR(AA$195&lt;$C208,AA$195&lt;$H$2),0,MIN($E208-SUM($G208:Z208),$F208))</f>
        <v>0</v>
      </c>
      <c r="AB208" s="424">
        <f>IF(OR(AB$195&lt;$C208,AB$195&lt;$H$2),0,MIN($E208-SUM($G208:AA208),$F208))</f>
        <v>0</v>
      </c>
      <c r="AC208" s="424">
        <f>IF(OR(AC$195&lt;$C208,AC$195&lt;$H$2),0,MIN($E208-SUM($G208:AB208),$F208))</f>
        <v>0</v>
      </c>
      <c r="AD208" s="424">
        <f>IF(OR(AD$195&lt;$C208,AD$195&lt;$H$2),0,MIN($E208-SUM($G208:AC208),$F208))</f>
        <v>0</v>
      </c>
    </row>
    <row r="209" spans="3:30">
      <c r="C209" s="201">
        <v>50049</v>
      </c>
      <c r="D209" s="94" t="s">
        <v>134</v>
      </c>
      <c r="E209" s="424">
        <f t="shared" si="114"/>
        <v>0</v>
      </c>
      <c r="F209" s="209">
        <f t="shared" si="115"/>
        <v>0</v>
      </c>
      <c r="H209" s="424">
        <f>IF(OR(H$195&lt;$C209,H$195&lt;$H$2),0,MIN($E209-SUM($G209:G209),$F209))</f>
        <v>0</v>
      </c>
      <c r="I209" s="424">
        <f>IF(OR(I$195&lt;$C209,I$195&lt;$H$2),0,MIN($E209-SUM($G209:H209),$F209))</f>
        <v>0</v>
      </c>
      <c r="J209" s="424">
        <f>IF(OR(J$195&lt;$C209,J$195&lt;$H$2),0,MIN($E209-SUM($G209:I209),$F209))</f>
        <v>0</v>
      </c>
      <c r="K209" s="424">
        <f>IF(OR(K$195&lt;$C209,K$195&lt;$H$2),0,MIN($E209-SUM($G209:J209),$F209))</f>
        <v>0</v>
      </c>
      <c r="L209" s="424">
        <f>IF(OR(L$195&lt;$C209,L$195&lt;$H$2),0,MIN($E209-SUM($G209:K209),$F209))</f>
        <v>0</v>
      </c>
      <c r="M209" s="424">
        <f>IF(OR(M$195&lt;$C209,M$195&lt;$H$2),0,MIN($E209-SUM($G209:L209),$F209))</f>
        <v>0</v>
      </c>
      <c r="N209" s="424">
        <f>IF(OR(N$195&lt;$C209,N$195&lt;$H$2),0,MIN($E209-SUM($G209:M209),$F209))</f>
        <v>0</v>
      </c>
      <c r="O209" s="424">
        <f>IF(OR(O$195&lt;$C209,O$195&lt;$H$2),0,MIN($E209-SUM($G209:N209),$F209))</f>
        <v>0</v>
      </c>
      <c r="P209" s="424">
        <f>IF(OR(P$195&lt;$C209,P$195&lt;$H$2),0,MIN($E209-SUM($G209:O209),$F209))</f>
        <v>0</v>
      </c>
      <c r="Q209" s="424">
        <f>IF(OR(Q$195&lt;$C209,Q$195&lt;$H$2),0,MIN($E209-SUM($G209:P209),$F209))</f>
        <v>0</v>
      </c>
      <c r="R209" s="424">
        <f>IF(OR(R$195&lt;$C209,R$195&lt;$H$2),0,MIN($E209-SUM($G209:Q209),$F209))</f>
        <v>0</v>
      </c>
      <c r="S209" s="424">
        <f>IF(OR(S$195&lt;$C209,S$195&lt;$H$2),0,MIN($E209-SUM($G209:R209),$F209))</f>
        <v>0</v>
      </c>
      <c r="T209" s="424">
        <f>IF(OR(T$195&lt;$C209,T$195&lt;$H$2),0,MIN($E209-SUM($G209:S209),$F209))</f>
        <v>0</v>
      </c>
      <c r="U209" s="424">
        <f>IF(OR(U$195&lt;$C209,U$195&lt;$H$2),0,MIN($E209-SUM($G209:T209),$F209))</f>
        <v>0</v>
      </c>
      <c r="V209" s="424">
        <f>IF(OR(V$195&lt;$C209,V$195&lt;$H$2),0,MIN($E209-SUM($G209:U209),$F209))</f>
        <v>0</v>
      </c>
      <c r="W209" s="424">
        <f>IF(OR(W$195&lt;$C209,W$195&lt;$H$2),0,MIN($E209-SUM($G209:V209),$F209))</f>
        <v>0</v>
      </c>
      <c r="X209" s="424">
        <f>IF(OR(X$195&lt;$C209,X$195&lt;$H$2),0,MIN($E209-SUM($G209:W209),$F209))</f>
        <v>0</v>
      </c>
      <c r="Y209" s="424">
        <f>IF(OR(Y$195&lt;$C209,Y$195&lt;$H$2),0,MIN($E209-SUM($G209:X209),$F209))</f>
        <v>0</v>
      </c>
      <c r="Z209" s="424">
        <f>IF(OR(Z$195&lt;$C209,Z$195&lt;$H$2),0,MIN($E209-SUM($G209:Y209),$F209))</f>
        <v>0</v>
      </c>
      <c r="AA209" s="424">
        <f>IF(OR(AA$195&lt;$C209,AA$195&lt;$H$2),0,MIN($E209-SUM($G209:Z209),$F209))</f>
        <v>0</v>
      </c>
      <c r="AB209" s="424">
        <f>IF(OR(AB$195&lt;$C209,AB$195&lt;$H$2),0,MIN($E209-SUM($G209:AA209),$F209))</f>
        <v>0</v>
      </c>
      <c r="AC209" s="424">
        <f>IF(OR(AC$195&lt;$C209,AC$195&lt;$H$2),0,MIN($E209-SUM($G209:AB209),$F209))</f>
        <v>0</v>
      </c>
      <c r="AD209" s="424">
        <f>IF(OR(AD$195&lt;$C209,AD$195&lt;$H$2),0,MIN($E209-SUM($G209:AC209),$F209))</f>
        <v>0</v>
      </c>
    </row>
    <row r="210" spans="3:30">
      <c r="C210" s="201">
        <v>50415</v>
      </c>
      <c r="D210" s="94" t="s">
        <v>134</v>
      </c>
      <c r="E210" s="424">
        <f t="shared" si="114"/>
        <v>0</v>
      </c>
      <c r="F210" s="209">
        <f t="shared" si="115"/>
        <v>0</v>
      </c>
      <c r="H210" s="424">
        <f>IF(OR(H$195&lt;$C210,H$195&lt;$H$2),0,MIN($E210-SUM($G210:G210),$F210))</f>
        <v>0</v>
      </c>
      <c r="I210" s="424">
        <f>IF(OR(I$195&lt;$C210,I$195&lt;$H$2),0,MIN($E210-SUM($G210:H210),$F210))</f>
        <v>0</v>
      </c>
      <c r="J210" s="424">
        <f>IF(OR(J$195&lt;$C210,J$195&lt;$H$2),0,MIN($E210-SUM($G210:I210),$F210))</f>
        <v>0</v>
      </c>
      <c r="K210" s="424">
        <f>IF(OR(K$195&lt;$C210,K$195&lt;$H$2),0,MIN($E210-SUM($G210:J210),$F210))</f>
        <v>0</v>
      </c>
      <c r="L210" s="424">
        <f>IF(OR(L$195&lt;$C210,L$195&lt;$H$2),0,MIN($E210-SUM($G210:K210),$F210))</f>
        <v>0</v>
      </c>
      <c r="M210" s="424">
        <f>IF(OR(M$195&lt;$C210,M$195&lt;$H$2),0,MIN($E210-SUM($G210:L210),$F210))</f>
        <v>0</v>
      </c>
      <c r="N210" s="424">
        <f>IF(OR(N$195&lt;$C210,N$195&lt;$H$2),0,MIN($E210-SUM($G210:M210),$F210))</f>
        <v>0</v>
      </c>
      <c r="O210" s="424">
        <f>IF(OR(O$195&lt;$C210,O$195&lt;$H$2),0,MIN($E210-SUM($G210:N210),$F210))</f>
        <v>0</v>
      </c>
      <c r="P210" s="424">
        <f>IF(OR(P$195&lt;$C210,P$195&lt;$H$2),0,MIN($E210-SUM($G210:O210),$F210))</f>
        <v>0</v>
      </c>
      <c r="Q210" s="424">
        <f>IF(OR(Q$195&lt;$C210,Q$195&lt;$H$2),0,MIN($E210-SUM($G210:P210),$F210))</f>
        <v>0</v>
      </c>
      <c r="R210" s="424">
        <f>IF(OR(R$195&lt;$C210,R$195&lt;$H$2),0,MIN($E210-SUM($G210:Q210),$F210))</f>
        <v>0</v>
      </c>
      <c r="S210" s="424">
        <f>IF(OR(S$195&lt;$C210,S$195&lt;$H$2),0,MIN($E210-SUM($G210:R210),$F210))</f>
        <v>0</v>
      </c>
      <c r="T210" s="424">
        <f>IF(OR(T$195&lt;$C210,T$195&lt;$H$2),0,MIN($E210-SUM($G210:S210),$F210))</f>
        <v>0</v>
      </c>
      <c r="U210" s="424">
        <f>IF(OR(U$195&lt;$C210,U$195&lt;$H$2),0,MIN($E210-SUM($G210:T210),$F210))</f>
        <v>0</v>
      </c>
      <c r="V210" s="424">
        <f>IF(OR(V$195&lt;$C210,V$195&lt;$H$2),0,MIN($E210-SUM($G210:U210),$F210))</f>
        <v>0</v>
      </c>
      <c r="W210" s="424">
        <f>IF(OR(W$195&lt;$C210,W$195&lt;$H$2),0,MIN($E210-SUM($G210:V210),$F210))</f>
        <v>0</v>
      </c>
      <c r="X210" s="424">
        <f>IF(OR(X$195&lt;$C210,X$195&lt;$H$2),0,MIN($E210-SUM($G210:W210),$F210))</f>
        <v>0</v>
      </c>
      <c r="Y210" s="424">
        <f>IF(OR(Y$195&lt;$C210,Y$195&lt;$H$2),0,MIN($E210-SUM($G210:X210),$F210))</f>
        <v>0</v>
      </c>
      <c r="Z210" s="424">
        <f>IF(OR(Z$195&lt;$C210,Z$195&lt;$H$2),0,MIN($E210-SUM($G210:Y210),$F210))</f>
        <v>0</v>
      </c>
      <c r="AA210" s="424">
        <f>IF(OR(AA$195&lt;$C210,AA$195&lt;$H$2),0,MIN($E210-SUM($G210:Z210),$F210))</f>
        <v>0</v>
      </c>
      <c r="AB210" s="424">
        <f>IF(OR(AB$195&lt;$C210,AB$195&lt;$H$2),0,MIN($E210-SUM($G210:AA210),$F210))</f>
        <v>0</v>
      </c>
      <c r="AC210" s="424">
        <f>IF(OR(AC$195&lt;$C210,AC$195&lt;$H$2),0,MIN($E210-SUM($G210:AB210),$F210))</f>
        <v>0</v>
      </c>
      <c r="AD210" s="424">
        <f>IF(OR(AD$195&lt;$C210,AD$195&lt;$H$2),0,MIN($E210-SUM($G210:AC210),$F210))</f>
        <v>0</v>
      </c>
    </row>
    <row r="211" spans="3:30">
      <c r="C211" s="201">
        <v>50781</v>
      </c>
      <c r="D211" s="94" t="s">
        <v>134</v>
      </c>
      <c r="E211" s="424">
        <f t="shared" si="114"/>
        <v>0</v>
      </c>
      <c r="F211" s="209">
        <f t="shared" si="115"/>
        <v>0</v>
      </c>
      <c r="H211" s="424">
        <f>IF(OR(H$195&lt;$C211,H$195&lt;$H$2),0,MIN($E211-SUM($G211:G211),$F211))</f>
        <v>0</v>
      </c>
      <c r="I211" s="424">
        <f>IF(OR(I$195&lt;$C211,I$195&lt;$H$2),0,MIN($E211-SUM($G211:H211),$F211))</f>
        <v>0</v>
      </c>
      <c r="J211" s="424">
        <f>IF(OR(J$195&lt;$C211,J$195&lt;$H$2),0,MIN($E211-SUM($G211:I211),$F211))</f>
        <v>0</v>
      </c>
      <c r="K211" s="424">
        <f>IF(OR(K$195&lt;$C211,K$195&lt;$H$2),0,MIN($E211-SUM($G211:J211),$F211))</f>
        <v>0</v>
      </c>
      <c r="L211" s="424">
        <f>IF(OR(L$195&lt;$C211,L$195&lt;$H$2),0,MIN($E211-SUM($G211:K211),$F211))</f>
        <v>0</v>
      </c>
      <c r="M211" s="424">
        <f>IF(OR(M$195&lt;$C211,M$195&lt;$H$2),0,MIN($E211-SUM($G211:L211),$F211))</f>
        <v>0</v>
      </c>
      <c r="N211" s="424">
        <f>IF(OR(N$195&lt;$C211,N$195&lt;$H$2),0,MIN($E211-SUM($G211:M211),$F211))</f>
        <v>0</v>
      </c>
      <c r="O211" s="424">
        <f>IF(OR(O$195&lt;$C211,O$195&lt;$H$2),0,MIN($E211-SUM($G211:N211),$F211))</f>
        <v>0</v>
      </c>
      <c r="P211" s="424">
        <f>IF(OR(P$195&lt;$C211,P$195&lt;$H$2),0,MIN($E211-SUM($G211:O211),$F211))</f>
        <v>0</v>
      </c>
      <c r="Q211" s="424">
        <f>IF(OR(Q$195&lt;$C211,Q$195&lt;$H$2),0,MIN($E211-SUM($G211:P211),$F211))</f>
        <v>0</v>
      </c>
      <c r="R211" s="424">
        <f>IF(OR(R$195&lt;$C211,R$195&lt;$H$2),0,MIN($E211-SUM($G211:Q211),$F211))</f>
        <v>0</v>
      </c>
      <c r="S211" s="424">
        <f>IF(OR(S$195&lt;$C211,S$195&lt;$H$2),0,MIN($E211-SUM($G211:R211),$F211))</f>
        <v>0</v>
      </c>
      <c r="T211" s="424">
        <f>IF(OR(T$195&lt;$C211,T$195&lt;$H$2),0,MIN($E211-SUM($G211:S211),$F211))</f>
        <v>0</v>
      </c>
      <c r="U211" s="424">
        <f>IF(OR(U$195&lt;$C211,U$195&lt;$H$2),0,MIN($E211-SUM($G211:T211),$F211))</f>
        <v>0</v>
      </c>
      <c r="V211" s="424">
        <f>IF(OR(V$195&lt;$C211,V$195&lt;$H$2),0,MIN($E211-SUM($G211:U211),$F211))</f>
        <v>0</v>
      </c>
      <c r="W211" s="424">
        <f>IF(OR(W$195&lt;$C211,W$195&lt;$H$2),0,MIN($E211-SUM($G211:V211),$F211))</f>
        <v>0</v>
      </c>
      <c r="X211" s="424">
        <f>IF(OR(X$195&lt;$C211,X$195&lt;$H$2),0,MIN($E211-SUM($G211:W211),$F211))</f>
        <v>0</v>
      </c>
      <c r="Y211" s="424">
        <f>IF(OR(Y$195&lt;$C211,Y$195&lt;$H$2),0,MIN($E211-SUM($G211:X211),$F211))</f>
        <v>0</v>
      </c>
      <c r="Z211" s="424">
        <f>IF(OR(Z$195&lt;$C211,Z$195&lt;$H$2),0,MIN($E211-SUM($G211:Y211),$F211))</f>
        <v>0</v>
      </c>
      <c r="AA211" s="424">
        <f>IF(OR(AA$195&lt;$C211,AA$195&lt;$H$2),0,MIN($E211-SUM($G211:Z211),$F211))</f>
        <v>0</v>
      </c>
      <c r="AB211" s="424">
        <f>IF(OR(AB$195&lt;$C211,AB$195&lt;$H$2),0,MIN($E211-SUM($G211:AA211),$F211))</f>
        <v>0</v>
      </c>
      <c r="AC211" s="424">
        <f>IF(OR(AC$195&lt;$C211,AC$195&lt;$H$2),0,MIN($E211-SUM($G211:AB211),$F211))</f>
        <v>0</v>
      </c>
      <c r="AD211" s="424">
        <f>IF(OR(AD$195&lt;$C211,AD$195&lt;$H$2),0,MIN($E211-SUM($G211:AC211),$F211))</f>
        <v>0</v>
      </c>
    </row>
    <row r="212" spans="3:30">
      <c r="C212" s="201">
        <v>51147</v>
      </c>
      <c r="D212" s="94" t="s">
        <v>134</v>
      </c>
      <c r="E212" s="424">
        <f t="shared" si="114"/>
        <v>0</v>
      </c>
      <c r="F212" s="209">
        <f t="shared" si="115"/>
        <v>0</v>
      </c>
      <c r="H212" s="424">
        <f>IF(OR(H$195&lt;$C212,H$195&lt;$H$2),0,MIN($E212-SUM($G212:G212),$F212))</f>
        <v>0</v>
      </c>
      <c r="I212" s="424">
        <f>IF(OR(I$195&lt;$C212,I$195&lt;$H$2),0,MIN($E212-SUM($G212:H212),$F212))</f>
        <v>0</v>
      </c>
      <c r="J212" s="424">
        <f>IF(OR(J$195&lt;$C212,J$195&lt;$H$2),0,MIN($E212-SUM($G212:I212),$F212))</f>
        <v>0</v>
      </c>
      <c r="K212" s="424">
        <f>IF(OR(K$195&lt;$C212,K$195&lt;$H$2),0,MIN($E212-SUM($G212:J212),$F212))</f>
        <v>0</v>
      </c>
      <c r="L212" s="424">
        <f>IF(OR(L$195&lt;$C212,L$195&lt;$H$2),0,MIN($E212-SUM($G212:K212),$F212))</f>
        <v>0</v>
      </c>
      <c r="M212" s="424">
        <f>IF(OR(M$195&lt;$C212,M$195&lt;$H$2),0,MIN($E212-SUM($G212:L212),$F212))</f>
        <v>0</v>
      </c>
      <c r="N212" s="424">
        <f>IF(OR(N$195&lt;$C212,N$195&lt;$H$2),0,MIN($E212-SUM($G212:M212),$F212))</f>
        <v>0</v>
      </c>
      <c r="O212" s="424">
        <f>IF(OR(O$195&lt;$C212,O$195&lt;$H$2),0,MIN($E212-SUM($G212:N212),$F212))</f>
        <v>0</v>
      </c>
      <c r="P212" s="424">
        <f>IF(OR(P$195&lt;$C212,P$195&lt;$H$2),0,MIN($E212-SUM($G212:O212),$F212))</f>
        <v>0</v>
      </c>
      <c r="Q212" s="424">
        <f>IF(OR(Q$195&lt;$C212,Q$195&lt;$H$2),0,MIN($E212-SUM($G212:P212),$F212))</f>
        <v>0</v>
      </c>
      <c r="R212" s="424">
        <f>IF(OR(R$195&lt;$C212,R$195&lt;$H$2),0,MIN($E212-SUM($G212:Q212),$F212))</f>
        <v>0</v>
      </c>
      <c r="S212" s="424">
        <f>IF(OR(S$195&lt;$C212,S$195&lt;$H$2),0,MIN($E212-SUM($G212:R212),$F212))</f>
        <v>0</v>
      </c>
      <c r="T212" s="424">
        <f>IF(OR(T$195&lt;$C212,T$195&lt;$H$2),0,MIN($E212-SUM($G212:S212),$F212))</f>
        <v>0</v>
      </c>
      <c r="U212" s="424">
        <f>IF(OR(U$195&lt;$C212,U$195&lt;$H$2),0,MIN($E212-SUM($G212:T212),$F212))</f>
        <v>0</v>
      </c>
      <c r="V212" s="424">
        <f>IF(OR(V$195&lt;$C212,V$195&lt;$H$2),0,MIN($E212-SUM($G212:U212),$F212))</f>
        <v>0</v>
      </c>
      <c r="W212" s="424">
        <f>IF(OR(W$195&lt;$C212,W$195&lt;$H$2),0,MIN($E212-SUM($G212:V212),$F212))</f>
        <v>0</v>
      </c>
      <c r="X212" s="424">
        <f>IF(OR(X$195&lt;$C212,X$195&lt;$H$2),0,MIN($E212-SUM($G212:W212),$F212))</f>
        <v>0</v>
      </c>
      <c r="Y212" s="424">
        <f>IF(OR(Y$195&lt;$C212,Y$195&lt;$H$2),0,MIN($E212-SUM($G212:X212),$F212))</f>
        <v>0</v>
      </c>
      <c r="Z212" s="424">
        <f>IF(OR(Z$195&lt;$C212,Z$195&lt;$H$2),0,MIN($E212-SUM($G212:Y212),$F212))</f>
        <v>0</v>
      </c>
      <c r="AA212" s="424">
        <f>IF(OR(AA$195&lt;$C212,AA$195&lt;$H$2),0,MIN($E212-SUM($G212:Z212),$F212))</f>
        <v>0</v>
      </c>
      <c r="AB212" s="424">
        <f>IF(OR(AB$195&lt;$C212,AB$195&lt;$H$2),0,MIN($E212-SUM($G212:AA212),$F212))</f>
        <v>0</v>
      </c>
      <c r="AC212" s="424">
        <f>IF(OR(AC$195&lt;$C212,AC$195&lt;$H$2),0,MIN($E212-SUM($G212:AB212),$F212))</f>
        <v>0</v>
      </c>
      <c r="AD212" s="424">
        <f>IF(OR(AD$195&lt;$C212,AD$195&lt;$H$2),0,MIN($E212-SUM($G212:AC212),$F212))</f>
        <v>0</v>
      </c>
    </row>
    <row r="213" spans="3:30">
      <c r="C213" s="201">
        <v>51513</v>
      </c>
      <c r="D213" s="94" t="s">
        <v>134</v>
      </c>
      <c r="E213" s="424">
        <f t="shared" si="114"/>
        <v>0</v>
      </c>
      <c r="F213" s="209">
        <f t="shared" si="115"/>
        <v>0</v>
      </c>
      <c r="H213" s="424">
        <f>IF(OR(H$195&lt;$C213,H$195&lt;$H$2),0,MIN($E213-SUM($G213:G213),$F213))</f>
        <v>0</v>
      </c>
      <c r="I213" s="424">
        <f>IF(OR(I$195&lt;$C213,I$195&lt;$H$2),0,MIN($E213-SUM($G213:H213),$F213))</f>
        <v>0</v>
      </c>
      <c r="J213" s="424">
        <f>IF(OR(J$195&lt;$C213,J$195&lt;$H$2),0,MIN($E213-SUM($G213:I213),$F213))</f>
        <v>0</v>
      </c>
      <c r="K213" s="424">
        <f>IF(OR(K$195&lt;$C213,K$195&lt;$H$2),0,MIN($E213-SUM($G213:J213),$F213))</f>
        <v>0</v>
      </c>
      <c r="L213" s="424">
        <f>IF(OR(L$195&lt;$C213,L$195&lt;$H$2),0,MIN($E213-SUM($G213:K213),$F213))</f>
        <v>0</v>
      </c>
      <c r="M213" s="424">
        <f>IF(OR(M$195&lt;$C213,M$195&lt;$H$2),0,MIN($E213-SUM($G213:L213),$F213))</f>
        <v>0</v>
      </c>
      <c r="N213" s="424">
        <f>IF(OR(N$195&lt;$C213,N$195&lt;$H$2),0,MIN($E213-SUM($G213:M213),$F213))</f>
        <v>0</v>
      </c>
      <c r="O213" s="424">
        <f>IF(OR(O$195&lt;$C213,O$195&lt;$H$2),0,MIN($E213-SUM($G213:N213),$F213))</f>
        <v>0</v>
      </c>
      <c r="P213" s="424">
        <f>IF(OR(P$195&lt;$C213,P$195&lt;$H$2),0,MIN($E213-SUM($G213:O213),$F213))</f>
        <v>0</v>
      </c>
      <c r="Q213" s="424">
        <f>IF(OR(Q$195&lt;$C213,Q$195&lt;$H$2),0,MIN($E213-SUM($G213:P213),$F213))</f>
        <v>0</v>
      </c>
      <c r="R213" s="424">
        <f>IF(OR(R$195&lt;$C213,R$195&lt;$H$2),0,MIN($E213-SUM($G213:Q213),$F213))</f>
        <v>0</v>
      </c>
      <c r="S213" s="424">
        <f>IF(OR(S$195&lt;$C213,S$195&lt;$H$2),0,MIN($E213-SUM($G213:R213),$F213))</f>
        <v>0</v>
      </c>
      <c r="T213" s="424">
        <f>IF(OR(T$195&lt;$C213,T$195&lt;$H$2),0,MIN($E213-SUM($G213:S213),$F213))</f>
        <v>0</v>
      </c>
      <c r="U213" s="424">
        <f>IF(OR(U$195&lt;$C213,U$195&lt;$H$2),0,MIN($E213-SUM($G213:T213),$F213))</f>
        <v>0</v>
      </c>
      <c r="V213" s="424">
        <f>IF(OR(V$195&lt;$C213,V$195&lt;$H$2),0,MIN($E213-SUM($G213:U213),$F213))</f>
        <v>0</v>
      </c>
      <c r="W213" s="424">
        <f>IF(OR(W$195&lt;$C213,W$195&lt;$H$2),0,MIN($E213-SUM($G213:V213),$F213))</f>
        <v>0</v>
      </c>
      <c r="X213" s="424">
        <f>IF(OR(X$195&lt;$C213,X$195&lt;$H$2),0,MIN($E213-SUM($G213:W213),$F213))</f>
        <v>0</v>
      </c>
      <c r="Y213" s="424">
        <f>IF(OR(Y$195&lt;$C213,Y$195&lt;$H$2),0,MIN($E213-SUM($G213:X213),$F213))</f>
        <v>0</v>
      </c>
      <c r="Z213" s="424">
        <f>IF(OR(Z$195&lt;$C213,Z$195&lt;$H$2),0,MIN($E213-SUM($G213:Y213),$F213))</f>
        <v>0</v>
      </c>
      <c r="AA213" s="424">
        <f>IF(OR(AA$195&lt;$C213,AA$195&lt;$H$2),0,MIN($E213-SUM($G213:Z213),$F213))</f>
        <v>0</v>
      </c>
      <c r="AB213" s="424">
        <f>IF(OR(AB$195&lt;$C213,AB$195&lt;$H$2),0,MIN($E213-SUM($G213:AA213),$F213))</f>
        <v>0</v>
      </c>
      <c r="AC213" s="424">
        <f>IF(OR(AC$195&lt;$C213,AC$195&lt;$H$2),0,MIN($E213-SUM($G213:AB213),$F213))</f>
        <v>0</v>
      </c>
      <c r="AD213" s="424">
        <f>IF(OR(AD$195&lt;$C213,AD$195&lt;$H$2),0,MIN($E213-SUM($G213:AC213),$F213))</f>
        <v>0</v>
      </c>
    </row>
    <row r="214" spans="3:30">
      <c r="C214" s="201">
        <v>51879</v>
      </c>
      <c r="D214" s="94" t="s">
        <v>134</v>
      </c>
      <c r="E214" s="424">
        <f t="shared" si="114"/>
        <v>0</v>
      </c>
      <c r="F214" s="209">
        <f t="shared" si="115"/>
        <v>0</v>
      </c>
      <c r="H214" s="424">
        <f>IF(OR(H$195&lt;$C214,H$195&lt;$H$2),0,MIN($E214-SUM($G214:G214),$F214))</f>
        <v>0</v>
      </c>
      <c r="I214" s="424">
        <f>IF(OR(I$195&lt;$C214,I$195&lt;$H$2),0,MIN($E214-SUM($G214:H214),$F214))</f>
        <v>0</v>
      </c>
      <c r="J214" s="424">
        <f>IF(OR(J$195&lt;$C214,J$195&lt;$H$2),0,MIN($E214-SUM($G214:I214),$F214))</f>
        <v>0</v>
      </c>
      <c r="K214" s="424">
        <f>IF(OR(K$195&lt;$C214,K$195&lt;$H$2),0,MIN($E214-SUM($G214:J214),$F214))</f>
        <v>0</v>
      </c>
      <c r="L214" s="424">
        <f>IF(OR(L$195&lt;$C214,L$195&lt;$H$2),0,MIN($E214-SUM($G214:K214),$F214))</f>
        <v>0</v>
      </c>
      <c r="M214" s="424">
        <f>IF(OR(M$195&lt;$C214,M$195&lt;$H$2),0,MIN($E214-SUM($G214:L214),$F214))</f>
        <v>0</v>
      </c>
      <c r="N214" s="424">
        <f>IF(OR(N$195&lt;$C214,N$195&lt;$H$2),0,MIN($E214-SUM($G214:M214),$F214))</f>
        <v>0</v>
      </c>
      <c r="O214" s="424">
        <f>IF(OR(O$195&lt;$C214,O$195&lt;$H$2),0,MIN($E214-SUM($G214:N214),$F214))</f>
        <v>0</v>
      </c>
      <c r="P214" s="424">
        <f>IF(OR(P$195&lt;$C214,P$195&lt;$H$2),0,MIN($E214-SUM($G214:O214),$F214))</f>
        <v>0</v>
      </c>
      <c r="Q214" s="424">
        <f>IF(OR(Q$195&lt;$C214,Q$195&lt;$H$2),0,MIN($E214-SUM($G214:P214),$F214))</f>
        <v>0</v>
      </c>
      <c r="R214" s="424">
        <f>IF(OR(R$195&lt;$C214,R$195&lt;$H$2),0,MIN($E214-SUM($G214:Q214),$F214))</f>
        <v>0</v>
      </c>
      <c r="S214" s="424">
        <f>IF(OR(S$195&lt;$C214,S$195&lt;$H$2),0,MIN($E214-SUM($G214:R214),$F214))</f>
        <v>0</v>
      </c>
      <c r="T214" s="424">
        <f>IF(OR(T$195&lt;$C214,T$195&lt;$H$2),0,MIN($E214-SUM($G214:S214),$F214))</f>
        <v>0</v>
      </c>
      <c r="U214" s="424">
        <f>IF(OR(U$195&lt;$C214,U$195&lt;$H$2),0,MIN($E214-SUM($G214:T214),$F214))</f>
        <v>0</v>
      </c>
      <c r="V214" s="424">
        <f>IF(OR(V$195&lt;$C214,V$195&lt;$H$2),0,MIN($E214-SUM($G214:U214),$F214))</f>
        <v>0</v>
      </c>
      <c r="W214" s="424">
        <f>IF(OR(W$195&lt;$C214,W$195&lt;$H$2),0,MIN($E214-SUM($G214:V214),$F214))</f>
        <v>0</v>
      </c>
      <c r="X214" s="424">
        <f>IF(OR(X$195&lt;$C214,X$195&lt;$H$2),0,MIN($E214-SUM($G214:W214),$F214))</f>
        <v>0</v>
      </c>
      <c r="Y214" s="424">
        <f>IF(OR(Y$195&lt;$C214,Y$195&lt;$H$2),0,MIN($E214-SUM($G214:X214),$F214))</f>
        <v>0</v>
      </c>
      <c r="Z214" s="424">
        <f>IF(OR(Z$195&lt;$C214,Z$195&lt;$H$2),0,MIN($E214-SUM($G214:Y214),$F214))</f>
        <v>0</v>
      </c>
      <c r="AA214" s="424">
        <f>IF(OR(AA$195&lt;$C214,AA$195&lt;$H$2),0,MIN($E214-SUM($G214:Z214),$F214))</f>
        <v>0</v>
      </c>
      <c r="AB214" s="424">
        <f>IF(OR(AB$195&lt;$C214,AB$195&lt;$H$2),0,MIN($E214-SUM($G214:AA214),$F214))</f>
        <v>0</v>
      </c>
      <c r="AC214" s="424">
        <f>IF(OR(AC$195&lt;$C214,AC$195&lt;$H$2),0,MIN($E214-SUM($G214:AB214),$F214))</f>
        <v>0</v>
      </c>
      <c r="AD214" s="424">
        <f>IF(OR(AD$195&lt;$C214,AD$195&lt;$H$2),0,MIN($E214-SUM($G214:AC214),$F214))</f>
        <v>0</v>
      </c>
    </row>
    <row r="215" spans="3:30">
      <c r="C215" s="201">
        <v>52245</v>
      </c>
      <c r="D215" s="94" t="s">
        <v>134</v>
      </c>
      <c r="E215" s="424">
        <f t="shared" si="114"/>
        <v>0</v>
      </c>
      <c r="F215" s="209">
        <f t="shared" si="115"/>
        <v>0</v>
      </c>
      <c r="H215" s="424">
        <f>IF(OR(H$195&lt;$C215,H$195&lt;$H$2),0,MIN($E215-SUM($G215:G215),$F215))</f>
        <v>0</v>
      </c>
      <c r="I215" s="424">
        <f>IF(OR(I$195&lt;$C215,I$195&lt;$H$2),0,MIN($E215-SUM($G215:H215),$F215))</f>
        <v>0</v>
      </c>
      <c r="J215" s="424">
        <f>IF(OR(J$195&lt;$C215,J$195&lt;$H$2),0,MIN($E215-SUM($G215:I215),$F215))</f>
        <v>0</v>
      </c>
      <c r="K215" s="424">
        <f>IF(OR(K$195&lt;$C215,K$195&lt;$H$2),0,MIN($E215-SUM($G215:J215),$F215))</f>
        <v>0</v>
      </c>
      <c r="L215" s="424">
        <f>IF(OR(L$195&lt;$C215,L$195&lt;$H$2),0,MIN($E215-SUM($G215:K215),$F215))</f>
        <v>0</v>
      </c>
      <c r="M215" s="424">
        <f>IF(OR(M$195&lt;$C215,M$195&lt;$H$2),0,MIN($E215-SUM($G215:L215),$F215))</f>
        <v>0</v>
      </c>
      <c r="N215" s="424">
        <f>IF(OR(N$195&lt;$C215,N$195&lt;$H$2),0,MIN($E215-SUM($G215:M215),$F215))</f>
        <v>0</v>
      </c>
      <c r="O215" s="424">
        <f>IF(OR(O$195&lt;$C215,O$195&lt;$H$2),0,MIN($E215-SUM($G215:N215),$F215))</f>
        <v>0</v>
      </c>
      <c r="P215" s="424">
        <f>IF(OR(P$195&lt;$C215,P$195&lt;$H$2),0,MIN($E215-SUM($G215:O215),$F215))</f>
        <v>0</v>
      </c>
      <c r="Q215" s="424">
        <f>IF(OR(Q$195&lt;$C215,Q$195&lt;$H$2),0,MIN($E215-SUM($G215:P215),$F215))</f>
        <v>0</v>
      </c>
      <c r="R215" s="424">
        <f>IF(OR(R$195&lt;$C215,R$195&lt;$H$2),0,MIN($E215-SUM($G215:Q215),$F215))</f>
        <v>0</v>
      </c>
      <c r="S215" s="424">
        <f>IF(OR(S$195&lt;$C215,S$195&lt;$H$2),0,MIN($E215-SUM($G215:R215),$F215))</f>
        <v>0</v>
      </c>
      <c r="T215" s="424">
        <f>IF(OR(T$195&lt;$C215,T$195&lt;$H$2),0,MIN($E215-SUM($G215:S215),$F215))</f>
        <v>0</v>
      </c>
      <c r="U215" s="424">
        <f>IF(OR(U$195&lt;$C215,U$195&lt;$H$2),0,MIN($E215-SUM($G215:T215),$F215))</f>
        <v>0</v>
      </c>
      <c r="V215" s="424">
        <f>IF(OR(V$195&lt;$C215,V$195&lt;$H$2),0,MIN($E215-SUM($G215:U215),$F215))</f>
        <v>0</v>
      </c>
      <c r="W215" s="424">
        <f>IF(OR(W$195&lt;$C215,W$195&lt;$H$2),0,MIN($E215-SUM($G215:V215),$F215))</f>
        <v>0</v>
      </c>
      <c r="X215" s="424">
        <f>IF(OR(X$195&lt;$C215,X$195&lt;$H$2),0,MIN($E215-SUM($G215:W215),$F215))</f>
        <v>0</v>
      </c>
      <c r="Y215" s="424">
        <f>IF(OR(Y$195&lt;$C215,Y$195&lt;$H$2),0,MIN($E215-SUM($G215:X215),$F215))</f>
        <v>0</v>
      </c>
      <c r="Z215" s="424">
        <f>IF(OR(Z$195&lt;$C215,Z$195&lt;$H$2),0,MIN($E215-SUM($G215:Y215),$F215))</f>
        <v>0</v>
      </c>
      <c r="AA215" s="424">
        <f>IF(OR(AA$195&lt;$C215,AA$195&lt;$H$2),0,MIN($E215-SUM($G215:Z215),$F215))</f>
        <v>0</v>
      </c>
      <c r="AB215" s="424">
        <f>IF(OR(AB$195&lt;$C215,AB$195&lt;$H$2),0,MIN($E215-SUM($G215:AA215),$F215))</f>
        <v>0</v>
      </c>
      <c r="AC215" s="424">
        <f>IF(OR(AC$195&lt;$C215,AC$195&lt;$H$2),0,MIN($E215-SUM($G215:AB215),$F215))</f>
        <v>0</v>
      </c>
      <c r="AD215" s="424">
        <f>IF(OR(AD$195&lt;$C215,AD$195&lt;$H$2),0,MIN($E215-SUM($G215:AC215),$F215))</f>
        <v>0</v>
      </c>
    </row>
    <row r="216" spans="3:30">
      <c r="C216" s="201">
        <v>52611</v>
      </c>
      <c r="D216" s="94" t="s">
        <v>134</v>
      </c>
      <c r="E216" s="424">
        <f t="shared" si="114"/>
        <v>0</v>
      </c>
      <c r="F216" s="209">
        <f t="shared" si="115"/>
        <v>0</v>
      </c>
      <c r="H216" s="424">
        <f>IF(OR(H$195&lt;$C216,H$195&lt;$H$2),0,MIN($E216-SUM($G216:G216),$F216))</f>
        <v>0</v>
      </c>
      <c r="I216" s="424">
        <f>IF(OR(I$195&lt;$C216,I$195&lt;$H$2),0,MIN($E216-SUM($G216:H216),$F216))</f>
        <v>0</v>
      </c>
      <c r="J216" s="424">
        <f>IF(OR(J$195&lt;$C216,J$195&lt;$H$2),0,MIN($E216-SUM($G216:I216),$F216))</f>
        <v>0</v>
      </c>
      <c r="K216" s="424">
        <f>IF(OR(K$195&lt;$C216,K$195&lt;$H$2),0,MIN($E216-SUM($G216:J216),$F216))</f>
        <v>0</v>
      </c>
      <c r="L216" s="424">
        <f>IF(OR(L$195&lt;$C216,L$195&lt;$H$2),0,MIN($E216-SUM($G216:K216),$F216))</f>
        <v>0</v>
      </c>
      <c r="M216" s="424">
        <f>IF(OR(M$195&lt;$C216,M$195&lt;$H$2),0,MIN($E216-SUM($G216:L216),$F216))</f>
        <v>0</v>
      </c>
      <c r="N216" s="424">
        <f>IF(OR(N$195&lt;$C216,N$195&lt;$H$2),0,MIN($E216-SUM($G216:M216),$F216))</f>
        <v>0</v>
      </c>
      <c r="O216" s="424">
        <f>IF(OR(O$195&lt;$C216,O$195&lt;$H$2),0,MIN($E216-SUM($G216:N216),$F216))</f>
        <v>0</v>
      </c>
      <c r="P216" s="424">
        <f>IF(OR(P$195&lt;$C216,P$195&lt;$H$2),0,MIN($E216-SUM($G216:O216),$F216))</f>
        <v>0</v>
      </c>
      <c r="Q216" s="424">
        <f>IF(OR(Q$195&lt;$C216,Q$195&lt;$H$2),0,MIN($E216-SUM($G216:P216),$F216))</f>
        <v>0</v>
      </c>
      <c r="R216" s="424">
        <f>IF(OR(R$195&lt;$C216,R$195&lt;$H$2),0,MIN($E216-SUM($G216:Q216),$F216))</f>
        <v>0</v>
      </c>
      <c r="S216" s="424">
        <f>IF(OR(S$195&lt;$C216,S$195&lt;$H$2),0,MIN($E216-SUM($G216:R216),$F216))</f>
        <v>0</v>
      </c>
      <c r="T216" s="424">
        <f>IF(OR(T$195&lt;$C216,T$195&lt;$H$2),0,MIN($E216-SUM($G216:S216),$F216))</f>
        <v>0</v>
      </c>
      <c r="U216" s="424">
        <f>IF(OR(U$195&lt;$C216,U$195&lt;$H$2),0,MIN($E216-SUM($G216:T216),$F216))</f>
        <v>0</v>
      </c>
      <c r="V216" s="424">
        <f>IF(OR(V$195&lt;$C216,V$195&lt;$H$2),0,MIN($E216-SUM($G216:U216),$F216))</f>
        <v>0</v>
      </c>
      <c r="W216" s="424">
        <f>IF(OR(W$195&lt;$C216,W$195&lt;$H$2),0,MIN($E216-SUM($G216:V216),$F216))</f>
        <v>0</v>
      </c>
      <c r="X216" s="424">
        <f>IF(OR(X$195&lt;$C216,X$195&lt;$H$2),0,MIN($E216-SUM($G216:W216),$F216))</f>
        <v>0</v>
      </c>
      <c r="Y216" s="424">
        <f>IF(OR(Y$195&lt;$C216,Y$195&lt;$H$2),0,MIN($E216-SUM($G216:X216),$F216))</f>
        <v>0</v>
      </c>
      <c r="Z216" s="424">
        <f>IF(OR(Z$195&lt;$C216,Z$195&lt;$H$2),0,MIN($E216-SUM($G216:Y216),$F216))</f>
        <v>0</v>
      </c>
      <c r="AA216" s="424">
        <f>IF(OR(AA$195&lt;$C216,AA$195&lt;$H$2),0,MIN($E216-SUM($G216:Z216),$F216))</f>
        <v>0</v>
      </c>
      <c r="AB216" s="424">
        <f>IF(OR(AB$195&lt;$C216,AB$195&lt;$H$2),0,MIN($E216-SUM($G216:AA216),$F216))</f>
        <v>0</v>
      </c>
      <c r="AC216" s="424">
        <f>IF(OR(AC$195&lt;$C216,AC$195&lt;$H$2),0,MIN($E216-SUM($G216:AB216),$F216))</f>
        <v>0</v>
      </c>
      <c r="AD216" s="424">
        <f>IF(OR(AD$195&lt;$C216,AD$195&lt;$H$2),0,MIN($E216-SUM($G216:AC216),$F216))</f>
        <v>0</v>
      </c>
    </row>
    <row r="217" spans="3:30">
      <c r="C217" s="201">
        <v>52977</v>
      </c>
      <c r="D217" s="94" t="s">
        <v>134</v>
      </c>
      <c r="E217" s="424">
        <f t="shared" si="114"/>
        <v>0</v>
      </c>
      <c r="F217" s="209">
        <f t="shared" si="115"/>
        <v>0</v>
      </c>
      <c r="H217" s="424">
        <f>IF(OR(H$195&lt;$C217,H$195&lt;$H$2),0,MIN($E217-SUM($G217:G217),$F217))</f>
        <v>0</v>
      </c>
      <c r="I217" s="424">
        <f>IF(OR(I$195&lt;$C217,I$195&lt;$H$2),0,MIN($E217-SUM($G217:H217),$F217))</f>
        <v>0</v>
      </c>
      <c r="J217" s="424">
        <f>IF(OR(J$195&lt;$C217,J$195&lt;$H$2),0,MIN($E217-SUM($G217:I217),$F217))</f>
        <v>0</v>
      </c>
      <c r="K217" s="424">
        <f>IF(OR(K$195&lt;$C217,K$195&lt;$H$2),0,MIN($E217-SUM($G217:J217),$F217))</f>
        <v>0</v>
      </c>
      <c r="L217" s="424">
        <f>IF(OR(L$195&lt;$C217,L$195&lt;$H$2),0,MIN($E217-SUM($G217:K217),$F217))</f>
        <v>0</v>
      </c>
      <c r="M217" s="424">
        <f>IF(OR(M$195&lt;$C217,M$195&lt;$H$2),0,MIN($E217-SUM($G217:L217),$F217))</f>
        <v>0</v>
      </c>
      <c r="N217" s="424">
        <f>IF(OR(N$195&lt;$C217,N$195&lt;$H$2),0,MIN($E217-SUM($G217:M217),$F217))</f>
        <v>0</v>
      </c>
      <c r="O217" s="424">
        <f>IF(OR(O$195&lt;$C217,O$195&lt;$H$2),0,MIN($E217-SUM($G217:N217),$F217))</f>
        <v>0</v>
      </c>
      <c r="P217" s="424">
        <f>IF(OR(P$195&lt;$C217,P$195&lt;$H$2),0,MIN($E217-SUM($G217:O217),$F217))</f>
        <v>0</v>
      </c>
      <c r="Q217" s="424">
        <f>IF(OR(Q$195&lt;$C217,Q$195&lt;$H$2),0,MIN($E217-SUM($G217:P217),$F217))</f>
        <v>0</v>
      </c>
      <c r="R217" s="424">
        <f>IF(OR(R$195&lt;$C217,R$195&lt;$H$2),0,MIN($E217-SUM($G217:Q217),$F217))</f>
        <v>0</v>
      </c>
      <c r="S217" s="424">
        <f>IF(OR(S$195&lt;$C217,S$195&lt;$H$2),0,MIN($E217-SUM($G217:R217),$F217))</f>
        <v>0</v>
      </c>
      <c r="T217" s="424">
        <f>IF(OR(T$195&lt;$C217,T$195&lt;$H$2),0,MIN($E217-SUM($G217:S217),$F217))</f>
        <v>0</v>
      </c>
      <c r="U217" s="424">
        <f>IF(OR(U$195&lt;$C217,U$195&lt;$H$2),0,MIN($E217-SUM($G217:T217),$F217))</f>
        <v>0</v>
      </c>
      <c r="V217" s="424">
        <f>IF(OR(V$195&lt;$C217,V$195&lt;$H$2),0,MIN($E217-SUM($G217:U217),$F217))</f>
        <v>0</v>
      </c>
      <c r="W217" s="424">
        <f>IF(OR(W$195&lt;$C217,W$195&lt;$H$2),0,MIN($E217-SUM($G217:V217),$F217))</f>
        <v>0</v>
      </c>
      <c r="X217" s="424">
        <f>IF(OR(X$195&lt;$C217,X$195&lt;$H$2),0,MIN($E217-SUM($G217:W217),$F217))</f>
        <v>0</v>
      </c>
      <c r="Y217" s="424">
        <f>IF(OR(Y$195&lt;$C217,Y$195&lt;$H$2),0,MIN($E217-SUM($G217:X217),$F217))</f>
        <v>0</v>
      </c>
      <c r="Z217" s="424">
        <f>IF(OR(Z$195&lt;$C217,Z$195&lt;$H$2),0,MIN($E217-SUM($G217:Y217),$F217))</f>
        <v>0</v>
      </c>
      <c r="AA217" s="424">
        <f>IF(OR(AA$195&lt;$C217,AA$195&lt;$H$2),0,MIN($E217-SUM($G217:Z217),$F217))</f>
        <v>0</v>
      </c>
      <c r="AB217" s="424">
        <f>IF(OR(AB$195&lt;$C217,AB$195&lt;$H$2),0,MIN($E217-SUM($G217:AA217),$F217))</f>
        <v>0</v>
      </c>
      <c r="AC217" s="424">
        <f>IF(OR(AC$195&lt;$C217,AC$195&lt;$H$2),0,MIN($E217-SUM($G217:AB217),$F217))</f>
        <v>0</v>
      </c>
      <c r="AD217" s="424">
        <f>IF(OR(AD$195&lt;$C217,AD$195&lt;$H$2),0,MIN($E217-SUM($G217:AC217),$F217))</f>
        <v>0</v>
      </c>
    </row>
    <row r="218" spans="3:30">
      <c r="C218" s="201">
        <v>53343</v>
      </c>
      <c r="D218" s="94" t="s">
        <v>134</v>
      </c>
      <c r="E218" s="424">
        <f t="shared" si="114"/>
        <v>0</v>
      </c>
      <c r="F218" s="209">
        <f t="shared" si="115"/>
        <v>0</v>
      </c>
      <c r="H218" s="424">
        <f>IF(OR(H$195&lt;$C218,H$195&lt;$H$2),0,MIN($E218-SUM($G218:G218),$F218))</f>
        <v>0</v>
      </c>
      <c r="I218" s="424">
        <f>IF(OR(I$195&lt;$C218,I$195&lt;$H$2),0,MIN($E218-SUM($G218:H218),$F218))</f>
        <v>0</v>
      </c>
      <c r="J218" s="424">
        <f>IF(OR(J$195&lt;$C218,J$195&lt;$H$2),0,MIN($E218-SUM($G218:I218),$F218))</f>
        <v>0</v>
      </c>
      <c r="K218" s="424">
        <f>IF(OR(K$195&lt;$C218,K$195&lt;$H$2),0,MIN($E218-SUM($G218:J218),$F218))</f>
        <v>0</v>
      </c>
      <c r="L218" s="424">
        <f>IF(OR(L$195&lt;$C218,L$195&lt;$H$2),0,MIN($E218-SUM($G218:K218),$F218))</f>
        <v>0</v>
      </c>
      <c r="M218" s="424">
        <f>IF(OR(M$195&lt;$C218,M$195&lt;$H$2),0,MIN($E218-SUM($G218:L218),$F218))</f>
        <v>0</v>
      </c>
      <c r="N218" s="424">
        <f>IF(OR(N$195&lt;$C218,N$195&lt;$H$2),0,MIN($E218-SUM($G218:M218),$F218))</f>
        <v>0</v>
      </c>
      <c r="O218" s="424">
        <f>IF(OR(O$195&lt;$C218,O$195&lt;$H$2),0,MIN($E218-SUM($G218:N218),$F218))</f>
        <v>0</v>
      </c>
      <c r="P218" s="424">
        <f>IF(OR(P$195&lt;$C218,P$195&lt;$H$2),0,MIN($E218-SUM($G218:O218),$F218))</f>
        <v>0</v>
      </c>
      <c r="Q218" s="424">
        <f>IF(OR(Q$195&lt;$C218,Q$195&lt;$H$2),0,MIN($E218-SUM($G218:P218),$F218))</f>
        <v>0</v>
      </c>
      <c r="R218" s="424">
        <f>IF(OR(R$195&lt;$C218,R$195&lt;$H$2),0,MIN($E218-SUM($G218:Q218),$F218))</f>
        <v>0</v>
      </c>
      <c r="S218" s="424">
        <f>IF(OR(S$195&lt;$C218,S$195&lt;$H$2),0,MIN($E218-SUM($G218:R218),$F218))</f>
        <v>0</v>
      </c>
      <c r="T218" s="424">
        <f>IF(OR(T$195&lt;$C218,T$195&lt;$H$2),0,MIN($E218-SUM($G218:S218),$F218))</f>
        <v>0</v>
      </c>
      <c r="U218" s="424">
        <f>IF(OR(U$195&lt;$C218,U$195&lt;$H$2),0,MIN($E218-SUM($G218:T218),$F218))</f>
        <v>0</v>
      </c>
      <c r="V218" s="424">
        <f>IF(OR(V$195&lt;$C218,V$195&lt;$H$2),0,MIN($E218-SUM($G218:U218),$F218))</f>
        <v>0</v>
      </c>
      <c r="W218" s="424">
        <f>IF(OR(W$195&lt;$C218,W$195&lt;$H$2),0,MIN($E218-SUM($G218:V218),$F218))</f>
        <v>0</v>
      </c>
      <c r="X218" s="424">
        <f>IF(OR(X$195&lt;$C218,X$195&lt;$H$2),0,MIN($E218-SUM($G218:W218),$F218))</f>
        <v>0</v>
      </c>
      <c r="Y218" s="424">
        <f>IF(OR(Y$195&lt;$C218,Y$195&lt;$H$2),0,MIN($E218-SUM($G218:X218),$F218))</f>
        <v>0</v>
      </c>
      <c r="Z218" s="424">
        <f>IF(OR(Z$195&lt;$C218,Z$195&lt;$H$2),0,MIN($E218-SUM($G218:Y218),$F218))</f>
        <v>0</v>
      </c>
      <c r="AA218" s="424">
        <f>IF(OR(AA$195&lt;$C218,AA$195&lt;$H$2),0,MIN($E218-SUM($G218:Z218),$F218))</f>
        <v>0</v>
      </c>
      <c r="AB218" s="424">
        <f>IF(OR(AB$195&lt;$C218,AB$195&lt;$H$2),0,MIN($E218-SUM($G218:AA218),$F218))</f>
        <v>0</v>
      </c>
      <c r="AC218" s="424">
        <f>IF(OR(AC$195&lt;$C218,AC$195&lt;$H$2),0,MIN($E218-SUM($G218:AB218),$F218))</f>
        <v>0</v>
      </c>
      <c r="AD218" s="424">
        <f>IF(OR(AD$195&lt;$C218,AD$195&lt;$H$2),0,MIN($E218-SUM($G218:AC218),$F218))</f>
        <v>0</v>
      </c>
    </row>
    <row r="219" spans="3:30">
      <c r="C219" s="201">
        <v>53709</v>
      </c>
      <c r="D219" s="94" t="s">
        <v>134</v>
      </c>
      <c r="E219" s="424">
        <f t="shared" si="114"/>
        <v>0</v>
      </c>
      <c r="F219" s="209">
        <f t="shared" si="115"/>
        <v>0</v>
      </c>
      <c r="H219" s="424">
        <f>IF(OR(H$195&lt;$C219,H$195&lt;$H$2),0,MIN($E219-SUM($G219:G219),$F219))</f>
        <v>0</v>
      </c>
      <c r="I219" s="424">
        <f>IF(OR(I$195&lt;$C219,I$195&lt;$H$2),0,MIN($E219-SUM($G219:H219),$F219))</f>
        <v>0</v>
      </c>
      <c r="J219" s="424">
        <f>IF(OR(J$195&lt;$C219,J$195&lt;$H$2),0,MIN($E219-SUM($G219:I219),$F219))</f>
        <v>0</v>
      </c>
      <c r="K219" s="424">
        <f>IF(OR(K$195&lt;$C219,K$195&lt;$H$2),0,MIN($E219-SUM($G219:J219),$F219))</f>
        <v>0</v>
      </c>
      <c r="L219" s="424">
        <f>IF(OR(L$195&lt;$C219,L$195&lt;$H$2),0,MIN($E219-SUM($G219:K219),$F219))</f>
        <v>0</v>
      </c>
      <c r="M219" s="424">
        <f>IF(OR(M$195&lt;$C219,M$195&lt;$H$2),0,MIN($E219-SUM($G219:L219),$F219))</f>
        <v>0</v>
      </c>
      <c r="N219" s="424">
        <f>IF(OR(N$195&lt;$C219,N$195&lt;$H$2),0,MIN($E219-SUM($G219:M219),$F219))</f>
        <v>0</v>
      </c>
      <c r="O219" s="424">
        <f>IF(OR(O$195&lt;$C219,O$195&lt;$H$2),0,MIN($E219-SUM($G219:N219),$F219))</f>
        <v>0</v>
      </c>
      <c r="P219" s="424">
        <f>IF(OR(P$195&lt;$C219,P$195&lt;$H$2),0,MIN($E219-SUM($G219:O219),$F219))</f>
        <v>0</v>
      </c>
      <c r="Q219" s="424">
        <f>IF(OR(Q$195&lt;$C219,Q$195&lt;$H$2),0,MIN($E219-SUM($G219:P219),$F219))</f>
        <v>0</v>
      </c>
      <c r="R219" s="424">
        <f>IF(OR(R$195&lt;$C219,R$195&lt;$H$2),0,MIN($E219-SUM($G219:Q219),$F219))</f>
        <v>0</v>
      </c>
      <c r="S219" s="424">
        <f>IF(OR(S$195&lt;$C219,S$195&lt;$H$2),0,MIN($E219-SUM($G219:R219),$F219))</f>
        <v>0</v>
      </c>
      <c r="T219" s="424">
        <f>IF(OR(T$195&lt;$C219,T$195&lt;$H$2),0,MIN($E219-SUM($G219:S219),$F219))</f>
        <v>0</v>
      </c>
      <c r="U219" s="424">
        <f>IF(OR(U$195&lt;$C219,U$195&lt;$H$2),0,MIN($E219-SUM($G219:T219),$F219))</f>
        <v>0</v>
      </c>
      <c r="V219" s="424">
        <f>IF(OR(V$195&lt;$C219,V$195&lt;$H$2),0,MIN($E219-SUM($G219:U219),$F219))</f>
        <v>0</v>
      </c>
      <c r="W219" s="424">
        <f>IF(OR(W$195&lt;$C219,W$195&lt;$H$2),0,MIN($E219-SUM($G219:V219),$F219))</f>
        <v>0</v>
      </c>
      <c r="X219" s="424">
        <f>IF(OR(X$195&lt;$C219,X$195&lt;$H$2),0,MIN($E219-SUM($G219:W219),$F219))</f>
        <v>0</v>
      </c>
      <c r="Y219" s="424">
        <f>IF(OR(Y$195&lt;$C219,Y$195&lt;$H$2),0,MIN($E219-SUM($G219:X219),$F219))</f>
        <v>0</v>
      </c>
      <c r="Z219" s="424">
        <f>IF(OR(Z$195&lt;$C219,Z$195&lt;$H$2),0,MIN($E219-SUM($G219:Y219),$F219))</f>
        <v>0</v>
      </c>
      <c r="AA219" s="424">
        <f>IF(OR(AA$195&lt;$C219,AA$195&lt;$H$2),0,MIN($E219-SUM($G219:Z219),$F219))</f>
        <v>0</v>
      </c>
      <c r="AB219" s="424">
        <f>IF(OR(AB$195&lt;$C219,AB$195&lt;$H$2),0,MIN($E219-SUM($G219:AA219),$F219))</f>
        <v>0</v>
      </c>
      <c r="AC219" s="424">
        <f>IF(OR(AC$195&lt;$C219,AC$195&lt;$H$2),0,MIN($E219-SUM($G219:AB219),$F219))</f>
        <v>0</v>
      </c>
      <c r="AD219" s="424">
        <f>IF(OR(AD$195&lt;$C219,AD$195&lt;$H$2),0,MIN($E219-SUM($G219:AC219),$F219))</f>
        <v>0</v>
      </c>
    </row>
    <row r="220" spans="3:30">
      <c r="C220" s="201">
        <v>54075</v>
      </c>
      <c r="D220" s="94" t="s">
        <v>134</v>
      </c>
      <c r="E220" s="424">
        <f t="shared" si="114"/>
        <v>0</v>
      </c>
      <c r="F220" s="209">
        <f t="shared" si="115"/>
        <v>0</v>
      </c>
      <c r="H220" s="424">
        <f>IF(OR(H$195&lt;$C220,H$195&lt;$H$2),0,MIN($E220-SUM($G220:G220),$F220))</f>
        <v>0</v>
      </c>
      <c r="I220" s="424">
        <f>IF(OR(I$195&lt;$C220,I$195&lt;$H$2),0,MIN($E220-SUM($G220:H220),$F220))</f>
        <v>0</v>
      </c>
      <c r="J220" s="424">
        <f>IF(OR(J$195&lt;$C220,J$195&lt;$H$2),0,MIN($E220-SUM($G220:I220),$F220))</f>
        <v>0</v>
      </c>
      <c r="K220" s="424">
        <f>IF(OR(K$195&lt;$C220,K$195&lt;$H$2),0,MIN($E220-SUM($G220:J220),$F220))</f>
        <v>0</v>
      </c>
      <c r="L220" s="424">
        <f>IF(OR(L$195&lt;$C220,L$195&lt;$H$2),0,MIN($E220-SUM($G220:K220),$F220))</f>
        <v>0</v>
      </c>
      <c r="M220" s="424">
        <f>IF(OR(M$195&lt;$C220,M$195&lt;$H$2),0,MIN($E220-SUM($G220:L220),$F220))</f>
        <v>0</v>
      </c>
      <c r="N220" s="424">
        <f>IF(OR(N$195&lt;$C220,N$195&lt;$H$2),0,MIN($E220-SUM($G220:M220),$F220))</f>
        <v>0</v>
      </c>
      <c r="O220" s="424">
        <f>IF(OR(O$195&lt;$C220,O$195&lt;$H$2),0,MIN($E220-SUM($G220:N220),$F220))</f>
        <v>0</v>
      </c>
      <c r="P220" s="424">
        <f>IF(OR(P$195&lt;$C220,P$195&lt;$H$2),0,MIN($E220-SUM($G220:O220),$F220))</f>
        <v>0</v>
      </c>
      <c r="Q220" s="424">
        <f>IF(OR(Q$195&lt;$C220,Q$195&lt;$H$2),0,MIN($E220-SUM($G220:P220),$F220))</f>
        <v>0</v>
      </c>
      <c r="R220" s="424">
        <f>IF(OR(R$195&lt;$C220,R$195&lt;$H$2),0,MIN($E220-SUM($G220:Q220),$F220))</f>
        <v>0</v>
      </c>
      <c r="S220" s="424">
        <f>IF(OR(S$195&lt;$C220,S$195&lt;$H$2),0,MIN($E220-SUM($G220:R220),$F220))</f>
        <v>0</v>
      </c>
      <c r="T220" s="424">
        <f>IF(OR(T$195&lt;$C220,T$195&lt;$H$2),0,MIN($E220-SUM($G220:S220),$F220))</f>
        <v>0</v>
      </c>
      <c r="U220" s="424">
        <f>IF(OR(U$195&lt;$C220,U$195&lt;$H$2),0,MIN($E220-SUM($G220:T220),$F220))</f>
        <v>0</v>
      </c>
      <c r="V220" s="424">
        <f>IF(OR(V$195&lt;$C220,V$195&lt;$H$2),0,MIN($E220-SUM($G220:U220),$F220))</f>
        <v>0</v>
      </c>
      <c r="W220" s="424">
        <f>IF(OR(W$195&lt;$C220,W$195&lt;$H$2),0,MIN($E220-SUM($G220:V220),$F220))</f>
        <v>0</v>
      </c>
      <c r="X220" s="424">
        <f>IF(OR(X$195&lt;$C220,X$195&lt;$H$2),0,MIN($E220-SUM($G220:W220),$F220))</f>
        <v>0</v>
      </c>
      <c r="Y220" s="424">
        <f>IF(OR(Y$195&lt;$C220,Y$195&lt;$H$2),0,MIN($E220-SUM($G220:X220),$F220))</f>
        <v>0</v>
      </c>
      <c r="Z220" s="424">
        <f>IF(OR(Z$195&lt;$C220,Z$195&lt;$H$2),0,MIN($E220-SUM($G220:Y220),$F220))</f>
        <v>0</v>
      </c>
      <c r="AA220" s="424">
        <f>IF(OR(AA$195&lt;$C220,AA$195&lt;$H$2),0,MIN($E220-SUM($G220:Z220),$F220))</f>
        <v>0</v>
      </c>
      <c r="AB220" s="424">
        <f>IF(OR(AB$195&lt;$C220,AB$195&lt;$H$2),0,MIN($E220-SUM($G220:AA220),$F220))</f>
        <v>0</v>
      </c>
      <c r="AC220" s="424">
        <f>IF(OR(AC$195&lt;$C220,AC$195&lt;$H$2),0,MIN($E220-SUM($G220:AB220),$F220))</f>
        <v>0</v>
      </c>
      <c r="AD220" s="424">
        <f>IF(OR(AD$195&lt;$C220,AD$195&lt;$H$2),0,MIN($E220-SUM($G220:AC220),$F220))</f>
        <v>0</v>
      </c>
    </row>
    <row r="221" spans="3:30" ht="14" thickBot="1">
      <c r="C221" s="240" t="s">
        <v>543</v>
      </c>
      <c r="D221" s="348" t="s">
        <v>134</v>
      </c>
      <c r="E221" s="427">
        <f ca="1">SUM(E198:E220)</f>
        <v>313.19704000000002</v>
      </c>
      <c r="F221" s="427">
        <f ca="1">SUM(F198:F220)</f>
        <v>31.319704000000002</v>
      </c>
      <c r="G221" s="348"/>
      <c r="H221" s="427">
        <f t="shared" ref="H221:AD221" ca="1" si="116">SUM(H198:H220)</f>
        <v>13.887775999999997</v>
      </c>
      <c r="I221" s="427">
        <f t="shared" ca="1" si="116"/>
        <v>17.114801999999997</v>
      </c>
      <c r="J221" s="427">
        <f t="shared" ca="1" si="116"/>
        <v>20.460628</v>
      </c>
      <c r="K221" s="427">
        <f t="shared" ca="1" si="116"/>
        <v>26.366204</v>
      </c>
      <c r="L221" s="427">
        <f t="shared" ca="1" si="116"/>
        <v>31.319704000000002</v>
      </c>
      <c r="M221" s="427">
        <f t="shared" ca="1" si="116"/>
        <v>31.319704000000002</v>
      </c>
      <c r="N221" s="427">
        <f t="shared" ca="1" si="116"/>
        <v>31.319704000000002</v>
      </c>
      <c r="O221" s="427">
        <f t="shared" ca="1" si="116"/>
        <v>31.319704000000002</v>
      </c>
      <c r="P221" s="427">
        <f t="shared" ca="1" si="116"/>
        <v>31.319704000000002</v>
      </c>
      <c r="Q221" s="427">
        <f t="shared" ca="1" si="116"/>
        <v>31.31970399999998</v>
      </c>
      <c r="R221" s="427">
        <f t="shared" ca="1" si="116"/>
        <v>17.431927999999989</v>
      </c>
      <c r="S221" s="427">
        <f t="shared" ca="1" si="116"/>
        <v>14.204901999999988</v>
      </c>
      <c r="T221" s="427">
        <f t="shared" ca="1" si="116"/>
        <v>10.859076</v>
      </c>
      <c r="U221" s="427">
        <f t="shared" ca="1" si="116"/>
        <v>4.9535000000000071</v>
      </c>
      <c r="V221" s="427">
        <f t="shared" ca="1" si="116"/>
        <v>7.1054273576010019E-15</v>
      </c>
      <c r="W221" s="427">
        <f t="shared" ca="1" si="116"/>
        <v>0</v>
      </c>
      <c r="X221" s="427">
        <f t="shared" ca="1" si="116"/>
        <v>0</v>
      </c>
      <c r="Y221" s="427">
        <f t="shared" ca="1" si="116"/>
        <v>0</v>
      </c>
      <c r="Z221" s="427">
        <f t="shared" ca="1" si="116"/>
        <v>0</v>
      </c>
      <c r="AA221" s="427">
        <f t="shared" ca="1" si="116"/>
        <v>0</v>
      </c>
      <c r="AB221" s="427">
        <f t="shared" ca="1" si="116"/>
        <v>0</v>
      </c>
      <c r="AC221" s="427">
        <f t="shared" ca="1" si="116"/>
        <v>0</v>
      </c>
      <c r="AD221" s="427">
        <f t="shared" ca="1" si="116"/>
        <v>0</v>
      </c>
    </row>
    <row r="222" spans="3:30" ht="14" thickTop="1"/>
    <row r="223" spans="3:30" ht="28">
      <c r="C223" s="428" t="s">
        <v>166</v>
      </c>
      <c r="D223" s="428" t="s">
        <v>88</v>
      </c>
      <c r="E223" s="428" t="s">
        <v>555</v>
      </c>
      <c r="F223" s="429" t="s">
        <v>556</v>
      </c>
      <c r="G223" s="430"/>
      <c r="H223" s="201">
        <f t="shared" ref="H223:AD223" si="117">H195</f>
        <v>46023</v>
      </c>
      <c r="I223" s="201">
        <f t="shared" si="117"/>
        <v>46389</v>
      </c>
      <c r="J223" s="201">
        <f t="shared" si="117"/>
        <v>46755</v>
      </c>
      <c r="K223" s="201">
        <f t="shared" si="117"/>
        <v>47121</v>
      </c>
      <c r="L223" s="201">
        <f t="shared" si="117"/>
        <v>47487</v>
      </c>
      <c r="M223" s="201">
        <f t="shared" si="117"/>
        <v>47853</v>
      </c>
      <c r="N223" s="201">
        <f t="shared" si="117"/>
        <v>48219</v>
      </c>
      <c r="O223" s="201">
        <f t="shared" si="117"/>
        <v>48585</v>
      </c>
      <c r="P223" s="201">
        <f t="shared" si="117"/>
        <v>48951</v>
      </c>
      <c r="Q223" s="201">
        <f t="shared" si="117"/>
        <v>49317</v>
      </c>
      <c r="R223" s="201">
        <f t="shared" si="117"/>
        <v>49683</v>
      </c>
      <c r="S223" s="201">
        <f t="shared" si="117"/>
        <v>50049</v>
      </c>
      <c r="T223" s="201">
        <f t="shared" si="117"/>
        <v>50415</v>
      </c>
      <c r="U223" s="201">
        <f t="shared" si="117"/>
        <v>50781</v>
      </c>
      <c r="V223" s="201">
        <f t="shared" si="117"/>
        <v>51147</v>
      </c>
      <c r="W223" s="201">
        <f t="shared" si="117"/>
        <v>51513</v>
      </c>
      <c r="X223" s="201">
        <f t="shared" si="117"/>
        <v>51879</v>
      </c>
      <c r="Y223" s="201">
        <f t="shared" si="117"/>
        <v>52245</v>
      </c>
      <c r="Z223" s="201">
        <f t="shared" si="117"/>
        <v>52611</v>
      </c>
      <c r="AA223" s="201">
        <f t="shared" si="117"/>
        <v>52977</v>
      </c>
      <c r="AB223" s="201">
        <f t="shared" si="117"/>
        <v>53343</v>
      </c>
      <c r="AC223" s="201">
        <f t="shared" si="117"/>
        <v>53709</v>
      </c>
      <c r="AD223" s="201">
        <f t="shared" si="117"/>
        <v>54075</v>
      </c>
    </row>
    <row r="224" spans="3:30">
      <c r="C224" s="430"/>
      <c r="D224" s="430"/>
      <c r="E224" s="428" t="s">
        <v>134</v>
      </c>
      <c r="F224" s="428" t="s">
        <v>134</v>
      </c>
      <c r="G224" s="430"/>
      <c r="H224" s="1141">
        <f t="shared" ref="H224:AD224" si="118">H196</f>
        <v>-4</v>
      </c>
      <c r="I224" s="1141">
        <f t="shared" si="118"/>
        <v>-3</v>
      </c>
      <c r="J224" s="1141">
        <f t="shared" si="118"/>
        <v>-2</v>
      </c>
      <c r="K224" s="1141">
        <f t="shared" si="118"/>
        <v>-1</v>
      </c>
      <c r="L224" s="1141">
        <f t="shared" si="118"/>
        <v>1</v>
      </c>
      <c r="M224" s="1141">
        <f t="shared" si="118"/>
        <v>2</v>
      </c>
      <c r="N224" s="1141">
        <f t="shared" si="118"/>
        <v>3</v>
      </c>
      <c r="O224" s="1141">
        <f t="shared" si="118"/>
        <v>4</v>
      </c>
      <c r="P224" s="1141">
        <f t="shared" si="118"/>
        <v>5</v>
      </c>
      <c r="Q224" s="1141">
        <f t="shared" si="118"/>
        <v>6</v>
      </c>
      <c r="R224" s="1141">
        <f t="shared" si="118"/>
        <v>7</v>
      </c>
      <c r="S224" s="1141">
        <f t="shared" si="118"/>
        <v>8</v>
      </c>
      <c r="T224" s="1141">
        <f t="shared" si="118"/>
        <v>9</v>
      </c>
      <c r="U224" s="1141">
        <f t="shared" si="118"/>
        <v>10</v>
      </c>
      <c r="V224" s="1141">
        <f t="shared" si="118"/>
        <v>11</v>
      </c>
      <c r="W224" s="1141">
        <f t="shared" si="118"/>
        <v>12</v>
      </c>
      <c r="X224" s="1141">
        <f t="shared" si="118"/>
        <v>13</v>
      </c>
      <c r="Y224" s="1141">
        <f t="shared" si="118"/>
        <v>14</v>
      </c>
      <c r="Z224" s="1141">
        <f t="shared" si="118"/>
        <v>15</v>
      </c>
      <c r="AA224" s="1141">
        <f t="shared" si="118"/>
        <v>16</v>
      </c>
      <c r="AB224" s="1141">
        <f t="shared" si="118"/>
        <v>17</v>
      </c>
      <c r="AC224" s="1141">
        <f t="shared" si="118"/>
        <v>18</v>
      </c>
      <c r="AD224" s="1141">
        <f t="shared" si="118"/>
        <v>19</v>
      </c>
    </row>
    <row r="225" spans="3:30">
      <c r="C225" s="191" t="str">
        <f>C47</f>
        <v>Land Cost</v>
      </c>
    </row>
    <row r="226" spans="3:30">
      <c r="C226" s="201" cm="1">
        <f t="array" ref="C226:C248">TRANSPOSE(H223:AD223)</f>
        <v>46023</v>
      </c>
      <c r="D226" s="94" t="s">
        <v>134</v>
      </c>
      <c r="E226" s="424">
        <f t="shared" ref="E226:E248" si="119">HLOOKUP($C226,$H$39:$AI$112,11,FALSE)</f>
        <v>0</v>
      </c>
      <c r="F226" s="209">
        <f>E226*$F$47</f>
        <v>0</v>
      </c>
      <c r="H226" s="424">
        <f>IF(OR(H$223&lt;$C226,H$223&lt;$H$2),0,MIN($E226-SUM($G226:G226),$F226))</f>
        <v>0</v>
      </c>
      <c r="I226" s="424">
        <f>IF(OR(I$223&lt;$C226,I$223&lt;$H$2),0,MIN($E226-SUM($G226:H226),$F226))</f>
        <v>0</v>
      </c>
      <c r="J226" s="424">
        <f>IF(OR(J$223&lt;$C226,J$223&lt;$H$2),0,MIN($E226-SUM($G226:I226),$F226))</f>
        <v>0</v>
      </c>
      <c r="K226" s="424">
        <f>IF(OR(K$223&lt;$C226,K$223&lt;$H$2),0,MIN($E226-SUM($G226:J226),$F226))</f>
        <v>0</v>
      </c>
      <c r="L226" s="424">
        <f>IF(OR(L$223&lt;$C226,L$223&lt;$H$2),0,MIN($E226-SUM($G226:K226),$F226))</f>
        <v>0</v>
      </c>
      <c r="M226" s="424">
        <f>IF(OR(M$223&lt;$C226,M$223&lt;$H$2),0,MIN($E226-SUM($G226:L226),$F226))</f>
        <v>0</v>
      </c>
      <c r="N226" s="424">
        <f>IF(OR(N$223&lt;$C226,N$223&lt;$H$2),0,MIN($E226-SUM($G226:M226),$F226))</f>
        <v>0</v>
      </c>
      <c r="O226" s="424">
        <f>IF(OR(O$223&lt;$C226,O$223&lt;$H$2),0,MIN($E226-SUM($G226:N226),$F226))</f>
        <v>0</v>
      </c>
      <c r="P226" s="424">
        <f>IF(OR(P$223&lt;$C226,P$223&lt;$H$2),0,MIN($E226-SUM($G226:O226),$F226))</f>
        <v>0</v>
      </c>
      <c r="Q226" s="424">
        <f>IF(OR(Q$223&lt;$C226,Q$223&lt;$H$2),0,MIN($E226-SUM($G226:P226),$F226))</f>
        <v>0</v>
      </c>
      <c r="R226" s="424">
        <f>IF(OR(R$223&lt;$C226,R$223&lt;$H$2),0,MIN($E226-SUM($G226:Q226),$F226))</f>
        <v>0</v>
      </c>
      <c r="S226" s="424">
        <f>IF(OR(S$223&lt;$C226,S$223&lt;$H$2),0,MIN($E226-SUM($G226:R226),$F226))</f>
        <v>0</v>
      </c>
      <c r="T226" s="424">
        <f>IF(OR(T$223&lt;$C226,T$223&lt;$H$2),0,MIN($E226-SUM($G226:S226),$F226))</f>
        <v>0</v>
      </c>
      <c r="U226" s="424">
        <f>IF(OR(U$223&lt;$C226,U$223&lt;$H$2),0,MIN($E226-SUM($G226:T226),$F226))</f>
        <v>0</v>
      </c>
      <c r="V226" s="424">
        <f>IF(OR(V$223&lt;$C226,V$223&lt;$H$2),0,MIN($E226-SUM($G226:U226),$F226))</f>
        <v>0</v>
      </c>
      <c r="W226" s="424">
        <f>IF(OR(W$223&lt;$C226,W$223&lt;$H$2),0,MIN($E226-SUM($G226:V226),$F226))</f>
        <v>0</v>
      </c>
      <c r="X226" s="424">
        <f>IF(OR(X$223&lt;$C226,X$223&lt;$H$2),0,MIN($E226-SUM($G226:W226),$F226))</f>
        <v>0</v>
      </c>
      <c r="Y226" s="424">
        <f>IF(OR(Y$223&lt;$C226,Y$223&lt;$H$2),0,MIN($E226-SUM($G226:X226),$F226))</f>
        <v>0</v>
      </c>
      <c r="Z226" s="424">
        <f>IF(OR(Z$223&lt;$C226,Z$223&lt;$H$2),0,MIN($E226-SUM($G226:Y226),$F226))</f>
        <v>0</v>
      </c>
      <c r="AA226" s="424">
        <f>IF(OR(AA$223&lt;$C226,AA$223&lt;$H$2),0,MIN($E226-SUM($G226:Z226),$F226))</f>
        <v>0</v>
      </c>
      <c r="AB226" s="424">
        <f>IF(OR(AB$223&lt;$C226,AB$223&lt;$H$2),0,MIN($E226-SUM($G226:AA226),$F226))</f>
        <v>0</v>
      </c>
      <c r="AC226" s="424">
        <f>IF(OR(AC$223&lt;$C226,AC$223&lt;$H$2),0,MIN($E226-SUM($G226:AB226),$F226))</f>
        <v>0</v>
      </c>
      <c r="AD226" s="424">
        <f>IF(OR(AD$223&lt;$C226,AD$223&lt;$H$2),0,MIN($E226-SUM($G226:AC226),$F226))</f>
        <v>0</v>
      </c>
    </row>
    <row r="227" spans="3:30">
      <c r="C227" s="201">
        <v>46389</v>
      </c>
      <c r="D227" s="94" t="s">
        <v>134</v>
      </c>
      <c r="E227" s="424">
        <f t="shared" si="119"/>
        <v>147.76226127539996</v>
      </c>
      <c r="F227" s="209">
        <f t="shared" ref="F227:F248" si="120">E227*$F$47</f>
        <v>6.4244461424086943</v>
      </c>
      <c r="H227" s="424">
        <f>IF(OR(H$223&lt;$C227,H$223&lt;$H$2),0,MIN($E227-SUM($G227:G227),$F227))</f>
        <v>0</v>
      </c>
      <c r="I227" s="424">
        <f>IF(OR(I$223&lt;$C227,I$223&lt;$H$2),0,MIN($E227-SUM($G227:H227),$F227))</f>
        <v>6.4244461424086943</v>
      </c>
      <c r="J227" s="424">
        <f>IF(OR(J$223&lt;$C227,J$223&lt;$H$2),0,MIN($E227-SUM($G227:I227),$F227))</f>
        <v>6.4244461424086943</v>
      </c>
      <c r="K227" s="424">
        <f>IF(OR(K$223&lt;$C227,K$223&lt;$H$2),0,MIN($E227-SUM($G227:J227),$F227))</f>
        <v>6.4244461424086943</v>
      </c>
      <c r="L227" s="424">
        <f>IF(OR(L$223&lt;$C227,L$223&lt;$H$2),0,MIN($E227-SUM($G227:K227),$F227))</f>
        <v>6.4244461424086943</v>
      </c>
      <c r="M227" s="424">
        <f>IF(OR(M$223&lt;$C227,M$223&lt;$H$2),0,MIN($E227-SUM($G227:L227),$F227))</f>
        <v>6.4244461424086943</v>
      </c>
      <c r="N227" s="424">
        <f>IF(OR(N$223&lt;$C227,N$223&lt;$H$2),0,MIN($E227-SUM($G227:M227),$F227))</f>
        <v>6.4244461424086943</v>
      </c>
      <c r="O227" s="424">
        <f>IF(OR(O$223&lt;$C227,O$223&lt;$H$2),0,MIN($E227-SUM($G227:N227),$F227))</f>
        <v>6.4244461424086943</v>
      </c>
      <c r="P227" s="424">
        <f>IF(OR(P$223&lt;$C227,P$223&lt;$H$2),0,MIN($E227-SUM($G227:O227),$F227))</f>
        <v>6.4244461424086943</v>
      </c>
      <c r="Q227" s="424">
        <f>IF(OR(Q$223&lt;$C227,Q$223&lt;$H$2),0,MIN($E227-SUM($G227:P227),$F227))</f>
        <v>6.4244461424086943</v>
      </c>
      <c r="R227" s="424">
        <f>IF(OR(R$223&lt;$C227,R$223&lt;$H$2),0,MIN($E227-SUM($G227:Q227),$F227))</f>
        <v>6.4244461424086943</v>
      </c>
      <c r="S227" s="424">
        <f>IF(OR(S$223&lt;$C227,S$223&lt;$H$2),0,MIN($E227-SUM($G227:R227),$F227))</f>
        <v>6.4244461424086943</v>
      </c>
      <c r="T227" s="424">
        <f>IF(OR(T$223&lt;$C227,T$223&lt;$H$2),0,MIN($E227-SUM($G227:S227),$F227))</f>
        <v>6.4244461424086943</v>
      </c>
      <c r="U227" s="424">
        <f>IF(OR(U$223&lt;$C227,U$223&lt;$H$2),0,MIN($E227-SUM($G227:T227),$F227))</f>
        <v>6.4244461424086943</v>
      </c>
      <c r="V227" s="424">
        <f>IF(OR(V$223&lt;$C227,V$223&lt;$H$2),0,MIN($E227-SUM($G227:U227),$F227))</f>
        <v>6.4244461424086943</v>
      </c>
      <c r="W227" s="424">
        <f>IF(OR(W$223&lt;$C227,W$223&lt;$H$2),0,MIN($E227-SUM($G227:V227),$F227))</f>
        <v>6.4244461424086943</v>
      </c>
      <c r="X227" s="424">
        <f>IF(OR(X$223&lt;$C227,X$223&lt;$H$2),0,MIN($E227-SUM($G227:W227),$F227))</f>
        <v>6.4244461424086943</v>
      </c>
      <c r="Y227" s="424">
        <f>IF(OR(Y$223&lt;$C227,Y$223&lt;$H$2),0,MIN($E227-SUM($G227:X227),$F227))</f>
        <v>6.4244461424086943</v>
      </c>
      <c r="Z227" s="424">
        <f>IF(OR(Z$223&lt;$C227,Z$223&lt;$H$2),0,MIN($E227-SUM($G227:Y227),$F227))</f>
        <v>6.4244461424086943</v>
      </c>
      <c r="AA227" s="424">
        <f>IF(OR(AA$223&lt;$C227,AA$223&lt;$H$2),0,MIN($E227-SUM($G227:Z227),$F227))</f>
        <v>6.4244461424086943</v>
      </c>
      <c r="AB227" s="424">
        <f>IF(OR(AB$223&lt;$C227,AB$223&lt;$H$2),0,MIN($E227-SUM($G227:AA227),$F227))</f>
        <v>6.4244461424086943</v>
      </c>
      <c r="AC227" s="424">
        <f>IF(OR(AC$223&lt;$C227,AC$223&lt;$H$2),0,MIN($E227-SUM($G227:AB227),$F227))</f>
        <v>6.4244461424086943</v>
      </c>
      <c r="AD227" s="424">
        <f>IF(OR(AD$223&lt;$C227,AD$223&lt;$H$2),0,MIN($E227-SUM($G227:AC227),$F227))</f>
        <v>6.4244461424086943</v>
      </c>
    </row>
    <row r="228" spans="3:30">
      <c r="C228" s="201">
        <v>46755</v>
      </c>
      <c r="D228" s="94" t="s">
        <v>134</v>
      </c>
      <c r="E228" s="424">
        <f t="shared" si="119"/>
        <v>98.508174183599976</v>
      </c>
      <c r="F228" s="209">
        <f t="shared" si="120"/>
        <v>4.2829640949391292</v>
      </c>
      <c r="H228" s="424">
        <f>IF(OR(H$223&lt;$C228,H$223&lt;$H$2),0,MIN($E228-SUM($G228:G228),$F228))</f>
        <v>0</v>
      </c>
      <c r="I228" s="424">
        <f>IF(OR(I$223&lt;$C228,I$223&lt;$H$2),0,MIN($E228-SUM($G228:H228),$F228))</f>
        <v>0</v>
      </c>
      <c r="J228" s="424">
        <f>IF(OR(J$223&lt;$C228,J$223&lt;$H$2),0,MIN($E228-SUM($G228:I228),$F228))</f>
        <v>4.2829640949391292</v>
      </c>
      <c r="K228" s="424">
        <f>IF(OR(K$223&lt;$C228,K$223&lt;$H$2),0,MIN($E228-SUM($G228:J228),$F228))</f>
        <v>4.2829640949391292</v>
      </c>
      <c r="L228" s="424">
        <f>IF(OR(L$223&lt;$C228,L$223&lt;$H$2),0,MIN($E228-SUM($G228:K228),$F228))</f>
        <v>4.2829640949391292</v>
      </c>
      <c r="M228" s="424">
        <f>IF(OR(M$223&lt;$C228,M$223&lt;$H$2),0,MIN($E228-SUM($G228:L228),$F228))</f>
        <v>4.2829640949391292</v>
      </c>
      <c r="N228" s="424">
        <f>IF(OR(N$223&lt;$C228,N$223&lt;$H$2),0,MIN($E228-SUM($G228:M228),$F228))</f>
        <v>4.2829640949391292</v>
      </c>
      <c r="O228" s="424">
        <f>IF(OR(O$223&lt;$C228,O$223&lt;$H$2),0,MIN($E228-SUM($G228:N228),$F228))</f>
        <v>4.2829640949391292</v>
      </c>
      <c r="P228" s="424">
        <f>IF(OR(P$223&lt;$C228,P$223&lt;$H$2),0,MIN($E228-SUM($G228:O228),$F228))</f>
        <v>4.2829640949391292</v>
      </c>
      <c r="Q228" s="424">
        <f>IF(OR(Q$223&lt;$C228,Q$223&lt;$H$2),0,MIN($E228-SUM($G228:P228),$F228))</f>
        <v>4.2829640949391292</v>
      </c>
      <c r="R228" s="424">
        <f>IF(OR(R$223&lt;$C228,R$223&lt;$H$2),0,MIN($E228-SUM($G228:Q228),$F228))</f>
        <v>4.2829640949391292</v>
      </c>
      <c r="S228" s="424">
        <f>IF(OR(S$223&lt;$C228,S$223&lt;$H$2),0,MIN($E228-SUM($G228:R228),$F228))</f>
        <v>4.2829640949391292</v>
      </c>
      <c r="T228" s="424">
        <f>IF(OR(T$223&lt;$C228,T$223&lt;$H$2),0,MIN($E228-SUM($G228:S228),$F228))</f>
        <v>4.2829640949391292</v>
      </c>
      <c r="U228" s="424">
        <f>IF(OR(U$223&lt;$C228,U$223&lt;$H$2),0,MIN($E228-SUM($G228:T228),$F228))</f>
        <v>4.2829640949391292</v>
      </c>
      <c r="V228" s="424">
        <f>IF(OR(V$223&lt;$C228,V$223&lt;$H$2),0,MIN($E228-SUM($G228:U228),$F228))</f>
        <v>4.2829640949391292</v>
      </c>
      <c r="W228" s="424">
        <f>IF(OR(W$223&lt;$C228,W$223&lt;$H$2),0,MIN($E228-SUM($G228:V228),$F228))</f>
        <v>4.2829640949391292</v>
      </c>
      <c r="X228" s="424">
        <f>IF(OR(X$223&lt;$C228,X$223&lt;$H$2),0,MIN($E228-SUM($G228:W228),$F228))</f>
        <v>4.2829640949391292</v>
      </c>
      <c r="Y228" s="424">
        <f>IF(OR(Y$223&lt;$C228,Y$223&lt;$H$2),0,MIN($E228-SUM($G228:X228),$F228))</f>
        <v>4.2829640949391292</v>
      </c>
      <c r="Z228" s="424">
        <f>IF(OR(Z$223&lt;$C228,Z$223&lt;$H$2),0,MIN($E228-SUM($G228:Y228),$F228))</f>
        <v>4.2829640949391292</v>
      </c>
      <c r="AA228" s="424">
        <f>IF(OR(AA$223&lt;$C228,AA$223&lt;$H$2),0,MIN($E228-SUM($G228:Z228),$F228))</f>
        <v>4.2829640949391292</v>
      </c>
      <c r="AB228" s="424">
        <f>IF(OR(AB$223&lt;$C228,AB$223&lt;$H$2),0,MIN($E228-SUM($G228:AA228),$F228))</f>
        <v>4.2829640949391292</v>
      </c>
      <c r="AC228" s="424">
        <f>IF(OR(AC$223&lt;$C228,AC$223&lt;$H$2),0,MIN($E228-SUM($G228:AB228),$F228))</f>
        <v>4.2829640949391292</v>
      </c>
      <c r="AD228" s="424">
        <f>IF(OR(AD$223&lt;$C228,AD$223&lt;$H$2),0,MIN($E228-SUM($G228:AC228),$F228))</f>
        <v>4.2829640949391292</v>
      </c>
    </row>
    <row r="229" spans="3:30">
      <c r="C229" s="201">
        <v>47121</v>
      </c>
      <c r="D229" s="94" t="s">
        <v>134</v>
      </c>
      <c r="E229" s="424">
        <f t="shared" si="119"/>
        <v>98.508174183599976</v>
      </c>
      <c r="F229" s="209">
        <f t="shared" si="120"/>
        <v>4.2829640949391292</v>
      </c>
      <c r="H229" s="424">
        <f>IF(OR(H$223&lt;$C229,H$223&lt;$H$2),0,MIN($E229-SUM($G229:G229),$F229))</f>
        <v>0</v>
      </c>
      <c r="I229" s="424">
        <f>IF(OR(I$223&lt;$C229,I$223&lt;$H$2),0,MIN($E229-SUM($G229:H229),$F229))</f>
        <v>0</v>
      </c>
      <c r="J229" s="424">
        <f>IF(OR(J$223&lt;$C229,J$223&lt;$H$2),0,MIN($E229-SUM($G229:I229),$F229))</f>
        <v>0</v>
      </c>
      <c r="K229" s="424">
        <f>IF(OR(K$223&lt;$C229,K$223&lt;$H$2),0,MIN($E229-SUM($G229:J229),$F229))</f>
        <v>4.2829640949391292</v>
      </c>
      <c r="L229" s="424">
        <f>IF(OR(L$223&lt;$C229,L$223&lt;$H$2),0,MIN($E229-SUM($G229:K229),$F229))</f>
        <v>4.2829640949391292</v>
      </c>
      <c r="M229" s="424">
        <f>IF(OR(M$223&lt;$C229,M$223&lt;$H$2),0,MIN($E229-SUM($G229:L229),$F229))</f>
        <v>4.2829640949391292</v>
      </c>
      <c r="N229" s="424">
        <f>IF(OR(N$223&lt;$C229,N$223&lt;$H$2),0,MIN($E229-SUM($G229:M229),$F229))</f>
        <v>4.2829640949391292</v>
      </c>
      <c r="O229" s="424">
        <f>IF(OR(O$223&lt;$C229,O$223&lt;$H$2),0,MIN($E229-SUM($G229:N229),$F229))</f>
        <v>4.2829640949391292</v>
      </c>
      <c r="P229" s="424">
        <f>IF(OR(P$223&lt;$C229,P$223&lt;$H$2),0,MIN($E229-SUM($G229:O229),$F229))</f>
        <v>4.2829640949391292</v>
      </c>
      <c r="Q229" s="424">
        <f>IF(OR(Q$223&lt;$C229,Q$223&lt;$H$2),0,MIN($E229-SUM($G229:P229),$F229))</f>
        <v>4.2829640949391292</v>
      </c>
      <c r="R229" s="424">
        <f>IF(OR(R$223&lt;$C229,R$223&lt;$H$2),0,MIN($E229-SUM($G229:Q229),$F229))</f>
        <v>4.2829640949391292</v>
      </c>
      <c r="S229" s="424">
        <f>IF(OR(S$223&lt;$C229,S$223&lt;$H$2),0,MIN($E229-SUM($G229:R229),$F229))</f>
        <v>4.2829640949391292</v>
      </c>
      <c r="T229" s="424">
        <f>IF(OR(T$223&lt;$C229,T$223&lt;$H$2),0,MIN($E229-SUM($G229:S229),$F229))</f>
        <v>4.2829640949391292</v>
      </c>
      <c r="U229" s="424">
        <f>IF(OR(U$223&lt;$C229,U$223&lt;$H$2),0,MIN($E229-SUM($G229:T229),$F229))</f>
        <v>4.2829640949391292</v>
      </c>
      <c r="V229" s="424">
        <f>IF(OR(V$223&lt;$C229,V$223&lt;$H$2),0,MIN($E229-SUM($G229:U229),$F229))</f>
        <v>4.2829640949391292</v>
      </c>
      <c r="W229" s="424">
        <f>IF(OR(W$223&lt;$C229,W$223&lt;$H$2),0,MIN($E229-SUM($G229:V229),$F229))</f>
        <v>4.2829640949391292</v>
      </c>
      <c r="X229" s="424">
        <f>IF(OR(X$223&lt;$C229,X$223&lt;$H$2),0,MIN($E229-SUM($G229:W229),$F229))</f>
        <v>4.2829640949391292</v>
      </c>
      <c r="Y229" s="424">
        <f>IF(OR(Y$223&lt;$C229,Y$223&lt;$H$2),0,MIN($E229-SUM($G229:X229),$F229))</f>
        <v>4.2829640949391292</v>
      </c>
      <c r="Z229" s="424">
        <f>IF(OR(Z$223&lt;$C229,Z$223&lt;$H$2),0,MIN($E229-SUM($G229:Y229),$F229))</f>
        <v>4.2829640949391292</v>
      </c>
      <c r="AA229" s="424">
        <f>IF(OR(AA$223&lt;$C229,AA$223&lt;$H$2),0,MIN($E229-SUM($G229:Z229),$F229))</f>
        <v>4.2829640949391292</v>
      </c>
      <c r="AB229" s="424">
        <f>IF(OR(AB$223&lt;$C229,AB$223&lt;$H$2),0,MIN($E229-SUM($G229:AA229),$F229))</f>
        <v>4.2829640949391292</v>
      </c>
      <c r="AC229" s="424">
        <f>IF(OR(AC$223&lt;$C229,AC$223&lt;$H$2),0,MIN($E229-SUM($G229:AB229),$F229))</f>
        <v>4.2829640949391292</v>
      </c>
      <c r="AD229" s="424">
        <f>IF(OR(AD$223&lt;$C229,AD$223&lt;$H$2),0,MIN($E229-SUM($G229:AC229),$F229))</f>
        <v>4.2829640949391292</v>
      </c>
    </row>
    <row r="230" spans="3:30">
      <c r="C230" s="201">
        <v>47487</v>
      </c>
      <c r="D230" s="94" t="s">
        <v>134</v>
      </c>
      <c r="E230" s="424">
        <f t="shared" si="119"/>
        <v>95.878699625956514</v>
      </c>
      <c r="F230" s="209">
        <f t="shared" si="120"/>
        <v>4.1686391141720218</v>
      </c>
      <c r="H230" s="424">
        <f>IF(OR(H$223&lt;$C230,H$223&lt;$H$2),0,MIN($E230-SUM($G230:G230),$F230))</f>
        <v>0</v>
      </c>
      <c r="I230" s="424">
        <f>IF(OR(I$223&lt;$C230,I$223&lt;$H$2),0,MIN($E230-SUM($G230:H230),$F230))</f>
        <v>0</v>
      </c>
      <c r="J230" s="424">
        <f>IF(OR(J$223&lt;$C230,J$223&lt;$H$2),0,MIN($E230-SUM($G230:I230),$F230))</f>
        <v>0</v>
      </c>
      <c r="K230" s="424">
        <f>IF(OR(K$223&lt;$C230,K$223&lt;$H$2),0,MIN($E230-SUM($G230:J230),$F230))</f>
        <v>0</v>
      </c>
      <c r="L230" s="424">
        <f>IF(OR(L$223&lt;$C230,L$223&lt;$H$2),0,MIN($E230-SUM($G230:K230),$F230))</f>
        <v>4.1686391141720218</v>
      </c>
      <c r="M230" s="424">
        <f>IF(OR(M$223&lt;$C230,M$223&lt;$H$2),0,MIN($E230-SUM($G230:L230),$F230))</f>
        <v>4.1686391141720218</v>
      </c>
      <c r="N230" s="424">
        <f>IF(OR(N$223&lt;$C230,N$223&lt;$H$2),0,MIN($E230-SUM($G230:M230),$F230))</f>
        <v>4.1686391141720218</v>
      </c>
      <c r="O230" s="424">
        <f>IF(OR(O$223&lt;$C230,O$223&lt;$H$2),0,MIN($E230-SUM($G230:N230),$F230))</f>
        <v>4.1686391141720218</v>
      </c>
      <c r="P230" s="424">
        <f>IF(OR(P$223&lt;$C230,P$223&lt;$H$2),0,MIN($E230-SUM($G230:O230),$F230))</f>
        <v>4.1686391141720218</v>
      </c>
      <c r="Q230" s="424">
        <f>IF(OR(Q$223&lt;$C230,Q$223&lt;$H$2),0,MIN($E230-SUM($G230:P230),$F230))</f>
        <v>4.1686391141720218</v>
      </c>
      <c r="R230" s="424">
        <f>IF(OR(R$223&lt;$C230,R$223&lt;$H$2),0,MIN($E230-SUM($G230:Q230),$F230))</f>
        <v>4.1686391141720218</v>
      </c>
      <c r="S230" s="424">
        <f>IF(OR(S$223&lt;$C230,S$223&lt;$H$2),0,MIN($E230-SUM($G230:R230),$F230))</f>
        <v>4.1686391141720218</v>
      </c>
      <c r="T230" s="424">
        <f>IF(OR(T$223&lt;$C230,T$223&lt;$H$2),0,MIN($E230-SUM($G230:S230),$F230))</f>
        <v>4.1686391141720218</v>
      </c>
      <c r="U230" s="424">
        <f>IF(OR(U$223&lt;$C230,U$223&lt;$H$2),0,MIN($E230-SUM($G230:T230),$F230))</f>
        <v>4.1686391141720218</v>
      </c>
      <c r="V230" s="424">
        <f>IF(OR(V$223&lt;$C230,V$223&lt;$H$2),0,MIN($E230-SUM($G230:U230),$F230))</f>
        <v>4.1686391141720218</v>
      </c>
      <c r="W230" s="424">
        <f>IF(OR(W$223&lt;$C230,W$223&lt;$H$2),0,MIN($E230-SUM($G230:V230),$F230))</f>
        <v>4.1686391141720218</v>
      </c>
      <c r="X230" s="424">
        <f>IF(OR(X$223&lt;$C230,X$223&lt;$H$2),0,MIN($E230-SUM($G230:W230),$F230))</f>
        <v>4.1686391141720218</v>
      </c>
      <c r="Y230" s="424">
        <f>IF(OR(Y$223&lt;$C230,Y$223&lt;$H$2),0,MIN($E230-SUM($G230:X230),$F230))</f>
        <v>4.1686391141720218</v>
      </c>
      <c r="Z230" s="424">
        <f>IF(OR(Z$223&lt;$C230,Z$223&lt;$H$2),0,MIN($E230-SUM($G230:Y230),$F230))</f>
        <v>4.1686391141720218</v>
      </c>
      <c r="AA230" s="424">
        <f>IF(OR(AA$223&lt;$C230,AA$223&lt;$H$2),0,MIN($E230-SUM($G230:Z230),$F230))</f>
        <v>4.1686391141720218</v>
      </c>
      <c r="AB230" s="424">
        <f>IF(OR(AB$223&lt;$C230,AB$223&lt;$H$2),0,MIN($E230-SUM($G230:AA230),$F230))</f>
        <v>4.1686391141720218</v>
      </c>
      <c r="AC230" s="424">
        <f>IF(OR(AC$223&lt;$C230,AC$223&lt;$H$2),0,MIN($E230-SUM($G230:AB230),$F230))</f>
        <v>4.1686391141720218</v>
      </c>
      <c r="AD230" s="424">
        <f>IF(OR(AD$223&lt;$C230,AD$223&lt;$H$2),0,MIN($E230-SUM($G230:AC230),$F230))</f>
        <v>4.1686391141720218</v>
      </c>
    </row>
    <row r="231" spans="3:30">
      <c r="C231" s="201">
        <v>47853</v>
      </c>
      <c r="D231" s="94" t="s">
        <v>134</v>
      </c>
      <c r="E231" s="424">
        <f t="shared" si="119"/>
        <v>58.261429208676397</v>
      </c>
      <c r="F231" s="209">
        <f t="shared" si="120"/>
        <v>2.5331056177685389</v>
      </c>
      <c r="H231" s="424">
        <f>IF(OR(H$223&lt;$C231,H$223&lt;$H$2),0,MIN($E231-SUM($G231:G231),$F231))</f>
        <v>0</v>
      </c>
      <c r="I231" s="424">
        <f>IF(OR(I$223&lt;$C231,I$223&lt;$H$2),0,MIN($E231-SUM($G231:H231),$F231))</f>
        <v>0</v>
      </c>
      <c r="J231" s="424">
        <f>IF(OR(J$223&lt;$C231,J$223&lt;$H$2),0,MIN($E231-SUM($G231:I231),$F231))</f>
        <v>0</v>
      </c>
      <c r="K231" s="424">
        <f>IF(OR(K$223&lt;$C231,K$223&lt;$H$2),0,MIN($E231-SUM($G231:J231),$F231))</f>
        <v>0</v>
      </c>
      <c r="L231" s="424">
        <f>IF(OR(L$223&lt;$C231,L$223&lt;$H$2),0,MIN($E231-SUM($G231:K231),$F231))</f>
        <v>0</v>
      </c>
      <c r="M231" s="424">
        <f>IF(OR(M$223&lt;$C231,M$223&lt;$H$2),0,MIN($E231-SUM($G231:L231),$F231))</f>
        <v>2.5331056177685389</v>
      </c>
      <c r="N231" s="424">
        <f>IF(OR(N$223&lt;$C231,N$223&lt;$H$2),0,MIN($E231-SUM($G231:M231),$F231))</f>
        <v>2.5331056177685389</v>
      </c>
      <c r="O231" s="424">
        <f>IF(OR(O$223&lt;$C231,O$223&lt;$H$2),0,MIN($E231-SUM($G231:N231),$F231))</f>
        <v>2.5331056177685389</v>
      </c>
      <c r="P231" s="424">
        <f>IF(OR(P$223&lt;$C231,P$223&lt;$H$2),0,MIN($E231-SUM($G231:O231),$F231))</f>
        <v>2.5331056177685389</v>
      </c>
      <c r="Q231" s="424">
        <f>IF(OR(Q$223&lt;$C231,Q$223&lt;$H$2),0,MIN($E231-SUM($G231:P231),$F231))</f>
        <v>2.5331056177685389</v>
      </c>
      <c r="R231" s="424">
        <f>IF(OR(R$223&lt;$C231,R$223&lt;$H$2),0,MIN($E231-SUM($G231:Q231),$F231))</f>
        <v>2.5331056177685389</v>
      </c>
      <c r="S231" s="424">
        <f>IF(OR(S$223&lt;$C231,S$223&lt;$H$2),0,MIN($E231-SUM($G231:R231),$F231))</f>
        <v>2.5331056177685389</v>
      </c>
      <c r="T231" s="424">
        <f>IF(OR(T$223&lt;$C231,T$223&lt;$H$2),0,MIN($E231-SUM($G231:S231),$F231))</f>
        <v>2.5331056177685389</v>
      </c>
      <c r="U231" s="424">
        <f>IF(OR(U$223&lt;$C231,U$223&lt;$H$2),0,MIN($E231-SUM($G231:T231),$F231))</f>
        <v>2.5331056177685389</v>
      </c>
      <c r="V231" s="424">
        <f>IF(OR(V$223&lt;$C231,V$223&lt;$H$2),0,MIN($E231-SUM($G231:U231),$F231))</f>
        <v>2.5331056177685389</v>
      </c>
      <c r="W231" s="424">
        <f>IF(OR(W$223&lt;$C231,W$223&lt;$H$2),0,MIN($E231-SUM($G231:V231),$F231))</f>
        <v>2.5331056177685389</v>
      </c>
      <c r="X231" s="424">
        <f>IF(OR(X$223&lt;$C231,X$223&lt;$H$2),0,MIN($E231-SUM($G231:W231),$F231))</f>
        <v>2.5331056177685389</v>
      </c>
      <c r="Y231" s="424">
        <f>IF(OR(Y$223&lt;$C231,Y$223&lt;$H$2),0,MIN($E231-SUM($G231:X231),$F231))</f>
        <v>2.5331056177685389</v>
      </c>
      <c r="Z231" s="424">
        <f>IF(OR(Z$223&lt;$C231,Z$223&lt;$H$2),0,MIN($E231-SUM($G231:Y231),$F231))</f>
        <v>2.5331056177685389</v>
      </c>
      <c r="AA231" s="424">
        <f>IF(OR(AA$223&lt;$C231,AA$223&lt;$H$2),0,MIN($E231-SUM($G231:Z231),$F231))</f>
        <v>2.5331056177685389</v>
      </c>
      <c r="AB231" s="424">
        <f>IF(OR(AB$223&lt;$C231,AB$223&lt;$H$2),0,MIN($E231-SUM($G231:AA231),$F231))</f>
        <v>2.5331056177685389</v>
      </c>
      <c r="AC231" s="424">
        <f>IF(OR(AC$223&lt;$C231,AC$223&lt;$H$2),0,MIN($E231-SUM($G231:AB231),$F231))</f>
        <v>2.5331056177685389</v>
      </c>
      <c r="AD231" s="424">
        <f>IF(OR(AD$223&lt;$C231,AD$223&lt;$H$2),0,MIN($E231-SUM($G231:AC231),$F231))</f>
        <v>2.5331056177685389</v>
      </c>
    </row>
    <row r="232" spans="3:30">
      <c r="C232" s="201">
        <v>48219</v>
      </c>
      <c r="D232" s="94" t="s">
        <v>134</v>
      </c>
      <c r="E232" s="424">
        <f t="shared" si="119"/>
        <v>73.814176098050424</v>
      </c>
      <c r="F232" s="209">
        <f t="shared" si="120"/>
        <v>3.2093120042630616</v>
      </c>
      <c r="H232" s="424">
        <f>IF(OR(H$223&lt;$C232,H$223&lt;$H$2),0,MIN($E232-SUM($G232:G232),$F232))</f>
        <v>0</v>
      </c>
      <c r="I232" s="424">
        <f>IF(OR(I$223&lt;$C232,I$223&lt;$H$2),0,MIN($E232-SUM($G232:H232),$F232))</f>
        <v>0</v>
      </c>
      <c r="J232" s="424">
        <f>IF(OR(J$223&lt;$C232,J$223&lt;$H$2),0,MIN($E232-SUM($G232:I232),$F232))</f>
        <v>0</v>
      </c>
      <c r="K232" s="424">
        <f>IF(OR(K$223&lt;$C232,K$223&lt;$H$2),0,MIN($E232-SUM($G232:J232),$F232))</f>
        <v>0</v>
      </c>
      <c r="L232" s="424">
        <f>IF(OR(L$223&lt;$C232,L$223&lt;$H$2),0,MIN($E232-SUM($G232:K232),$F232))</f>
        <v>0</v>
      </c>
      <c r="M232" s="424">
        <f>IF(OR(M$223&lt;$C232,M$223&lt;$H$2),0,MIN($E232-SUM($G232:L232),$F232))</f>
        <v>0</v>
      </c>
      <c r="N232" s="424">
        <f>IF(OR(N$223&lt;$C232,N$223&lt;$H$2),0,MIN($E232-SUM($G232:M232),$F232))</f>
        <v>3.2093120042630616</v>
      </c>
      <c r="O232" s="424">
        <f>IF(OR(O$223&lt;$C232,O$223&lt;$H$2),0,MIN($E232-SUM($G232:N232),$F232))</f>
        <v>3.2093120042630616</v>
      </c>
      <c r="P232" s="424">
        <f>IF(OR(P$223&lt;$C232,P$223&lt;$H$2),0,MIN($E232-SUM($G232:O232),$F232))</f>
        <v>3.2093120042630616</v>
      </c>
      <c r="Q232" s="424">
        <f>IF(OR(Q$223&lt;$C232,Q$223&lt;$H$2),0,MIN($E232-SUM($G232:P232),$F232))</f>
        <v>3.2093120042630616</v>
      </c>
      <c r="R232" s="424">
        <f>IF(OR(R$223&lt;$C232,R$223&lt;$H$2),0,MIN($E232-SUM($G232:Q232),$F232))</f>
        <v>3.2093120042630616</v>
      </c>
      <c r="S232" s="424">
        <f>IF(OR(S$223&lt;$C232,S$223&lt;$H$2),0,MIN($E232-SUM($G232:R232),$F232))</f>
        <v>3.2093120042630616</v>
      </c>
      <c r="T232" s="424">
        <f>IF(OR(T$223&lt;$C232,T$223&lt;$H$2),0,MIN($E232-SUM($G232:S232),$F232))</f>
        <v>3.2093120042630616</v>
      </c>
      <c r="U232" s="424">
        <f>IF(OR(U$223&lt;$C232,U$223&lt;$H$2),0,MIN($E232-SUM($G232:T232),$F232))</f>
        <v>3.2093120042630616</v>
      </c>
      <c r="V232" s="424">
        <f>IF(OR(V$223&lt;$C232,V$223&lt;$H$2),0,MIN($E232-SUM($G232:U232),$F232))</f>
        <v>3.2093120042630616</v>
      </c>
      <c r="W232" s="424">
        <f>IF(OR(W$223&lt;$C232,W$223&lt;$H$2),0,MIN($E232-SUM($G232:V232),$F232))</f>
        <v>3.2093120042630616</v>
      </c>
      <c r="X232" s="424">
        <f>IF(OR(X$223&lt;$C232,X$223&lt;$H$2),0,MIN($E232-SUM($G232:W232),$F232))</f>
        <v>3.2093120042630616</v>
      </c>
      <c r="Y232" s="424">
        <f>IF(OR(Y$223&lt;$C232,Y$223&lt;$H$2),0,MIN($E232-SUM($G232:X232),$F232))</f>
        <v>3.2093120042630616</v>
      </c>
      <c r="Z232" s="424">
        <f>IF(OR(Z$223&lt;$C232,Z$223&lt;$H$2),0,MIN($E232-SUM($G232:Y232),$F232))</f>
        <v>3.2093120042630616</v>
      </c>
      <c r="AA232" s="424">
        <f>IF(OR(AA$223&lt;$C232,AA$223&lt;$H$2),0,MIN($E232-SUM($G232:Z232),$F232))</f>
        <v>3.2093120042630616</v>
      </c>
      <c r="AB232" s="424">
        <f>IF(OR(AB$223&lt;$C232,AB$223&lt;$H$2),0,MIN($E232-SUM($G232:AA232),$F232))</f>
        <v>3.2093120042630616</v>
      </c>
      <c r="AC232" s="424">
        <f>IF(OR(AC$223&lt;$C232,AC$223&lt;$H$2),0,MIN($E232-SUM($G232:AB232),$F232))</f>
        <v>3.2093120042630616</v>
      </c>
      <c r="AD232" s="424">
        <f>IF(OR(AD$223&lt;$C232,AD$223&lt;$H$2),0,MIN($E232-SUM($G232:AC232),$F232))</f>
        <v>3.2093120042630616</v>
      </c>
    </row>
    <row r="233" spans="3:30">
      <c r="C233" s="201">
        <v>48585</v>
      </c>
      <c r="D233" s="94" t="s">
        <v>134</v>
      </c>
      <c r="E233" s="424">
        <f t="shared" si="119"/>
        <v>239.07755340812696</v>
      </c>
      <c r="F233" s="209">
        <f t="shared" si="120"/>
        <v>10.394676235135954</v>
      </c>
      <c r="H233" s="424">
        <f>IF(OR(H$223&lt;$C233,H$223&lt;$H$2),0,MIN($E233-SUM($G233:G233),$F233))</f>
        <v>0</v>
      </c>
      <c r="I233" s="424">
        <f>IF(OR(I$223&lt;$C233,I$223&lt;$H$2),0,MIN($E233-SUM($G233:H233),$F233))</f>
        <v>0</v>
      </c>
      <c r="J233" s="424">
        <f>IF(OR(J$223&lt;$C233,J$223&lt;$H$2),0,MIN($E233-SUM($G233:I233),$F233))</f>
        <v>0</v>
      </c>
      <c r="K233" s="424">
        <f>IF(OR(K$223&lt;$C233,K$223&lt;$H$2),0,MIN($E233-SUM($G233:J233),$F233))</f>
        <v>0</v>
      </c>
      <c r="L233" s="424">
        <f>IF(OR(L$223&lt;$C233,L$223&lt;$H$2),0,MIN($E233-SUM($G233:K233),$F233))</f>
        <v>0</v>
      </c>
      <c r="M233" s="424">
        <f>IF(OR(M$223&lt;$C233,M$223&lt;$H$2),0,MIN($E233-SUM($G233:L233),$F233))</f>
        <v>0</v>
      </c>
      <c r="N233" s="424">
        <f>IF(OR(N$223&lt;$C233,N$223&lt;$H$2),0,MIN($E233-SUM($G233:M233),$F233))</f>
        <v>0</v>
      </c>
      <c r="O233" s="424">
        <f>IF(OR(O$223&lt;$C233,O$223&lt;$H$2),0,MIN($E233-SUM($G233:N233),$F233))</f>
        <v>10.394676235135954</v>
      </c>
      <c r="P233" s="424">
        <f>IF(OR(P$223&lt;$C233,P$223&lt;$H$2),0,MIN($E233-SUM($G233:O233),$F233))</f>
        <v>10.394676235135954</v>
      </c>
      <c r="Q233" s="424">
        <f>IF(OR(Q$223&lt;$C233,Q$223&lt;$H$2),0,MIN($E233-SUM($G233:P233),$F233))</f>
        <v>10.394676235135954</v>
      </c>
      <c r="R233" s="424">
        <f>IF(OR(R$223&lt;$C233,R$223&lt;$H$2),0,MIN($E233-SUM($G233:Q233),$F233))</f>
        <v>10.394676235135954</v>
      </c>
      <c r="S233" s="424">
        <f>IF(OR(S$223&lt;$C233,S$223&lt;$H$2),0,MIN($E233-SUM($G233:R233),$F233))</f>
        <v>10.394676235135954</v>
      </c>
      <c r="T233" s="424">
        <f>IF(OR(T$223&lt;$C233,T$223&lt;$H$2),0,MIN($E233-SUM($G233:S233),$F233))</f>
        <v>10.394676235135954</v>
      </c>
      <c r="U233" s="424">
        <f>IF(OR(U$223&lt;$C233,U$223&lt;$H$2),0,MIN($E233-SUM($G233:T233),$F233))</f>
        <v>10.394676235135954</v>
      </c>
      <c r="V233" s="424">
        <f>IF(OR(V$223&lt;$C233,V$223&lt;$H$2),0,MIN($E233-SUM($G233:U233),$F233))</f>
        <v>10.394676235135954</v>
      </c>
      <c r="W233" s="424">
        <f>IF(OR(W$223&lt;$C233,W$223&lt;$H$2),0,MIN($E233-SUM($G233:V233),$F233))</f>
        <v>10.394676235135954</v>
      </c>
      <c r="X233" s="424">
        <f>IF(OR(X$223&lt;$C233,X$223&lt;$H$2),0,MIN($E233-SUM($G233:W233),$F233))</f>
        <v>10.394676235135954</v>
      </c>
      <c r="Y233" s="424">
        <f>IF(OR(Y$223&lt;$C233,Y$223&lt;$H$2),0,MIN($E233-SUM($G233:X233),$F233))</f>
        <v>10.394676235135954</v>
      </c>
      <c r="Z233" s="424">
        <f>IF(OR(Z$223&lt;$C233,Z$223&lt;$H$2),0,MIN($E233-SUM($G233:Y233),$F233))</f>
        <v>10.394676235135954</v>
      </c>
      <c r="AA233" s="424">
        <f>IF(OR(AA$223&lt;$C233,AA$223&lt;$H$2),0,MIN($E233-SUM($G233:Z233),$F233))</f>
        <v>10.394676235135954</v>
      </c>
      <c r="AB233" s="424">
        <f>IF(OR(AB$223&lt;$C233,AB$223&lt;$H$2),0,MIN($E233-SUM($G233:AA233),$F233))</f>
        <v>10.394676235135954</v>
      </c>
      <c r="AC233" s="424">
        <f>IF(OR(AC$223&lt;$C233,AC$223&lt;$H$2),0,MIN($E233-SUM($G233:AB233),$F233))</f>
        <v>10.394676235135954</v>
      </c>
      <c r="AD233" s="424">
        <f>IF(OR(AD$223&lt;$C233,AD$223&lt;$H$2),0,MIN($E233-SUM($G233:AC233),$F233))</f>
        <v>10.394676235135954</v>
      </c>
    </row>
    <row r="234" spans="3:30">
      <c r="C234" s="201">
        <v>48951</v>
      </c>
      <c r="D234" s="94" t="s">
        <v>134</v>
      </c>
      <c r="E234" s="424">
        <f t="shared" si="119"/>
        <v>255.41378584403162</v>
      </c>
      <c r="F234" s="209">
        <f t="shared" si="120"/>
        <v>11.104947210610071</v>
      </c>
      <c r="H234" s="424">
        <f>IF(OR(H$223&lt;$C234,H$223&lt;$H$2),0,MIN($E234-SUM($G234:G234),$F234))</f>
        <v>0</v>
      </c>
      <c r="I234" s="424">
        <f>IF(OR(I$223&lt;$C234,I$223&lt;$H$2),0,MIN($E234-SUM($G234:H234),$F234))</f>
        <v>0</v>
      </c>
      <c r="J234" s="424">
        <f>IF(OR(J$223&lt;$C234,J$223&lt;$H$2),0,MIN($E234-SUM($G234:I234),$F234))</f>
        <v>0</v>
      </c>
      <c r="K234" s="424">
        <f>IF(OR(K$223&lt;$C234,K$223&lt;$H$2),0,MIN($E234-SUM($G234:J234),$F234))</f>
        <v>0</v>
      </c>
      <c r="L234" s="424">
        <f>IF(OR(L$223&lt;$C234,L$223&lt;$H$2),0,MIN($E234-SUM($G234:K234),$F234))</f>
        <v>0</v>
      </c>
      <c r="M234" s="424">
        <f>IF(OR(M$223&lt;$C234,M$223&lt;$H$2),0,MIN($E234-SUM($G234:L234),$F234))</f>
        <v>0</v>
      </c>
      <c r="N234" s="424">
        <f>IF(OR(N$223&lt;$C234,N$223&lt;$H$2),0,MIN($E234-SUM($G234:M234),$F234))</f>
        <v>0</v>
      </c>
      <c r="O234" s="424">
        <f>IF(OR(O$223&lt;$C234,O$223&lt;$H$2),0,MIN($E234-SUM($G234:N234),$F234))</f>
        <v>0</v>
      </c>
      <c r="P234" s="424">
        <f>IF(OR(P$223&lt;$C234,P$223&lt;$H$2),0,MIN($E234-SUM($G234:O234),$F234))</f>
        <v>11.104947210610071</v>
      </c>
      <c r="Q234" s="424">
        <f>IF(OR(Q$223&lt;$C234,Q$223&lt;$H$2),0,MIN($E234-SUM($G234:P234),$F234))</f>
        <v>11.104947210610071</v>
      </c>
      <c r="R234" s="424">
        <f>IF(OR(R$223&lt;$C234,R$223&lt;$H$2),0,MIN($E234-SUM($G234:Q234),$F234))</f>
        <v>11.104947210610071</v>
      </c>
      <c r="S234" s="424">
        <f>IF(OR(S$223&lt;$C234,S$223&lt;$H$2),0,MIN($E234-SUM($G234:R234),$F234))</f>
        <v>11.104947210610071</v>
      </c>
      <c r="T234" s="424">
        <f>IF(OR(T$223&lt;$C234,T$223&lt;$H$2),0,MIN($E234-SUM($G234:S234),$F234))</f>
        <v>11.104947210610071</v>
      </c>
      <c r="U234" s="424">
        <f>IF(OR(U$223&lt;$C234,U$223&lt;$H$2),0,MIN($E234-SUM($G234:T234),$F234))</f>
        <v>11.104947210610071</v>
      </c>
      <c r="V234" s="424">
        <f>IF(OR(V$223&lt;$C234,V$223&lt;$H$2),0,MIN($E234-SUM($G234:U234),$F234))</f>
        <v>11.104947210610071</v>
      </c>
      <c r="W234" s="424">
        <f>IF(OR(W$223&lt;$C234,W$223&lt;$H$2),0,MIN($E234-SUM($G234:V234),$F234))</f>
        <v>11.104947210610071</v>
      </c>
      <c r="X234" s="424">
        <f>IF(OR(X$223&lt;$C234,X$223&lt;$H$2),0,MIN($E234-SUM($G234:W234),$F234))</f>
        <v>11.104947210610071</v>
      </c>
      <c r="Y234" s="424">
        <f>IF(OR(Y$223&lt;$C234,Y$223&lt;$H$2),0,MIN($E234-SUM($G234:X234),$F234))</f>
        <v>11.104947210610071</v>
      </c>
      <c r="Z234" s="424">
        <f>IF(OR(Z$223&lt;$C234,Z$223&lt;$H$2),0,MIN($E234-SUM($G234:Y234),$F234))</f>
        <v>11.104947210610071</v>
      </c>
      <c r="AA234" s="424">
        <f>IF(OR(AA$223&lt;$C234,AA$223&lt;$H$2),0,MIN($E234-SUM($G234:Z234),$F234))</f>
        <v>11.104947210610071</v>
      </c>
      <c r="AB234" s="424">
        <f>IF(OR(AB$223&lt;$C234,AB$223&lt;$H$2),0,MIN($E234-SUM($G234:AA234),$F234))</f>
        <v>11.104947210610071</v>
      </c>
      <c r="AC234" s="424">
        <f>IF(OR(AC$223&lt;$C234,AC$223&lt;$H$2),0,MIN($E234-SUM($G234:AB234),$F234))</f>
        <v>11.104947210610071</v>
      </c>
      <c r="AD234" s="424">
        <f>IF(OR(AD$223&lt;$C234,AD$223&lt;$H$2),0,MIN($E234-SUM($G234:AC234),$F234))</f>
        <v>11.104947210610071</v>
      </c>
    </row>
    <row r="235" spans="3:30">
      <c r="C235" s="201">
        <v>49317</v>
      </c>
      <c r="D235" s="94" t="s">
        <v>134</v>
      </c>
      <c r="E235" s="424">
        <f t="shared" si="119"/>
        <v>256.71218091754457</v>
      </c>
      <c r="F235" s="209">
        <f t="shared" si="120"/>
        <v>11.161399170328025</v>
      </c>
      <c r="H235" s="424">
        <f>IF(OR(H$223&lt;$C235,H$223&lt;$H$2),0,MIN($E235-SUM($G235:G235),$F235))</f>
        <v>0</v>
      </c>
      <c r="I235" s="424">
        <f>IF(OR(I$223&lt;$C235,I$223&lt;$H$2),0,MIN($E235-SUM($G235:H235),$F235))</f>
        <v>0</v>
      </c>
      <c r="J235" s="424">
        <f>IF(OR(J$223&lt;$C235,J$223&lt;$H$2),0,MIN($E235-SUM($G235:I235),$F235))</f>
        <v>0</v>
      </c>
      <c r="K235" s="424">
        <f>IF(OR(K$223&lt;$C235,K$223&lt;$H$2),0,MIN($E235-SUM($G235:J235),$F235))</f>
        <v>0</v>
      </c>
      <c r="L235" s="424">
        <f>IF(OR(L$223&lt;$C235,L$223&lt;$H$2),0,MIN($E235-SUM($G235:K235),$F235))</f>
        <v>0</v>
      </c>
      <c r="M235" s="424">
        <f>IF(OR(M$223&lt;$C235,M$223&lt;$H$2),0,MIN($E235-SUM($G235:L235),$F235))</f>
        <v>0</v>
      </c>
      <c r="N235" s="424">
        <f>IF(OR(N$223&lt;$C235,N$223&lt;$H$2),0,MIN($E235-SUM($G235:M235),$F235))</f>
        <v>0</v>
      </c>
      <c r="O235" s="424">
        <f>IF(OR(O$223&lt;$C235,O$223&lt;$H$2),0,MIN($E235-SUM($G235:N235),$F235))</f>
        <v>0</v>
      </c>
      <c r="P235" s="424">
        <f>IF(OR(P$223&lt;$C235,P$223&lt;$H$2),0,MIN($E235-SUM($G235:O235),$F235))</f>
        <v>0</v>
      </c>
      <c r="Q235" s="424">
        <f>IF(OR(Q$223&lt;$C235,Q$223&lt;$H$2),0,MIN($E235-SUM($G235:P235),$F235))</f>
        <v>11.161399170328025</v>
      </c>
      <c r="R235" s="424">
        <f>IF(OR(R$223&lt;$C235,R$223&lt;$H$2),0,MIN($E235-SUM($G235:Q235),$F235))</f>
        <v>11.161399170328025</v>
      </c>
      <c r="S235" s="424">
        <f>IF(OR(S$223&lt;$C235,S$223&lt;$H$2),0,MIN($E235-SUM($G235:R235),$F235))</f>
        <v>11.161399170328025</v>
      </c>
      <c r="T235" s="424">
        <f>IF(OR(T$223&lt;$C235,T$223&lt;$H$2),0,MIN($E235-SUM($G235:S235),$F235))</f>
        <v>11.161399170328025</v>
      </c>
      <c r="U235" s="424">
        <f>IF(OR(U$223&lt;$C235,U$223&lt;$H$2),0,MIN($E235-SUM($G235:T235),$F235))</f>
        <v>11.161399170328025</v>
      </c>
      <c r="V235" s="424">
        <f>IF(OR(V$223&lt;$C235,V$223&lt;$H$2),0,MIN($E235-SUM($G235:U235),$F235))</f>
        <v>11.161399170328025</v>
      </c>
      <c r="W235" s="424">
        <f>IF(OR(W$223&lt;$C235,W$223&lt;$H$2),0,MIN($E235-SUM($G235:V235),$F235))</f>
        <v>11.161399170328025</v>
      </c>
      <c r="X235" s="424">
        <f>IF(OR(X$223&lt;$C235,X$223&lt;$H$2),0,MIN($E235-SUM($G235:W235),$F235))</f>
        <v>11.161399170328025</v>
      </c>
      <c r="Y235" s="424">
        <f>IF(OR(Y$223&lt;$C235,Y$223&lt;$H$2),0,MIN($E235-SUM($G235:X235),$F235))</f>
        <v>11.161399170328025</v>
      </c>
      <c r="Z235" s="424">
        <f>IF(OR(Z$223&lt;$C235,Z$223&lt;$H$2),0,MIN($E235-SUM($G235:Y235),$F235))</f>
        <v>11.161399170328025</v>
      </c>
      <c r="AA235" s="424">
        <f>IF(OR(AA$223&lt;$C235,AA$223&lt;$H$2),0,MIN($E235-SUM($G235:Z235),$F235))</f>
        <v>11.161399170328025</v>
      </c>
      <c r="AB235" s="424">
        <f>IF(OR(AB$223&lt;$C235,AB$223&lt;$H$2),0,MIN($E235-SUM($G235:AA235),$F235))</f>
        <v>11.161399170328025</v>
      </c>
      <c r="AC235" s="424">
        <f>IF(OR(AC$223&lt;$C235,AC$223&lt;$H$2),0,MIN($E235-SUM($G235:AB235),$F235))</f>
        <v>11.161399170328025</v>
      </c>
      <c r="AD235" s="424">
        <f>IF(OR(AD$223&lt;$C235,AD$223&lt;$H$2),0,MIN($E235-SUM($G235:AC235),$F235))</f>
        <v>11.161399170328025</v>
      </c>
    </row>
    <row r="236" spans="3:30">
      <c r="C236" s="201">
        <v>49683</v>
      </c>
      <c r="D236" s="94" t="s">
        <v>134</v>
      </c>
      <c r="E236" s="424">
        <f t="shared" si="119"/>
        <v>256.71218091754457</v>
      </c>
      <c r="F236" s="209">
        <f t="shared" si="120"/>
        <v>11.161399170328025</v>
      </c>
      <c r="H236" s="424">
        <f>IF(OR(H$223&lt;$C236,H$223&lt;$H$2),0,MIN($E236-SUM($G236:G236),$F236))</f>
        <v>0</v>
      </c>
      <c r="I236" s="424">
        <f>IF(OR(I$223&lt;$C236,I$223&lt;$H$2),0,MIN($E236-SUM($G236:H236),$F236))</f>
        <v>0</v>
      </c>
      <c r="J236" s="424">
        <f>IF(OR(J$223&lt;$C236,J$223&lt;$H$2),0,MIN($E236-SUM($G236:I236),$F236))</f>
        <v>0</v>
      </c>
      <c r="K236" s="424">
        <f>IF(OR(K$223&lt;$C236,K$223&lt;$H$2),0,MIN($E236-SUM($G236:J236),$F236))</f>
        <v>0</v>
      </c>
      <c r="L236" s="424">
        <f>IF(OR(L$223&lt;$C236,L$223&lt;$H$2),0,MIN($E236-SUM($G236:K236),$F236))</f>
        <v>0</v>
      </c>
      <c r="M236" s="424">
        <f>IF(OR(M$223&lt;$C236,M$223&lt;$H$2),0,MIN($E236-SUM($G236:L236),$F236))</f>
        <v>0</v>
      </c>
      <c r="N236" s="424">
        <f>IF(OR(N$223&lt;$C236,N$223&lt;$H$2),0,MIN($E236-SUM($G236:M236),$F236))</f>
        <v>0</v>
      </c>
      <c r="O236" s="424">
        <f>IF(OR(O$223&lt;$C236,O$223&lt;$H$2),0,MIN($E236-SUM($G236:N236),$F236))</f>
        <v>0</v>
      </c>
      <c r="P236" s="424">
        <f>IF(OR(P$223&lt;$C236,P$223&lt;$H$2),0,MIN($E236-SUM($G236:O236),$F236))</f>
        <v>0</v>
      </c>
      <c r="Q236" s="424">
        <f>IF(OR(Q$223&lt;$C236,Q$223&lt;$H$2),0,MIN($E236-SUM($G236:P236),$F236))</f>
        <v>0</v>
      </c>
      <c r="R236" s="424">
        <f>IF(OR(R$223&lt;$C236,R$223&lt;$H$2),0,MIN($E236-SUM($G236:Q236),$F236))</f>
        <v>11.161399170328025</v>
      </c>
      <c r="S236" s="424">
        <f>IF(OR(S$223&lt;$C236,S$223&lt;$H$2),0,MIN($E236-SUM($G236:R236),$F236))</f>
        <v>11.161399170328025</v>
      </c>
      <c r="T236" s="424">
        <f>IF(OR(T$223&lt;$C236,T$223&lt;$H$2),0,MIN($E236-SUM($G236:S236),$F236))</f>
        <v>11.161399170328025</v>
      </c>
      <c r="U236" s="424">
        <f>IF(OR(U$223&lt;$C236,U$223&lt;$H$2),0,MIN($E236-SUM($G236:T236),$F236))</f>
        <v>11.161399170328025</v>
      </c>
      <c r="V236" s="424">
        <f>IF(OR(V$223&lt;$C236,V$223&lt;$H$2),0,MIN($E236-SUM($G236:U236),$F236))</f>
        <v>11.161399170328025</v>
      </c>
      <c r="W236" s="424">
        <f>IF(OR(W$223&lt;$C236,W$223&lt;$H$2),0,MIN($E236-SUM($G236:V236),$F236))</f>
        <v>11.161399170328025</v>
      </c>
      <c r="X236" s="424">
        <f>IF(OR(X$223&lt;$C236,X$223&lt;$H$2),0,MIN($E236-SUM($G236:W236),$F236))</f>
        <v>11.161399170328025</v>
      </c>
      <c r="Y236" s="424">
        <f>IF(OR(Y$223&lt;$C236,Y$223&lt;$H$2),0,MIN($E236-SUM($G236:X236),$F236))</f>
        <v>11.161399170328025</v>
      </c>
      <c r="Z236" s="424">
        <f>IF(OR(Z$223&lt;$C236,Z$223&lt;$H$2),0,MIN($E236-SUM($G236:Y236),$F236))</f>
        <v>11.161399170328025</v>
      </c>
      <c r="AA236" s="424">
        <f>IF(OR(AA$223&lt;$C236,AA$223&lt;$H$2),0,MIN($E236-SUM($G236:Z236),$F236))</f>
        <v>11.161399170328025</v>
      </c>
      <c r="AB236" s="424">
        <f>IF(OR(AB$223&lt;$C236,AB$223&lt;$H$2),0,MIN($E236-SUM($G236:AA236),$F236))</f>
        <v>11.161399170328025</v>
      </c>
      <c r="AC236" s="424">
        <f>IF(OR(AC$223&lt;$C236,AC$223&lt;$H$2),0,MIN($E236-SUM($G236:AB236),$F236))</f>
        <v>11.161399170328025</v>
      </c>
      <c r="AD236" s="424">
        <f>IF(OR(AD$223&lt;$C236,AD$223&lt;$H$2),0,MIN($E236-SUM($G236:AC236),$F236))</f>
        <v>11.161399170328025</v>
      </c>
    </row>
    <row r="237" spans="3:30">
      <c r="C237" s="201">
        <v>50049</v>
      </c>
      <c r="D237" s="94" t="s">
        <v>134</v>
      </c>
      <c r="E237" s="424">
        <f t="shared" si="119"/>
        <v>256.71218091754457</v>
      </c>
      <c r="F237" s="209">
        <f t="shared" si="120"/>
        <v>11.161399170328025</v>
      </c>
      <c r="H237" s="424">
        <f>IF(OR(H$223&lt;$C237,H$223&lt;$H$2),0,MIN($E237-SUM($G237:G237),$F237))</f>
        <v>0</v>
      </c>
      <c r="I237" s="424">
        <f>IF(OR(I$223&lt;$C237,I$223&lt;$H$2),0,MIN($E237-SUM($G237:H237),$F237))</f>
        <v>0</v>
      </c>
      <c r="J237" s="424">
        <f>IF(OR(J$223&lt;$C237,J$223&lt;$H$2),0,MIN($E237-SUM($G237:I237),$F237))</f>
        <v>0</v>
      </c>
      <c r="K237" s="424">
        <f>IF(OR(K$223&lt;$C237,K$223&lt;$H$2),0,MIN($E237-SUM($G237:J237),$F237))</f>
        <v>0</v>
      </c>
      <c r="L237" s="424">
        <f>IF(OR(L$223&lt;$C237,L$223&lt;$H$2),0,MIN($E237-SUM($G237:K237),$F237))</f>
        <v>0</v>
      </c>
      <c r="M237" s="424">
        <f>IF(OR(M$223&lt;$C237,M$223&lt;$H$2),0,MIN($E237-SUM($G237:L237),$F237))</f>
        <v>0</v>
      </c>
      <c r="N237" s="424">
        <f>IF(OR(N$223&lt;$C237,N$223&lt;$H$2),0,MIN($E237-SUM($G237:M237),$F237))</f>
        <v>0</v>
      </c>
      <c r="O237" s="424">
        <f>IF(OR(O$223&lt;$C237,O$223&lt;$H$2),0,MIN($E237-SUM($G237:N237),$F237))</f>
        <v>0</v>
      </c>
      <c r="P237" s="424">
        <f>IF(OR(P$223&lt;$C237,P$223&lt;$H$2),0,MIN($E237-SUM($G237:O237),$F237))</f>
        <v>0</v>
      </c>
      <c r="Q237" s="424">
        <f>IF(OR(Q$223&lt;$C237,Q$223&lt;$H$2),0,MIN($E237-SUM($G237:P237),$F237))</f>
        <v>0</v>
      </c>
      <c r="R237" s="424">
        <f>IF(OR(R$223&lt;$C237,R$223&lt;$H$2),0,MIN($E237-SUM($G237:Q237),$F237))</f>
        <v>0</v>
      </c>
      <c r="S237" s="424">
        <f>IF(OR(S$223&lt;$C237,S$223&lt;$H$2),0,MIN($E237-SUM($G237:R237),$F237))</f>
        <v>11.161399170328025</v>
      </c>
      <c r="T237" s="424">
        <f>IF(OR(T$223&lt;$C237,T$223&lt;$H$2),0,MIN($E237-SUM($G237:S237),$F237))</f>
        <v>11.161399170328025</v>
      </c>
      <c r="U237" s="424">
        <f>IF(OR(U$223&lt;$C237,U$223&lt;$H$2),0,MIN($E237-SUM($G237:T237),$F237))</f>
        <v>11.161399170328025</v>
      </c>
      <c r="V237" s="424">
        <f>IF(OR(V$223&lt;$C237,V$223&lt;$H$2),0,MIN($E237-SUM($G237:U237),$F237))</f>
        <v>11.161399170328025</v>
      </c>
      <c r="W237" s="424">
        <f>IF(OR(W$223&lt;$C237,W$223&lt;$H$2),0,MIN($E237-SUM($G237:V237),$F237))</f>
        <v>11.161399170328025</v>
      </c>
      <c r="X237" s="424">
        <f>IF(OR(X$223&lt;$C237,X$223&lt;$H$2),0,MIN($E237-SUM($G237:W237),$F237))</f>
        <v>11.161399170328025</v>
      </c>
      <c r="Y237" s="424">
        <f>IF(OR(Y$223&lt;$C237,Y$223&lt;$H$2),0,MIN($E237-SUM($G237:X237),$F237))</f>
        <v>11.161399170328025</v>
      </c>
      <c r="Z237" s="424">
        <f>IF(OR(Z$223&lt;$C237,Z$223&lt;$H$2),0,MIN($E237-SUM($G237:Y237),$F237))</f>
        <v>11.161399170328025</v>
      </c>
      <c r="AA237" s="424">
        <f>IF(OR(AA$223&lt;$C237,AA$223&lt;$H$2),0,MIN($E237-SUM($G237:Z237),$F237))</f>
        <v>11.161399170328025</v>
      </c>
      <c r="AB237" s="424">
        <f>IF(OR(AB$223&lt;$C237,AB$223&lt;$H$2),0,MIN($E237-SUM($G237:AA237),$F237))</f>
        <v>11.161399170328025</v>
      </c>
      <c r="AC237" s="424">
        <f>IF(OR(AC$223&lt;$C237,AC$223&lt;$H$2),0,MIN($E237-SUM($G237:AB237),$F237))</f>
        <v>11.161399170328025</v>
      </c>
      <c r="AD237" s="424">
        <f>IF(OR(AD$223&lt;$C237,AD$223&lt;$H$2),0,MIN($E237-SUM($G237:AC237),$F237))</f>
        <v>11.161399170328025</v>
      </c>
    </row>
    <row r="238" spans="3:30">
      <c r="C238" s="201">
        <v>50415</v>
      </c>
      <c r="D238" s="94" t="s">
        <v>134</v>
      </c>
      <c r="E238" s="424">
        <f t="shared" si="119"/>
        <v>151.8551778117303</v>
      </c>
      <c r="F238" s="209">
        <f t="shared" si="120"/>
        <v>6.6023990352926214</v>
      </c>
      <c r="H238" s="424">
        <f>IF(OR(H$223&lt;$C238,H$223&lt;$H$2),0,MIN($E238-SUM($G238:G238),$F238))</f>
        <v>0</v>
      </c>
      <c r="I238" s="424">
        <f>IF(OR(I$223&lt;$C238,I$223&lt;$H$2),0,MIN($E238-SUM($G238:H238),$F238))</f>
        <v>0</v>
      </c>
      <c r="J238" s="424">
        <f>IF(OR(J$223&lt;$C238,J$223&lt;$H$2),0,MIN($E238-SUM($G238:I238),$F238))</f>
        <v>0</v>
      </c>
      <c r="K238" s="424">
        <f>IF(OR(K$223&lt;$C238,K$223&lt;$H$2),0,MIN($E238-SUM($G238:J238),$F238))</f>
        <v>0</v>
      </c>
      <c r="L238" s="424">
        <f>IF(OR(L$223&lt;$C238,L$223&lt;$H$2),0,MIN($E238-SUM($G238:K238),$F238))</f>
        <v>0</v>
      </c>
      <c r="M238" s="424">
        <f>IF(OR(M$223&lt;$C238,M$223&lt;$H$2),0,MIN($E238-SUM($G238:L238),$F238))</f>
        <v>0</v>
      </c>
      <c r="N238" s="424">
        <f>IF(OR(N$223&lt;$C238,N$223&lt;$H$2),0,MIN($E238-SUM($G238:M238),$F238))</f>
        <v>0</v>
      </c>
      <c r="O238" s="424">
        <f>IF(OR(O$223&lt;$C238,O$223&lt;$H$2),0,MIN($E238-SUM($G238:N238),$F238))</f>
        <v>0</v>
      </c>
      <c r="P238" s="424">
        <f>IF(OR(P$223&lt;$C238,P$223&lt;$H$2),0,MIN($E238-SUM($G238:O238),$F238))</f>
        <v>0</v>
      </c>
      <c r="Q238" s="424">
        <f>IF(OR(Q$223&lt;$C238,Q$223&lt;$H$2),0,MIN($E238-SUM($G238:P238),$F238))</f>
        <v>0</v>
      </c>
      <c r="R238" s="424">
        <f>IF(OR(R$223&lt;$C238,R$223&lt;$H$2),0,MIN($E238-SUM($G238:Q238),$F238))</f>
        <v>0</v>
      </c>
      <c r="S238" s="424">
        <f>IF(OR(S$223&lt;$C238,S$223&lt;$H$2),0,MIN($E238-SUM($G238:R238),$F238))</f>
        <v>0</v>
      </c>
      <c r="T238" s="424">
        <f>IF(OR(T$223&lt;$C238,T$223&lt;$H$2),0,MIN($E238-SUM($G238:S238),$F238))</f>
        <v>6.6023990352926214</v>
      </c>
      <c r="U238" s="424">
        <f>IF(OR(U$223&lt;$C238,U$223&lt;$H$2),0,MIN($E238-SUM($G238:T238),$F238))</f>
        <v>6.6023990352926214</v>
      </c>
      <c r="V238" s="424">
        <f>IF(OR(V$223&lt;$C238,V$223&lt;$H$2),0,MIN($E238-SUM($G238:U238),$F238))</f>
        <v>6.6023990352926214</v>
      </c>
      <c r="W238" s="424">
        <f>IF(OR(W$223&lt;$C238,W$223&lt;$H$2),0,MIN($E238-SUM($G238:V238),$F238))</f>
        <v>6.6023990352926214</v>
      </c>
      <c r="X238" s="424">
        <f>IF(OR(X$223&lt;$C238,X$223&lt;$H$2),0,MIN($E238-SUM($G238:W238),$F238))</f>
        <v>6.6023990352926214</v>
      </c>
      <c r="Y238" s="424">
        <f>IF(OR(Y$223&lt;$C238,Y$223&lt;$H$2),0,MIN($E238-SUM($G238:X238),$F238))</f>
        <v>6.6023990352926214</v>
      </c>
      <c r="Z238" s="424">
        <f>IF(OR(Z$223&lt;$C238,Z$223&lt;$H$2),0,MIN($E238-SUM($G238:Y238),$F238))</f>
        <v>6.6023990352926214</v>
      </c>
      <c r="AA238" s="424">
        <f>IF(OR(AA$223&lt;$C238,AA$223&lt;$H$2),0,MIN($E238-SUM($G238:Z238),$F238))</f>
        <v>6.6023990352926214</v>
      </c>
      <c r="AB238" s="424">
        <f>IF(OR(AB$223&lt;$C238,AB$223&lt;$H$2),0,MIN($E238-SUM($G238:AA238),$F238))</f>
        <v>6.6023990352926214</v>
      </c>
      <c r="AC238" s="424">
        <f>IF(OR(AC$223&lt;$C238,AC$223&lt;$H$2),0,MIN($E238-SUM($G238:AB238),$F238))</f>
        <v>6.6023990352926214</v>
      </c>
      <c r="AD238" s="424">
        <f>IF(OR(AD$223&lt;$C238,AD$223&lt;$H$2),0,MIN($E238-SUM($G238:AC238),$F238))</f>
        <v>6.6023990352926214</v>
      </c>
    </row>
    <row r="239" spans="3:30">
      <c r="C239" s="201">
        <v>50781</v>
      </c>
      <c r="D239" s="94" t="s">
        <v>134</v>
      </c>
      <c r="E239" s="424">
        <f t="shared" si="119"/>
        <v>18.79926988236641</v>
      </c>
      <c r="F239" s="209">
        <f t="shared" si="120"/>
        <v>0.81735956010288735</v>
      </c>
      <c r="H239" s="424">
        <f>IF(OR(H$223&lt;$C239,H$223&lt;$H$2),0,MIN($E239-SUM($G239:G239),$F239))</f>
        <v>0</v>
      </c>
      <c r="I239" s="424">
        <f>IF(OR(I$223&lt;$C239,I$223&lt;$H$2),0,MIN($E239-SUM($G239:H239),$F239))</f>
        <v>0</v>
      </c>
      <c r="J239" s="424">
        <f>IF(OR(J$223&lt;$C239,J$223&lt;$H$2),0,MIN($E239-SUM($G239:I239),$F239))</f>
        <v>0</v>
      </c>
      <c r="K239" s="424">
        <f>IF(OR(K$223&lt;$C239,K$223&lt;$H$2),0,MIN($E239-SUM($G239:J239),$F239))</f>
        <v>0</v>
      </c>
      <c r="L239" s="424">
        <f>IF(OR(L$223&lt;$C239,L$223&lt;$H$2),0,MIN($E239-SUM($G239:K239),$F239))</f>
        <v>0</v>
      </c>
      <c r="M239" s="424">
        <f>IF(OR(M$223&lt;$C239,M$223&lt;$H$2),0,MIN($E239-SUM($G239:L239),$F239))</f>
        <v>0</v>
      </c>
      <c r="N239" s="424">
        <f>IF(OR(N$223&lt;$C239,N$223&lt;$H$2),0,MIN($E239-SUM($G239:M239),$F239))</f>
        <v>0</v>
      </c>
      <c r="O239" s="424">
        <f>IF(OR(O$223&lt;$C239,O$223&lt;$H$2),0,MIN($E239-SUM($G239:N239),$F239))</f>
        <v>0</v>
      </c>
      <c r="P239" s="424">
        <f>IF(OR(P$223&lt;$C239,P$223&lt;$H$2),0,MIN($E239-SUM($G239:O239),$F239))</f>
        <v>0</v>
      </c>
      <c r="Q239" s="424">
        <f>IF(OR(Q$223&lt;$C239,Q$223&lt;$H$2),0,MIN($E239-SUM($G239:P239),$F239))</f>
        <v>0</v>
      </c>
      <c r="R239" s="424">
        <f>IF(OR(R$223&lt;$C239,R$223&lt;$H$2),0,MIN($E239-SUM($G239:Q239),$F239))</f>
        <v>0</v>
      </c>
      <c r="S239" s="424">
        <f>IF(OR(S$223&lt;$C239,S$223&lt;$H$2),0,MIN($E239-SUM($G239:R239),$F239))</f>
        <v>0</v>
      </c>
      <c r="T239" s="424">
        <f>IF(OR(T$223&lt;$C239,T$223&lt;$H$2),0,MIN($E239-SUM($G239:S239),$F239))</f>
        <v>0</v>
      </c>
      <c r="U239" s="424">
        <f>IF(OR(U$223&lt;$C239,U$223&lt;$H$2),0,MIN($E239-SUM($G239:T239),$F239))</f>
        <v>0.81735956010288735</v>
      </c>
      <c r="V239" s="424">
        <f>IF(OR(V$223&lt;$C239,V$223&lt;$H$2),0,MIN($E239-SUM($G239:U239),$F239))</f>
        <v>0.81735956010288735</v>
      </c>
      <c r="W239" s="424">
        <f>IF(OR(W$223&lt;$C239,W$223&lt;$H$2),0,MIN($E239-SUM($G239:V239),$F239))</f>
        <v>0.81735956010288735</v>
      </c>
      <c r="X239" s="424">
        <f>IF(OR(X$223&lt;$C239,X$223&lt;$H$2),0,MIN($E239-SUM($G239:W239),$F239))</f>
        <v>0.81735956010288735</v>
      </c>
      <c r="Y239" s="424">
        <f>IF(OR(Y$223&lt;$C239,Y$223&lt;$H$2),0,MIN($E239-SUM($G239:X239),$F239))</f>
        <v>0.81735956010288735</v>
      </c>
      <c r="Z239" s="424">
        <f>IF(OR(Z$223&lt;$C239,Z$223&lt;$H$2),0,MIN($E239-SUM($G239:Y239),$F239))</f>
        <v>0.81735956010288735</v>
      </c>
      <c r="AA239" s="424">
        <f>IF(OR(AA$223&lt;$C239,AA$223&lt;$H$2),0,MIN($E239-SUM($G239:Z239),$F239))</f>
        <v>0.81735956010288735</v>
      </c>
      <c r="AB239" s="424">
        <f>IF(OR(AB$223&lt;$C239,AB$223&lt;$H$2),0,MIN($E239-SUM($G239:AA239),$F239))</f>
        <v>0.81735956010288735</v>
      </c>
      <c r="AC239" s="424">
        <f>IF(OR(AC$223&lt;$C239,AC$223&lt;$H$2),0,MIN($E239-SUM($G239:AB239),$F239))</f>
        <v>0.81735956010288735</v>
      </c>
      <c r="AD239" s="424">
        <f>IF(OR(AD$223&lt;$C239,AD$223&lt;$H$2),0,MIN($E239-SUM($G239:AC239),$F239))</f>
        <v>0.81735956010288735</v>
      </c>
    </row>
    <row r="240" spans="3:30">
      <c r="C240" s="201">
        <v>51147</v>
      </c>
      <c r="D240" s="94" t="s">
        <v>134</v>
      </c>
      <c r="E240" s="424">
        <f t="shared" si="119"/>
        <v>25.632804484606595</v>
      </c>
      <c r="F240" s="209">
        <f t="shared" si="120"/>
        <v>1.1144697602002867</v>
      </c>
      <c r="H240" s="424">
        <f>IF(OR(H$223&lt;$C240,H$223&lt;$H$2),0,MIN($E240-SUM($G240:G240),$F240))</f>
        <v>0</v>
      </c>
      <c r="I240" s="424">
        <f>IF(OR(I$223&lt;$C240,I$223&lt;$H$2),0,MIN($E240-SUM($G240:H240),$F240))</f>
        <v>0</v>
      </c>
      <c r="J240" s="424">
        <f>IF(OR(J$223&lt;$C240,J$223&lt;$H$2),0,MIN($E240-SUM($G240:I240),$F240))</f>
        <v>0</v>
      </c>
      <c r="K240" s="424">
        <f>IF(OR(K$223&lt;$C240,K$223&lt;$H$2),0,MIN($E240-SUM($G240:J240),$F240))</f>
        <v>0</v>
      </c>
      <c r="L240" s="424">
        <f>IF(OR(L$223&lt;$C240,L$223&lt;$H$2),0,MIN($E240-SUM($G240:K240),$F240))</f>
        <v>0</v>
      </c>
      <c r="M240" s="424">
        <f>IF(OR(M$223&lt;$C240,M$223&lt;$H$2),0,MIN($E240-SUM($G240:L240),$F240))</f>
        <v>0</v>
      </c>
      <c r="N240" s="424">
        <f>IF(OR(N$223&lt;$C240,N$223&lt;$H$2),0,MIN($E240-SUM($G240:M240),$F240))</f>
        <v>0</v>
      </c>
      <c r="O240" s="424">
        <f>IF(OR(O$223&lt;$C240,O$223&lt;$H$2),0,MIN($E240-SUM($G240:N240),$F240))</f>
        <v>0</v>
      </c>
      <c r="P240" s="424">
        <f>IF(OR(P$223&lt;$C240,P$223&lt;$H$2),0,MIN($E240-SUM($G240:O240),$F240))</f>
        <v>0</v>
      </c>
      <c r="Q240" s="424">
        <f>IF(OR(Q$223&lt;$C240,Q$223&lt;$H$2),0,MIN($E240-SUM($G240:P240),$F240))</f>
        <v>0</v>
      </c>
      <c r="R240" s="424">
        <f>IF(OR(R$223&lt;$C240,R$223&lt;$H$2),0,MIN($E240-SUM($G240:Q240),$F240))</f>
        <v>0</v>
      </c>
      <c r="S240" s="424">
        <f>IF(OR(S$223&lt;$C240,S$223&lt;$H$2),0,MIN($E240-SUM($G240:R240),$F240))</f>
        <v>0</v>
      </c>
      <c r="T240" s="424">
        <f>IF(OR(T$223&lt;$C240,T$223&lt;$H$2),0,MIN($E240-SUM($G240:S240),$F240))</f>
        <v>0</v>
      </c>
      <c r="U240" s="424">
        <f>IF(OR(U$223&lt;$C240,U$223&lt;$H$2),0,MIN($E240-SUM($G240:T240),$F240))</f>
        <v>0</v>
      </c>
      <c r="V240" s="424">
        <f>IF(OR(V$223&lt;$C240,V$223&lt;$H$2),0,MIN($E240-SUM($G240:U240),$F240))</f>
        <v>1.1144697602002867</v>
      </c>
      <c r="W240" s="424">
        <f>IF(OR(W$223&lt;$C240,W$223&lt;$H$2),0,MIN($E240-SUM($G240:V240),$F240))</f>
        <v>1.1144697602002867</v>
      </c>
      <c r="X240" s="424">
        <f>IF(OR(X$223&lt;$C240,X$223&lt;$H$2),0,MIN($E240-SUM($G240:W240),$F240))</f>
        <v>1.1144697602002867</v>
      </c>
      <c r="Y240" s="424">
        <f>IF(OR(Y$223&lt;$C240,Y$223&lt;$H$2),0,MIN($E240-SUM($G240:X240),$F240))</f>
        <v>1.1144697602002867</v>
      </c>
      <c r="Z240" s="424">
        <f>IF(OR(Z$223&lt;$C240,Z$223&lt;$H$2),0,MIN($E240-SUM($G240:Y240),$F240))</f>
        <v>1.1144697602002867</v>
      </c>
      <c r="AA240" s="424">
        <f>IF(OR(AA$223&lt;$C240,AA$223&lt;$H$2),0,MIN($E240-SUM($G240:Z240),$F240))</f>
        <v>1.1144697602002867</v>
      </c>
      <c r="AB240" s="424">
        <f>IF(OR(AB$223&lt;$C240,AB$223&lt;$H$2),0,MIN($E240-SUM($G240:AA240),$F240))</f>
        <v>1.1144697602002867</v>
      </c>
      <c r="AC240" s="424">
        <f>IF(OR(AC$223&lt;$C240,AC$223&lt;$H$2),0,MIN($E240-SUM($G240:AB240),$F240))</f>
        <v>1.1144697602002867</v>
      </c>
      <c r="AD240" s="424">
        <f>IF(OR(AD$223&lt;$C240,AD$223&lt;$H$2),0,MIN($E240-SUM($G240:AC240),$F240))</f>
        <v>1.1144697602002867</v>
      </c>
    </row>
    <row r="241" spans="3:30">
      <c r="C241" s="201">
        <v>51513</v>
      </c>
      <c r="D241" s="94" t="s">
        <v>134</v>
      </c>
      <c r="E241" s="424">
        <f t="shared" si="119"/>
        <v>0</v>
      </c>
      <c r="F241" s="209">
        <f t="shared" si="120"/>
        <v>0</v>
      </c>
      <c r="H241" s="424">
        <f>IF(OR(H$223&lt;$C241,H$223&lt;$H$2),0,MIN($E241-SUM($G241:G241),$F241))</f>
        <v>0</v>
      </c>
      <c r="I241" s="424">
        <f>IF(OR(I$223&lt;$C241,I$223&lt;$H$2),0,MIN($E241-SUM($G241:H241),$F241))</f>
        <v>0</v>
      </c>
      <c r="J241" s="424">
        <f>IF(OR(J$223&lt;$C241,J$223&lt;$H$2),0,MIN($E241-SUM($G241:I241),$F241))</f>
        <v>0</v>
      </c>
      <c r="K241" s="424">
        <f>IF(OR(K$223&lt;$C241,K$223&lt;$H$2),0,MIN($E241-SUM($G241:J241),$F241))</f>
        <v>0</v>
      </c>
      <c r="L241" s="424">
        <f>IF(OR(L$223&lt;$C241,L$223&lt;$H$2),0,MIN($E241-SUM($G241:K241),$F241))</f>
        <v>0</v>
      </c>
      <c r="M241" s="424">
        <f>IF(OR(M$223&lt;$C241,M$223&lt;$H$2),0,MIN($E241-SUM($G241:L241),$F241))</f>
        <v>0</v>
      </c>
      <c r="N241" s="424">
        <f>IF(OR(N$223&lt;$C241,N$223&lt;$H$2),0,MIN($E241-SUM($G241:M241),$F241))</f>
        <v>0</v>
      </c>
      <c r="O241" s="424">
        <f>IF(OR(O$223&lt;$C241,O$223&lt;$H$2),0,MIN($E241-SUM($G241:N241),$F241))</f>
        <v>0</v>
      </c>
      <c r="P241" s="424">
        <f>IF(OR(P$223&lt;$C241,P$223&lt;$H$2),0,MIN($E241-SUM($G241:O241),$F241))</f>
        <v>0</v>
      </c>
      <c r="Q241" s="424">
        <f>IF(OR(Q$223&lt;$C241,Q$223&lt;$H$2),0,MIN($E241-SUM($G241:P241),$F241))</f>
        <v>0</v>
      </c>
      <c r="R241" s="424">
        <f>IF(OR(R$223&lt;$C241,R$223&lt;$H$2),0,MIN($E241-SUM($G241:Q241),$F241))</f>
        <v>0</v>
      </c>
      <c r="S241" s="424">
        <f>IF(OR(S$223&lt;$C241,S$223&lt;$H$2),0,MIN($E241-SUM($G241:R241),$F241))</f>
        <v>0</v>
      </c>
      <c r="T241" s="424">
        <f>IF(OR(T$223&lt;$C241,T$223&lt;$H$2),0,MIN($E241-SUM($G241:S241),$F241))</f>
        <v>0</v>
      </c>
      <c r="U241" s="424">
        <f>IF(OR(U$223&lt;$C241,U$223&lt;$H$2),0,MIN($E241-SUM($G241:T241),$F241))</f>
        <v>0</v>
      </c>
      <c r="V241" s="424">
        <f>IF(OR(V$223&lt;$C241,V$223&lt;$H$2),0,MIN($E241-SUM($G241:U241),$F241))</f>
        <v>0</v>
      </c>
      <c r="W241" s="424">
        <f>IF(OR(W$223&lt;$C241,W$223&lt;$H$2),0,MIN($E241-SUM($G241:V241),$F241))</f>
        <v>0</v>
      </c>
      <c r="X241" s="424">
        <f>IF(OR(X$223&lt;$C241,X$223&lt;$H$2),0,MIN($E241-SUM($G241:W241),$F241))</f>
        <v>0</v>
      </c>
      <c r="Y241" s="424">
        <f>IF(OR(Y$223&lt;$C241,Y$223&lt;$H$2),0,MIN($E241-SUM($G241:X241),$F241))</f>
        <v>0</v>
      </c>
      <c r="Z241" s="424">
        <f>IF(OR(Z$223&lt;$C241,Z$223&lt;$H$2),0,MIN($E241-SUM($G241:Y241),$F241))</f>
        <v>0</v>
      </c>
      <c r="AA241" s="424">
        <f>IF(OR(AA$223&lt;$C241,AA$223&lt;$H$2),0,MIN($E241-SUM($G241:Z241),$F241))</f>
        <v>0</v>
      </c>
      <c r="AB241" s="424">
        <f>IF(OR(AB$223&lt;$C241,AB$223&lt;$H$2),0,MIN($E241-SUM($G241:AA241),$F241))</f>
        <v>0</v>
      </c>
      <c r="AC241" s="424">
        <f>IF(OR(AC$223&lt;$C241,AC$223&lt;$H$2),0,MIN($E241-SUM($G241:AB241),$F241))</f>
        <v>0</v>
      </c>
      <c r="AD241" s="424">
        <f>IF(OR(AD$223&lt;$C241,AD$223&lt;$H$2),0,MIN($E241-SUM($G241:AC241),$F241))</f>
        <v>0</v>
      </c>
    </row>
    <row r="242" spans="3:30">
      <c r="C242" s="201">
        <v>51879</v>
      </c>
      <c r="D242" s="94" t="s">
        <v>134</v>
      </c>
      <c r="E242" s="424">
        <f t="shared" si="119"/>
        <v>0</v>
      </c>
      <c r="F242" s="209">
        <f t="shared" si="120"/>
        <v>0</v>
      </c>
      <c r="H242" s="424">
        <f>IF(OR(H$223&lt;$C242,H$223&lt;$H$2),0,MIN($E242-SUM($G242:G242),$F242))</f>
        <v>0</v>
      </c>
      <c r="I242" s="424">
        <f>IF(OR(I$223&lt;$C242,I$223&lt;$H$2),0,MIN($E242-SUM($G242:H242),$F242))</f>
        <v>0</v>
      </c>
      <c r="J242" s="424">
        <f>IF(OR(J$223&lt;$C242,J$223&lt;$H$2),0,MIN($E242-SUM($G242:I242),$F242))</f>
        <v>0</v>
      </c>
      <c r="K242" s="424">
        <f>IF(OR(K$223&lt;$C242,K$223&lt;$H$2),0,MIN($E242-SUM($G242:J242),$F242))</f>
        <v>0</v>
      </c>
      <c r="L242" s="424">
        <f>IF(OR(L$223&lt;$C242,L$223&lt;$H$2),0,MIN($E242-SUM($G242:K242),$F242))</f>
        <v>0</v>
      </c>
      <c r="M242" s="424">
        <f>IF(OR(M$223&lt;$C242,M$223&lt;$H$2),0,MIN($E242-SUM($G242:L242),$F242))</f>
        <v>0</v>
      </c>
      <c r="N242" s="424">
        <f>IF(OR(N$223&lt;$C242,N$223&lt;$H$2),0,MIN($E242-SUM($G242:M242),$F242))</f>
        <v>0</v>
      </c>
      <c r="O242" s="424">
        <f>IF(OR(O$223&lt;$C242,O$223&lt;$H$2),0,MIN($E242-SUM($G242:N242),$F242))</f>
        <v>0</v>
      </c>
      <c r="P242" s="424">
        <f>IF(OR(P$223&lt;$C242,P$223&lt;$H$2),0,MIN($E242-SUM($G242:O242),$F242))</f>
        <v>0</v>
      </c>
      <c r="Q242" s="424">
        <f>IF(OR(Q$223&lt;$C242,Q$223&lt;$H$2),0,MIN($E242-SUM($G242:P242),$F242))</f>
        <v>0</v>
      </c>
      <c r="R242" s="424">
        <f>IF(OR(R$223&lt;$C242,R$223&lt;$H$2),0,MIN($E242-SUM($G242:Q242),$F242))</f>
        <v>0</v>
      </c>
      <c r="S242" s="424">
        <f>IF(OR(S$223&lt;$C242,S$223&lt;$H$2),0,MIN($E242-SUM($G242:R242),$F242))</f>
        <v>0</v>
      </c>
      <c r="T242" s="424">
        <f>IF(OR(T$223&lt;$C242,T$223&lt;$H$2),0,MIN($E242-SUM($G242:S242),$F242))</f>
        <v>0</v>
      </c>
      <c r="U242" s="424">
        <f>IF(OR(U$223&lt;$C242,U$223&lt;$H$2),0,MIN($E242-SUM($G242:T242),$F242))</f>
        <v>0</v>
      </c>
      <c r="V242" s="424">
        <f>IF(OR(V$223&lt;$C242,V$223&lt;$H$2),0,MIN($E242-SUM($G242:U242),$F242))</f>
        <v>0</v>
      </c>
      <c r="W242" s="424">
        <f>IF(OR(W$223&lt;$C242,W$223&lt;$H$2),0,MIN($E242-SUM($G242:V242),$F242))</f>
        <v>0</v>
      </c>
      <c r="X242" s="424">
        <f>IF(OR(X$223&lt;$C242,X$223&lt;$H$2),0,MIN($E242-SUM($G242:W242),$F242))</f>
        <v>0</v>
      </c>
      <c r="Y242" s="424">
        <f>IF(OR(Y$223&lt;$C242,Y$223&lt;$H$2),0,MIN($E242-SUM($G242:X242),$F242))</f>
        <v>0</v>
      </c>
      <c r="Z242" s="424">
        <f>IF(OR(Z$223&lt;$C242,Z$223&lt;$H$2),0,MIN($E242-SUM($G242:Y242),$F242))</f>
        <v>0</v>
      </c>
      <c r="AA242" s="424">
        <f>IF(OR(AA$223&lt;$C242,AA$223&lt;$H$2),0,MIN($E242-SUM($G242:Z242),$F242))</f>
        <v>0</v>
      </c>
      <c r="AB242" s="424">
        <f>IF(OR(AB$223&lt;$C242,AB$223&lt;$H$2),0,MIN($E242-SUM($G242:AA242),$F242))</f>
        <v>0</v>
      </c>
      <c r="AC242" s="424">
        <f>IF(OR(AC$223&lt;$C242,AC$223&lt;$H$2),0,MIN($E242-SUM($G242:AB242),$F242))</f>
        <v>0</v>
      </c>
      <c r="AD242" s="424">
        <f>IF(OR(AD$223&lt;$C242,AD$223&lt;$H$2),0,MIN($E242-SUM($G242:AC242),$F242))</f>
        <v>0</v>
      </c>
    </row>
    <row r="243" spans="3:30">
      <c r="C243" s="201">
        <v>52245</v>
      </c>
      <c r="D243" s="94" t="s">
        <v>134</v>
      </c>
      <c r="E243" s="424">
        <f t="shared" si="119"/>
        <v>0</v>
      </c>
      <c r="F243" s="209">
        <f t="shared" si="120"/>
        <v>0</v>
      </c>
      <c r="H243" s="424">
        <f>IF(OR(H$223&lt;$C243,H$223&lt;$H$2),0,MIN($E243-SUM($G243:G243),$F243))</f>
        <v>0</v>
      </c>
      <c r="I243" s="424">
        <f>IF(OR(I$223&lt;$C243,I$223&lt;$H$2),0,MIN($E243-SUM($G243:H243),$F243))</f>
        <v>0</v>
      </c>
      <c r="J243" s="424">
        <f>IF(OR(J$223&lt;$C243,J$223&lt;$H$2),0,MIN($E243-SUM($G243:I243),$F243))</f>
        <v>0</v>
      </c>
      <c r="K243" s="424">
        <f>IF(OR(K$223&lt;$C243,K$223&lt;$H$2),0,MIN($E243-SUM($G243:J243),$F243))</f>
        <v>0</v>
      </c>
      <c r="L243" s="424">
        <f>IF(OR(L$223&lt;$C243,L$223&lt;$H$2),0,MIN($E243-SUM($G243:K243),$F243))</f>
        <v>0</v>
      </c>
      <c r="M243" s="424">
        <f>IF(OR(M$223&lt;$C243,M$223&lt;$H$2),0,MIN($E243-SUM($G243:L243),$F243))</f>
        <v>0</v>
      </c>
      <c r="N243" s="424">
        <f>IF(OR(N$223&lt;$C243,N$223&lt;$H$2),0,MIN($E243-SUM($G243:M243),$F243))</f>
        <v>0</v>
      </c>
      <c r="O243" s="424">
        <f>IF(OR(O$223&lt;$C243,O$223&lt;$H$2),0,MIN($E243-SUM($G243:N243),$F243))</f>
        <v>0</v>
      </c>
      <c r="P243" s="424">
        <f>IF(OR(P$223&lt;$C243,P$223&lt;$H$2),0,MIN($E243-SUM($G243:O243),$F243))</f>
        <v>0</v>
      </c>
      <c r="Q243" s="424">
        <f>IF(OR(Q$223&lt;$C243,Q$223&lt;$H$2),0,MIN($E243-SUM($G243:P243),$F243))</f>
        <v>0</v>
      </c>
      <c r="R243" s="424">
        <f>IF(OR(R$223&lt;$C243,R$223&lt;$H$2),0,MIN($E243-SUM($G243:Q243),$F243))</f>
        <v>0</v>
      </c>
      <c r="S243" s="424">
        <f>IF(OR(S$223&lt;$C243,S$223&lt;$H$2),0,MIN($E243-SUM($G243:R243),$F243))</f>
        <v>0</v>
      </c>
      <c r="T243" s="424">
        <f>IF(OR(T$223&lt;$C243,T$223&lt;$H$2),0,MIN($E243-SUM($G243:S243),$F243))</f>
        <v>0</v>
      </c>
      <c r="U243" s="424">
        <f>IF(OR(U$223&lt;$C243,U$223&lt;$H$2),0,MIN($E243-SUM($G243:T243),$F243))</f>
        <v>0</v>
      </c>
      <c r="V243" s="424">
        <f>IF(OR(V$223&lt;$C243,V$223&lt;$H$2),0,MIN($E243-SUM($G243:U243),$F243))</f>
        <v>0</v>
      </c>
      <c r="W243" s="424">
        <f>IF(OR(W$223&lt;$C243,W$223&lt;$H$2),0,MIN($E243-SUM($G243:V243),$F243))</f>
        <v>0</v>
      </c>
      <c r="X243" s="424">
        <f>IF(OR(X$223&lt;$C243,X$223&lt;$H$2),0,MIN($E243-SUM($G243:W243),$F243))</f>
        <v>0</v>
      </c>
      <c r="Y243" s="424">
        <f>IF(OR(Y$223&lt;$C243,Y$223&lt;$H$2),0,MIN($E243-SUM($G243:X243),$F243))</f>
        <v>0</v>
      </c>
      <c r="Z243" s="424">
        <f>IF(OR(Z$223&lt;$C243,Z$223&lt;$H$2),0,MIN($E243-SUM($G243:Y243),$F243))</f>
        <v>0</v>
      </c>
      <c r="AA243" s="424">
        <f>IF(OR(AA$223&lt;$C243,AA$223&lt;$H$2),0,MIN($E243-SUM($G243:Z243),$F243))</f>
        <v>0</v>
      </c>
      <c r="AB243" s="424">
        <f>IF(OR(AB$223&lt;$C243,AB$223&lt;$H$2),0,MIN($E243-SUM($G243:AA243),$F243))</f>
        <v>0</v>
      </c>
      <c r="AC243" s="424">
        <f>IF(OR(AC$223&lt;$C243,AC$223&lt;$H$2),0,MIN($E243-SUM($G243:AB243),$F243))</f>
        <v>0</v>
      </c>
      <c r="AD243" s="424">
        <f>IF(OR(AD$223&lt;$C243,AD$223&lt;$H$2),0,MIN($E243-SUM($G243:AC243),$F243))</f>
        <v>0</v>
      </c>
    </row>
    <row r="244" spans="3:30">
      <c r="C244" s="201">
        <v>52611</v>
      </c>
      <c r="D244" s="94" t="s">
        <v>134</v>
      </c>
      <c r="E244" s="424">
        <f t="shared" si="119"/>
        <v>0</v>
      </c>
      <c r="F244" s="209">
        <f t="shared" si="120"/>
        <v>0</v>
      </c>
      <c r="H244" s="424">
        <f>IF(OR(H$223&lt;$C244,H$223&lt;$H$2),0,MIN($E244-SUM($G244:G244),$F244))</f>
        <v>0</v>
      </c>
      <c r="I244" s="424">
        <f>IF(OR(I$223&lt;$C244,I$223&lt;$H$2),0,MIN($E244-SUM($G244:H244),$F244))</f>
        <v>0</v>
      </c>
      <c r="J244" s="424">
        <f>IF(OR(J$223&lt;$C244,J$223&lt;$H$2),0,MIN($E244-SUM($G244:I244),$F244))</f>
        <v>0</v>
      </c>
      <c r="K244" s="424">
        <f>IF(OR(K$223&lt;$C244,K$223&lt;$H$2),0,MIN($E244-SUM($G244:J244),$F244))</f>
        <v>0</v>
      </c>
      <c r="L244" s="424">
        <f>IF(OR(L$223&lt;$C244,L$223&lt;$H$2),0,MIN($E244-SUM($G244:K244),$F244))</f>
        <v>0</v>
      </c>
      <c r="M244" s="424">
        <f>IF(OR(M$223&lt;$C244,M$223&lt;$H$2),0,MIN($E244-SUM($G244:L244),$F244))</f>
        <v>0</v>
      </c>
      <c r="N244" s="424">
        <f>IF(OR(N$223&lt;$C244,N$223&lt;$H$2),0,MIN($E244-SUM($G244:M244),$F244))</f>
        <v>0</v>
      </c>
      <c r="O244" s="424">
        <f>IF(OR(O$223&lt;$C244,O$223&lt;$H$2),0,MIN($E244-SUM($G244:N244),$F244))</f>
        <v>0</v>
      </c>
      <c r="P244" s="424">
        <f>IF(OR(P$223&lt;$C244,P$223&lt;$H$2),0,MIN($E244-SUM($G244:O244),$F244))</f>
        <v>0</v>
      </c>
      <c r="Q244" s="424">
        <f>IF(OR(Q$223&lt;$C244,Q$223&lt;$H$2),0,MIN($E244-SUM($G244:P244),$F244))</f>
        <v>0</v>
      </c>
      <c r="R244" s="424">
        <f>IF(OR(R$223&lt;$C244,R$223&lt;$H$2),0,MIN($E244-SUM($G244:Q244),$F244))</f>
        <v>0</v>
      </c>
      <c r="S244" s="424">
        <f>IF(OR(S$223&lt;$C244,S$223&lt;$H$2),0,MIN($E244-SUM($G244:R244),$F244))</f>
        <v>0</v>
      </c>
      <c r="T244" s="424">
        <f>IF(OR(T$223&lt;$C244,T$223&lt;$H$2),0,MIN($E244-SUM($G244:S244),$F244))</f>
        <v>0</v>
      </c>
      <c r="U244" s="424">
        <f>IF(OR(U$223&lt;$C244,U$223&lt;$H$2),0,MIN($E244-SUM($G244:T244),$F244))</f>
        <v>0</v>
      </c>
      <c r="V244" s="424">
        <f>IF(OR(V$223&lt;$C244,V$223&lt;$H$2),0,MIN($E244-SUM($G244:U244),$F244))</f>
        <v>0</v>
      </c>
      <c r="W244" s="424">
        <f>IF(OR(W$223&lt;$C244,W$223&lt;$H$2),0,MIN($E244-SUM($G244:V244),$F244))</f>
        <v>0</v>
      </c>
      <c r="X244" s="424">
        <f>IF(OR(X$223&lt;$C244,X$223&lt;$H$2),0,MIN($E244-SUM($G244:W244),$F244))</f>
        <v>0</v>
      </c>
      <c r="Y244" s="424">
        <f>IF(OR(Y$223&lt;$C244,Y$223&lt;$H$2),0,MIN($E244-SUM($G244:X244),$F244))</f>
        <v>0</v>
      </c>
      <c r="Z244" s="424">
        <f>IF(OR(Z$223&lt;$C244,Z$223&lt;$H$2),0,MIN($E244-SUM($G244:Y244),$F244))</f>
        <v>0</v>
      </c>
      <c r="AA244" s="424">
        <f>IF(OR(AA$223&lt;$C244,AA$223&lt;$H$2),0,MIN($E244-SUM($G244:Z244),$F244))</f>
        <v>0</v>
      </c>
      <c r="AB244" s="424">
        <f>IF(OR(AB$223&lt;$C244,AB$223&lt;$H$2),0,MIN($E244-SUM($G244:AA244),$F244))</f>
        <v>0</v>
      </c>
      <c r="AC244" s="424">
        <f>IF(OR(AC$223&lt;$C244,AC$223&lt;$H$2),0,MIN($E244-SUM($G244:AB244),$F244))</f>
        <v>0</v>
      </c>
      <c r="AD244" s="424">
        <f>IF(OR(AD$223&lt;$C244,AD$223&lt;$H$2),0,MIN($E244-SUM($G244:AC244),$F244))</f>
        <v>0</v>
      </c>
    </row>
    <row r="245" spans="3:30">
      <c r="C245" s="201">
        <v>52977</v>
      </c>
      <c r="D245" s="94" t="s">
        <v>134</v>
      </c>
      <c r="E245" s="424">
        <f t="shared" si="119"/>
        <v>0</v>
      </c>
      <c r="F245" s="209">
        <f t="shared" si="120"/>
        <v>0</v>
      </c>
      <c r="H245" s="424">
        <f>IF(OR(H$223&lt;$C245,H$223&lt;$H$2),0,MIN($E245-SUM($G245:G245),$F245))</f>
        <v>0</v>
      </c>
      <c r="I245" s="424">
        <f>IF(OR(I$223&lt;$C245,I$223&lt;$H$2),0,MIN($E245-SUM($G245:H245),$F245))</f>
        <v>0</v>
      </c>
      <c r="J245" s="424">
        <f>IF(OR(J$223&lt;$C245,J$223&lt;$H$2),0,MIN($E245-SUM($G245:I245),$F245))</f>
        <v>0</v>
      </c>
      <c r="K245" s="424">
        <f>IF(OR(K$223&lt;$C245,K$223&lt;$H$2),0,MIN($E245-SUM($G245:J245),$F245))</f>
        <v>0</v>
      </c>
      <c r="L245" s="424">
        <f>IF(OR(L$223&lt;$C245,L$223&lt;$H$2),0,MIN($E245-SUM($G245:K245),$F245))</f>
        <v>0</v>
      </c>
      <c r="M245" s="424">
        <f>IF(OR(M$223&lt;$C245,M$223&lt;$H$2),0,MIN($E245-SUM($G245:L245),$F245))</f>
        <v>0</v>
      </c>
      <c r="N245" s="424">
        <f>IF(OR(N$223&lt;$C245,N$223&lt;$H$2),0,MIN($E245-SUM($G245:M245),$F245))</f>
        <v>0</v>
      </c>
      <c r="O245" s="424">
        <f>IF(OR(O$223&lt;$C245,O$223&lt;$H$2),0,MIN($E245-SUM($G245:N245),$F245))</f>
        <v>0</v>
      </c>
      <c r="P245" s="424">
        <f>IF(OR(P$223&lt;$C245,P$223&lt;$H$2),0,MIN($E245-SUM($G245:O245),$F245))</f>
        <v>0</v>
      </c>
      <c r="Q245" s="424">
        <f>IF(OR(Q$223&lt;$C245,Q$223&lt;$H$2),0,MIN($E245-SUM($G245:P245),$F245))</f>
        <v>0</v>
      </c>
      <c r="R245" s="424">
        <f>IF(OR(R$223&lt;$C245,R$223&lt;$H$2),0,MIN($E245-SUM($G245:Q245),$F245))</f>
        <v>0</v>
      </c>
      <c r="S245" s="424">
        <f>IF(OR(S$223&lt;$C245,S$223&lt;$H$2),0,MIN($E245-SUM($G245:R245),$F245))</f>
        <v>0</v>
      </c>
      <c r="T245" s="424">
        <f>IF(OR(T$223&lt;$C245,T$223&lt;$H$2),0,MIN($E245-SUM($G245:S245),$F245))</f>
        <v>0</v>
      </c>
      <c r="U245" s="424">
        <f>IF(OR(U$223&lt;$C245,U$223&lt;$H$2),0,MIN($E245-SUM($G245:T245),$F245))</f>
        <v>0</v>
      </c>
      <c r="V245" s="424">
        <f>IF(OR(V$223&lt;$C245,V$223&lt;$H$2),0,MIN($E245-SUM($G245:U245),$F245))</f>
        <v>0</v>
      </c>
      <c r="W245" s="424">
        <f>IF(OR(W$223&lt;$C245,W$223&lt;$H$2),0,MIN($E245-SUM($G245:V245),$F245))</f>
        <v>0</v>
      </c>
      <c r="X245" s="424">
        <f>IF(OR(X$223&lt;$C245,X$223&lt;$H$2),0,MIN($E245-SUM($G245:W245),$F245))</f>
        <v>0</v>
      </c>
      <c r="Y245" s="424">
        <f>IF(OR(Y$223&lt;$C245,Y$223&lt;$H$2),0,MIN($E245-SUM($G245:X245),$F245))</f>
        <v>0</v>
      </c>
      <c r="Z245" s="424">
        <f>IF(OR(Z$223&lt;$C245,Z$223&lt;$H$2),0,MIN($E245-SUM($G245:Y245),$F245))</f>
        <v>0</v>
      </c>
      <c r="AA245" s="424">
        <f>IF(OR(AA$223&lt;$C245,AA$223&lt;$H$2),0,MIN($E245-SUM($G245:Z245),$F245))</f>
        <v>0</v>
      </c>
      <c r="AB245" s="424">
        <f>IF(OR(AB$223&lt;$C245,AB$223&lt;$H$2),0,MIN($E245-SUM($G245:AA245),$F245))</f>
        <v>0</v>
      </c>
      <c r="AC245" s="424">
        <f>IF(OR(AC$223&lt;$C245,AC$223&lt;$H$2),0,MIN($E245-SUM($G245:AB245),$F245))</f>
        <v>0</v>
      </c>
      <c r="AD245" s="424">
        <f>IF(OR(AD$223&lt;$C245,AD$223&lt;$H$2),0,MIN($E245-SUM($G245:AC245),$F245))</f>
        <v>0</v>
      </c>
    </row>
    <row r="246" spans="3:30">
      <c r="C246" s="201">
        <v>53343</v>
      </c>
      <c r="D246" s="94" t="s">
        <v>134</v>
      </c>
      <c r="E246" s="424">
        <f t="shared" si="119"/>
        <v>0</v>
      </c>
      <c r="F246" s="209">
        <f t="shared" si="120"/>
        <v>0</v>
      </c>
      <c r="H246" s="424">
        <f>IF(OR(H$223&lt;$C246,H$223&lt;$H$2),0,MIN($E246-SUM($G246:G246),$F246))</f>
        <v>0</v>
      </c>
      <c r="I246" s="424">
        <f>IF(OR(I$223&lt;$C246,I$223&lt;$H$2),0,MIN($E246-SUM($G246:H246),$F246))</f>
        <v>0</v>
      </c>
      <c r="J246" s="424">
        <f>IF(OR(J$223&lt;$C246,J$223&lt;$H$2),0,MIN($E246-SUM($G246:I246),$F246))</f>
        <v>0</v>
      </c>
      <c r="K246" s="424">
        <f>IF(OR(K$223&lt;$C246,K$223&lt;$H$2),0,MIN($E246-SUM($G246:J246),$F246))</f>
        <v>0</v>
      </c>
      <c r="L246" s="424">
        <f>IF(OR(L$223&lt;$C246,L$223&lt;$H$2),0,MIN($E246-SUM($G246:K246),$F246))</f>
        <v>0</v>
      </c>
      <c r="M246" s="424">
        <f>IF(OR(M$223&lt;$C246,M$223&lt;$H$2),0,MIN($E246-SUM($G246:L246),$F246))</f>
        <v>0</v>
      </c>
      <c r="N246" s="424">
        <f>IF(OR(N$223&lt;$C246,N$223&lt;$H$2),0,MIN($E246-SUM($G246:M246),$F246))</f>
        <v>0</v>
      </c>
      <c r="O246" s="424">
        <f>IF(OR(O$223&lt;$C246,O$223&lt;$H$2),0,MIN($E246-SUM($G246:N246),$F246))</f>
        <v>0</v>
      </c>
      <c r="P246" s="424">
        <f>IF(OR(P$223&lt;$C246,P$223&lt;$H$2),0,MIN($E246-SUM($G246:O246),$F246))</f>
        <v>0</v>
      </c>
      <c r="Q246" s="424">
        <f>IF(OR(Q$223&lt;$C246,Q$223&lt;$H$2),0,MIN($E246-SUM($G246:P246),$F246))</f>
        <v>0</v>
      </c>
      <c r="R246" s="424">
        <f>IF(OR(R$223&lt;$C246,R$223&lt;$H$2),0,MIN($E246-SUM($G246:Q246),$F246))</f>
        <v>0</v>
      </c>
      <c r="S246" s="424">
        <f>IF(OR(S$223&lt;$C246,S$223&lt;$H$2),0,MIN($E246-SUM($G246:R246),$F246))</f>
        <v>0</v>
      </c>
      <c r="T246" s="424">
        <f>IF(OR(T$223&lt;$C246,T$223&lt;$H$2),0,MIN($E246-SUM($G246:S246),$F246))</f>
        <v>0</v>
      </c>
      <c r="U246" s="424">
        <f>IF(OR(U$223&lt;$C246,U$223&lt;$H$2),0,MIN($E246-SUM($G246:T246),$F246))</f>
        <v>0</v>
      </c>
      <c r="V246" s="424">
        <f>IF(OR(V$223&lt;$C246,V$223&lt;$H$2),0,MIN($E246-SUM($G246:U246),$F246))</f>
        <v>0</v>
      </c>
      <c r="W246" s="424">
        <f>IF(OR(W$223&lt;$C246,W$223&lt;$H$2),0,MIN($E246-SUM($G246:V246),$F246))</f>
        <v>0</v>
      </c>
      <c r="X246" s="424">
        <f>IF(OR(X$223&lt;$C246,X$223&lt;$H$2),0,MIN($E246-SUM($G246:W246),$F246))</f>
        <v>0</v>
      </c>
      <c r="Y246" s="424">
        <f>IF(OR(Y$223&lt;$C246,Y$223&lt;$H$2),0,MIN($E246-SUM($G246:X246),$F246))</f>
        <v>0</v>
      </c>
      <c r="Z246" s="424">
        <f>IF(OR(Z$223&lt;$C246,Z$223&lt;$H$2),0,MIN($E246-SUM($G246:Y246),$F246))</f>
        <v>0</v>
      </c>
      <c r="AA246" s="424">
        <f>IF(OR(AA$223&lt;$C246,AA$223&lt;$H$2),0,MIN($E246-SUM($G246:Z246),$F246))</f>
        <v>0</v>
      </c>
      <c r="AB246" s="424">
        <f>IF(OR(AB$223&lt;$C246,AB$223&lt;$H$2),0,MIN($E246-SUM($G246:AA246),$F246))</f>
        <v>0</v>
      </c>
      <c r="AC246" s="424">
        <f>IF(OR(AC$223&lt;$C246,AC$223&lt;$H$2),0,MIN($E246-SUM($G246:AB246),$F246))</f>
        <v>0</v>
      </c>
      <c r="AD246" s="424">
        <f>IF(OR(AD$223&lt;$C246,AD$223&lt;$H$2),0,MIN($E246-SUM($G246:AC246),$F246))</f>
        <v>0</v>
      </c>
    </row>
    <row r="247" spans="3:30">
      <c r="C247" s="201">
        <v>53709</v>
      </c>
      <c r="D247" s="94" t="s">
        <v>134</v>
      </c>
      <c r="E247" s="424">
        <f t="shared" si="119"/>
        <v>0</v>
      </c>
      <c r="F247" s="209">
        <f t="shared" si="120"/>
        <v>0</v>
      </c>
      <c r="H247" s="424">
        <f>IF(OR(H$223&lt;$C247,H$223&lt;$H$2),0,MIN($E247-SUM($G247:G247),$F247))</f>
        <v>0</v>
      </c>
      <c r="I247" s="424">
        <f>IF(OR(I$223&lt;$C247,I$223&lt;$H$2),0,MIN($E247-SUM($G247:H247),$F247))</f>
        <v>0</v>
      </c>
      <c r="J247" s="424">
        <f>IF(OR(J$223&lt;$C247,J$223&lt;$H$2),0,MIN($E247-SUM($G247:I247),$F247))</f>
        <v>0</v>
      </c>
      <c r="K247" s="424">
        <f>IF(OR(K$223&lt;$C247,K$223&lt;$H$2),0,MIN($E247-SUM($G247:J247),$F247))</f>
        <v>0</v>
      </c>
      <c r="L247" s="424">
        <f>IF(OR(L$223&lt;$C247,L$223&lt;$H$2),0,MIN($E247-SUM($G247:K247),$F247))</f>
        <v>0</v>
      </c>
      <c r="M247" s="424">
        <f>IF(OR(M$223&lt;$C247,M$223&lt;$H$2),0,MIN($E247-SUM($G247:L247),$F247))</f>
        <v>0</v>
      </c>
      <c r="N247" s="424">
        <f>IF(OR(N$223&lt;$C247,N$223&lt;$H$2),0,MIN($E247-SUM($G247:M247),$F247))</f>
        <v>0</v>
      </c>
      <c r="O247" s="424">
        <f>IF(OR(O$223&lt;$C247,O$223&lt;$H$2),0,MIN($E247-SUM($G247:N247),$F247))</f>
        <v>0</v>
      </c>
      <c r="P247" s="424">
        <f>IF(OR(P$223&lt;$C247,P$223&lt;$H$2),0,MIN($E247-SUM($G247:O247),$F247))</f>
        <v>0</v>
      </c>
      <c r="Q247" s="424">
        <f>IF(OR(Q$223&lt;$C247,Q$223&lt;$H$2),0,MIN($E247-SUM($G247:P247),$F247))</f>
        <v>0</v>
      </c>
      <c r="R247" s="424">
        <f>IF(OR(R$223&lt;$C247,R$223&lt;$H$2),0,MIN($E247-SUM($G247:Q247),$F247))</f>
        <v>0</v>
      </c>
      <c r="S247" s="424">
        <f>IF(OR(S$223&lt;$C247,S$223&lt;$H$2),0,MIN($E247-SUM($G247:R247),$F247))</f>
        <v>0</v>
      </c>
      <c r="T247" s="424">
        <f>IF(OR(T$223&lt;$C247,T$223&lt;$H$2),0,MIN($E247-SUM($G247:S247),$F247))</f>
        <v>0</v>
      </c>
      <c r="U247" s="424">
        <f>IF(OR(U$223&lt;$C247,U$223&lt;$H$2),0,MIN($E247-SUM($G247:T247),$F247))</f>
        <v>0</v>
      </c>
      <c r="V247" s="424">
        <f>IF(OR(V$223&lt;$C247,V$223&lt;$H$2),0,MIN($E247-SUM($G247:U247),$F247))</f>
        <v>0</v>
      </c>
      <c r="W247" s="424">
        <f>IF(OR(W$223&lt;$C247,W$223&lt;$H$2),0,MIN($E247-SUM($G247:V247),$F247))</f>
        <v>0</v>
      </c>
      <c r="X247" s="424">
        <f>IF(OR(X$223&lt;$C247,X$223&lt;$H$2),0,MIN($E247-SUM($G247:W247),$F247))</f>
        <v>0</v>
      </c>
      <c r="Y247" s="424">
        <f>IF(OR(Y$223&lt;$C247,Y$223&lt;$H$2),0,MIN($E247-SUM($G247:X247),$F247))</f>
        <v>0</v>
      </c>
      <c r="Z247" s="424">
        <f>IF(OR(Z$223&lt;$C247,Z$223&lt;$H$2),0,MIN($E247-SUM($G247:Y247),$F247))</f>
        <v>0</v>
      </c>
      <c r="AA247" s="424">
        <f>IF(OR(AA$223&lt;$C247,AA$223&lt;$H$2),0,MIN($E247-SUM($G247:Z247),$F247))</f>
        <v>0</v>
      </c>
      <c r="AB247" s="424">
        <f>IF(OR(AB$223&lt;$C247,AB$223&lt;$H$2),0,MIN($E247-SUM($G247:AA247),$F247))</f>
        <v>0</v>
      </c>
      <c r="AC247" s="424">
        <f>IF(OR(AC$223&lt;$C247,AC$223&lt;$H$2),0,MIN($E247-SUM($G247:AB247),$F247))</f>
        <v>0</v>
      </c>
      <c r="AD247" s="424">
        <f>IF(OR(AD$223&lt;$C247,AD$223&lt;$H$2),0,MIN($E247-SUM($G247:AC247),$F247))</f>
        <v>0</v>
      </c>
    </row>
    <row r="248" spans="3:30">
      <c r="C248" s="201">
        <v>54075</v>
      </c>
      <c r="D248" s="94" t="s">
        <v>134</v>
      </c>
      <c r="E248" s="424">
        <f t="shared" si="119"/>
        <v>0</v>
      </c>
      <c r="F248" s="209">
        <f t="shared" si="120"/>
        <v>0</v>
      </c>
      <c r="H248" s="424">
        <f>IF(OR(H$223&lt;$C248,H$223&lt;$H$2),0,MIN($E248-SUM($G248:G248),$F248))</f>
        <v>0</v>
      </c>
      <c r="I248" s="424">
        <f>IF(OR(I$223&lt;$C248,I$223&lt;$H$2),0,MIN($E248-SUM($G248:H248),$F248))</f>
        <v>0</v>
      </c>
      <c r="J248" s="424">
        <f>IF(OR(J$223&lt;$C248,J$223&lt;$H$2),0,MIN($E248-SUM($G248:I248),$F248))</f>
        <v>0</v>
      </c>
      <c r="K248" s="424">
        <f>IF(OR(K$223&lt;$C248,K$223&lt;$H$2),0,MIN($E248-SUM($G248:J248),$F248))</f>
        <v>0</v>
      </c>
      <c r="L248" s="424">
        <f>IF(OR(L$223&lt;$C248,L$223&lt;$H$2),0,MIN($E248-SUM($G248:K248),$F248))</f>
        <v>0</v>
      </c>
      <c r="M248" s="424">
        <f>IF(OR(M$223&lt;$C248,M$223&lt;$H$2),0,MIN($E248-SUM($G248:L248),$F248))</f>
        <v>0</v>
      </c>
      <c r="N248" s="424">
        <f>IF(OR(N$223&lt;$C248,N$223&lt;$H$2),0,MIN($E248-SUM($G248:M248),$F248))</f>
        <v>0</v>
      </c>
      <c r="O248" s="424">
        <f>IF(OR(O$223&lt;$C248,O$223&lt;$H$2),0,MIN($E248-SUM($G248:N248),$F248))</f>
        <v>0</v>
      </c>
      <c r="P248" s="424">
        <f>IF(OR(P$223&lt;$C248,P$223&lt;$H$2),0,MIN($E248-SUM($G248:O248),$F248))</f>
        <v>0</v>
      </c>
      <c r="Q248" s="424">
        <f>IF(OR(Q$223&lt;$C248,Q$223&lt;$H$2),0,MIN($E248-SUM($G248:P248),$F248))</f>
        <v>0</v>
      </c>
      <c r="R248" s="424">
        <f>IF(OR(R$223&lt;$C248,R$223&lt;$H$2),0,MIN($E248-SUM($G248:Q248),$F248))</f>
        <v>0</v>
      </c>
      <c r="S248" s="424">
        <f>IF(OR(S$223&lt;$C248,S$223&lt;$H$2),0,MIN($E248-SUM($G248:R248),$F248))</f>
        <v>0</v>
      </c>
      <c r="T248" s="424">
        <f>IF(OR(T$223&lt;$C248,T$223&lt;$H$2),0,MIN($E248-SUM($G248:S248),$F248))</f>
        <v>0</v>
      </c>
      <c r="U248" s="424">
        <f>IF(OR(U$223&lt;$C248,U$223&lt;$H$2),0,MIN($E248-SUM($G248:T248),$F248))</f>
        <v>0</v>
      </c>
      <c r="V248" s="424">
        <f>IF(OR(V$223&lt;$C248,V$223&lt;$H$2),0,MIN($E248-SUM($G248:U248),$F248))</f>
        <v>0</v>
      </c>
      <c r="W248" s="424">
        <f>IF(OR(W$223&lt;$C248,W$223&lt;$H$2),0,MIN($E248-SUM($G248:V248),$F248))</f>
        <v>0</v>
      </c>
      <c r="X248" s="424">
        <f>IF(OR(X$223&lt;$C248,X$223&lt;$H$2),0,MIN($E248-SUM($G248:W248),$F248))</f>
        <v>0</v>
      </c>
      <c r="Y248" s="424">
        <f>IF(OR(Y$223&lt;$C248,Y$223&lt;$H$2),0,MIN($E248-SUM($G248:X248),$F248))</f>
        <v>0</v>
      </c>
      <c r="Z248" s="424">
        <f>IF(OR(Z$223&lt;$C248,Z$223&lt;$H$2),0,MIN($E248-SUM($G248:Y248),$F248))</f>
        <v>0</v>
      </c>
      <c r="AA248" s="424">
        <f>IF(OR(AA$223&lt;$C248,AA$223&lt;$H$2),0,MIN($E248-SUM($G248:Z248),$F248))</f>
        <v>0</v>
      </c>
      <c r="AB248" s="424">
        <f>IF(OR(AB$223&lt;$C248,AB$223&lt;$H$2),0,MIN($E248-SUM($G248:AA248),$F248))</f>
        <v>0</v>
      </c>
      <c r="AC248" s="424">
        <f>IF(OR(AC$223&lt;$C248,AC$223&lt;$H$2),0,MIN($E248-SUM($G248:AB248),$F248))</f>
        <v>0</v>
      </c>
      <c r="AD248" s="424">
        <f>IF(OR(AD$223&lt;$C248,AD$223&lt;$H$2),0,MIN($E248-SUM($G248:AC248),$F248))</f>
        <v>0</v>
      </c>
    </row>
    <row r="249" spans="3:30" ht="14" thickBot="1">
      <c r="C249" s="240" t="s">
        <v>543</v>
      </c>
      <c r="D249" s="348" t="s">
        <v>134</v>
      </c>
      <c r="E249" s="427">
        <f>SUM(E226:E248)</f>
        <v>2033.6480487587789</v>
      </c>
      <c r="F249" s="427">
        <f>SUM(F226:F248)</f>
        <v>88.419480380816466</v>
      </c>
      <c r="G249" s="348"/>
      <c r="H249" s="427">
        <f t="shared" ref="H249:AD249" si="121">SUM(H226:H248)</f>
        <v>0</v>
      </c>
      <c r="I249" s="427">
        <f t="shared" si="121"/>
        <v>6.4244461424086943</v>
      </c>
      <c r="J249" s="427">
        <f t="shared" si="121"/>
        <v>10.707410237347823</v>
      </c>
      <c r="K249" s="427">
        <f t="shared" si="121"/>
        <v>14.990374332286951</v>
      </c>
      <c r="L249" s="427">
        <f t="shared" si="121"/>
        <v>19.159013446458971</v>
      </c>
      <c r="M249" s="427">
        <f t="shared" si="121"/>
        <v>21.692119064227509</v>
      </c>
      <c r="N249" s="427">
        <f t="shared" si="121"/>
        <v>24.90143106849057</v>
      </c>
      <c r="O249" s="427">
        <f t="shared" si="121"/>
        <v>35.296107303626528</v>
      </c>
      <c r="P249" s="427">
        <f t="shared" si="121"/>
        <v>46.401054514236598</v>
      </c>
      <c r="Q249" s="427">
        <f t="shared" si="121"/>
        <v>57.562453684564623</v>
      </c>
      <c r="R249" s="427">
        <f t="shared" si="121"/>
        <v>68.723852854892641</v>
      </c>
      <c r="S249" s="427">
        <f t="shared" si="121"/>
        <v>79.885252025220666</v>
      </c>
      <c r="T249" s="427">
        <f t="shared" si="121"/>
        <v>86.487651060513286</v>
      </c>
      <c r="U249" s="427">
        <f t="shared" si="121"/>
        <v>87.305010620616173</v>
      </c>
      <c r="V249" s="427">
        <f t="shared" si="121"/>
        <v>88.419480380816466</v>
      </c>
      <c r="W249" s="427">
        <f t="shared" si="121"/>
        <v>88.419480380816466</v>
      </c>
      <c r="X249" s="427">
        <f t="shared" si="121"/>
        <v>88.419480380816466</v>
      </c>
      <c r="Y249" s="427">
        <f t="shared" si="121"/>
        <v>88.419480380816466</v>
      </c>
      <c r="Z249" s="427">
        <f t="shared" si="121"/>
        <v>88.419480380816466</v>
      </c>
      <c r="AA249" s="427">
        <f t="shared" si="121"/>
        <v>88.419480380816466</v>
      </c>
      <c r="AB249" s="427">
        <f t="shared" si="121"/>
        <v>88.419480380816466</v>
      </c>
      <c r="AC249" s="427">
        <f t="shared" si="121"/>
        <v>88.419480380816466</v>
      </c>
      <c r="AD249" s="427">
        <f t="shared" si="121"/>
        <v>88.419480380816466</v>
      </c>
    </row>
    <row r="250" spans="3:30" ht="14" thickTop="1"/>
    <row r="251" spans="3:30" ht="28">
      <c r="C251" s="428" t="s">
        <v>166</v>
      </c>
      <c r="D251" s="428" t="s">
        <v>88</v>
      </c>
      <c r="E251" s="428" t="s">
        <v>555</v>
      </c>
      <c r="F251" s="429" t="s">
        <v>556</v>
      </c>
      <c r="G251" s="430"/>
      <c r="H251" s="201">
        <f t="shared" ref="H251:AD251" si="122">H223</f>
        <v>46023</v>
      </c>
      <c r="I251" s="201">
        <f t="shared" si="122"/>
        <v>46389</v>
      </c>
      <c r="J251" s="201">
        <f t="shared" si="122"/>
        <v>46755</v>
      </c>
      <c r="K251" s="201">
        <f t="shared" si="122"/>
        <v>47121</v>
      </c>
      <c r="L251" s="201">
        <f t="shared" si="122"/>
        <v>47487</v>
      </c>
      <c r="M251" s="201">
        <f t="shared" si="122"/>
        <v>47853</v>
      </c>
      <c r="N251" s="201">
        <f t="shared" si="122"/>
        <v>48219</v>
      </c>
      <c r="O251" s="201">
        <f t="shared" si="122"/>
        <v>48585</v>
      </c>
      <c r="P251" s="201">
        <f t="shared" si="122"/>
        <v>48951</v>
      </c>
      <c r="Q251" s="201">
        <f t="shared" si="122"/>
        <v>49317</v>
      </c>
      <c r="R251" s="201">
        <f t="shared" si="122"/>
        <v>49683</v>
      </c>
      <c r="S251" s="201">
        <f t="shared" si="122"/>
        <v>50049</v>
      </c>
      <c r="T251" s="201">
        <f t="shared" si="122"/>
        <v>50415</v>
      </c>
      <c r="U251" s="201">
        <f t="shared" si="122"/>
        <v>50781</v>
      </c>
      <c r="V251" s="201">
        <f t="shared" si="122"/>
        <v>51147</v>
      </c>
      <c r="W251" s="201">
        <f t="shared" si="122"/>
        <v>51513</v>
      </c>
      <c r="X251" s="201">
        <f t="shared" si="122"/>
        <v>51879</v>
      </c>
      <c r="Y251" s="201">
        <f t="shared" si="122"/>
        <v>52245</v>
      </c>
      <c r="Z251" s="201">
        <f t="shared" si="122"/>
        <v>52611</v>
      </c>
      <c r="AA251" s="201">
        <f t="shared" si="122"/>
        <v>52977</v>
      </c>
      <c r="AB251" s="201">
        <f t="shared" si="122"/>
        <v>53343</v>
      </c>
      <c r="AC251" s="201">
        <f t="shared" si="122"/>
        <v>53709</v>
      </c>
      <c r="AD251" s="201">
        <f t="shared" si="122"/>
        <v>54075</v>
      </c>
    </row>
    <row r="252" spans="3:30">
      <c r="C252" s="430"/>
      <c r="D252" s="430"/>
      <c r="E252" s="428" t="s">
        <v>134</v>
      </c>
      <c r="F252" s="428" t="s">
        <v>134</v>
      </c>
      <c r="G252" s="430"/>
      <c r="H252" s="1141">
        <f t="shared" ref="H252:AD252" si="123">H224</f>
        <v>-4</v>
      </c>
      <c r="I252" s="1141">
        <f t="shared" si="123"/>
        <v>-3</v>
      </c>
      <c r="J252" s="1141">
        <f t="shared" si="123"/>
        <v>-2</v>
      </c>
      <c r="K252" s="1141">
        <f t="shared" si="123"/>
        <v>-1</v>
      </c>
      <c r="L252" s="1141">
        <f t="shared" si="123"/>
        <v>1</v>
      </c>
      <c r="M252" s="1141">
        <f t="shared" si="123"/>
        <v>2</v>
      </c>
      <c r="N252" s="1141">
        <f t="shared" si="123"/>
        <v>3</v>
      </c>
      <c r="O252" s="1141">
        <f t="shared" si="123"/>
        <v>4</v>
      </c>
      <c r="P252" s="1141">
        <f t="shared" si="123"/>
        <v>5</v>
      </c>
      <c r="Q252" s="1141">
        <f t="shared" si="123"/>
        <v>6</v>
      </c>
      <c r="R252" s="1141">
        <f t="shared" si="123"/>
        <v>7</v>
      </c>
      <c r="S252" s="1141">
        <f t="shared" si="123"/>
        <v>8</v>
      </c>
      <c r="T252" s="1141">
        <f t="shared" si="123"/>
        <v>9</v>
      </c>
      <c r="U252" s="1141">
        <f t="shared" si="123"/>
        <v>10</v>
      </c>
      <c r="V252" s="1141">
        <f t="shared" si="123"/>
        <v>11</v>
      </c>
      <c r="W252" s="1141">
        <f t="shared" si="123"/>
        <v>12</v>
      </c>
      <c r="X252" s="1141">
        <f t="shared" si="123"/>
        <v>13</v>
      </c>
      <c r="Y252" s="1141">
        <f t="shared" si="123"/>
        <v>14</v>
      </c>
      <c r="Z252" s="1141">
        <f t="shared" si="123"/>
        <v>15</v>
      </c>
      <c r="AA252" s="1141">
        <f t="shared" si="123"/>
        <v>16</v>
      </c>
      <c r="AB252" s="1141">
        <f t="shared" si="123"/>
        <v>17</v>
      </c>
      <c r="AC252" s="1141">
        <f t="shared" si="123"/>
        <v>18</v>
      </c>
      <c r="AD252" s="1141">
        <f t="shared" si="123"/>
        <v>19</v>
      </c>
    </row>
    <row r="253" spans="3:30">
      <c r="C253" s="191" t="str">
        <f>C53</f>
        <v xml:space="preserve">HEMM Equipment </v>
      </c>
    </row>
    <row r="254" spans="3:30">
      <c r="C254" s="201" cm="1">
        <f t="array" ref="C254:C276">TRANSPOSE(H251:AD251)</f>
        <v>46023</v>
      </c>
      <c r="D254" s="94" t="s">
        <v>134</v>
      </c>
      <c r="E254" s="424">
        <f t="shared" ref="E254:E276" si="124">HLOOKUP($C254,$H$39:$AI$112,17,FALSE)</f>
        <v>0</v>
      </c>
      <c r="F254" s="209">
        <f>E254*$F$53</f>
        <v>0</v>
      </c>
      <c r="H254" s="424">
        <f>IF(OR(H$251&lt;$C254,H$251&lt;$H$2),0,MIN($E254-SUM($G254:G254),$F254))</f>
        <v>0</v>
      </c>
      <c r="I254" s="424">
        <f>IF(OR(I$251&lt;$C254,I$251&lt;$H$2),0,MIN($E254-SUM($G254:H254),$F254))</f>
        <v>0</v>
      </c>
      <c r="J254" s="424">
        <f>IF(OR(J$251&lt;$C254,J$251&lt;$H$2),0,MIN($E254-SUM($G254:I254),$F254))</f>
        <v>0</v>
      </c>
      <c r="K254" s="424">
        <f>IF(OR(K$251&lt;$C254,K$251&lt;$H$2),0,MIN($E254-SUM($G254:J254),$F254))</f>
        <v>0</v>
      </c>
      <c r="L254" s="424">
        <f>IF(OR(L$251&lt;$C254,L$251&lt;$H$2),0,MIN($E254-SUM($G254:K254),$F254))</f>
        <v>0</v>
      </c>
      <c r="M254" s="424">
        <f>IF(OR(M$251&lt;$C254,M$251&lt;$H$2),0,MIN($E254-SUM($G254:L254),$F254))</f>
        <v>0</v>
      </c>
      <c r="N254" s="424">
        <f>IF(OR(N$251&lt;$C254,N$251&lt;$H$2),0,MIN($E254-SUM($G254:M254),$F254))</f>
        <v>0</v>
      </c>
      <c r="O254" s="424">
        <f>IF(OR(O$251&lt;$C254,O$251&lt;$H$2),0,MIN($E254-SUM($G254:N254),$F254))</f>
        <v>0</v>
      </c>
      <c r="P254" s="424">
        <f>IF(OR(P$251&lt;$C254,P$251&lt;$H$2),0,MIN($E254-SUM($G254:O254),$F254))</f>
        <v>0</v>
      </c>
      <c r="Q254" s="424">
        <f>IF(OR(Q$251&lt;$C254,Q$251&lt;$H$2),0,MIN($E254-SUM($G254:P254),$F254))</f>
        <v>0</v>
      </c>
      <c r="R254" s="424">
        <f>IF(OR(R$251&lt;$C254,R$251&lt;$H$2),0,MIN($E254-SUM($G254:Q254),$F254))</f>
        <v>0</v>
      </c>
      <c r="S254" s="424">
        <f>IF(OR(S$251&lt;$C254,S$251&lt;$H$2),0,MIN($E254-SUM($G254:R254),$F254))</f>
        <v>0</v>
      </c>
      <c r="T254" s="424">
        <f>IF(OR(T$251&lt;$C254,T$251&lt;$H$2),0,MIN($E254-SUM($G254:S254),$F254))</f>
        <v>0</v>
      </c>
      <c r="U254" s="424">
        <f>IF(OR(U$251&lt;$C254,U$251&lt;$H$2),0,MIN($E254-SUM($G254:T254),$F254))</f>
        <v>0</v>
      </c>
      <c r="V254" s="424">
        <f>IF(OR(V$251&lt;$C254,V$251&lt;$H$2),0,MIN($E254-SUM($G254:U254),$F254))</f>
        <v>0</v>
      </c>
      <c r="W254" s="424">
        <f>IF(OR(W$251&lt;$C254,W$251&lt;$H$2),0,MIN($E254-SUM($G254:V254),$F254))</f>
        <v>0</v>
      </c>
      <c r="X254" s="424">
        <f>IF(OR(X$251&lt;$C254,X$251&lt;$H$2),0,MIN($E254-SUM($G254:W254),$F254))</f>
        <v>0</v>
      </c>
      <c r="Y254" s="424">
        <f>IF(OR(Y$251&lt;$C254,Y$251&lt;$H$2),0,MIN($E254-SUM($G254:X254),$F254))</f>
        <v>0</v>
      </c>
      <c r="Z254" s="424">
        <f>IF(OR(Z$251&lt;$C254,Z$251&lt;$H$2),0,MIN($E254-SUM($G254:Y254),$F254))</f>
        <v>0</v>
      </c>
      <c r="AA254" s="424">
        <f>IF(OR(AA$251&lt;$C254,AA$251&lt;$H$2),0,MIN($E254-SUM($G254:Z254),$F254))</f>
        <v>0</v>
      </c>
      <c r="AB254" s="424">
        <f>IF(OR(AB$251&lt;$C254,AB$251&lt;$H$2),0,MIN($E254-SUM($G254:AA254),$F254))</f>
        <v>0</v>
      </c>
      <c r="AC254" s="424">
        <f>IF(OR(AC$251&lt;$C254,AC$251&lt;$H$2),0,MIN($E254-SUM($G254:AB254),$F254))</f>
        <v>0</v>
      </c>
      <c r="AD254" s="424">
        <f>IF(OR(AD$251&lt;$C254,AD$251&lt;$H$2),0,MIN($E254-SUM($G254:AC254),$F254))</f>
        <v>0</v>
      </c>
    </row>
    <row r="255" spans="3:30">
      <c r="C255" s="201">
        <v>46389</v>
      </c>
      <c r="D255" s="94" t="s">
        <v>134</v>
      </c>
      <c r="E255" s="424">
        <f t="shared" si="124"/>
        <v>0</v>
      </c>
      <c r="F255" s="209">
        <f t="shared" ref="F255:F276" si="125">E255*$F$53</f>
        <v>0</v>
      </c>
      <c r="H255" s="424">
        <f>IF(OR(H$251&lt;$C255,H$251&lt;$H$2),0,MIN($E255-SUM($G255:G255),$F255))</f>
        <v>0</v>
      </c>
      <c r="I255" s="424">
        <f>IF(OR(I$251&lt;$C255,I$251&lt;$H$2),0,MIN($E255-SUM($G255:H255),$F255))</f>
        <v>0</v>
      </c>
      <c r="J255" s="424">
        <f>IF(OR(J$251&lt;$C255,J$251&lt;$H$2),0,MIN($E255-SUM($G255:I255),$F255))</f>
        <v>0</v>
      </c>
      <c r="K255" s="424">
        <f>IF(OR(K$251&lt;$C255,K$251&lt;$H$2),0,MIN($E255-SUM($G255:J255),$F255))</f>
        <v>0</v>
      </c>
      <c r="L255" s="424">
        <f>IF(OR(L$251&lt;$C255,L$251&lt;$H$2),0,MIN($E255-SUM($G255:K255),$F255))</f>
        <v>0</v>
      </c>
      <c r="M255" s="424">
        <f>IF(OR(M$251&lt;$C255,M$251&lt;$H$2),0,MIN($E255-SUM($G255:L255),$F255))</f>
        <v>0</v>
      </c>
      <c r="N255" s="424">
        <f>IF(OR(N$251&lt;$C255,N$251&lt;$H$2),0,MIN($E255-SUM($G255:M255),$F255))</f>
        <v>0</v>
      </c>
      <c r="O255" s="424">
        <f>IF(OR(O$251&lt;$C255,O$251&lt;$H$2),0,MIN($E255-SUM($G255:N255),$F255))</f>
        <v>0</v>
      </c>
      <c r="P255" s="424">
        <f>IF(OR(P$251&lt;$C255,P$251&lt;$H$2),0,MIN($E255-SUM($G255:O255),$F255))</f>
        <v>0</v>
      </c>
      <c r="Q255" s="424">
        <f>IF(OR(Q$251&lt;$C255,Q$251&lt;$H$2),0,MIN($E255-SUM($G255:P255),$F255))</f>
        <v>0</v>
      </c>
      <c r="R255" s="424">
        <f>IF(OR(R$251&lt;$C255,R$251&lt;$H$2),0,MIN($E255-SUM($G255:Q255),$F255))</f>
        <v>0</v>
      </c>
      <c r="S255" s="424">
        <f>IF(OR(S$251&lt;$C255,S$251&lt;$H$2),0,MIN($E255-SUM($G255:R255),$F255))</f>
        <v>0</v>
      </c>
      <c r="T255" s="424">
        <f>IF(OR(T$251&lt;$C255,T$251&lt;$H$2),0,MIN($E255-SUM($G255:S255),$F255))</f>
        <v>0</v>
      </c>
      <c r="U255" s="424">
        <f>IF(OR(U$251&lt;$C255,U$251&lt;$H$2),0,MIN($E255-SUM($G255:T255),$F255))</f>
        <v>0</v>
      </c>
      <c r="V255" s="424">
        <f>IF(OR(V$251&lt;$C255,V$251&lt;$H$2),0,MIN($E255-SUM($G255:U255),$F255))</f>
        <v>0</v>
      </c>
      <c r="W255" s="424">
        <f>IF(OR(W$251&lt;$C255,W$251&lt;$H$2),0,MIN($E255-SUM($G255:V255),$F255))</f>
        <v>0</v>
      </c>
      <c r="X255" s="424">
        <f>IF(OR(X$251&lt;$C255,X$251&lt;$H$2),0,MIN($E255-SUM($G255:W255),$F255))</f>
        <v>0</v>
      </c>
      <c r="Y255" s="424">
        <f>IF(OR(Y$251&lt;$C255,Y$251&lt;$H$2),0,MIN($E255-SUM($G255:X255),$F255))</f>
        <v>0</v>
      </c>
      <c r="Z255" s="424">
        <f>IF(OR(Z$251&lt;$C255,Z$251&lt;$H$2),0,MIN($E255-SUM($G255:Y255),$F255))</f>
        <v>0</v>
      </c>
      <c r="AA255" s="424">
        <f>IF(OR(AA$251&lt;$C255,AA$251&lt;$H$2),0,MIN($E255-SUM($G255:Z255),$F255))</f>
        <v>0</v>
      </c>
      <c r="AB255" s="424">
        <f>IF(OR(AB$251&lt;$C255,AB$251&lt;$H$2),0,MIN($E255-SUM($G255:AA255),$F255))</f>
        <v>0</v>
      </c>
      <c r="AC255" s="424">
        <f>IF(OR(AC$251&lt;$C255,AC$251&lt;$H$2),0,MIN($E255-SUM($G255:AB255),$F255))</f>
        <v>0</v>
      </c>
      <c r="AD255" s="424">
        <f>IF(OR(AD$251&lt;$C255,AD$251&lt;$H$2),0,MIN($E255-SUM($G255:AC255),$F255))</f>
        <v>0</v>
      </c>
    </row>
    <row r="256" spans="3:30">
      <c r="C256" s="201">
        <v>46755</v>
      </c>
      <c r="D256" s="94" t="s">
        <v>134</v>
      </c>
      <c r="E256" s="424">
        <f t="shared" si="124"/>
        <v>0</v>
      </c>
      <c r="F256" s="209">
        <f t="shared" si="125"/>
        <v>0</v>
      </c>
      <c r="H256" s="424">
        <f>IF(OR(H$251&lt;$C256,H$251&lt;$H$2),0,MIN($E256-SUM($G256:G256),$F256))</f>
        <v>0</v>
      </c>
      <c r="I256" s="424">
        <f>IF(OR(I$251&lt;$C256,I$251&lt;$H$2),0,MIN($E256-SUM($G256:H256),$F256))</f>
        <v>0</v>
      </c>
      <c r="J256" s="424">
        <f>IF(OR(J$251&lt;$C256,J$251&lt;$H$2),0,MIN($E256-SUM($G256:I256),$F256))</f>
        <v>0</v>
      </c>
      <c r="K256" s="424">
        <f>IF(OR(K$251&lt;$C256,K$251&lt;$H$2),0,MIN($E256-SUM($G256:J256),$F256))</f>
        <v>0</v>
      </c>
      <c r="L256" s="424">
        <f>IF(OR(L$251&lt;$C256,L$251&lt;$H$2),0,MIN($E256-SUM($G256:K256),$F256))</f>
        <v>0</v>
      </c>
      <c r="M256" s="424">
        <f>IF(OR(M$251&lt;$C256,M$251&lt;$H$2),0,MIN($E256-SUM($G256:L256),$F256))</f>
        <v>0</v>
      </c>
      <c r="N256" s="424">
        <f>IF(OR(N$251&lt;$C256,N$251&lt;$H$2),0,MIN($E256-SUM($G256:M256),$F256))</f>
        <v>0</v>
      </c>
      <c r="O256" s="424">
        <f>IF(OR(O$251&lt;$C256,O$251&lt;$H$2),0,MIN($E256-SUM($G256:N256),$F256))</f>
        <v>0</v>
      </c>
      <c r="P256" s="424">
        <f>IF(OR(P$251&lt;$C256,P$251&lt;$H$2),0,MIN($E256-SUM($G256:O256),$F256))</f>
        <v>0</v>
      </c>
      <c r="Q256" s="424">
        <f>IF(OR(Q$251&lt;$C256,Q$251&lt;$H$2),0,MIN($E256-SUM($G256:P256),$F256))</f>
        <v>0</v>
      </c>
      <c r="R256" s="424">
        <f>IF(OR(R$251&lt;$C256,R$251&lt;$H$2),0,MIN($E256-SUM($G256:Q256),$F256))</f>
        <v>0</v>
      </c>
      <c r="S256" s="424">
        <f>IF(OR(S$251&lt;$C256,S$251&lt;$H$2),0,MIN($E256-SUM($G256:R256),$F256))</f>
        <v>0</v>
      </c>
      <c r="T256" s="424">
        <f>IF(OR(T$251&lt;$C256,T$251&lt;$H$2),0,MIN($E256-SUM($G256:S256),$F256))</f>
        <v>0</v>
      </c>
      <c r="U256" s="424">
        <f>IF(OR(U$251&lt;$C256,U$251&lt;$H$2),0,MIN($E256-SUM($G256:T256),$F256))</f>
        <v>0</v>
      </c>
      <c r="V256" s="424">
        <f>IF(OR(V$251&lt;$C256,V$251&lt;$H$2),0,MIN($E256-SUM($G256:U256),$F256))</f>
        <v>0</v>
      </c>
      <c r="W256" s="424">
        <f>IF(OR(W$251&lt;$C256,W$251&lt;$H$2),0,MIN($E256-SUM($G256:V256),$F256))</f>
        <v>0</v>
      </c>
      <c r="X256" s="424">
        <f>IF(OR(X$251&lt;$C256,X$251&lt;$H$2),0,MIN($E256-SUM($G256:W256),$F256))</f>
        <v>0</v>
      </c>
      <c r="Y256" s="424">
        <f>IF(OR(Y$251&lt;$C256,Y$251&lt;$H$2),0,MIN($E256-SUM($G256:X256),$F256))</f>
        <v>0</v>
      </c>
      <c r="Z256" s="424">
        <f>IF(OR(Z$251&lt;$C256,Z$251&lt;$H$2),0,MIN($E256-SUM($G256:Y256),$F256))</f>
        <v>0</v>
      </c>
      <c r="AA256" s="424">
        <f>IF(OR(AA$251&lt;$C256,AA$251&lt;$H$2),0,MIN($E256-SUM($G256:Z256),$F256))</f>
        <v>0</v>
      </c>
      <c r="AB256" s="424">
        <f>IF(OR(AB$251&lt;$C256,AB$251&lt;$H$2),0,MIN($E256-SUM($G256:AA256),$F256))</f>
        <v>0</v>
      </c>
      <c r="AC256" s="424">
        <f>IF(OR(AC$251&lt;$C256,AC$251&lt;$H$2),0,MIN($E256-SUM($G256:AB256),$F256))</f>
        <v>0</v>
      </c>
      <c r="AD256" s="424">
        <f>IF(OR(AD$251&lt;$C256,AD$251&lt;$H$2),0,MIN($E256-SUM($G256:AC256),$F256))</f>
        <v>0</v>
      </c>
    </row>
    <row r="257" spans="3:30">
      <c r="C257" s="201">
        <v>47121</v>
      </c>
      <c r="D257" s="94" t="s">
        <v>134</v>
      </c>
      <c r="E257" s="424">
        <f t="shared" si="124"/>
        <v>0</v>
      </c>
      <c r="F257" s="209">
        <f t="shared" si="125"/>
        <v>0</v>
      </c>
      <c r="H257" s="424">
        <f>IF(OR(H$251&lt;$C257,H$251&lt;$H$2),0,MIN($E257-SUM($G257:G257),$F257))</f>
        <v>0</v>
      </c>
      <c r="I257" s="424">
        <f>IF(OR(I$251&lt;$C257,I$251&lt;$H$2),0,MIN($E257-SUM($G257:H257),$F257))</f>
        <v>0</v>
      </c>
      <c r="J257" s="424">
        <f>IF(OR(J$251&lt;$C257,J$251&lt;$H$2),0,MIN($E257-SUM($G257:I257),$F257))</f>
        <v>0</v>
      </c>
      <c r="K257" s="424">
        <f>IF(OR(K$251&lt;$C257,K$251&lt;$H$2),0,MIN($E257-SUM($G257:J257),$F257))</f>
        <v>0</v>
      </c>
      <c r="L257" s="424">
        <f>IF(OR(L$251&lt;$C257,L$251&lt;$H$2),0,MIN($E257-SUM($G257:K257),$F257))</f>
        <v>0</v>
      </c>
      <c r="M257" s="424">
        <f>IF(OR(M$251&lt;$C257,M$251&lt;$H$2),0,MIN($E257-SUM($G257:L257),$F257))</f>
        <v>0</v>
      </c>
      <c r="N257" s="424">
        <f>IF(OR(N$251&lt;$C257,N$251&lt;$H$2),0,MIN($E257-SUM($G257:M257),$F257))</f>
        <v>0</v>
      </c>
      <c r="O257" s="424">
        <f>IF(OR(O$251&lt;$C257,O$251&lt;$H$2),0,MIN($E257-SUM($G257:N257),$F257))</f>
        <v>0</v>
      </c>
      <c r="P257" s="424">
        <f>IF(OR(P$251&lt;$C257,P$251&lt;$H$2),0,MIN($E257-SUM($G257:O257),$F257))</f>
        <v>0</v>
      </c>
      <c r="Q257" s="424">
        <f>IF(OR(Q$251&lt;$C257,Q$251&lt;$H$2),0,MIN($E257-SUM($G257:P257),$F257))</f>
        <v>0</v>
      </c>
      <c r="R257" s="424">
        <f>IF(OR(R$251&lt;$C257,R$251&lt;$H$2),0,MIN($E257-SUM($G257:Q257),$F257))</f>
        <v>0</v>
      </c>
      <c r="S257" s="424">
        <f>IF(OR(S$251&lt;$C257,S$251&lt;$H$2),0,MIN($E257-SUM($G257:R257),$F257))</f>
        <v>0</v>
      </c>
      <c r="T257" s="424">
        <f>IF(OR(T$251&lt;$C257,T$251&lt;$H$2),0,MIN($E257-SUM($G257:S257),$F257))</f>
        <v>0</v>
      </c>
      <c r="U257" s="424">
        <f>IF(OR(U$251&lt;$C257,U$251&lt;$H$2),0,MIN($E257-SUM($G257:T257),$F257))</f>
        <v>0</v>
      </c>
      <c r="V257" s="424">
        <f>IF(OR(V$251&lt;$C257,V$251&lt;$H$2),0,MIN($E257-SUM($G257:U257),$F257))</f>
        <v>0</v>
      </c>
      <c r="W257" s="424">
        <f>IF(OR(W$251&lt;$C257,W$251&lt;$H$2),0,MIN($E257-SUM($G257:V257),$F257))</f>
        <v>0</v>
      </c>
      <c r="X257" s="424">
        <f>IF(OR(X$251&lt;$C257,X$251&lt;$H$2),0,MIN($E257-SUM($G257:W257),$F257))</f>
        <v>0</v>
      </c>
      <c r="Y257" s="424">
        <f>IF(OR(Y$251&lt;$C257,Y$251&lt;$H$2),0,MIN($E257-SUM($G257:X257),$F257))</f>
        <v>0</v>
      </c>
      <c r="Z257" s="424">
        <f>IF(OR(Z$251&lt;$C257,Z$251&lt;$H$2),0,MIN($E257-SUM($G257:Y257),$F257))</f>
        <v>0</v>
      </c>
      <c r="AA257" s="424">
        <f>IF(OR(AA$251&lt;$C257,AA$251&lt;$H$2),0,MIN($E257-SUM($G257:Z257),$F257))</f>
        <v>0</v>
      </c>
      <c r="AB257" s="424">
        <f>IF(OR(AB$251&lt;$C257,AB$251&lt;$H$2),0,MIN($E257-SUM($G257:AA257),$F257))</f>
        <v>0</v>
      </c>
      <c r="AC257" s="424">
        <f>IF(OR(AC$251&lt;$C257,AC$251&lt;$H$2),0,MIN($E257-SUM($G257:AB257),$F257))</f>
        <v>0</v>
      </c>
      <c r="AD257" s="424">
        <f>IF(OR(AD$251&lt;$C257,AD$251&lt;$H$2),0,MIN($E257-SUM($G257:AC257),$F257))</f>
        <v>0</v>
      </c>
    </row>
    <row r="258" spans="3:30">
      <c r="C258" s="201">
        <v>47487</v>
      </c>
      <c r="D258" s="94" t="s">
        <v>134</v>
      </c>
      <c r="E258" s="424">
        <f t="shared" si="124"/>
        <v>134.12607857747673</v>
      </c>
      <c r="F258" s="209">
        <f t="shared" si="125"/>
        <v>15.934178135004236</v>
      </c>
      <c r="H258" s="424">
        <f>IF(OR(H$251&lt;$C258,H$251&lt;$H$2),0,MIN($E258-SUM($G258:G258),$F258))</f>
        <v>0</v>
      </c>
      <c r="I258" s="424">
        <f>IF(OR(I$251&lt;$C258,I$251&lt;$H$2),0,MIN($E258-SUM($G258:H258),$F258))</f>
        <v>0</v>
      </c>
      <c r="J258" s="424">
        <f>IF(OR(J$251&lt;$C258,J$251&lt;$H$2),0,MIN($E258-SUM($G258:I258),$F258))</f>
        <v>0</v>
      </c>
      <c r="K258" s="424">
        <f>IF(OR(K$251&lt;$C258,K$251&lt;$H$2),0,MIN($E258-SUM($G258:J258),$F258))</f>
        <v>0</v>
      </c>
      <c r="L258" s="424">
        <f>IF(OR(L$251&lt;$C258,L$251&lt;$H$2),0,MIN($E258-SUM($G258:K258),$F258))</f>
        <v>15.934178135004236</v>
      </c>
      <c r="M258" s="424">
        <f>IF(OR(M$251&lt;$C258,M$251&lt;$H$2),0,MIN($E258-SUM($G258:L258),$F258))</f>
        <v>15.934178135004236</v>
      </c>
      <c r="N258" s="424">
        <f>IF(OR(N$251&lt;$C258,N$251&lt;$H$2),0,MIN($E258-SUM($G258:M258),$F258))</f>
        <v>15.934178135004236</v>
      </c>
      <c r="O258" s="424">
        <f>IF(OR(O$251&lt;$C258,O$251&lt;$H$2),0,MIN($E258-SUM($G258:N258),$F258))</f>
        <v>15.934178135004236</v>
      </c>
      <c r="P258" s="424">
        <f>IF(OR(P$251&lt;$C258,P$251&lt;$H$2),0,MIN($E258-SUM($G258:O258),$F258))</f>
        <v>15.934178135004236</v>
      </c>
      <c r="Q258" s="424">
        <f>IF(OR(Q$251&lt;$C258,Q$251&lt;$H$2),0,MIN($E258-SUM($G258:P258),$F258))</f>
        <v>15.934178135004236</v>
      </c>
      <c r="R258" s="424">
        <f>IF(OR(R$251&lt;$C258,R$251&lt;$H$2),0,MIN($E258-SUM($G258:Q258),$F258))</f>
        <v>15.934178135004236</v>
      </c>
      <c r="S258" s="424">
        <f>IF(OR(S$251&lt;$C258,S$251&lt;$H$2),0,MIN($E258-SUM($G258:R258),$F258))</f>
        <v>15.934178135004236</v>
      </c>
      <c r="T258" s="424">
        <f>IF(OR(T$251&lt;$C258,T$251&lt;$H$2),0,MIN($E258-SUM($G258:S258),$F258))</f>
        <v>6.6526534974428557</v>
      </c>
      <c r="U258" s="424">
        <f>IF(OR(U$251&lt;$C258,U$251&lt;$H$2),0,MIN($E258-SUM($G258:T258),$F258))</f>
        <v>0</v>
      </c>
      <c r="V258" s="424">
        <f>IF(OR(V$251&lt;$C258,V$251&lt;$H$2),0,MIN($E258-SUM($G258:U258),$F258))</f>
        <v>0</v>
      </c>
      <c r="W258" s="424">
        <f>IF(OR(W$251&lt;$C258,W$251&lt;$H$2),0,MIN($E258-SUM($G258:V258),$F258))</f>
        <v>0</v>
      </c>
      <c r="X258" s="424">
        <f>IF(OR(X$251&lt;$C258,X$251&lt;$H$2),0,MIN($E258-SUM($G258:W258),$F258))</f>
        <v>0</v>
      </c>
      <c r="Y258" s="424">
        <f>IF(OR(Y$251&lt;$C258,Y$251&lt;$H$2),0,MIN($E258-SUM($G258:X258),$F258))</f>
        <v>0</v>
      </c>
      <c r="Z258" s="424">
        <f>IF(OR(Z$251&lt;$C258,Z$251&lt;$H$2),0,MIN($E258-SUM($G258:Y258),$F258))</f>
        <v>0</v>
      </c>
      <c r="AA258" s="424">
        <f>IF(OR(AA$251&lt;$C258,AA$251&lt;$H$2),0,MIN($E258-SUM($G258:Z258),$F258))</f>
        <v>0</v>
      </c>
      <c r="AB258" s="424">
        <f>IF(OR(AB$251&lt;$C258,AB$251&lt;$H$2),0,MIN($E258-SUM($G258:AA258),$F258))</f>
        <v>0</v>
      </c>
      <c r="AC258" s="424">
        <f>IF(OR(AC$251&lt;$C258,AC$251&lt;$H$2),0,MIN($E258-SUM($G258:AB258),$F258))</f>
        <v>0</v>
      </c>
      <c r="AD258" s="424">
        <f>IF(OR(AD$251&lt;$C258,AD$251&lt;$H$2),0,MIN($E258-SUM($G258:AC258),$F258))</f>
        <v>0</v>
      </c>
    </row>
    <row r="259" spans="3:30">
      <c r="C259" s="201">
        <v>47853</v>
      </c>
      <c r="D259" s="94" t="s">
        <v>134</v>
      </c>
      <c r="E259" s="424">
        <f t="shared" si="124"/>
        <v>14.8766</v>
      </c>
      <c r="F259" s="209">
        <f t="shared" si="125"/>
        <v>1.7673400800000001</v>
      </c>
      <c r="H259" s="424">
        <f>IF(OR(H$251&lt;$C259,H$251&lt;$H$2),0,MIN($E259-SUM($G259:G259),$F259))</f>
        <v>0</v>
      </c>
      <c r="I259" s="424">
        <f>IF(OR(I$251&lt;$C259,I$251&lt;$H$2),0,MIN($E259-SUM($G259:H259),$F259))</f>
        <v>0</v>
      </c>
      <c r="J259" s="424">
        <f>IF(OR(J$251&lt;$C259,J$251&lt;$H$2),0,MIN($E259-SUM($G259:I259),$F259))</f>
        <v>0</v>
      </c>
      <c r="K259" s="424">
        <f>IF(OR(K$251&lt;$C259,K$251&lt;$H$2),0,MIN($E259-SUM($G259:J259),$F259))</f>
        <v>0</v>
      </c>
      <c r="L259" s="424">
        <f>IF(OR(L$251&lt;$C259,L$251&lt;$H$2),0,MIN($E259-SUM($G259:K259),$F259))</f>
        <v>0</v>
      </c>
      <c r="M259" s="424">
        <f>IF(OR(M$251&lt;$C259,M$251&lt;$H$2),0,MIN($E259-SUM($G259:L259),$F259))</f>
        <v>1.7673400800000001</v>
      </c>
      <c r="N259" s="424">
        <f>IF(OR(N$251&lt;$C259,N$251&lt;$H$2),0,MIN($E259-SUM($G259:M259),$F259))</f>
        <v>1.7673400800000001</v>
      </c>
      <c r="O259" s="424">
        <f>IF(OR(O$251&lt;$C259,O$251&lt;$H$2),0,MIN($E259-SUM($G259:N259),$F259))</f>
        <v>1.7673400800000001</v>
      </c>
      <c r="P259" s="424">
        <f>IF(OR(P$251&lt;$C259,P$251&lt;$H$2),0,MIN($E259-SUM($G259:O259),$F259))</f>
        <v>1.7673400800000001</v>
      </c>
      <c r="Q259" s="424">
        <f>IF(OR(Q$251&lt;$C259,Q$251&lt;$H$2),0,MIN($E259-SUM($G259:P259),$F259))</f>
        <v>1.7673400800000001</v>
      </c>
      <c r="R259" s="424">
        <f>IF(OR(R$251&lt;$C259,R$251&lt;$H$2),0,MIN($E259-SUM($G259:Q259),$F259))</f>
        <v>1.7673400800000001</v>
      </c>
      <c r="S259" s="424">
        <f>IF(OR(S$251&lt;$C259,S$251&lt;$H$2),0,MIN($E259-SUM($G259:R259),$F259))</f>
        <v>1.7673400800000001</v>
      </c>
      <c r="T259" s="424">
        <f>IF(OR(T$251&lt;$C259,T$251&lt;$H$2),0,MIN($E259-SUM($G259:S259),$F259))</f>
        <v>1.7673400800000001</v>
      </c>
      <c r="U259" s="424">
        <f>IF(OR(U$251&lt;$C259,U$251&lt;$H$2),0,MIN($E259-SUM($G259:T259),$F259))</f>
        <v>0.7378793599999991</v>
      </c>
      <c r="V259" s="424">
        <f>IF(OR(V$251&lt;$C259,V$251&lt;$H$2),0,MIN($E259-SUM($G259:U259),$F259))</f>
        <v>0</v>
      </c>
      <c r="W259" s="424">
        <f>IF(OR(W$251&lt;$C259,W$251&lt;$H$2),0,MIN($E259-SUM($G259:V259),$F259))</f>
        <v>0</v>
      </c>
      <c r="X259" s="424">
        <f>IF(OR(X$251&lt;$C259,X$251&lt;$H$2),0,MIN($E259-SUM($G259:W259),$F259))</f>
        <v>0</v>
      </c>
      <c r="Y259" s="424">
        <f>IF(OR(Y$251&lt;$C259,Y$251&lt;$H$2),0,MIN($E259-SUM($G259:X259),$F259))</f>
        <v>0</v>
      </c>
      <c r="Z259" s="424">
        <f>IF(OR(Z$251&lt;$C259,Z$251&lt;$H$2),0,MIN($E259-SUM($G259:Y259),$F259))</f>
        <v>0</v>
      </c>
      <c r="AA259" s="424">
        <f>IF(OR(AA$251&lt;$C259,AA$251&lt;$H$2),0,MIN($E259-SUM($G259:Z259),$F259))</f>
        <v>0</v>
      </c>
      <c r="AB259" s="424">
        <f>IF(OR(AB$251&lt;$C259,AB$251&lt;$H$2),0,MIN($E259-SUM($G259:AA259),$F259))</f>
        <v>0</v>
      </c>
      <c r="AC259" s="424">
        <f>IF(OR(AC$251&lt;$C259,AC$251&lt;$H$2),0,MIN($E259-SUM($G259:AB259),$F259))</f>
        <v>0</v>
      </c>
      <c r="AD259" s="424">
        <f>IF(OR(AD$251&lt;$C259,AD$251&lt;$H$2),0,MIN($E259-SUM($G259:AC259),$F259))</f>
        <v>0</v>
      </c>
    </row>
    <row r="260" spans="3:30">
      <c r="C260" s="201">
        <v>48219</v>
      </c>
      <c r="D260" s="94" t="s">
        <v>134</v>
      </c>
      <c r="E260" s="424">
        <f t="shared" si="124"/>
        <v>108.86267857747673</v>
      </c>
      <c r="F260" s="209">
        <f t="shared" si="125"/>
        <v>12.932886215004237</v>
      </c>
      <c r="H260" s="424">
        <f>IF(OR(H$251&lt;$C260,H$251&lt;$H$2),0,MIN($E260-SUM($G260:G260),$F260))</f>
        <v>0</v>
      </c>
      <c r="I260" s="424">
        <f>IF(OR(I$251&lt;$C260,I$251&lt;$H$2),0,MIN($E260-SUM($G260:H260),$F260))</f>
        <v>0</v>
      </c>
      <c r="J260" s="424">
        <f>IF(OR(J$251&lt;$C260,J$251&lt;$H$2),0,MIN($E260-SUM($G260:I260),$F260))</f>
        <v>0</v>
      </c>
      <c r="K260" s="424">
        <f>IF(OR(K$251&lt;$C260,K$251&lt;$H$2),0,MIN($E260-SUM($G260:J260),$F260))</f>
        <v>0</v>
      </c>
      <c r="L260" s="424">
        <f>IF(OR(L$251&lt;$C260,L$251&lt;$H$2),0,MIN($E260-SUM($G260:K260),$F260))</f>
        <v>0</v>
      </c>
      <c r="M260" s="424">
        <f>IF(OR(M$251&lt;$C260,M$251&lt;$H$2),0,MIN($E260-SUM($G260:L260),$F260))</f>
        <v>0</v>
      </c>
      <c r="N260" s="424">
        <f>IF(OR(N$251&lt;$C260,N$251&lt;$H$2),0,MIN($E260-SUM($G260:M260),$F260))</f>
        <v>12.932886215004237</v>
      </c>
      <c r="O260" s="424">
        <f>IF(OR(O$251&lt;$C260,O$251&lt;$H$2),0,MIN($E260-SUM($G260:N260),$F260))</f>
        <v>12.932886215004237</v>
      </c>
      <c r="P260" s="424">
        <f>IF(OR(P$251&lt;$C260,P$251&lt;$H$2),0,MIN($E260-SUM($G260:O260),$F260))</f>
        <v>12.932886215004237</v>
      </c>
      <c r="Q260" s="424">
        <f>IF(OR(Q$251&lt;$C260,Q$251&lt;$H$2),0,MIN($E260-SUM($G260:P260),$F260))</f>
        <v>12.932886215004237</v>
      </c>
      <c r="R260" s="424">
        <f>IF(OR(R$251&lt;$C260,R$251&lt;$H$2),0,MIN($E260-SUM($G260:Q260),$F260))</f>
        <v>12.932886215004237</v>
      </c>
      <c r="S260" s="424">
        <f>IF(OR(S$251&lt;$C260,S$251&lt;$H$2),0,MIN($E260-SUM($G260:R260),$F260))</f>
        <v>12.932886215004237</v>
      </c>
      <c r="T260" s="424">
        <f>IF(OR(T$251&lt;$C260,T$251&lt;$H$2),0,MIN($E260-SUM($G260:S260),$F260))</f>
        <v>12.932886215004237</v>
      </c>
      <c r="U260" s="424">
        <f>IF(OR(U$251&lt;$C260,U$251&lt;$H$2),0,MIN($E260-SUM($G260:T260),$F260))</f>
        <v>12.932886215004237</v>
      </c>
      <c r="V260" s="424">
        <f>IF(OR(V$251&lt;$C260,V$251&lt;$H$2),0,MIN($E260-SUM($G260:U260),$F260))</f>
        <v>5.3995888574428506</v>
      </c>
      <c r="W260" s="424">
        <f>IF(OR(W$251&lt;$C260,W$251&lt;$H$2),0,MIN($E260-SUM($G260:V260),$F260))</f>
        <v>0</v>
      </c>
      <c r="X260" s="424">
        <f>IF(OR(X$251&lt;$C260,X$251&lt;$H$2),0,MIN($E260-SUM($G260:W260),$F260))</f>
        <v>0</v>
      </c>
      <c r="Y260" s="424">
        <f>IF(OR(Y$251&lt;$C260,Y$251&lt;$H$2),0,MIN($E260-SUM($G260:X260),$F260))</f>
        <v>0</v>
      </c>
      <c r="Z260" s="424">
        <f>IF(OR(Z$251&lt;$C260,Z$251&lt;$H$2),0,MIN($E260-SUM($G260:Y260),$F260))</f>
        <v>0</v>
      </c>
      <c r="AA260" s="424">
        <f>IF(OR(AA$251&lt;$C260,AA$251&lt;$H$2),0,MIN($E260-SUM($G260:Z260),$F260))</f>
        <v>0</v>
      </c>
      <c r="AB260" s="424">
        <f>IF(OR(AB$251&lt;$C260,AB$251&lt;$H$2),0,MIN($E260-SUM($G260:AA260),$F260))</f>
        <v>0</v>
      </c>
      <c r="AC260" s="424">
        <f>IF(OR(AC$251&lt;$C260,AC$251&lt;$H$2),0,MIN($E260-SUM($G260:AB260),$F260))</f>
        <v>0</v>
      </c>
      <c r="AD260" s="424">
        <f>IF(OR(AD$251&lt;$C260,AD$251&lt;$H$2),0,MIN($E260-SUM($G260:AC260),$F260))</f>
        <v>0</v>
      </c>
    </row>
    <row r="261" spans="3:30">
      <c r="C261" s="201">
        <v>48585</v>
      </c>
      <c r="D261" s="94" t="s">
        <v>134</v>
      </c>
      <c r="E261" s="424">
        <f t="shared" si="124"/>
        <v>272.02312799999999</v>
      </c>
      <c r="F261" s="209">
        <f t="shared" si="125"/>
        <v>32.316347606400001</v>
      </c>
      <c r="H261" s="424">
        <f>IF(OR(H$251&lt;$C261,H$251&lt;$H$2),0,MIN($E261-SUM($G261:G261),$F261))</f>
        <v>0</v>
      </c>
      <c r="I261" s="424">
        <f>IF(OR(I$251&lt;$C261,I$251&lt;$H$2),0,MIN($E261-SUM($G261:H261),$F261))</f>
        <v>0</v>
      </c>
      <c r="J261" s="424">
        <f>IF(OR(J$251&lt;$C261,J$251&lt;$H$2),0,MIN($E261-SUM($G261:I261),$F261))</f>
        <v>0</v>
      </c>
      <c r="K261" s="424">
        <f>IF(OR(K$251&lt;$C261,K$251&lt;$H$2),0,MIN($E261-SUM($G261:J261),$F261))</f>
        <v>0</v>
      </c>
      <c r="L261" s="424">
        <f>IF(OR(L$251&lt;$C261,L$251&lt;$H$2),0,MIN($E261-SUM($G261:K261),$F261))</f>
        <v>0</v>
      </c>
      <c r="M261" s="424">
        <f>IF(OR(M$251&lt;$C261,M$251&lt;$H$2),0,MIN($E261-SUM($G261:L261),$F261))</f>
        <v>0</v>
      </c>
      <c r="N261" s="424">
        <f>IF(OR(N$251&lt;$C261,N$251&lt;$H$2),0,MIN($E261-SUM($G261:M261),$F261))</f>
        <v>0</v>
      </c>
      <c r="O261" s="424">
        <f>IF(OR(O$251&lt;$C261,O$251&lt;$H$2),0,MIN($E261-SUM($G261:N261),$F261))</f>
        <v>32.316347606400001</v>
      </c>
      <c r="P261" s="424">
        <f>IF(OR(P$251&lt;$C261,P$251&lt;$H$2),0,MIN($E261-SUM($G261:O261),$F261))</f>
        <v>32.316347606400001</v>
      </c>
      <c r="Q261" s="424">
        <f>IF(OR(Q$251&lt;$C261,Q$251&lt;$H$2),0,MIN($E261-SUM($G261:P261),$F261))</f>
        <v>32.316347606400001</v>
      </c>
      <c r="R261" s="424">
        <f>IF(OR(R$251&lt;$C261,R$251&lt;$H$2),0,MIN($E261-SUM($G261:Q261),$F261))</f>
        <v>32.316347606400001</v>
      </c>
      <c r="S261" s="424">
        <f>IF(OR(S$251&lt;$C261,S$251&lt;$H$2),0,MIN($E261-SUM($G261:R261),$F261))</f>
        <v>32.316347606400001</v>
      </c>
      <c r="T261" s="424">
        <f>IF(OR(T$251&lt;$C261,T$251&lt;$H$2),0,MIN($E261-SUM($G261:S261),$F261))</f>
        <v>32.316347606400001</v>
      </c>
      <c r="U261" s="424">
        <f>IF(OR(U$251&lt;$C261,U$251&lt;$H$2),0,MIN($E261-SUM($G261:T261),$F261))</f>
        <v>32.316347606400001</v>
      </c>
      <c r="V261" s="424">
        <f>IF(OR(V$251&lt;$C261,V$251&lt;$H$2),0,MIN($E261-SUM($G261:U261),$F261))</f>
        <v>32.316347606400001</v>
      </c>
      <c r="W261" s="424">
        <f>IF(OR(W$251&lt;$C261,W$251&lt;$H$2),0,MIN($E261-SUM($G261:V261),$F261))</f>
        <v>13.492347148799979</v>
      </c>
      <c r="X261" s="424">
        <f>IF(OR(X$251&lt;$C261,X$251&lt;$H$2),0,MIN($E261-SUM($G261:W261),$F261))</f>
        <v>0</v>
      </c>
      <c r="Y261" s="424">
        <f>IF(OR(Y$251&lt;$C261,Y$251&lt;$H$2),0,MIN($E261-SUM($G261:X261),$F261))</f>
        <v>0</v>
      </c>
      <c r="Z261" s="424">
        <f>IF(OR(Z$251&lt;$C261,Z$251&lt;$H$2),0,MIN($E261-SUM($G261:Y261),$F261))</f>
        <v>0</v>
      </c>
      <c r="AA261" s="424">
        <f>IF(OR(AA$251&lt;$C261,AA$251&lt;$H$2),0,MIN($E261-SUM($G261:Z261),$F261))</f>
        <v>0</v>
      </c>
      <c r="AB261" s="424">
        <f>IF(OR(AB$251&lt;$C261,AB$251&lt;$H$2),0,MIN($E261-SUM($G261:AA261),$F261))</f>
        <v>0</v>
      </c>
      <c r="AC261" s="424">
        <f>IF(OR(AC$251&lt;$C261,AC$251&lt;$H$2),0,MIN($E261-SUM($G261:AB261),$F261))</f>
        <v>0</v>
      </c>
      <c r="AD261" s="424">
        <f>IF(OR(AD$251&lt;$C261,AD$251&lt;$H$2),0,MIN($E261-SUM($G261:AC261),$F261))</f>
        <v>0</v>
      </c>
    </row>
    <row r="262" spans="3:30">
      <c r="C262" s="201">
        <v>48951</v>
      </c>
      <c r="D262" s="94" t="s">
        <v>134</v>
      </c>
      <c r="E262" s="424">
        <f t="shared" si="124"/>
        <v>26.007168</v>
      </c>
      <c r="F262" s="209">
        <f t="shared" si="125"/>
        <v>3.0896515583999999</v>
      </c>
      <c r="H262" s="424">
        <f>IF(OR(H$251&lt;$C262,H$251&lt;$H$2),0,MIN($E262-SUM($G262:G262),$F262))</f>
        <v>0</v>
      </c>
      <c r="I262" s="424">
        <f>IF(OR(I$251&lt;$C262,I$251&lt;$H$2),0,MIN($E262-SUM($G262:H262),$F262))</f>
        <v>0</v>
      </c>
      <c r="J262" s="424">
        <f>IF(OR(J$251&lt;$C262,J$251&lt;$H$2),0,MIN($E262-SUM($G262:I262),$F262))</f>
        <v>0</v>
      </c>
      <c r="K262" s="424">
        <f>IF(OR(K$251&lt;$C262,K$251&lt;$H$2),0,MIN($E262-SUM($G262:J262),$F262))</f>
        <v>0</v>
      </c>
      <c r="L262" s="424">
        <f>IF(OR(L$251&lt;$C262,L$251&lt;$H$2),0,MIN($E262-SUM($G262:K262),$F262))</f>
        <v>0</v>
      </c>
      <c r="M262" s="424">
        <f>IF(OR(M$251&lt;$C262,M$251&lt;$H$2),0,MIN($E262-SUM($G262:L262),$F262))</f>
        <v>0</v>
      </c>
      <c r="N262" s="424">
        <f>IF(OR(N$251&lt;$C262,N$251&lt;$H$2),0,MIN($E262-SUM($G262:M262),$F262))</f>
        <v>0</v>
      </c>
      <c r="O262" s="424">
        <f>IF(OR(O$251&lt;$C262,O$251&lt;$H$2),0,MIN($E262-SUM($G262:N262),$F262))</f>
        <v>0</v>
      </c>
      <c r="P262" s="424">
        <f>IF(OR(P$251&lt;$C262,P$251&lt;$H$2),0,MIN($E262-SUM($G262:O262),$F262))</f>
        <v>3.0896515583999999</v>
      </c>
      <c r="Q262" s="424">
        <f>IF(OR(Q$251&lt;$C262,Q$251&lt;$H$2),0,MIN($E262-SUM($G262:P262),$F262))</f>
        <v>3.0896515583999999</v>
      </c>
      <c r="R262" s="424">
        <f>IF(OR(R$251&lt;$C262,R$251&lt;$H$2),0,MIN($E262-SUM($G262:Q262),$F262))</f>
        <v>3.0896515583999999</v>
      </c>
      <c r="S262" s="424">
        <f>IF(OR(S$251&lt;$C262,S$251&lt;$H$2),0,MIN($E262-SUM($G262:R262),$F262))</f>
        <v>3.0896515583999999</v>
      </c>
      <c r="T262" s="424">
        <f>IF(OR(T$251&lt;$C262,T$251&lt;$H$2),0,MIN($E262-SUM($G262:S262),$F262))</f>
        <v>3.0896515583999999</v>
      </c>
      <c r="U262" s="424">
        <f>IF(OR(U$251&lt;$C262,U$251&lt;$H$2),0,MIN($E262-SUM($G262:T262),$F262))</f>
        <v>3.0896515583999999</v>
      </c>
      <c r="V262" s="424">
        <f>IF(OR(V$251&lt;$C262,V$251&lt;$H$2),0,MIN($E262-SUM($G262:U262),$F262))</f>
        <v>3.0896515583999999</v>
      </c>
      <c r="W262" s="424">
        <f>IF(OR(W$251&lt;$C262,W$251&lt;$H$2),0,MIN($E262-SUM($G262:V262),$F262))</f>
        <v>3.0896515583999999</v>
      </c>
      <c r="X262" s="424">
        <f>IF(OR(X$251&lt;$C262,X$251&lt;$H$2),0,MIN($E262-SUM($G262:W262),$F262))</f>
        <v>1.2899555328000005</v>
      </c>
      <c r="Y262" s="424">
        <f>IF(OR(Y$251&lt;$C262,Y$251&lt;$H$2),0,MIN($E262-SUM($G262:X262),$F262))</f>
        <v>0</v>
      </c>
      <c r="Z262" s="424">
        <f>IF(OR(Z$251&lt;$C262,Z$251&lt;$H$2),0,MIN($E262-SUM($G262:Y262),$F262))</f>
        <v>0</v>
      </c>
      <c r="AA262" s="424">
        <f>IF(OR(AA$251&lt;$C262,AA$251&lt;$H$2),0,MIN($E262-SUM($G262:Z262),$F262))</f>
        <v>0</v>
      </c>
      <c r="AB262" s="424">
        <f>IF(OR(AB$251&lt;$C262,AB$251&lt;$H$2),0,MIN($E262-SUM($G262:AA262),$F262))</f>
        <v>0</v>
      </c>
      <c r="AC262" s="424">
        <f>IF(OR(AC$251&lt;$C262,AC$251&lt;$H$2),0,MIN($E262-SUM($G262:AB262),$F262))</f>
        <v>0</v>
      </c>
      <c r="AD262" s="424">
        <f>IF(OR(AD$251&lt;$C262,AD$251&lt;$H$2),0,MIN($E262-SUM($G262:AC262),$F262))</f>
        <v>0</v>
      </c>
    </row>
    <row r="263" spans="3:30">
      <c r="C263" s="201">
        <v>49317</v>
      </c>
      <c r="D263" s="94" t="s">
        <v>134</v>
      </c>
      <c r="E263" s="424">
        <f t="shared" si="124"/>
        <v>200.19378399999999</v>
      </c>
      <c r="F263" s="209">
        <f t="shared" si="125"/>
        <v>23.7830215392</v>
      </c>
      <c r="H263" s="424">
        <f>IF(OR(H$251&lt;$C263,H$251&lt;$H$2),0,MIN($E263-SUM($G263:G263),$F263))</f>
        <v>0</v>
      </c>
      <c r="I263" s="424">
        <f>IF(OR(I$251&lt;$C263,I$251&lt;$H$2),0,MIN($E263-SUM($G263:H263),$F263))</f>
        <v>0</v>
      </c>
      <c r="J263" s="424">
        <f>IF(OR(J$251&lt;$C263,J$251&lt;$H$2),0,MIN($E263-SUM($G263:I263),$F263))</f>
        <v>0</v>
      </c>
      <c r="K263" s="424">
        <f>IF(OR(K$251&lt;$C263,K$251&lt;$H$2),0,MIN($E263-SUM($G263:J263),$F263))</f>
        <v>0</v>
      </c>
      <c r="L263" s="424">
        <f>IF(OR(L$251&lt;$C263,L$251&lt;$H$2),0,MIN($E263-SUM($G263:K263),$F263))</f>
        <v>0</v>
      </c>
      <c r="M263" s="424">
        <f>IF(OR(M$251&lt;$C263,M$251&lt;$H$2),0,MIN($E263-SUM($G263:L263),$F263))</f>
        <v>0</v>
      </c>
      <c r="N263" s="424">
        <f>IF(OR(N$251&lt;$C263,N$251&lt;$H$2),0,MIN($E263-SUM($G263:M263),$F263))</f>
        <v>0</v>
      </c>
      <c r="O263" s="424">
        <f>IF(OR(O$251&lt;$C263,O$251&lt;$H$2),0,MIN($E263-SUM($G263:N263),$F263))</f>
        <v>0</v>
      </c>
      <c r="P263" s="424">
        <f>IF(OR(P$251&lt;$C263,P$251&lt;$H$2),0,MIN($E263-SUM($G263:O263),$F263))</f>
        <v>0</v>
      </c>
      <c r="Q263" s="424">
        <f>IF(OR(Q$251&lt;$C263,Q$251&lt;$H$2),0,MIN($E263-SUM($G263:P263),$F263))</f>
        <v>23.7830215392</v>
      </c>
      <c r="R263" s="424">
        <f>IF(OR(R$251&lt;$C263,R$251&lt;$H$2),0,MIN($E263-SUM($G263:Q263),$F263))</f>
        <v>23.7830215392</v>
      </c>
      <c r="S263" s="424">
        <f>IF(OR(S$251&lt;$C263,S$251&lt;$H$2),0,MIN($E263-SUM($G263:R263),$F263))</f>
        <v>23.7830215392</v>
      </c>
      <c r="T263" s="424">
        <f>IF(OR(T$251&lt;$C263,T$251&lt;$H$2),0,MIN($E263-SUM($G263:S263),$F263))</f>
        <v>23.7830215392</v>
      </c>
      <c r="U263" s="424">
        <f>IF(OR(U$251&lt;$C263,U$251&lt;$H$2),0,MIN($E263-SUM($G263:T263),$F263))</f>
        <v>23.7830215392</v>
      </c>
      <c r="V263" s="424">
        <f>IF(OR(V$251&lt;$C263,V$251&lt;$H$2),0,MIN($E263-SUM($G263:U263),$F263))</f>
        <v>23.7830215392</v>
      </c>
      <c r="W263" s="424">
        <f>IF(OR(W$251&lt;$C263,W$251&lt;$H$2),0,MIN($E263-SUM($G263:V263),$F263))</f>
        <v>23.7830215392</v>
      </c>
      <c r="X263" s="424">
        <f>IF(OR(X$251&lt;$C263,X$251&lt;$H$2),0,MIN($E263-SUM($G263:W263),$F263))</f>
        <v>23.7830215392</v>
      </c>
      <c r="Y263" s="424">
        <f>IF(OR(Y$251&lt;$C263,Y$251&lt;$H$2),0,MIN($E263-SUM($G263:X263),$F263))</f>
        <v>9.9296116863999657</v>
      </c>
      <c r="Z263" s="424">
        <f>IF(OR(Z$251&lt;$C263,Z$251&lt;$H$2),0,MIN($E263-SUM($G263:Y263),$F263))</f>
        <v>0</v>
      </c>
      <c r="AA263" s="424">
        <f>IF(OR(AA$251&lt;$C263,AA$251&lt;$H$2),0,MIN($E263-SUM($G263:Z263),$F263))</f>
        <v>0</v>
      </c>
      <c r="AB263" s="424">
        <f>IF(OR(AB$251&lt;$C263,AB$251&lt;$H$2),0,MIN($E263-SUM($G263:AA263),$F263))</f>
        <v>0</v>
      </c>
      <c r="AC263" s="424">
        <f>IF(OR(AC$251&lt;$C263,AC$251&lt;$H$2),0,MIN($E263-SUM($G263:AB263),$F263))</f>
        <v>0</v>
      </c>
      <c r="AD263" s="424">
        <f>IF(OR(AD$251&lt;$C263,AD$251&lt;$H$2),0,MIN($E263-SUM($G263:AC263),$F263))</f>
        <v>0</v>
      </c>
    </row>
    <row r="264" spans="3:30">
      <c r="C264" s="201">
        <v>49683</v>
      </c>
      <c r="D264" s="94" t="s">
        <v>134</v>
      </c>
      <c r="E264" s="424">
        <f t="shared" si="124"/>
        <v>29</v>
      </c>
      <c r="F264" s="209">
        <f t="shared" si="125"/>
        <v>3.4452000000000003</v>
      </c>
      <c r="H264" s="424">
        <f>IF(OR(H$251&lt;$C264,H$251&lt;$H$2),0,MIN($E264-SUM($G264:G264),$F264))</f>
        <v>0</v>
      </c>
      <c r="I264" s="424">
        <f>IF(OR(I$251&lt;$C264,I$251&lt;$H$2),0,MIN($E264-SUM($G264:H264),$F264))</f>
        <v>0</v>
      </c>
      <c r="J264" s="424">
        <f>IF(OR(J$251&lt;$C264,J$251&lt;$H$2),0,MIN($E264-SUM($G264:I264),$F264))</f>
        <v>0</v>
      </c>
      <c r="K264" s="424">
        <f>IF(OR(K$251&lt;$C264,K$251&lt;$H$2),0,MIN($E264-SUM($G264:J264),$F264))</f>
        <v>0</v>
      </c>
      <c r="L264" s="424">
        <f>IF(OR(L$251&lt;$C264,L$251&lt;$H$2),0,MIN($E264-SUM($G264:K264),$F264))</f>
        <v>0</v>
      </c>
      <c r="M264" s="424">
        <f>IF(OR(M$251&lt;$C264,M$251&lt;$H$2),0,MIN($E264-SUM($G264:L264),$F264))</f>
        <v>0</v>
      </c>
      <c r="N264" s="424">
        <f>IF(OR(N$251&lt;$C264,N$251&lt;$H$2),0,MIN($E264-SUM($G264:M264),$F264))</f>
        <v>0</v>
      </c>
      <c r="O264" s="424">
        <f>IF(OR(O$251&lt;$C264,O$251&lt;$H$2),0,MIN($E264-SUM($G264:N264),$F264))</f>
        <v>0</v>
      </c>
      <c r="P264" s="424">
        <f>IF(OR(P$251&lt;$C264,P$251&lt;$H$2),0,MIN($E264-SUM($G264:O264),$F264))</f>
        <v>0</v>
      </c>
      <c r="Q264" s="424">
        <f>IF(OR(Q$251&lt;$C264,Q$251&lt;$H$2),0,MIN($E264-SUM($G264:P264),$F264))</f>
        <v>0</v>
      </c>
      <c r="R264" s="424">
        <f>IF(OR(R$251&lt;$C264,R$251&lt;$H$2),0,MIN($E264-SUM($G264:Q264),$F264))</f>
        <v>3.4452000000000003</v>
      </c>
      <c r="S264" s="424">
        <f>IF(OR(S$251&lt;$C264,S$251&lt;$H$2),0,MIN($E264-SUM($G264:R264),$F264))</f>
        <v>3.4452000000000003</v>
      </c>
      <c r="T264" s="424">
        <f>IF(OR(T$251&lt;$C264,T$251&lt;$H$2),0,MIN($E264-SUM($G264:S264),$F264))</f>
        <v>3.4452000000000003</v>
      </c>
      <c r="U264" s="424">
        <f>IF(OR(U$251&lt;$C264,U$251&lt;$H$2),0,MIN($E264-SUM($G264:T264),$F264))</f>
        <v>3.4452000000000003</v>
      </c>
      <c r="V264" s="424">
        <f>IF(OR(V$251&lt;$C264,V$251&lt;$H$2),0,MIN($E264-SUM($G264:U264),$F264))</f>
        <v>3.4452000000000003</v>
      </c>
      <c r="W264" s="424">
        <f>IF(OR(W$251&lt;$C264,W$251&lt;$H$2),0,MIN($E264-SUM($G264:V264),$F264))</f>
        <v>3.4452000000000003</v>
      </c>
      <c r="X264" s="424">
        <f>IF(OR(X$251&lt;$C264,X$251&lt;$H$2),0,MIN($E264-SUM($G264:W264),$F264))</f>
        <v>3.4452000000000003</v>
      </c>
      <c r="Y264" s="424">
        <f>IF(OR(Y$251&lt;$C264,Y$251&lt;$H$2),0,MIN($E264-SUM($G264:X264),$F264))</f>
        <v>3.4452000000000003</v>
      </c>
      <c r="Z264" s="424">
        <f>IF(OR(Z$251&lt;$C264,Z$251&lt;$H$2),0,MIN($E264-SUM($G264:Y264),$F264))</f>
        <v>1.4383999999999979</v>
      </c>
      <c r="AA264" s="424">
        <f>IF(OR(AA$251&lt;$C264,AA$251&lt;$H$2),0,MIN($E264-SUM($G264:Z264),$F264))</f>
        <v>0</v>
      </c>
      <c r="AB264" s="424">
        <f>IF(OR(AB$251&lt;$C264,AB$251&lt;$H$2),0,MIN($E264-SUM($G264:AA264),$F264))</f>
        <v>0</v>
      </c>
      <c r="AC264" s="424">
        <f>IF(OR(AC$251&lt;$C264,AC$251&lt;$H$2),0,MIN($E264-SUM($G264:AB264),$F264))</f>
        <v>0</v>
      </c>
      <c r="AD264" s="424">
        <f>IF(OR(AD$251&lt;$C264,AD$251&lt;$H$2),0,MIN($E264-SUM($G264:AC264),$F264))</f>
        <v>0</v>
      </c>
    </row>
    <row r="265" spans="3:30">
      <c r="C265" s="201">
        <v>50049</v>
      </c>
      <c r="D265" s="94" t="s">
        <v>134</v>
      </c>
      <c r="E265" s="424">
        <f t="shared" si="124"/>
        <v>81.215861163960327</v>
      </c>
      <c r="F265" s="209">
        <f t="shared" si="125"/>
        <v>9.6484443062784866</v>
      </c>
      <c r="H265" s="424">
        <f>IF(OR(H$251&lt;$C265,H$251&lt;$H$2),0,MIN($E265-SUM($G265:G265),$F265))</f>
        <v>0</v>
      </c>
      <c r="I265" s="424">
        <f>IF(OR(I$251&lt;$C265,I$251&lt;$H$2),0,MIN($E265-SUM($G265:H265),$F265))</f>
        <v>0</v>
      </c>
      <c r="J265" s="424">
        <f>IF(OR(J$251&lt;$C265,J$251&lt;$H$2),0,MIN($E265-SUM($G265:I265),$F265))</f>
        <v>0</v>
      </c>
      <c r="K265" s="424">
        <f>IF(OR(K$251&lt;$C265,K$251&lt;$H$2),0,MIN($E265-SUM($G265:J265),$F265))</f>
        <v>0</v>
      </c>
      <c r="L265" s="424">
        <f>IF(OR(L$251&lt;$C265,L$251&lt;$H$2),0,MIN($E265-SUM($G265:K265),$F265))</f>
        <v>0</v>
      </c>
      <c r="M265" s="424">
        <f>IF(OR(M$251&lt;$C265,M$251&lt;$H$2),0,MIN($E265-SUM($G265:L265),$F265))</f>
        <v>0</v>
      </c>
      <c r="N265" s="424">
        <f>IF(OR(N$251&lt;$C265,N$251&lt;$H$2),0,MIN($E265-SUM($G265:M265),$F265))</f>
        <v>0</v>
      </c>
      <c r="O265" s="424">
        <f>IF(OR(O$251&lt;$C265,O$251&lt;$H$2),0,MIN($E265-SUM($G265:N265),$F265))</f>
        <v>0</v>
      </c>
      <c r="P265" s="424">
        <f>IF(OR(P$251&lt;$C265,P$251&lt;$H$2),0,MIN($E265-SUM($G265:O265),$F265))</f>
        <v>0</v>
      </c>
      <c r="Q265" s="424">
        <f>IF(OR(Q$251&lt;$C265,Q$251&lt;$H$2),0,MIN($E265-SUM($G265:P265),$F265))</f>
        <v>0</v>
      </c>
      <c r="R265" s="424">
        <f>IF(OR(R$251&lt;$C265,R$251&lt;$H$2),0,MIN($E265-SUM($G265:Q265),$F265))</f>
        <v>0</v>
      </c>
      <c r="S265" s="424">
        <f>IF(OR(S$251&lt;$C265,S$251&lt;$H$2),0,MIN($E265-SUM($G265:R265),$F265))</f>
        <v>9.6484443062784866</v>
      </c>
      <c r="T265" s="424">
        <f>IF(OR(T$251&lt;$C265,T$251&lt;$H$2),0,MIN($E265-SUM($G265:S265),$F265))</f>
        <v>9.6484443062784866</v>
      </c>
      <c r="U265" s="424">
        <f>IF(OR(U$251&lt;$C265,U$251&lt;$H$2),0,MIN($E265-SUM($G265:T265),$F265))</f>
        <v>9.6484443062784866</v>
      </c>
      <c r="V265" s="424">
        <f>IF(OR(V$251&lt;$C265,V$251&lt;$H$2),0,MIN($E265-SUM($G265:U265),$F265))</f>
        <v>9.6484443062784866</v>
      </c>
      <c r="W265" s="424">
        <f>IF(OR(W$251&lt;$C265,W$251&lt;$H$2),0,MIN($E265-SUM($G265:V265),$F265))</f>
        <v>9.6484443062784866</v>
      </c>
      <c r="X265" s="424">
        <f>IF(OR(X$251&lt;$C265,X$251&lt;$H$2),0,MIN($E265-SUM($G265:W265),$F265))</f>
        <v>9.6484443062784866</v>
      </c>
      <c r="Y265" s="424">
        <f>IF(OR(Y$251&lt;$C265,Y$251&lt;$H$2),0,MIN($E265-SUM($G265:X265),$F265))</f>
        <v>9.6484443062784866</v>
      </c>
      <c r="Z265" s="424">
        <f>IF(OR(Z$251&lt;$C265,Z$251&lt;$H$2),0,MIN($E265-SUM($G265:Y265),$F265))</f>
        <v>9.6484443062784866</v>
      </c>
      <c r="AA265" s="424">
        <f>IF(OR(AA$251&lt;$C265,AA$251&lt;$H$2),0,MIN($E265-SUM($G265:Z265),$F265))</f>
        <v>4.0283067137324338</v>
      </c>
      <c r="AB265" s="424">
        <f>IF(OR(AB$251&lt;$C265,AB$251&lt;$H$2),0,MIN($E265-SUM($G265:AA265),$F265))</f>
        <v>0</v>
      </c>
      <c r="AC265" s="424">
        <f>IF(OR(AC$251&lt;$C265,AC$251&lt;$H$2),0,MIN($E265-SUM($G265:AB265),$F265))</f>
        <v>0</v>
      </c>
      <c r="AD265" s="424">
        <f>IF(OR(AD$251&lt;$C265,AD$251&lt;$H$2),0,MIN($E265-SUM($G265:AC265),$F265))</f>
        <v>0</v>
      </c>
    </row>
    <row r="266" spans="3:30">
      <c r="C266" s="201">
        <v>50415</v>
      </c>
      <c r="D266" s="94" t="s">
        <v>134</v>
      </c>
      <c r="E266" s="424">
        <f t="shared" si="124"/>
        <v>154.49439999999998</v>
      </c>
      <c r="F266" s="209">
        <f t="shared" si="125"/>
        <v>18.353934719999998</v>
      </c>
      <c r="H266" s="424">
        <f>IF(OR(H$251&lt;$C266,H$251&lt;$H$2),0,MIN($E266-SUM($G266:G266),$F266))</f>
        <v>0</v>
      </c>
      <c r="I266" s="424">
        <f>IF(OR(I$251&lt;$C266,I$251&lt;$H$2),0,MIN($E266-SUM($G266:H266),$F266))</f>
        <v>0</v>
      </c>
      <c r="J266" s="424">
        <f>IF(OR(J$251&lt;$C266,J$251&lt;$H$2),0,MIN($E266-SUM($G266:I266),$F266))</f>
        <v>0</v>
      </c>
      <c r="K266" s="424">
        <f>IF(OR(K$251&lt;$C266,K$251&lt;$H$2),0,MIN($E266-SUM($G266:J266),$F266))</f>
        <v>0</v>
      </c>
      <c r="L266" s="424">
        <f>IF(OR(L$251&lt;$C266,L$251&lt;$H$2),0,MIN($E266-SUM($G266:K266),$F266))</f>
        <v>0</v>
      </c>
      <c r="M266" s="424">
        <f>IF(OR(M$251&lt;$C266,M$251&lt;$H$2),0,MIN($E266-SUM($G266:L266),$F266))</f>
        <v>0</v>
      </c>
      <c r="N266" s="424">
        <f>IF(OR(N$251&lt;$C266,N$251&lt;$H$2),0,MIN($E266-SUM($G266:M266),$F266))</f>
        <v>0</v>
      </c>
      <c r="O266" s="424">
        <f>IF(OR(O$251&lt;$C266,O$251&lt;$H$2),0,MIN($E266-SUM($G266:N266),$F266))</f>
        <v>0</v>
      </c>
      <c r="P266" s="424">
        <f>IF(OR(P$251&lt;$C266,P$251&lt;$H$2),0,MIN($E266-SUM($G266:O266),$F266))</f>
        <v>0</v>
      </c>
      <c r="Q266" s="424">
        <f>IF(OR(Q$251&lt;$C266,Q$251&lt;$H$2),0,MIN($E266-SUM($G266:P266),$F266))</f>
        <v>0</v>
      </c>
      <c r="R266" s="424">
        <f>IF(OR(R$251&lt;$C266,R$251&lt;$H$2),0,MIN($E266-SUM($G266:Q266),$F266))</f>
        <v>0</v>
      </c>
      <c r="S266" s="424">
        <f>IF(OR(S$251&lt;$C266,S$251&lt;$H$2),0,MIN($E266-SUM($G266:R266),$F266))</f>
        <v>0</v>
      </c>
      <c r="T266" s="424">
        <f>IF(OR(T$251&lt;$C266,T$251&lt;$H$2),0,MIN($E266-SUM($G266:S266),$F266))</f>
        <v>18.353934719999998</v>
      </c>
      <c r="U266" s="424">
        <f>IF(OR(U$251&lt;$C266,U$251&lt;$H$2),0,MIN($E266-SUM($G266:T266),$F266))</f>
        <v>18.353934719999998</v>
      </c>
      <c r="V266" s="424">
        <f>IF(OR(V$251&lt;$C266,V$251&lt;$H$2),0,MIN($E266-SUM($G266:U266),$F266))</f>
        <v>18.353934719999998</v>
      </c>
      <c r="W266" s="424">
        <f>IF(OR(W$251&lt;$C266,W$251&lt;$H$2),0,MIN($E266-SUM($G266:V266),$F266))</f>
        <v>18.353934719999998</v>
      </c>
      <c r="X266" s="424">
        <f>IF(OR(X$251&lt;$C266,X$251&lt;$H$2),0,MIN($E266-SUM($G266:W266),$F266))</f>
        <v>18.353934719999998</v>
      </c>
      <c r="Y266" s="424">
        <f>IF(OR(Y$251&lt;$C266,Y$251&lt;$H$2),0,MIN($E266-SUM($G266:X266),$F266))</f>
        <v>18.353934719999998</v>
      </c>
      <c r="Z266" s="424">
        <f>IF(OR(Z$251&lt;$C266,Z$251&lt;$H$2),0,MIN($E266-SUM($G266:Y266),$F266))</f>
        <v>18.353934719999998</v>
      </c>
      <c r="AA266" s="424">
        <f>IF(OR(AA$251&lt;$C266,AA$251&lt;$H$2),0,MIN($E266-SUM($G266:Z266),$F266))</f>
        <v>18.353934719999998</v>
      </c>
      <c r="AB266" s="424">
        <f>IF(OR(AB$251&lt;$C266,AB$251&lt;$H$2),0,MIN($E266-SUM($G266:AA266),$F266))</f>
        <v>7.6629222400000003</v>
      </c>
      <c r="AC266" s="424">
        <f>IF(OR(AC$251&lt;$C266,AC$251&lt;$H$2),0,MIN($E266-SUM($G266:AB266),$F266))</f>
        <v>0</v>
      </c>
      <c r="AD266" s="424">
        <f>IF(OR(AD$251&lt;$C266,AD$251&lt;$H$2),0,MIN($E266-SUM($G266:AC266),$F266))</f>
        <v>0</v>
      </c>
    </row>
    <row r="267" spans="3:30">
      <c r="C267" s="201">
        <v>50781</v>
      </c>
      <c r="D267" s="94" t="s">
        <v>134</v>
      </c>
      <c r="E267" s="424">
        <f t="shared" si="124"/>
        <v>75.299061163960317</v>
      </c>
      <c r="F267" s="209">
        <f t="shared" si="125"/>
        <v>8.9455284662784855</v>
      </c>
      <c r="H267" s="424">
        <f>IF(OR(H$251&lt;$C267,H$251&lt;$H$2),0,MIN($E267-SUM($G267:G267),$F267))</f>
        <v>0</v>
      </c>
      <c r="I267" s="424">
        <f>IF(OR(I$251&lt;$C267,I$251&lt;$H$2),0,MIN($E267-SUM($G267:H267),$F267))</f>
        <v>0</v>
      </c>
      <c r="J267" s="424">
        <f>IF(OR(J$251&lt;$C267,J$251&lt;$H$2),0,MIN($E267-SUM($G267:I267),$F267))</f>
        <v>0</v>
      </c>
      <c r="K267" s="424">
        <f>IF(OR(K$251&lt;$C267,K$251&lt;$H$2),0,MIN($E267-SUM($G267:J267),$F267))</f>
        <v>0</v>
      </c>
      <c r="L267" s="424">
        <f>IF(OR(L$251&lt;$C267,L$251&lt;$H$2),0,MIN($E267-SUM($G267:K267),$F267))</f>
        <v>0</v>
      </c>
      <c r="M267" s="424">
        <f>IF(OR(M$251&lt;$C267,M$251&lt;$H$2),0,MIN($E267-SUM($G267:L267),$F267))</f>
        <v>0</v>
      </c>
      <c r="N267" s="424">
        <f>IF(OR(N$251&lt;$C267,N$251&lt;$H$2),0,MIN($E267-SUM($G267:M267),$F267))</f>
        <v>0</v>
      </c>
      <c r="O267" s="424">
        <f>IF(OR(O$251&lt;$C267,O$251&lt;$H$2),0,MIN($E267-SUM($G267:N267),$F267))</f>
        <v>0</v>
      </c>
      <c r="P267" s="424">
        <f>IF(OR(P$251&lt;$C267,P$251&lt;$H$2),0,MIN($E267-SUM($G267:O267),$F267))</f>
        <v>0</v>
      </c>
      <c r="Q267" s="424">
        <f>IF(OR(Q$251&lt;$C267,Q$251&lt;$H$2),0,MIN($E267-SUM($G267:P267),$F267))</f>
        <v>0</v>
      </c>
      <c r="R267" s="424">
        <f>IF(OR(R$251&lt;$C267,R$251&lt;$H$2),0,MIN($E267-SUM($G267:Q267),$F267))</f>
        <v>0</v>
      </c>
      <c r="S267" s="424">
        <f>IF(OR(S$251&lt;$C267,S$251&lt;$H$2),0,MIN($E267-SUM($G267:R267),$F267))</f>
        <v>0</v>
      </c>
      <c r="T267" s="424">
        <f>IF(OR(T$251&lt;$C267,T$251&lt;$H$2),0,MIN($E267-SUM($G267:S267),$F267))</f>
        <v>0</v>
      </c>
      <c r="U267" s="424">
        <f>IF(OR(U$251&lt;$C267,U$251&lt;$H$2),0,MIN($E267-SUM($G267:T267),$F267))</f>
        <v>8.9455284662784855</v>
      </c>
      <c r="V267" s="424">
        <f>IF(OR(V$251&lt;$C267,V$251&lt;$H$2),0,MIN($E267-SUM($G267:U267),$F267))</f>
        <v>8.9455284662784855</v>
      </c>
      <c r="W267" s="424">
        <f>IF(OR(W$251&lt;$C267,W$251&lt;$H$2),0,MIN($E267-SUM($G267:V267),$F267))</f>
        <v>8.9455284662784855</v>
      </c>
      <c r="X267" s="424">
        <f>IF(OR(X$251&lt;$C267,X$251&lt;$H$2),0,MIN($E267-SUM($G267:W267),$F267))</f>
        <v>8.9455284662784855</v>
      </c>
      <c r="Y267" s="424">
        <f>IF(OR(Y$251&lt;$C267,Y$251&lt;$H$2),0,MIN($E267-SUM($G267:X267),$F267))</f>
        <v>8.9455284662784855</v>
      </c>
      <c r="Z267" s="424">
        <f>IF(OR(Z$251&lt;$C267,Z$251&lt;$H$2),0,MIN($E267-SUM($G267:Y267),$F267))</f>
        <v>8.9455284662784855</v>
      </c>
      <c r="AA267" s="424">
        <f>IF(OR(AA$251&lt;$C267,AA$251&lt;$H$2),0,MIN($E267-SUM($G267:Z267),$F267))</f>
        <v>8.9455284662784855</v>
      </c>
      <c r="AB267" s="424">
        <f>IF(OR(AB$251&lt;$C267,AB$251&lt;$H$2),0,MIN($E267-SUM($G267:AA267),$F267))</f>
        <v>8.9455284662784855</v>
      </c>
      <c r="AC267" s="424">
        <f>IF(OR(AC$251&lt;$C267,AC$251&lt;$H$2),0,MIN($E267-SUM($G267:AB267),$F267))</f>
        <v>3.7348334337324189</v>
      </c>
      <c r="AD267" s="424">
        <f>IF(OR(AD$251&lt;$C267,AD$251&lt;$H$2),0,MIN($E267-SUM($G267:AC267),$F267))</f>
        <v>0</v>
      </c>
    </row>
    <row r="268" spans="3:30">
      <c r="C268" s="201">
        <v>51147</v>
      </c>
      <c r="D268" s="94" t="s">
        <v>134</v>
      </c>
      <c r="E268" s="424">
        <f t="shared" si="124"/>
        <v>98.047600000000003</v>
      </c>
      <c r="F268" s="209">
        <f t="shared" si="125"/>
        <v>11.64805488</v>
      </c>
      <c r="H268" s="424">
        <f>IF(OR(H$251&lt;$C268,H$251&lt;$H$2),0,MIN($E268-SUM($G268:G268),$F268))</f>
        <v>0</v>
      </c>
      <c r="I268" s="424">
        <f>IF(OR(I$251&lt;$C268,I$251&lt;$H$2),0,MIN($E268-SUM($G268:H268),$F268))</f>
        <v>0</v>
      </c>
      <c r="J268" s="424">
        <f>IF(OR(J$251&lt;$C268,J$251&lt;$H$2),0,MIN($E268-SUM($G268:I268),$F268))</f>
        <v>0</v>
      </c>
      <c r="K268" s="424">
        <f>IF(OR(K$251&lt;$C268,K$251&lt;$H$2),0,MIN($E268-SUM($G268:J268),$F268))</f>
        <v>0</v>
      </c>
      <c r="L268" s="424">
        <f>IF(OR(L$251&lt;$C268,L$251&lt;$H$2),0,MIN($E268-SUM($G268:K268),$F268))</f>
        <v>0</v>
      </c>
      <c r="M268" s="424">
        <f>IF(OR(M$251&lt;$C268,M$251&lt;$H$2),0,MIN($E268-SUM($G268:L268),$F268))</f>
        <v>0</v>
      </c>
      <c r="N268" s="424">
        <f>IF(OR(N$251&lt;$C268,N$251&lt;$H$2),0,MIN($E268-SUM($G268:M268),$F268))</f>
        <v>0</v>
      </c>
      <c r="O268" s="424">
        <f>IF(OR(O$251&lt;$C268,O$251&lt;$H$2),0,MIN($E268-SUM($G268:N268),$F268))</f>
        <v>0</v>
      </c>
      <c r="P268" s="424">
        <f>IF(OR(P$251&lt;$C268,P$251&lt;$H$2),0,MIN($E268-SUM($G268:O268),$F268))</f>
        <v>0</v>
      </c>
      <c r="Q268" s="424">
        <f>IF(OR(Q$251&lt;$C268,Q$251&lt;$H$2),0,MIN($E268-SUM($G268:P268),$F268))</f>
        <v>0</v>
      </c>
      <c r="R268" s="424">
        <f>IF(OR(R$251&lt;$C268,R$251&lt;$H$2),0,MIN($E268-SUM($G268:Q268),$F268))</f>
        <v>0</v>
      </c>
      <c r="S268" s="424">
        <f>IF(OR(S$251&lt;$C268,S$251&lt;$H$2),0,MIN($E268-SUM($G268:R268),$F268))</f>
        <v>0</v>
      </c>
      <c r="T268" s="424">
        <f>IF(OR(T$251&lt;$C268,T$251&lt;$H$2),0,MIN($E268-SUM($G268:S268),$F268))</f>
        <v>0</v>
      </c>
      <c r="U268" s="424">
        <f>IF(OR(U$251&lt;$C268,U$251&lt;$H$2),0,MIN($E268-SUM($G268:T268),$F268))</f>
        <v>0</v>
      </c>
      <c r="V268" s="424">
        <f>IF(OR(V$251&lt;$C268,V$251&lt;$H$2),0,MIN($E268-SUM($G268:U268),$F268))</f>
        <v>11.64805488</v>
      </c>
      <c r="W268" s="424">
        <f>IF(OR(W$251&lt;$C268,W$251&lt;$H$2),0,MIN($E268-SUM($G268:V268),$F268))</f>
        <v>11.64805488</v>
      </c>
      <c r="X268" s="424">
        <f>IF(OR(X$251&lt;$C268,X$251&lt;$H$2),0,MIN($E268-SUM($G268:W268),$F268))</f>
        <v>11.64805488</v>
      </c>
      <c r="Y268" s="424">
        <f>IF(OR(Y$251&lt;$C268,Y$251&lt;$H$2),0,MIN($E268-SUM($G268:X268),$F268))</f>
        <v>11.64805488</v>
      </c>
      <c r="Z268" s="424">
        <f>IF(OR(Z$251&lt;$C268,Z$251&lt;$H$2),0,MIN($E268-SUM($G268:Y268),$F268))</f>
        <v>11.64805488</v>
      </c>
      <c r="AA268" s="424">
        <f>IF(OR(AA$251&lt;$C268,AA$251&lt;$H$2),0,MIN($E268-SUM($G268:Z268),$F268))</f>
        <v>11.64805488</v>
      </c>
      <c r="AB268" s="424">
        <f>IF(OR(AB$251&lt;$C268,AB$251&lt;$H$2),0,MIN($E268-SUM($G268:AA268),$F268))</f>
        <v>11.64805488</v>
      </c>
      <c r="AC268" s="424">
        <f>IF(OR(AC$251&lt;$C268,AC$251&lt;$H$2),0,MIN($E268-SUM($G268:AB268),$F268))</f>
        <v>11.64805488</v>
      </c>
      <c r="AD268" s="424">
        <f>IF(OR(AD$251&lt;$C268,AD$251&lt;$H$2),0,MIN($E268-SUM($G268:AC268),$F268))</f>
        <v>4.8631609599999877</v>
      </c>
    </row>
    <row r="269" spans="3:30">
      <c r="C269" s="201">
        <v>51513</v>
      </c>
      <c r="D269" s="94" t="s">
        <v>134</v>
      </c>
      <c r="E269" s="424">
        <f t="shared" si="124"/>
        <v>26.558854800000002</v>
      </c>
      <c r="F269" s="209">
        <f t="shared" si="125"/>
        <v>3.1551919502400003</v>
      </c>
      <c r="H269" s="424">
        <f>IF(OR(H$251&lt;$C269,H$251&lt;$H$2),0,MIN($E269-SUM($G269:G269),$F269))</f>
        <v>0</v>
      </c>
      <c r="I269" s="424">
        <f>IF(OR(I$251&lt;$C269,I$251&lt;$H$2),0,MIN($E269-SUM($G269:H269),$F269))</f>
        <v>0</v>
      </c>
      <c r="J269" s="424">
        <f>IF(OR(J$251&lt;$C269,J$251&lt;$H$2),0,MIN($E269-SUM($G269:I269),$F269))</f>
        <v>0</v>
      </c>
      <c r="K269" s="424">
        <f>IF(OR(K$251&lt;$C269,K$251&lt;$H$2),0,MIN($E269-SUM($G269:J269),$F269))</f>
        <v>0</v>
      </c>
      <c r="L269" s="424">
        <f>IF(OR(L$251&lt;$C269,L$251&lt;$H$2),0,MIN($E269-SUM($G269:K269),$F269))</f>
        <v>0</v>
      </c>
      <c r="M269" s="424">
        <f>IF(OR(M$251&lt;$C269,M$251&lt;$H$2),0,MIN($E269-SUM($G269:L269),$F269))</f>
        <v>0</v>
      </c>
      <c r="N269" s="424">
        <f>IF(OR(N$251&lt;$C269,N$251&lt;$H$2),0,MIN($E269-SUM($G269:M269),$F269))</f>
        <v>0</v>
      </c>
      <c r="O269" s="424">
        <f>IF(OR(O$251&lt;$C269,O$251&lt;$H$2),0,MIN($E269-SUM($G269:N269),$F269))</f>
        <v>0</v>
      </c>
      <c r="P269" s="424">
        <f>IF(OR(P$251&lt;$C269,P$251&lt;$H$2),0,MIN($E269-SUM($G269:O269),$F269))</f>
        <v>0</v>
      </c>
      <c r="Q269" s="424">
        <f>IF(OR(Q$251&lt;$C269,Q$251&lt;$H$2),0,MIN($E269-SUM($G269:P269),$F269))</f>
        <v>0</v>
      </c>
      <c r="R269" s="424">
        <f>IF(OR(R$251&lt;$C269,R$251&lt;$H$2),0,MIN($E269-SUM($G269:Q269),$F269))</f>
        <v>0</v>
      </c>
      <c r="S269" s="424">
        <f>IF(OR(S$251&lt;$C269,S$251&lt;$H$2),0,MIN($E269-SUM($G269:R269),$F269))</f>
        <v>0</v>
      </c>
      <c r="T269" s="424">
        <f>IF(OR(T$251&lt;$C269,T$251&lt;$H$2),0,MIN($E269-SUM($G269:S269),$F269))</f>
        <v>0</v>
      </c>
      <c r="U269" s="424">
        <f>IF(OR(U$251&lt;$C269,U$251&lt;$H$2),0,MIN($E269-SUM($G269:T269),$F269))</f>
        <v>0</v>
      </c>
      <c r="V269" s="424">
        <f>IF(OR(V$251&lt;$C269,V$251&lt;$H$2),0,MIN($E269-SUM($G269:U269),$F269))</f>
        <v>0</v>
      </c>
      <c r="W269" s="424">
        <f>IF(OR(W$251&lt;$C269,W$251&lt;$H$2),0,MIN($E269-SUM($G269:V269),$F269))</f>
        <v>3.1551919502400003</v>
      </c>
      <c r="X269" s="424">
        <f>IF(OR(X$251&lt;$C269,X$251&lt;$H$2),0,MIN($E269-SUM($G269:W269),$F269))</f>
        <v>3.1551919502400003</v>
      </c>
      <c r="Y269" s="424">
        <f>IF(OR(Y$251&lt;$C269,Y$251&lt;$H$2),0,MIN($E269-SUM($G269:X269),$F269))</f>
        <v>3.1551919502400003</v>
      </c>
      <c r="Z269" s="424">
        <f>IF(OR(Z$251&lt;$C269,Z$251&lt;$H$2),0,MIN($E269-SUM($G269:Y269),$F269))</f>
        <v>3.1551919502400003</v>
      </c>
      <c r="AA269" s="424">
        <f>IF(OR(AA$251&lt;$C269,AA$251&lt;$H$2),0,MIN($E269-SUM($G269:Z269),$F269))</f>
        <v>3.1551919502400003</v>
      </c>
      <c r="AB269" s="424">
        <f>IF(OR(AB$251&lt;$C269,AB$251&lt;$H$2),0,MIN($E269-SUM($G269:AA269),$F269))</f>
        <v>3.1551919502400003</v>
      </c>
      <c r="AC269" s="424">
        <f>IF(OR(AC$251&lt;$C269,AC$251&lt;$H$2),0,MIN($E269-SUM($G269:AB269),$F269))</f>
        <v>3.1551919502400003</v>
      </c>
      <c r="AD269" s="424">
        <f>IF(OR(AD$251&lt;$C269,AD$251&lt;$H$2),0,MIN($E269-SUM($G269:AC269),$F269))</f>
        <v>3.1551919502400003</v>
      </c>
    </row>
    <row r="270" spans="3:30">
      <c r="C270" s="201">
        <v>51879</v>
      </c>
      <c r="D270" s="94" t="s">
        <v>134</v>
      </c>
      <c r="E270" s="424">
        <f t="shared" si="124"/>
        <v>83.796800000000005</v>
      </c>
      <c r="F270" s="209">
        <f t="shared" si="125"/>
        <v>9.9550598400000005</v>
      </c>
      <c r="H270" s="424">
        <f>IF(OR(H$251&lt;$C270,H$251&lt;$H$2),0,MIN($E270-SUM($G270:G270),$F270))</f>
        <v>0</v>
      </c>
      <c r="I270" s="424">
        <f>IF(OR(I$251&lt;$C270,I$251&lt;$H$2),0,MIN($E270-SUM($G270:H270),$F270))</f>
        <v>0</v>
      </c>
      <c r="J270" s="424">
        <f>IF(OR(J$251&lt;$C270,J$251&lt;$H$2),0,MIN($E270-SUM($G270:I270),$F270))</f>
        <v>0</v>
      </c>
      <c r="K270" s="424">
        <f>IF(OR(K$251&lt;$C270,K$251&lt;$H$2),0,MIN($E270-SUM($G270:J270),$F270))</f>
        <v>0</v>
      </c>
      <c r="L270" s="424">
        <f>IF(OR(L$251&lt;$C270,L$251&lt;$H$2),0,MIN($E270-SUM($G270:K270),$F270))</f>
        <v>0</v>
      </c>
      <c r="M270" s="424">
        <f>IF(OR(M$251&lt;$C270,M$251&lt;$H$2),0,MIN($E270-SUM($G270:L270),$F270))</f>
        <v>0</v>
      </c>
      <c r="N270" s="424">
        <f>IF(OR(N$251&lt;$C270,N$251&lt;$H$2),0,MIN($E270-SUM($G270:M270),$F270))</f>
        <v>0</v>
      </c>
      <c r="O270" s="424">
        <f>IF(OR(O$251&lt;$C270,O$251&lt;$H$2),0,MIN($E270-SUM($G270:N270),$F270))</f>
        <v>0</v>
      </c>
      <c r="P270" s="424">
        <f>IF(OR(P$251&lt;$C270,P$251&lt;$H$2),0,MIN($E270-SUM($G270:O270),$F270))</f>
        <v>0</v>
      </c>
      <c r="Q270" s="424">
        <f>IF(OR(Q$251&lt;$C270,Q$251&lt;$H$2),0,MIN($E270-SUM($G270:P270),$F270))</f>
        <v>0</v>
      </c>
      <c r="R270" s="424">
        <f>IF(OR(R$251&lt;$C270,R$251&lt;$H$2),0,MIN($E270-SUM($G270:Q270),$F270))</f>
        <v>0</v>
      </c>
      <c r="S270" s="424">
        <f>IF(OR(S$251&lt;$C270,S$251&lt;$H$2),0,MIN($E270-SUM($G270:R270),$F270))</f>
        <v>0</v>
      </c>
      <c r="T270" s="424">
        <f>IF(OR(T$251&lt;$C270,T$251&lt;$H$2),0,MIN($E270-SUM($G270:S270),$F270))</f>
        <v>0</v>
      </c>
      <c r="U270" s="424">
        <f>IF(OR(U$251&lt;$C270,U$251&lt;$H$2),0,MIN($E270-SUM($G270:T270),$F270))</f>
        <v>0</v>
      </c>
      <c r="V270" s="424">
        <f>IF(OR(V$251&lt;$C270,V$251&lt;$H$2),0,MIN($E270-SUM($G270:U270),$F270))</f>
        <v>0</v>
      </c>
      <c r="W270" s="424">
        <f>IF(OR(W$251&lt;$C270,W$251&lt;$H$2),0,MIN($E270-SUM($G270:V270),$F270))</f>
        <v>0</v>
      </c>
      <c r="X270" s="424">
        <f>IF(OR(X$251&lt;$C270,X$251&lt;$H$2),0,MIN($E270-SUM($G270:W270),$F270))</f>
        <v>9.9550598400000005</v>
      </c>
      <c r="Y270" s="424">
        <f>IF(OR(Y$251&lt;$C270,Y$251&lt;$H$2),0,MIN($E270-SUM($G270:X270),$F270))</f>
        <v>9.9550598400000005</v>
      </c>
      <c r="Z270" s="424">
        <f>IF(OR(Z$251&lt;$C270,Z$251&lt;$H$2),0,MIN($E270-SUM($G270:Y270),$F270))</f>
        <v>9.9550598400000005</v>
      </c>
      <c r="AA270" s="424">
        <f>IF(OR(AA$251&lt;$C270,AA$251&lt;$H$2),0,MIN($E270-SUM($G270:Z270),$F270))</f>
        <v>9.9550598400000005</v>
      </c>
      <c r="AB270" s="424">
        <f>IF(OR(AB$251&lt;$C270,AB$251&lt;$H$2),0,MIN($E270-SUM($G270:AA270),$F270))</f>
        <v>9.9550598400000005</v>
      </c>
      <c r="AC270" s="424">
        <f>IF(OR(AC$251&lt;$C270,AC$251&lt;$H$2),0,MIN($E270-SUM($G270:AB270),$F270))</f>
        <v>9.9550598400000005</v>
      </c>
      <c r="AD270" s="424">
        <f>IF(OR(AD$251&lt;$C270,AD$251&lt;$H$2),0,MIN($E270-SUM($G270:AC270),$F270))</f>
        <v>9.9550598400000005</v>
      </c>
    </row>
    <row r="271" spans="3:30">
      <c r="C271" s="201">
        <v>52245</v>
      </c>
      <c r="D271" s="94" t="s">
        <v>134</v>
      </c>
      <c r="E271" s="424">
        <f t="shared" si="124"/>
        <v>234.22878279999998</v>
      </c>
      <c r="F271" s="209">
        <f t="shared" si="125"/>
        <v>27.826379396639997</v>
      </c>
      <c r="H271" s="424">
        <f>IF(OR(H$251&lt;$C271,H$251&lt;$H$2),0,MIN($E271-SUM($G271:G271),$F271))</f>
        <v>0</v>
      </c>
      <c r="I271" s="424">
        <f>IF(OR(I$251&lt;$C271,I$251&lt;$H$2),0,MIN($E271-SUM($G271:H271),$F271))</f>
        <v>0</v>
      </c>
      <c r="J271" s="424">
        <f>IF(OR(J$251&lt;$C271,J$251&lt;$H$2),0,MIN($E271-SUM($G271:I271),$F271))</f>
        <v>0</v>
      </c>
      <c r="K271" s="424">
        <f>IF(OR(K$251&lt;$C271,K$251&lt;$H$2),0,MIN($E271-SUM($G271:J271),$F271))</f>
        <v>0</v>
      </c>
      <c r="L271" s="424">
        <f>IF(OR(L$251&lt;$C271,L$251&lt;$H$2),0,MIN($E271-SUM($G271:K271),$F271))</f>
        <v>0</v>
      </c>
      <c r="M271" s="424">
        <f>IF(OR(M$251&lt;$C271,M$251&lt;$H$2),0,MIN($E271-SUM($G271:L271),$F271))</f>
        <v>0</v>
      </c>
      <c r="N271" s="424">
        <f>IF(OR(N$251&lt;$C271,N$251&lt;$H$2),0,MIN($E271-SUM($G271:M271),$F271))</f>
        <v>0</v>
      </c>
      <c r="O271" s="424">
        <f>IF(OR(O$251&lt;$C271,O$251&lt;$H$2),0,MIN($E271-SUM($G271:N271),$F271))</f>
        <v>0</v>
      </c>
      <c r="P271" s="424">
        <f>IF(OR(P$251&lt;$C271,P$251&lt;$H$2),0,MIN($E271-SUM($G271:O271),$F271))</f>
        <v>0</v>
      </c>
      <c r="Q271" s="424">
        <f>IF(OR(Q$251&lt;$C271,Q$251&lt;$H$2),0,MIN($E271-SUM($G271:P271),$F271))</f>
        <v>0</v>
      </c>
      <c r="R271" s="424">
        <f>IF(OR(R$251&lt;$C271,R$251&lt;$H$2),0,MIN($E271-SUM($G271:Q271),$F271))</f>
        <v>0</v>
      </c>
      <c r="S271" s="424">
        <f>IF(OR(S$251&lt;$C271,S$251&lt;$H$2),0,MIN($E271-SUM($G271:R271),$F271))</f>
        <v>0</v>
      </c>
      <c r="T271" s="424">
        <f>IF(OR(T$251&lt;$C271,T$251&lt;$H$2),0,MIN($E271-SUM($G271:S271),$F271))</f>
        <v>0</v>
      </c>
      <c r="U271" s="424">
        <f>IF(OR(U$251&lt;$C271,U$251&lt;$H$2),0,MIN($E271-SUM($G271:T271),$F271))</f>
        <v>0</v>
      </c>
      <c r="V271" s="424">
        <f>IF(OR(V$251&lt;$C271,V$251&lt;$H$2),0,MIN($E271-SUM($G271:U271),$F271))</f>
        <v>0</v>
      </c>
      <c r="W271" s="424">
        <f>IF(OR(W$251&lt;$C271,W$251&lt;$H$2),0,MIN($E271-SUM($G271:V271),$F271))</f>
        <v>0</v>
      </c>
      <c r="X271" s="424">
        <f>IF(OR(X$251&lt;$C271,X$251&lt;$H$2),0,MIN($E271-SUM($G271:W271),$F271))</f>
        <v>0</v>
      </c>
      <c r="Y271" s="424">
        <f>IF(OR(Y$251&lt;$C271,Y$251&lt;$H$2),0,MIN($E271-SUM($G271:X271),$F271))</f>
        <v>27.826379396639997</v>
      </c>
      <c r="Z271" s="424">
        <f>IF(OR(Z$251&lt;$C271,Z$251&lt;$H$2),0,MIN($E271-SUM($G271:Y271),$F271))</f>
        <v>27.826379396639997</v>
      </c>
      <c r="AA271" s="424">
        <f>IF(OR(AA$251&lt;$C271,AA$251&lt;$H$2),0,MIN($E271-SUM($G271:Z271),$F271))</f>
        <v>27.826379396639997</v>
      </c>
      <c r="AB271" s="424">
        <f>IF(OR(AB$251&lt;$C271,AB$251&lt;$H$2),0,MIN($E271-SUM($G271:AA271),$F271))</f>
        <v>27.826379396639997</v>
      </c>
      <c r="AC271" s="424">
        <f>IF(OR(AC$251&lt;$C271,AC$251&lt;$H$2),0,MIN($E271-SUM($G271:AB271),$F271))</f>
        <v>27.826379396639997</v>
      </c>
      <c r="AD271" s="424">
        <f>IF(OR(AD$251&lt;$C271,AD$251&lt;$H$2),0,MIN($E271-SUM($G271:AC271),$F271))</f>
        <v>27.826379396639997</v>
      </c>
    </row>
    <row r="272" spans="3:30">
      <c r="C272" s="201">
        <v>52611</v>
      </c>
      <c r="D272" s="94" t="s">
        <v>134</v>
      </c>
      <c r="E272" s="424">
        <f t="shared" si="124"/>
        <v>46.344429163960314</v>
      </c>
      <c r="F272" s="209">
        <f t="shared" si="125"/>
        <v>5.5057181846784857</v>
      </c>
      <c r="H272" s="424">
        <f>IF(OR(H$251&lt;$C272,H$251&lt;$H$2),0,MIN($E272-SUM($G272:G272),$F272))</f>
        <v>0</v>
      </c>
      <c r="I272" s="424">
        <f>IF(OR(I$251&lt;$C272,I$251&lt;$H$2),0,MIN($E272-SUM($G272:H272),$F272))</f>
        <v>0</v>
      </c>
      <c r="J272" s="424">
        <f>IF(OR(J$251&lt;$C272,J$251&lt;$H$2),0,MIN($E272-SUM($G272:I272),$F272))</f>
        <v>0</v>
      </c>
      <c r="K272" s="424">
        <f>IF(OR(K$251&lt;$C272,K$251&lt;$H$2),0,MIN($E272-SUM($G272:J272),$F272))</f>
        <v>0</v>
      </c>
      <c r="L272" s="424">
        <f>IF(OR(L$251&lt;$C272,L$251&lt;$H$2),0,MIN($E272-SUM($G272:K272),$F272))</f>
        <v>0</v>
      </c>
      <c r="M272" s="424">
        <f>IF(OR(M$251&lt;$C272,M$251&lt;$H$2),0,MIN($E272-SUM($G272:L272),$F272))</f>
        <v>0</v>
      </c>
      <c r="N272" s="424">
        <f>IF(OR(N$251&lt;$C272,N$251&lt;$H$2),0,MIN($E272-SUM($G272:M272),$F272))</f>
        <v>0</v>
      </c>
      <c r="O272" s="424">
        <f>IF(OR(O$251&lt;$C272,O$251&lt;$H$2),0,MIN($E272-SUM($G272:N272),$F272))</f>
        <v>0</v>
      </c>
      <c r="P272" s="424">
        <f>IF(OR(P$251&lt;$C272,P$251&lt;$H$2),0,MIN($E272-SUM($G272:O272),$F272))</f>
        <v>0</v>
      </c>
      <c r="Q272" s="424">
        <f>IF(OR(Q$251&lt;$C272,Q$251&lt;$H$2),0,MIN($E272-SUM($G272:P272),$F272))</f>
        <v>0</v>
      </c>
      <c r="R272" s="424">
        <f>IF(OR(R$251&lt;$C272,R$251&lt;$H$2),0,MIN($E272-SUM($G272:Q272),$F272))</f>
        <v>0</v>
      </c>
      <c r="S272" s="424">
        <f>IF(OR(S$251&lt;$C272,S$251&lt;$H$2),0,MIN($E272-SUM($G272:R272),$F272))</f>
        <v>0</v>
      </c>
      <c r="T272" s="424">
        <f>IF(OR(T$251&lt;$C272,T$251&lt;$H$2),0,MIN($E272-SUM($G272:S272),$F272))</f>
        <v>0</v>
      </c>
      <c r="U272" s="424">
        <f>IF(OR(U$251&lt;$C272,U$251&lt;$H$2),0,MIN($E272-SUM($G272:T272),$F272))</f>
        <v>0</v>
      </c>
      <c r="V272" s="424">
        <f>IF(OR(V$251&lt;$C272,V$251&lt;$H$2),0,MIN($E272-SUM($G272:U272),$F272))</f>
        <v>0</v>
      </c>
      <c r="W272" s="424">
        <f>IF(OR(W$251&lt;$C272,W$251&lt;$H$2),0,MIN($E272-SUM($G272:V272),$F272))</f>
        <v>0</v>
      </c>
      <c r="X272" s="424">
        <f>IF(OR(X$251&lt;$C272,X$251&lt;$H$2),0,MIN($E272-SUM($G272:W272),$F272))</f>
        <v>0</v>
      </c>
      <c r="Y272" s="424">
        <f>IF(OR(Y$251&lt;$C272,Y$251&lt;$H$2),0,MIN($E272-SUM($G272:X272),$F272))</f>
        <v>0</v>
      </c>
      <c r="Z272" s="424">
        <f>IF(OR(Z$251&lt;$C272,Z$251&lt;$H$2),0,MIN($E272-SUM($G272:Y272),$F272))</f>
        <v>5.5057181846784857</v>
      </c>
      <c r="AA272" s="424">
        <f>IF(OR(AA$251&lt;$C272,AA$251&lt;$H$2),0,MIN($E272-SUM($G272:Z272),$F272))</f>
        <v>5.5057181846784857</v>
      </c>
      <c r="AB272" s="424">
        <f>IF(OR(AB$251&lt;$C272,AB$251&lt;$H$2),0,MIN($E272-SUM($G272:AA272),$F272))</f>
        <v>5.5057181846784857</v>
      </c>
      <c r="AC272" s="424">
        <f>IF(OR(AC$251&lt;$C272,AC$251&lt;$H$2),0,MIN($E272-SUM($G272:AB272),$F272))</f>
        <v>5.5057181846784857</v>
      </c>
      <c r="AD272" s="424">
        <f>IF(OR(AD$251&lt;$C272,AD$251&lt;$H$2),0,MIN($E272-SUM($G272:AC272),$F272))</f>
        <v>5.5057181846784857</v>
      </c>
    </row>
    <row r="273" spans="3:30">
      <c r="C273" s="201">
        <v>52977</v>
      </c>
      <c r="D273" s="94" t="s">
        <v>134</v>
      </c>
      <c r="E273" s="424">
        <f t="shared" si="124"/>
        <v>203.02134661351636</v>
      </c>
      <c r="F273" s="209">
        <f t="shared" si="125"/>
        <v>24.118935977685744</v>
      </c>
      <c r="H273" s="424">
        <f>IF(OR(H$251&lt;$C273,H$251&lt;$H$2),0,MIN($E273-SUM($G273:G273),$F273))</f>
        <v>0</v>
      </c>
      <c r="I273" s="424">
        <f>IF(OR(I$251&lt;$C273,I$251&lt;$H$2),0,MIN($E273-SUM($G273:H273),$F273))</f>
        <v>0</v>
      </c>
      <c r="J273" s="424">
        <f>IF(OR(J$251&lt;$C273,J$251&lt;$H$2),0,MIN($E273-SUM($G273:I273),$F273))</f>
        <v>0</v>
      </c>
      <c r="K273" s="424">
        <f>IF(OR(K$251&lt;$C273,K$251&lt;$H$2),0,MIN($E273-SUM($G273:J273),$F273))</f>
        <v>0</v>
      </c>
      <c r="L273" s="424">
        <f>IF(OR(L$251&lt;$C273,L$251&lt;$H$2),0,MIN($E273-SUM($G273:K273),$F273))</f>
        <v>0</v>
      </c>
      <c r="M273" s="424">
        <f>IF(OR(M$251&lt;$C273,M$251&lt;$H$2),0,MIN($E273-SUM($G273:L273),$F273))</f>
        <v>0</v>
      </c>
      <c r="N273" s="424">
        <f>IF(OR(N$251&lt;$C273,N$251&lt;$H$2),0,MIN($E273-SUM($G273:M273),$F273))</f>
        <v>0</v>
      </c>
      <c r="O273" s="424">
        <f>IF(OR(O$251&lt;$C273,O$251&lt;$H$2),0,MIN($E273-SUM($G273:N273),$F273))</f>
        <v>0</v>
      </c>
      <c r="P273" s="424">
        <f>IF(OR(P$251&lt;$C273,P$251&lt;$H$2),0,MIN($E273-SUM($G273:O273),$F273))</f>
        <v>0</v>
      </c>
      <c r="Q273" s="424">
        <f>IF(OR(Q$251&lt;$C273,Q$251&lt;$H$2),0,MIN($E273-SUM($G273:P273),$F273))</f>
        <v>0</v>
      </c>
      <c r="R273" s="424">
        <f>IF(OR(R$251&lt;$C273,R$251&lt;$H$2),0,MIN($E273-SUM($G273:Q273),$F273))</f>
        <v>0</v>
      </c>
      <c r="S273" s="424">
        <f>IF(OR(S$251&lt;$C273,S$251&lt;$H$2),0,MIN($E273-SUM($G273:R273),$F273))</f>
        <v>0</v>
      </c>
      <c r="T273" s="424">
        <f>IF(OR(T$251&lt;$C273,T$251&lt;$H$2),0,MIN($E273-SUM($G273:S273),$F273))</f>
        <v>0</v>
      </c>
      <c r="U273" s="424">
        <f>IF(OR(U$251&lt;$C273,U$251&lt;$H$2),0,MIN($E273-SUM($G273:T273),$F273))</f>
        <v>0</v>
      </c>
      <c r="V273" s="424">
        <f>IF(OR(V$251&lt;$C273,V$251&lt;$H$2),0,MIN($E273-SUM($G273:U273),$F273))</f>
        <v>0</v>
      </c>
      <c r="W273" s="424">
        <f>IF(OR(W$251&lt;$C273,W$251&lt;$H$2),0,MIN($E273-SUM($G273:V273),$F273))</f>
        <v>0</v>
      </c>
      <c r="X273" s="424">
        <f>IF(OR(X$251&lt;$C273,X$251&lt;$H$2),0,MIN($E273-SUM($G273:W273),$F273))</f>
        <v>0</v>
      </c>
      <c r="Y273" s="424">
        <f>IF(OR(Y$251&lt;$C273,Y$251&lt;$H$2),0,MIN($E273-SUM($G273:X273),$F273))</f>
        <v>0</v>
      </c>
      <c r="Z273" s="424">
        <f>IF(OR(Z$251&lt;$C273,Z$251&lt;$H$2),0,MIN($E273-SUM($G273:Y273),$F273))</f>
        <v>0</v>
      </c>
      <c r="AA273" s="424">
        <f>IF(OR(AA$251&lt;$C273,AA$251&lt;$H$2),0,MIN($E273-SUM($G273:Z273),$F273))</f>
        <v>24.118935977685744</v>
      </c>
      <c r="AB273" s="424">
        <f>IF(OR(AB$251&lt;$C273,AB$251&lt;$H$2),0,MIN($E273-SUM($G273:AA273),$F273))</f>
        <v>24.118935977685744</v>
      </c>
      <c r="AC273" s="424">
        <f>IF(OR(AC$251&lt;$C273,AC$251&lt;$H$2),0,MIN($E273-SUM($G273:AB273),$F273))</f>
        <v>24.118935977685744</v>
      </c>
      <c r="AD273" s="424">
        <f>IF(OR(AD$251&lt;$C273,AD$251&lt;$H$2),0,MIN($E273-SUM($G273:AC273),$F273))</f>
        <v>24.118935977685744</v>
      </c>
    </row>
    <row r="274" spans="3:30">
      <c r="C274" s="201">
        <v>53343</v>
      </c>
      <c r="D274" s="94" t="s">
        <v>134</v>
      </c>
      <c r="E274" s="424">
        <f t="shared" si="124"/>
        <v>28.090261163960317</v>
      </c>
      <c r="F274" s="209">
        <f t="shared" si="125"/>
        <v>3.3371230262784857</v>
      </c>
      <c r="H274" s="424">
        <f>IF(OR(H$251&lt;$C274,H$251&lt;$H$2),0,MIN($E274-SUM($G274:G274),$F274))</f>
        <v>0</v>
      </c>
      <c r="I274" s="424">
        <f>IF(OR(I$251&lt;$C274,I$251&lt;$H$2),0,MIN($E274-SUM($G274:H274),$F274))</f>
        <v>0</v>
      </c>
      <c r="J274" s="424">
        <f>IF(OR(J$251&lt;$C274,J$251&lt;$H$2),0,MIN($E274-SUM($G274:I274),$F274))</f>
        <v>0</v>
      </c>
      <c r="K274" s="424">
        <f>IF(OR(K$251&lt;$C274,K$251&lt;$H$2),0,MIN($E274-SUM($G274:J274),$F274))</f>
        <v>0</v>
      </c>
      <c r="L274" s="424">
        <f>IF(OR(L$251&lt;$C274,L$251&lt;$H$2),0,MIN($E274-SUM($G274:K274),$F274))</f>
        <v>0</v>
      </c>
      <c r="M274" s="424">
        <f>IF(OR(M$251&lt;$C274,M$251&lt;$H$2),0,MIN($E274-SUM($G274:L274),$F274))</f>
        <v>0</v>
      </c>
      <c r="N274" s="424">
        <f>IF(OR(N$251&lt;$C274,N$251&lt;$H$2),0,MIN($E274-SUM($G274:M274),$F274))</f>
        <v>0</v>
      </c>
      <c r="O274" s="424">
        <f>IF(OR(O$251&lt;$C274,O$251&lt;$H$2),0,MIN($E274-SUM($G274:N274),$F274))</f>
        <v>0</v>
      </c>
      <c r="P274" s="424">
        <f>IF(OR(P$251&lt;$C274,P$251&lt;$H$2),0,MIN($E274-SUM($G274:O274),$F274))</f>
        <v>0</v>
      </c>
      <c r="Q274" s="424">
        <f>IF(OR(Q$251&lt;$C274,Q$251&lt;$H$2),0,MIN($E274-SUM($G274:P274),$F274))</f>
        <v>0</v>
      </c>
      <c r="R274" s="424">
        <f>IF(OR(R$251&lt;$C274,R$251&lt;$H$2),0,MIN($E274-SUM($G274:Q274),$F274))</f>
        <v>0</v>
      </c>
      <c r="S274" s="424">
        <f>IF(OR(S$251&lt;$C274,S$251&lt;$H$2),0,MIN($E274-SUM($G274:R274),$F274))</f>
        <v>0</v>
      </c>
      <c r="T274" s="424">
        <f>IF(OR(T$251&lt;$C274,T$251&lt;$H$2),0,MIN($E274-SUM($G274:S274),$F274))</f>
        <v>0</v>
      </c>
      <c r="U274" s="424">
        <f>IF(OR(U$251&lt;$C274,U$251&lt;$H$2),0,MIN($E274-SUM($G274:T274),$F274))</f>
        <v>0</v>
      </c>
      <c r="V274" s="424">
        <f>IF(OR(V$251&lt;$C274,V$251&lt;$H$2),0,MIN($E274-SUM($G274:U274),$F274))</f>
        <v>0</v>
      </c>
      <c r="W274" s="424">
        <f>IF(OR(W$251&lt;$C274,W$251&lt;$H$2),0,MIN($E274-SUM($G274:V274),$F274))</f>
        <v>0</v>
      </c>
      <c r="X274" s="424">
        <f>IF(OR(X$251&lt;$C274,X$251&lt;$H$2),0,MIN($E274-SUM($G274:W274),$F274))</f>
        <v>0</v>
      </c>
      <c r="Y274" s="424">
        <f>IF(OR(Y$251&lt;$C274,Y$251&lt;$H$2),0,MIN($E274-SUM($G274:X274),$F274))</f>
        <v>0</v>
      </c>
      <c r="Z274" s="424">
        <f>IF(OR(Z$251&lt;$C274,Z$251&lt;$H$2),0,MIN($E274-SUM($G274:Y274),$F274))</f>
        <v>0</v>
      </c>
      <c r="AA274" s="424">
        <f>IF(OR(AA$251&lt;$C274,AA$251&lt;$H$2),0,MIN($E274-SUM($G274:Z274),$F274))</f>
        <v>0</v>
      </c>
      <c r="AB274" s="424">
        <f>IF(OR(AB$251&lt;$C274,AB$251&lt;$H$2),0,MIN($E274-SUM($G274:AA274),$F274))</f>
        <v>3.3371230262784857</v>
      </c>
      <c r="AC274" s="424">
        <f>IF(OR(AC$251&lt;$C274,AC$251&lt;$H$2),0,MIN($E274-SUM($G274:AB274),$F274))</f>
        <v>3.3371230262784857</v>
      </c>
      <c r="AD274" s="424">
        <f>IF(OR(AD$251&lt;$C274,AD$251&lt;$H$2),0,MIN($E274-SUM($G274:AC274),$F274))</f>
        <v>3.3371230262784857</v>
      </c>
    </row>
    <row r="275" spans="3:30">
      <c r="C275" s="201">
        <v>53709</v>
      </c>
      <c r="D275" s="94" t="s">
        <v>134</v>
      </c>
      <c r="E275" s="424">
        <f t="shared" si="124"/>
        <v>93.352162613516413</v>
      </c>
      <c r="F275" s="209">
        <f t="shared" si="125"/>
        <v>11.090236918485751</v>
      </c>
      <c r="H275" s="424">
        <f>IF(OR(H$251&lt;$C275,H$251&lt;$H$2),0,MIN($E275-SUM($G275:G275),$F275))</f>
        <v>0</v>
      </c>
      <c r="I275" s="424">
        <f>IF(OR(I$251&lt;$C275,I$251&lt;$H$2),0,MIN($E275-SUM($G275:H275),$F275))</f>
        <v>0</v>
      </c>
      <c r="J275" s="424">
        <f>IF(OR(J$251&lt;$C275,J$251&lt;$H$2),0,MIN($E275-SUM($G275:I275),$F275))</f>
        <v>0</v>
      </c>
      <c r="K275" s="424">
        <f>IF(OR(K$251&lt;$C275,K$251&lt;$H$2),0,MIN($E275-SUM($G275:J275),$F275))</f>
        <v>0</v>
      </c>
      <c r="L275" s="424">
        <f>IF(OR(L$251&lt;$C275,L$251&lt;$H$2),0,MIN($E275-SUM($G275:K275),$F275))</f>
        <v>0</v>
      </c>
      <c r="M275" s="424">
        <f>IF(OR(M$251&lt;$C275,M$251&lt;$H$2),0,MIN($E275-SUM($G275:L275),$F275))</f>
        <v>0</v>
      </c>
      <c r="N275" s="424">
        <f>IF(OR(N$251&lt;$C275,N$251&lt;$H$2),0,MIN($E275-SUM($G275:M275),$F275))</f>
        <v>0</v>
      </c>
      <c r="O275" s="424">
        <f>IF(OR(O$251&lt;$C275,O$251&lt;$H$2),0,MIN($E275-SUM($G275:N275),$F275))</f>
        <v>0</v>
      </c>
      <c r="P275" s="424">
        <f>IF(OR(P$251&lt;$C275,P$251&lt;$H$2),0,MIN($E275-SUM($G275:O275),$F275))</f>
        <v>0</v>
      </c>
      <c r="Q275" s="424">
        <f>IF(OR(Q$251&lt;$C275,Q$251&lt;$H$2),0,MIN($E275-SUM($G275:P275),$F275))</f>
        <v>0</v>
      </c>
      <c r="R275" s="424">
        <f>IF(OR(R$251&lt;$C275,R$251&lt;$H$2),0,MIN($E275-SUM($G275:Q275),$F275))</f>
        <v>0</v>
      </c>
      <c r="S275" s="424">
        <f>IF(OR(S$251&lt;$C275,S$251&lt;$H$2),0,MIN($E275-SUM($G275:R275),$F275))</f>
        <v>0</v>
      </c>
      <c r="T275" s="424">
        <f>IF(OR(T$251&lt;$C275,T$251&lt;$H$2),0,MIN($E275-SUM($G275:S275),$F275))</f>
        <v>0</v>
      </c>
      <c r="U275" s="424">
        <f>IF(OR(U$251&lt;$C275,U$251&lt;$H$2),0,MIN($E275-SUM($G275:T275),$F275))</f>
        <v>0</v>
      </c>
      <c r="V275" s="424">
        <f>IF(OR(V$251&lt;$C275,V$251&lt;$H$2),0,MIN($E275-SUM($G275:U275),$F275))</f>
        <v>0</v>
      </c>
      <c r="W275" s="424">
        <f>IF(OR(W$251&lt;$C275,W$251&lt;$H$2),0,MIN($E275-SUM($G275:V275),$F275))</f>
        <v>0</v>
      </c>
      <c r="X275" s="424">
        <f>IF(OR(X$251&lt;$C275,X$251&lt;$H$2),0,MIN($E275-SUM($G275:W275),$F275))</f>
        <v>0</v>
      </c>
      <c r="Y275" s="424">
        <f>IF(OR(Y$251&lt;$C275,Y$251&lt;$H$2),0,MIN($E275-SUM($G275:X275),$F275))</f>
        <v>0</v>
      </c>
      <c r="Z275" s="424">
        <f>IF(OR(Z$251&lt;$C275,Z$251&lt;$H$2),0,MIN($E275-SUM($G275:Y275),$F275))</f>
        <v>0</v>
      </c>
      <c r="AA275" s="424">
        <f>IF(OR(AA$251&lt;$C275,AA$251&lt;$H$2),0,MIN($E275-SUM($G275:Z275),$F275))</f>
        <v>0</v>
      </c>
      <c r="AB275" s="424">
        <f>IF(OR(AB$251&lt;$C275,AB$251&lt;$H$2),0,MIN($E275-SUM($G275:AA275),$F275))</f>
        <v>0</v>
      </c>
      <c r="AC275" s="424">
        <f>IF(OR(AC$251&lt;$C275,AC$251&lt;$H$2),0,MIN($E275-SUM($G275:AB275),$F275))</f>
        <v>11.090236918485751</v>
      </c>
      <c r="AD275" s="424">
        <f>IF(OR(AD$251&lt;$C275,AD$251&lt;$H$2),0,MIN($E275-SUM($G275:AC275),$F275))</f>
        <v>11.090236918485751</v>
      </c>
    </row>
    <row r="276" spans="3:30">
      <c r="C276" s="201">
        <v>54075</v>
      </c>
      <c r="D276" s="94" t="s">
        <v>134</v>
      </c>
      <c r="E276" s="424">
        <f t="shared" si="124"/>
        <v>157.0256</v>
      </c>
      <c r="F276" s="209">
        <f t="shared" si="125"/>
        <v>18.65464128</v>
      </c>
      <c r="H276" s="424">
        <f>IF(OR(H$251&lt;$C276,H$251&lt;$H$2),0,MIN($E276-SUM($G276:G276),$F276))</f>
        <v>0</v>
      </c>
      <c r="I276" s="424">
        <f>IF(OR(I$251&lt;$C276,I$251&lt;$H$2),0,MIN($E276-SUM($G276:H276),$F276))</f>
        <v>0</v>
      </c>
      <c r="J276" s="424">
        <f>IF(OR(J$251&lt;$C276,J$251&lt;$H$2),0,MIN($E276-SUM($G276:I276),$F276))</f>
        <v>0</v>
      </c>
      <c r="K276" s="424">
        <f>IF(OR(K$251&lt;$C276,K$251&lt;$H$2),0,MIN($E276-SUM($G276:J276),$F276))</f>
        <v>0</v>
      </c>
      <c r="L276" s="424">
        <f>IF(OR(L$251&lt;$C276,L$251&lt;$H$2),0,MIN($E276-SUM($G276:K276),$F276))</f>
        <v>0</v>
      </c>
      <c r="M276" s="424">
        <f>IF(OR(M$251&lt;$C276,M$251&lt;$H$2),0,MIN($E276-SUM($G276:L276),$F276))</f>
        <v>0</v>
      </c>
      <c r="N276" s="424">
        <f>IF(OR(N$251&lt;$C276,N$251&lt;$H$2),0,MIN($E276-SUM($G276:M276),$F276))</f>
        <v>0</v>
      </c>
      <c r="O276" s="424">
        <f>IF(OR(O$251&lt;$C276,O$251&lt;$H$2),0,MIN($E276-SUM($G276:N276),$F276))</f>
        <v>0</v>
      </c>
      <c r="P276" s="424">
        <f>IF(OR(P$251&lt;$C276,P$251&lt;$H$2),0,MIN($E276-SUM($G276:O276),$F276))</f>
        <v>0</v>
      </c>
      <c r="Q276" s="424">
        <f>IF(OR(Q$251&lt;$C276,Q$251&lt;$H$2),0,MIN($E276-SUM($G276:P276),$F276))</f>
        <v>0</v>
      </c>
      <c r="R276" s="424">
        <f>IF(OR(R$251&lt;$C276,R$251&lt;$H$2),0,MIN($E276-SUM($G276:Q276),$F276))</f>
        <v>0</v>
      </c>
      <c r="S276" s="424">
        <f>IF(OR(S$251&lt;$C276,S$251&lt;$H$2),0,MIN($E276-SUM($G276:R276),$F276))</f>
        <v>0</v>
      </c>
      <c r="T276" s="424">
        <f>IF(OR(T$251&lt;$C276,T$251&lt;$H$2),0,MIN($E276-SUM($G276:S276),$F276))</f>
        <v>0</v>
      </c>
      <c r="U276" s="424">
        <f>IF(OR(U$251&lt;$C276,U$251&lt;$H$2),0,MIN($E276-SUM($G276:T276),$F276))</f>
        <v>0</v>
      </c>
      <c r="V276" s="424">
        <f>IF(OR(V$251&lt;$C276,V$251&lt;$H$2),0,MIN($E276-SUM($G276:U276),$F276))</f>
        <v>0</v>
      </c>
      <c r="W276" s="424">
        <f>IF(OR(W$251&lt;$C276,W$251&lt;$H$2),0,MIN($E276-SUM($G276:V276),$F276))</f>
        <v>0</v>
      </c>
      <c r="X276" s="424">
        <f>IF(OR(X$251&lt;$C276,X$251&lt;$H$2),0,MIN($E276-SUM($G276:W276),$F276))</f>
        <v>0</v>
      </c>
      <c r="Y276" s="424">
        <f>IF(OR(Y$251&lt;$C276,Y$251&lt;$H$2),0,MIN($E276-SUM($G276:X276),$F276))</f>
        <v>0</v>
      </c>
      <c r="Z276" s="424">
        <f>IF(OR(Z$251&lt;$C276,Z$251&lt;$H$2),0,MIN($E276-SUM($G276:Y276),$F276))</f>
        <v>0</v>
      </c>
      <c r="AA276" s="424">
        <f>IF(OR(AA$251&lt;$C276,AA$251&lt;$H$2),0,MIN($E276-SUM($G276:Z276),$F276))</f>
        <v>0</v>
      </c>
      <c r="AB276" s="424">
        <f>IF(OR(AB$251&lt;$C276,AB$251&lt;$H$2),0,MIN($E276-SUM($G276:AA276),$F276))</f>
        <v>0</v>
      </c>
      <c r="AC276" s="424">
        <f>IF(OR(AC$251&lt;$C276,AC$251&lt;$H$2),0,MIN($E276-SUM($G276:AB276),$F276))</f>
        <v>0</v>
      </c>
      <c r="AD276" s="424">
        <f>IF(OR(AD$251&lt;$C276,AD$251&lt;$H$2),0,MIN($E276-SUM($G276:AC276),$F276))</f>
        <v>18.65464128</v>
      </c>
    </row>
    <row r="277" spans="3:30" ht="14" thickBot="1">
      <c r="C277" s="240" t="s">
        <v>543</v>
      </c>
      <c r="D277" s="348" t="s">
        <v>134</v>
      </c>
      <c r="E277" s="427">
        <f>SUM(E254:E276)</f>
        <v>2066.5645966378279</v>
      </c>
      <c r="F277" s="427">
        <f>SUM(F254:F276)</f>
        <v>245.50787408057386</v>
      </c>
      <c r="G277" s="348"/>
      <c r="H277" s="427">
        <f t="shared" ref="H277:AD277" si="126">SUM(H254:H276)</f>
        <v>0</v>
      </c>
      <c r="I277" s="427">
        <f t="shared" si="126"/>
        <v>0</v>
      </c>
      <c r="J277" s="427">
        <f t="shared" si="126"/>
        <v>0</v>
      </c>
      <c r="K277" s="427">
        <f t="shared" si="126"/>
        <v>0</v>
      </c>
      <c r="L277" s="427">
        <f t="shared" si="126"/>
        <v>15.934178135004236</v>
      </c>
      <c r="M277" s="427">
        <f t="shared" si="126"/>
        <v>17.701518215004235</v>
      </c>
      <c r="N277" s="427">
        <f t="shared" si="126"/>
        <v>30.634404430008473</v>
      </c>
      <c r="O277" s="427">
        <f t="shared" si="126"/>
        <v>62.950752036408474</v>
      </c>
      <c r="P277" s="427">
        <f t="shared" si="126"/>
        <v>66.040403594808481</v>
      </c>
      <c r="Q277" s="427">
        <f t="shared" si="126"/>
        <v>89.823425134008488</v>
      </c>
      <c r="R277" s="427">
        <f t="shared" si="126"/>
        <v>93.268625134008488</v>
      </c>
      <c r="S277" s="427">
        <f t="shared" si="126"/>
        <v>102.91706944028698</v>
      </c>
      <c r="T277" s="427">
        <f t="shared" si="126"/>
        <v>111.98947952272557</v>
      </c>
      <c r="U277" s="427">
        <f t="shared" si="126"/>
        <v>113.25289377156122</v>
      </c>
      <c r="V277" s="427">
        <f t="shared" si="126"/>
        <v>116.62977193399983</v>
      </c>
      <c r="W277" s="427">
        <f t="shared" si="126"/>
        <v>95.561374569196943</v>
      </c>
      <c r="X277" s="427">
        <f t="shared" si="126"/>
        <v>90.224391234796968</v>
      </c>
      <c r="Y277" s="427">
        <f t="shared" si="126"/>
        <v>102.90740524583693</v>
      </c>
      <c r="Z277" s="427">
        <f t="shared" si="126"/>
        <v>96.476711744115448</v>
      </c>
      <c r="AA277" s="427">
        <f t="shared" si="126"/>
        <v>113.53711012925515</v>
      </c>
      <c r="AB277" s="427">
        <f t="shared" si="126"/>
        <v>102.1549139618012</v>
      </c>
      <c r="AC277" s="427">
        <f t="shared" si="126"/>
        <v>100.3715336077409</v>
      </c>
      <c r="AD277" s="427">
        <f t="shared" si="126"/>
        <v>108.50644753400846</v>
      </c>
    </row>
    <row r="278" spans="3:30" ht="14" thickTop="1"/>
    <row r="279" spans="3:30" ht="28">
      <c r="C279" s="428" t="s">
        <v>166</v>
      </c>
      <c r="D279" s="428" t="s">
        <v>88</v>
      </c>
      <c r="E279" s="428" t="s">
        <v>555</v>
      </c>
      <c r="F279" s="429" t="s">
        <v>556</v>
      </c>
      <c r="G279" s="430"/>
      <c r="H279" s="201">
        <f t="shared" ref="H279:AD279" si="127">H251</f>
        <v>46023</v>
      </c>
      <c r="I279" s="201">
        <f t="shared" si="127"/>
        <v>46389</v>
      </c>
      <c r="J279" s="201">
        <f t="shared" si="127"/>
        <v>46755</v>
      </c>
      <c r="K279" s="201">
        <f t="shared" si="127"/>
        <v>47121</v>
      </c>
      <c r="L279" s="201">
        <f t="shared" si="127"/>
        <v>47487</v>
      </c>
      <c r="M279" s="201">
        <f t="shared" si="127"/>
        <v>47853</v>
      </c>
      <c r="N279" s="201">
        <f t="shared" si="127"/>
        <v>48219</v>
      </c>
      <c r="O279" s="201">
        <f t="shared" si="127"/>
        <v>48585</v>
      </c>
      <c r="P279" s="201">
        <f t="shared" si="127"/>
        <v>48951</v>
      </c>
      <c r="Q279" s="201">
        <f t="shared" si="127"/>
        <v>49317</v>
      </c>
      <c r="R279" s="201">
        <f t="shared" si="127"/>
        <v>49683</v>
      </c>
      <c r="S279" s="201">
        <f t="shared" si="127"/>
        <v>50049</v>
      </c>
      <c r="T279" s="201">
        <f t="shared" si="127"/>
        <v>50415</v>
      </c>
      <c r="U279" s="201">
        <f t="shared" si="127"/>
        <v>50781</v>
      </c>
      <c r="V279" s="201">
        <f t="shared" si="127"/>
        <v>51147</v>
      </c>
      <c r="W279" s="201">
        <f t="shared" si="127"/>
        <v>51513</v>
      </c>
      <c r="X279" s="201">
        <f t="shared" si="127"/>
        <v>51879</v>
      </c>
      <c r="Y279" s="201">
        <f t="shared" si="127"/>
        <v>52245</v>
      </c>
      <c r="Z279" s="201">
        <f t="shared" si="127"/>
        <v>52611</v>
      </c>
      <c r="AA279" s="201">
        <f t="shared" si="127"/>
        <v>52977</v>
      </c>
      <c r="AB279" s="201">
        <f t="shared" si="127"/>
        <v>53343</v>
      </c>
      <c r="AC279" s="201">
        <f t="shared" si="127"/>
        <v>53709</v>
      </c>
      <c r="AD279" s="201">
        <f t="shared" si="127"/>
        <v>54075</v>
      </c>
    </row>
    <row r="280" spans="3:30">
      <c r="C280" s="430"/>
      <c r="D280" s="430"/>
      <c r="E280" s="428" t="s">
        <v>134</v>
      </c>
      <c r="F280" s="428" t="s">
        <v>134</v>
      </c>
      <c r="G280" s="430"/>
      <c r="H280" s="1141">
        <f t="shared" ref="H280:AD280" si="128">H252</f>
        <v>-4</v>
      </c>
      <c r="I280" s="1141">
        <f t="shared" si="128"/>
        <v>-3</v>
      </c>
      <c r="J280" s="1141">
        <f t="shared" si="128"/>
        <v>-2</v>
      </c>
      <c r="K280" s="1141">
        <f t="shared" si="128"/>
        <v>-1</v>
      </c>
      <c r="L280" s="1141">
        <f t="shared" si="128"/>
        <v>1</v>
      </c>
      <c r="M280" s="1141">
        <f t="shared" si="128"/>
        <v>2</v>
      </c>
      <c r="N280" s="1141">
        <f t="shared" si="128"/>
        <v>3</v>
      </c>
      <c r="O280" s="1141">
        <f t="shared" si="128"/>
        <v>4</v>
      </c>
      <c r="P280" s="1141">
        <f t="shared" si="128"/>
        <v>5</v>
      </c>
      <c r="Q280" s="1141">
        <f t="shared" si="128"/>
        <v>6</v>
      </c>
      <c r="R280" s="1141">
        <f t="shared" si="128"/>
        <v>7</v>
      </c>
      <c r="S280" s="1141">
        <f t="shared" si="128"/>
        <v>8</v>
      </c>
      <c r="T280" s="1141">
        <f t="shared" si="128"/>
        <v>9</v>
      </c>
      <c r="U280" s="1141">
        <f t="shared" si="128"/>
        <v>10</v>
      </c>
      <c r="V280" s="1141">
        <f t="shared" si="128"/>
        <v>11</v>
      </c>
      <c r="W280" s="1141">
        <f t="shared" si="128"/>
        <v>12</v>
      </c>
      <c r="X280" s="1141">
        <f t="shared" si="128"/>
        <v>13</v>
      </c>
      <c r="Y280" s="1141">
        <f t="shared" si="128"/>
        <v>14</v>
      </c>
      <c r="Z280" s="1141">
        <f t="shared" si="128"/>
        <v>15</v>
      </c>
      <c r="AA280" s="1141">
        <f t="shared" si="128"/>
        <v>16</v>
      </c>
      <c r="AB280" s="1141">
        <f t="shared" si="128"/>
        <v>17</v>
      </c>
      <c r="AC280" s="1141">
        <f t="shared" si="128"/>
        <v>18</v>
      </c>
      <c r="AD280" s="1141">
        <f t="shared" si="128"/>
        <v>19</v>
      </c>
    </row>
    <row r="281" spans="3:30">
      <c r="C281" s="191" t="str">
        <f>C59</f>
        <v>CHP</v>
      </c>
    </row>
    <row r="282" spans="3:30">
      <c r="C282" s="201" cm="1">
        <f t="array" ref="C282:C304">TRANSPOSE(H279:AD279)</f>
        <v>46023</v>
      </c>
      <c r="D282" s="94" t="s">
        <v>134</v>
      </c>
      <c r="E282" s="424">
        <f t="shared" ref="E282:E304" si="129">HLOOKUP($C282,$H$39:$AI$112,23,FALSE)</f>
        <v>0</v>
      </c>
      <c r="F282" s="209">
        <f>E282*$F$59</f>
        <v>0</v>
      </c>
      <c r="H282" s="424">
        <f>IF(OR(H$279&lt;$C282,H$279&lt;$H$2),0,MIN($E282-SUM($G282:G282),$F282))</f>
        <v>0</v>
      </c>
      <c r="I282" s="424">
        <f>IF(OR(I$279&lt;$C282,I$279&lt;$H$2),0,MIN($E282-SUM($G282:H282),$F282))</f>
        <v>0</v>
      </c>
      <c r="J282" s="424">
        <f>IF(OR(J$279&lt;$C282,J$279&lt;$H$2),0,MIN($E282-SUM($G282:I282),$F282))</f>
        <v>0</v>
      </c>
      <c r="K282" s="424">
        <f>IF(OR(K$279&lt;$C282,K$279&lt;$H$2),0,MIN($E282-SUM($G282:J282),$F282))</f>
        <v>0</v>
      </c>
      <c r="L282" s="424">
        <f>IF(OR(L$279&lt;$C282,L$279&lt;$H$2),0,MIN($E282-SUM($G282:K282),$F282))</f>
        <v>0</v>
      </c>
      <c r="M282" s="424">
        <f>IF(OR(M$279&lt;$C282,M$279&lt;$H$2),0,MIN($E282-SUM($G282:L282),$F282))</f>
        <v>0</v>
      </c>
      <c r="N282" s="424">
        <f>IF(OR(N$279&lt;$C282,N$279&lt;$H$2),0,MIN($E282-SUM($G282:M282),$F282))</f>
        <v>0</v>
      </c>
      <c r="O282" s="424">
        <f>IF(OR(O$279&lt;$C282,O$279&lt;$H$2),0,MIN($E282-SUM($G282:N282),$F282))</f>
        <v>0</v>
      </c>
      <c r="P282" s="424">
        <f>IF(OR(P$279&lt;$C282,P$279&lt;$H$2),0,MIN($E282-SUM($G282:O282),$F282))</f>
        <v>0</v>
      </c>
      <c r="Q282" s="424">
        <f>IF(OR(Q$279&lt;$C282,Q$279&lt;$H$2),0,MIN($E282-SUM($G282:P282),$F282))</f>
        <v>0</v>
      </c>
      <c r="R282" s="424">
        <f>IF(OR(R$279&lt;$C282,R$279&lt;$H$2),0,MIN($E282-SUM($G282:Q282),$F282))</f>
        <v>0</v>
      </c>
      <c r="S282" s="424">
        <f>IF(OR(S$279&lt;$C282,S$279&lt;$H$2),0,MIN($E282-SUM($G282:R282),$F282))</f>
        <v>0</v>
      </c>
      <c r="T282" s="424">
        <f>IF(OR(T$279&lt;$C282,T$279&lt;$H$2),0,MIN($E282-SUM($G282:S282),$F282))</f>
        <v>0</v>
      </c>
      <c r="U282" s="424">
        <f>IF(OR(U$279&lt;$C282,U$279&lt;$H$2),0,MIN($E282-SUM($G282:T282),$F282))</f>
        <v>0</v>
      </c>
      <c r="V282" s="424">
        <f>IF(OR(V$279&lt;$C282,V$279&lt;$H$2),0,MIN($E282-SUM($G282:U282),$F282))</f>
        <v>0</v>
      </c>
      <c r="W282" s="424">
        <f>IF(OR(W$279&lt;$C282,W$279&lt;$H$2),0,MIN($E282-SUM($G282:V282),$F282))</f>
        <v>0</v>
      </c>
      <c r="X282" s="424">
        <f>IF(OR(X$279&lt;$C282,X$279&lt;$H$2),0,MIN($E282-SUM($G282:W282),$F282))</f>
        <v>0</v>
      </c>
      <c r="Y282" s="424">
        <f>IF(OR(Y$279&lt;$C282,Y$279&lt;$H$2),0,MIN($E282-SUM($G282:X282),$F282))</f>
        <v>0</v>
      </c>
      <c r="Z282" s="424">
        <f>IF(OR(Z$279&lt;$C282,Z$279&lt;$H$2),0,MIN($E282-SUM($G282:Y282),$F282))</f>
        <v>0</v>
      </c>
      <c r="AA282" s="424">
        <f>IF(OR(AA$279&lt;$C282,AA$279&lt;$H$2),0,MIN($E282-SUM($G282:Z282),$F282))</f>
        <v>0</v>
      </c>
      <c r="AB282" s="424">
        <f>IF(OR(AB$279&lt;$C282,AB$279&lt;$H$2),0,MIN($E282-SUM($G282:AA282),$F282))</f>
        <v>0</v>
      </c>
      <c r="AC282" s="424">
        <f>IF(OR(AC$279&lt;$C282,AC$279&lt;$H$2),0,MIN($E282-SUM($G282:AB282),$F282))</f>
        <v>0</v>
      </c>
      <c r="AD282" s="424">
        <f>IF(OR(AD$279&lt;$C282,AD$279&lt;$H$2),0,MIN($E282-SUM($G282:AC282),$F282))</f>
        <v>0</v>
      </c>
    </row>
    <row r="283" spans="3:30">
      <c r="C283" s="201">
        <v>46389</v>
      </c>
      <c r="D283" s="94" t="s">
        <v>134</v>
      </c>
      <c r="E283" s="424">
        <f t="shared" si="129"/>
        <v>0</v>
      </c>
      <c r="F283" s="209">
        <f t="shared" ref="F283:F304" si="130">E283*$F$59</f>
        <v>0</v>
      </c>
      <c r="H283" s="424">
        <f>IF(OR(H$279&lt;$C283,H$279&lt;$H$2),0,MIN($E283-SUM($G283:G283),$F283))</f>
        <v>0</v>
      </c>
      <c r="I283" s="424">
        <f>IF(OR(I$279&lt;$C283,I$279&lt;$H$2),0,MIN($E283-SUM($G283:H283),$F283))</f>
        <v>0</v>
      </c>
      <c r="J283" s="424">
        <f>IF(OR(J$279&lt;$C283,J$279&lt;$H$2),0,MIN($E283-SUM($G283:I283),$F283))</f>
        <v>0</v>
      </c>
      <c r="K283" s="424">
        <f>IF(OR(K$279&lt;$C283,K$279&lt;$H$2),0,MIN($E283-SUM($G283:J283),$F283))</f>
        <v>0</v>
      </c>
      <c r="L283" s="424">
        <f>IF(OR(L$279&lt;$C283,L$279&lt;$H$2),0,MIN($E283-SUM($G283:K283),$F283))</f>
        <v>0</v>
      </c>
      <c r="M283" s="424">
        <f>IF(OR(M$279&lt;$C283,M$279&lt;$H$2),0,MIN($E283-SUM($G283:L283),$F283))</f>
        <v>0</v>
      </c>
      <c r="N283" s="424">
        <f>IF(OR(N$279&lt;$C283,N$279&lt;$H$2),0,MIN($E283-SUM($G283:M283),$F283))</f>
        <v>0</v>
      </c>
      <c r="O283" s="424">
        <f>IF(OR(O$279&lt;$C283,O$279&lt;$H$2),0,MIN($E283-SUM($G283:N283),$F283))</f>
        <v>0</v>
      </c>
      <c r="P283" s="424">
        <f>IF(OR(P$279&lt;$C283,P$279&lt;$H$2),0,MIN($E283-SUM($G283:O283),$F283))</f>
        <v>0</v>
      </c>
      <c r="Q283" s="424">
        <f>IF(OR(Q$279&lt;$C283,Q$279&lt;$H$2),0,MIN($E283-SUM($G283:P283),$F283))</f>
        <v>0</v>
      </c>
      <c r="R283" s="424">
        <f>IF(OR(R$279&lt;$C283,R$279&lt;$H$2),0,MIN($E283-SUM($G283:Q283),$F283))</f>
        <v>0</v>
      </c>
      <c r="S283" s="424">
        <f>IF(OR(S$279&lt;$C283,S$279&lt;$H$2),0,MIN($E283-SUM($G283:R283),$F283))</f>
        <v>0</v>
      </c>
      <c r="T283" s="424">
        <f>IF(OR(T$279&lt;$C283,T$279&lt;$H$2),0,MIN($E283-SUM($G283:S283),$F283))</f>
        <v>0</v>
      </c>
      <c r="U283" s="424">
        <f>IF(OR(U$279&lt;$C283,U$279&lt;$H$2),0,MIN($E283-SUM($G283:T283),$F283))</f>
        <v>0</v>
      </c>
      <c r="V283" s="424">
        <f>IF(OR(V$279&lt;$C283,V$279&lt;$H$2),0,MIN($E283-SUM($G283:U283),$F283))</f>
        <v>0</v>
      </c>
      <c r="W283" s="424">
        <f>IF(OR(W$279&lt;$C283,W$279&lt;$H$2),0,MIN($E283-SUM($G283:V283),$F283))</f>
        <v>0</v>
      </c>
      <c r="X283" s="424">
        <f>IF(OR(X$279&lt;$C283,X$279&lt;$H$2),0,MIN($E283-SUM($G283:W283),$F283))</f>
        <v>0</v>
      </c>
      <c r="Y283" s="424">
        <f>IF(OR(Y$279&lt;$C283,Y$279&lt;$H$2),0,MIN($E283-SUM($G283:X283),$F283))</f>
        <v>0</v>
      </c>
      <c r="Z283" s="424">
        <f>IF(OR(Z$279&lt;$C283,Z$279&lt;$H$2),0,MIN($E283-SUM($G283:Y283),$F283))</f>
        <v>0</v>
      </c>
      <c r="AA283" s="424">
        <f>IF(OR(AA$279&lt;$C283,AA$279&lt;$H$2),0,MIN($E283-SUM($G283:Z283),$F283))</f>
        <v>0</v>
      </c>
      <c r="AB283" s="424">
        <f>IF(OR(AB$279&lt;$C283,AB$279&lt;$H$2),0,MIN($E283-SUM($G283:AA283),$F283))</f>
        <v>0</v>
      </c>
      <c r="AC283" s="424">
        <f>IF(OR(AC$279&lt;$C283,AC$279&lt;$H$2),0,MIN($E283-SUM($G283:AB283),$F283))</f>
        <v>0</v>
      </c>
      <c r="AD283" s="424">
        <f>IF(OR(AD$279&lt;$C283,AD$279&lt;$H$2),0,MIN($E283-SUM($G283:AC283),$F283))</f>
        <v>0</v>
      </c>
    </row>
    <row r="284" spans="3:30">
      <c r="C284" s="201">
        <v>46755</v>
      </c>
      <c r="D284" s="94" t="s">
        <v>134</v>
      </c>
      <c r="E284" s="424">
        <f t="shared" si="129"/>
        <v>11.99</v>
      </c>
      <c r="F284" s="209">
        <f t="shared" si="130"/>
        <v>0.79973299999999992</v>
      </c>
      <c r="H284" s="424">
        <f>IF(OR(H$279&lt;$C284,H$279&lt;$H$2),0,MIN($E284-SUM($G284:G284),$F284))</f>
        <v>0</v>
      </c>
      <c r="I284" s="424">
        <f>IF(OR(I$279&lt;$C284,I$279&lt;$H$2),0,MIN($E284-SUM($G284:H284),$F284))</f>
        <v>0</v>
      </c>
      <c r="J284" s="424">
        <f>IF(OR(J$279&lt;$C284,J$279&lt;$H$2),0,MIN($E284-SUM($G284:I284),$F284))</f>
        <v>0.79973299999999992</v>
      </c>
      <c r="K284" s="424">
        <f>IF(OR(K$279&lt;$C284,K$279&lt;$H$2),0,MIN($E284-SUM($G284:J284),$F284))</f>
        <v>0.79973299999999992</v>
      </c>
      <c r="L284" s="424">
        <f>IF(OR(L$279&lt;$C284,L$279&lt;$H$2),0,MIN($E284-SUM($G284:K284),$F284))</f>
        <v>0.79973299999999992</v>
      </c>
      <c r="M284" s="424">
        <f>IF(OR(M$279&lt;$C284,M$279&lt;$H$2),0,MIN($E284-SUM($G284:L284),$F284))</f>
        <v>0.79973299999999992</v>
      </c>
      <c r="N284" s="424">
        <f>IF(OR(N$279&lt;$C284,N$279&lt;$H$2),0,MIN($E284-SUM($G284:M284),$F284))</f>
        <v>0.79973299999999992</v>
      </c>
      <c r="O284" s="424">
        <f>IF(OR(O$279&lt;$C284,O$279&lt;$H$2),0,MIN($E284-SUM($G284:N284),$F284))</f>
        <v>0.79973299999999992</v>
      </c>
      <c r="P284" s="424">
        <f>IF(OR(P$279&lt;$C284,P$279&lt;$H$2),0,MIN($E284-SUM($G284:O284),$F284))</f>
        <v>0.79973299999999992</v>
      </c>
      <c r="Q284" s="424">
        <f>IF(OR(Q$279&lt;$C284,Q$279&lt;$H$2),0,MIN($E284-SUM($G284:P284),$F284))</f>
        <v>0.79973299999999992</v>
      </c>
      <c r="R284" s="424">
        <f>IF(OR(R$279&lt;$C284,R$279&lt;$H$2),0,MIN($E284-SUM($G284:Q284),$F284))</f>
        <v>0.79973299999999992</v>
      </c>
      <c r="S284" s="424">
        <f>IF(OR(S$279&lt;$C284,S$279&lt;$H$2),0,MIN($E284-SUM($G284:R284),$F284))</f>
        <v>0.79973299999999992</v>
      </c>
      <c r="T284" s="424">
        <f>IF(OR(T$279&lt;$C284,T$279&lt;$H$2),0,MIN($E284-SUM($G284:S284),$F284))</f>
        <v>0.79973299999999992</v>
      </c>
      <c r="U284" s="424">
        <f>IF(OR(U$279&lt;$C284,U$279&lt;$H$2),0,MIN($E284-SUM($G284:T284),$F284))</f>
        <v>0.79973299999999992</v>
      </c>
      <c r="V284" s="424">
        <f>IF(OR(V$279&lt;$C284,V$279&lt;$H$2),0,MIN($E284-SUM($G284:U284),$F284))</f>
        <v>0.79973299999999992</v>
      </c>
      <c r="W284" s="424">
        <f>IF(OR(W$279&lt;$C284,W$279&lt;$H$2),0,MIN($E284-SUM($G284:V284),$F284))</f>
        <v>0.79973299999999992</v>
      </c>
      <c r="X284" s="424">
        <f>IF(OR(X$279&lt;$C284,X$279&lt;$H$2),0,MIN($E284-SUM($G284:W284),$F284))</f>
        <v>0.79373800000000116</v>
      </c>
      <c r="Y284" s="424">
        <f>IF(OR(Y$279&lt;$C284,Y$279&lt;$H$2),0,MIN($E284-SUM($G284:X284),$F284))</f>
        <v>0</v>
      </c>
      <c r="Z284" s="424">
        <f>IF(OR(Z$279&lt;$C284,Z$279&lt;$H$2),0,MIN($E284-SUM($G284:Y284),$F284))</f>
        <v>0</v>
      </c>
      <c r="AA284" s="424">
        <f>IF(OR(AA$279&lt;$C284,AA$279&lt;$H$2),0,MIN($E284-SUM($G284:Z284),$F284))</f>
        <v>0</v>
      </c>
      <c r="AB284" s="424">
        <f>IF(OR(AB$279&lt;$C284,AB$279&lt;$H$2),0,MIN($E284-SUM($G284:AA284),$F284))</f>
        <v>0</v>
      </c>
      <c r="AC284" s="424">
        <f>IF(OR(AC$279&lt;$C284,AC$279&lt;$H$2),0,MIN($E284-SUM($G284:AB284),$F284))</f>
        <v>0</v>
      </c>
      <c r="AD284" s="424">
        <f>IF(OR(AD$279&lt;$C284,AD$279&lt;$H$2),0,MIN($E284-SUM($G284:AC284),$F284))</f>
        <v>0</v>
      </c>
    </row>
    <row r="285" spans="3:30">
      <c r="C285" s="201">
        <v>47121</v>
      </c>
      <c r="D285" s="94" t="s">
        <v>134</v>
      </c>
      <c r="E285" s="424">
        <f t="shared" si="129"/>
        <v>89.79249999999999</v>
      </c>
      <c r="F285" s="209">
        <f t="shared" si="130"/>
        <v>5.9891597499999989</v>
      </c>
      <c r="H285" s="424">
        <f>IF(OR(H$279&lt;$C285,H$279&lt;$H$2),0,MIN($E285-SUM($G285:G285),$F285))</f>
        <v>0</v>
      </c>
      <c r="I285" s="424">
        <f>IF(OR(I$279&lt;$C285,I$279&lt;$H$2),0,MIN($E285-SUM($G285:H285),$F285))</f>
        <v>0</v>
      </c>
      <c r="J285" s="424">
        <f>IF(OR(J$279&lt;$C285,J$279&lt;$H$2),0,MIN($E285-SUM($G285:I285),$F285))</f>
        <v>0</v>
      </c>
      <c r="K285" s="424">
        <f>IF(OR(K$279&lt;$C285,K$279&lt;$H$2),0,MIN($E285-SUM($G285:J285),$F285))</f>
        <v>5.9891597499999989</v>
      </c>
      <c r="L285" s="424">
        <f>IF(OR(L$279&lt;$C285,L$279&lt;$H$2),0,MIN($E285-SUM($G285:K285),$F285))</f>
        <v>5.9891597499999989</v>
      </c>
      <c r="M285" s="424">
        <f>IF(OR(M$279&lt;$C285,M$279&lt;$H$2),0,MIN($E285-SUM($G285:L285),$F285))</f>
        <v>5.9891597499999989</v>
      </c>
      <c r="N285" s="424">
        <f>IF(OR(N$279&lt;$C285,N$279&lt;$H$2),0,MIN($E285-SUM($G285:M285),$F285))</f>
        <v>5.9891597499999989</v>
      </c>
      <c r="O285" s="424">
        <f>IF(OR(O$279&lt;$C285,O$279&lt;$H$2),0,MIN($E285-SUM($G285:N285),$F285))</f>
        <v>5.9891597499999989</v>
      </c>
      <c r="P285" s="424">
        <f>IF(OR(P$279&lt;$C285,P$279&lt;$H$2),0,MIN($E285-SUM($G285:O285),$F285))</f>
        <v>5.9891597499999989</v>
      </c>
      <c r="Q285" s="424">
        <f>IF(OR(Q$279&lt;$C285,Q$279&lt;$H$2),0,MIN($E285-SUM($G285:P285),$F285))</f>
        <v>5.9891597499999989</v>
      </c>
      <c r="R285" s="424">
        <f>IF(OR(R$279&lt;$C285,R$279&lt;$H$2),0,MIN($E285-SUM($G285:Q285),$F285))</f>
        <v>5.9891597499999989</v>
      </c>
      <c r="S285" s="424">
        <f>IF(OR(S$279&lt;$C285,S$279&lt;$H$2),0,MIN($E285-SUM($G285:R285),$F285))</f>
        <v>5.9891597499999989</v>
      </c>
      <c r="T285" s="424">
        <f>IF(OR(T$279&lt;$C285,T$279&lt;$H$2),0,MIN($E285-SUM($G285:S285),$F285))</f>
        <v>5.9891597499999989</v>
      </c>
      <c r="U285" s="424">
        <f>IF(OR(U$279&lt;$C285,U$279&lt;$H$2),0,MIN($E285-SUM($G285:T285),$F285))</f>
        <v>5.9891597499999989</v>
      </c>
      <c r="V285" s="424">
        <f>IF(OR(V$279&lt;$C285,V$279&lt;$H$2),0,MIN($E285-SUM($G285:U285),$F285))</f>
        <v>5.9891597499999989</v>
      </c>
      <c r="W285" s="424">
        <f>IF(OR(W$279&lt;$C285,W$279&lt;$H$2),0,MIN($E285-SUM($G285:V285),$F285))</f>
        <v>5.9891597499999989</v>
      </c>
      <c r="X285" s="424">
        <f>IF(OR(X$279&lt;$C285,X$279&lt;$H$2),0,MIN($E285-SUM($G285:W285),$F285))</f>
        <v>5.9891597499999989</v>
      </c>
      <c r="Y285" s="424">
        <f>IF(OR(Y$279&lt;$C285,Y$279&lt;$H$2),0,MIN($E285-SUM($G285:X285),$F285))</f>
        <v>5.9442635000000053</v>
      </c>
      <c r="Z285" s="424">
        <f>IF(OR(Z$279&lt;$C285,Z$279&lt;$H$2),0,MIN($E285-SUM($G285:Y285),$F285))</f>
        <v>0</v>
      </c>
      <c r="AA285" s="424">
        <f>IF(OR(AA$279&lt;$C285,AA$279&lt;$H$2),0,MIN($E285-SUM($G285:Z285),$F285))</f>
        <v>0</v>
      </c>
      <c r="AB285" s="424">
        <f>IF(OR(AB$279&lt;$C285,AB$279&lt;$H$2),0,MIN($E285-SUM($G285:AA285),$F285))</f>
        <v>0</v>
      </c>
      <c r="AC285" s="424">
        <f>IF(OR(AC$279&lt;$C285,AC$279&lt;$H$2),0,MIN($E285-SUM($G285:AB285),$F285))</f>
        <v>0</v>
      </c>
      <c r="AD285" s="424">
        <f>IF(OR(AD$279&lt;$C285,AD$279&lt;$H$2),0,MIN($E285-SUM($G285:AC285),$F285))</f>
        <v>0</v>
      </c>
    </row>
    <row r="286" spans="3:30">
      <c r="C286" s="201">
        <v>47487</v>
      </c>
      <c r="D286" s="94" t="s">
        <v>134</v>
      </c>
      <c r="E286" s="424">
        <f t="shared" si="129"/>
        <v>155.60499999999999</v>
      </c>
      <c r="F286" s="209">
        <f t="shared" si="130"/>
        <v>10.378853499999998</v>
      </c>
      <c r="H286" s="424">
        <f>IF(OR(H$279&lt;$C286,H$279&lt;$H$2),0,MIN($E286-SUM($G286:G286),$F286))</f>
        <v>0</v>
      </c>
      <c r="I286" s="424">
        <f>IF(OR(I$279&lt;$C286,I$279&lt;$H$2),0,MIN($E286-SUM($G286:H286),$F286))</f>
        <v>0</v>
      </c>
      <c r="J286" s="424">
        <f>IF(OR(J$279&lt;$C286,J$279&lt;$H$2),0,MIN($E286-SUM($G286:I286),$F286))</f>
        <v>0</v>
      </c>
      <c r="K286" s="424">
        <f>IF(OR(K$279&lt;$C286,K$279&lt;$H$2),0,MIN($E286-SUM($G286:J286),$F286))</f>
        <v>0</v>
      </c>
      <c r="L286" s="424">
        <f>IF(OR(L$279&lt;$C286,L$279&lt;$H$2),0,MIN($E286-SUM($G286:K286),$F286))</f>
        <v>10.378853499999998</v>
      </c>
      <c r="M286" s="424">
        <f>IF(OR(M$279&lt;$C286,M$279&lt;$H$2),0,MIN($E286-SUM($G286:L286),$F286))</f>
        <v>10.378853499999998</v>
      </c>
      <c r="N286" s="424">
        <f>IF(OR(N$279&lt;$C286,N$279&lt;$H$2),0,MIN($E286-SUM($G286:M286),$F286))</f>
        <v>10.378853499999998</v>
      </c>
      <c r="O286" s="424">
        <f>IF(OR(O$279&lt;$C286,O$279&lt;$H$2),0,MIN($E286-SUM($G286:N286),$F286))</f>
        <v>10.378853499999998</v>
      </c>
      <c r="P286" s="424">
        <f>IF(OR(P$279&lt;$C286,P$279&lt;$H$2),0,MIN($E286-SUM($G286:O286),$F286))</f>
        <v>10.378853499999998</v>
      </c>
      <c r="Q286" s="424">
        <f>IF(OR(Q$279&lt;$C286,Q$279&lt;$H$2),0,MIN($E286-SUM($G286:P286),$F286))</f>
        <v>10.378853499999998</v>
      </c>
      <c r="R286" s="424">
        <f>IF(OR(R$279&lt;$C286,R$279&lt;$H$2),0,MIN($E286-SUM($G286:Q286),$F286))</f>
        <v>10.378853499999998</v>
      </c>
      <c r="S286" s="424">
        <f>IF(OR(S$279&lt;$C286,S$279&lt;$H$2),0,MIN($E286-SUM($G286:R286),$F286))</f>
        <v>10.378853499999998</v>
      </c>
      <c r="T286" s="424">
        <f>IF(OR(T$279&lt;$C286,T$279&lt;$H$2),0,MIN($E286-SUM($G286:S286),$F286))</f>
        <v>10.378853499999998</v>
      </c>
      <c r="U286" s="424">
        <f>IF(OR(U$279&lt;$C286,U$279&lt;$H$2),0,MIN($E286-SUM($G286:T286),$F286))</f>
        <v>10.378853499999998</v>
      </c>
      <c r="V286" s="424">
        <f>IF(OR(V$279&lt;$C286,V$279&lt;$H$2),0,MIN($E286-SUM($G286:U286),$F286))</f>
        <v>10.378853499999998</v>
      </c>
      <c r="W286" s="424">
        <f>IF(OR(W$279&lt;$C286,W$279&lt;$H$2),0,MIN($E286-SUM($G286:V286),$F286))</f>
        <v>10.378853499999998</v>
      </c>
      <c r="X286" s="424">
        <f>IF(OR(X$279&lt;$C286,X$279&lt;$H$2),0,MIN($E286-SUM($G286:W286),$F286))</f>
        <v>10.378853499999998</v>
      </c>
      <c r="Y286" s="424">
        <f>IF(OR(Y$279&lt;$C286,Y$279&lt;$H$2),0,MIN($E286-SUM($G286:X286),$F286))</f>
        <v>10.378853499999998</v>
      </c>
      <c r="Z286" s="424">
        <f>IF(OR(Z$279&lt;$C286,Z$279&lt;$H$2),0,MIN($E286-SUM($G286:Y286),$F286))</f>
        <v>10.301051000000058</v>
      </c>
      <c r="AA286" s="424">
        <f>IF(OR(AA$279&lt;$C286,AA$279&lt;$H$2),0,MIN($E286-SUM($G286:Z286),$F286))</f>
        <v>0</v>
      </c>
      <c r="AB286" s="424">
        <f>IF(OR(AB$279&lt;$C286,AB$279&lt;$H$2),0,MIN($E286-SUM($G286:AA286),$F286))</f>
        <v>0</v>
      </c>
      <c r="AC286" s="424">
        <f>IF(OR(AC$279&lt;$C286,AC$279&lt;$H$2),0,MIN($E286-SUM($G286:AB286),$F286))</f>
        <v>0</v>
      </c>
      <c r="AD286" s="424">
        <f>IF(OR(AD$279&lt;$C286,AD$279&lt;$H$2),0,MIN($E286-SUM($G286:AC286),$F286))</f>
        <v>0</v>
      </c>
    </row>
    <row r="287" spans="3:30">
      <c r="C287" s="201">
        <v>47853</v>
      </c>
      <c r="D287" s="94" t="s">
        <v>134</v>
      </c>
      <c r="E287" s="424">
        <f t="shared" si="129"/>
        <v>77.802499999999995</v>
      </c>
      <c r="F287" s="209">
        <f t="shared" si="130"/>
        <v>5.1894267499999991</v>
      </c>
      <c r="H287" s="424">
        <f>IF(OR(H$279&lt;$C287,H$279&lt;$H$2),0,MIN($E287-SUM($G287:G287),$F287))</f>
        <v>0</v>
      </c>
      <c r="I287" s="424">
        <f>IF(OR(I$279&lt;$C287,I$279&lt;$H$2),0,MIN($E287-SUM($G287:H287),$F287))</f>
        <v>0</v>
      </c>
      <c r="J287" s="424">
        <f>IF(OR(J$279&lt;$C287,J$279&lt;$H$2),0,MIN($E287-SUM($G287:I287),$F287))</f>
        <v>0</v>
      </c>
      <c r="K287" s="424">
        <f>IF(OR(K$279&lt;$C287,K$279&lt;$H$2),0,MIN($E287-SUM($G287:J287),$F287))</f>
        <v>0</v>
      </c>
      <c r="L287" s="424">
        <f>IF(OR(L$279&lt;$C287,L$279&lt;$H$2),0,MIN($E287-SUM($G287:K287),$F287))</f>
        <v>0</v>
      </c>
      <c r="M287" s="424">
        <f>IF(OR(M$279&lt;$C287,M$279&lt;$H$2),0,MIN($E287-SUM($G287:L287),$F287))</f>
        <v>5.1894267499999991</v>
      </c>
      <c r="N287" s="424">
        <f>IF(OR(N$279&lt;$C287,N$279&lt;$H$2),0,MIN($E287-SUM($G287:M287),$F287))</f>
        <v>5.1894267499999991</v>
      </c>
      <c r="O287" s="424">
        <f>IF(OR(O$279&lt;$C287,O$279&lt;$H$2),0,MIN($E287-SUM($G287:N287),$F287))</f>
        <v>5.1894267499999991</v>
      </c>
      <c r="P287" s="424">
        <f>IF(OR(P$279&lt;$C287,P$279&lt;$H$2),0,MIN($E287-SUM($G287:O287),$F287))</f>
        <v>5.1894267499999991</v>
      </c>
      <c r="Q287" s="424">
        <f>IF(OR(Q$279&lt;$C287,Q$279&lt;$H$2),0,MIN($E287-SUM($G287:P287),$F287))</f>
        <v>5.1894267499999991</v>
      </c>
      <c r="R287" s="424">
        <f>IF(OR(R$279&lt;$C287,R$279&lt;$H$2),0,MIN($E287-SUM($G287:Q287),$F287))</f>
        <v>5.1894267499999991</v>
      </c>
      <c r="S287" s="424">
        <f>IF(OR(S$279&lt;$C287,S$279&lt;$H$2),0,MIN($E287-SUM($G287:R287),$F287))</f>
        <v>5.1894267499999991</v>
      </c>
      <c r="T287" s="424">
        <f>IF(OR(T$279&lt;$C287,T$279&lt;$H$2),0,MIN($E287-SUM($G287:S287),$F287))</f>
        <v>5.1894267499999991</v>
      </c>
      <c r="U287" s="424">
        <f>IF(OR(U$279&lt;$C287,U$279&lt;$H$2),0,MIN($E287-SUM($G287:T287),$F287))</f>
        <v>5.1894267499999991</v>
      </c>
      <c r="V287" s="424">
        <f>IF(OR(V$279&lt;$C287,V$279&lt;$H$2),0,MIN($E287-SUM($G287:U287),$F287))</f>
        <v>5.1894267499999991</v>
      </c>
      <c r="W287" s="424">
        <f>IF(OR(W$279&lt;$C287,W$279&lt;$H$2),0,MIN($E287-SUM($G287:V287),$F287))</f>
        <v>5.1894267499999991</v>
      </c>
      <c r="X287" s="424">
        <f>IF(OR(X$279&lt;$C287,X$279&lt;$H$2),0,MIN($E287-SUM($G287:W287),$F287))</f>
        <v>5.1894267499999991</v>
      </c>
      <c r="Y287" s="424">
        <f>IF(OR(Y$279&lt;$C287,Y$279&lt;$H$2),0,MIN($E287-SUM($G287:X287),$F287))</f>
        <v>5.1894267499999991</v>
      </c>
      <c r="Z287" s="424">
        <f>IF(OR(Z$279&lt;$C287,Z$279&lt;$H$2),0,MIN($E287-SUM($G287:Y287),$F287))</f>
        <v>5.1894267499999991</v>
      </c>
      <c r="AA287" s="424">
        <f>IF(OR(AA$279&lt;$C287,AA$279&lt;$H$2),0,MIN($E287-SUM($G287:Z287),$F287))</f>
        <v>5.150525500000029</v>
      </c>
      <c r="AB287" s="424">
        <f>IF(OR(AB$279&lt;$C287,AB$279&lt;$H$2),0,MIN($E287-SUM($G287:AA287),$F287))</f>
        <v>0</v>
      </c>
      <c r="AC287" s="424">
        <f>IF(OR(AC$279&lt;$C287,AC$279&lt;$H$2),0,MIN($E287-SUM($G287:AB287),$F287))</f>
        <v>0</v>
      </c>
      <c r="AD287" s="424">
        <f>IF(OR(AD$279&lt;$C287,AD$279&lt;$H$2),0,MIN($E287-SUM($G287:AC287),$F287))</f>
        <v>0</v>
      </c>
    </row>
    <row r="288" spans="3:30">
      <c r="C288" s="201">
        <v>48219</v>
      </c>
      <c r="D288" s="94" t="s">
        <v>134</v>
      </c>
      <c r="E288" s="424">
        <f t="shared" si="129"/>
        <v>0</v>
      </c>
      <c r="F288" s="209">
        <f t="shared" si="130"/>
        <v>0</v>
      </c>
      <c r="H288" s="424">
        <f>IF(OR(H$279&lt;$C288,H$279&lt;$H$2),0,MIN($E288-SUM($G288:G288),$F288))</f>
        <v>0</v>
      </c>
      <c r="I288" s="424">
        <f>IF(OR(I$279&lt;$C288,I$279&lt;$H$2),0,MIN($E288-SUM($G288:H288),$F288))</f>
        <v>0</v>
      </c>
      <c r="J288" s="424">
        <f>IF(OR(J$279&lt;$C288,J$279&lt;$H$2),0,MIN($E288-SUM($G288:I288),$F288))</f>
        <v>0</v>
      </c>
      <c r="K288" s="424">
        <f>IF(OR(K$279&lt;$C288,K$279&lt;$H$2),0,MIN($E288-SUM($G288:J288),$F288))</f>
        <v>0</v>
      </c>
      <c r="L288" s="424">
        <f>IF(OR(L$279&lt;$C288,L$279&lt;$H$2),0,MIN($E288-SUM($G288:K288),$F288))</f>
        <v>0</v>
      </c>
      <c r="M288" s="424">
        <f>IF(OR(M$279&lt;$C288,M$279&lt;$H$2),0,MIN($E288-SUM($G288:L288),$F288))</f>
        <v>0</v>
      </c>
      <c r="N288" s="424">
        <f>IF(OR(N$279&lt;$C288,N$279&lt;$H$2),0,MIN($E288-SUM($G288:M288),$F288))</f>
        <v>0</v>
      </c>
      <c r="O288" s="424">
        <f>IF(OR(O$279&lt;$C288,O$279&lt;$H$2),0,MIN($E288-SUM($G288:N288),$F288))</f>
        <v>0</v>
      </c>
      <c r="P288" s="424">
        <f>IF(OR(P$279&lt;$C288,P$279&lt;$H$2),0,MIN($E288-SUM($G288:O288),$F288))</f>
        <v>0</v>
      </c>
      <c r="Q288" s="424">
        <f>IF(OR(Q$279&lt;$C288,Q$279&lt;$H$2),0,MIN($E288-SUM($G288:P288),$F288))</f>
        <v>0</v>
      </c>
      <c r="R288" s="424">
        <f>IF(OR(R$279&lt;$C288,R$279&lt;$H$2),0,MIN($E288-SUM($G288:Q288),$F288))</f>
        <v>0</v>
      </c>
      <c r="S288" s="424">
        <f>IF(OR(S$279&lt;$C288,S$279&lt;$H$2),0,MIN($E288-SUM($G288:R288),$F288))</f>
        <v>0</v>
      </c>
      <c r="T288" s="424">
        <f>IF(OR(T$279&lt;$C288,T$279&lt;$H$2),0,MIN($E288-SUM($G288:S288),$F288))</f>
        <v>0</v>
      </c>
      <c r="U288" s="424">
        <f>IF(OR(U$279&lt;$C288,U$279&lt;$H$2),0,MIN($E288-SUM($G288:T288),$F288))</f>
        <v>0</v>
      </c>
      <c r="V288" s="424">
        <f>IF(OR(V$279&lt;$C288,V$279&lt;$H$2),0,MIN($E288-SUM($G288:U288),$F288))</f>
        <v>0</v>
      </c>
      <c r="W288" s="424">
        <f>IF(OR(W$279&lt;$C288,W$279&lt;$H$2),0,MIN($E288-SUM($G288:V288),$F288))</f>
        <v>0</v>
      </c>
      <c r="X288" s="424">
        <f>IF(OR(X$279&lt;$C288,X$279&lt;$H$2),0,MIN($E288-SUM($G288:W288),$F288))</f>
        <v>0</v>
      </c>
      <c r="Y288" s="424">
        <f>IF(OR(Y$279&lt;$C288,Y$279&lt;$H$2),0,MIN($E288-SUM($G288:X288),$F288))</f>
        <v>0</v>
      </c>
      <c r="Z288" s="424">
        <f>IF(OR(Z$279&lt;$C288,Z$279&lt;$H$2),0,MIN($E288-SUM($G288:Y288),$F288))</f>
        <v>0</v>
      </c>
      <c r="AA288" s="424">
        <f>IF(OR(AA$279&lt;$C288,AA$279&lt;$H$2),0,MIN($E288-SUM($G288:Z288),$F288))</f>
        <v>0</v>
      </c>
      <c r="AB288" s="424">
        <f>IF(OR(AB$279&lt;$C288,AB$279&lt;$H$2),0,MIN($E288-SUM($G288:AA288),$F288))</f>
        <v>0</v>
      </c>
      <c r="AC288" s="424">
        <f>IF(OR(AC$279&lt;$C288,AC$279&lt;$H$2),0,MIN($E288-SUM($G288:AB288),$F288))</f>
        <v>0</v>
      </c>
      <c r="AD288" s="424">
        <f>IF(OR(AD$279&lt;$C288,AD$279&lt;$H$2),0,MIN($E288-SUM($G288:AC288),$F288))</f>
        <v>0</v>
      </c>
    </row>
    <row r="289" spans="3:30">
      <c r="C289" s="201">
        <v>48585</v>
      </c>
      <c r="D289" s="94" t="s">
        <v>134</v>
      </c>
      <c r="E289" s="424">
        <f t="shared" si="129"/>
        <v>0</v>
      </c>
      <c r="F289" s="209">
        <f t="shared" si="130"/>
        <v>0</v>
      </c>
      <c r="H289" s="424">
        <f>IF(OR(H$279&lt;$C289,H$279&lt;$H$2),0,MIN($E289-SUM($G289:G289),$F289))</f>
        <v>0</v>
      </c>
      <c r="I289" s="424">
        <f>IF(OR(I$279&lt;$C289,I$279&lt;$H$2),0,MIN($E289-SUM($G289:H289),$F289))</f>
        <v>0</v>
      </c>
      <c r="J289" s="424">
        <f>IF(OR(J$279&lt;$C289,J$279&lt;$H$2),0,MIN($E289-SUM($G289:I289),$F289))</f>
        <v>0</v>
      </c>
      <c r="K289" s="424">
        <f>IF(OR(K$279&lt;$C289,K$279&lt;$H$2),0,MIN($E289-SUM($G289:J289),$F289))</f>
        <v>0</v>
      </c>
      <c r="L289" s="424">
        <f>IF(OR(L$279&lt;$C289,L$279&lt;$H$2),0,MIN($E289-SUM($G289:K289),$F289))</f>
        <v>0</v>
      </c>
      <c r="M289" s="424">
        <f>IF(OR(M$279&lt;$C289,M$279&lt;$H$2),0,MIN($E289-SUM($G289:L289),$F289))</f>
        <v>0</v>
      </c>
      <c r="N289" s="424">
        <f>IF(OR(N$279&lt;$C289,N$279&lt;$H$2),0,MIN($E289-SUM($G289:M289),$F289))</f>
        <v>0</v>
      </c>
      <c r="O289" s="424">
        <f>IF(OR(O$279&lt;$C289,O$279&lt;$H$2),0,MIN($E289-SUM($G289:N289),$F289))</f>
        <v>0</v>
      </c>
      <c r="P289" s="424">
        <f>IF(OR(P$279&lt;$C289,P$279&lt;$H$2),0,MIN($E289-SUM($G289:O289),$F289))</f>
        <v>0</v>
      </c>
      <c r="Q289" s="424">
        <f>IF(OR(Q$279&lt;$C289,Q$279&lt;$H$2),0,MIN($E289-SUM($G289:P289),$F289))</f>
        <v>0</v>
      </c>
      <c r="R289" s="424">
        <f>IF(OR(R$279&lt;$C289,R$279&lt;$H$2),0,MIN($E289-SUM($G289:Q289),$F289))</f>
        <v>0</v>
      </c>
      <c r="S289" s="424">
        <f>IF(OR(S$279&lt;$C289,S$279&lt;$H$2),0,MIN($E289-SUM($G289:R289),$F289))</f>
        <v>0</v>
      </c>
      <c r="T289" s="424">
        <f>IF(OR(T$279&lt;$C289,T$279&lt;$H$2),0,MIN($E289-SUM($G289:S289),$F289))</f>
        <v>0</v>
      </c>
      <c r="U289" s="424">
        <f>IF(OR(U$279&lt;$C289,U$279&lt;$H$2),0,MIN($E289-SUM($G289:T289),$F289))</f>
        <v>0</v>
      </c>
      <c r="V289" s="424">
        <f>IF(OR(V$279&lt;$C289,V$279&lt;$H$2),0,MIN($E289-SUM($G289:U289),$F289))</f>
        <v>0</v>
      </c>
      <c r="W289" s="424">
        <f>IF(OR(W$279&lt;$C289,W$279&lt;$H$2),0,MIN($E289-SUM($G289:V289),$F289))</f>
        <v>0</v>
      </c>
      <c r="X289" s="424">
        <f>IF(OR(X$279&lt;$C289,X$279&lt;$H$2),0,MIN($E289-SUM($G289:W289),$F289))</f>
        <v>0</v>
      </c>
      <c r="Y289" s="424">
        <f>IF(OR(Y$279&lt;$C289,Y$279&lt;$H$2),0,MIN($E289-SUM($G289:X289),$F289))</f>
        <v>0</v>
      </c>
      <c r="Z289" s="424">
        <f>IF(OR(Z$279&lt;$C289,Z$279&lt;$H$2),0,MIN($E289-SUM($G289:Y289),$F289))</f>
        <v>0</v>
      </c>
      <c r="AA289" s="424">
        <f>IF(OR(AA$279&lt;$C289,AA$279&lt;$H$2),0,MIN($E289-SUM($G289:Z289),$F289))</f>
        <v>0</v>
      </c>
      <c r="AB289" s="424">
        <f>IF(OR(AB$279&lt;$C289,AB$279&lt;$H$2),0,MIN($E289-SUM($G289:AA289),$F289))</f>
        <v>0</v>
      </c>
      <c r="AC289" s="424">
        <f>IF(OR(AC$279&lt;$C289,AC$279&lt;$H$2),0,MIN($E289-SUM($G289:AB289),$F289))</f>
        <v>0</v>
      </c>
      <c r="AD289" s="424">
        <f>IF(OR(AD$279&lt;$C289,AD$279&lt;$H$2),0,MIN($E289-SUM($G289:AC289),$F289))</f>
        <v>0</v>
      </c>
    </row>
    <row r="290" spans="3:30">
      <c r="C290" s="201">
        <v>48951</v>
      </c>
      <c r="D290" s="94" t="s">
        <v>134</v>
      </c>
      <c r="E290" s="424">
        <f t="shared" si="129"/>
        <v>0</v>
      </c>
      <c r="F290" s="209">
        <f t="shared" si="130"/>
        <v>0</v>
      </c>
      <c r="H290" s="424">
        <f>IF(OR(H$279&lt;$C290,H$279&lt;$H$2),0,MIN($E290-SUM($G290:G290),$F290))</f>
        <v>0</v>
      </c>
      <c r="I290" s="424">
        <f>IF(OR(I$279&lt;$C290,I$279&lt;$H$2),0,MIN($E290-SUM($G290:H290),$F290))</f>
        <v>0</v>
      </c>
      <c r="J290" s="424">
        <f>IF(OR(J$279&lt;$C290,J$279&lt;$H$2),0,MIN($E290-SUM($G290:I290),$F290))</f>
        <v>0</v>
      </c>
      <c r="K290" s="424">
        <f>IF(OR(K$279&lt;$C290,K$279&lt;$H$2),0,MIN($E290-SUM($G290:J290),$F290))</f>
        <v>0</v>
      </c>
      <c r="L290" s="424">
        <f>IF(OR(L$279&lt;$C290,L$279&lt;$H$2),0,MIN($E290-SUM($G290:K290),$F290))</f>
        <v>0</v>
      </c>
      <c r="M290" s="424">
        <f>IF(OR(M$279&lt;$C290,M$279&lt;$H$2),0,MIN($E290-SUM($G290:L290),$F290))</f>
        <v>0</v>
      </c>
      <c r="N290" s="424">
        <f>IF(OR(N$279&lt;$C290,N$279&lt;$H$2),0,MIN($E290-SUM($G290:M290),$F290))</f>
        <v>0</v>
      </c>
      <c r="O290" s="424">
        <f>IF(OR(O$279&lt;$C290,O$279&lt;$H$2),0,MIN($E290-SUM($G290:N290),$F290))</f>
        <v>0</v>
      </c>
      <c r="P290" s="424">
        <f>IF(OR(P$279&lt;$C290,P$279&lt;$H$2),0,MIN($E290-SUM($G290:O290),$F290))</f>
        <v>0</v>
      </c>
      <c r="Q290" s="424">
        <f>IF(OR(Q$279&lt;$C290,Q$279&lt;$H$2),0,MIN($E290-SUM($G290:P290),$F290))</f>
        <v>0</v>
      </c>
      <c r="R290" s="424">
        <f>IF(OR(R$279&lt;$C290,R$279&lt;$H$2),0,MIN($E290-SUM($G290:Q290),$F290))</f>
        <v>0</v>
      </c>
      <c r="S290" s="424">
        <f>IF(OR(S$279&lt;$C290,S$279&lt;$H$2),0,MIN($E290-SUM($G290:R290),$F290))</f>
        <v>0</v>
      </c>
      <c r="T290" s="424">
        <f>IF(OR(T$279&lt;$C290,T$279&lt;$H$2),0,MIN($E290-SUM($G290:S290),$F290))</f>
        <v>0</v>
      </c>
      <c r="U290" s="424">
        <f>IF(OR(U$279&lt;$C290,U$279&lt;$H$2),0,MIN($E290-SUM($G290:T290),$F290))</f>
        <v>0</v>
      </c>
      <c r="V290" s="424">
        <f>IF(OR(V$279&lt;$C290,V$279&lt;$H$2),0,MIN($E290-SUM($G290:U290),$F290))</f>
        <v>0</v>
      </c>
      <c r="W290" s="424">
        <f>IF(OR(W$279&lt;$C290,W$279&lt;$H$2),0,MIN($E290-SUM($G290:V290),$F290))</f>
        <v>0</v>
      </c>
      <c r="X290" s="424">
        <f>IF(OR(X$279&lt;$C290,X$279&lt;$H$2),0,MIN($E290-SUM($G290:W290),$F290))</f>
        <v>0</v>
      </c>
      <c r="Y290" s="424">
        <f>IF(OR(Y$279&lt;$C290,Y$279&lt;$H$2),0,MIN($E290-SUM($G290:X290),$F290))</f>
        <v>0</v>
      </c>
      <c r="Z290" s="424">
        <f>IF(OR(Z$279&lt;$C290,Z$279&lt;$H$2),0,MIN($E290-SUM($G290:Y290),$F290))</f>
        <v>0</v>
      </c>
      <c r="AA290" s="424">
        <f>IF(OR(AA$279&lt;$C290,AA$279&lt;$H$2),0,MIN($E290-SUM($G290:Z290),$F290))</f>
        <v>0</v>
      </c>
      <c r="AB290" s="424">
        <f>IF(OR(AB$279&lt;$C290,AB$279&lt;$H$2),0,MIN($E290-SUM($G290:AA290),$F290))</f>
        <v>0</v>
      </c>
      <c r="AC290" s="424">
        <f>IF(OR(AC$279&lt;$C290,AC$279&lt;$H$2),0,MIN($E290-SUM($G290:AB290),$F290))</f>
        <v>0</v>
      </c>
      <c r="AD290" s="424">
        <f>IF(OR(AD$279&lt;$C290,AD$279&lt;$H$2),0,MIN($E290-SUM($G290:AC290),$F290))</f>
        <v>0</v>
      </c>
    </row>
    <row r="291" spans="3:30">
      <c r="C291" s="201">
        <v>49317</v>
      </c>
      <c r="D291" s="94" t="s">
        <v>134</v>
      </c>
      <c r="E291" s="424">
        <f t="shared" si="129"/>
        <v>0</v>
      </c>
      <c r="F291" s="209">
        <f t="shared" si="130"/>
        <v>0</v>
      </c>
      <c r="H291" s="424">
        <f>IF(OR(H$279&lt;$C291,H$279&lt;$H$2),0,MIN($E291-SUM($G291:G291),$F291))</f>
        <v>0</v>
      </c>
      <c r="I291" s="424">
        <f>IF(OR(I$279&lt;$C291,I$279&lt;$H$2),0,MIN($E291-SUM($G291:H291),$F291))</f>
        <v>0</v>
      </c>
      <c r="J291" s="424">
        <f>IF(OR(J$279&lt;$C291,J$279&lt;$H$2),0,MIN($E291-SUM($G291:I291),$F291))</f>
        <v>0</v>
      </c>
      <c r="K291" s="424">
        <f>IF(OR(K$279&lt;$C291,K$279&lt;$H$2),0,MIN($E291-SUM($G291:J291),$F291))</f>
        <v>0</v>
      </c>
      <c r="L291" s="424">
        <f>IF(OR(L$279&lt;$C291,L$279&lt;$H$2),0,MIN($E291-SUM($G291:K291),$F291))</f>
        <v>0</v>
      </c>
      <c r="M291" s="424">
        <f>IF(OR(M$279&lt;$C291,M$279&lt;$H$2),0,MIN($E291-SUM($G291:L291),$F291))</f>
        <v>0</v>
      </c>
      <c r="N291" s="424">
        <f>IF(OR(N$279&lt;$C291,N$279&lt;$H$2),0,MIN($E291-SUM($G291:M291),$F291))</f>
        <v>0</v>
      </c>
      <c r="O291" s="424">
        <f>IF(OR(O$279&lt;$C291,O$279&lt;$H$2),0,MIN($E291-SUM($G291:N291),$F291))</f>
        <v>0</v>
      </c>
      <c r="P291" s="424">
        <f>IF(OR(P$279&lt;$C291,P$279&lt;$H$2),0,MIN($E291-SUM($G291:O291),$F291))</f>
        <v>0</v>
      </c>
      <c r="Q291" s="424">
        <f>IF(OR(Q$279&lt;$C291,Q$279&lt;$H$2),0,MIN($E291-SUM($G291:P291),$F291))</f>
        <v>0</v>
      </c>
      <c r="R291" s="424">
        <f>IF(OR(R$279&lt;$C291,R$279&lt;$H$2),0,MIN($E291-SUM($G291:Q291),$F291))</f>
        <v>0</v>
      </c>
      <c r="S291" s="424">
        <f>IF(OR(S$279&lt;$C291,S$279&lt;$H$2),0,MIN($E291-SUM($G291:R291),$F291))</f>
        <v>0</v>
      </c>
      <c r="T291" s="424">
        <f>IF(OR(T$279&lt;$C291,T$279&lt;$H$2),0,MIN($E291-SUM($G291:S291),$F291))</f>
        <v>0</v>
      </c>
      <c r="U291" s="424">
        <f>IF(OR(U$279&lt;$C291,U$279&lt;$H$2),0,MIN($E291-SUM($G291:T291),$F291))</f>
        <v>0</v>
      </c>
      <c r="V291" s="424">
        <f>IF(OR(V$279&lt;$C291,V$279&lt;$H$2),0,MIN($E291-SUM($G291:U291),$F291))</f>
        <v>0</v>
      </c>
      <c r="W291" s="424">
        <f>IF(OR(W$279&lt;$C291,W$279&lt;$H$2),0,MIN($E291-SUM($G291:V291),$F291))</f>
        <v>0</v>
      </c>
      <c r="X291" s="424">
        <f>IF(OR(X$279&lt;$C291,X$279&lt;$H$2),0,MIN($E291-SUM($G291:W291),$F291))</f>
        <v>0</v>
      </c>
      <c r="Y291" s="424">
        <f>IF(OR(Y$279&lt;$C291,Y$279&lt;$H$2),0,MIN($E291-SUM($G291:X291),$F291))</f>
        <v>0</v>
      </c>
      <c r="Z291" s="424">
        <f>IF(OR(Z$279&lt;$C291,Z$279&lt;$H$2),0,MIN($E291-SUM($G291:Y291),$F291))</f>
        <v>0</v>
      </c>
      <c r="AA291" s="424">
        <f>IF(OR(AA$279&lt;$C291,AA$279&lt;$H$2),0,MIN($E291-SUM($G291:Z291),$F291))</f>
        <v>0</v>
      </c>
      <c r="AB291" s="424">
        <f>IF(OR(AB$279&lt;$C291,AB$279&lt;$H$2),0,MIN($E291-SUM($G291:AA291),$F291))</f>
        <v>0</v>
      </c>
      <c r="AC291" s="424">
        <f>IF(OR(AC$279&lt;$C291,AC$279&lt;$H$2),0,MIN($E291-SUM($G291:AB291),$F291))</f>
        <v>0</v>
      </c>
      <c r="AD291" s="424">
        <f>IF(OR(AD$279&lt;$C291,AD$279&lt;$H$2),0,MIN($E291-SUM($G291:AC291),$F291))</f>
        <v>0</v>
      </c>
    </row>
    <row r="292" spans="3:30">
      <c r="C292" s="201">
        <v>49683</v>
      </c>
      <c r="D292" s="94" t="s">
        <v>134</v>
      </c>
      <c r="E292" s="424">
        <f t="shared" si="129"/>
        <v>0</v>
      </c>
      <c r="F292" s="209">
        <f t="shared" si="130"/>
        <v>0</v>
      </c>
      <c r="H292" s="424">
        <f>IF(OR(H$279&lt;$C292,H$279&lt;$H$2),0,MIN($E292-SUM($G292:G292),$F292))</f>
        <v>0</v>
      </c>
      <c r="I292" s="424">
        <f>IF(OR(I$279&lt;$C292,I$279&lt;$H$2),0,MIN($E292-SUM($G292:H292),$F292))</f>
        <v>0</v>
      </c>
      <c r="J292" s="424">
        <f>IF(OR(J$279&lt;$C292,J$279&lt;$H$2),0,MIN($E292-SUM($G292:I292),$F292))</f>
        <v>0</v>
      </c>
      <c r="K292" s="424">
        <f>IF(OR(K$279&lt;$C292,K$279&lt;$H$2),0,MIN($E292-SUM($G292:J292),$F292))</f>
        <v>0</v>
      </c>
      <c r="L292" s="424">
        <f>IF(OR(L$279&lt;$C292,L$279&lt;$H$2),0,MIN($E292-SUM($G292:K292),$F292))</f>
        <v>0</v>
      </c>
      <c r="M292" s="424">
        <f>IF(OR(M$279&lt;$C292,M$279&lt;$H$2),0,MIN($E292-SUM($G292:L292),$F292))</f>
        <v>0</v>
      </c>
      <c r="N292" s="424">
        <f>IF(OR(N$279&lt;$C292,N$279&lt;$H$2),0,MIN($E292-SUM($G292:M292),$F292))</f>
        <v>0</v>
      </c>
      <c r="O292" s="424">
        <f>IF(OR(O$279&lt;$C292,O$279&lt;$H$2),0,MIN($E292-SUM($G292:N292),$F292))</f>
        <v>0</v>
      </c>
      <c r="P292" s="424">
        <f>IF(OR(P$279&lt;$C292,P$279&lt;$H$2),0,MIN($E292-SUM($G292:O292),$F292))</f>
        <v>0</v>
      </c>
      <c r="Q292" s="424">
        <f>IF(OR(Q$279&lt;$C292,Q$279&lt;$H$2),0,MIN($E292-SUM($G292:P292),$F292))</f>
        <v>0</v>
      </c>
      <c r="R292" s="424">
        <f>IF(OR(R$279&lt;$C292,R$279&lt;$H$2),0,MIN($E292-SUM($G292:Q292),$F292))</f>
        <v>0</v>
      </c>
      <c r="S292" s="424">
        <f>IF(OR(S$279&lt;$C292,S$279&lt;$H$2),0,MIN($E292-SUM($G292:R292),$F292))</f>
        <v>0</v>
      </c>
      <c r="T292" s="424">
        <f>IF(OR(T$279&lt;$C292,T$279&lt;$H$2),0,MIN($E292-SUM($G292:S292),$F292))</f>
        <v>0</v>
      </c>
      <c r="U292" s="424">
        <f>IF(OR(U$279&lt;$C292,U$279&lt;$H$2),0,MIN($E292-SUM($G292:T292),$F292))</f>
        <v>0</v>
      </c>
      <c r="V292" s="424">
        <f>IF(OR(V$279&lt;$C292,V$279&lt;$H$2),0,MIN($E292-SUM($G292:U292),$F292))</f>
        <v>0</v>
      </c>
      <c r="W292" s="424">
        <f>IF(OR(W$279&lt;$C292,W$279&lt;$H$2),0,MIN($E292-SUM($G292:V292),$F292))</f>
        <v>0</v>
      </c>
      <c r="X292" s="424">
        <f>IF(OR(X$279&lt;$C292,X$279&lt;$H$2),0,MIN($E292-SUM($G292:W292),$F292))</f>
        <v>0</v>
      </c>
      <c r="Y292" s="424">
        <f>IF(OR(Y$279&lt;$C292,Y$279&lt;$H$2),0,MIN($E292-SUM($G292:X292),$F292))</f>
        <v>0</v>
      </c>
      <c r="Z292" s="424">
        <f>IF(OR(Z$279&lt;$C292,Z$279&lt;$H$2),0,MIN($E292-SUM($G292:Y292),$F292))</f>
        <v>0</v>
      </c>
      <c r="AA292" s="424">
        <f>IF(OR(AA$279&lt;$C292,AA$279&lt;$H$2),0,MIN($E292-SUM($G292:Z292),$F292))</f>
        <v>0</v>
      </c>
      <c r="AB292" s="424">
        <f>IF(OR(AB$279&lt;$C292,AB$279&lt;$H$2),0,MIN($E292-SUM($G292:AA292),$F292))</f>
        <v>0</v>
      </c>
      <c r="AC292" s="424">
        <f>IF(OR(AC$279&lt;$C292,AC$279&lt;$H$2),0,MIN($E292-SUM($G292:AB292),$F292))</f>
        <v>0</v>
      </c>
      <c r="AD292" s="424">
        <f>IF(OR(AD$279&lt;$C292,AD$279&lt;$H$2),0,MIN($E292-SUM($G292:AC292),$F292))</f>
        <v>0</v>
      </c>
    </row>
    <row r="293" spans="3:30">
      <c r="C293" s="201">
        <v>50049</v>
      </c>
      <c r="D293" s="94" t="s">
        <v>134</v>
      </c>
      <c r="E293" s="424">
        <f t="shared" si="129"/>
        <v>10.0557</v>
      </c>
      <c r="F293" s="209">
        <f t="shared" si="130"/>
        <v>0.67071518999999991</v>
      </c>
      <c r="H293" s="424">
        <f>IF(OR(H$279&lt;$C293,H$279&lt;$H$2),0,MIN($E293-SUM($G293:G293),$F293))</f>
        <v>0</v>
      </c>
      <c r="I293" s="424">
        <f>IF(OR(I$279&lt;$C293,I$279&lt;$H$2),0,MIN($E293-SUM($G293:H293),$F293))</f>
        <v>0</v>
      </c>
      <c r="J293" s="424">
        <f>IF(OR(J$279&lt;$C293,J$279&lt;$H$2),0,MIN($E293-SUM($G293:I293),$F293))</f>
        <v>0</v>
      </c>
      <c r="K293" s="424">
        <f>IF(OR(K$279&lt;$C293,K$279&lt;$H$2),0,MIN($E293-SUM($G293:J293),$F293))</f>
        <v>0</v>
      </c>
      <c r="L293" s="424">
        <f>IF(OR(L$279&lt;$C293,L$279&lt;$H$2),0,MIN($E293-SUM($G293:K293),$F293))</f>
        <v>0</v>
      </c>
      <c r="M293" s="424">
        <f>IF(OR(M$279&lt;$C293,M$279&lt;$H$2),0,MIN($E293-SUM($G293:L293),$F293))</f>
        <v>0</v>
      </c>
      <c r="N293" s="424">
        <f>IF(OR(N$279&lt;$C293,N$279&lt;$H$2),0,MIN($E293-SUM($G293:M293),$F293))</f>
        <v>0</v>
      </c>
      <c r="O293" s="424">
        <f>IF(OR(O$279&lt;$C293,O$279&lt;$H$2),0,MIN($E293-SUM($G293:N293),$F293))</f>
        <v>0</v>
      </c>
      <c r="P293" s="424">
        <f>IF(OR(P$279&lt;$C293,P$279&lt;$H$2),0,MIN($E293-SUM($G293:O293),$F293))</f>
        <v>0</v>
      </c>
      <c r="Q293" s="424">
        <f>IF(OR(Q$279&lt;$C293,Q$279&lt;$H$2),0,MIN($E293-SUM($G293:P293),$F293))</f>
        <v>0</v>
      </c>
      <c r="R293" s="424">
        <f>IF(OR(R$279&lt;$C293,R$279&lt;$H$2),0,MIN($E293-SUM($G293:Q293),$F293))</f>
        <v>0</v>
      </c>
      <c r="S293" s="424">
        <f>IF(OR(S$279&lt;$C293,S$279&lt;$H$2),0,MIN($E293-SUM($G293:R293),$F293))</f>
        <v>0.67071518999999991</v>
      </c>
      <c r="T293" s="424">
        <f>IF(OR(T$279&lt;$C293,T$279&lt;$H$2),0,MIN($E293-SUM($G293:S293),$F293))</f>
        <v>0.67071518999999991</v>
      </c>
      <c r="U293" s="424">
        <f>IF(OR(U$279&lt;$C293,U$279&lt;$H$2),0,MIN($E293-SUM($G293:T293),$F293))</f>
        <v>0.67071518999999991</v>
      </c>
      <c r="V293" s="424">
        <f>IF(OR(V$279&lt;$C293,V$279&lt;$H$2),0,MIN($E293-SUM($G293:U293),$F293))</f>
        <v>0.67071518999999991</v>
      </c>
      <c r="W293" s="424">
        <f>IF(OR(W$279&lt;$C293,W$279&lt;$H$2),0,MIN($E293-SUM($G293:V293),$F293))</f>
        <v>0.67071518999999991</v>
      </c>
      <c r="X293" s="424">
        <f>IF(OR(X$279&lt;$C293,X$279&lt;$H$2),0,MIN($E293-SUM($G293:W293),$F293))</f>
        <v>0.67071518999999991</v>
      </c>
      <c r="Y293" s="424">
        <f>IF(OR(Y$279&lt;$C293,Y$279&lt;$H$2),0,MIN($E293-SUM($G293:X293),$F293))</f>
        <v>0.67071518999999991</v>
      </c>
      <c r="Z293" s="424">
        <f>IF(OR(Z$279&lt;$C293,Z$279&lt;$H$2),0,MIN($E293-SUM($G293:Y293),$F293))</f>
        <v>0.67071518999999991</v>
      </c>
      <c r="AA293" s="424">
        <f>IF(OR(AA$279&lt;$C293,AA$279&lt;$H$2),0,MIN($E293-SUM($G293:Z293),$F293))</f>
        <v>0.67071518999999991</v>
      </c>
      <c r="AB293" s="424">
        <f>IF(OR(AB$279&lt;$C293,AB$279&lt;$H$2),0,MIN($E293-SUM($G293:AA293),$F293))</f>
        <v>0.67071518999999991</v>
      </c>
      <c r="AC293" s="424">
        <f>IF(OR(AC$279&lt;$C293,AC$279&lt;$H$2),0,MIN($E293-SUM($G293:AB293),$F293))</f>
        <v>0.67071518999999991</v>
      </c>
      <c r="AD293" s="424">
        <f>IF(OR(AD$279&lt;$C293,AD$279&lt;$H$2),0,MIN($E293-SUM($G293:AC293),$F293))</f>
        <v>0.67071518999999991</v>
      </c>
    </row>
    <row r="294" spans="3:30">
      <c r="C294" s="201">
        <v>50415</v>
      </c>
      <c r="D294" s="94" t="s">
        <v>134</v>
      </c>
      <c r="E294" s="424">
        <f t="shared" si="129"/>
        <v>0</v>
      </c>
      <c r="F294" s="209">
        <f t="shared" si="130"/>
        <v>0</v>
      </c>
      <c r="H294" s="424">
        <f>IF(OR(H$279&lt;$C294,H$279&lt;$H$2),0,MIN($E294-SUM($G294:G294),$F294))</f>
        <v>0</v>
      </c>
      <c r="I294" s="424">
        <f>IF(OR(I$279&lt;$C294,I$279&lt;$H$2),0,MIN($E294-SUM($G294:H294),$F294))</f>
        <v>0</v>
      </c>
      <c r="J294" s="424">
        <f>IF(OR(J$279&lt;$C294,J$279&lt;$H$2),0,MIN($E294-SUM($G294:I294),$F294))</f>
        <v>0</v>
      </c>
      <c r="K294" s="424">
        <f>IF(OR(K$279&lt;$C294,K$279&lt;$H$2),0,MIN($E294-SUM($G294:J294),$F294))</f>
        <v>0</v>
      </c>
      <c r="L294" s="424">
        <f>IF(OR(L$279&lt;$C294,L$279&lt;$H$2),0,MIN($E294-SUM($G294:K294),$F294))</f>
        <v>0</v>
      </c>
      <c r="M294" s="424">
        <f>IF(OR(M$279&lt;$C294,M$279&lt;$H$2),0,MIN($E294-SUM($G294:L294),$F294))</f>
        <v>0</v>
      </c>
      <c r="N294" s="424">
        <f>IF(OR(N$279&lt;$C294,N$279&lt;$H$2),0,MIN($E294-SUM($G294:M294),$F294))</f>
        <v>0</v>
      </c>
      <c r="O294" s="424">
        <f>IF(OR(O$279&lt;$C294,O$279&lt;$H$2),0,MIN($E294-SUM($G294:N294),$F294))</f>
        <v>0</v>
      </c>
      <c r="P294" s="424">
        <f>IF(OR(P$279&lt;$C294,P$279&lt;$H$2),0,MIN($E294-SUM($G294:O294),$F294))</f>
        <v>0</v>
      </c>
      <c r="Q294" s="424">
        <f>IF(OR(Q$279&lt;$C294,Q$279&lt;$H$2),0,MIN($E294-SUM($G294:P294),$F294))</f>
        <v>0</v>
      </c>
      <c r="R294" s="424">
        <f>IF(OR(R$279&lt;$C294,R$279&lt;$H$2),0,MIN($E294-SUM($G294:Q294),$F294))</f>
        <v>0</v>
      </c>
      <c r="S294" s="424">
        <f>IF(OR(S$279&lt;$C294,S$279&lt;$H$2),0,MIN($E294-SUM($G294:R294),$F294))</f>
        <v>0</v>
      </c>
      <c r="T294" s="424">
        <f>IF(OR(T$279&lt;$C294,T$279&lt;$H$2),0,MIN($E294-SUM($G294:S294),$F294))</f>
        <v>0</v>
      </c>
      <c r="U294" s="424">
        <f>IF(OR(U$279&lt;$C294,U$279&lt;$H$2),0,MIN($E294-SUM($G294:T294),$F294))</f>
        <v>0</v>
      </c>
      <c r="V294" s="424">
        <f>IF(OR(V$279&lt;$C294,V$279&lt;$H$2),0,MIN($E294-SUM($G294:U294),$F294))</f>
        <v>0</v>
      </c>
      <c r="W294" s="424">
        <f>IF(OR(W$279&lt;$C294,W$279&lt;$H$2),0,MIN($E294-SUM($G294:V294),$F294))</f>
        <v>0</v>
      </c>
      <c r="X294" s="424">
        <f>IF(OR(X$279&lt;$C294,X$279&lt;$H$2),0,MIN($E294-SUM($G294:W294),$F294))</f>
        <v>0</v>
      </c>
      <c r="Y294" s="424">
        <f>IF(OR(Y$279&lt;$C294,Y$279&lt;$H$2),0,MIN($E294-SUM($G294:X294),$F294))</f>
        <v>0</v>
      </c>
      <c r="Z294" s="424">
        <f>IF(OR(Z$279&lt;$C294,Z$279&lt;$H$2),0,MIN($E294-SUM($G294:Y294),$F294))</f>
        <v>0</v>
      </c>
      <c r="AA294" s="424">
        <f>IF(OR(AA$279&lt;$C294,AA$279&lt;$H$2),0,MIN($E294-SUM($G294:Z294),$F294))</f>
        <v>0</v>
      </c>
      <c r="AB294" s="424">
        <f>IF(OR(AB$279&lt;$C294,AB$279&lt;$H$2),0,MIN($E294-SUM($G294:AA294),$F294))</f>
        <v>0</v>
      </c>
      <c r="AC294" s="424">
        <f>IF(OR(AC$279&lt;$C294,AC$279&lt;$H$2),0,MIN($E294-SUM($G294:AB294),$F294))</f>
        <v>0</v>
      </c>
      <c r="AD294" s="424">
        <f>IF(OR(AD$279&lt;$C294,AD$279&lt;$H$2),0,MIN($E294-SUM($G294:AC294),$F294))</f>
        <v>0</v>
      </c>
    </row>
    <row r="295" spans="3:30">
      <c r="C295" s="201">
        <v>50781</v>
      </c>
      <c r="D295" s="94" t="s">
        <v>134</v>
      </c>
      <c r="E295" s="424">
        <f t="shared" si="129"/>
        <v>0</v>
      </c>
      <c r="F295" s="209">
        <f t="shared" si="130"/>
        <v>0</v>
      </c>
      <c r="H295" s="424">
        <f>IF(OR(H$279&lt;$C295,H$279&lt;$H$2),0,MIN($E295-SUM($G295:G295),$F295))</f>
        <v>0</v>
      </c>
      <c r="I295" s="424">
        <f>IF(OR(I$279&lt;$C295,I$279&lt;$H$2),0,MIN($E295-SUM($G295:H295),$F295))</f>
        <v>0</v>
      </c>
      <c r="J295" s="424">
        <f>IF(OR(J$279&lt;$C295,J$279&lt;$H$2),0,MIN($E295-SUM($G295:I295),$F295))</f>
        <v>0</v>
      </c>
      <c r="K295" s="424">
        <f>IF(OR(K$279&lt;$C295,K$279&lt;$H$2),0,MIN($E295-SUM($G295:J295),$F295))</f>
        <v>0</v>
      </c>
      <c r="L295" s="424">
        <f>IF(OR(L$279&lt;$C295,L$279&lt;$H$2),0,MIN($E295-SUM($G295:K295),$F295))</f>
        <v>0</v>
      </c>
      <c r="M295" s="424">
        <f>IF(OR(M$279&lt;$C295,M$279&lt;$H$2),0,MIN($E295-SUM($G295:L295),$F295))</f>
        <v>0</v>
      </c>
      <c r="N295" s="424">
        <f>IF(OR(N$279&lt;$C295,N$279&lt;$H$2),0,MIN($E295-SUM($G295:M295),$F295))</f>
        <v>0</v>
      </c>
      <c r="O295" s="424">
        <f>IF(OR(O$279&lt;$C295,O$279&lt;$H$2),0,MIN($E295-SUM($G295:N295),$F295))</f>
        <v>0</v>
      </c>
      <c r="P295" s="424">
        <f>IF(OR(P$279&lt;$C295,P$279&lt;$H$2),0,MIN($E295-SUM($G295:O295),$F295))</f>
        <v>0</v>
      </c>
      <c r="Q295" s="424">
        <f>IF(OR(Q$279&lt;$C295,Q$279&lt;$H$2),0,MIN($E295-SUM($G295:P295),$F295))</f>
        <v>0</v>
      </c>
      <c r="R295" s="424">
        <f>IF(OR(R$279&lt;$C295,R$279&lt;$H$2),0,MIN($E295-SUM($G295:Q295),$F295))</f>
        <v>0</v>
      </c>
      <c r="S295" s="424">
        <f>IF(OR(S$279&lt;$C295,S$279&lt;$H$2),0,MIN($E295-SUM($G295:R295),$F295))</f>
        <v>0</v>
      </c>
      <c r="T295" s="424">
        <f>IF(OR(T$279&lt;$C295,T$279&lt;$H$2),0,MIN($E295-SUM($G295:S295),$F295))</f>
        <v>0</v>
      </c>
      <c r="U295" s="424">
        <f>IF(OR(U$279&lt;$C295,U$279&lt;$H$2),0,MIN($E295-SUM($G295:T295),$F295))</f>
        <v>0</v>
      </c>
      <c r="V295" s="424">
        <f>IF(OR(V$279&lt;$C295,V$279&lt;$H$2),0,MIN($E295-SUM($G295:U295),$F295))</f>
        <v>0</v>
      </c>
      <c r="W295" s="424">
        <f>IF(OR(W$279&lt;$C295,W$279&lt;$H$2),0,MIN($E295-SUM($G295:V295),$F295))</f>
        <v>0</v>
      </c>
      <c r="X295" s="424">
        <f>IF(OR(X$279&lt;$C295,X$279&lt;$H$2),0,MIN($E295-SUM($G295:W295),$F295))</f>
        <v>0</v>
      </c>
      <c r="Y295" s="424">
        <f>IF(OR(Y$279&lt;$C295,Y$279&lt;$H$2),0,MIN($E295-SUM($G295:X295),$F295))</f>
        <v>0</v>
      </c>
      <c r="Z295" s="424">
        <f>IF(OR(Z$279&lt;$C295,Z$279&lt;$H$2),0,MIN($E295-SUM($G295:Y295),$F295))</f>
        <v>0</v>
      </c>
      <c r="AA295" s="424">
        <f>IF(OR(AA$279&lt;$C295,AA$279&lt;$H$2),0,MIN($E295-SUM($G295:Z295),$F295))</f>
        <v>0</v>
      </c>
      <c r="AB295" s="424">
        <f>IF(OR(AB$279&lt;$C295,AB$279&lt;$H$2),0,MIN($E295-SUM($G295:AA295),$F295))</f>
        <v>0</v>
      </c>
      <c r="AC295" s="424">
        <f>IF(OR(AC$279&lt;$C295,AC$279&lt;$H$2),0,MIN($E295-SUM($G295:AB295),$F295))</f>
        <v>0</v>
      </c>
      <c r="AD295" s="424">
        <f>IF(OR(AD$279&lt;$C295,AD$279&lt;$H$2),0,MIN($E295-SUM($G295:AC295),$F295))</f>
        <v>0</v>
      </c>
    </row>
    <row r="296" spans="3:30">
      <c r="C296" s="201">
        <v>51147</v>
      </c>
      <c r="D296" s="94" t="s">
        <v>134</v>
      </c>
      <c r="E296" s="424">
        <f t="shared" si="129"/>
        <v>0</v>
      </c>
      <c r="F296" s="209">
        <f t="shared" si="130"/>
        <v>0</v>
      </c>
      <c r="H296" s="424">
        <f>IF(OR(H$279&lt;$C296,H$279&lt;$H$2),0,MIN($E296-SUM($G296:G296),$F296))</f>
        <v>0</v>
      </c>
      <c r="I296" s="424">
        <f>IF(OR(I$279&lt;$C296,I$279&lt;$H$2),0,MIN($E296-SUM($G296:H296),$F296))</f>
        <v>0</v>
      </c>
      <c r="J296" s="424">
        <f>IF(OR(J$279&lt;$C296,J$279&lt;$H$2),0,MIN($E296-SUM($G296:I296),$F296))</f>
        <v>0</v>
      </c>
      <c r="K296" s="424">
        <f>IF(OR(K$279&lt;$C296,K$279&lt;$H$2),0,MIN($E296-SUM($G296:J296),$F296))</f>
        <v>0</v>
      </c>
      <c r="L296" s="424">
        <f>IF(OR(L$279&lt;$C296,L$279&lt;$H$2),0,MIN($E296-SUM($G296:K296),$F296))</f>
        <v>0</v>
      </c>
      <c r="M296" s="424">
        <f>IF(OR(M$279&lt;$C296,M$279&lt;$H$2),0,MIN($E296-SUM($G296:L296),$F296))</f>
        <v>0</v>
      </c>
      <c r="N296" s="424">
        <f>IF(OR(N$279&lt;$C296,N$279&lt;$H$2),0,MIN($E296-SUM($G296:M296),$F296))</f>
        <v>0</v>
      </c>
      <c r="O296" s="424">
        <f>IF(OR(O$279&lt;$C296,O$279&lt;$H$2),0,MIN($E296-SUM($G296:N296),$F296))</f>
        <v>0</v>
      </c>
      <c r="P296" s="424">
        <f>IF(OR(P$279&lt;$C296,P$279&lt;$H$2),0,MIN($E296-SUM($G296:O296),$F296))</f>
        <v>0</v>
      </c>
      <c r="Q296" s="424">
        <f>IF(OR(Q$279&lt;$C296,Q$279&lt;$H$2),0,MIN($E296-SUM($G296:P296),$F296))</f>
        <v>0</v>
      </c>
      <c r="R296" s="424">
        <f>IF(OR(R$279&lt;$C296,R$279&lt;$H$2),0,MIN($E296-SUM($G296:Q296),$F296))</f>
        <v>0</v>
      </c>
      <c r="S296" s="424">
        <f>IF(OR(S$279&lt;$C296,S$279&lt;$H$2),0,MIN($E296-SUM($G296:R296),$F296))</f>
        <v>0</v>
      </c>
      <c r="T296" s="424">
        <f>IF(OR(T$279&lt;$C296,T$279&lt;$H$2),0,MIN($E296-SUM($G296:S296),$F296))</f>
        <v>0</v>
      </c>
      <c r="U296" s="424">
        <f>IF(OR(U$279&lt;$C296,U$279&lt;$H$2),0,MIN($E296-SUM($G296:T296),$F296))</f>
        <v>0</v>
      </c>
      <c r="V296" s="424">
        <f>IF(OR(V$279&lt;$C296,V$279&lt;$H$2),0,MIN($E296-SUM($G296:U296),$F296))</f>
        <v>0</v>
      </c>
      <c r="W296" s="424">
        <f>IF(OR(W$279&lt;$C296,W$279&lt;$H$2),0,MIN($E296-SUM($G296:V296),$F296))</f>
        <v>0</v>
      </c>
      <c r="X296" s="424">
        <f>IF(OR(X$279&lt;$C296,X$279&lt;$H$2),0,MIN($E296-SUM($G296:W296),$F296))</f>
        <v>0</v>
      </c>
      <c r="Y296" s="424">
        <f>IF(OR(Y$279&lt;$C296,Y$279&lt;$H$2),0,MIN($E296-SUM($G296:X296),$F296))</f>
        <v>0</v>
      </c>
      <c r="Z296" s="424">
        <f>IF(OR(Z$279&lt;$C296,Z$279&lt;$H$2),0,MIN($E296-SUM($G296:Y296),$F296))</f>
        <v>0</v>
      </c>
      <c r="AA296" s="424">
        <f>IF(OR(AA$279&lt;$C296,AA$279&lt;$H$2),0,MIN($E296-SUM($G296:Z296),$F296))</f>
        <v>0</v>
      </c>
      <c r="AB296" s="424">
        <f>IF(OR(AB$279&lt;$C296,AB$279&lt;$H$2),0,MIN($E296-SUM($G296:AA296),$F296))</f>
        <v>0</v>
      </c>
      <c r="AC296" s="424">
        <f>IF(OR(AC$279&lt;$C296,AC$279&lt;$H$2),0,MIN($E296-SUM($G296:AB296),$F296))</f>
        <v>0</v>
      </c>
      <c r="AD296" s="424">
        <f>IF(OR(AD$279&lt;$C296,AD$279&lt;$H$2),0,MIN($E296-SUM($G296:AC296),$F296))</f>
        <v>0</v>
      </c>
    </row>
    <row r="297" spans="3:30">
      <c r="C297" s="201">
        <v>51513</v>
      </c>
      <c r="D297" s="94" t="s">
        <v>134</v>
      </c>
      <c r="E297" s="424">
        <f t="shared" si="129"/>
        <v>0</v>
      </c>
      <c r="F297" s="209">
        <f t="shared" si="130"/>
        <v>0</v>
      </c>
      <c r="H297" s="424">
        <f>IF(OR(H$279&lt;$C297,H$279&lt;$H$2),0,MIN($E297-SUM($G297:G297),$F297))</f>
        <v>0</v>
      </c>
      <c r="I297" s="424">
        <f>IF(OR(I$279&lt;$C297,I$279&lt;$H$2),0,MIN($E297-SUM($G297:H297),$F297))</f>
        <v>0</v>
      </c>
      <c r="J297" s="424">
        <f>IF(OR(J$279&lt;$C297,J$279&lt;$H$2),0,MIN($E297-SUM($G297:I297),$F297))</f>
        <v>0</v>
      </c>
      <c r="K297" s="424">
        <f>IF(OR(K$279&lt;$C297,K$279&lt;$H$2),0,MIN($E297-SUM($G297:J297),$F297))</f>
        <v>0</v>
      </c>
      <c r="L297" s="424">
        <f>IF(OR(L$279&lt;$C297,L$279&lt;$H$2),0,MIN($E297-SUM($G297:K297),$F297))</f>
        <v>0</v>
      </c>
      <c r="M297" s="424">
        <f>IF(OR(M$279&lt;$C297,M$279&lt;$H$2),0,MIN($E297-SUM($G297:L297),$F297))</f>
        <v>0</v>
      </c>
      <c r="N297" s="424">
        <f>IF(OR(N$279&lt;$C297,N$279&lt;$H$2),0,MIN($E297-SUM($G297:M297),$F297))</f>
        <v>0</v>
      </c>
      <c r="O297" s="424">
        <f>IF(OR(O$279&lt;$C297,O$279&lt;$H$2),0,MIN($E297-SUM($G297:N297),$F297))</f>
        <v>0</v>
      </c>
      <c r="P297" s="424">
        <f>IF(OR(P$279&lt;$C297,P$279&lt;$H$2),0,MIN($E297-SUM($G297:O297),$F297))</f>
        <v>0</v>
      </c>
      <c r="Q297" s="424">
        <f>IF(OR(Q$279&lt;$C297,Q$279&lt;$H$2),0,MIN($E297-SUM($G297:P297),$F297))</f>
        <v>0</v>
      </c>
      <c r="R297" s="424">
        <f>IF(OR(R$279&lt;$C297,R$279&lt;$H$2),0,MIN($E297-SUM($G297:Q297),$F297))</f>
        <v>0</v>
      </c>
      <c r="S297" s="424">
        <f>IF(OR(S$279&lt;$C297,S$279&lt;$H$2),0,MIN($E297-SUM($G297:R297),$F297))</f>
        <v>0</v>
      </c>
      <c r="T297" s="424">
        <f>IF(OR(T$279&lt;$C297,T$279&lt;$H$2),0,MIN($E297-SUM($G297:S297),$F297))</f>
        <v>0</v>
      </c>
      <c r="U297" s="424">
        <f>IF(OR(U$279&lt;$C297,U$279&lt;$H$2),0,MIN($E297-SUM($G297:T297),$F297))</f>
        <v>0</v>
      </c>
      <c r="V297" s="424">
        <f>IF(OR(V$279&lt;$C297,V$279&lt;$H$2),0,MIN($E297-SUM($G297:U297),$F297))</f>
        <v>0</v>
      </c>
      <c r="W297" s="424">
        <f>IF(OR(W$279&lt;$C297,W$279&lt;$H$2),0,MIN($E297-SUM($G297:V297),$F297))</f>
        <v>0</v>
      </c>
      <c r="X297" s="424">
        <f>IF(OR(X$279&lt;$C297,X$279&lt;$H$2),0,MIN($E297-SUM($G297:W297),$F297))</f>
        <v>0</v>
      </c>
      <c r="Y297" s="424">
        <f>IF(OR(Y$279&lt;$C297,Y$279&lt;$H$2),0,MIN($E297-SUM($G297:X297),$F297))</f>
        <v>0</v>
      </c>
      <c r="Z297" s="424">
        <f>IF(OR(Z$279&lt;$C297,Z$279&lt;$H$2),0,MIN($E297-SUM($G297:Y297),$F297))</f>
        <v>0</v>
      </c>
      <c r="AA297" s="424">
        <f>IF(OR(AA$279&lt;$C297,AA$279&lt;$H$2),0,MIN($E297-SUM($G297:Z297),$F297))</f>
        <v>0</v>
      </c>
      <c r="AB297" s="424">
        <f>IF(OR(AB$279&lt;$C297,AB$279&lt;$H$2),0,MIN($E297-SUM($G297:AA297),$F297))</f>
        <v>0</v>
      </c>
      <c r="AC297" s="424">
        <f>IF(OR(AC$279&lt;$C297,AC$279&lt;$H$2),0,MIN($E297-SUM($G297:AB297),$F297))</f>
        <v>0</v>
      </c>
      <c r="AD297" s="424">
        <f>IF(OR(AD$279&lt;$C297,AD$279&lt;$H$2),0,MIN($E297-SUM($G297:AC297),$F297))</f>
        <v>0</v>
      </c>
    </row>
    <row r="298" spans="3:30">
      <c r="C298" s="201">
        <v>51879</v>
      </c>
      <c r="D298" s="94" t="s">
        <v>134</v>
      </c>
      <c r="E298" s="424">
        <f t="shared" si="129"/>
        <v>0</v>
      </c>
      <c r="F298" s="209">
        <f t="shared" si="130"/>
        <v>0</v>
      </c>
      <c r="H298" s="424">
        <f>IF(OR(H$279&lt;$C298,H$279&lt;$H$2),0,MIN($E298-SUM($G298:G298),$F298))</f>
        <v>0</v>
      </c>
      <c r="I298" s="424">
        <f>IF(OR(I$279&lt;$C298,I$279&lt;$H$2),0,MIN($E298-SUM($G298:H298),$F298))</f>
        <v>0</v>
      </c>
      <c r="J298" s="424">
        <f>IF(OR(J$279&lt;$C298,J$279&lt;$H$2),0,MIN($E298-SUM($G298:I298),$F298))</f>
        <v>0</v>
      </c>
      <c r="K298" s="424">
        <f>IF(OR(K$279&lt;$C298,K$279&lt;$H$2),0,MIN($E298-SUM($G298:J298),$F298))</f>
        <v>0</v>
      </c>
      <c r="L298" s="424">
        <f>IF(OR(L$279&lt;$C298,L$279&lt;$H$2),0,MIN($E298-SUM($G298:K298),$F298))</f>
        <v>0</v>
      </c>
      <c r="M298" s="424">
        <f>IF(OR(M$279&lt;$C298,M$279&lt;$H$2),0,MIN($E298-SUM($G298:L298),$F298))</f>
        <v>0</v>
      </c>
      <c r="N298" s="424">
        <f>IF(OR(N$279&lt;$C298,N$279&lt;$H$2),0,MIN($E298-SUM($G298:M298),$F298))</f>
        <v>0</v>
      </c>
      <c r="O298" s="424">
        <f>IF(OR(O$279&lt;$C298,O$279&lt;$H$2),0,MIN($E298-SUM($G298:N298),$F298))</f>
        <v>0</v>
      </c>
      <c r="P298" s="424">
        <f>IF(OR(P$279&lt;$C298,P$279&lt;$H$2),0,MIN($E298-SUM($G298:O298),$F298))</f>
        <v>0</v>
      </c>
      <c r="Q298" s="424">
        <f>IF(OR(Q$279&lt;$C298,Q$279&lt;$H$2),0,MIN($E298-SUM($G298:P298),$F298))</f>
        <v>0</v>
      </c>
      <c r="R298" s="424">
        <f>IF(OR(R$279&lt;$C298,R$279&lt;$H$2),0,MIN($E298-SUM($G298:Q298),$F298))</f>
        <v>0</v>
      </c>
      <c r="S298" s="424">
        <f>IF(OR(S$279&lt;$C298,S$279&lt;$H$2),0,MIN($E298-SUM($G298:R298),$F298))</f>
        <v>0</v>
      </c>
      <c r="T298" s="424">
        <f>IF(OR(T$279&lt;$C298,T$279&lt;$H$2),0,MIN($E298-SUM($G298:S298),$F298))</f>
        <v>0</v>
      </c>
      <c r="U298" s="424">
        <f>IF(OR(U$279&lt;$C298,U$279&lt;$H$2),0,MIN($E298-SUM($G298:T298),$F298))</f>
        <v>0</v>
      </c>
      <c r="V298" s="424">
        <f>IF(OR(V$279&lt;$C298,V$279&lt;$H$2),0,MIN($E298-SUM($G298:U298),$F298))</f>
        <v>0</v>
      </c>
      <c r="W298" s="424">
        <f>IF(OR(W$279&lt;$C298,W$279&lt;$H$2),0,MIN($E298-SUM($G298:V298),$F298))</f>
        <v>0</v>
      </c>
      <c r="X298" s="424">
        <f>IF(OR(X$279&lt;$C298,X$279&lt;$H$2),0,MIN($E298-SUM($G298:W298),$F298))</f>
        <v>0</v>
      </c>
      <c r="Y298" s="424">
        <f>IF(OR(Y$279&lt;$C298,Y$279&lt;$H$2),0,MIN($E298-SUM($G298:X298),$F298))</f>
        <v>0</v>
      </c>
      <c r="Z298" s="424">
        <f>IF(OR(Z$279&lt;$C298,Z$279&lt;$H$2),0,MIN($E298-SUM($G298:Y298),$F298))</f>
        <v>0</v>
      </c>
      <c r="AA298" s="424">
        <f>IF(OR(AA$279&lt;$C298,AA$279&lt;$H$2),0,MIN($E298-SUM($G298:Z298),$F298))</f>
        <v>0</v>
      </c>
      <c r="AB298" s="424">
        <f>IF(OR(AB$279&lt;$C298,AB$279&lt;$H$2),0,MIN($E298-SUM($G298:AA298),$F298))</f>
        <v>0</v>
      </c>
      <c r="AC298" s="424">
        <f>IF(OR(AC$279&lt;$C298,AC$279&lt;$H$2),0,MIN($E298-SUM($G298:AB298),$F298))</f>
        <v>0</v>
      </c>
      <c r="AD298" s="424">
        <f>IF(OR(AD$279&lt;$C298,AD$279&lt;$H$2),0,MIN($E298-SUM($G298:AC298),$F298))</f>
        <v>0</v>
      </c>
    </row>
    <row r="299" spans="3:30">
      <c r="C299" s="201">
        <v>52245</v>
      </c>
      <c r="D299" s="94" t="s">
        <v>134</v>
      </c>
      <c r="E299" s="424">
        <f t="shared" si="129"/>
        <v>0</v>
      </c>
      <c r="F299" s="209">
        <f t="shared" si="130"/>
        <v>0</v>
      </c>
      <c r="H299" s="424">
        <f>IF(OR(H$279&lt;$C299,H$279&lt;$H$2),0,MIN($E299-SUM($G299:G299),$F299))</f>
        <v>0</v>
      </c>
      <c r="I299" s="424">
        <f>IF(OR(I$279&lt;$C299,I$279&lt;$H$2),0,MIN($E299-SUM($G299:H299),$F299))</f>
        <v>0</v>
      </c>
      <c r="J299" s="424">
        <f>IF(OR(J$279&lt;$C299,J$279&lt;$H$2),0,MIN($E299-SUM($G299:I299),$F299))</f>
        <v>0</v>
      </c>
      <c r="K299" s="424">
        <f>IF(OR(K$279&lt;$C299,K$279&lt;$H$2),0,MIN($E299-SUM($G299:J299),$F299))</f>
        <v>0</v>
      </c>
      <c r="L299" s="424">
        <f>IF(OR(L$279&lt;$C299,L$279&lt;$H$2),0,MIN($E299-SUM($G299:K299),$F299))</f>
        <v>0</v>
      </c>
      <c r="M299" s="424">
        <f>IF(OR(M$279&lt;$C299,M$279&lt;$H$2),0,MIN($E299-SUM($G299:L299),$F299))</f>
        <v>0</v>
      </c>
      <c r="N299" s="424">
        <f>IF(OR(N$279&lt;$C299,N$279&lt;$H$2),0,MIN($E299-SUM($G299:M299),$F299))</f>
        <v>0</v>
      </c>
      <c r="O299" s="424">
        <f>IF(OR(O$279&lt;$C299,O$279&lt;$H$2),0,MIN($E299-SUM($G299:N299),$F299))</f>
        <v>0</v>
      </c>
      <c r="P299" s="424">
        <f>IF(OR(P$279&lt;$C299,P$279&lt;$H$2),0,MIN($E299-SUM($G299:O299),$F299))</f>
        <v>0</v>
      </c>
      <c r="Q299" s="424">
        <f>IF(OR(Q$279&lt;$C299,Q$279&lt;$H$2),0,MIN($E299-SUM($G299:P299),$F299))</f>
        <v>0</v>
      </c>
      <c r="R299" s="424">
        <f>IF(OR(R$279&lt;$C299,R$279&lt;$H$2),0,MIN($E299-SUM($G299:Q299),$F299))</f>
        <v>0</v>
      </c>
      <c r="S299" s="424">
        <f>IF(OR(S$279&lt;$C299,S$279&lt;$H$2),0,MIN($E299-SUM($G299:R299),$F299))</f>
        <v>0</v>
      </c>
      <c r="T299" s="424">
        <f>IF(OR(T$279&lt;$C299,T$279&lt;$H$2),0,MIN($E299-SUM($G299:S299),$F299))</f>
        <v>0</v>
      </c>
      <c r="U299" s="424">
        <f>IF(OR(U$279&lt;$C299,U$279&lt;$H$2),0,MIN($E299-SUM($G299:T299),$F299))</f>
        <v>0</v>
      </c>
      <c r="V299" s="424">
        <f>IF(OR(V$279&lt;$C299,V$279&lt;$H$2),0,MIN($E299-SUM($G299:U299),$F299))</f>
        <v>0</v>
      </c>
      <c r="W299" s="424">
        <f>IF(OR(W$279&lt;$C299,W$279&lt;$H$2),0,MIN($E299-SUM($G299:V299),$F299))</f>
        <v>0</v>
      </c>
      <c r="X299" s="424">
        <f>IF(OR(X$279&lt;$C299,X$279&lt;$H$2),0,MIN($E299-SUM($G299:W299),$F299))</f>
        <v>0</v>
      </c>
      <c r="Y299" s="424">
        <f>IF(OR(Y$279&lt;$C299,Y$279&lt;$H$2),0,MIN($E299-SUM($G299:X299),$F299))</f>
        <v>0</v>
      </c>
      <c r="Z299" s="424">
        <f>IF(OR(Z$279&lt;$C299,Z$279&lt;$H$2),0,MIN($E299-SUM($G299:Y299),$F299))</f>
        <v>0</v>
      </c>
      <c r="AA299" s="424">
        <f>IF(OR(AA$279&lt;$C299,AA$279&lt;$H$2),0,MIN($E299-SUM($G299:Z299),$F299))</f>
        <v>0</v>
      </c>
      <c r="AB299" s="424">
        <f>IF(OR(AB$279&lt;$C299,AB$279&lt;$H$2),0,MIN($E299-SUM($G299:AA299),$F299))</f>
        <v>0</v>
      </c>
      <c r="AC299" s="424">
        <f>IF(OR(AC$279&lt;$C299,AC$279&lt;$H$2),0,MIN($E299-SUM($G299:AB299),$F299))</f>
        <v>0</v>
      </c>
      <c r="AD299" s="424">
        <f>IF(OR(AD$279&lt;$C299,AD$279&lt;$H$2),0,MIN($E299-SUM($G299:AC299),$F299))</f>
        <v>0</v>
      </c>
    </row>
    <row r="300" spans="3:30">
      <c r="C300" s="201">
        <v>52611</v>
      </c>
      <c r="D300" s="94" t="s">
        <v>134</v>
      </c>
      <c r="E300" s="424">
        <f t="shared" si="129"/>
        <v>0</v>
      </c>
      <c r="F300" s="209">
        <f t="shared" si="130"/>
        <v>0</v>
      </c>
      <c r="H300" s="424">
        <f>IF(OR(H$279&lt;$C300,H$279&lt;$H$2),0,MIN($E300-SUM($G300:G300),$F300))</f>
        <v>0</v>
      </c>
      <c r="I300" s="424">
        <f>IF(OR(I$279&lt;$C300,I$279&lt;$H$2),0,MIN($E300-SUM($G300:H300),$F300))</f>
        <v>0</v>
      </c>
      <c r="J300" s="424">
        <f>IF(OR(J$279&lt;$C300,J$279&lt;$H$2),0,MIN($E300-SUM($G300:I300),$F300))</f>
        <v>0</v>
      </c>
      <c r="K300" s="424">
        <f>IF(OR(K$279&lt;$C300,K$279&lt;$H$2),0,MIN($E300-SUM($G300:J300),$F300))</f>
        <v>0</v>
      </c>
      <c r="L300" s="424">
        <f>IF(OR(L$279&lt;$C300,L$279&lt;$H$2),0,MIN($E300-SUM($G300:K300),$F300))</f>
        <v>0</v>
      </c>
      <c r="M300" s="424">
        <f>IF(OR(M$279&lt;$C300,M$279&lt;$H$2),0,MIN($E300-SUM($G300:L300),$F300))</f>
        <v>0</v>
      </c>
      <c r="N300" s="424">
        <f>IF(OR(N$279&lt;$C300,N$279&lt;$H$2),0,MIN($E300-SUM($G300:M300),$F300))</f>
        <v>0</v>
      </c>
      <c r="O300" s="424">
        <f>IF(OR(O$279&lt;$C300,O$279&lt;$H$2),0,MIN($E300-SUM($G300:N300),$F300))</f>
        <v>0</v>
      </c>
      <c r="P300" s="424">
        <f>IF(OR(P$279&lt;$C300,P$279&lt;$H$2),0,MIN($E300-SUM($G300:O300),$F300))</f>
        <v>0</v>
      </c>
      <c r="Q300" s="424">
        <f>IF(OR(Q$279&lt;$C300,Q$279&lt;$H$2),0,MIN($E300-SUM($G300:P300),$F300))</f>
        <v>0</v>
      </c>
      <c r="R300" s="424">
        <f>IF(OR(R$279&lt;$C300,R$279&lt;$H$2),0,MIN($E300-SUM($G300:Q300),$F300))</f>
        <v>0</v>
      </c>
      <c r="S300" s="424">
        <f>IF(OR(S$279&lt;$C300,S$279&lt;$H$2),0,MIN($E300-SUM($G300:R300),$F300))</f>
        <v>0</v>
      </c>
      <c r="T300" s="424">
        <f>IF(OR(T$279&lt;$C300,T$279&lt;$H$2),0,MIN($E300-SUM($G300:S300),$F300))</f>
        <v>0</v>
      </c>
      <c r="U300" s="424">
        <f>IF(OR(U$279&lt;$C300,U$279&lt;$H$2),0,MIN($E300-SUM($G300:T300),$F300))</f>
        <v>0</v>
      </c>
      <c r="V300" s="424">
        <f>IF(OR(V$279&lt;$C300,V$279&lt;$H$2),0,MIN($E300-SUM($G300:U300),$F300))</f>
        <v>0</v>
      </c>
      <c r="W300" s="424">
        <f>IF(OR(W$279&lt;$C300,W$279&lt;$H$2),0,MIN($E300-SUM($G300:V300),$F300))</f>
        <v>0</v>
      </c>
      <c r="X300" s="424">
        <f>IF(OR(X$279&lt;$C300,X$279&lt;$H$2),0,MIN($E300-SUM($G300:W300),$F300))</f>
        <v>0</v>
      </c>
      <c r="Y300" s="424">
        <f>IF(OR(Y$279&lt;$C300,Y$279&lt;$H$2),0,MIN($E300-SUM($G300:X300),$F300))</f>
        <v>0</v>
      </c>
      <c r="Z300" s="424">
        <f>IF(OR(Z$279&lt;$C300,Z$279&lt;$H$2),0,MIN($E300-SUM($G300:Y300),$F300))</f>
        <v>0</v>
      </c>
      <c r="AA300" s="424">
        <f>IF(OR(AA$279&lt;$C300,AA$279&lt;$H$2),0,MIN($E300-SUM($G300:Z300),$F300))</f>
        <v>0</v>
      </c>
      <c r="AB300" s="424">
        <f>IF(OR(AB$279&lt;$C300,AB$279&lt;$H$2),0,MIN($E300-SUM($G300:AA300),$F300))</f>
        <v>0</v>
      </c>
      <c r="AC300" s="424">
        <f>IF(OR(AC$279&lt;$C300,AC$279&lt;$H$2),0,MIN($E300-SUM($G300:AB300),$F300))</f>
        <v>0</v>
      </c>
      <c r="AD300" s="424">
        <f>IF(OR(AD$279&lt;$C300,AD$279&lt;$H$2),0,MIN($E300-SUM($G300:AC300),$F300))</f>
        <v>0</v>
      </c>
    </row>
    <row r="301" spans="3:30">
      <c r="C301" s="201">
        <v>52977</v>
      </c>
      <c r="D301" s="94" t="s">
        <v>134</v>
      </c>
      <c r="E301" s="424">
        <f t="shared" si="129"/>
        <v>10.0557</v>
      </c>
      <c r="F301" s="209">
        <f t="shared" si="130"/>
        <v>0.67071518999999991</v>
      </c>
      <c r="H301" s="424">
        <f>IF(OR(H$279&lt;$C301,H$279&lt;$H$2),0,MIN($E301-SUM($G301:G301),$F301))</f>
        <v>0</v>
      </c>
      <c r="I301" s="424">
        <f>IF(OR(I$279&lt;$C301,I$279&lt;$H$2),0,MIN($E301-SUM($G301:H301),$F301))</f>
        <v>0</v>
      </c>
      <c r="J301" s="424">
        <f>IF(OR(J$279&lt;$C301,J$279&lt;$H$2),0,MIN($E301-SUM($G301:I301),$F301))</f>
        <v>0</v>
      </c>
      <c r="K301" s="424">
        <f>IF(OR(K$279&lt;$C301,K$279&lt;$H$2),0,MIN($E301-SUM($G301:J301),$F301))</f>
        <v>0</v>
      </c>
      <c r="L301" s="424">
        <f>IF(OR(L$279&lt;$C301,L$279&lt;$H$2),0,MIN($E301-SUM($G301:K301),$F301))</f>
        <v>0</v>
      </c>
      <c r="M301" s="424">
        <f>IF(OR(M$279&lt;$C301,M$279&lt;$H$2),0,MIN($E301-SUM($G301:L301),$F301))</f>
        <v>0</v>
      </c>
      <c r="N301" s="424">
        <f>IF(OR(N$279&lt;$C301,N$279&lt;$H$2),0,MIN($E301-SUM($G301:M301),$F301))</f>
        <v>0</v>
      </c>
      <c r="O301" s="424">
        <f>IF(OR(O$279&lt;$C301,O$279&lt;$H$2),0,MIN($E301-SUM($G301:N301),$F301))</f>
        <v>0</v>
      </c>
      <c r="P301" s="424">
        <f>IF(OR(P$279&lt;$C301,P$279&lt;$H$2),0,MIN($E301-SUM($G301:O301),$F301))</f>
        <v>0</v>
      </c>
      <c r="Q301" s="424">
        <f>IF(OR(Q$279&lt;$C301,Q$279&lt;$H$2),0,MIN($E301-SUM($G301:P301),$F301))</f>
        <v>0</v>
      </c>
      <c r="R301" s="424">
        <f>IF(OR(R$279&lt;$C301,R$279&lt;$H$2),0,MIN($E301-SUM($G301:Q301),$F301))</f>
        <v>0</v>
      </c>
      <c r="S301" s="424">
        <f>IF(OR(S$279&lt;$C301,S$279&lt;$H$2),0,MIN($E301-SUM($G301:R301),$F301))</f>
        <v>0</v>
      </c>
      <c r="T301" s="424">
        <f>IF(OR(T$279&lt;$C301,T$279&lt;$H$2),0,MIN($E301-SUM($G301:S301),$F301))</f>
        <v>0</v>
      </c>
      <c r="U301" s="424">
        <f>IF(OR(U$279&lt;$C301,U$279&lt;$H$2),0,MIN($E301-SUM($G301:T301),$F301))</f>
        <v>0</v>
      </c>
      <c r="V301" s="424">
        <f>IF(OR(V$279&lt;$C301,V$279&lt;$H$2),0,MIN($E301-SUM($G301:U301),$F301))</f>
        <v>0</v>
      </c>
      <c r="W301" s="424">
        <f>IF(OR(W$279&lt;$C301,W$279&lt;$H$2),0,MIN($E301-SUM($G301:V301),$F301))</f>
        <v>0</v>
      </c>
      <c r="X301" s="424">
        <f>IF(OR(X$279&lt;$C301,X$279&lt;$H$2),0,MIN($E301-SUM($G301:W301),$F301))</f>
        <v>0</v>
      </c>
      <c r="Y301" s="424">
        <f>IF(OR(Y$279&lt;$C301,Y$279&lt;$H$2),0,MIN($E301-SUM($G301:X301),$F301))</f>
        <v>0</v>
      </c>
      <c r="Z301" s="424">
        <f>IF(OR(Z$279&lt;$C301,Z$279&lt;$H$2),0,MIN($E301-SUM($G301:Y301),$F301))</f>
        <v>0</v>
      </c>
      <c r="AA301" s="424">
        <f>IF(OR(AA$279&lt;$C301,AA$279&lt;$H$2),0,MIN($E301-SUM($G301:Z301),$F301))</f>
        <v>0.67071518999999991</v>
      </c>
      <c r="AB301" s="424">
        <f>IF(OR(AB$279&lt;$C301,AB$279&lt;$H$2),0,MIN($E301-SUM($G301:AA301),$F301))</f>
        <v>0.67071518999999991</v>
      </c>
      <c r="AC301" s="424">
        <f>IF(OR(AC$279&lt;$C301,AC$279&lt;$H$2),0,MIN($E301-SUM($G301:AB301),$F301))</f>
        <v>0.67071518999999991</v>
      </c>
      <c r="AD301" s="424">
        <f>IF(OR(AD$279&lt;$C301,AD$279&lt;$H$2),0,MIN($E301-SUM($G301:AC301),$F301))</f>
        <v>0.67071518999999991</v>
      </c>
    </row>
    <row r="302" spans="3:30">
      <c r="C302" s="201">
        <v>53343</v>
      </c>
      <c r="D302" s="94" t="s">
        <v>134</v>
      </c>
      <c r="E302" s="424">
        <f t="shared" si="129"/>
        <v>0</v>
      </c>
      <c r="F302" s="209">
        <f t="shared" si="130"/>
        <v>0</v>
      </c>
      <c r="H302" s="424">
        <f>IF(OR(H$279&lt;$C302,H$279&lt;$H$2),0,MIN($E302-SUM($G302:G302),$F302))</f>
        <v>0</v>
      </c>
      <c r="I302" s="424">
        <f>IF(OR(I$279&lt;$C302,I$279&lt;$H$2),0,MIN($E302-SUM($G302:H302),$F302))</f>
        <v>0</v>
      </c>
      <c r="J302" s="424">
        <f>IF(OR(J$279&lt;$C302,J$279&lt;$H$2),0,MIN($E302-SUM($G302:I302),$F302))</f>
        <v>0</v>
      </c>
      <c r="K302" s="424">
        <f>IF(OR(K$279&lt;$C302,K$279&lt;$H$2),0,MIN($E302-SUM($G302:J302),$F302))</f>
        <v>0</v>
      </c>
      <c r="L302" s="424">
        <f>IF(OR(L$279&lt;$C302,L$279&lt;$H$2),0,MIN($E302-SUM($G302:K302),$F302))</f>
        <v>0</v>
      </c>
      <c r="M302" s="424">
        <f>IF(OR(M$279&lt;$C302,M$279&lt;$H$2),0,MIN($E302-SUM($G302:L302),$F302))</f>
        <v>0</v>
      </c>
      <c r="N302" s="424">
        <f>IF(OR(N$279&lt;$C302,N$279&lt;$H$2),0,MIN($E302-SUM($G302:M302),$F302))</f>
        <v>0</v>
      </c>
      <c r="O302" s="424">
        <f>IF(OR(O$279&lt;$C302,O$279&lt;$H$2),0,MIN($E302-SUM($G302:N302),$F302))</f>
        <v>0</v>
      </c>
      <c r="P302" s="424">
        <f>IF(OR(P$279&lt;$C302,P$279&lt;$H$2),0,MIN($E302-SUM($G302:O302),$F302))</f>
        <v>0</v>
      </c>
      <c r="Q302" s="424">
        <f>IF(OR(Q$279&lt;$C302,Q$279&lt;$H$2),0,MIN($E302-SUM($G302:P302),$F302))</f>
        <v>0</v>
      </c>
      <c r="R302" s="424">
        <f>IF(OR(R$279&lt;$C302,R$279&lt;$H$2),0,MIN($E302-SUM($G302:Q302),$F302))</f>
        <v>0</v>
      </c>
      <c r="S302" s="424">
        <f>IF(OR(S$279&lt;$C302,S$279&lt;$H$2),0,MIN($E302-SUM($G302:R302),$F302))</f>
        <v>0</v>
      </c>
      <c r="T302" s="424">
        <f>IF(OR(T$279&lt;$C302,T$279&lt;$H$2),0,MIN($E302-SUM($G302:S302),$F302))</f>
        <v>0</v>
      </c>
      <c r="U302" s="424">
        <f>IF(OR(U$279&lt;$C302,U$279&lt;$H$2),0,MIN($E302-SUM($G302:T302),$F302))</f>
        <v>0</v>
      </c>
      <c r="V302" s="424">
        <f>IF(OR(V$279&lt;$C302,V$279&lt;$H$2),0,MIN($E302-SUM($G302:U302),$F302))</f>
        <v>0</v>
      </c>
      <c r="W302" s="424">
        <f>IF(OR(W$279&lt;$C302,W$279&lt;$H$2),0,MIN($E302-SUM($G302:V302),$F302))</f>
        <v>0</v>
      </c>
      <c r="X302" s="424">
        <f>IF(OR(X$279&lt;$C302,X$279&lt;$H$2),0,MIN($E302-SUM($G302:W302),$F302))</f>
        <v>0</v>
      </c>
      <c r="Y302" s="424">
        <f>IF(OR(Y$279&lt;$C302,Y$279&lt;$H$2),0,MIN($E302-SUM($G302:X302),$F302))</f>
        <v>0</v>
      </c>
      <c r="Z302" s="424">
        <f>IF(OR(Z$279&lt;$C302,Z$279&lt;$H$2),0,MIN($E302-SUM($G302:Y302),$F302))</f>
        <v>0</v>
      </c>
      <c r="AA302" s="424">
        <f>IF(OR(AA$279&lt;$C302,AA$279&lt;$H$2),0,MIN($E302-SUM($G302:Z302),$F302))</f>
        <v>0</v>
      </c>
      <c r="AB302" s="424">
        <f>IF(OR(AB$279&lt;$C302,AB$279&lt;$H$2),0,MIN($E302-SUM($G302:AA302),$F302))</f>
        <v>0</v>
      </c>
      <c r="AC302" s="424">
        <f>IF(OR(AC$279&lt;$C302,AC$279&lt;$H$2),0,MIN($E302-SUM($G302:AB302),$F302))</f>
        <v>0</v>
      </c>
      <c r="AD302" s="424">
        <f>IF(OR(AD$279&lt;$C302,AD$279&lt;$H$2),0,MIN($E302-SUM($G302:AC302),$F302))</f>
        <v>0</v>
      </c>
    </row>
    <row r="303" spans="3:30">
      <c r="C303" s="201">
        <v>53709</v>
      </c>
      <c r="D303" s="94" t="s">
        <v>134</v>
      </c>
      <c r="E303" s="424">
        <f t="shared" si="129"/>
        <v>0</v>
      </c>
      <c r="F303" s="209">
        <f t="shared" si="130"/>
        <v>0</v>
      </c>
      <c r="H303" s="424">
        <f>IF(OR(H$279&lt;$C303,H$279&lt;$H$2),0,MIN($E303-SUM($G303:G303),$F303))</f>
        <v>0</v>
      </c>
      <c r="I303" s="424">
        <f>IF(OR(I$279&lt;$C303,I$279&lt;$H$2),0,MIN($E303-SUM($G303:H303),$F303))</f>
        <v>0</v>
      </c>
      <c r="J303" s="424">
        <f>IF(OR(J$279&lt;$C303,J$279&lt;$H$2),0,MIN($E303-SUM($G303:I303),$F303))</f>
        <v>0</v>
      </c>
      <c r="K303" s="424">
        <f>IF(OR(K$279&lt;$C303,K$279&lt;$H$2),0,MIN($E303-SUM($G303:J303),$F303))</f>
        <v>0</v>
      </c>
      <c r="L303" s="424">
        <f>IF(OR(L$279&lt;$C303,L$279&lt;$H$2),0,MIN($E303-SUM($G303:K303),$F303))</f>
        <v>0</v>
      </c>
      <c r="M303" s="424">
        <f>IF(OR(M$279&lt;$C303,M$279&lt;$H$2),0,MIN($E303-SUM($G303:L303),$F303))</f>
        <v>0</v>
      </c>
      <c r="N303" s="424">
        <f>IF(OR(N$279&lt;$C303,N$279&lt;$H$2),0,MIN($E303-SUM($G303:M303),$F303))</f>
        <v>0</v>
      </c>
      <c r="O303" s="424">
        <f>IF(OR(O$279&lt;$C303,O$279&lt;$H$2),0,MIN($E303-SUM($G303:N303),$F303))</f>
        <v>0</v>
      </c>
      <c r="P303" s="424">
        <f>IF(OR(P$279&lt;$C303,P$279&lt;$H$2),0,MIN($E303-SUM($G303:O303),$F303))</f>
        <v>0</v>
      </c>
      <c r="Q303" s="424">
        <f>IF(OR(Q$279&lt;$C303,Q$279&lt;$H$2),0,MIN($E303-SUM($G303:P303),$F303))</f>
        <v>0</v>
      </c>
      <c r="R303" s="424">
        <f>IF(OR(R$279&lt;$C303,R$279&lt;$H$2),0,MIN($E303-SUM($G303:Q303),$F303))</f>
        <v>0</v>
      </c>
      <c r="S303" s="424">
        <f>IF(OR(S$279&lt;$C303,S$279&lt;$H$2),0,MIN($E303-SUM($G303:R303),$F303))</f>
        <v>0</v>
      </c>
      <c r="T303" s="424">
        <f>IF(OR(T$279&lt;$C303,T$279&lt;$H$2),0,MIN($E303-SUM($G303:S303),$F303))</f>
        <v>0</v>
      </c>
      <c r="U303" s="424">
        <f>IF(OR(U$279&lt;$C303,U$279&lt;$H$2),0,MIN($E303-SUM($G303:T303),$F303))</f>
        <v>0</v>
      </c>
      <c r="V303" s="424">
        <f>IF(OR(V$279&lt;$C303,V$279&lt;$H$2),0,MIN($E303-SUM($G303:U303),$F303))</f>
        <v>0</v>
      </c>
      <c r="W303" s="424">
        <f>IF(OR(W$279&lt;$C303,W$279&lt;$H$2),0,MIN($E303-SUM($G303:V303),$F303))</f>
        <v>0</v>
      </c>
      <c r="X303" s="424">
        <f>IF(OR(X$279&lt;$C303,X$279&lt;$H$2),0,MIN($E303-SUM($G303:W303),$F303))</f>
        <v>0</v>
      </c>
      <c r="Y303" s="424">
        <f>IF(OR(Y$279&lt;$C303,Y$279&lt;$H$2),0,MIN($E303-SUM($G303:X303),$F303))</f>
        <v>0</v>
      </c>
      <c r="Z303" s="424">
        <f>IF(OR(Z$279&lt;$C303,Z$279&lt;$H$2),0,MIN($E303-SUM($G303:Y303),$F303))</f>
        <v>0</v>
      </c>
      <c r="AA303" s="424">
        <f>IF(OR(AA$279&lt;$C303,AA$279&lt;$H$2),0,MIN($E303-SUM($G303:Z303),$F303))</f>
        <v>0</v>
      </c>
      <c r="AB303" s="424">
        <f>IF(OR(AB$279&lt;$C303,AB$279&lt;$H$2),0,MIN($E303-SUM($G303:AA303),$F303))</f>
        <v>0</v>
      </c>
      <c r="AC303" s="424">
        <f>IF(OR(AC$279&lt;$C303,AC$279&lt;$H$2),0,MIN($E303-SUM($G303:AB303),$F303))</f>
        <v>0</v>
      </c>
      <c r="AD303" s="424">
        <f>IF(OR(AD$279&lt;$C303,AD$279&lt;$H$2),0,MIN($E303-SUM($G303:AC303),$F303))</f>
        <v>0</v>
      </c>
    </row>
    <row r="304" spans="3:30">
      <c r="C304" s="201">
        <v>54075</v>
      </c>
      <c r="D304" s="94" t="s">
        <v>134</v>
      </c>
      <c r="E304" s="424">
        <f t="shared" si="129"/>
        <v>0</v>
      </c>
      <c r="F304" s="209">
        <f t="shared" si="130"/>
        <v>0</v>
      </c>
      <c r="H304" s="424">
        <f>IF(OR(H$279&lt;$C304,H$279&lt;$H$2),0,MIN($E304-SUM($G304:G304),$F304))</f>
        <v>0</v>
      </c>
      <c r="I304" s="424">
        <f>IF(OR(I$279&lt;$C304,I$279&lt;$H$2),0,MIN($E304-SUM($G304:H304),$F304))</f>
        <v>0</v>
      </c>
      <c r="J304" s="424">
        <f>IF(OR(J$279&lt;$C304,J$279&lt;$H$2),0,MIN($E304-SUM($G304:I304),$F304))</f>
        <v>0</v>
      </c>
      <c r="K304" s="424">
        <f>IF(OR(K$279&lt;$C304,K$279&lt;$H$2),0,MIN($E304-SUM($G304:J304),$F304))</f>
        <v>0</v>
      </c>
      <c r="L304" s="424">
        <f>IF(OR(L$279&lt;$C304,L$279&lt;$H$2),0,MIN($E304-SUM($G304:K304),$F304))</f>
        <v>0</v>
      </c>
      <c r="M304" s="424">
        <f>IF(OR(M$279&lt;$C304,M$279&lt;$H$2),0,MIN($E304-SUM($G304:L304),$F304))</f>
        <v>0</v>
      </c>
      <c r="N304" s="424">
        <f>IF(OR(N$279&lt;$C304,N$279&lt;$H$2),0,MIN($E304-SUM($G304:M304),$F304))</f>
        <v>0</v>
      </c>
      <c r="O304" s="424">
        <f>IF(OR(O$279&lt;$C304,O$279&lt;$H$2),0,MIN($E304-SUM($G304:N304),$F304))</f>
        <v>0</v>
      </c>
      <c r="P304" s="424">
        <f>IF(OR(P$279&lt;$C304,P$279&lt;$H$2),0,MIN($E304-SUM($G304:O304),$F304))</f>
        <v>0</v>
      </c>
      <c r="Q304" s="424">
        <f>IF(OR(Q$279&lt;$C304,Q$279&lt;$H$2),0,MIN($E304-SUM($G304:P304),$F304))</f>
        <v>0</v>
      </c>
      <c r="R304" s="424">
        <f>IF(OR(R$279&lt;$C304,R$279&lt;$H$2),0,MIN($E304-SUM($G304:Q304),$F304))</f>
        <v>0</v>
      </c>
      <c r="S304" s="424">
        <f>IF(OR(S$279&lt;$C304,S$279&lt;$H$2),0,MIN($E304-SUM($G304:R304),$F304))</f>
        <v>0</v>
      </c>
      <c r="T304" s="424">
        <f>IF(OR(T$279&lt;$C304,T$279&lt;$H$2),0,MIN($E304-SUM($G304:S304),$F304))</f>
        <v>0</v>
      </c>
      <c r="U304" s="424">
        <f>IF(OR(U$279&lt;$C304,U$279&lt;$H$2),0,MIN($E304-SUM($G304:T304),$F304))</f>
        <v>0</v>
      </c>
      <c r="V304" s="424">
        <f>IF(OR(V$279&lt;$C304,V$279&lt;$H$2),0,MIN($E304-SUM($G304:U304),$F304))</f>
        <v>0</v>
      </c>
      <c r="W304" s="424">
        <f>IF(OR(W$279&lt;$C304,W$279&lt;$H$2),0,MIN($E304-SUM($G304:V304),$F304))</f>
        <v>0</v>
      </c>
      <c r="X304" s="424">
        <f>IF(OR(X$279&lt;$C304,X$279&lt;$H$2),0,MIN($E304-SUM($G304:W304),$F304))</f>
        <v>0</v>
      </c>
      <c r="Y304" s="424">
        <f>IF(OR(Y$279&lt;$C304,Y$279&lt;$H$2),0,MIN($E304-SUM($G304:X304),$F304))</f>
        <v>0</v>
      </c>
      <c r="Z304" s="424">
        <f>IF(OR(Z$279&lt;$C304,Z$279&lt;$H$2),0,MIN($E304-SUM($G304:Y304),$F304))</f>
        <v>0</v>
      </c>
      <c r="AA304" s="424">
        <f>IF(OR(AA$279&lt;$C304,AA$279&lt;$H$2),0,MIN($E304-SUM($G304:Z304),$F304))</f>
        <v>0</v>
      </c>
      <c r="AB304" s="424">
        <f>IF(OR(AB$279&lt;$C304,AB$279&lt;$H$2),0,MIN($E304-SUM($G304:AA304),$F304))</f>
        <v>0</v>
      </c>
      <c r="AC304" s="424">
        <f>IF(OR(AC$279&lt;$C304,AC$279&lt;$H$2),0,MIN($E304-SUM($G304:AB304),$F304))</f>
        <v>0</v>
      </c>
      <c r="AD304" s="424">
        <f>IF(OR(AD$279&lt;$C304,AD$279&lt;$H$2),0,MIN($E304-SUM($G304:AC304),$F304))</f>
        <v>0</v>
      </c>
    </row>
    <row r="305" spans="3:30" ht="14" thickBot="1">
      <c r="C305" s="240" t="s">
        <v>543</v>
      </c>
      <c r="D305" s="348" t="s">
        <v>134</v>
      </c>
      <c r="E305" s="427">
        <f>SUM(E282:E304)</f>
        <v>355.3014</v>
      </c>
      <c r="F305" s="427">
        <f>SUM(F282:F304)</f>
        <v>23.698603379999994</v>
      </c>
      <c r="G305" s="348"/>
      <c r="H305" s="427">
        <f t="shared" ref="H305:AD305" si="131">SUM(H282:H304)</f>
        <v>0</v>
      </c>
      <c r="I305" s="427">
        <f t="shared" si="131"/>
        <v>0</v>
      </c>
      <c r="J305" s="427">
        <f t="shared" si="131"/>
        <v>0.79973299999999992</v>
      </c>
      <c r="K305" s="427">
        <f t="shared" si="131"/>
        <v>6.7888927499999987</v>
      </c>
      <c r="L305" s="427">
        <f t="shared" si="131"/>
        <v>17.167746249999997</v>
      </c>
      <c r="M305" s="427">
        <f t="shared" si="131"/>
        <v>22.357172999999996</v>
      </c>
      <c r="N305" s="427">
        <f t="shared" si="131"/>
        <v>22.357172999999996</v>
      </c>
      <c r="O305" s="427">
        <f t="shared" si="131"/>
        <v>22.357172999999996</v>
      </c>
      <c r="P305" s="427">
        <f t="shared" si="131"/>
        <v>22.357172999999996</v>
      </c>
      <c r="Q305" s="427">
        <f t="shared" si="131"/>
        <v>22.357172999999996</v>
      </c>
      <c r="R305" s="427">
        <f t="shared" si="131"/>
        <v>22.357172999999996</v>
      </c>
      <c r="S305" s="427">
        <f t="shared" si="131"/>
        <v>23.027888189999995</v>
      </c>
      <c r="T305" s="427">
        <f t="shared" si="131"/>
        <v>23.027888189999995</v>
      </c>
      <c r="U305" s="427">
        <f t="shared" si="131"/>
        <v>23.027888189999995</v>
      </c>
      <c r="V305" s="427">
        <f t="shared" si="131"/>
        <v>23.027888189999995</v>
      </c>
      <c r="W305" s="427">
        <f t="shared" si="131"/>
        <v>23.027888189999995</v>
      </c>
      <c r="X305" s="427">
        <f t="shared" si="131"/>
        <v>23.021893189999997</v>
      </c>
      <c r="Y305" s="427">
        <f t="shared" si="131"/>
        <v>22.183258940000002</v>
      </c>
      <c r="Z305" s="427">
        <f t="shared" si="131"/>
        <v>16.161192940000056</v>
      </c>
      <c r="AA305" s="427">
        <f t="shared" si="131"/>
        <v>6.4919558800000292</v>
      </c>
      <c r="AB305" s="427">
        <f t="shared" si="131"/>
        <v>1.3414303799999998</v>
      </c>
      <c r="AC305" s="427">
        <f t="shared" si="131"/>
        <v>1.3414303799999998</v>
      </c>
      <c r="AD305" s="427">
        <f t="shared" si="131"/>
        <v>1.3414303799999998</v>
      </c>
    </row>
    <row r="306" spans="3:30" ht="14" thickTop="1"/>
    <row r="307" spans="3:30" ht="28">
      <c r="C307" s="428" t="s">
        <v>166</v>
      </c>
      <c r="D307" s="428" t="s">
        <v>88</v>
      </c>
      <c r="E307" s="428" t="s">
        <v>555</v>
      </c>
      <c r="F307" s="429" t="s">
        <v>556</v>
      </c>
      <c r="G307" s="430"/>
      <c r="H307" s="201">
        <f t="shared" ref="H307:AD307" si="132">H279</f>
        <v>46023</v>
      </c>
      <c r="I307" s="201">
        <f t="shared" si="132"/>
        <v>46389</v>
      </c>
      <c r="J307" s="201">
        <f t="shared" si="132"/>
        <v>46755</v>
      </c>
      <c r="K307" s="201">
        <f t="shared" si="132"/>
        <v>47121</v>
      </c>
      <c r="L307" s="201">
        <f t="shared" si="132"/>
        <v>47487</v>
      </c>
      <c r="M307" s="201">
        <f t="shared" si="132"/>
        <v>47853</v>
      </c>
      <c r="N307" s="201">
        <f t="shared" si="132"/>
        <v>48219</v>
      </c>
      <c r="O307" s="201">
        <f t="shared" si="132"/>
        <v>48585</v>
      </c>
      <c r="P307" s="201">
        <f t="shared" si="132"/>
        <v>48951</v>
      </c>
      <c r="Q307" s="201">
        <f t="shared" si="132"/>
        <v>49317</v>
      </c>
      <c r="R307" s="201">
        <f t="shared" si="132"/>
        <v>49683</v>
      </c>
      <c r="S307" s="201">
        <f t="shared" si="132"/>
        <v>50049</v>
      </c>
      <c r="T307" s="201">
        <f t="shared" si="132"/>
        <v>50415</v>
      </c>
      <c r="U307" s="201">
        <f t="shared" si="132"/>
        <v>50781</v>
      </c>
      <c r="V307" s="201">
        <f t="shared" si="132"/>
        <v>51147</v>
      </c>
      <c r="W307" s="201">
        <f t="shared" si="132"/>
        <v>51513</v>
      </c>
      <c r="X307" s="201">
        <f t="shared" si="132"/>
        <v>51879</v>
      </c>
      <c r="Y307" s="201">
        <f t="shared" si="132"/>
        <v>52245</v>
      </c>
      <c r="Z307" s="201">
        <f t="shared" si="132"/>
        <v>52611</v>
      </c>
      <c r="AA307" s="201">
        <f t="shared" si="132"/>
        <v>52977</v>
      </c>
      <c r="AB307" s="201">
        <f t="shared" si="132"/>
        <v>53343</v>
      </c>
      <c r="AC307" s="201">
        <f t="shared" si="132"/>
        <v>53709</v>
      </c>
      <c r="AD307" s="201">
        <f t="shared" si="132"/>
        <v>54075</v>
      </c>
    </row>
    <row r="308" spans="3:30">
      <c r="C308" s="430"/>
      <c r="D308" s="430"/>
      <c r="E308" s="428" t="s">
        <v>134</v>
      </c>
      <c r="F308" s="428" t="s">
        <v>134</v>
      </c>
      <c r="G308" s="430"/>
      <c r="H308" s="1141">
        <f t="shared" ref="H308:AD308" si="133">H280</f>
        <v>-4</v>
      </c>
      <c r="I308" s="1141">
        <f t="shared" si="133"/>
        <v>-3</v>
      </c>
      <c r="J308" s="1141">
        <f t="shared" si="133"/>
        <v>-2</v>
      </c>
      <c r="K308" s="1141">
        <f t="shared" si="133"/>
        <v>-1</v>
      </c>
      <c r="L308" s="1141">
        <f t="shared" si="133"/>
        <v>1</v>
      </c>
      <c r="M308" s="1141">
        <f t="shared" si="133"/>
        <v>2</v>
      </c>
      <c r="N308" s="1141">
        <f t="shared" si="133"/>
        <v>3</v>
      </c>
      <c r="O308" s="1141">
        <f t="shared" si="133"/>
        <v>4</v>
      </c>
      <c r="P308" s="1141">
        <f t="shared" si="133"/>
        <v>5</v>
      </c>
      <c r="Q308" s="1141">
        <f t="shared" si="133"/>
        <v>6</v>
      </c>
      <c r="R308" s="1141">
        <f t="shared" si="133"/>
        <v>7</v>
      </c>
      <c r="S308" s="1141">
        <f t="shared" si="133"/>
        <v>8</v>
      </c>
      <c r="T308" s="1141">
        <f t="shared" si="133"/>
        <v>9</v>
      </c>
      <c r="U308" s="1141">
        <f t="shared" si="133"/>
        <v>10</v>
      </c>
      <c r="V308" s="1141">
        <f t="shared" si="133"/>
        <v>11</v>
      </c>
      <c r="W308" s="1141">
        <f t="shared" si="133"/>
        <v>12</v>
      </c>
      <c r="X308" s="1141">
        <f t="shared" si="133"/>
        <v>13</v>
      </c>
      <c r="Y308" s="1141">
        <f t="shared" si="133"/>
        <v>14</v>
      </c>
      <c r="Z308" s="1141">
        <f t="shared" si="133"/>
        <v>15</v>
      </c>
      <c r="AA308" s="1141">
        <f t="shared" si="133"/>
        <v>16</v>
      </c>
      <c r="AB308" s="1141">
        <f t="shared" si="133"/>
        <v>17</v>
      </c>
      <c r="AC308" s="1141">
        <f t="shared" si="133"/>
        <v>18</v>
      </c>
      <c r="AD308" s="1141">
        <f t="shared" si="133"/>
        <v>19</v>
      </c>
    </row>
    <row r="309" spans="3:30">
      <c r="C309" s="191" t="str">
        <f>C65</f>
        <v>Railway Siding</v>
      </c>
    </row>
    <row r="310" spans="3:30">
      <c r="C310" s="201" cm="1">
        <f t="array" ref="C310:C332">TRANSPOSE(H307:AD307)</f>
        <v>46023</v>
      </c>
      <c r="D310" s="94" t="s">
        <v>134</v>
      </c>
      <c r="E310" s="424">
        <f t="shared" ref="E310:E332" si="134">HLOOKUP($C310,$H$39:$AI$112,29,FALSE)</f>
        <v>0</v>
      </c>
      <c r="F310" s="209">
        <f>E310*$F$65</f>
        <v>0</v>
      </c>
      <c r="H310" s="424">
        <f>IF(OR(H$307&lt;$C310,H$307&lt;$H$2),0,MIN($E310-SUM($G310:G310),$F310))</f>
        <v>0</v>
      </c>
      <c r="I310" s="424">
        <f>IF(OR(I$307&lt;$C310,I$307&lt;$H$2),0,MIN($E310-SUM($G310:H310),$F310))</f>
        <v>0</v>
      </c>
      <c r="J310" s="424">
        <f>IF(OR(J$307&lt;$C310,J$307&lt;$H$2),0,MIN($E310-SUM($G310:I310),$F310))</f>
        <v>0</v>
      </c>
      <c r="K310" s="424">
        <f>IF(OR(K$307&lt;$C310,K$307&lt;$H$2),0,MIN($E310-SUM($G310:J310),$F310))</f>
        <v>0</v>
      </c>
      <c r="L310" s="424">
        <f>IF(OR(L$307&lt;$C310,L$307&lt;$H$2),0,MIN($E310-SUM($G310:K310),$F310))</f>
        <v>0</v>
      </c>
      <c r="M310" s="424">
        <f>IF(OR(M$307&lt;$C310,M$307&lt;$H$2),0,MIN($E310-SUM($G310:L310),$F310))</f>
        <v>0</v>
      </c>
      <c r="N310" s="424">
        <f>IF(OR(N$307&lt;$C310,N$307&lt;$H$2),0,MIN($E310-SUM($G310:M310),$F310))</f>
        <v>0</v>
      </c>
      <c r="O310" s="424">
        <f>IF(OR(O$307&lt;$C310,O$307&lt;$H$2),0,MIN($E310-SUM($G310:N310),$F310))</f>
        <v>0</v>
      </c>
      <c r="P310" s="424">
        <f>IF(OR(P$307&lt;$C310,P$307&lt;$H$2),0,MIN($E310-SUM($G310:O310),$F310))</f>
        <v>0</v>
      </c>
      <c r="Q310" s="424">
        <f>IF(OR(Q$307&lt;$C310,Q$307&lt;$H$2),0,MIN($E310-SUM($G310:P310),$F310))</f>
        <v>0</v>
      </c>
      <c r="R310" s="424">
        <f>IF(OR(R$307&lt;$C310,R$307&lt;$H$2),0,MIN($E310-SUM($G310:Q310),$F310))</f>
        <v>0</v>
      </c>
      <c r="S310" s="424">
        <f>IF(OR(S$307&lt;$C310,S$307&lt;$H$2),0,MIN($E310-SUM($G310:R310),$F310))</f>
        <v>0</v>
      </c>
      <c r="T310" s="424">
        <f>IF(OR(T$307&lt;$C310,T$307&lt;$H$2),0,MIN($E310-SUM($G310:S310),$F310))</f>
        <v>0</v>
      </c>
      <c r="U310" s="424">
        <f>IF(OR(U$307&lt;$C310,U$307&lt;$H$2),0,MIN($E310-SUM($G310:T310),$F310))</f>
        <v>0</v>
      </c>
      <c r="V310" s="424">
        <f>IF(OR(V$307&lt;$C310,V$307&lt;$H$2),0,MIN($E310-SUM($G310:U310),$F310))</f>
        <v>0</v>
      </c>
      <c r="W310" s="424">
        <f>IF(OR(W$307&lt;$C310,W$307&lt;$H$2),0,MIN($E310-SUM($G310:V310),$F310))</f>
        <v>0</v>
      </c>
      <c r="X310" s="424">
        <f>IF(OR(X$307&lt;$C310,X$307&lt;$H$2),0,MIN($E310-SUM($G310:W310),$F310))</f>
        <v>0</v>
      </c>
      <c r="Y310" s="424">
        <f>IF(OR(Y$307&lt;$C310,Y$307&lt;$H$2),0,MIN($E310-SUM($G310:X310),$F310))</f>
        <v>0</v>
      </c>
      <c r="Z310" s="424">
        <f>IF(OR(Z$307&lt;$C310,Z$307&lt;$H$2),0,MIN($E310-SUM($G310:Y310),$F310))</f>
        <v>0</v>
      </c>
      <c r="AA310" s="424">
        <f>IF(OR(AA$307&lt;$C310,AA$307&lt;$H$2),0,MIN($E310-SUM($G310:Z310),$F310))</f>
        <v>0</v>
      </c>
      <c r="AB310" s="424">
        <f>IF(OR(AB$307&lt;$C310,AB$307&lt;$H$2),0,MIN($E310-SUM($G310:AA310),$F310))</f>
        <v>0</v>
      </c>
      <c r="AC310" s="424">
        <f>IF(OR(AC$307&lt;$C310,AC$307&lt;$H$2),0,MIN($E310-SUM($G310:AB310),$F310))</f>
        <v>0</v>
      </c>
      <c r="AD310" s="424">
        <f>IF(OR(AD$307&lt;$C310,AD$307&lt;$H$2),0,MIN($E310-SUM($G310:AC310),$F310))</f>
        <v>0</v>
      </c>
    </row>
    <row r="311" spans="3:30">
      <c r="C311" s="201">
        <v>46389</v>
      </c>
      <c r="D311" s="94" t="s">
        <v>134</v>
      </c>
      <c r="E311" s="424">
        <f t="shared" si="134"/>
        <v>54</v>
      </c>
      <c r="F311" s="209">
        <f t="shared" ref="F311:F332" si="135">E311*$F$65</f>
        <v>2.7</v>
      </c>
      <c r="H311" s="424">
        <f>IF(OR(H$307&lt;$C311,H$307&lt;$H$2),0,MIN($E311-SUM($G311:G311),$F311))</f>
        <v>0</v>
      </c>
      <c r="I311" s="424">
        <f>IF(OR(I$307&lt;$C311,I$307&lt;$H$2),0,MIN($E311-SUM($G311:H311),$F311))</f>
        <v>2.7</v>
      </c>
      <c r="J311" s="424">
        <f>IF(OR(J$307&lt;$C311,J$307&lt;$H$2),0,MIN($E311-SUM($G311:I311),$F311))</f>
        <v>2.7</v>
      </c>
      <c r="K311" s="424">
        <f>IF(OR(K$307&lt;$C311,K$307&lt;$H$2),0,MIN($E311-SUM($G311:J311),$F311))</f>
        <v>2.7</v>
      </c>
      <c r="L311" s="424">
        <f>IF(OR(L$307&lt;$C311,L$307&lt;$H$2),0,MIN($E311-SUM($G311:K311),$F311))</f>
        <v>2.7</v>
      </c>
      <c r="M311" s="424">
        <f>IF(OR(M$307&lt;$C311,M$307&lt;$H$2),0,MIN($E311-SUM($G311:L311),$F311))</f>
        <v>2.7</v>
      </c>
      <c r="N311" s="424">
        <f>IF(OR(N$307&lt;$C311,N$307&lt;$H$2),0,MIN($E311-SUM($G311:M311),$F311))</f>
        <v>2.7</v>
      </c>
      <c r="O311" s="424">
        <f>IF(OR(O$307&lt;$C311,O$307&lt;$H$2),0,MIN($E311-SUM($G311:N311),$F311))</f>
        <v>2.7</v>
      </c>
      <c r="P311" s="424">
        <f>IF(OR(P$307&lt;$C311,P$307&lt;$H$2),0,MIN($E311-SUM($G311:O311),$F311))</f>
        <v>2.7</v>
      </c>
      <c r="Q311" s="424">
        <f>IF(OR(Q$307&lt;$C311,Q$307&lt;$H$2),0,MIN($E311-SUM($G311:P311),$F311))</f>
        <v>2.7</v>
      </c>
      <c r="R311" s="424">
        <f>IF(OR(R$307&lt;$C311,R$307&lt;$H$2),0,MIN($E311-SUM($G311:Q311),$F311))</f>
        <v>2.7</v>
      </c>
      <c r="S311" s="424">
        <f>IF(OR(S$307&lt;$C311,S$307&lt;$H$2),0,MIN($E311-SUM($G311:R311),$F311))</f>
        <v>2.7</v>
      </c>
      <c r="T311" s="424">
        <f>IF(OR(T$307&lt;$C311,T$307&lt;$H$2),0,MIN($E311-SUM($G311:S311),$F311))</f>
        <v>2.7</v>
      </c>
      <c r="U311" s="424">
        <f>IF(OR(U$307&lt;$C311,U$307&lt;$H$2),0,MIN($E311-SUM($G311:T311),$F311))</f>
        <v>2.7</v>
      </c>
      <c r="V311" s="424">
        <f>IF(OR(V$307&lt;$C311,V$307&lt;$H$2),0,MIN($E311-SUM($G311:U311),$F311))</f>
        <v>2.7</v>
      </c>
      <c r="W311" s="424">
        <f>IF(OR(W$307&lt;$C311,W$307&lt;$H$2),0,MIN($E311-SUM($G311:V311),$F311))</f>
        <v>2.7</v>
      </c>
      <c r="X311" s="424">
        <f>IF(OR(X$307&lt;$C311,X$307&lt;$H$2),0,MIN($E311-SUM($G311:W311),$F311))</f>
        <v>2.7</v>
      </c>
      <c r="Y311" s="424">
        <f>IF(OR(Y$307&lt;$C311,Y$307&lt;$H$2),0,MIN($E311-SUM($G311:X311),$F311))</f>
        <v>2.7</v>
      </c>
      <c r="Z311" s="424">
        <f>IF(OR(Z$307&lt;$C311,Z$307&lt;$H$2),0,MIN($E311-SUM($G311:Y311),$F311))</f>
        <v>2.7</v>
      </c>
      <c r="AA311" s="424">
        <f>IF(OR(AA$307&lt;$C311,AA$307&lt;$H$2),0,MIN($E311-SUM($G311:Z311),$F311))</f>
        <v>2.7</v>
      </c>
      <c r="AB311" s="424">
        <f>IF(OR(AB$307&lt;$C311,AB$307&lt;$H$2),0,MIN($E311-SUM($G311:AA311),$F311))</f>
        <v>2.6999999999999815</v>
      </c>
      <c r="AC311" s="424">
        <f>IF(OR(AC$307&lt;$C311,AC$307&lt;$H$2),0,MIN($E311-SUM($G311:AB311),$F311))</f>
        <v>0</v>
      </c>
      <c r="AD311" s="424">
        <f>IF(OR(AD$307&lt;$C311,AD$307&lt;$H$2),0,MIN($E311-SUM($G311:AC311),$F311))</f>
        <v>0</v>
      </c>
    </row>
    <row r="312" spans="3:30">
      <c r="C312" s="201">
        <v>46755</v>
      </c>
      <c r="D312" s="94" t="s">
        <v>134</v>
      </c>
      <c r="E312" s="424">
        <f t="shared" si="134"/>
        <v>324</v>
      </c>
      <c r="F312" s="209">
        <f t="shared" si="135"/>
        <v>16.2</v>
      </c>
      <c r="H312" s="424">
        <f>IF(OR(H$307&lt;$C312,H$307&lt;$H$2),0,MIN($E312-SUM($G312:G312),$F312))</f>
        <v>0</v>
      </c>
      <c r="I312" s="424">
        <f>IF(OR(I$307&lt;$C312,I$307&lt;$H$2),0,MIN($E312-SUM($G312:H312),$F312))</f>
        <v>0</v>
      </c>
      <c r="J312" s="424">
        <f>IF(OR(J$307&lt;$C312,J$307&lt;$H$2),0,MIN($E312-SUM($G312:I312),$F312))</f>
        <v>16.2</v>
      </c>
      <c r="K312" s="424">
        <f>IF(OR(K$307&lt;$C312,K$307&lt;$H$2),0,MIN($E312-SUM($G312:J312),$F312))</f>
        <v>16.2</v>
      </c>
      <c r="L312" s="424">
        <f>IF(OR(L$307&lt;$C312,L$307&lt;$H$2),0,MIN($E312-SUM($G312:K312),$F312))</f>
        <v>16.2</v>
      </c>
      <c r="M312" s="424">
        <f>IF(OR(M$307&lt;$C312,M$307&lt;$H$2),0,MIN($E312-SUM($G312:L312),$F312))</f>
        <v>16.2</v>
      </c>
      <c r="N312" s="424">
        <f>IF(OR(N$307&lt;$C312,N$307&lt;$H$2),0,MIN($E312-SUM($G312:M312),$F312))</f>
        <v>16.2</v>
      </c>
      <c r="O312" s="424">
        <f>IF(OR(O$307&lt;$C312,O$307&lt;$H$2),0,MIN($E312-SUM($G312:N312),$F312))</f>
        <v>16.2</v>
      </c>
      <c r="P312" s="424">
        <f>IF(OR(P$307&lt;$C312,P$307&lt;$H$2),0,MIN($E312-SUM($G312:O312),$F312))</f>
        <v>16.2</v>
      </c>
      <c r="Q312" s="424">
        <f>IF(OR(Q$307&lt;$C312,Q$307&lt;$H$2),0,MIN($E312-SUM($G312:P312),$F312))</f>
        <v>16.2</v>
      </c>
      <c r="R312" s="424">
        <f>IF(OR(R$307&lt;$C312,R$307&lt;$H$2),0,MIN($E312-SUM($G312:Q312),$F312))</f>
        <v>16.2</v>
      </c>
      <c r="S312" s="424">
        <f>IF(OR(S$307&lt;$C312,S$307&lt;$H$2),0,MIN($E312-SUM($G312:R312),$F312))</f>
        <v>16.2</v>
      </c>
      <c r="T312" s="424">
        <f>IF(OR(T$307&lt;$C312,T$307&lt;$H$2),0,MIN($E312-SUM($G312:S312),$F312))</f>
        <v>16.2</v>
      </c>
      <c r="U312" s="424">
        <f>IF(OR(U$307&lt;$C312,U$307&lt;$H$2),0,MIN($E312-SUM($G312:T312),$F312))</f>
        <v>16.2</v>
      </c>
      <c r="V312" s="424">
        <f>IF(OR(V$307&lt;$C312,V$307&lt;$H$2),0,MIN($E312-SUM($G312:U312),$F312))</f>
        <v>16.2</v>
      </c>
      <c r="W312" s="424">
        <f>IF(OR(W$307&lt;$C312,W$307&lt;$H$2),0,MIN($E312-SUM($G312:V312),$F312))</f>
        <v>16.2</v>
      </c>
      <c r="X312" s="424">
        <f>IF(OR(X$307&lt;$C312,X$307&lt;$H$2),0,MIN($E312-SUM($G312:W312),$F312))</f>
        <v>16.2</v>
      </c>
      <c r="Y312" s="424">
        <f>IF(OR(Y$307&lt;$C312,Y$307&lt;$H$2),0,MIN($E312-SUM($G312:X312),$F312))</f>
        <v>16.2</v>
      </c>
      <c r="Z312" s="424">
        <f>IF(OR(Z$307&lt;$C312,Z$307&lt;$H$2),0,MIN($E312-SUM($G312:Y312),$F312))</f>
        <v>16.2</v>
      </c>
      <c r="AA312" s="424">
        <f>IF(OR(AA$307&lt;$C312,AA$307&lt;$H$2),0,MIN($E312-SUM($G312:Z312),$F312))</f>
        <v>16.2</v>
      </c>
      <c r="AB312" s="424">
        <f>IF(OR(AB$307&lt;$C312,AB$307&lt;$H$2),0,MIN($E312-SUM($G312:AA312),$F312))</f>
        <v>16.2</v>
      </c>
      <c r="AC312" s="424">
        <f>IF(OR(AC$307&lt;$C312,AC$307&lt;$H$2),0,MIN($E312-SUM($G312:AB312),$F312))</f>
        <v>16.2</v>
      </c>
      <c r="AD312" s="424">
        <f>IF(OR(AD$307&lt;$C312,AD$307&lt;$H$2),0,MIN($E312-SUM($G312:AC312),$F312))</f>
        <v>1.1368683772161603E-13</v>
      </c>
    </row>
    <row r="313" spans="3:30">
      <c r="C313" s="201">
        <v>47121</v>
      </c>
      <c r="D313" s="94" t="s">
        <v>134</v>
      </c>
      <c r="E313" s="424">
        <f t="shared" si="134"/>
        <v>162</v>
      </c>
      <c r="F313" s="209">
        <f t="shared" si="135"/>
        <v>8.1</v>
      </c>
      <c r="H313" s="424">
        <f>IF(OR(H$307&lt;$C313,H$307&lt;$H$2),0,MIN($E313-SUM($G313:G313),$F313))</f>
        <v>0</v>
      </c>
      <c r="I313" s="424">
        <f>IF(OR(I$307&lt;$C313,I$307&lt;$H$2),0,MIN($E313-SUM($G313:H313),$F313))</f>
        <v>0</v>
      </c>
      <c r="J313" s="424">
        <f>IF(OR(J$307&lt;$C313,J$307&lt;$H$2),0,MIN($E313-SUM($G313:I313),$F313))</f>
        <v>0</v>
      </c>
      <c r="K313" s="424">
        <f>IF(OR(K$307&lt;$C313,K$307&lt;$H$2),0,MIN($E313-SUM($G313:J313),$F313))</f>
        <v>8.1</v>
      </c>
      <c r="L313" s="424">
        <f>IF(OR(L$307&lt;$C313,L$307&lt;$H$2),0,MIN($E313-SUM($G313:K313),$F313))</f>
        <v>8.1</v>
      </c>
      <c r="M313" s="424">
        <f>IF(OR(M$307&lt;$C313,M$307&lt;$H$2),0,MIN($E313-SUM($G313:L313),$F313))</f>
        <v>8.1</v>
      </c>
      <c r="N313" s="424">
        <f>IF(OR(N$307&lt;$C313,N$307&lt;$H$2),0,MIN($E313-SUM($G313:M313),$F313))</f>
        <v>8.1</v>
      </c>
      <c r="O313" s="424">
        <f>IF(OR(O$307&lt;$C313,O$307&lt;$H$2),0,MIN($E313-SUM($G313:N313),$F313))</f>
        <v>8.1</v>
      </c>
      <c r="P313" s="424">
        <f>IF(OR(P$307&lt;$C313,P$307&lt;$H$2),0,MIN($E313-SUM($G313:O313),$F313))</f>
        <v>8.1</v>
      </c>
      <c r="Q313" s="424">
        <f>IF(OR(Q$307&lt;$C313,Q$307&lt;$H$2),0,MIN($E313-SUM($G313:P313),$F313))</f>
        <v>8.1</v>
      </c>
      <c r="R313" s="424">
        <f>IF(OR(R$307&lt;$C313,R$307&lt;$H$2),0,MIN($E313-SUM($G313:Q313),$F313))</f>
        <v>8.1</v>
      </c>
      <c r="S313" s="424">
        <f>IF(OR(S$307&lt;$C313,S$307&lt;$H$2),0,MIN($E313-SUM($G313:R313),$F313))</f>
        <v>8.1</v>
      </c>
      <c r="T313" s="424">
        <f>IF(OR(T$307&lt;$C313,T$307&lt;$H$2),0,MIN($E313-SUM($G313:S313),$F313))</f>
        <v>8.1</v>
      </c>
      <c r="U313" s="424">
        <f>IF(OR(U$307&lt;$C313,U$307&lt;$H$2),0,MIN($E313-SUM($G313:T313),$F313))</f>
        <v>8.1</v>
      </c>
      <c r="V313" s="424">
        <f>IF(OR(V$307&lt;$C313,V$307&lt;$H$2),0,MIN($E313-SUM($G313:U313),$F313))</f>
        <v>8.1</v>
      </c>
      <c r="W313" s="424">
        <f>IF(OR(W$307&lt;$C313,W$307&lt;$H$2),0,MIN($E313-SUM($G313:V313),$F313))</f>
        <v>8.1</v>
      </c>
      <c r="X313" s="424">
        <f>IF(OR(X$307&lt;$C313,X$307&lt;$H$2),0,MIN($E313-SUM($G313:W313),$F313))</f>
        <v>8.1</v>
      </c>
      <c r="Y313" s="424">
        <f>IF(OR(Y$307&lt;$C313,Y$307&lt;$H$2),0,MIN($E313-SUM($G313:X313),$F313))</f>
        <v>8.1</v>
      </c>
      <c r="Z313" s="424">
        <f>IF(OR(Z$307&lt;$C313,Z$307&lt;$H$2),0,MIN($E313-SUM($G313:Y313),$F313))</f>
        <v>8.1</v>
      </c>
      <c r="AA313" s="424">
        <f>IF(OR(AA$307&lt;$C313,AA$307&lt;$H$2),0,MIN($E313-SUM($G313:Z313),$F313))</f>
        <v>8.1</v>
      </c>
      <c r="AB313" s="424">
        <f>IF(OR(AB$307&lt;$C313,AB$307&lt;$H$2),0,MIN($E313-SUM($G313:AA313),$F313))</f>
        <v>8.1</v>
      </c>
      <c r="AC313" s="424">
        <f>IF(OR(AC$307&lt;$C313,AC$307&lt;$H$2),0,MIN($E313-SUM($G313:AB313),$F313))</f>
        <v>8.1</v>
      </c>
      <c r="AD313" s="424">
        <f>IF(OR(AD$307&lt;$C313,AD$307&lt;$H$2),0,MIN($E313-SUM($G313:AC313),$F313))</f>
        <v>8.1</v>
      </c>
    </row>
    <row r="314" spans="3:30">
      <c r="C314" s="201">
        <v>47487</v>
      </c>
      <c r="D314" s="94" t="s">
        <v>134</v>
      </c>
      <c r="E314" s="424">
        <f t="shared" si="134"/>
        <v>0</v>
      </c>
      <c r="F314" s="209">
        <f t="shared" si="135"/>
        <v>0</v>
      </c>
      <c r="H314" s="424">
        <f>IF(OR(H$307&lt;$C314,H$307&lt;$H$2),0,MIN($E314-SUM($G314:G314),$F314))</f>
        <v>0</v>
      </c>
      <c r="I314" s="424">
        <f>IF(OR(I$307&lt;$C314,I$307&lt;$H$2),0,MIN($E314-SUM($G314:H314),$F314))</f>
        <v>0</v>
      </c>
      <c r="J314" s="424">
        <f>IF(OR(J$307&lt;$C314,J$307&lt;$H$2),0,MIN($E314-SUM($G314:I314),$F314))</f>
        <v>0</v>
      </c>
      <c r="K314" s="424">
        <f>IF(OR(K$307&lt;$C314,K$307&lt;$H$2),0,MIN($E314-SUM($G314:J314),$F314))</f>
        <v>0</v>
      </c>
      <c r="L314" s="424">
        <f>IF(OR(L$307&lt;$C314,L$307&lt;$H$2),0,MIN($E314-SUM($G314:K314),$F314))</f>
        <v>0</v>
      </c>
      <c r="M314" s="424">
        <f>IF(OR(M$307&lt;$C314,M$307&lt;$H$2),0,MIN($E314-SUM($G314:L314),$F314))</f>
        <v>0</v>
      </c>
      <c r="N314" s="424">
        <f>IF(OR(N$307&lt;$C314,N$307&lt;$H$2),0,MIN($E314-SUM($G314:M314),$F314))</f>
        <v>0</v>
      </c>
      <c r="O314" s="424">
        <f>IF(OR(O$307&lt;$C314,O$307&lt;$H$2),0,MIN($E314-SUM($G314:N314),$F314))</f>
        <v>0</v>
      </c>
      <c r="P314" s="424">
        <f>IF(OR(P$307&lt;$C314,P$307&lt;$H$2),0,MIN($E314-SUM($G314:O314),$F314))</f>
        <v>0</v>
      </c>
      <c r="Q314" s="424">
        <f>IF(OR(Q$307&lt;$C314,Q$307&lt;$H$2),0,MIN($E314-SUM($G314:P314),$F314))</f>
        <v>0</v>
      </c>
      <c r="R314" s="424">
        <f>IF(OR(R$307&lt;$C314,R$307&lt;$H$2),0,MIN($E314-SUM($G314:Q314),$F314))</f>
        <v>0</v>
      </c>
      <c r="S314" s="424">
        <f>IF(OR(S$307&lt;$C314,S$307&lt;$H$2),0,MIN($E314-SUM($G314:R314),$F314))</f>
        <v>0</v>
      </c>
      <c r="T314" s="424">
        <f>IF(OR(T$307&lt;$C314,T$307&lt;$H$2),0,MIN($E314-SUM($G314:S314),$F314))</f>
        <v>0</v>
      </c>
      <c r="U314" s="424">
        <f>IF(OR(U$307&lt;$C314,U$307&lt;$H$2),0,MIN($E314-SUM($G314:T314),$F314))</f>
        <v>0</v>
      </c>
      <c r="V314" s="424">
        <f>IF(OR(V$307&lt;$C314,V$307&lt;$H$2),0,MIN($E314-SUM($G314:U314),$F314))</f>
        <v>0</v>
      </c>
      <c r="W314" s="424">
        <f>IF(OR(W$307&lt;$C314,W$307&lt;$H$2),0,MIN($E314-SUM($G314:V314),$F314))</f>
        <v>0</v>
      </c>
      <c r="X314" s="424">
        <f>IF(OR(X$307&lt;$C314,X$307&lt;$H$2),0,MIN($E314-SUM($G314:W314),$F314))</f>
        <v>0</v>
      </c>
      <c r="Y314" s="424">
        <f>IF(OR(Y$307&lt;$C314,Y$307&lt;$H$2),0,MIN($E314-SUM($G314:X314),$F314))</f>
        <v>0</v>
      </c>
      <c r="Z314" s="424">
        <f>IF(OR(Z$307&lt;$C314,Z$307&lt;$H$2),0,MIN($E314-SUM($G314:Y314),$F314))</f>
        <v>0</v>
      </c>
      <c r="AA314" s="424">
        <f>IF(OR(AA$307&lt;$C314,AA$307&lt;$H$2),0,MIN($E314-SUM($G314:Z314),$F314))</f>
        <v>0</v>
      </c>
      <c r="AB314" s="424">
        <f>IF(OR(AB$307&lt;$C314,AB$307&lt;$H$2),0,MIN($E314-SUM($G314:AA314),$F314))</f>
        <v>0</v>
      </c>
      <c r="AC314" s="424">
        <f>IF(OR(AC$307&lt;$C314,AC$307&lt;$H$2),0,MIN($E314-SUM($G314:AB314),$F314))</f>
        <v>0</v>
      </c>
      <c r="AD314" s="424">
        <f>IF(OR(AD$307&lt;$C314,AD$307&lt;$H$2),0,MIN($E314-SUM($G314:AC314),$F314))</f>
        <v>0</v>
      </c>
    </row>
    <row r="315" spans="3:30">
      <c r="C315" s="201">
        <v>47853</v>
      </c>
      <c r="D315" s="94" t="s">
        <v>134</v>
      </c>
      <c r="E315" s="424">
        <f t="shared" si="134"/>
        <v>0</v>
      </c>
      <c r="F315" s="209">
        <f t="shared" si="135"/>
        <v>0</v>
      </c>
      <c r="H315" s="424">
        <f>IF(OR(H$307&lt;$C315,H$307&lt;$H$2),0,MIN($E315-SUM($G315:G315),$F315))</f>
        <v>0</v>
      </c>
      <c r="I315" s="424">
        <f>IF(OR(I$307&lt;$C315,I$307&lt;$H$2),0,MIN($E315-SUM($G315:H315),$F315))</f>
        <v>0</v>
      </c>
      <c r="J315" s="424">
        <f>IF(OR(J$307&lt;$C315,J$307&lt;$H$2),0,MIN($E315-SUM($G315:I315),$F315))</f>
        <v>0</v>
      </c>
      <c r="K315" s="424">
        <f>IF(OR(K$307&lt;$C315,K$307&lt;$H$2),0,MIN($E315-SUM($G315:J315),$F315))</f>
        <v>0</v>
      </c>
      <c r="L315" s="424">
        <f>IF(OR(L$307&lt;$C315,L$307&lt;$H$2),0,MIN($E315-SUM($G315:K315),$F315))</f>
        <v>0</v>
      </c>
      <c r="M315" s="424">
        <f>IF(OR(M$307&lt;$C315,M$307&lt;$H$2),0,MIN($E315-SUM($G315:L315),$F315))</f>
        <v>0</v>
      </c>
      <c r="N315" s="424">
        <f>IF(OR(N$307&lt;$C315,N$307&lt;$H$2),0,MIN($E315-SUM($G315:M315),$F315))</f>
        <v>0</v>
      </c>
      <c r="O315" s="424">
        <f>IF(OR(O$307&lt;$C315,O$307&lt;$H$2),0,MIN($E315-SUM($G315:N315),$F315))</f>
        <v>0</v>
      </c>
      <c r="P315" s="424">
        <f>IF(OR(P$307&lt;$C315,P$307&lt;$H$2),0,MIN($E315-SUM($G315:O315),$F315))</f>
        <v>0</v>
      </c>
      <c r="Q315" s="424">
        <f>IF(OR(Q$307&lt;$C315,Q$307&lt;$H$2),0,MIN($E315-SUM($G315:P315),$F315))</f>
        <v>0</v>
      </c>
      <c r="R315" s="424">
        <f>IF(OR(R$307&lt;$C315,R$307&lt;$H$2),0,MIN($E315-SUM($G315:Q315),$F315))</f>
        <v>0</v>
      </c>
      <c r="S315" s="424">
        <f>IF(OR(S$307&lt;$C315,S$307&lt;$H$2),0,MIN($E315-SUM($G315:R315),$F315))</f>
        <v>0</v>
      </c>
      <c r="T315" s="424">
        <f>IF(OR(T$307&lt;$C315,T$307&lt;$H$2),0,MIN($E315-SUM($G315:S315),$F315))</f>
        <v>0</v>
      </c>
      <c r="U315" s="424">
        <f>IF(OR(U$307&lt;$C315,U$307&lt;$H$2),0,MIN($E315-SUM($G315:T315),$F315))</f>
        <v>0</v>
      </c>
      <c r="V315" s="424">
        <f>IF(OR(V$307&lt;$C315,V$307&lt;$H$2),0,MIN($E315-SUM($G315:U315),$F315))</f>
        <v>0</v>
      </c>
      <c r="W315" s="424">
        <f>IF(OR(W$307&lt;$C315,W$307&lt;$H$2),0,MIN($E315-SUM($G315:V315),$F315))</f>
        <v>0</v>
      </c>
      <c r="X315" s="424">
        <f>IF(OR(X$307&lt;$C315,X$307&lt;$H$2),0,MIN($E315-SUM($G315:W315),$F315))</f>
        <v>0</v>
      </c>
      <c r="Y315" s="424">
        <f>IF(OR(Y$307&lt;$C315,Y$307&lt;$H$2),0,MIN($E315-SUM($G315:X315),$F315))</f>
        <v>0</v>
      </c>
      <c r="Z315" s="424">
        <f>IF(OR(Z$307&lt;$C315,Z$307&lt;$H$2),0,MIN($E315-SUM($G315:Y315),$F315))</f>
        <v>0</v>
      </c>
      <c r="AA315" s="424">
        <f>IF(OR(AA$307&lt;$C315,AA$307&lt;$H$2),0,MIN($E315-SUM($G315:Z315),$F315))</f>
        <v>0</v>
      </c>
      <c r="AB315" s="424">
        <f>IF(OR(AB$307&lt;$C315,AB$307&lt;$H$2),0,MIN($E315-SUM($G315:AA315),$F315))</f>
        <v>0</v>
      </c>
      <c r="AC315" s="424">
        <f>IF(OR(AC$307&lt;$C315,AC$307&lt;$H$2),0,MIN($E315-SUM($G315:AB315),$F315))</f>
        <v>0</v>
      </c>
      <c r="AD315" s="424">
        <f>IF(OR(AD$307&lt;$C315,AD$307&lt;$H$2),0,MIN($E315-SUM($G315:AC315),$F315))</f>
        <v>0</v>
      </c>
    </row>
    <row r="316" spans="3:30">
      <c r="C316" s="201">
        <v>48219</v>
      </c>
      <c r="D316" s="94" t="s">
        <v>134</v>
      </c>
      <c r="E316" s="424">
        <f t="shared" si="134"/>
        <v>0</v>
      </c>
      <c r="F316" s="209">
        <f t="shared" si="135"/>
        <v>0</v>
      </c>
      <c r="H316" s="424">
        <f>IF(OR(H$307&lt;$C316,H$307&lt;$H$2),0,MIN($E316-SUM($G316:G316),$F316))</f>
        <v>0</v>
      </c>
      <c r="I316" s="424">
        <f>IF(OR(I$307&lt;$C316,I$307&lt;$H$2),0,MIN($E316-SUM($G316:H316),$F316))</f>
        <v>0</v>
      </c>
      <c r="J316" s="424">
        <f>IF(OR(J$307&lt;$C316,J$307&lt;$H$2),0,MIN($E316-SUM($G316:I316),$F316))</f>
        <v>0</v>
      </c>
      <c r="K316" s="424">
        <f>IF(OR(K$307&lt;$C316,K$307&lt;$H$2),0,MIN($E316-SUM($G316:J316),$F316))</f>
        <v>0</v>
      </c>
      <c r="L316" s="424">
        <f>IF(OR(L$307&lt;$C316,L$307&lt;$H$2),0,MIN($E316-SUM($G316:K316),$F316))</f>
        <v>0</v>
      </c>
      <c r="M316" s="424">
        <f>IF(OR(M$307&lt;$C316,M$307&lt;$H$2),0,MIN($E316-SUM($G316:L316),$F316))</f>
        <v>0</v>
      </c>
      <c r="N316" s="424">
        <f>IF(OR(N$307&lt;$C316,N$307&lt;$H$2),0,MIN($E316-SUM($G316:M316),$F316))</f>
        <v>0</v>
      </c>
      <c r="O316" s="424">
        <f>IF(OR(O$307&lt;$C316,O$307&lt;$H$2),0,MIN($E316-SUM($G316:N316),$F316))</f>
        <v>0</v>
      </c>
      <c r="P316" s="424">
        <f>IF(OR(P$307&lt;$C316,P$307&lt;$H$2),0,MIN($E316-SUM($G316:O316),$F316))</f>
        <v>0</v>
      </c>
      <c r="Q316" s="424">
        <f>IF(OR(Q$307&lt;$C316,Q$307&lt;$H$2),0,MIN($E316-SUM($G316:P316),$F316))</f>
        <v>0</v>
      </c>
      <c r="R316" s="424">
        <f>IF(OR(R$307&lt;$C316,R$307&lt;$H$2),0,MIN($E316-SUM($G316:Q316),$F316))</f>
        <v>0</v>
      </c>
      <c r="S316" s="424">
        <f>IF(OR(S$307&lt;$C316,S$307&lt;$H$2),0,MIN($E316-SUM($G316:R316),$F316))</f>
        <v>0</v>
      </c>
      <c r="T316" s="424">
        <f>IF(OR(T$307&lt;$C316,T$307&lt;$H$2),0,MIN($E316-SUM($G316:S316),$F316))</f>
        <v>0</v>
      </c>
      <c r="U316" s="424">
        <f>IF(OR(U$307&lt;$C316,U$307&lt;$H$2),0,MIN($E316-SUM($G316:T316),$F316))</f>
        <v>0</v>
      </c>
      <c r="V316" s="424">
        <f>IF(OR(V$307&lt;$C316,V$307&lt;$H$2),0,MIN($E316-SUM($G316:U316),$F316))</f>
        <v>0</v>
      </c>
      <c r="W316" s="424">
        <f>IF(OR(W$307&lt;$C316,W$307&lt;$H$2),0,MIN($E316-SUM($G316:V316),$F316))</f>
        <v>0</v>
      </c>
      <c r="X316" s="424">
        <f>IF(OR(X$307&lt;$C316,X$307&lt;$H$2),0,MIN($E316-SUM($G316:W316),$F316))</f>
        <v>0</v>
      </c>
      <c r="Y316" s="424">
        <f>IF(OR(Y$307&lt;$C316,Y$307&lt;$H$2),0,MIN($E316-SUM($G316:X316),$F316))</f>
        <v>0</v>
      </c>
      <c r="Z316" s="424">
        <f>IF(OR(Z$307&lt;$C316,Z$307&lt;$H$2),0,MIN($E316-SUM($G316:Y316),$F316))</f>
        <v>0</v>
      </c>
      <c r="AA316" s="424">
        <f>IF(OR(AA$307&lt;$C316,AA$307&lt;$H$2),0,MIN($E316-SUM($G316:Z316),$F316))</f>
        <v>0</v>
      </c>
      <c r="AB316" s="424">
        <f>IF(OR(AB$307&lt;$C316,AB$307&lt;$H$2),0,MIN($E316-SUM($G316:AA316),$F316))</f>
        <v>0</v>
      </c>
      <c r="AC316" s="424">
        <f>IF(OR(AC$307&lt;$C316,AC$307&lt;$H$2),0,MIN($E316-SUM($G316:AB316),$F316))</f>
        <v>0</v>
      </c>
      <c r="AD316" s="424">
        <f>IF(OR(AD$307&lt;$C316,AD$307&lt;$H$2),0,MIN($E316-SUM($G316:AC316),$F316))</f>
        <v>0</v>
      </c>
    </row>
    <row r="317" spans="3:30">
      <c r="C317" s="201">
        <v>48585</v>
      </c>
      <c r="D317" s="94" t="s">
        <v>134</v>
      </c>
      <c r="E317" s="424">
        <f t="shared" si="134"/>
        <v>0</v>
      </c>
      <c r="F317" s="209">
        <f t="shared" si="135"/>
        <v>0</v>
      </c>
      <c r="H317" s="424">
        <f>IF(OR(H$307&lt;$C317,H$307&lt;$H$2),0,MIN($E317-SUM($G317:G317),$F317))</f>
        <v>0</v>
      </c>
      <c r="I317" s="424">
        <f>IF(OR(I$307&lt;$C317,I$307&lt;$H$2),0,MIN($E317-SUM($G317:H317),$F317))</f>
        <v>0</v>
      </c>
      <c r="J317" s="424">
        <f>IF(OR(J$307&lt;$C317,J$307&lt;$H$2),0,MIN($E317-SUM($G317:I317),$F317))</f>
        <v>0</v>
      </c>
      <c r="K317" s="424">
        <f>IF(OR(K$307&lt;$C317,K$307&lt;$H$2),0,MIN($E317-SUM($G317:J317),$F317))</f>
        <v>0</v>
      </c>
      <c r="L317" s="424">
        <f>IF(OR(L$307&lt;$C317,L$307&lt;$H$2),0,MIN($E317-SUM($G317:K317),$F317))</f>
        <v>0</v>
      </c>
      <c r="M317" s="424">
        <f>IF(OR(M$307&lt;$C317,M$307&lt;$H$2),0,MIN($E317-SUM($G317:L317),$F317))</f>
        <v>0</v>
      </c>
      <c r="N317" s="424">
        <f>IF(OR(N$307&lt;$C317,N$307&lt;$H$2),0,MIN($E317-SUM($G317:M317),$F317))</f>
        <v>0</v>
      </c>
      <c r="O317" s="424">
        <f>IF(OR(O$307&lt;$C317,O$307&lt;$H$2),0,MIN($E317-SUM($G317:N317),$F317))</f>
        <v>0</v>
      </c>
      <c r="P317" s="424">
        <f>IF(OR(P$307&lt;$C317,P$307&lt;$H$2),0,MIN($E317-SUM($G317:O317),$F317))</f>
        <v>0</v>
      </c>
      <c r="Q317" s="424">
        <f>IF(OR(Q$307&lt;$C317,Q$307&lt;$H$2),0,MIN($E317-SUM($G317:P317),$F317))</f>
        <v>0</v>
      </c>
      <c r="R317" s="424">
        <f>IF(OR(R$307&lt;$C317,R$307&lt;$H$2),0,MIN($E317-SUM($G317:Q317),$F317))</f>
        <v>0</v>
      </c>
      <c r="S317" s="424">
        <f>IF(OR(S$307&lt;$C317,S$307&lt;$H$2),0,MIN($E317-SUM($G317:R317),$F317))</f>
        <v>0</v>
      </c>
      <c r="T317" s="424">
        <f>IF(OR(T$307&lt;$C317,T$307&lt;$H$2),0,MIN($E317-SUM($G317:S317),$F317))</f>
        <v>0</v>
      </c>
      <c r="U317" s="424">
        <f>IF(OR(U$307&lt;$C317,U$307&lt;$H$2),0,MIN($E317-SUM($G317:T317),$F317))</f>
        <v>0</v>
      </c>
      <c r="V317" s="424">
        <f>IF(OR(V$307&lt;$C317,V$307&lt;$H$2),0,MIN($E317-SUM($G317:U317),$F317))</f>
        <v>0</v>
      </c>
      <c r="W317" s="424">
        <f>IF(OR(W$307&lt;$C317,W$307&lt;$H$2),0,MIN($E317-SUM($G317:V317),$F317))</f>
        <v>0</v>
      </c>
      <c r="X317" s="424">
        <f>IF(OR(X$307&lt;$C317,X$307&lt;$H$2),0,MIN($E317-SUM($G317:W317),$F317))</f>
        <v>0</v>
      </c>
      <c r="Y317" s="424">
        <f>IF(OR(Y$307&lt;$C317,Y$307&lt;$H$2),0,MIN($E317-SUM($G317:X317),$F317))</f>
        <v>0</v>
      </c>
      <c r="Z317" s="424">
        <f>IF(OR(Z$307&lt;$C317,Z$307&lt;$H$2),0,MIN($E317-SUM($G317:Y317),$F317))</f>
        <v>0</v>
      </c>
      <c r="AA317" s="424">
        <f>IF(OR(AA$307&lt;$C317,AA$307&lt;$H$2),0,MIN($E317-SUM($G317:Z317),$F317))</f>
        <v>0</v>
      </c>
      <c r="AB317" s="424">
        <f>IF(OR(AB$307&lt;$C317,AB$307&lt;$H$2),0,MIN($E317-SUM($G317:AA317),$F317))</f>
        <v>0</v>
      </c>
      <c r="AC317" s="424">
        <f>IF(OR(AC$307&lt;$C317,AC$307&lt;$H$2),0,MIN($E317-SUM($G317:AB317),$F317))</f>
        <v>0</v>
      </c>
      <c r="AD317" s="424">
        <f>IF(OR(AD$307&lt;$C317,AD$307&lt;$H$2),0,MIN($E317-SUM($G317:AC317),$F317))</f>
        <v>0</v>
      </c>
    </row>
    <row r="318" spans="3:30">
      <c r="C318" s="201">
        <v>48951</v>
      </c>
      <c r="D318" s="94" t="s">
        <v>134</v>
      </c>
      <c r="E318" s="424">
        <f t="shared" si="134"/>
        <v>0</v>
      </c>
      <c r="F318" s="209">
        <f t="shared" si="135"/>
        <v>0</v>
      </c>
      <c r="H318" s="424">
        <f>IF(OR(H$307&lt;$C318,H$307&lt;$H$2),0,MIN($E318-SUM($G318:G318),$F318))</f>
        <v>0</v>
      </c>
      <c r="I318" s="424">
        <f>IF(OR(I$307&lt;$C318,I$307&lt;$H$2),0,MIN($E318-SUM($G318:H318),$F318))</f>
        <v>0</v>
      </c>
      <c r="J318" s="424">
        <f>IF(OR(J$307&lt;$C318,J$307&lt;$H$2),0,MIN($E318-SUM($G318:I318),$F318))</f>
        <v>0</v>
      </c>
      <c r="K318" s="424">
        <f>IF(OR(K$307&lt;$C318,K$307&lt;$H$2),0,MIN($E318-SUM($G318:J318),$F318))</f>
        <v>0</v>
      </c>
      <c r="L318" s="424">
        <f>IF(OR(L$307&lt;$C318,L$307&lt;$H$2),0,MIN($E318-SUM($G318:K318),$F318))</f>
        <v>0</v>
      </c>
      <c r="M318" s="424">
        <f>IF(OR(M$307&lt;$C318,M$307&lt;$H$2),0,MIN($E318-SUM($G318:L318),$F318))</f>
        <v>0</v>
      </c>
      <c r="N318" s="424">
        <f>IF(OR(N$307&lt;$C318,N$307&lt;$H$2),0,MIN($E318-SUM($G318:M318),$F318))</f>
        <v>0</v>
      </c>
      <c r="O318" s="424">
        <f>IF(OR(O$307&lt;$C318,O$307&lt;$H$2),0,MIN($E318-SUM($G318:N318),$F318))</f>
        <v>0</v>
      </c>
      <c r="P318" s="424">
        <f>IF(OR(P$307&lt;$C318,P$307&lt;$H$2),0,MIN($E318-SUM($G318:O318),$F318))</f>
        <v>0</v>
      </c>
      <c r="Q318" s="424">
        <f>IF(OR(Q$307&lt;$C318,Q$307&lt;$H$2),0,MIN($E318-SUM($G318:P318),$F318))</f>
        <v>0</v>
      </c>
      <c r="R318" s="424">
        <f>IF(OR(R$307&lt;$C318,R$307&lt;$H$2),0,MIN($E318-SUM($G318:Q318),$F318))</f>
        <v>0</v>
      </c>
      <c r="S318" s="424">
        <f>IF(OR(S$307&lt;$C318,S$307&lt;$H$2),0,MIN($E318-SUM($G318:R318),$F318))</f>
        <v>0</v>
      </c>
      <c r="T318" s="424">
        <f>IF(OR(T$307&lt;$C318,T$307&lt;$H$2),0,MIN($E318-SUM($G318:S318),$F318))</f>
        <v>0</v>
      </c>
      <c r="U318" s="424">
        <f>IF(OR(U$307&lt;$C318,U$307&lt;$H$2),0,MIN($E318-SUM($G318:T318),$F318))</f>
        <v>0</v>
      </c>
      <c r="V318" s="424">
        <f>IF(OR(V$307&lt;$C318,V$307&lt;$H$2),0,MIN($E318-SUM($G318:U318),$F318))</f>
        <v>0</v>
      </c>
      <c r="W318" s="424">
        <f>IF(OR(W$307&lt;$C318,W$307&lt;$H$2),0,MIN($E318-SUM($G318:V318),$F318))</f>
        <v>0</v>
      </c>
      <c r="X318" s="424">
        <f>IF(OR(X$307&lt;$C318,X$307&lt;$H$2),0,MIN($E318-SUM($G318:W318),$F318))</f>
        <v>0</v>
      </c>
      <c r="Y318" s="424">
        <f>IF(OR(Y$307&lt;$C318,Y$307&lt;$H$2),0,MIN($E318-SUM($G318:X318),$F318))</f>
        <v>0</v>
      </c>
      <c r="Z318" s="424">
        <f>IF(OR(Z$307&lt;$C318,Z$307&lt;$H$2),0,MIN($E318-SUM($G318:Y318),$F318))</f>
        <v>0</v>
      </c>
      <c r="AA318" s="424">
        <f>IF(OR(AA$307&lt;$C318,AA$307&lt;$H$2),0,MIN($E318-SUM($G318:Z318),$F318))</f>
        <v>0</v>
      </c>
      <c r="AB318" s="424">
        <f>IF(OR(AB$307&lt;$C318,AB$307&lt;$H$2),0,MIN($E318-SUM($G318:AA318),$F318))</f>
        <v>0</v>
      </c>
      <c r="AC318" s="424">
        <f>IF(OR(AC$307&lt;$C318,AC$307&lt;$H$2),0,MIN($E318-SUM($G318:AB318),$F318))</f>
        <v>0</v>
      </c>
      <c r="AD318" s="424">
        <f>IF(OR(AD$307&lt;$C318,AD$307&lt;$H$2),0,MIN($E318-SUM($G318:AC318),$F318))</f>
        <v>0</v>
      </c>
    </row>
    <row r="319" spans="3:30">
      <c r="C319" s="201">
        <v>49317</v>
      </c>
      <c r="D319" s="94" t="s">
        <v>134</v>
      </c>
      <c r="E319" s="424">
        <f t="shared" si="134"/>
        <v>0</v>
      </c>
      <c r="F319" s="209">
        <f t="shared" si="135"/>
        <v>0</v>
      </c>
      <c r="H319" s="424">
        <f>IF(OR(H$307&lt;$C319,H$307&lt;$H$2),0,MIN($E319-SUM($G319:G319),$F319))</f>
        <v>0</v>
      </c>
      <c r="I319" s="424">
        <f>IF(OR(I$307&lt;$C319,I$307&lt;$H$2),0,MIN($E319-SUM($G319:H319),$F319))</f>
        <v>0</v>
      </c>
      <c r="J319" s="424">
        <f>IF(OR(J$307&lt;$C319,J$307&lt;$H$2),0,MIN($E319-SUM($G319:I319),$F319))</f>
        <v>0</v>
      </c>
      <c r="K319" s="424">
        <f>IF(OR(K$307&lt;$C319,K$307&lt;$H$2),0,MIN($E319-SUM($G319:J319),$F319))</f>
        <v>0</v>
      </c>
      <c r="L319" s="424">
        <f>IF(OR(L$307&lt;$C319,L$307&lt;$H$2),0,MIN($E319-SUM($G319:K319),$F319))</f>
        <v>0</v>
      </c>
      <c r="M319" s="424">
        <f>IF(OR(M$307&lt;$C319,M$307&lt;$H$2),0,MIN($E319-SUM($G319:L319),$F319))</f>
        <v>0</v>
      </c>
      <c r="N319" s="424">
        <f>IF(OR(N$307&lt;$C319,N$307&lt;$H$2),0,MIN($E319-SUM($G319:M319),$F319))</f>
        <v>0</v>
      </c>
      <c r="O319" s="424">
        <f>IF(OR(O$307&lt;$C319,O$307&lt;$H$2),0,MIN($E319-SUM($G319:N319),$F319))</f>
        <v>0</v>
      </c>
      <c r="P319" s="424">
        <f>IF(OR(P$307&lt;$C319,P$307&lt;$H$2),0,MIN($E319-SUM($G319:O319),$F319))</f>
        <v>0</v>
      </c>
      <c r="Q319" s="424">
        <f>IF(OR(Q$307&lt;$C319,Q$307&lt;$H$2),0,MIN($E319-SUM($G319:P319),$F319))</f>
        <v>0</v>
      </c>
      <c r="R319" s="424">
        <f>IF(OR(R$307&lt;$C319,R$307&lt;$H$2),0,MIN($E319-SUM($G319:Q319),$F319))</f>
        <v>0</v>
      </c>
      <c r="S319" s="424">
        <f>IF(OR(S$307&lt;$C319,S$307&lt;$H$2),0,MIN($E319-SUM($G319:R319),$F319))</f>
        <v>0</v>
      </c>
      <c r="T319" s="424">
        <f>IF(OR(T$307&lt;$C319,T$307&lt;$H$2),0,MIN($E319-SUM($G319:S319),$F319))</f>
        <v>0</v>
      </c>
      <c r="U319" s="424">
        <f>IF(OR(U$307&lt;$C319,U$307&lt;$H$2),0,MIN($E319-SUM($G319:T319),$F319))</f>
        <v>0</v>
      </c>
      <c r="V319" s="424">
        <f>IF(OR(V$307&lt;$C319,V$307&lt;$H$2),0,MIN($E319-SUM($G319:U319),$F319))</f>
        <v>0</v>
      </c>
      <c r="W319" s="424">
        <f>IF(OR(W$307&lt;$C319,W$307&lt;$H$2),0,MIN($E319-SUM($G319:V319),$F319))</f>
        <v>0</v>
      </c>
      <c r="X319" s="424">
        <f>IF(OR(X$307&lt;$C319,X$307&lt;$H$2),0,MIN($E319-SUM($G319:W319),$F319))</f>
        <v>0</v>
      </c>
      <c r="Y319" s="424">
        <f>IF(OR(Y$307&lt;$C319,Y$307&lt;$H$2),0,MIN($E319-SUM($G319:X319),$F319))</f>
        <v>0</v>
      </c>
      <c r="Z319" s="424">
        <f>IF(OR(Z$307&lt;$C319,Z$307&lt;$H$2),0,MIN($E319-SUM($G319:Y319),$F319))</f>
        <v>0</v>
      </c>
      <c r="AA319" s="424">
        <f>IF(OR(AA$307&lt;$C319,AA$307&lt;$H$2),0,MIN($E319-SUM($G319:Z319),$F319))</f>
        <v>0</v>
      </c>
      <c r="AB319" s="424">
        <f>IF(OR(AB$307&lt;$C319,AB$307&lt;$H$2),0,MIN($E319-SUM($G319:AA319),$F319))</f>
        <v>0</v>
      </c>
      <c r="AC319" s="424">
        <f>IF(OR(AC$307&lt;$C319,AC$307&lt;$H$2),0,MIN($E319-SUM($G319:AB319),$F319))</f>
        <v>0</v>
      </c>
      <c r="AD319" s="424">
        <f>IF(OR(AD$307&lt;$C319,AD$307&lt;$H$2),0,MIN($E319-SUM($G319:AC319),$F319))</f>
        <v>0</v>
      </c>
    </row>
    <row r="320" spans="3:30">
      <c r="C320" s="201">
        <v>49683</v>
      </c>
      <c r="D320" s="94" t="s">
        <v>134</v>
      </c>
      <c r="E320" s="424">
        <f t="shared" si="134"/>
        <v>0</v>
      </c>
      <c r="F320" s="209">
        <f t="shared" si="135"/>
        <v>0</v>
      </c>
      <c r="H320" s="424">
        <f>IF(OR(H$307&lt;$C320,H$307&lt;$H$2),0,MIN($E320-SUM($G320:G320),$F320))</f>
        <v>0</v>
      </c>
      <c r="I320" s="424">
        <f>IF(OR(I$307&lt;$C320,I$307&lt;$H$2),0,MIN($E320-SUM($G320:H320),$F320))</f>
        <v>0</v>
      </c>
      <c r="J320" s="424">
        <f>IF(OR(J$307&lt;$C320,J$307&lt;$H$2),0,MIN($E320-SUM($G320:I320),$F320))</f>
        <v>0</v>
      </c>
      <c r="K320" s="424">
        <f>IF(OR(K$307&lt;$C320,K$307&lt;$H$2),0,MIN($E320-SUM($G320:J320),$F320))</f>
        <v>0</v>
      </c>
      <c r="L320" s="424">
        <f>IF(OR(L$307&lt;$C320,L$307&lt;$H$2),0,MIN($E320-SUM($G320:K320),$F320))</f>
        <v>0</v>
      </c>
      <c r="M320" s="424">
        <f>IF(OR(M$307&lt;$C320,M$307&lt;$H$2),0,MIN($E320-SUM($G320:L320),$F320))</f>
        <v>0</v>
      </c>
      <c r="N320" s="424">
        <f>IF(OR(N$307&lt;$C320,N$307&lt;$H$2),0,MIN($E320-SUM($G320:M320),$F320))</f>
        <v>0</v>
      </c>
      <c r="O320" s="424">
        <f>IF(OR(O$307&lt;$C320,O$307&lt;$H$2),0,MIN($E320-SUM($G320:N320),$F320))</f>
        <v>0</v>
      </c>
      <c r="P320" s="424">
        <f>IF(OR(P$307&lt;$C320,P$307&lt;$H$2),0,MIN($E320-SUM($G320:O320),$F320))</f>
        <v>0</v>
      </c>
      <c r="Q320" s="424">
        <f>IF(OR(Q$307&lt;$C320,Q$307&lt;$H$2),0,MIN($E320-SUM($G320:P320),$F320))</f>
        <v>0</v>
      </c>
      <c r="R320" s="424">
        <f>IF(OR(R$307&lt;$C320,R$307&lt;$H$2),0,MIN($E320-SUM($G320:Q320),$F320))</f>
        <v>0</v>
      </c>
      <c r="S320" s="424">
        <f>IF(OR(S$307&lt;$C320,S$307&lt;$H$2),0,MIN($E320-SUM($G320:R320),$F320))</f>
        <v>0</v>
      </c>
      <c r="T320" s="424">
        <f>IF(OR(T$307&lt;$C320,T$307&lt;$H$2),0,MIN($E320-SUM($G320:S320),$F320))</f>
        <v>0</v>
      </c>
      <c r="U320" s="424">
        <f>IF(OR(U$307&lt;$C320,U$307&lt;$H$2),0,MIN($E320-SUM($G320:T320),$F320))</f>
        <v>0</v>
      </c>
      <c r="V320" s="424">
        <f>IF(OR(V$307&lt;$C320,V$307&lt;$H$2),0,MIN($E320-SUM($G320:U320),$F320))</f>
        <v>0</v>
      </c>
      <c r="W320" s="424">
        <f>IF(OR(W$307&lt;$C320,W$307&lt;$H$2),0,MIN($E320-SUM($G320:V320),$F320))</f>
        <v>0</v>
      </c>
      <c r="X320" s="424">
        <f>IF(OR(X$307&lt;$C320,X$307&lt;$H$2),0,MIN($E320-SUM($G320:W320),$F320))</f>
        <v>0</v>
      </c>
      <c r="Y320" s="424">
        <f>IF(OR(Y$307&lt;$C320,Y$307&lt;$H$2),0,MIN($E320-SUM($G320:X320),$F320))</f>
        <v>0</v>
      </c>
      <c r="Z320" s="424">
        <f>IF(OR(Z$307&lt;$C320,Z$307&lt;$H$2),0,MIN($E320-SUM($G320:Y320),$F320))</f>
        <v>0</v>
      </c>
      <c r="AA320" s="424">
        <f>IF(OR(AA$307&lt;$C320,AA$307&lt;$H$2),0,MIN($E320-SUM($G320:Z320),$F320))</f>
        <v>0</v>
      </c>
      <c r="AB320" s="424">
        <f>IF(OR(AB$307&lt;$C320,AB$307&lt;$H$2),0,MIN($E320-SUM($G320:AA320),$F320))</f>
        <v>0</v>
      </c>
      <c r="AC320" s="424">
        <f>IF(OR(AC$307&lt;$C320,AC$307&lt;$H$2),0,MIN($E320-SUM($G320:AB320),$F320))</f>
        <v>0</v>
      </c>
      <c r="AD320" s="424">
        <f>IF(OR(AD$307&lt;$C320,AD$307&lt;$H$2),0,MIN($E320-SUM($G320:AC320),$F320))</f>
        <v>0</v>
      </c>
    </row>
    <row r="321" spans="3:30">
      <c r="C321" s="201">
        <v>50049</v>
      </c>
      <c r="D321" s="94" t="s">
        <v>134</v>
      </c>
      <c r="E321" s="424">
        <f t="shared" si="134"/>
        <v>0</v>
      </c>
      <c r="F321" s="209">
        <f t="shared" si="135"/>
        <v>0</v>
      </c>
      <c r="H321" s="424">
        <f>IF(OR(H$307&lt;$C321,H$307&lt;$H$2),0,MIN($E321-SUM($G321:G321),$F321))</f>
        <v>0</v>
      </c>
      <c r="I321" s="424">
        <f>IF(OR(I$307&lt;$C321,I$307&lt;$H$2),0,MIN($E321-SUM($G321:H321),$F321))</f>
        <v>0</v>
      </c>
      <c r="J321" s="424">
        <f>IF(OR(J$307&lt;$C321,J$307&lt;$H$2),0,MIN($E321-SUM($G321:I321),$F321))</f>
        <v>0</v>
      </c>
      <c r="K321" s="424">
        <f>IF(OR(K$307&lt;$C321,K$307&lt;$H$2),0,MIN($E321-SUM($G321:J321),$F321))</f>
        <v>0</v>
      </c>
      <c r="L321" s="424">
        <f>IF(OR(L$307&lt;$C321,L$307&lt;$H$2),0,MIN($E321-SUM($G321:K321),$F321))</f>
        <v>0</v>
      </c>
      <c r="M321" s="424">
        <f>IF(OR(M$307&lt;$C321,M$307&lt;$H$2),0,MIN($E321-SUM($G321:L321),$F321))</f>
        <v>0</v>
      </c>
      <c r="N321" s="424">
        <f>IF(OR(N$307&lt;$C321,N$307&lt;$H$2),0,MIN($E321-SUM($G321:M321),$F321))</f>
        <v>0</v>
      </c>
      <c r="O321" s="424">
        <f>IF(OR(O$307&lt;$C321,O$307&lt;$H$2),0,MIN($E321-SUM($G321:N321),$F321))</f>
        <v>0</v>
      </c>
      <c r="P321" s="424">
        <f>IF(OR(P$307&lt;$C321,P$307&lt;$H$2),0,MIN($E321-SUM($G321:O321),$F321))</f>
        <v>0</v>
      </c>
      <c r="Q321" s="424">
        <f>IF(OR(Q$307&lt;$C321,Q$307&lt;$H$2),0,MIN($E321-SUM($G321:P321),$F321))</f>
        <v>0</v>
      </c>
      <c r="R321" s="424">
        <f>IF(OR(R$307&lt;$C321,R$307&lt;$H$2),0,MIN($E321-SUM($G321:Q321),$F321))</f>
        <v>0</v>
      </c>
      <c r="S321" s="424">
        <f>IF(OR(S$307&lt;$C321,S$307&lt;$H$2),0,MIN($E321-SUM($G321:R321),$F321))</f>
        <v>0</v>
      </c>
      <c r="T321" s="424">
        <f>IF(OR(T$307&lt;$C321,T$307&lt;$H$2),0,MIN($E321-SUM($G321:S321),$F321))</f>
        <v>0</v>
      </c>
      <c r="U321" s="424">
        <f>IF(OR(U$307&lt;$C321,U$307&lt;$H$2),0,MIN($E321-SUM($G321:T321),$F321))</f>
        <v>0</v>
      </c>
      <c r="V321" s="424">
        <f>IF(OR(V$307&lt;$C321,V$307&lt;$H$2),0,MIN($E321-SUM($G321:U321),$F321))</f>
        <v>0</v>
      </c>
      <c r="W321" s="424">
        <f>IF(OR(W$307&lt;$C321,W$307&lt;$H$2),0,MIN($E321-SUM($G321:V321),$F321))</f>
        <v>0</v>
      </c>
      <c r="X321" s="424">
        <f>IF(OR(X$307&lt;$C321,X$307&lt;$H$2),0,MIN($E321-SUM($G321:W321),$F321))</f>
        <v>0</v>
      </c>
      <c r="Y321" s="424">
        <f>IF(OR(Y$307&lt;$C321,Y$307&lt;$H$2),0,MIN($E321-SUM($G321:X321),$F321))</f>
        <v>0</v>
      </c>
      <c r="Z321" s="424">
        <f>IF(OR(Z$307&lt;$C321,Z$307&lt;$H$2),0,MIN($E321-SUM($G321:Y321),$F321))</f>
        <v>0</v>
      </c>
      <c r="AA321" s="424">
        <f>IF(OR(AA$307&lt;$C321,AA$307&lt;$H$2),0,MIN($E321-SUM($G321:Z321),$F321))</f>
        <v>0</v>
      </c>
      <c r="AB321" s="424">
        <f>IF(OR(AB$307&lt;$C321,AB$307&lt;$H$2),0,MIN($E321-SUM($G321:AA321),$F321))</f>
        <v>0</v>
      </c>
      <c r="AC321" s="424">
        <f>IF(OR(AC$307&lt;$C321,AC$307&lt;$H$2),0,MIN($E321-SUM($G321:AB321),$F321))</f>
        <v>0</v>
      </c>
      <c r="AD321" s="424">
        <f>IF(OR(AD$307&lt;$C321,AD$307&lt;$H$2),0,MIN($E321-SUM($G321:AC321),$F321))</f>
        <v>0</v>
      </c>
    </row>
    <row r="322" spans="3:30">
      <c r="C322" s="201">
        <v>50415</v>
      </c>
      <c r="D322" s="94" t="s">
        <v>134</v>
      </c>
      <c r="E322" s="424">
        <f t="shared" si="134"/>
        <v>0</v>
      </c>
      <c r="F322" s="209">
        <f t="shared" si="135"/>
        <v>0</v>
      </c>
      <c r="H322" s="424">
        <f>IF(OR(H$307&lt;$C322,H$307&lt;$H$2),0,MIN($E322-SUM($G322:G322),$F322))</f>
        <v>0</v>
      </c>
      <c r="I322" s="424">
        <f>IF(OR(I$307&lt;$C322,I$307&lt;$H$2),0,MIN($E322-SUM($G322:H322),$F322))</f>
        <v>0</v>
      </c>
      <c r="J322" s="424">
        <f>IF(OR(J$307&lt;$C322,J$307&lt;$H$2),0,MIN($E322-SUM($G322:I322),$F322))</f>
        <v>0</v>
      </c>
      <c r="K322" s="424">
        <f>IF(OR(K$307&lt;$C322,K$307&lt;$H$2),0,MIN($E322-SUM($G322:J322),$F322))</f>
        <v>0</v>
      </c>
      <c r="L322" s="424">
        <f>IF(OR(L$307&lt;$C322,L$307&lt;$H$2),0,MIN($E322-SUM($G322:K322),$F322))</f>
        <v>0</v>
      </c>
      <c r="M322" s="424">
        <f>IF(OR(M$307&lt;$C322,M$307&lt;$H$2),0,MIN($E322-SUM($G322:L322),$F322))</f>
        <v>0</v>
      </c>
      <c r="N322" s="424">
        <f>IF(OR(N$307&lt;$C322,N$307&lt;$H$2),0,MIN($E322-SUM($G322:M322),$F322))</f>
        <v>0</v>
      </c>
      <c r="O322" s="424">
        <f>IF(OR(O$307&lt;$C322,O$307&lt;$H$2),0,MIN($E322-SUM($G322:N322),$F322))</f>
        <v>0</v>
      </c>
      <c r="P322" s="424">
        <f>IF(OR(P$307&lt;$C322,P$307&lt;$H$2),0,MIN($E322-SUM($G322:O322),$F322))</f>
        <v>0</v>
      </c>
      <c r="Q322" s="424">
        <f>IF(OR(Q$307&lt;$C322,Q$307&lt;$H$2),0,MIN($E322-SUM($G322:P322),$F322))</f>
        <v>0</v>
      </c>
      <c r="R322" s="424">
        <f>IF(OR(R$307&lt;$C322,R$307&lt;$H$2),0,MIN($E322-SUM($G322:Q322),$F322))</f>
        <v>0</v>
      </c>
      <c r="S322" s="424">
        <f>IF(OR(S$307&lt;$C322,S$307&lt;$H$2),0,MIN($E322-SUM($G322:R322),$F322))</f>
        <v>0</v>
      </c>
      <c r="T322" s="424">
        <f>IF(OR(T$307&lt;$C322,T$307&lt;$H$2),0,MIN($E322-SUM($G322:S322),$F322))</f>
        <v>0</v>
      </c>
      <c r="U322" s="424">
        <f>IF(OR(U$307&lt;$C322,U$307&lt;$H$2),0,MIN($E322-SUM($G322:T322),$F322))</f>
        <v>0</v>
      </c>
      <c r="V322" s="424">
        <f>IF(OR(V$307&lt;$C322,V$307&lt;$H$2),0,MIN($E322-SUM($G322:U322),$F322))</f>
        <v>0</v>
      </c>
      <c r="W322" s="424">
        <f>IF(OR(W$307&lt;$C322,W$307&lt;$H$2),0,MIN($E322-SUM($G322:V322),$F322))</f>
        <v>0</v>
      </c>
      <c r="X322" s="424">
        <f>IF(OR(X$307&lt;$C322,X$307&lt;$H$2),0,MIN($E322-SUM($G322:W322),$F322))</f>
        <v>0</v>
      </c>
      <c r="Y322" s="424">
        <f>IF(OR(Y$307&lt;$C322,Y$307&lt;$H$2),0,MIN($E322-SUM($G322:X322),$F322))</f>
        <v>0</v>
      </c>
      <c r="Z322" s="424">
        <f>IF(OR(Z$307&lt;$C322,Z$307&lt;$H$2),0,MIN($E322-SUM($G322:Y322),$F322))</f>
        <v>0</v>
      </c>
      <c r="AA322" s="424">
        <f>IF(OR(AA$307&lt;$C322,AA$307&lt;$H$2),0,MIN($E322-SUM($G322:Z322),$F322))</f>
        <v>0</v>
      </c>
      <c r="AB322" s="424">
        <f>IF(OR(AB$307&lt;$C322,AB$307&lt;$H$2),0,MIN($E322-SUM($G322:AA322),$F322))</f>
        <v>0</v>
      </c>
      <c r="AC322" s="424">
        <f>IF(OR(AC$307&lt;$C322,AC$307&lt;$H$2),0,MIN($E322-SUM($G322:AB322),$F322))</f>
        <v>0</v>
      </c>
      <c r="AD322" s="424">
        <f>IF(OR(AD$307&lt;$C322,AD$307&lt;$H$2),0,MIN($E322-SUM($G322:AC322),$F322))</f>
        <v>0</v>
      </c>
    </row>
    <row r="323" spans="3:30">
      <c r="C323" s="201">
        <v>50781</v>
      </c>
      <c r="D323" s="94" t="s">
        <v>134</v>
      </c>
      <c r="E323" s="424">
        <f t="shared" si="134"/>
        <v>0</v>
      </c>
      <c r="F323" s="209">
        <f t="shared" si="135"/>
        <v>0</v>
      </c>
      <c r="H323" s="424">
        <f>IF(OR(H$307&lt;$C323,H$307&lt;$H$2),0,MIN($E323-SUM($G323:G323),$F323))</f>
        <v>0</v>
      </c>
      <c r="I323" s="424">
        <f>IF(OR(I$307&lt;$C323,I$307&lt;$H$2),0,MIN($E323-SUM($G323:H323),$F323))</f>
        <v>0</v>
      </c>
      <c r="J323" s="424">
        <f>IF(OR(J$307&lt;$C323,J$307&lt;$H$2),0,MIN($E323-SUM($G323:I323),$F323))</f>
        <v>0</v>
      </c>
      <c r="K323" s="424">
        <f>IF(OR(K$307&lt;$C323,K$307&lt;$H$2),0,MIN($E323-SUM($G323:J323),$F323))</f>
        <v>0</v>
      </c>
      <c r="L323" s="424">
        <f>IF(OR(L$307&lt;$C323,L$307&lt;$H$2),0,MIN($E323-SUM($G323:K323),$F323))</f>
        <v>0</v>
      </c>
      <c r="M323" s="424">
        <f>IF(OR(M$307&lt;$C323,M$307&lt;$H$2),0,MIN($E323-SUM($G323:L323),$F323))</f>
        <v>0</v>
      </c>
      <c r="N323" s="424">
        <f>IF(OR(N$307&lt;$C323,N$307&lt;$H$2),0,MIN($E323-SUM($G323:M323),$F323))</f>
        <v>0</v>
      </c>
      <c r="O323" s="424">
        <f>IF(OR(O$307&lt;$C323,O$307&lt;$H$2),0,MIN($E323-SUM($G323:N323),$F323))</f>
        <v>0</v>
      </c>
      <c r="P323" s="424">
        <f>IF(OR(P$307&lt;$C323,P$307&lt;$H$2),0,MIN($E323-SUM($G323:O323),$F323))</f>
        <v>0</v>
      </c>
      <c r="Q323" s="424">
        <f>IF(OR(Q$307&lt;$C323,Q$307&lt;$H$2),0,MIN($E323-SUM($G323:P323),$F323))</f>
        <v>0</v>
      </c>
      <c r="R323" s="424">
        <f>IF(OR(R$307&lt;$C323,R$307&lt;$H$2),0,MIN($E323-SUM($G323:Q323),$F323))</f>
        <v>0</v>
      </c>
      <c r="S323" s="424">
        <f>IF(OR(S$307&lt;$C323,S$307&lt;$H$2),0,MIN($E323-SUM($G323:R323),$F323))</f>
        <v>0</v>
      </c>
      <c r="T323" s="424">
        <f>IF(OR(T$307&lt;$C323,T$307&lt;$H$2),0,MIN($E323-SUM($G323:S323),$F323))</f>
        <v>0</v>
      </c>
      <c r="U323" s="424">
        <f>IF(OR(U$307&lt;$C323,U$307&lt;$H$2),0,MIN($E323-SUM($G323:T323),$F323))</f>
        <v>0</v>
      </c>
      <c r="V323" s="424">
        <f>IF(OR(V$307&lt;$C323,V$307&lt;$H$2),0,MIN($E323-SUM($G323:U323),$F323))</f>
        <v>0</v>
      </c>
      <c r="W323" s="424">
        <f>IF(OR(W$307&lt;$C323,W$307&lt;$H$2),0,MIN($E323-SUM($G323:V323),$F323))</f>
        <v>0</v>
      </c>
      <c r="X323" s="424">
        <f>IF(OR(X$307&lt;$C323,X$307&lt;$H$2),0,MIN($E323-SUM($G323:W323),$F323))</f>
        <v>0</v>
      </c>
      <c r="Y323" s="424">
        <f>IF(OR(Y$307&lt;$C323,Y$307&lt;$H$2),0,MIN($E323-SUM($G323:X323),$F323))</f>
        <v>0</v>
      </c>
      <c r="Z323" s="424">
        <f>IF(OR(Z$307&lt;$C323,Z$307&lt;$H$2),0,MIN($E323-SUM($G323:Y323),$F323))</f>
        <v>0</v>
      </c>
      <c r="AA323" s="424">
        <f>IF(OR(AA$307&lt;$C323,AA$307&lt;$H$2),0,MIN($E323-SUM($G323:Z323),$F323))</f>
        <v>0</v>
      </c>
      <c r="AB323" s="424">
        <f>IF(OR(AB$307&lt;$C323,AB$307&lt;$H$2),0,MIN($E323-SUM($G323:AA323),$F323))</f>
        <v>0</v>
      </c>
      <c r="AC323" s="424">
        <f>IF(OR(AC$307&lt;$C323,AC$307&lt;$H$2),0,MIN($E323-SUM($G323:AB323),$F323))</f>
        <v>0</v>
      </c>
      <c r="AD323" s="424">
        <f>IF(OR(AD$307&lt;$C323,AD$307&lt;$H$2),0,MIN($E323-SUM($G323:AC323),$F323))</f>
        <v>0</v>
      </c>
    </row>
    <row r="324" spans="3:30">
      <c r="C324" s="201">
        <v>51147</v>
      </c>
      <c r="D324" s="94" t="s">
        <v>134</v>
      </c>
      <c r="E324" s="424">
        <f t="shared" si="134"/>
        <v>0</v>
      </c>
      <c r="F324" s="209">
        <f t="shared" si="135"/>
        <v>0</v>
      </c>
      <c r="H324" s="424">
        <f>IF(OR(H$307&lt;$C324,H$307&lt;$H$2),0,MIN($E324-SUM($G324:G324),$F324))</f>
        <v>0</v>
      </c>
      <c r="I324" s="424">
        <f>IF(OR(I$307&lt;$C324,I$307&lt;$H$2),0,MIN($E324-SUM($G324:H324),$F324))</f>
        <v>0</v>
      </c>
      <c r="J324" s="424">
        <f>IF(OR(J$307&lt;$C324,J$307&lt;$H$2),0,MIN($E324-SUM($G324:I324),$F324))</f>
        <v>0</v>
      </c>
      <c r="K324" s="424">
        <f>IF(OR(K$307&lt;$C324,K$307&lt;$H$2),0,MIN($E324-SUM($G324:J324),$F324))</f>
        <v>0</v>
      </c>
      <c r="L324" s="424">
        <f>IF(OR(L$307&lt;$C324,L$307&lt;$H$2),0,MIN($E324-SUM($G324:K324),$F324))</f>
        <v>0</v>
      </c>
      <c r="M324" s="424">
        <f>IF(OR(M$307&lt;$C324,M$307&lt;$H$2),0,MIN($E324-SUM($G324:L324),$F324))</f>
        <v>0</v>
      </c>
      <c r="N324" s="424">
        <f>IF(OR(N$307&lt;$C324,N$307&lt;$H$2),0,MIN($E324-SUM($G324:M324),$F324))</f>
        <v>0</v>
      </c>
      <c r="O324" s="424">
        <f>IF(OR(O$307&lt;$C324,O$307&lt;$H$2),0,MIN($E324-SUM($G324:N324),$F324))</f>
        <v>0</v>
      </c>
      <c r="P324" s="424">
        <f>IF(OR(P$307&lt;$C324,P$307&lt;$H$2),0,MIN($E324-SUM($G324:O324),$F324))</f>
        <v>0</v>
      </c>
      <c r="Q324" s="424">
        <f>IF(OR(Q$307&lt;$C324,Q$307&lt;$H$2),0,MIN($E324-SUM($G324:P324),$F324))</f>
        <v>0</v>
      </c>
      <c r="R324" s="424">
        <f>IF(OR(R$307&lt;$C324,R$307&lt;$H$2),0,MIN($E324-SUM($G324:Q324),$F324))</f>
        <v>0</v>
      </c>
      <c r="S324" s="424">
        <f>IF(OR(S$307&lt;$C324,S$307&lt;$H$2),0,MIN($E324-SUM($G324:R324),$F324))</f>
        <v>0</v>
      </c>
      <c r="T324" s="424">
        <f>IF(OR(T$307&lt;$C324,T$307&lt;$H$2),0,MIN($E324-SUM($G324:S324),$F324))</f>
        <v>0</v>
      </c>
      <c r="U324" s="424">
        <f>IF(OR(U$307&lt;$C324,U$307&lt;$H$2),0,MIN($E324-SUM($G324:T324),$F324))</f>
        <v>0</v>
      </c>
      <c r="V324" s="424">
        <f>IF(OR(V$307&lt;$C324,V$307&lt;$H$2),0,MIN($E324-SUM($G324:U324),$F324))</f>
        <v>0</v>
      </c>
      <c r="W324" s="424">
        <f>IF(OR(W$307&lt;$C324,W$307&lt;$H$2),0,MIN($E324-SUM($G324:V324),$F324))</f>
        <v>0</v>
      </c>
      <c r="X324" s="424">
        <f>IF(OR(X$307&lt;$C324,X$307&lt;$H$2),0,MIN($E324-SUM($G324:W324),$F324))</f>
        <v>0</v>
      </c>
      <c r="Y324" s="424">
        <f>IF(OR(Y$307&lt;$C324,Y$307&lt;$H$2),0,MIN($E324-SUM($G324:X324),$F324))</f>
        <v>0</v>
      </c>
      <c r="Z324" s="424">
        <f>IF(OR(Z$307&lt;$C324,Z$307&lt;$H$2),0,MIN($E324-SUM($G324:Y324),$F324))</f>
        <v>0</v>
      </c>
      <c r="AA324" s="424">
        <f>IF(OR(AA$307&lt;$C324,AA$307&lt;$H$2),0,MIN($E324-SUM($G324:Z324),$F324))</f>
        <v>0</v>
      </c>
      <c r="AB324" s="424">
        <f>IF(OR(AB$307&lt;$C324,AB$307&lt;$H$2),0,MIN($E324-SUM($G324:AA324),$F324))</f>
        <v>0</v>
      </c>
      <c r="AC324" s="424">
        <f>IF(OR(AC$307&lt;$C324,AC$307&lt;$H$2),0,MIN($E324-SUM($G324:AB324),$F324))</f>
        <v>0</v>
      </c>
      <c r="AD324" s="424">
        <f>IF(OR(AD$307&lt;$C324,AD$307&lt;$H$2),0,MIN($E324-SUM($G324:AC324),$F324))</f>
        <v>0</v>
      </c>
    </row>
    <row r="325" spans="3:30">
      <c r="C325" s="201">
        <v>51513</v>
      </c>
      <c r="D325" s="94" t="s">
        <v>134</v>
      </c>
      <c r="E325" s="424">
        <f t="shared" si="134"/>
        <v>0</v>
      </c>
      <c r="F325" s="209">
        <f t="shared" si="135"/>
        <v>0</v>
      </c>
      <c r="H325" s="424">
        <f>IF(OR(H$307&lt;$C325,H$307&lt;$H$2),0,MIN($E325-SUM($G325:G325),$F325))</f>
        <v>0</v>
      </c>
      <c r="I325" s="424">
        <f>IF(OR(I$307&lt;$C325,I$307&lt;$H$2),0,MIN($E325-SUM($G325:H325),$F325))</f>
        <v>0</v>
      </c>
      <c r="J325" s="424">
        <f>IF(OR(J$307&lt;$C325,J$307&lt;$H$2),0,MIN($E325-SUM($G325:I325),$F325))</f>
        <v>0</v>
      </c>
      <c r="K325" s="424">
        <f>IF(OR(K$307&lt;$C325,K$307&lt;$H$2),0,MIN($E325-SUM($G325:J325),$F325))</f>
        <v>0</v>
      </c>
      <c r="L325" s="424">
        <f>IF(OR(L$307&lt;$C325,L$307&lt;$H$2),0,MIN($E325-SUM($G325:K325),$F325))</f>
        <v>0</v>
      </c>
      <c r="M325" s="424">
        <f>IF(OR(M$307&lt;$C325,M$307&lt;$H$2),0,MIN($E325-SUM($G325:L325),$F325))</f>
        <v>0</v>
      </c>
      <c r="N325" s="424">
        <f>IF(OR(N$307&lt;$C325,N$307&lt;$H$2),0,MIN($E325-SUM($G325:M325),$F325))</f>
        <v>0</v>
      </c>
      <c r="O325" s="424">
        <f>IF(OR(O$307&lt;$C325,O$307&lt;$H$2),0,MIN($E325-SUM($G325:N325),$F325))</f>
        <v>0</v>
      </c>
      <c r="P325" s="424">
        <f>IF(OR(P$307&lt;$C325,P$307&lt;$H$2),0,MIN($E325-SUM($G325:O325),$F325))</f>
        <v>0</v>
      </c>
      <c r="Q325" s="424">
        <f>IF(OR(Q$307&lt;$C325,Q$307&lt;$H$2),0,MIN($E325-SUM($G325:P325),$F325))</f>
        <v>0</v>
      </c>
      <c r="R325" s="424">
        <f>IF(OR(R$307&lt;$C325,R$307&lt;$H$2),0,MIN($E325-SUM($G325:Q325),$F325))</f>
        <v>0</v>
      </c>
      <c r="S325" s="424">
        <f>IF(OR(S$307&lt;$C325,S$307&lt;$H$2),0,MIN($E325-SUM($G325:R325),$F325))</f>
        <v>0</v>
      </c>
      <c r="T325" s="424">
        <f>IF(OR(T$307&lt;$C325,T$307&lt;$H$2),0,MIN($E325-SUM($G325:S325),$F325))</f>
        <v>0</v>
      </c>
      <c r="U325" s="424">
        <f>IF(OR(U$307&lt;$C325,U$307&lt;$H$2),0,MIN($E325-SUM($G325:T325),$F325))</f>
        <v>0</v>
      </c>
      <c r="V325" s="424">
        <f>IF(OR(V$307&lt;$C325,V$307&lt;$H$2),0,MIN($E325-SUM($G325:U325),$F325))</f>
        <v>0</v>
      </c>
      <c r="W325" s="424">
        <f>IF(OR(W$307&lt;$C325,W$307&lt;$H$2),0,MIN($E325-SUM($G325:V325),$F325))</f>
        <v>0</v>
      </c>
      <c r="X325" s="424">
        <f>IF(OR(X$307&lt;$C325,X$307&lt;$H$2),0,MIN($E325-SUM($G325:W325),$F325))</f>
        <v>0</v>
      </c>
      <c r="Y325" s="424">
        <f>IF(OR(Y$307&lt;$C325,Y$307&lt;$H$2),0,MIN($E325-SUM($G325:X325),$F325))</f>
        <v>0</v>
      </c>
      <c r="Z325" s="424">
        <f>IF(OR(Z$307&lt;$C325,Z$307&lt;$H$2),0,MIN($E325-SUM($G325:Y325),$F325))</f>
        <v>0</v>
      </c>
      <c r="AA325" s="424">
        <f>IF(OR(AA$307&lt;$C325,AA$307&lt;$H$2),0,MIN($E325-SUM($G325:Z325),$F325))</f>
        <v>0</v>
      </c>
      <c r="AB325" s="424">
        <f>IF(OR(AB$307&lt;$C325,AB$307&lt;$H$2),0,MIN($E325-SUM($G325:AA325),$F325))</f>
        <v>0</v>
      </c>
      <c r="AC325" s="424">
        <f>IF(OR(AC$307&lt;$C325,AC$307&lt;$H$2),0,MIN($E325-SUM($G325:AB325),$F325))</f>
        <v>0</v>
      </c>
      <c r="AD325" s="424">
        <f>IF(OR(AD$307&lt;$C325,AD$307&lt;$H$2),0,MIN($E325-SUM($G325:AC325),$F325))</f>
        <v>0</v>
      </c>
    </row>
    <row r="326" spans="3:30">
      <c r="C326" s="201">
        <v>51879</v>
      </c>
      <c r="D326" s="94" t="s">
        <v>134</v>
      </c>
      <c r="E326" s="424">
        <f t="shared" si="134"/>
        <v>0</v>
      </c>
      <c r="F326" s="209">
        <f t="shared" si="135"/>
        <v>0</v>
      </c>
      <c r="H326" s="424">
        <f>IF(OR(H$307&lt;$C326,H$307&lt;$H$2),0,MIN($E326-SUM($G326:G326),$F326))</f>
        <v>0</v>
      </c>
      <c r="I326" s="424">
        <f>IF(OR(I$307&lt;$C326,I$307&lt;$H$2),0,MIN($E326-SUM($G326:H326),$F326))</f>
        <v>0</v>
      </c>
      <c r="J326" s="424">
        <f>IF(OR(J$307&lt;$C326,J$307&lt;$H$2),0,MIN($E326-SUM($G326:I326),$F326))</f>
        <v>0</v>
      </c>
      <c r="K326" s="424">
        <f>IF(OR(K$307&lt;$C326,K$307&lt;$H$2),0,MIN($E326-SUM($G326:J326),$F326))</f>
        <v>0</v>
      </c>
      <c r="L326" s="424">
        <f>IF(OR(L$307&lt;$C326,L$307&lt;$H$2),0,MIN($E326-SUM($G326:K326),$F326))</f>
        <v>0</v>
      </c>
      <c r="M326" s="424">
        <f>IF(OR(M$307&lt;$C326,M$307&lt;$H$2),0,MIN($E326-SUM($G326:L326),$F326))</f>
        <v>0</v>
      </c>
      <c r="N326" s="424">
        <f>IF(OR(N$307&lt;$C326,N$307&lt;$H$2),0,MIN($E326-SUM($G326:M326),$F326))</f>
        <v>0</v>
      </c>
      <c r="O326" s="424">
        <f>IF(OR(O$307&lt;$C326,O$307&lt;$H$2),0,MIN($E326-SUM($G326:N326),$F326))</f>
        <v>0</v>
      </c>
      <c r="P326" s="424">
        <f>IF(OR(P$307&lt;$C326,P$307&lt;$H$2),0,MIN($E326-SUM($G326:O326),$F326))</f>
        <v>0</v>
      </c>
      <c r="Q326" s="424">
        <f>IF(OR(Q$307&lt;$C326,Q$307&lt;$H$2),0,MIN($E326-SUM($G326:P326),$F326))</f>
        <v>0</v>
      </c>
      <c r="R326" s="424">
        <f>IF(OR(R$307&lt;$C326,R$307&lt;$H$2),0,MIN($E326-SUM($G326:Q326),$F326))</f>
        <v>0</v>
      </c>
      <c r="S326" s="424">
        <f>IF(OR(S$307&lt;$C326,S$307&lt;$H$2),0,MIN($E326-SUM($G326:R326),$F326))</f>
        <v>0</v>
      </c>
      <c r="T326" s="424">
        <f>IF(OR(T$307&lt;$C326,T$307&lt;$H$2),0,MIN($E326-SUM($G326:S326),$F326))</f>
        <v>0</v>
      </c>
      <c r="U326" s="424">
        <f>IF(OR(U$307&lt;$C326,U$307&lt;$H$2),0,MIN($E326-SUM($G326:T326),$F326))</f>
        <v>0</v>
      </c>
      <c r="V326" s="424">
        <f>IF(OR(V$307&lt;$C326,V$307&lt;$H$2),0,MIN($E326-SUM($G326:U326),$F326))</f>
        <v>0</v>
      </c>
      <c r="W326" s="424">
        <f>IF(OR(W$307&lt;$C326,W$307&lt;$H$2),0,MIN($E326-SUM($G326:V326),$F326))</f>
        <v>0</v>
      </c>
      <c r="X326" s="424">
        <f>IF(OR(X$307&lt;$C326,X$307&lt;$H$2),0,MIN($E326-SUM($G326:W326),$F326))</f>
        <v>0</v>
      </c>
      <c r="Y326" s="424">
        <f>IF(OR(Y$307&lt;$C326,Y$307&lt;$H$2),0,MIN($E326-SUM($G326:X326),$F326))</f>
        <v>0</v>
      </c>
      <c r="Z326" s="424">
        <f>IF(OR(Z$307&lt;$C326,Z$307&lt;$H$2),0,MIN($E326-SUM($G326:Y326),$F326))</f>
        <v>0</v>
      </c>
      <c r="AA326" s="424">
        <f>IF(OR(AA$307&lt;$C326,AA$307&lt;$H$2),0,MIN($E326-SUM($G326:Z326),$F326))</f>
        <v>0</v>
      </c>
      <c r="AB326" s="424">
        <f>IF(OR(AB$307&lt;$C326,AB$307&lt;$H$2),0,MIN($E326-SUM($G326:AA326),$F326))</f>
        <v>0</v>
      </c>
      <c r="AC326" s="424">
        <f>IF(OR(AC$307&lt;$C326,AC$307&lt;$H$2),0,MIN($E326-SUM($G326:AB326),$F326))</f>
        <v>0</v>
      </c>
      <c r="AD326" s="424">
        <f>IF(OR(AD$307&lt;$C326,AD$307&lt;$H$2),0,MIN($E326-SUM($G326:AC326),$F326))</f>
        <v>0</v>
      </c>
    </row>
    <row r="327" spans="3:30">
      <c r="C327" s="201">
        <v>52245</v>
      </c>
      <c r="D327" s="94" t="s">
        <v>134</v>
      </c>
      <c r="E327" s="424">
        <f t="shared" si="134"/>
        <v>0</v>
      </c>
      <c r="F327" s="209">
        <f t="shared" si="135"/>
        <v>0</v>
      </c>
      <c r="H327" s="424">
        <f>IF(OR(H$307&lt;$C327,H$307&lt;$H$2),0,MIN($E327-SUM($G327:G327),$F327))</f>
        <v>0</v>
      </c>
      <c r="I327" s="424">
        <f>IF(OR(I$307&lt;$C327,I$307&lt;$H$2),0,MIN($E327-SUM($G327:H327),$F327))</f>
        <v>0</v>
      </c>
      <c r="J327" s="424">
        <f>IF(OR(J$307&lt;$C327,J$307&lt;$H$2),0,MIN($E327-SUM($G327:I327),$F327))</f>
        <v>0</v>
      </c>
      <c r="K327" s="424">
        <f>IF(OR(K$307&lt;$C327,K$307&lt;$H$2),0,MIN($E327-SUM($G327:J327),$F327))</f>
        <v>0</v>
      </c>
      <c r="L327" s="424">
        <f>IF(OR(L$307&lt;$C327,L$307&lt;$H$2),0,MIN($E327-SUM($G327:K327),$F327))</f>
        <v>0</v>
      </c>
      <c r="M327" s="424">
        <f>IF(OR(M$307&lt;$C327,M$307&lt;$H$2),0,MIN($E327-SUM($G327:L327),$F327))</f>
        <v>0</v>
      </c>
      <c r="N327" s="424">
        <f>IF(OR(N$307&lt;$C327,N$307&lt;$H$2),0,MIN($E327-SUM($G327:M327),$F327))</f>
        <v>0</v>
      </c>
      <c r="O327" s="424">
        <f>IF(OR(O$307&lt;$C327,O$307&lt;$H$2),0,MIN($E327-SUM($G327:N327),$F327))</f>
        <v>0</v>
      </c>
      <c r="P327" s="424">
        <f>IF(OR(P$307&lt;$C327,P$307&lt;$H$2),0,MIN($E327-SUM($G327:O327),$F327))</f>
        <v>0</v>
      </c>
      <c r="Q327" s="424">
        <f>IF(OR(Q$307&lt;$C327,Q$307&lt;$H$2),0,MIN($E327-SUM($G327:P327),$F327))</f>
        <v>0</v>
      </c>
      <c r="R327" s="424">
        <f>IF(OR(R$307&lt;$C327,R$307&lt;$H$2),0,MIN($E327-SUM($G327:Q327),$F327))</f>
        <v>0</v>
      </c>
      <c r="S327" s="424">
        <f>IF(OR(S$307&lt;$C327,S$307&lt;$H$2),0,MIN($E327-SUM($G327:R327),$F327))</f>
        <v>0</v>
      </c>
      <c r="T327" s="424">
        <f>IF(OR(T$307&lt;$C327,T$307&lt;$H$2),0,MIN($E327-SUM($G327:S327),$F327))</f>
        <v>0</v>
      </c>
      <c r="U327" s="424">
        <f>IF(OR(U$307&lt;$C327,U$307&lt;$H$2),0,MIN($E327-SUM($G327:T327),$F327))</f>
        <v>0</v>
      </c>
      <c r="V327" s="424">
        <f>IF(OR(V$307&lt;$C327,V$307&lt;$H$2),0,MIN($E327-SUM($G327:U327),$F327))</f>
        <v>0</v>
      </c>
      <c r="W327" s="424">
        <f>IF(OR(W$307&lt;$C327,W$307&lt;$H$2),0,MIN($E327-SUM($G327:V327),$F327))</f>
        <v>0</v>
      </c>
      <c r="X327" s="424">
        <f>IF(OR(X$307&lt;$C327,X$307&lt;$H$2),0,MIN($E327-SUM($G327:W327),$F327))</f>
        <v>0</v>
      </c>
      <c r="Y327" s="424">
        <f>IF(OR(Y$307&lt;$C327,Y$307&lt;$H$2),0,MIN($E327-SUM($G327:X327),$F327))</f>
        <v>0</v>
      </c>
      <c r="Z327" s="424">
        <f>IF(OR(Z$307&lt;$C327,Z$307&lt;$H$2),0,MIN($E327-SUM($G327:Y327),$F327))</f>
        <v>0</v>
      </c>
      <c r="AA327" s="424">
        <f>IF(OR(AA$307&lt;$C327,AA$307&lt;$H$2),0,MIN($E327-SUM($G327:Z327),$F327))</f>
        <v>0</v>
      </c>
      <c r="AB327" s="424">
        <f>IF(OR(AB$307&lt;$C327,AB$307&lt;$H$2),0,MIN($E327-SUM($G327:AA327),$F327))</f>
        <v>0</v>
      </c>
      <c r="AC327" s="424">
        <f>IF(OR(AC$307&lt;$C327,AC$307&lt;$H$2),0,MIN($E327-SUM($G327:AB327),$F327))</f>
        <v>0</v>
      </c>
      <c r="AD327" s="424">
        <f>IF(OR(AD$307&lt;$C327,AD$307&lt;$H$2),0,MIN($E327-SUM($G327:AC327),$F327))</f>
        <v>0</v>
      </c>
    </row>
    <row r="328" spans="3:30">
      <c r="C328" s="201">
        <v>52611</v>
      </c>
      <c r="D328" s="94" t="s">
        <v>134</v>
      </c>
      <c r="E328" s="424">
        <f t="shared" si="134"/>
        <v>0</v>
      </c>
      <c r="F328" s="209">
        <f t="shared" si="135"/>
        <v>0</v>
      </c>
      <c r="H328" s="424">
        <f>IF(OR(H$307&lt;$C328,H$307&lt;$H$2),0,MIN($E328-SUM($G328:G328),$F328))</f>
        <v>0</v>
      </c>
      <c r="I328" s="424">
        <f>IF(OR(I$307&lt;$C328,I$307&lt;$H$2),0,MIN($E328-SUM($G328:H328),$F328))</f>
        <v>0</v>
      </c>
      <c r="J328" s="424">
        <f>IF(OR(J$307&lt;$C328,J$307&lt;$H$2),0,MIN($E328-SUM($G328:I328),$F328))</f>
        <v>0</v>
      </c>
      <c r="K328" s="424">
        <f>IF(OR(K$307&lt;$C328,K$307&lt;$H$2),0,MIN($E328-SUM($G328:J328),$F328))</f>
        <v>0</v>
      </c>
      <c r="L328" s="424">
        <f>IF(OR(L$307&lt;$C328,L$307&lt;$H$2),0,MIN($E328-SUM($G328:K328),$F328))</f>
        <v>0</v>
      </c>
      <c r="M328" s="424">
        <f>IF(OR(M$307&lt;$C328,M$307&lt;$H$2),0,MIN($E328-SUM($G328:L328),$F328))</f>
        <v>0</v>
      </c>
      <c r="N328" s="424">
        <f>IF(OR(N$307&lt;$C328,N$307&lt;$H$2),0,MIN($E328-SUM($G328:M328),$F328))</f>
        <v>0</v>
      </c>
      <c r="O328" s="424">
        <f>IF(OR(O$307&lt;$C328,O$307&lt;$H$2),0,MIN($E328-SUM($G328:N328),$F328))</f>
        <v>0</v>
      </c>
      <c r="P328" s="424">
        <f>IF(OR(P$307&lt;$C328,P$307&lt;$H$2),0,MIN($E328-SUM($G328:O328),$F328))</f>
        <v>0</v>
      </c>
      <c r="Q328" s="424">
        <f>IF(OR(Q$307&lt;$C328,Q$307&lt;$H$2),0,MIN($E328-SUM($G328:P328),$F328))</f>
        <v>0</v>
      </c>
      <c r="R328" s="424">
        <f>IF(OR(R$307&lt;$C328,R$307&lt;$H$2),0,MIN($E328-SUM($G328:Q328),$F328))</f>
        <v>0</v>
      </c>
      <c r="S328" s="424">
        <f>IF(OR(S$307&lt;$C328,S$307&lt;$H$2),0,MIN($E328-SUM($G328:R328),$F328))</f>
        <v>0</v>
      </c>
      <c r="T328" s="424">
        <f>IF(OR(T$307&lt;$C328,T$307&lt;$H$2),0,MIN($E328-SUM($G328:S328),$F328))</f>
        <v>0</v>
      </c>
      <c r="U328" s="424">
        <f>IF(OR(U$307&lt;$C328,U$307&lt;$H$2),0,MIN($E328-SUM($G328:T328),$F328))</f>
        <v>0</v>
      </c>
      <c r="V328" s="424">
        <f>IF(OR(V$307&lt;$C328,V$307&lt;$H$2),0,MIN($E328-SUM($G328:U328),$F328))</f>
        <v>0</v>
      </c>
      <c r="W328" s="424">
        <f>IF(OR(W$307&lt;$C328,W$307&lt;$H$2),0,MIN($E328-SUM($G328:V328),$F328))</f>
        <v>0</v>
      </c>
      <c r="X328" s="424">
        <f>IF(OR(X$307&lt;$C328,X$307&lt;$H$2),0,MIN($E328-SUM($G328:W328),$F328))</f>
        <v>0</v>
      </c>
      <c r="Y328" s="424">
        <f>IF(OR(Y$307&lt;$C328,Y$307&lt;$H$2),0,MIN($E328-SUM($G328:X328),$F328))</f>
        <v>0</v>
      </c>
      <c r="Z328" s="424">
        <f>IF(OR(Z$307&lt;$C328,Z$307&lt;$H$2),0,MIN($E328-SUM($G328:Y328),$F328))</f>
        <v>0</v>
      </c>
      <c r="AA328" s="424">
        <f>IF(OR(AA$307&lt;$C328,AA$307&lt;$H$2),0,MIN($E328-SUM($G328:Z328),$F328))</f>
        <v>0</v>
      </c>
      <c r="AB328" s="424">
        <f>IF(OR(AB$307&lt;$C328,AB$307&lt;$H$2),0,MIN($E328-SUM($G328:AA328),$F328))</f>
        <v>0</v>
      </c>
      <c r="AC328" s="424">
        <f>IF(OR(AC$307&lt;$C328,AC$307&lt;$H$2),0,MIN($E328-SUM($G328:AB328),$F328))</f>
        <v>0</v>
      </c>
      <c r="AD328" s="424">
        <f>IF(OR(AD$307&lt;$C328,AD$307&lt;$H$2),0,MIN($E328-SUM($G328:AC328),$F328))</f>
        <v>0</v>
      </c>
    </row>
    <row r="329" spans="3:30">
      <c r="C329" s="201">
        <v>52977</v>
      </c>
      <c r="D329" s="94" t="s">
        <v>134</v>
      </c>
      <c r="E329" s="424">
        <f t="shared" si="134"/>
        <v>0</v>
      </c>
      <c r="F329" s="209">
        <f t="shared" si="135"/>
        <v>0</v>
      </c>
      <c r="H329" s="424">
        <f>IF(OR(H$307&lt;$C329,H$307&lt;$H$2),0,MIN($E329-SUM($G329:G329),$F329))</f>
        <v>0</v>
      </c>
      <c r="I329" s="424">
        <f>IF(OR(I$307&lt;$C329,I$307&lt;$H$2),0,MIN($E329-SUM($G329:H329),$F329))</f>
        <v>0</v>
      </c>
      <c r="J329" s="424">
        <f>IF(OR(J$307&lt;$C329,J$307&lt;$H$2),0,MIN($E329-SUM($G329:I329),$F329))</f>
        <v>0</v>
      </c>
      <c r="K329" s="424">
        <f>IF(OR(K$307&lt;$C329,K$307&lt;$H$2),0,MIN($E329-SUM($G329:J329),$F329))</f>
        <v>0</v>
      </c>
      <c r="L329" s="424">
        <f>IF(OR(L$307&lt;$C329,L$307&lt;$H$2),0,MIN($E329-SUM($G329:K329),$F329))</f>
        <v>0</v>
      </c>
      <c r="M329" s="424">
        <f>IF(OR(M$307&lt;$C329,M$307&lt;$H$2),0,MIN($E329-SUM($G329:L329),$F329))</f>
        <v>0</v>
      </c>
      <c r="N329" s="424">
        <f>IF(OR(N$307&lt;$C329,N$307&lt;$H$2),0,MIN($E329-SUM($G329:M329),$F329))</f>
        <v>0</v>
      </c>
      <c r="O329" s="424">
        <f>IF(OR(O$307&lt;$C329,O$307&lt;$H$2),0,MIN($E329-SUM($G329:N329),$F329))</f>
        <v>0</v>
      </c>
      <c r="P329" s="424">
        <f>IF(OR(P$307&lt;$C329,P$307&lt;$H$2),0,MIN($E329-SUM($G329:O329),$F329))</f>
        <v>0</v>
      </c>
      <c r="Q329" s="424">
        <f>IF(OR(Q$307&lt;$C329,Q$307&lt;$H$2),0,MIN($E329-SUM($G329:P329),$F329))</f>
        <v>0</v>
      </c>
      <c r="R329" s="424">
        <f>IF(OR(R$307&lt;$C329,R$307&lt;$H$2),0,MIN($E329-SUM($G329:Q329),$F329))</f>
        <v>0</v>
      </c>
      <c r="S329" s="424">
        <f>IF(OR(S$307&lt;$C329,S$307&lt;$H$2),0,MIN($E329-SUM($G329:R329),$F329))</f>
        <v>0</v>
      </c>
      <c r="T329" s="424">
        <f>IF(OR(T$307&lt;$C329,T$307&lt;$H$2),0,MIN($E329-SUM($G329:S329),$F329))</f>
        <v>0</v>
      </c>
      <c r="U329" s="424">
        <f>IF(OR(U$307&lt;$C329,U$307&lt;$H$2),0,MIN($E329-SUM($G329:T329),$F329))</f>
        <v>0</v>
      </c>
      <c r="V329" s="424">
        <f>IF(OR(V$307&lt;$C329,V$307&lt;$H$2),0,MIN($E329-SUM($G329:U329),$F329))</f>
        <v>0</v>
      </c>
      <c r="W329" s="424">
        <f>IF(OR(W$307&lt;$C329,W$307&lt;$H$2),0,MIN($E329-SUM($G329:V329),$F329))</f>
        <v>0</v>
      </c>
      <c r="X329" s="424">
        <f>IF(OR(X$307&lt;$C329,X$307&lt;$H$2),0,MIN($E329-SUM($G329:W329),$F329))</f>
        <v>0</v>
      </c>
      <c r="Y329" s="424">
        <f>IF(OR(Y$307&lt;$C329,Y$307&lt;$H$2),0,MIN($E329-SUM($G329:X329),$F329))</f>
        <v>0</v>
      </c>
      <c r="Z329" s="424">
        <f>IF(OR(Z$307&lt;$C329,Z$307&lt;$H$2),0,MIN($E329-SUM($G329:Y329),$F329))</f>
        <v>0</v>
      </c>
      <c r="AA329" s="424">
        <f>IF(OR(AA$307&lt;$C329,AA$307&lt;$H$2),0,MIN($E329-SUM($G329:Z329),$F329))</f>
        <v>0</v>
      </c>
      <c r="AB329" s="424">
        <f>IF(OR(AB$307&lt;$C329,AB$307&lt;$H$2),0,MIN($E329-SUM($G329:AA329),$F329))</f>
        <v>0</v>
      </c>
      <c r="AC329" s="424">
        <f>IF(OR(AC$307&lt;$C329,AC$307&lt;$H$2),0,MIN($E329-SUM($G329:AB329),$F329))</f>
        <v>0</v>
      </c>
      <c r="AD329" s="424">
        <f>IF(OR(AD$307&lt;$C329,AD$307&lt;$H$2),0,MIN($E329-SUM($G329:AC329),$F329))</f>
        <v>0</v>
      </c>
    </row>
    <row r="330" spans="3:30">
      <c r="C330" s="201">
        <v>53343</v>
      </c>
      <c r="D330" s="94" t="s">
        <v>134</v>
      </c>
      <c r="E330" s="424">
        <f t="shared" si="134"/>
        <v>0</v>
      </c>
      <c r="F330" s="209">
        <f t="shared" si="135"/>
        <v>0</v>
      </c>
      <c r="H330" s="424">
        <f>IF(OR(H$307&lt;$C330,H$307&lt;$H$2),0,MIN($E330-SUM($G330:G330),$F330))</f>
        <v>0</v>
      </c>
      <c r="I330" s="424">
        <f>IF(OR(I$307&lt;$C330,I$307&lt;$H$2),0,MIN($E330-SUM($G330:H330),$F330))</f>
        <v>0</v>
      </c>
      <c r="J330" s="424">
        <f>IF(OR(J$307&lt;$C330,J$307&lt;$H$2),0,MIN($E330-SUM($G330:I330),$F330))</f>
        <v>0</v>
      </c>
      <c r="K330" s="424">
        <f>IF(OR(K$307&lt;$C330,K$307&lt;$H$2),0,MIN($E330-SUM($G330:J330),$F330))</f>
        <v>0</v>
      </c>
      <c r="L330" s="424">
        <f>IF(OR(L$307&lt;$C330,L$307&lt;$H$2),0,MIN($E330-SUM($G330:K330),$F330))</f>
        <v>0</v>
      </c>
      <c r="M330" s="424">
        <f>IF(OR(M$307&lt;$C330,M$307&lt;$H$2),0,MIN($E330-SUM($G330:L330),$F330))</f>
        <v>0</v>
      </c>
      <c r="N330" s="424">
        <f>IF(OR(N$307&lt;$C330,N$307&lt;$H$2),0,MIN($E330-SUM($G330:M330),$F330))</f>
        <v>0</v>
      </c>
      <c r="O330" s="424">
        <f>IF(OR(O$307&lt;$C330,O$307&lt;$H$2),0,MIN($E330-SUM($G330:N330),$F330))</f>
        <v>0</v>
      </c>
      <c r="P330" s="424">
        <f>IF(OR(P$307&lt;$C330,P$307&lt;$H$2),0,MIN($E330-SUM($G330:O330),$F330))</f>
        <v>0</v>
      </c>
      <c r="Q330" s="424">
        <f>IF(OR(Q$307&lt;$C330,Q$307&lt;$H$2),0,MIN($E330-SUM($G330:P330),$F330))</f>
        <v>0</v>
      </c>
      <c r="R330" s="424">
        <f>IF(OR(R$307&lt;$C330,R$307&lt;$H$2),0,MIN($E330-SUM($G330:Q330),$F330))</f>
        <v>0</v>
      </c>
      <c r="S330" s="424">
        <f>IF(OR(S$307&lt;$C330,S$307&lt;$H$2),0,MIN($E330-SUM($G330:R330),$F330))</f>
        <v>0</v>
      </c>
      <c r="T330" s="424">
        <f>IF(OR(T$307&lt;$C330,T$307&lt;$H$2),0,MIN($E330-SUM($G330:S330),$F330))</f>
        <v>0</v>
      </c>
      <c r="U330" s="424">
        <f>IF(OR(U$307&lt;$C330,U$307&lt;$H$2),0,MIN($E330-SUM($G330:T330),$F330))</f>
        <v>0</v>
      </c>
      <c r="V330" s="424">
        <f>IF(OR(V$307&lt;$C330,V$307&lt;$H$2),0,MIN($E330-SUM($G330:U330),$F330))</f>
        <v>0</v>
      </c>
      <c r="W330" s="424">
        <f>IF(OR(W$307&lt;$C330,W$307&lt;$H$2),0,MIN($E330-SUM($G330:V330),$F330))</f>
        <v>0</v>
      </c>
      <c r="X330" s="424">
        <f>IF(OR(X$307&lt;$C330,X$307&lt;$H$2),0,MIN($E330-SUM($G330:W330),$F330))</f>
        <v>0</v>
      </c>
      <c r="Y330" s="424">
        <f>IF(OR(Y$307&lt;$C330,Y$307&lt;$H$2),0,MIN($E330-SUM($G330:X330),$F330))</f>
        <v>0</v>
      </c>
      <c r="Z330" s="424">
        <f>IF(OR(Z$307&lt;$C330,Z$307&lt;$H$2),0,MIN($E330-SUM($G330:Y330),$F330))</f>
        <v>0</v>
      </c>
      <c r="AA330" s="424">
        <f>IF(OR(AA$307&lt;$C330,AA$307&lt;$H$2),0,MIN($E330-SUM($G330:Z330),$F330))</f>
        <v>0</v>
      </c>
      <c r="AB330" s="424">
        <f>IF(OR(AB$307&lt;$C330,AB$307&lt;$H$2),0,MIN($E330-SUM($G330:AA330),$F330))</f>
        <v>0</v>
      </c>
      <c r="AC330" s="424">
        <f>IF(OR(AC$307&lt;$C330,AC$307&lt;$H$2),0,MIN($E330-SUM($G330:AB330),$F330))</f>
        <v>0</v>
      </c>
      <c r="AD330" s="424">
        <f>IF(OR(AD$307&lt;$C330,AD$307&lt;$H$2),0,MIN($E330-SUM($G330:AC330),$F330))</f>
        <v>0</v>
      </c>
    </row>
    <row r="331" spans="3:30">
      <c r="C331" s="201">
        <v>53709</v>
      </c>
      <c r="D331" s="94" t="s">
        <v>134</v>
      </c>
      <c r="E331" s="424">
        <f t="shared" si="134"/>
        <v>0</v>
      </c>
      <c r="F331" s="209">
        <f t="shared" si="135"/>
        <v>0</v>
      </c>
      <c r="H331" s="424">
        <f>IF(OR(H$307&lt;$C331,H$307&lt;$H$2),0,MIN($E331-SUM($G331:G331),$F331))</f>
        <v>0</v>
      </c>
      <c r="I331" s="424">
        <f>IF(OR(I$307&lt;$C331,I$307&lt;$H$2),0,MIN($E331-SUM($G331:H331),$F331))</f>
        <v>0</v>
      </c>
      <c r="J331" s="424">
        <f>IF(OR(J$307&lt;$C331,J$307&lt;$H$2),0,MIN($E331-SUM($G331:I331),$F331))</f>
        <v>0</v>
      </c>
      <c r="K331" s="424">
        <f>IF(OR(K$307&lt;$C331,K$307&lt;$H$2),0,MIN($E331-SUM($G331:J331),$F331))</f>
        <v>0</v>
      </c>
      <c r="L331" s="424">
        <f>IF(OR(L$307&lt;$C331,L$307&lt;$H$2),0,MIN($E331-SUM($G331:K331),$F331))</f>
        <v>0</v>
      </c>
      <c r="M331" s="424">
        <f>IF(OR(M$307&lt;$C331,M$307&lt;$H$2),0,MIN($E331-SUM($G331:L331),$F331))</f>
        <v>0</v>
      </c>
      <c r="N331" s="424">
        <f>IF(OR(N$307&lt;$C331,N$307&lt;$H$2),0,MIN($E331-SUM($G331:M331),$F331))</f>
        <v>0</v>
      </c>
      <c r="O331" s="424">
        <f>IF(OR(O$307&lt;$C331,O$307&lt;$H$2),0,MIN($E331-SUM($G331:N331),$F331))</f>
        <v>0</v>
      </c>
      <c r="P331" s="424">
        <f>IF(OR(P$307&lt;$C331,P$307&lt;$H$2),0,MIN($E331-SUM($G331:O331),$F331))</f>
        <v>0</v>
      </c>
      <c r="Q331" s="424">
        <f>IF(OR(Q$307&lt;$C331,Q$307&lt;$H$2),0,MIN($E331-SUM($G331:P331),$F331))</f>
        <v>0</v>
      </c>
      <c r="R331" s="424">
        <f>IF(OR(R$307&lt;$C331,R$307&lt;$H$2),0,MIN($E331-SUM($G331:Q331),$F331))</f>
        <v>0</v>
      </c>
      <c r="S331" s="424">
        <f>IF(OR(S$307&lt;$C331,S$307&lt;$H$2),0,MIN($E331-SUM($G331:R331),$F331))</f>
        <v>0</v>
      </c>
      <c r="T331" s="424">
        <f>IF(OR(T$307&lt;$C331,T$307&lt;$H$2),0,MIN($E331-SUM($G331:S331),$F331))</f>
        <v>0</v>
      </c>
      <c r="U331" s="424">
        <f>IF(OR(U$307&lt;$C331,U$307&lt;$H$2),0,MIN($E331-SUM($G331:T331),$F331))</f>
        <v>0</v>
      </c>
      <c r="V331" s="424">
        <f>IF(OR(V$307&lt;$C331,V$307&lt;$H$2),0,MIN($E331-SUM($G331:U331),$F331))</f>
        <v>0</v>
      </c>
      <c r="W331" s="424">
        <f>IF(OR(W$307&lt;$C331,W$307&lt;$H$2),0,MIN($E331-SUM($G331:V331),$F331))</f>
        <v>0</v>
      </c>
      <c r="X331" s="424">
        <f>IF(OR(X$307&lt;$C331,X$307&lt;$H$2),0,MIN($E331-SUM($G331:W331),$F331))</f>
        <v>0</v>
      </c>
      <c r="Y331" s="424">
        <f>IF(OR(Y$307&lt;$C331,Y$307&lt;$H$2),0,MIN($E331-SUM($G331:X331),$F331))</f>
        <v>0</v>
      </c>
      <c r="Z331" s="424">
        <f>IF(OR(Z$307&lt;$C331,Z$307&lt;$H$2),0,MIN($E331-SUM($G331:Y331),$F331))</f>
        <v>0</v>
      </c>
      <c r="AA331" s="424">
        <f>IF(OR(AA$307&lt;$C331,AA$307&lt;$H$2),0,MIN($E331-SUM($G331:Z331),$F331))</f>
        <v>0</v>
      </c>
      <c r="AB331" s="424">
        <f>IF(OR(AB$307&lt;$C331,AB$307&lt;$H$2),0,MIN($E331-SUM($G331:AA331),$F331))</f>
        <v>0</v>
      </c>
      <c r="AC331" s="424">
        <f>IF(OR(AC$307&lt;$C331,AC$307&lt;$H$2),0,MIN($E331-SUM($G331:AB331),$F331))</f>
        <v>0</v>
      </c>
      <c r="AD331" s="424">
        <f>IF(OR(AD$307&lt;$C331,AD$307&lt;$H$2),0,MIN($E331-SUM($G331:AC331),$F331))</f>
        <v>0</v>
      </c>
    </row>
    <row r="332" spans="3:30">
      <c r="C332" s="201">
        <v>54075</v>
      </c>
      <c r="D332" s="94" t="s">
        <v>134</v>
      </c>
      <c r="E332" s="424">
        <f t="shared" si="134"/>
        <v>0</v>
      </c>
      <c r="F332" s="209">
        <f t="shared" si="135"/>
        <v>0</v>
      </c>
      <c r="H332" s="424">
        <f>IF(OR(H$307&lt;$C332,H$307&lt;$H$2),0,MIN($E332-SUM($G332:G332),$F332))</f>
        <v>0</v>
      </c>
      <c r="I332" s="424">
        <f>IF(OR(I$307&lt;$C332,I$307&lt;$H$2),0,MIN($E332-SUM($G332:H332),$F332))</f>
        <v>0</v>
      </c>
      <c r="J332" s="424">
        <f>IF(OR(J$307&lt;$C332,J$307&lt;$H$2),0,MIN($E332-SUM($G332:I332),$F332))</f>
        <v>0</v>
      </c>
      <c r="K332" s="424">
        <f>IF(OR(K$307&lt;$C332,K$307&lt;$H$2),0,MIN($E332-SUM($G332:J332),$F332))</f>
        <v>0</v>
      </c>
      <c r="L332" s="424">
        <f>IF(OR(L$307&lt;$C332,L$307&lt;$H$2),0,MIN($E332-SUM($G332:K332),$F332))</f>
        <v>0</v>
      </c>
      <c r="M332" s="424">
        <f>IF(OR(M$307&lt;$C332,M$307&lt;$H$2),0,MIN($E332-SUM($G332:L332),$F332))</f>
        <v>0</v>
      </c>
      <c r="N332" s="424">
        <f>IF(OR(N$307&lt;$C332,N$307&lt;$H$2),0,MIN($E332-SUM($G332:M332),$F332))</f>
        <v>0</v>
      </c>
      <c r="O332" s="424">
        <f>IF(OR(O$307&lt;$C332,O$307&lt;$H$2),0,MIN($E332-SUM($G332:N332),$F332))</f>
        <v>0</v>
      </c>
      <c r="P332" s="424">
        <f>IF(OR(P$307&lt;$C332,P$307&lt;$H$2),0,MIN($E332-SUM($G332:O332),$F332))</f>
        <v>0</v>
      </c>
      <c r="Q332" s="424">
        <f>IF(OR(Q$307&lt;$C332,Q$307&lt;$H$2),0,MIN($E332-SUM($G332:P332),$F332))</f>
        <v>0</v>
      </c>
      <c r="R332" s="424">
        <f>IF(OR(R$307&lt;$C332,R$307&lt;$H$2),0,MIN($E332-SUM($G332:Q332),$F332))</f>
        <v>0</v>
      </c>
      <c r="S332" s="424">
        <f>IF(OR(S$307&lt;$C332,S$307&lt;$H$2),0,MIN($E332-SUM($G332:R332),$F332))</f>
        <v>0</v>
      </c>
      <c r="T332" s="424">
        <f>IF(OR(T$307&lt;$C332,T$307&lt;$H$2),0,MIN($E332-SUM($G332:S332),$F332))</f>
        <v>0</v>
      </c>
      <c r="U332" s="424">
        <f>IF(OR(U$307&lt;$C332,U$307&lt;$H$2),0,MIN($E332-SUM($G332:T332),$F332))</f>
        <v>0</v>
      </c>
      <c r="V332" s="424">
        <f>IF(OR(V$307&lt;$C332,V$307&lt;$H$2),0,MIN($E332-SUM($G332:U332),$F332))</f>
        <v>0</v>
      </c>
      <c r="W332" s="424">
        <f>IF(OR(W$307&lt;$C332,W$307&lt;$H$2),0,MIN($E332-SUM($G332:V332),$F332))</f>
        <v>0</v>
      </c>
      <c r="X332" s="424">
        <f>IF(OR(X$307&lt;$C332,X$307&lt;$H$2),0,MIN($E332-SUM($G332:W332),$F332))</f>
        <v>0</v>
      </c>
      <c r="Y332" s="424">
        <f>IF(OR(Y$307&lt;$C332,Y$307&lt;$H$2),0,MIN($E332-SUM($G332:X332),$F332))</f>
        <v>0</v>
      </c>
      <c r="Z332" s="424">
        <f>IF(OR(Z$307&lt;$C332,Z$307&lt;$H$2),0,MIN($E332-SUM($G332:Y332),$F332))</f>
        <v>0</v>
      </c>
      <c r="AA332" s="424">
        <f>IF(OR(AA$307&lt;$C332,AA$307&lt;$H$2),0,MIN($E332-SUM($G332:Z332),$F332))</f>
        <v>0</v>
      </c>
      <c r="AB332" s="424">
        <f>IF(OR(AB$307&lt;$C332,AB$307&lt;$H$2),0,MIN($E332-SUM($G332:AA332),$F332))</f>
        <v>0</v>
      </c>
      <c r="AC332" s="424">
        <f>IF(OR(AC$307&lt;$C332,AC$307&lt;$H$2),0,MIN($E332-SUM($G332:AB332),$F332))</f>
        <v>0</v>
      </c>
      <c r="AD332" s="424">
        <f>IF(OR(AD$307&lt;$C332,AD$307&lt;$H$2),0,MIN($E332-SUM($G332:AC332),$F332))</f>
        <v>0</v>
      </c>
    </row>
    <row r="333" spans="3:30" ht="14" thickBot="1">
      <c r="C333" s="240" t="s">
        <v>543</v>
      </c>
      <c r="D333" s="348" t="s">
        <v>134</v>
      </c>
      <c r="E333" s="427">
        <f>SUM(E310:E332)</f>
        <v>540</v>
      </c>
      <c r="F333" s="427">
        <f>SUM(F310:F332)</f>
        <v>27</v>
      </c>
      <c r="G333" s="348"/>
      <c r="H333" s="427">
        <f t="shared" ref="H333:AD333" si="136">SUM(H310:H332)</f>
        <v>0</v>
      </c>
      <c r="I333" s="427">
        <f t="shared" si="136"/>
        <v>2.7</v>
      </c>
      <c r="J333" s="427">
        <f t="shared" si="136"/>
        <v>18.899999999999999</v>
      </c>
      <c r="K333" s="427">
        <f t="shared" si="136"/>
        <v>27</v>
      </c>
      <c r="L333" s="427">
        <f t="shared" si="136"/>
        <v>27</v>
      </c>
      <c r="M333" s="427">
        <f t="shared" si="136"/>
        <v>27</v>
      </c>
      <c r="N333" s="427">
        <f t="shared" si="136"/>
        <v>27</v>
      </c>
      <c r="O333" s="427">
        <f t="shared" si="136"/>
        <v>27</v>
      </c>
      <c r="P333" s="427">
        <f t="shared" si="136"/>
        <v>27</v>
      </c>
      <c r="Q333" s="427">
        <f t="shared" si="136"/>
        <v>27</v>
      </c>
      <c r="R333" s="427">
        <f t="shared" si="136"/>
        <v>27</v>
      </c>
      <c r="S333" s="427">
        <f t="shared" si="136"/>
        <v>27</v>
      </c>
      <c r="T333" s="427">
        <f t="shared" si="136"/>
        <v>27</v>
      </c>
      <c r="U333" s="427">
        <f t="shared" si="136"/>
        <v>27</v>
      </c>
      <c r="V333" s="427">
        <f t="shared" si="136"/>
        <v>27</v>
      </c>
      <c r="W333" s="427">
        <f t="shared" si="136"/>
        <v>27</v>
      </c>
      <c r="X333" s="427">
        <f t="shared" si="136"/>
        <v>27</v>
      </c>
      <c r="Y333" s="427">
        <f t="shared" si="136"/>
        <v>27</v>
      </c>
      <c r="Z333" s="427">
        <f t="shared" si="136"/>
        <v>27</v>
      </c>
      <c r="AA333" s="427">
        <f t="shared" si="136"/>
        <v>27</v>
      </c>
      <c r="AB333" s="427">
        <f t="shared" si="136"/>
        <v>26.999999999999979</v>
      </c>
      <c r="AC333" s="427">
        <f t="shared" si="136"/>
        <v>24.299999999999997</v>
      </c>
      <c r="AD333" s="427">
        <f t="shared" si="136"/>
        <v>8.1000000000001133</v>
      </c>
    </row>
    <row r="335" spans="3:30" ht="28">
      <c r="C335" s="428" t="s">
        <v>166</v>
      </c>
      <c r="D335" s="428" t="s">
        <v>88</v>
      </c>
      <c r="E335" s="428" t="s">
        <v>555</v>
      </c>
      <c r="F335" s="429" t="s">
        <v>556</v>
      </c>
      <c r="G335" s="430"/>
      <c r="H335" s="201">
        <f t="shared" ref="H335:AD335" si="137">H307</f>
        <v>46023</v>
      </c>
      <c r="I335" s="201">
        <f t="shared" si="137"/>
        <v>46389</v>
      </c>
      <c r="J335" s="201">
        <f t="shared" si="137"/>
        <v>46755</v>
      </c>
      <c r="K335" s="201">
        <f t="shared" si="137"/>
        <v>47121</v>
      </c>
      <c r="L335" s="201">
        <f t="shared" si="137"/>
        <v>47487</v>
      </c>
      <c r="M335" s="201">
        <f t="shared" si="137"/>
        <v>47853</v>
      </c>
      <c r="N335" s="201">
        <f t="shared" si="137"/>
        <v>48219</v>
      </c>
      <c r="O335" s="201">
        <f t="shared" si="137"/>
        <v>48585</v>
      </c>
      <c r="P335" s="201">
        <f t="shared" si="137"/>
        <v>48951</v>
      </c>
      <c r="Q335" s="201">
        <f t="shared" si="137"/>
        <v>49317</v>
      </c>
      <c r="R335" s="201">
        <f t="shared" si="137"/>
        <v>49683</v>
      </c>
      <c r="S335" s="201">
        <f t="shared" si="137"/>
        <v>50049</v>
      </c>
      <c r="T335" s="201">
        <f t="shared" si="137"/>
        <v>50415</v>
      </c>
      <c r="U335" s="201">
        <f t="shared" si="137"/>
        <v>50781</v>
      </c>
      <c r="V335" s="201">
        <f t="shared" si="137"/>
        <v>51147</v>
      </c>
      <c r="W335" s="201">
        <f t="shared" si="137"/>
        <v>51513</v>
      </c>
      <c r="X335" s="201">
        <f t="shared" si="137"/>
        <v>51879</v>
      </c>
      <c r="Y335" s="201">
        <f t="shared" si="137"/>
        <v>52245</v>
      </c>
      <c r="Z335" s="201">
        <f t="shared" si="137"/>
        <v>52611</v>
      </c>
      <c r="AA335" s="201">
        <f t="shared" si="137"/>
        <v>52977</v>
      </c>
      <c r="AB335" s="201">
        <f t="shared" si="137"/>
        <v>53343</v>
      </c>
      <c r="AC335" s="201">
        <f t="shared" si="137"/>
        <v>53709</v>
      </c>
      <c r="AD335" s="201">
        <f t="shared" si="137"/>
        <v>54075</v>
      </c>
    </row>
    <row r="336" spans="3:30">
      <c r="C336" s="430"/>
      <c r="D336" s="430"/>
      <c r="E336" s="428" t="s">
        <v>134</v>
      </c>
      <c r="F336" s="428" t="s">
        <v>134</v>
      </c>
      <c r="G336" s="430"/>
      <c r="H336" s="1141">
        <f t="shared" ref="H336:AD336" si="138">H308</f>
        <v>-4</v>
      </c>
      <c r="I336" s="1141">
        <f t="shared" si="138"/>
        <v>-3</v>
      </c>
      <c r="J336" s="1141">
        <f t="shared" si="138"/>
        <v>-2</v>
      </c>
      <c r="K336" s="1141">
        <f t="shared" si="138"/>
        <v>-1</v>
      </c>
      <c r="L336" s="1141">
        <f t="shared" si="138"/>
        <v>1</v>
      </c>
      <c r="M336" s="1141">
        <f t="shared" si="138"/>
        <v>2</v>
      </c>
      <c r="N336" s="1141">
        <f t="shared" si="138"/>
        <v>3</v>
      </c>
      <c r="O336" s="1141">
        <f t="shared" si="138"/>
        <v>4</v>
      </c>
      <c r="P336" s="1141">
        <f t="shared" si="138"/>
        <v>5</v>
      </c>
      <c r="Q336" s="1141">
        <f t="shared" si="138"/>
        <v>6</v>
      </c>
      <c r="R336" s="1141">
        <f t="shared" si="138"/>
        <v>7</v>
      </c>
      <c r="S336" s="1141">
        <f t="shared" si="138"/>
        <v>8</v>
      </c>
      <c r="T336" s="1141">
        <f t="shared" si="138"/>
        <v>9</v>
      </c>
      <c r="U336" s="1141">
        <f t="shared" si="138"/>
        <v>10</v>
      </c>
      <c r="V336" s="1141">
        <f t="shared" si="138"/>
        <v>11</v>
      </c>
      <c r="W336" s="1141">
        <f t="shared" si="138"/>
        <v>12</v>
      </c>
      <c r="X336" s="1141">
        <f t="shared" si="138"/>
        <v>13</v>
      </c>
      <c r="Y336" s="1141">
        <f t="shared" si="138"/>
        <v>14</v>
      </c>
      <c r="Z336" s="1141">
        <f t="shared" si="138"/>
        <v>15</v>
      </c>
      <c r="AA336" s="1141">
        <f t="shared" si="138"/>
        <v>16</v>
      </c>
      <c r="AB336" s="1141">
        <f t="shared" si="138"/>
        <v>17</v>
      </c>
      <c r="AC336" s="1141">
        <f t="shared" si="138"/>
        <v>18</v>
      </c>
      <c r="AD336" s="1141">
        <f t="shared" si="138"/>
        <v>19</v>
      </c>
    </row>
    <row r="337" spans="3:30">
      <c r="C337" s="191" t="str">
        <f>C71</f>
        <v>Civil Infrastructure</v>
      </c>
    </row>
    <row r="338" spans="3:30">
      <c r="C338" s="201" cm="1">
        <f t="array" ref="C338:C360">TRANSPOSE(H335:AD335)</f>
        <v>46023</v>
      </c>
      <c r="D338" s="94" t="s">
        <v>134</v>
      </c>
      <c r="E338" s="424">
        <f t="shared" ref="E338:E360" si="139">HLOOKUP($C338,$H$39:$AI$112,35,FALSE)</f>
        <v>0</v>
      </c>
      <c r="F338" s="209">
        <f>E338*$F$71</f>
        <v>0</v>
      </c>
      <c r="H338" s="424">
        <f>IF(OR(H$335&lt;$C338,H$335&lt;$H$2),0,MIN($E338-SUM($G338:G338),$F338))</f>
        <v>0</v>
      </c>
      <c r="I338" s="424">
        <f>IF(OR(I$335&lt;$C338,I$335&lt;$H$2),0,MIN($E338-SUM($G338:H338),$F338))</f>
        <v>0</v>
      </c>
      <c r="J338" s="424">
        <f>IF(OR(J$335&lt;$C338,J$335&lt;$H$2),0,MIN($E338-SUM($G338:I338),$F338))</f>
        <v>0</v>
      </c>
      <c r="K338" s="424">
        <f>IF(OR(K$335&lt;$C338,K$335&lt;$H$2),0,MIN($E338-SUM($G338:J338),$F338))</f>
        <v>0</v>
      </c>
      <c r="L338" s="424">
        <f>IF(OR(L$335&lt;$C338,L$335&lt;$H$2),0,MIN($E338-SUM($G338:K338),$F338))</f>
        <v>0</v>
      </c>
      <c r="M338" s="424">
        <f>IF(OR(M$335&lt;$C338,M$335&lt;$H$2),0,MIN($E338-SUM($G338:L338),$F338))</f>
        <v>0</v>
      </c>
      <c r="N338" s="424">
        <f>IF(OR(N$335&lt;$C338,N$335&lt;$H$2),0,MIN($E338-SUM($G338:M338),$F338))</f>
        <v>0</v>
      </c>
      <c r="O338" s="424">
        <f>IF(OR(O$335&lt;$C338,O$335&lt;$H$2),0,MIN($E338-SUM($G338:N338),$F338))</f>
        <v>0</v>
      </c>
      <c r="P338" s="424">
        <f>IF(OR(P$335&lt;$C338,P$335&lt;$H$2),0,MIN($E338-SUM($G338:O338),$F338))</f>
        <v>0</v>
      </c>
      <c r="Q338" s="424">
        <f>IF(OR(Q$335&lt;$C338,Q$335&lt;$H$2),0,MIN($E338-SUM($G338:P338),$F338))</f>
        <v>0</v>
      </c>
      <c r="R338" s="424">
        <f>IF(OR(R$335&lt;$C338,R$335&lt;$H$2),0,MIN($E338-SUM($G338:Q338),$F338))</f>
        <v>0</v>
      </c>
      <c r="S338" s="424">
        <f>IF(OR(S$335&lt;$C338,S$335&lt;$H$2),0,MIN($E338-SUM($G338:R338),$F338))</f>
        <v>0</v>
      </c>
      <c r="T338" s="424">
        <f>IF(OR(T$335&lt;$C338,T$335&lt;$H$2),0,MIN($E338-SUM($G338:S338),$F338))</f>
        <v>0</v>
      </c>
      <c r="U338" s="424">
        <f>IF(OR(U$335&lt;$C338,U$335&lt;$H$2),0,MIN($E338-SUM($G338:T338),$F338))</f>
        <v>0</v>
      </c>
      <c r="V338" s="424">
        <f>IF(OR(V$335&lt;$C338,V$335&lt;$H$2),0,MIN($E338-SUM($G338:U338),$F338))</f>
        <v>0</v>
      </c>
      <c r="W338" s="424">
        <f>IF(OR(W$335&lt;$C338,W$335&lt;$H$2),0,MIN($E338-SUM($G338:V338),$F338))</f>
        <v>0</v>
      </c>
      <c r="X338" s="424">
        <f>IF(OR(X$335&lt;$C338,X$335&lt;$H$2),0,MIN($E338-SUM($G338:W338),$F338))</f>
        <v>0</v>
      </c>
      <c r="Y338" s="424">
        <f>IF(OR(Y$335&lt;$C338,Y$335&lt;$H$2),0,MIN($E338-SUM($G338:X338),$F338))</f>
        <v>0</v>
      </c>
      <c r="Z338" s="424">
        <f>IF(OR(Z$335&lt;$C338,Z$335&lt;$H$2),0,MIN($E338-SUM($G338:Y338),$F338))</f>
        <v>0</v>
      </c>
      <c r="AA338" s="424">
        <f>IF(OR(AA$335&lt;$C338,AA$335&lt;$H$2),0,MIN($E338-SUM($G338:Z338),$F338))</f>
        <v>0</v>
      </c>
      <c r="AB338" s="424">
        <f>IF(OR(AB$335&lt;$C338,AB$335&lt;$H$2),0,MIN($E338-SUM($G338:AA338),$F338))</f>
        <v>0</v>
      </c>
      <c r="AC338" s="424">
        <f>IF(OR(AC$335&lt;$C338,AC$335&lt;$H$2),0,MIN($E338-SUM($G338:AB338),$F338))</f>
        <v>0</v>
      </c>
      <c r="AD338" s="424">
        <f>IF(OR(AD$335&lt;$C338,AD$335&lt;$H$2),0,MIN($E338-SUM($G338:AC338),$F338))</f>
        <v>0</v>
      </c>
    </row>
    <row r="339" spans="3:30">
      <c r="C339" s="201">
        <v>46389</v>
      </c>
      <c r="D339" s="94" t="s">
        <v>134</v>
      </c>
      <c r="E339" s="424">
        <f t="shared" si="139"/>
        <v>57.3</v>
      </c>
      <c r="F339" s="209">
        <f t="shared" ref="F339:F360" si="140">E339*$F$71</f>
        <v>1.8164099999999999</v>
      </c>
      <c r="H339" s="424">
        <f>IF(OR(H$335&lt;$C339,H$335&lt;$H$2),0,MIN($E339-SUM($G339:G339),$F339))</f>
        <v>0</v>
      </c>
      <c r="I339" s="424">
        <f>IF(OR(I$335&lt;$C339,I$335&lt;$H$2),0,MIN($E339-SUM($G339:H339),$F339))</f>
        <v>1.8164099999999999</v>
      </c>
      <c r="J339" s="424">
        <f>IF(OR(J$335&lt;$C339,J$335&lt;$H$2),0,MIN($E339-SUM($G339:I339),$F339))</f>
        <v>1.8164099999999999</v>
      </c>
      <c r="K339" s="424">
        <f>IF(OR(K$335&lt;$C339,K$335&lt;$H$2),0,MIN($E339-SUM($G339:J339),$F339))</f>
        <v>1.8164099999999999</v>
      </c>
      <c r="L339" s="424">
        <f>IF(OR(L$335&lt;$C339,L$335&lt;$H$2),0,MIN($E339-SUM($G339:K339),$F339))</f>
        <v>1.8164099999999999</v>
      </c>
      <c r="M339" s="424">
        <f>IF(OR(M$335&lt;$C339,M$335&lt;$H$2),0,MIN($E339-SUM($G339:L339),$F339))</f>
        <v>1.8164099999999999</v>
      </c>
      <c r="N339" s="424">
        <f>IF(OR(N$335&lt;$C339,N$335&lt;$H$2),0,MIN($E339-SUM($G339:M339),$F339))</f>
        <v>1.8164099999999999</v>
      </c>
      <c r="O339" s="424">
        <f>IF(OR(O$335&lt;$C339,O$335&lt;$H$2),0,MIN($E339-SUM($G339:N339),$F339))</f>
        <v>1.8164099999999999</v>
      </c>
      <c r="P339" s="424">
        <f>IF(OR(P$335&lt;$C339,P$335&lt;$H$2),0,MIN($E339-SUM($G339:O339),$F339))</f>
        <v>1.8164099999999999</v>
      </c>
      <c r="Q339" s="424">
        <f>IF(OR(Q$335&lt;$C339,Q$335&lt;$H$2),0,MIN($E339-SUM($G339:P339),$F339))</f>
        <v>1.8164099999999999</v>
      </c>
      <c r="R339" s="424">
        <f>IF(OR(R$335&lt;$C339,R$335&lt;$H$2),0,MIN($E339-SUM($G339:Q339),$F339))</f>
        <v>1.8164099999999999</v>
      </c>
      <c r="S339" s="424">
        <f>IF(OR(S$335&lt;$C339,S$335&lt;$H$2),0,MIN($E339-SUM($G339:R339),$F339))</f>
        <v>1.8164099999999999</v>
      </c>
      <c r="T339" s="424">
        <f>IF(OR(T$335&lt;$C339,T$335&lt;$H$2),0,MIN($E339-SUM($G339:S339),$F339))</f>
        <v>1.8164099999999999</v>
      </c>
      <c r="U339" s="424">
        <f>IF(OR(U$335&lt;$C339,U$335&lt;$H$2),0,MIN($E339-SUM($G339:T339),$F339))</f>
        <v>1.8164099999999999</v>
      </c>
      <c r="V339" s="424">
        <f>IF(OR(V$335&lt;$C339,V$335&lt;$H$2),0,MIN($E339-SUM($G339:U339),$F339))</f>
        <v>1.8164099999999999</v>
      </c>
      <c r="W339" s="424">
        <f>IF(OR(W$335&lt;$C339,W$335&lt;$H$2),0,MIN($E339-SUM($G339:V339),$F339))</f>
        <v>1.8164099999999999</v>
      </c>
      <c r="X339" s="424">
        <f>IF(OR(X$335&lt;$C339,X$335&lt;$H$2),0,MIN($E339-SUM($G339:W339),$F339))</f>
        <v>1.8164099999999999</v>
      </c>
      <c r="Y339" s="424">
        <f>IF(OR(Y$335&lt;$C339,Y$335&lt;$H$2),0,MIN($E339-SUM($G339:X339),$F339))</f>
        <v>1.8164099999999999</v>
      </c>
      <c r="Z339" s="424">
        <f>IF(OR(Z$335&lt;$C339,Z$335&lt;$H$2),0,MIN($E339-SUM($G339:Y339),$F339))</f>
        <v>1.8164099999999999</v>
      </c>
      <c r="AA339" s="424">
        <f>IF(OR(AA$335&lt;$C339,AA$335&lt;$H$2),0,MIN($E339-SUM($G339:Z339),$F339))</f>
        <v>1.8164099999999999</v>
      </c>
      <c r="AB339" s="424">
        <f>IF(OR(AB$335&lt;$C339,AB$335&lt;$H$2),0,MIN($E339-SUM($G339:AA339),$F339))</f>
        <v>1.8164099999999999</v>
      </c>
      <c r="AC339" s="424">
        <f>IF(OR(AC$335&lt;$C339,AC$335&lt;$H$2),0,MIN($E339-SUM($G339:AB339),$F339))</f>
        <v>1.8164099999999999</v>
      </c>
      <c r="AD339" s="424">
        <f>IF(OR(AD$335&lt;$C339,AD$335&lt;$H$2),0,MIN($E339-SUM($G339:AC339),$F339))</f>
        <v>1.8164099999999999</v>
      </c>
    </row>
    <row r="340" spans="3:30">
      <c r="C340" s="201">
        <v>46755</v>
      </c>
      <c r="D340" s="94" t="s">
        <v>134</v>
      </c>
      <c r="E340" s="424">
        <f t="shared" si="139"/>
        <v>95.5</v>
      </c>
      <c r="F340" s="209">
        <f t="shared" si="140"/>
        <v>3.0273499999999998</v>
      </c>
      <c r="H340" s="424">
        <f>IF(OR(H$335&lt;$C340,H$335&lt;$H$2),0,MIN($E340-SUM($G340:G340),$F340))</f>
        <v>0</v>
      </c>
      <c r="I340" s="424">
        <f>IF(OR(I$335&lt;$C340,I$335&lt;$H$2),0,MIN($E340-SUM($G340:H340),$F340))</f>
        <v>0</v>
      </c>
      <c r="J340" s="424">
        <f>IF(OR(J$335&lt;$C340,J$335&lt;$H$2),0,MIN($E340-SUM($G340:I340),$F340))</f>
        <v>3.0273499999999998</v>
      </c>
      <c r="K340" s="424">
        <f>IF(OR(K$335&lt;$C340,K$335&lt;$H$2),0,MIN($E340-SUM($G340:J340),$F340))</f>
        <v>3.0273499999999998</v>
      </c>
      <c r="L340" s="424">
        <f>IF(OR(L$335&lt;$C340,L$335&lt;$H$2),0,MIN($E340-SUM($G340:K340),$F340))</f>
        <v>3.0273499999999998</v>
      </c>
      <c r="M340" s="424">
        <f>IF(OR(M$335&lt;$C340,M$335&lt;$H$2),0,MIN($E340-SUM($G340:L340),$F340))</f>
        <v>3.0273499999999998</v>
      </c>
      <c r="N340" s="424">
        <f>IF(OR(N$335&lt;$C340,N$335&lt;$H$2),0,MIN($E340-SUM($G340:M340),$F340))</f>
        <v>3.0273499999999998</v>
      </c>
      <c r="O340" s="424">
        <f>IF(OR(O$335&lt;$C340,O$335&lt;$H$2),0,MIN($E340-SUM($G340:N340),$F340))</f>
        <v>3.0273499999999998</v>
      </c>
      <c r="P340" s="424">
        <f>IF(OR(P$335&lt;$C340,P$335&lt;$H$2),0,MIN($E340-SUM($G340:O340),$F340))</f>
        <v>3.0273499999999998</v>
      </c>
      <c r="Q340" s="424">
        <f>IF(OR(Q$335&lt;$C340,Q$335&lt;$H$2),0,MIN($E340-SUM($G340:P340),$F340))</f>
        <v>3.0273499999999998</v>
      </c>
      <c r="R340" s="424">
        <f>IF(OR(R$335&lt;$C340,R$335&lt;$H$2),0,MIN($E340-SUM($G340:Q340),$F340))</f>
        <v>3.0273499999999998</v>
      </c>
      <c r="S340" s="424">
        <f>IF(OR(S$335&lt;$C340,S$335&lt;$H$2),0,MIN($E340-SUM($G340:R340),$F340))</f>
        <v>3.0273499999999998</v>
      </c>
      <c r="T340" s="424">
        <f>IF(OR(T$335&lt;$C340,T$335&lt;$H$2),0,MIN($E340-SUM($G340:S340),$F340))</f>
        <v>3.0273499999999998</v>
      </c>
      <c r="U340" s="424">
        <f>IF(OR(U$335&lt;$C340,U$335&lt;$H$2),0,MIN($E340-SUM($G340:T340),$F340))</f>
        <v>3.0273499999999998</v>
      </c>
      <c r="V340" s="424">
        <f>IF(OR(V$335&lt;$C340,V$335&lt;$H$2),0,MIN($E340-SUM($G340:U340),$F340))</f>
        <v>3.0273499999999998</v>
      </c>
      <c r="W340" s="424">
        <f>IF(OR(W$335&lt;$C340,W$335&lt;$H$2),0,MIN($E340-SUM($G340:V340),$F340))</f>
        <v>3.0273499999999998</v>
      </c>
      <c r="X340" s="424">
        <f>IF(OR(X$335&lt;$C340,X$335&lt;$H$2),0,MIN($E340-SUM($G340:W340),$F340))</f>
        <v>3.0273499999999998</v>
      </c>
      <c r="Y340" s="424">
        <f>IF(OR(Y$335&lt;$C340,Y$335&lt;$H$2),0,MIN($E340-SUM($G340:X340),$F340))</f>
        <v>3.0273499999999998</v>
      </c>
      <c r="Z340" s="424">
        <f>IF(OR(Z$335&lt;$C340,Z$335&lt;$H$2),0,MIN($E340-SUM($G340:Y340),$F340))</f>
        <v>3.0273499999999998</v>
      </c>
      <c r="AA340" s="424">
        <f>IF(OR(AA$335&lt;$C340,AA$335&lt;$H$2),0,MIN($E340-SUM($G340:Z340),$F340))</f>
        <v>3.0273499999999998</v>
      </c>
      <c r="AB340" s="424">
        <f>IF(OR(AB$335&lt;$C340,AB$335&lt;$H$2),0,MIN($E340-SUM($G340:AA340),$F340))</f>
        <v>3.0273499999999998</v>
      </c>
      <c r="AC340" s="424">
        <f>IF(OR(AC$335&lt;$C340,AC$335&lt;$H$2),0,MIN($E340-SUM($G340:AB340),$F340))</f>
        <v>3.0273499999999998</v>
      </c>
      <c r="AD340" s="424">
        <f>IF(OR(AD$335&lt;$C340,AD$335&lt;$H$2),0,MIN($E340-SUM($G340:AC340),$F340))</f>
        <v>3.0273499999999998</v>
      </c>
    </row>
    <row r="341" spans="3:30">
      <c r="C341" s="201">
        <v>47121</v>
      </c>
      <c r="D341" s="94" t="s">
        <v>134</v>
      </c>
      <c r="E341" s="424">
        <f t="shared" si="139"/>
        <v>38.200000000000003</v>
      </c>
      <c r="F341" s="209">
        <f t="shared" si="140"/>
        <v>1.2109400000000001</v>
      </c>
      <c r="H341" s="424">
        <f>IF(OR(H$335&lt;$C341,H$335&lt;$H$2),0,MIN($E341-SUM($G341:G341),$F341))</f>
        <v>0</v>
      </c>
      <c r="I341" s="424">
        <f>IF(OR(I$335&lt;$C341,I$335&lt;$H$2),0,MIN($E341-SUM($G341:H341),$F341))</f>
        <v>0</v>
      </c>
      <c r="J341" s="424">
        <f>IF(OR(J$335&lt;$C341,J$335&lt;$H$2),0,MIN($E341-SUM($G341:I341),$F341))</f>
        <v>0</v>
      </c>
      <c r="K341" s="424">
        <f>IF(OR(K$335&lt;$C341,K$335&lt;$H$2),0,MIN($E341-SUM($G341:J341),$F341))</f>
        <v>1.2109400000000001</v>
      </c>
      <c r="L341" s="424">
        <f>IF(OR(L$335&lt;$C341,L$335&lt;$H$2),0,MIN($E341-SUM($G341:K341),$F341))</f>
        <v>1.2109400000000001</v>
      </c>
      <c r="M341" s="424">
        <f>IF(OR(M$335&lt;$C341,M$335&lt;$H$2),0,MIN($E341-SUM($G341:L341),$F341))</f>
        <v>1.2109400000000001</v>
      </c>
      <c r="N341" s="424">
        <f>IF(OR(N$335&lt;$C341,N$335&lt;$H$2),0,MIN($E341-SUM($G341:M341),$F341))</f>
        <v>1.2109400000000001</v>
      </c>
      <c r="O341" s="424">
        <f>IF(OR(O$335&lt;$C341,O$335&lt;$H$2),0,MIN($E341-SUM($G341:N341),$F341))</f>
        <v>1.2109400000000001</v>
      </c>
      <c r="P341" s="424">
        <f>IF(OR(P$335&lt;$C341,P$335&lt;$H$2),0,MIN($E341-SUM($G341:O341),$F341))</f>
        <v>1.2109400000000001</v>
      </c>
      <c r="Q341" s="424">
        <f>IF(OR(Q$335&lt;$C341,Q$335&lt;$H$2),0,MIN($E341-SUM($G341:P341),$F341))</f>
        <v>1.2109400000000001</v>
      </c>
      <c r="R341" s="424">
        <f>IF(OR(R$335&lt;$C341,R$335&lt;$H$2),0,MIN($E341-SUM($G341:Q341),$F341))</f>
        <v>1.2109400000000001</v>
      </c>
      <c r="S341" s="424">
        <f>IF(OR(S$335&lt;$C341,S$335&lt;$H$2),0,MIN($E341-SUM($G341:R341),$F341))</f>
        <v>1.2109400000000001</v>
      </c>
      <c r="T341" s="424">
        <f>IF(OR(T$335&lt;$C341,T$335&lt;$H$2),0,MIN($E341-SUM($G341:S341),$F341))</f>
        <v>1.2109400000000001</v>
      </c>
      <c r="U341" s="424">
        <f>IF(OR(U$335&lt;$C341,U$335&lt;$H$2),0,MIN($E341-SUM($G341:T341),$F341))</f>
        <v>1.2109400000000001</v>
      </c>
      <c r="V341" s="424">
        <f>IF(OR(V$335&lt;$C341,V$335&lt;$H$2),0,MIN($E341-SUM($G341:U341),$F341))</f>
        <v>1.2109400000000001</v>
      </c>
      <c r="W341" s="424">
        <f>IF(OR(W$335&lt;$C341,W$335&lt;$H$2),0,MIN($E341-SUM($G341:V341),$F341))</f>
        <v>1.2109400000000001</v>
      </c>
      <c r="X341" s="424">
        <f>IF(OR(X$335&lt;$C341,X$335&lt;$H$2),0,MIN($E341-SUM($G341:W341),$F341))</f>
        <v>1.2109400000000001</v>
      </c>
      <c r="Y341" s="424">
        <f>IF(OR(Y$335&lt;$C341,Y$335&lt;$H$2),0,MIN($E341-SUM($G341:X341),$F341))</f>
        <v>1.2109400000000001</v>
      </c>
      <c r="Z341" s="424">
        <f>IF(OR(Z$335&lt;$C341,Z$335&lt;$H$2),0,MIN($E341-SUM($G341:Y341),$F341))</f>
        <v>1.2109400000000001</v>
      </c>
      <c r="AA341" s="424">
        <f>IF(OR(AA$335&lt;$C341,AA$335&lt;$H$2),0,MIN($E341-SUM($G341:Z341),$F341))</f>
        <v>1.2109400000000001</v>
      </c>
      <c r="AB341" s="424">
        <f>IF(OR(AB$335&lt;$C341,AB$335&lt;$H$2),0,MIN($E341-SUM($G341:AA341),$F341))</f>
        <v>1.2109400000000001</v>
      </c>
      <c r="AC341" s="424">
        <f>IF(OR(AC$335&lt;$C341,AC$335&lt;$H$2),0,MIN($E341-SUM($G341:AB341),$F341))</f>
        <v>1.2109400000000001</v>
      </c>
      <c r="AD341" s="424">
        <f>IF(OR(AD$335&lt;$C341,AD$335&lt;$H$2),0,MIN($E341-SUM($G341:AC341),$F341))</f>
        <v>1.2109400000000001</v>
      </c>
    </row>
    <row r="342" spans="3:30">
      <c r="C342" s="201">
        <v>47487</v>
      </c>
      <c r="D342" s="94" t="s">
        <v>134</v>
      </c>
      <c r="E342" s="424">
        <f t="shared" si="139"/>
        <v>0</v>
      </c>
      <c r="F342" s="209">
        <f t="shared" si="140"/>
        <v>0</v>
      </c>
      <c r="H342" s="424">
        <f>IF(OR(H$335&lt;$C342,H$335&lt;$H$2),0,MIN($E342-SUM($G342:G342),$F342))</f>
        <v>0</v>
      </c>
      <c r="I342" s="424">
        <f>IF(OR(I$335&lt;$C342,I$335&lt;$H$2),0,MIN($E342-SUM($G342:H342),$F342))</f>
        <v>0</v>
      </c>
      <c r="J342" s="424">
        <f>IF(OR(J$335&lt;$C342,J$335&lt;$H$2),0,MIN($E342-SUM($G342:I342),$F342))</f>
        <v>0</v>
      </c>
      <c r="K342" s="424">
        <f>IF(OR(K$335&lt;$C342,K$335&lt;$H$2),0,MIN($E342-SUM($G342:J342),$F342))</f>
        <v>0</v>
      </c>
      <c r="L342" s="424">
        <f>IF(OR(L$335&lt;$C342,L$335&lt;$H$2),0,MIN($E342-SUM($G342:K342),$F342))</f>
        <v>0</v>
      </c>
      <c r="M342" s="424">
        <f>IF(OR(M$335&lt;$C342,M$335&lt;$H$2),0,MIN($E342-SUM($G342:L342),$F342))</f>
        <v>0</v>
      </c>
      <c r="N342" s="424">
        <f>IF(OR(N$335&lt;$C342,N$335&lt;$H$2),0,MIN($E342-SUM($G342:M342),$F342))</f>
        <v>0</v>
      </c>
      <c r="O342" s="424">
        <f>IF(OR(O$335&lt;$C342,O$335&lt;$H$2),0,MIN($E342-SUM($G342:N342),$F342))</f>
        <v>0</v>
      </c>
      <c r="P342" s="424">
        <f>IF(OR(P$335&lt;$C342,P$335&lt;$H$2),0,MIN($E342-SUM($G342:O342),$F342))</f>
        <v>0</v>
      </c>
      <c r="Q342" s="424">
        <f>IF(OR(Q$335&lt;$C342,Q$335&lt;$H$2),0,MIN($E342-SUM($G342:P342),$F342))</f>
        <v>0</v>
      </c>
      <c r="R342" s="424">
        <f>IF(OR(R$335&lt;$C342,R$335&lt;$H$2),0,MIN($E342-SUM($G342:Q342),$F342))</f>
        <v>0</v>
      </c>
      <c r="S342" s="424">
        <f>IF(OR(S$335&lt;$C342,S$335&lt;$H$2),0,MIN($E342-SUM($G342:R342),$F342))</f>
        <v>0</v>
      </c>
      <c r="T342" s="424">
        <f>IF(OR(T$335&lt;$C342,T$335&lt;$H$2),0,MIN($E342-SUM($G342:S342),$F342))</f>
        <v>0</v>
      </c>
      <c r="U342" s="424">
        <f>IF(OR(U$335&lt;$C342,U$335&lt;$H$2),0,MIN($E342-SUM($G342:T342),$F342))</f>
        <v>0</v>
      </c>
      <c r="V342" s="424">
        <f>IF(OR(V$335&lt;$C342,V$335&lt;$H$2),0,MIN($E342-SUM($G342:U342),$F342))</f>
        <v>0</v>
      </c>
      <c r="W342" s="424">
        <f>IF(OR(W$335&lt;$C342,W$335&lt;$H$2),0,MIN($E342-SUM($G342:V342),$F342))</f>
        <v>0</v>
      </c>
      <c r="X342" s="424">
        <f>IF(OR(X$335&lt;$C342,X$335&lt;$H$2),0,MIN($E342-SUM($G342:W342),$F342))</f>
        <v>0</v>
      </c>
      <c r="Y342" s="424">
        <f>IF(OR(Y$335&lt;$C342,Y$335&lt;$H$2),0,MIN($E342-SUM($G342:X342),$F342))</f>
        <v>0</v>
      </c>
      <c r="Z342" s="424">
        <f>IF(OR(Z$335&lt;$C342,Z$335&lt;$H$2),0,MIN($E342-SUM($G342:Y342),$F342))</f>
        <v>0</v>
      </c>
      <c r="AA342" s="424">
        <f>IF(OR(AA$335&lt;$C342,AA$335&lt;$H$2),0,MIN($E342-SUM($G342:Z342),$F342))</f>
        <v>0</v>
      </c>
      <c r="AB342" s="424">
        <f>IF(OR(AB$335&lt;$C342,AB$335&lt;$H$2),0,MIN($E342-SUM($G342:AA342),$F342))</f>
        <v>0</v>
      </c>
      <c r="AC342" s="424">
        <f>IF(OR(AC$335&lt;$C342,AC$335&lt;$H$2),0,MIN($E342-SUM($G342:AB342),$F342))</f>
        <v>0</v>
      </c>
      <c r="AD342" s="424">
        <f>IF(OR(AD$335&lt;$C342,AD$335&lt;$H$2),0,MIN($E342-SUM($G342:AC342),$F342))</f>
        <v>0</v>
      </c>
    </row>
    <row r="343" spans="3:30">
      <c r="C343" s="201">
        <v>47853</v>
      </c>
      <c r="D343" s="94" t="s">
        <v>134</v>
      </c>
      <c r="E343" s="424">
        <f t="shared" si="139"/>
        <v>0</v>
      </c>
      <c r="F343" s="209">
        <f t="shared" si="140"/>
        <v>0</v>
      </c>
      <c r="H343" s="424">
        <f>IF(OR(H$335&lt;$C343,H$335&lt;$H$2),0,MIN($E343-SUM($G343:G343),$F343))</f>
        <v>0</v>
      </c>
      <c r="I343" s="424">
        <f>IF(OR(I$335&lt;$C343,I$335&lt;$H$2),0,MIN($E343-SUM($G343:H343),$F343))</f>
        <v>0</v>
      </c>
      <c r="J343" s="424">
        <f>IF(OR(J$335&lt;$C343,J$335&lt;$H$2),0,MIN($E343-SUM($G343:I343),$F343))</f>
        <v>0</v>
      </c>
      <c r="K343" s="424">
        <f>IF(OR(K$335&lt;$C343,K$335&lt;$H$2),0,MIN($E343-SUM($G343:J343),$F343))</f>
        <v>0</v>
      </c>
      <c r="L343" s="424">
        <f>IF(OR(L$335&lt;$C343,L$335&lt;$H$2),0,MIN($E343-SUM($G343:K343),$F343))</f>
        <v>0</v>
      </c>
      <c r="M343" s="424">
        <f>IF(OR(M$335&lt;$C343,M$335&lt;$H$2),0,MIN($E343-SUM($G343:L343),$F343))</f>
        <v>0</v>
      </c>
      <c r="N343" s="424">
        <f>IF(OR(N$335&lt;$C343,N$335&lt;$H$2),0,MIN($E343-SUM($G343:M343),$F343))</f>
        <v>0</v>
      </c>
      <c r="O343" s="424">
        <f>IF(OR(O$335&lt;$C343,O$335&lt;$H$2),0,MIN($E343-SUM($G343:N343),$F343))</f>
        <v>0</v>
      </c>
      <c r="P343" s="424">
        <f>IF(OR(P$335&lt;$C343,P$335&lt;$H$2),0,MIN($E343-SUM($G343:O343),$F343))</f>
        <v>0</v>
      </c>
      <c r="Q343" s="424">
        <f>IF(OR(Q$335&lt;$C343,Q$335&lt;$H$2),0,MIN($E343-SUM($G343:P343),$F343))</f>
        <v>0</v>
      </c>
      <c r="R343" s="424">
        <f>IF(OR(R$335&lt;$C343,R$335&lt;$H$2),0,MIN($E343-SUM($G343:Q343),$F343))</f>
        <v>0</v>
      </c>
      <c r="S343" s="424">
        <f>IF(OR(S$335&lt;$C343,S$335&lt;$H$2),0,MIN($E343-SUM($G343:R343),$F343))</f>
        <v>0</v>
      </c>
      <c r="T343" s="424">
        <f>IF(OR(T$335&lt;$C343,T$335&lt;$H$2),0,MIN($E343-SUM($G343:S343),$F343))</f>
        <v>0</v>
      </c>
      <c r="U343" s="424">
        <f>IF(OR(U$335&lt;$C343,U$335&lt;$H$2),0,MIN($E343-SUM($G343:T343),$F343))</f>
        <v>0</v>
      </c>
      <c r="V343" s="424">
        <f>IF(OR(V$335&lt;$C343,V$335&lt;$H$2),0,MIN($E343-SUM($G343:U343),$F343))</f>
        <v>0</v>
      </c>
      <c r="W343" s="424">
        <f>IF(OR(W$335&lt;$C343,W$335&lt;$H$2),0,MIN($E343-SUM($G343:V343),$F343))</f>
        <v>0</v>
      </c>
      <c r="X343" s="424">
        <f>IF(OR(X$335&lt;$C343,X$335&lt;$H$2),0,MIN($E343-SUM($G343:W343),$F343))</f>
        <v>0</v>
      </c>
      <c r="Y343" s="424">
        <f>IF(OR(Y$335&lt;$C343,Y$335&lt;$H$2),0,MIN($E343-SUM($G343:X343),$F343))</f>
        <v>0</v>
      </c>
      <c r="Z343" s="424">
        <f>IF(OR(Z$335&lt;$C343,Z$335&lt;$H$2),0,MIN($E343-SUM($G343:Y343),$F343))</f>
        <v>0</v>
      </c>
      <c r="AA343" s="424">
        <f>IF(OR(AA$335&lt;$C343,AA$335&lt;$H$2),0,MIN($E343-SUM($G343:Z343),$F343))</f>
        <v>0</v>
      </c>
      <c r="AB343" s="424">
        <f>IF(OR(AB$335&lt;$C343,AB$335&lt;$H$2),0,MIN($E343-SUM($G343:AA343),$F343))</f>
        <v>0</v>
      </c>
      <c r="AC343" s="424">
        <f>IF(OR(AC$335&lt;$C343,AC$335&lt;$H$2),0,MIN($E343-SUM($G343:AB343),$F343))</f>
        <v>0</v>
      </c>
      <c r="AD343" s="424">
        <f>IF(OR(AD$335&lt;$C343,AD$335&lt;$H$2),0,MIN($E343-SUM($G343:AC343),$F343))</f>
        <v>0</v>
      </c>
    </row>
    <row r="344" spans="3:30">
      <c r="C344" s="201">
        <v>48219</v>
      </c>
      <c r="D344" s="94" t="s">
        <v>134</v>
      </c>
      <c r="E344" s="424">
        <f t="shared" si="139"/>
        <v>0</v>
      </c>
      <c r="F344" s="209">
        <f t="shared" si="140"/>
        <v>0</v>
      </c>
      <c r="H344" s="424">
        <f>IF(OR(H$335&lt;$C344,H$335&lt;$H$2),0,MIN($E344-SUM($G344:G344),$F344))</f>
        <v>0</v>
      </c>
      <c r="I344" s="424">
        <f>IF(OR(I$335&lt;$C344,I$335&lt;$H$2),0,MIN($E344-SUM($G344:H344),$F344))</f>
        <v>0</v>
      </c>
      <c r="J344" s="424">
        <f>IF(OR(J$335&lt;$C344,J$335&lt;$H$2),0,MIN($E344-SUM($G344:I344),$F344))</f>
        <v>0</v>
      </c>
      <c r="K344" s="424">
        <f>IF(OR(K$335&lt;$C344,K$335&lt;$H$2),0,MIN($E344-SUM($G344:J344),$F344))</f>
        <v>0</v>
      </c>
      <c r="L344" s="424">
        <f>IF(OR(L$335&lt;$C344,L$335&lt;$H$2),0,MIN($E344-SUM($G344:K344),$F344))</f>
        <v>0</v>
      </c>
      <c r="M344" s="424">
        <f>IF(OR(M$335&lt;$C344,M$335&lt;$H$2),0,MIN($E344-SUM($G344:L344),$F344))</f>
        <v>0</v>
      </c>
      <c r="N344" s="424">
        <f>IF(OR(N$335&lt;$C344,N$335&lt;$H$2),0,MIN($E344-SUM($G344:M344),$F344))</f>
        <v>0</v>
      </c>
      <c r="O344" s="424">
        <f>IF(OR(O$335&lt;$C344,O$335&lt;$H$2),0,MIN($E344-SUM($G344:N344),$F344))</f>
        <v>0</v>
      </c>
      <c r="P344" s="424">
        <f>IF(OR(P$335&lt;$C344,P$335&lt;$H$2),0,MIN($E344-SUM($G344:O344),$F344))</f>
        <v>0</v>
      </c>
      <c r="Q344" s="424">
        <f>IF(OR(Q$335&lt;$C344,Q$335&lt;$H$2),0,MIN($E344-SUM($G344:P344),$F344))</f>
        <v>0</v>
      </c>
      <c r="R344" s="424">
        <f>IF(OR(R$335&lt;$C344,R$335&lt;$H$2),0,MIN($E344-SUM($G344:Q344),$F344))</f>
        <v>0</v>
      </c>
      <c r="S344" s="424">
        <f>IF(OR(S$335&lt;$C344,S$335&lt;$H$2),0,MIN($E344-SUM($G344:R344),$F344))</f>
        <v>0</v>
      </c>
      <c r="T344" s="424">
        <f>IF(OR(T$335&lt;$C344,T$335&lt;$H$2),0,MIN($E344-SUM($G344:S344),$F344))</f>
        <v>0</v>
      </c>
      <c r="U344" s="424">
        <f>IF(OR(U$335&lt;$C344,U$335&lt;$H$2),0,MIN($E344-SUM($G344:T344),$F344))</f>
        <v>0</v>
      </c>
      <c r="V344" s="424">
        <f>IF(OR(V$335&lt;$C344,V$335&lt;$H$2),0,MIN($E344-SUM($G344:U344),$F344))</f>
        <v>0</v>
      </c>
      <c r="W344" s="424">
        <f>IF(OR(W$335&lt;$C344,W$335&lt;$H$2),0,MIN($E344-SUM($G344:V344),$F344))</f>
        <v>0</v>
      </c>
      <c r="X344" s="424">
        <f>IF(OR(X$335&lt;$C344,X$335&lt;$H$2),0,MIN($E344-SUM($G344:W344),$F344))</f>
        <v>0</v>
      </c>
      <c r="Y344" s="424">
        <f>IF(OR(Y$335&lt;$C344,Y$335&lt;$H$2),0,MIN($E344-SUM($G344:X344),$F344))</f>
        <v>0</v>
      </c>
      <c r="Z344" s="424">
        <f>IF(OR(Z$335&lt;$C344,Z$335&lt;$H$2),0,MIN($E344-SUM($G344:Y344),$F344))</f>
        <v>0</v>
      </c>
      <c r="AA344" s="424">
        <f>IF(OR(AA$335&lt;$C344,AA$335&lt;$H$2),0,MIN($E344-SUM($G344:Z344),$F344))</f>
        <v>0</v>
      </c>
      <c r="AB344" s="424">
        <f>IF(OR(AB$335&lt;$C344,AB$335&lt;$H$2),0,MIN($E344-SUM($G344:AA344),$F344))</f>
        <v>0</v>
      </c>
      <c r="AC344" s="424">
        <f>IF(OR(AC$335&lt;$C344,AC$335&lt;$H$2),0,MIN($E344-SUM($G344:AB344),$F344))</f>
        <v>0</v>
      </c>
      <c r="AD344" s="424">
        <f>IF(OR(AD$335&lt;$C344,AD$335&lt;$H$2),0,MIN($E344-SUM($G344:AC344),$F344))</f>
        <v>0</v>
      </c>
    </row>
    <row r="345" spans="3:30">
      <c r="C345" s="201">
        <v>48585</v>
      </c>
      <c r="D345" s="94" t="s">
        <v>134</v>
      </c>
      <c r="E345" s="424">
        <f t="shared" si="139"/>
        <v>0</v>
      </c>
      <c r="F345" s="209">
        <f t="shared" si="140"/>
        <v>0</v>
      </c>
      <c r="H345" s="424">
        <f>IF(OR(H$335&lt;$C345,H$335&lt;$H$2),0,MIN($E345-SUM($G345:G345),$F345))</f>
        <v>0</v>
      </c>
      <c r="I345" s="424">
        <f>IF(OR(I$335&lt;$C345,I$335&lt;$H$2),0,MIN($E345-SUM($G345:H345),$F345))</f>
        <v>0</v>
      </c>
      <c r="J345" s="424">
        <f>IF(OR(J$335&lt;$C345,J$335&lt;$H$2),0,MIN($E345-SUM($G345:I345),$F345))</f>
        <v>0</v>
      </c>
      <c r="K345" s="424">
        <f>IF(OR(K$335&lt;$C345,K$335&lt;$H$2),0,MIN($E345-SUM($G345:J345),$F345))</f>
        <v>0</v>
      </c>
      <c r="L345" s="424">
        <f>IF(OR(L$335&lt;$C345,L$335&lt;$H$2),0,MIN($E345-SUM($G345:K345),$F345))</f>
        <v>0</v>
      </c>
      <c r="M345" s="424">
        <f>IF(OR(M$335&lt;$C345,M$335&lt;$H$2),0,MIN($E345-SUM($G345:L345),$F345))</f>
        <v>0</v>
      </c>
      <c r="N345" s="424">
        <f>IF(OR(N$335&lt;$C345,N$335&lt;$H$2),0,MIN($E345-SUM($G345:M345),$F345))</f>
        <v>0</v>
      </c>
      <c r="O345" s="424">
        <f>IF(OR(O$335&lt;$C345,O$335&lt;$H$2),0,MIN($E345-SUM($G345:N345),$F345))</f>
        <v>0</v>
      </c>
      <c r="P345" s="424">
        <f>IF(OR(P$335&lt;$C345,P$335&lt;$H$2),0,MIN($E345-SUM($G345:O345),$F345))</f>
        <v>0</v>
      </c>
      <c r="Q345" s="424">
        <f>IF(OR(Q$335&lt;$C345,Q$335&lt;$H$2),0,MIN($E345-SUM($G345:P345),$F345))</f>
        <v>0</v>
      </c>
      <c r="R345" s="424">
        <f>IF(OR(R$335&lt;$C345,R$335&lt;$H$2),0,MIN($E345-SUM($G345:Q345),$F345))</f>
        <v>0</v>
      </c>
      <c r="S345" s="424">
        <f>IF(OR(S$335&lt;$C345,S$335&lt;$H$2),0,MIN($E345-SUM($G345:R345),$F345))</f>
        <v>0</v>
      </c>
      <c r="T345" s="424">
        <f>IF(OR(T$335&lt;$C345,T$335&lt;$H$2),0,MIN($E345-SUM($G345:S345),$F345))</f>
        <v>0</v>
      </c>
      <c r="U345" s="424">
        <f>IF(OR(U$335&lt;$C345,U$335&lt;$H$2),0,MIN($E345-SUM($G345:T345),$F345))</f>
        <v>0</v>
      </c>
      <c r="V345" s="424">
        <f>IF(OR(V$335&lt;$C345,V$335&lt;$H$2),0,MIN($E345-SUM($G345:U345),$F345))</f>
        <v>0</v>
      </c>
      <c r="W345" s="424">
        <f>IF(OR(W$335&lt;$C345,W$335&lt;$H$2),0,MIN($E345-SUM($G345:V345),$F345))</f>
        <v>0</v>
      </c>
      <c r="X345" s="424">
        <f>IF(OR(X$335&lt;$C345,X$335&lt;$H$2),0,MIN($E345-SUM($G345:W345),$F345))</f>
        <v>0</v>
      </c>
      <c r="Y345" s="424">
        <f>IF(OR(Y$335&lt;$C345,Y$335&lt;$H$2),0,MIN($E345-SUM($G345:X345),$F345))</f>
        <v>0</v>
      </c>
      <c r="Z345" s="424">
        <f>IF(OR(Z$335&lt;$C345,Z$335&lt;$H$2),0,MIN($E345-SUM($G345:Y345),$F345))</f>
        <v>0</v>
      </c>
      <c r="AA345" s="424">
        <f>IF(OR(AA$335&lt;$C345,AA$335&lt;$H$2),0,MIN($E345-SUM($G345:Z345),$F345))</f>
        <v>0</v>
      </c>
      <c r="AB345" s="424">
        <f>IF(OR(AB$335&lt;$C345,AB$335&lt;$H$2),0,MIN($E345-SUM($G345:AA345),$F345))</f>
        <v>0</v>
      </c>
      <c r="AC345" s="424">
        <f>IF(OR(AC$335&lt;$C345,AC$335&lt;$H$2),0,MIN($E345-SUM($G345:AB345),$F345))</f>
        <v>0</v>
      </c>
      <c r="AD345" s="424">
        <f>IF(OR(AD$335&lt;$C345,AD$335&lt;$H$2),0,MIN($E345-SUM($G345:AC345),$F345))</f>
        <v>0</v>
      </c>
    </row>
    <row r="346" spans="3:30">
      <c r="C346" s="201">
        <v>48951</v>
      </c>
      <c r="D346" s="94" t="s">
        <v>134</v>
      </c>
      <c r="E346" s="424">
        <f t="shared" si="139"/>
        <v>0</v>
      </c>
      <c r="F346" s="209">
        <f t="shared" si="140"/>
        <v>0</v>
      </c>
      <c r="H346" s="424">
        <f>IF(OR(H$335&lt;$C346,H$335&lt;$H$2),0,MIN($E346-SUM($G346:G346),$F346))</f>
        <v>0</v>
      </c>
      <c r="I346" s="424">
        <f>IF(OR(I$335&lt;$C346,I$335&lt;$H$2),0,MIN($E346-SUM($G346:H346),$F346))</f>
        <v>0</v>
      </c>
      <c r="J346" s="424">
        <f>IF(OR(J$335&lt;$C346,J$335&lt;$H$2),0,MIN($E346-SUM($G346:I346),$F346))</f>
        <v>0</v>
      </c>
      <c r="K346" s="424">
        <f>IF(OR(K$335&lt;$C346,K$335&lt;$H$2),0,MIN($E346-SUM($G346:J346),$F346))</f>
        <v>0</v>
      </c>
      <c r="L346" s="424">
        <f>IF(OR(L$335&lt;$C346,L$335&lt;$H$2),0,MIN($E346-SUM($G346:K346),$F346))</f>
        <v>0</v>
      </c>
      <c r="M346" s="424">
        <f>IF(OR(M$335&lt;$C346,M$335&lt;$H$2),0,MIN($E346-SUM($G346:L346),$F346))</f>
        <v>0</v>
      </c>
      <c r="N346" s="424">
        <f>IF(OR(N$335&lt;$C346,N$335&lt;$H$2),0,MIN($E346-SUM($G346:M346),$F346))</f>
        <v>0</v>
      </c>
      <c r="O346" s="424">
        <f>IF(OR(O$335&lt;$C346,O$335&lt;$H$2),0,MIN($E346-SUM($G346:N346),$F346))</f>
        <v>0</v>
      </c>
      <c r="P346" s="424">
        <f>IF(OR(P$335&lt;$C346,P$335&lt;$H$2),0,MIN($E346-SUM($G346:O346),$F346))</f>
        <v>0</v>
      </c>
      <c r="Q346" s="424">
        <f>IF(OR(Q$335&lt;$C346,Q$335&lt;$H$2),0,MIN($E346-SUM($G346:P346),$F346))</f>
        <v>0</v>
      </c>
      <c r="R346" s="424">
        <f>IF(OR(R$335&lt;$C346,R$335&lt;$H$2),0,MIN($E346-SUM($G346:Q346),$F346))</f>
        <v>0</v>
      </c>
      <c r="S346" s="424">
        <f>IF(OR(S$335&lt;$C346,S$335&lt;$H$2),0,MIN($E346-SUM($G346:R346),$F346))</f>
        <v>0</v>
      </c>
      <c r="T346" s="424">
        <f>IF(OR(T$335&lt;$C346,T$335&lt;$H$2),0,MIN($E346-SUM($G346:S346),$F346))</f>
        <v>0</v>
      </c>
      <c r="U346" s="424">
        <f>IF(OR(U$335&lt;$C346,U$335&lt;$H$2),0,MIN($E346-SUM($G346:T346),$F346))</f>
        <v>0</v>
      </c>
      <c r="V346" s="424">
        <f>IF(OR(V$335&lt;$C346,V$335&lt;$H$2),0,MIN($E346-SUM($G346:U346),$F346))</f>
        <v>0</v>
      </c>
      <c r="W346" s="424">
        <f>IF(OR(W$335&lt;$C346,W$335&lt;$H$2),0,MIN($E346-SUM($G346:V346),$F346))</f>
        <v>0</v>
      </c>
      <c r="X346" s="424">
        <f>IF(OR(X$335&lt;$C346,X$335&lt;$H$2),0,MIN($E346-SUM($G346:W346),$F346))</f>
        <v>0</v>
      </c>
      <c r="Y346" s="424">
        <f>IF(OR(Y$335&lt;$C346,Y$335&lt;$H$2),0,MIN($E346-SUM($G346:X346),$F346))</f>
        <v>0</v>
      </c>
      <c r="Z346" s="424">
        <f>IF(OR(Z$335&lt;$C346,Z$335&lt;$H$2),0,MIN($E346-SUM($G346:Y346),$F346))</f>
        <v>0</v>
      </c>
      <c r="AA346" s="424">
        <f>IF(OR(AA$335&lt;$C346,AA$335&lt;$H$2),0,MIN($E346-SUM($G346:Z346),$F346))</f>
        <v>0</v>
      </c>
      <c r="AB346" s="424">
        <f>IF(OR(AB$335&lt;$C346,AB$335&lt;$H$2),0,MIN($E346-SUM($G346:AA346),$F346))</f>
        <v>0</v>
      </c>
      <c r="AC346" s="424">
        <f>IF(OR(AC$335&lt;$C346,AC$335&lt;$H$2),0,MIN($E346-SUM($G346:AB346),$F346))</f>
        <v>0</v>
      </c>
      <c r="AD346" s="424">
        <f>IF(OR(AD$335&lt;$C346,AD$335&lt;$H$2),0,MIN($E346-SUM($G346:AC346),$F346))</f>
        <v>0</v>
      </c>
    </row>
    <row r="347" spans="3:30">
      <c r="C347" s="201">
        <v>49317</v>
      </c>
      <c r="D347" s="94" t="s">
        <v>134</v>
      </c>
      <c r="E347" s="424">
        <f t="shared" si="139"/>
        <v>0</v>
      </c>
      <c r="F347" s="209">
        <f t="shared" si="140"/>
        <v>0</v>
      </c>
      <c r="H347" s="424">
        <f>IF(OR(H$335&lt;$C347,H$335&lt;$H$2),0,MIN($E347-SUM($G347:G347),$F347))</f>
        <v>0</v>
      </c>
      <c r="I347" s="424">
        <f>IF(OR(I$335&lt;$C347,I$335&lt;$H$2),0,MIN($E347-SUM($G347:H347),$F347))</f>
        <v>0</v>
      </c>
      <c r="J347" s="424">
        <f>IF(OR(J$335&lt;$C347,J$335&lt;$H$2),0,MIN($E347-SUM($G347:I347),$F347))</f>
        <v>0</v>
      </c>
      <c r="K347" s="424">
        <f>IF(OR(K$335&lt;$C347,K$335&lt;$H$2),0,MIN($E347-SUM($G347:J347),$F347))</f>
        <v>0</v>
      </c>
      <c r="L347" s="424">
        <f>IF(OR(L$335&lt;$C347,L$335&lt;$H$2),0,MIN($E347-SUM($G347:K347),$F347))</f>
        <v>0</v>
      </c>
      <c r="M347" s="424">
        <f>IF(OR(M$335&lt;$C347,M$335&lt;$H$2),0,MIN($E347-SUM($G347:L347),$F347))</f>
        <v>0</v>
      </c>
      <c r="N347" s="424">
        <f>IF(OR(N$335&lt;$C347,N$335&lt;$H$2),0,MIN($E347-SUM($G347:M347),$F347))</f>
        <v>0</v>
      </c>
      <c r="O347" s="424">
        <f>IF(OR(O$335&lt;$C347,O$335&lt;$H$2),0,MIN($E347-SUM($G347:N347),$F347))</f>
        <v>0</v>
      </c>
      <c r="P347" s="424">
        <f>IF(OR(P$335&lt;$C347,P$335&lt;$H$2),0,MIN($E347-SUM($G347:O347),$F347))</f>
        <v>0</v>
      </c>
      <c r="Q347" s="424">
        <f>IF(OR(Q$335&lt;$C347,Q$335&lt;$H$2),0,MIN($E347-SUM($G347:P347),$F347))</f>
        <v>0</v>
      </c>
      <c r="R347" s="424">
        <f>IF(OR(R$335&lt;$C347,R$335&lt;$H$2),0,MIN($E347-SUM($G347:Q347),$F347))</f>
        <v>0</v>
      </c>
      <c r="S347" s="424">
        <f>IF(OR(S$335&lt;$C347,S$335&lt;$H$2),0,MIN($E347-SUM($G347:R347),$F347))</f>
        <v>0</v>
      </c>
      <c r="T347" s="424">
        <f>IF(OR(T$335&lt;$C347,T$335&lt;$H$2),0,MIN($E347-SUM($G347:S347),$F347))</f>
        <v>0</v>
      </c>
      <c r="U347" s="424">
        <f>IF(OR(U$335&lt;$C347,U$335&lt;$H$2),0,MIN($E347-SUM($G347:T347),$F347))</f>
        <v>0</v>
      </c>
      <c r="V347" s="424">
        <f>IF(OR(V$335&lt;$C347,V$335&lt;$H$2),0,MIN($E347-SUM($G347:U347),$F347))</f>
        <v>0</v>
      </c>
      <c r="W347" s="424">
        <f>IF(OR(W$335&lt;$C347,W$335&lt;$H$2),0,MIN($E347-SUM($G347:V347),$F347))</f>
        <v>0</v>
      </c>
      <c r="X347" s="424">
        <f>IF(OR(X$335&lt;$C347,X$335&lt;$H$2),0,MIN($E347-SUM($G347:W347),$F347))</f>
        <v>0</v>
      </c>
      <c r="Y347" s="424">
        <f>IF(OR(Y$335&lt;$C347,Y$335&lt;$H$2),0,MIN($E347-SUM($G347:X347),$F347))</f>
        <v>0</v>
      </c>
      <c r="Z347" s="424">
        <f>IF(OR(Z$335&lt;$C347,Z$335&lt;$H$2),0,MIN($E347-SUM($G347:Y347),$F347))</f>
        <v>0</v>
      </c>
      <c r="AA347" s="424">
        <f>IF(OR(AA$335&lt;$C347,AA$335&lt;$H$2),0,MIN($E347-SUM($G347:Z347),$F347))</f>
        <v>0</v>
      </c>
      <c r="AB347" s="424">
        <f>IF(OR(AB$335&lt;$C347,AB$335&lt;$H$2),0,MIN($E347-SUM($G347:AA347),$F347))</f>
        <v>0</v>
      </c>
      <c r="AC347" s="424">
        <f>IF(OR(AC$335&lt;$C347,AC$335&lt;$H$2),0,MIN($E347-SUM($G347:AB347),$F347))</f>
        <v>0</v>
      </c>
      <c r="AD347" s="424">
        <f>IF(OR(AD$335&lt;$C347,AD$335&lt;$H$2),0,MIN($E347-SUM($G347:AC347),$F347))</f>
        <v>0</v>
      </c>
    </row>
    <row r="348" spans="3:30">
      <c r="C348" s="201">
        <v>49683</v>
      </c>
      <c r="D348" s="94" t="s">
        <v>134</v>
      </c>
      <c r="E348" s="424">
        <f t="shared" si="139"/>
        <v>0</v>
      </c>
      <c r="F348" s="209">
        <f t="shared" si="140"/>
        <v>0</v>
      </c>
      <c r="H348" s="424">
        <f>IF(OR(H$335&lt;$C348,H$335&lt;$H$2),0,MIN($E348-SUM($G348:G348),$F348))</f>
        <v>0</v>
      </c>
      <c r="I348" s="424">
        <f>IF(OR(I$335&lt;$C348,I$335&lt;$H$2),0,MIN($E348-SUM($G348:H348),$F348))</f>
        <v>0</v>
      </c>
      <c r="J348" s="424">
        <f>IF(OR(J$335&lt;$C348,J$335&lt;$H$2),0,MIN($E348-SUM($G348:I348),$F348))</f>
        <v>0</v>
      </c>
      <c r="K348" s="424">
        <f>IF(OR(K$335&lt;$C348,K$335&lt;$H$2),0,MIN($E348-SUM($G348:J348),$F348))</f>
        <v>0</v>
      </c>
      <c r="L348" s="424">
        <f>IF(OR(L$335&lt;$C348,L$335&lt;$H$2),0,MIN($E348-SUM($G348:K348),$F348))</f>
        <v>0</v>
      </c>
      <c r="M348" s="424">
        <f>IF(OR(M$335&lt;$C348,M$335&lt;$H$2),0,MIN($E348-SUM($G348:L348),$F348))</f>
        <v>0</v>
      </c>
      <c r="N348" s="424">
        <f>IF(OR(N$335&lt;$C348,N$335&lt;$H$2),0,MIN($E348-SUM($G348:M348),$F348))</f>
        <v>0</v>
      </c>
      <c r="O348" s="424">
        <f>IF(OR(O$335&lt;$C348,O$335&lt;$H$2),0,MIN($E348-SUM($G348:N348),$F348))</f>
        <v>0</v>
      </c>
      <c r="P348" s="424">
        <f>IF(OR(P$335&lt;$C348,P$335&lt;$H$2),0,MIN($E348-SUM($G348:O348),$F348))</f>
        <v>0</v>
      </c>
      <c r="Q348" s="424">
        <f>IF(OR(Q$335&lt;$C348,Q$335&lt;$H$2),0,MIN($E348-SUM($G348:P348),$F348))</f>
        <v>0</v>
      </c>
      <c r="R348" s="424">
        <f>IF(OR(R$335&lt;$C348,R$335&lt;$H$2),0,MIN($E348-SUM($G348:Q348),$F348))</f>
        <v>0</v>
      </c>
      <c r="S348" s="424">
        <f>IF(OR(S$335&lt;$C348,S$335&lt;$H$2),0,MIN($E348-SUM($G348:R348),$F348))</f>
        <v>0</v>
      </c>
      <c r="T348" s="424">
        <f>IF(OR(T$335&lt;$C348,T$335&lt;$H$2),0,MIN($E348-SUM($G348:S348),$F348))</f>
        <v>0</v>
      </c>
      <c r="U348" s="424">
        <f>IF(OR(U$335&lt;$C348,U$335&lt;$H$2),0,MIN($E348-SUM($G348:T348),$F348))</f>
        <v>0</v>
      </c>
      <c r="V348" s="424">
        <f>IF(OR(V$335&lt;$C348,V$335&lt;$H$2),0,MIN($E348-SUM($G348:U348),$F348))</f>
        <v>0</v>
      </c>
      <c r="W348" s="424">
        <f>IF(OR(W$335&lt;$C348,W$335&lt;$H$2),0,MIN($E348-SUM($G348:V348),$F348))</f>
        <v>0</v>
      </c>
      <c r="X348" s="424">
        <f>IF(OR(X$335&lt;$C348,X$335&lt;$H$2),0,MIN($E348-SUM($G348:W348),$F348))</f>
        <v>0</v>
      </c>
      <c r="Y348" s="424">
        <f>IF(OR(Y$335&lt;$C348,Y$335&lt;$H$2),0,MIN($E348-SUM($G348:X348),$F348))</f>
        <v>0</v>
      </c>
      <c r="Z348" s="424">
        <f>IF(OR(Z$335&lt;$C348,Z$335&lt;$H$2),0,MIN($E348-SUM($G348:Y348),$F348))</f>
        <v>0</v>
      </c>
      <c r="AA348" s="424">
        <f>IF(OR(AA$335&lt;$C348,AA$335&lt;$H$2),0,MIN($E348-SUM($G348:Z348),$F348))</f>
        <v>0</v>
      </c>
      <c r="AB348" s="424">
        <f>IF(OR(AB$335&lt;$C348,AB$335&lt;$H$2),0,MIN($E348-SUM($G348:AA348),$F348))</f>
        <v>0</v>
      </c>
      <c r="AC348" s="424">
        <f>IF(OR(AC$335&lt;$C348,AC$335&lt;$H$2),0,MIN($E348-SUM($G348:AB348),$F348))</f>
        <v>0</v>
      </c>
      <c r="AD348" s="424">
        <f>IF(OR(AD$335&lt;$C348,AD$335&lt;$H$2),0,MIN($E348-SUM($G348:AC348),$F348))</f>
        <v>0</v>
      </c>
    </row>
    <row r="349" spans="3:30">
      <c r="C349" s="201">
        <v>50049</v>
      </c>
      <c r="D349" s="94" t="s">
        <v>134</v>
      </c>
      <c r="E349" s="424">
        <f t="shared" si="139"/>
        <v>0</v>
      </c>
      <c r="F349" s="209">
        <f t="shared" si="140"/>
        <v>0</v>
      </c>
      <c r="H349" s="424">
        <f>IF(OR(H$335&lt;$C349,H$335&lt;$H$2),0,MIN($E349-SUM($G349:G349),$F349))</f>
        <v>0</v>
      </c>
      <c r="I349" s="424">
        <f>IF(OR(I$335&lt;$C349,I$335&lt;$H$2),0,MIN($E349-SUM($G349:H349),$F349))</f>
        <v>0</v>
      </c>
      <c r="J349" s="424">
        <f>IF(OR(J$335&lt;$C349,J$335&lt;$H$2),0,MIN($E349-SUM($G349:I349),$F349))</f>
        <v>0</v>
      </c>
      <c r="K349" s="424">
        <f>IF(OR(K$335&lt;$C349,K$335&lt;$H$2),0,MIN($E349-SUM($G349:J349),$F349))</f>
        <v>0</v>
      </c>
      <c r="L349" s="424">
        <f>IF(OR(L$335&lt;$C349,L$335&lt;$H$2),0,MIN($E349-SUM($G349:K349),$F349))</f>
        <v>0</v>
      </c>
      <c r="M349" s="424">
        <f>IF(OR(M$335&lt;$C349,M$335&lt;$H$2),0,MIN($E349-SUM($G349:L349),$F349))</f>
        <v>0</v>
      </c>
      <c r="N349" s="424">
        <f>IF(OR(N$335&lt;$C349,N$335&lt;$H$2),0,MIN($E349-SUM($G349:M349),$F349))</f>
        <v>0</v>
      </c>
      <c r="O349" s="424">
        <f>IF(OR(O$335&lt;$C349,O$335&lt;$H$2),0,MIN($E349-SUM($G349:N349),$F349))</f>
        <v>0</v>
      </c>
      <c r="P349" s="424">
        <f>IF(OR(P$335&lt;$C349,P$335&lt;$H$2),0,MIN($E349-SUM($G349:O349),$F349))</f>
        <v>0</v>
      </c>
      <c r="Q349" s="424">
        <f>IF(OR(Q$335&lt;$C349,Q$335&lt;$H$2),0,MIN($E349-SUM($G349:P349),$F349))</f>
        <v>0</v>
      </c>
      <c r="R349" s="424">
        <f>IF(OR(R$335&lt;$C349,R$335&lt;$H$2),0,MIN($E349-SUM($G349:Q349),$F349))</f>
        <v>0</v>
      </c>
      <c r="S349" s="424">
        <f>IF(OR(S$335&lt;$C349,S$335&lt;$H$2),0,MIN($E349-SUM($G349:R349),$F349))</f>
        <v>0</v>
      </c>
      <c r="T349" s="424">
        <f>IF(OR(T$335&lt;$C349,T$335&lt;$H$2),0,MIN($E349-SUM($G349:S349),$F349))</f>
        <v>0</v>
      </c>
      <c r="U349" s="424">
        <f>IF(OR(U$335&lt;$C349,U$335&lt;$H$2),0,MIN($E349-SUM($G349:T349),$F349))</f>
        <v>0</v>
      </c>
      <c r="V349" s="424">
        <f>IF(OR(V$335&lt;$C349,V$335&lt;$H$2),0,MIN($E349-SUM($G349:U349),$F349))</f>
        <v>0</v>
      </c>
      <c r="W349" s="424">
        <f>IF(OR(W$335&lt;$C349,W$335&lt;$H$2),0,MIN($E349-SUM($G349:V349),$F349))</f>
        <v>0</v>
      </c>
      <c r="X349" s="424">
        <f>IF(OR(X$335&lt;$C349,X$335&lt;$H$2),0,MIN($E349-SUM($G349:W349),$F349))</f>
        <v>0</v>
      </c>
      <c r="Y349" s="424">
        <f>IF(OR(Y$335&lt;$C349,Y$335&lt;$H$2),0,MIN($E349-SUM($G349:X349),$F349))</f>
        <v>0</v>
      </c>
      <c r="Z349" s="424">
        <f>IF(OR(Z$335&lt;$C349,Z$335&lt;$H$2),0,MIN($E349-SUM($G349:Y349),$F349))</f>
        <v>0</v>
      </c>
      <c r="AA349" s="424">
        <f>IF(OR(AA$335&lt;$C349,AA$335&lt;$H$2),0,MIN($E349-SUM($G349:Z349),$F349))</f>
        <v>0</v>
      </c>
      <c r="AB349" s="424">
        <f>IF(OR(AB$335&lt;$C349,AB$335&lt;$H$2),0,MIN($E349-SUM($G349:AA349),$F349))</f>
        <v>0</v>
      </c>
      <c r="AC349" s="424">
        <f>IF(OR(AC$335&lt;$C349,AC$335&lt;$H$2),0,MIN($E349-SUM($G349:AB349),$F349))</f>
        <v>0</v>
      </c>
      <c r="AD349" s="424">
        <f>IF(OR(AD$335&lt;$C349,AD$335&lt;$H$2),0,MIN($E349-SUM($G349:AC349),$F349))</f>
        <v>0</v>
      </c>
    </row>
    <row r="350" spans="3:30">
      <c r="C350" s="201">
        <v>50415</v>
      </c>
      <c r="D350" s="94" t="s">
        <v>134</v>
      </c>
      <c r="E350" s="424">
        <f t="shared" si="139"/>
        <v>0</v>
      </c>
      <c r="F350" s="209">
        <f t="shared" si="140"/>
        <v>0</v>
      </c>
      <c r="H350" s="424">
        <f>IF(OR(H$335&lt;$C350,H$335&lt;$H$2),0,MIN($E350-SUM($G350:G350),$F350))</f>
        <v>0</v>
      </c>
      <c r="I350" s="424">
        <f>IF(OR(I$335&lt;$C350,I$335&lt;$H$2),0,MIN($E350-SUM($G350:H350),$F350))</f>
        <v>0</v>
      </c>
      <c r="J350" s="424">
        <f>IF(OR(J$335&lt;$C350,J$335&lt;$H$2),0,MIN($E350-SUM($G350:I350),$F350))</f>
        <v>0</v>
      </c>
      <c r="K350" s="424">
        <f>IF(OR(K$335&lt;$C350,K$335&lt;$H$2),0,MIN($E350-SUM($G350:J350),$F350))</f>
        <v>0</v>
      </c>
      <c r="L350" s="424">
        <f>IF(OR(L$335&lt;$C350,L$335&lt;$H$2),0,MIN($E350-SUM($G350:K350),$F350))</f>
        <v>0</v>
      </c>
      <c r="M350" s="424">
        <f>IF(OR(M$335&lt;$C350,M$335&lt;$H$2),0,MIN($E350-SUM($G350:L350),$F350))</f>
        <v>0</v>
      </c>
      <c r="N350" s="424">
        <f>IF(OR(N$335&lt;$C350,N$335&lt;$H$2),0,MIN($E350-SUM($G350:M350),$F350))</f>
        <v>0</v>
      </c>
      <c r="O350" s="424">
        <f>IF(OR(O$335&lt;$C350,O$335&lt;$H$2),0,MIN($E350-SUM($G350:N350),$F350))</f>
        <v>0</v>
      </c>
      <c r="P350" s="424">
        <f>IF(OR(P$335&lt;$C350,P$335&lt;$H$2),0,MIN($E350-SUM($G350:O350),$F350))</f>
        <v>0</v>
      </c>
      <c r="Q350" s="424">
        <f>IF(OR(Q$335&lt;$C350,Q$335&lt;$H$2),0,MIN($E350-SUM($G350:P350),$F350))</f>
        <v>0</v>
      </c>
      <c r="R350" s="424">
        <f>IF(OR(R$335&lt;$C350,R$335&lt;$H$2),0,MIN($E350-SUM($G350:Q350),$F350))</f>
        <v>0</v>
      </c>
      <c r="S350" s="424">
        <f>IF(OR(S$335&lt;$C350,S$335&lt;$H$2),0,MIN($E350-SUM($G350:R350),$F350))</f>
        <v>0</v>
      </c>
      <c r="T350" s="424">
        <f>IF(OR(T$335&lt;$C350,T$335&lt;$H$2),0,MIN($E350-SUM($G350:S350),$F350))</f>
        <v>0</v>
      </c>
      <c r="U350" s="424">
        <f>IF(OR(U$335&lt;$C350,U$335&lt;$H$2),0,MIN($E350-SUM($G350:T350),$F350))</f>
        <v>0</v>
      </c>
      <c r="V350" s="424">
        <f>IF(OR(V$335&lt;$C350,V$335&lt;$H$2),0,MIN($E350-SUM($G350:U350),$F350))</f>
        <v>0</v>
      </c>
      <c r="W350" s="424">
        <f>IF(OR(W$335&lt;$C350,W$335&lt;$H$2),0,MIN($E350-SUM($G350:V350),$F350))</f>
        <v>0</v>
      </c>
      <c r="X350" s="424">
        <f>IF(OR(X$335&lt;$C350,X$335&lt;$H$2),0,MIN($E350-SUM($G350:W350),$F350))</f>
        <v>0</v>
      </c>
      <c r="Y350" s="424">
        <f>IF(OR(Y$335&lt;$C350,Y$335&lt;$H$2),0,MIN($E350-SUM($G350:X350),$F350))</f>
        <v>0</v>
      </c>
      <c r="Z350" s="424">
        <f>IF(OR(Z$335&lt;$C350,Z$335&lt;$H$2),0,MIN($E350-SUM($G350:Y350),$F350))</f>
        <v>0</v>
      </c>
      <c r="AA350" s="424">
        <f>IF(OR(AA$335&lt;$C350,AA$335&lt;$H$2),0,MIN($E350-SUM($G350:Z350),$F350))</f>
        <v>0</v>
      </c>
      <c r="AB350" s="424">
        <f>IF(OR(AB$335&lt;$C350,AB$335&lt;$H$2),0,MIN($E350-SUM($G350:AA350),$F350))</f>
        <v>0</v>
      </c>
      <c r="AC350" s="424">
        <f>IF(OR(AC$335&lt;$C350,AC$335&lt;$H$2),0,MIN($E350-SUM($G350:AB350),$F350))</f>
        <v>0</v>
      </c>
      <c r="AD350" s="424">
        <f>IF(OR(AD$335&lt;$C350,AD$335&lt;$H$2),0,MIN($E350-SUM($G350:AC350),$F350))</f>
        <v>0</v>
      </c>
    </row>
    <row r="351" spans="3:30">
      <c r="C351" s="201">
        <v>50781</v>
      </c>
      <c r="D351" s="94" t="s">
        <v>134</v>
      </c>
      <c r="E351" s="424">
        <f t="shared" si="139"/>
        <v>6.6850000000000005</v>
      </c>
      <c r="F351" s="209">
        <f t="shared" si="140"/>
        <v>0.21191450000000001</v>
      </c>
      <c r="H351" s="424">
        <f>IF(OR(H$335&lt;$C351,H$335&lt;$H$2),0,MIN($E351-SUM($G351:G351),$F351))</f>
        <v>0</v>
      </c>
      <c r="I351" s="424">
        <f>IF(OR(I$335&lt;$C351,I$335&lt;$H$2),0,MIN($E351-SUM($G351:H351),$F351))</f>
        <v>0</v>
      </c>
      <c r="J351" s="424">
        <f>IF(OR(J$335&lt;$C351,J$335&lt;$H$2),0,MIN($E351-SUM($G351:I351),$F351))</f>
        <v>0</v>
      </c>
      <c r="K351" s="424">
        <f>IF(OR(K$335&lt;$C351,K$335&lt;$H$2),0,MIN($E351-SUM($G351:J351),$F351))</f>
        <v>0</v>
      </c>
      <c r="L351" s="424">
        <f>IF(OR(L$335&lt;$C351,L$335&lt;$H$2),0,MIN($E351-SUM($G351:K351),$F351))</f>
        <v>0</v>
      </c>
      <c r="M351" s="424">
        <f>IF(OR(M$335&lt;$C351,M$335&lt;$H$2),0,MIN($E351-SUM($G351:L351),$F351))</f>
        <v>0</v>
      </c>
      <c r="N351" s="424">
        <f>IF(OR(N$335&lt;$C351,N$335&lt;$H$2),0,MIN($E351-SUM($G351:M351),$F351))</f>
        <v>0</v>
      </c>
      <c r="O351" s="424">
        <f>IF(OR(O$335&lt;$C351,O$335&lt;$H$2),0,MIN($E351-SUM($G351:N351),$F351))</f>
        <v>0</v>
      </c>
      <c r="P351" s="424">
        <f>IF(OR(P$335&lt;$C351,P$335&lt;$H$2),0,MIN($E351-SUM($G351:O351),$F351))</f>
        <v>0</v>
      </c>
      <c r="Q351" s="424">
        <f>IF(OR(Q$335&lt;$C351,Q$335&lt;$H$2),0,MIN($E351-SUM($G351:P351),$F351))</f>
        <v>0</v>
      </c>
      <c r="R351" s="424">
        <f>IF(OR(R$335&lt;$C351,R$335&lt;$H$2),0,MIN($E351-SUM($G351:Q351),$F351))</f>
        <v>0</v>
      </c>
      <c r="S351" s="424">
        <f>IF(OR(S$335&lt;$C351,S$335&lt;$H$2),0,MIN($E351-SUM($G351:R351),$F351))</f>
        <v>0</v>
      </c>
      <c r="T351" s="424">
        <f>IF(OR(T$335&lt;$C351,T$335&lt;$H$2),0,MIN($E351-SUM($G351:S351),$F351))</f>
        <v>0</v>
      </c>
      <c r="U351" s="424">
        <f>IF(OR(U$335&lt;$C351,U$335&lt;$H$2),0,MIN($E351-SUM($G351:T351),$F351))</f>
        <v>0.21191450000000001</v>
      </c>
      <c r="V351" s="424">
        <f>IF(OR(V$335&lt;$C351,V$335&lt;$H$2),0,MIN($E351-SUM($G351:U351),$F351))</f>
        <v>0.21191450000000001</v>
      </c>
      <c r="W351" s="424">
        <f>IF(OR(W$335&lt;$C351,W$335&lt;$H$2),0,MIN($E351-SUM($G351:V351),$F351))</f>
        <v>0.21191450000000001</v>
      </c>
      <c r="X351" s="424">
        <f>IF(OR(X$335&lt;$C351,X$335&lt;$H$2),0,MIN($E351-SUM($G351:W351),$F351))</f>
        <v>0.21191450000000001</v>
      </c>
      <c r="Y351" s="424">
        <f>IF(OR(Y$335&lt;$C351,Y$335&lt;$H$2),0,MIN($E351-SUM($G351:X351),$F351))</f>
        <v>0.21191450000000001</v>
      </c>
      <c r="Z351" s="424">
        <f>IF(OR(Z$335&lt;$C351,Z$335&lt;$H$2),0,MIN($E351-SUM($G351:Y351),$F351))</f>
        <v>0.21191450000000001</v>
      </c>
      <c r="AA351" s="424">
        <f>IF(OR(AA$335&lt;$C351,AA$335&lt;$H$2),0,MIN($E351-SUM($G351:Z351),$F351))</f>
        <v>0.21191450000000001</v>
      </c>
      <c r="AB351" s="424">
        <f>IF(OR(AB$335&lt;$C351,AB$335&lt;$H$2),0,MIN($E351-SUM($G351:AA351),$F351))</f>
        <v>0.21191450000000001</v>
      </c>
      <c r="AC351" s="424">
        <f>IF(OR(AC$335&lt;$C351,AC$335&lt;$H$2),0,MIN($E351-SUM($G351:AB351),$F351))</f>
        <v>0.21191450000000001</v>
      </c>
      <c r="AD351" s="424">
        <f>IF(OR(AD$335&lt;$C351,AD$335&lt;$H$2),0,MIN($E351-SUM($G351:AC351),$F351))</f>
        <v>0.21191450000000001</v>
      </c>
    </row>
    <row r="352" spans="3:30">
      <c r="C352" s="201">
        <v>51147</v>
      </c>
      <c r="D352" s="94" t="s">
        <v>134</v>
      </c>
      <c r="E352" s="424">
        <f t="shared" si="139"/>
        <v>0</v>
      </c>
      <c r="F352" s="209">
        <f t="shared" si="140"/>
        <v>0</v>
      </c>
      <c r="H352" s="424">
        <f>IF(OR(H$335&lt;$C352,H$335&lt;$H$2),0,MIN($E352-SUM($G352:G352),$F352))</f>
        <v>0</v>
      </c>
      <c r="I352" s="424">
        <f>IF(OR(I$335&lt;$C352,I$335&lt;$H$2),0,MIN($E352-SUM($G352:H352),$F352))</f>
        <v>0</v>
      </c>
      <c r="J352" s="424">
        <f>IF(OR(J$335&lt;$C352,J$335&lt;$H$2),0,MIN($E352-SUM($G352:I352),$F352))</f>
        <v>0</v>
      </c>
      <c r="K352" s="424">
        <f>IF(OR(K$335&lt;$C352,K$335&lt;$H$2),0,MIN($E352-SUM($G352:J352),$F352))</f>
        <v>0</v>
      </c>
      <c r="L352" s="424">
        <f>IF(OR(L$335&lt;$C352,L$335&lt;$H$2),0,MIN($E352-SUM($G352:K352),$F352))</f>
        <v>0</v>
      </c>
      <c r="M352" s="424">
        <f>IF(OR(M$335&lt;$C352,M$335&lt;$H$2),0,MIN($E352-SUM($G352:L352),$F352))</f>
        <v>0</v>
      </c>
      <c r="N352" s="424">
        <f>IF(OR(N$335&lt;$C352,N$335&lt;$H$2),0,MIN($E352-SUM($G352:M352),$F352))</f>
        <v>0</v>
      </c>
      <c r="O352" s="424">
        <f>IF(OR(O$335&lt;$C352,O$335&lt;$H$2),0,MIN($E352-SUM($G352:N352),$F352))</f>
        <v>0</v>
      </c>
      <c r="P352" s="424">
        <f>IF(OR(P$335&lt;$C352,P$335&lt;$H$2),0,MIN($E352-SUM($G352:O352),$F352))</f>
        <v>0</v>
      </c>
      <c r="Q352" s="424">
        <f>IF(OR(Q$335&lt;$C352,Q$335&lt;$H$2),0,MIN($E352-SUM($G352:P352),$F352))</f>
        <v>0</v>
      </c>
      <c r="R352" s="424">
        <f>IF(OR(R$335&lt;$C352,R$335&lt;$H$2),0,MIN($E352-SUM($G352:Q352),$F352))</f>
        <v>0</v>
      </c>
      <c r="S352" s="424">
        <f>IF(OR(S$335&lt;$C352,S$335&lt;$H$2),0,MIN($E352-SUM($G352:R352),$F352))</f>
        <v>0</v>
      </c>
      <c r="T352" s="424">
        <f>IF(OR(T$335&lt;$C352,T$335&lt;$H$2),0,MIN($E352-SUM($G352:S352),$F352))</f>
        <v>0</v>
      </c>
      <c r="U352" s="424">
        <f>IF(OR(U$335&lt;$C352,U$335&lt;$H$2),0,MIN($E352-SUM($G352:T352),$F352))</f>
        <v>0</v>
      </c>
      <c r="V352" s="424">
        <f>IF(OR(V$335&lt;$C352,V$335&lt;$H$2),0,MIN($E352-SUM($G352:U352),$F352))</f>
        <v>0</v>
      </c>
      <c r="W352" s="424">
        <f>IF(OR(W$335&lt;$C352,W$335&lt;$H$2),0,MIN($E352-SUM($G352:V352),$F352))</f>
        <v>0</v>
      </c>
      <c r="X352" s="424">
        <f>IF(OR(X$335&lt;$C352,X$335&lt;$H$2),0,MIN($E352-SUM($G352:W352),$F352))</f>
        <v>0</v>
      </c>
      <c r="Y352" s="424">
        <f>IF(OR(Y$335&lt;$C352,Y$335&lt;$H$2),0,MIN($E352-SUM($G352:X352),$F352))</f>
        <v>0</v>
      </c>
      <c r="Z352" s="424">
        <f>IF(OR(Z$335&lt;$C352,Z$335&lt;$H$2),0,MIN($E352-SUM($G352:Y352),$F352))</f>
        <v>0</v>
      </c>
      <c r="AA352" s="424">
        <f>IF(OR(AA$335&lt;$C352,AA$335&lt;$H$2),0,MIN($E352-SUM($G352:Z352),$F352))</f>
        <v>0</v>
      </c>
      <c r="AB352" s="424">
        <f>IF(OR(AB$335&lt;$C352,AB$335&lt;$H$2),0,MIN($E352-SUM($G352:AA352),$F352))</f>
        <v>0</v>
      </c>
      <c r="AC352" s="424">
        <f>IF(OR(AC$335&lt;$C352,AC$335&lt;$H$2),0,MIN($E352-SUM($G352:AB352),$F352))</f>
        <v>0</v>
      </c>
      <c r="AD352" s="424">
        <f>IF(OR(AD$335&lt;$C352,AD$335&lt;$H$2),0,MIN($E352-SUM($G352:AC352),$F352))</f>
        <v>0</v>
      </c>
    </row>
    <row r="353" spans="3:30">
      <c r="C353" s="201">
        <v>51513</v>
      </c>
      <c r="D353" s="94" t="s">
        <v>134</v>
      </c>
      <c r="E353" s="424">
        <f t="shared" si="139"/>
        <v>0</v>
      </c>
      <c r="F353" s="209">
        <f t="shared" si="140"/>
        <v>0</v>
      </c>
      <c r="H353" s="424">
        <f>IF(OR(H$335&lt;$C353,H$335&lt;$H$2),0,MIN($E353-SUM($G353:G353),$F353))</f>
        <v>0</v>
      </c>
      <c r="I353" s="424">
        <f>IF(OR(I$335&lt;$C353,I$335&lt;$H$2),0,MIN($E353-SUM($G353:H353),$F353))</f>
        <v>0</v>
      </c>
      <c r="J353" s="424">
        <f>IF(OR(J$335&lt;$C353,J$335&lt;$H$2),0,MIN($E353-SUM($G353:I353),$F353))</f>
        <v>0</v>
      </c>
      <c r="K353" s="424">
        <f>IF(OR(K$335&lt;$C353,K$335&lt;$H$2),0,MIN($E353-SUM($G353:J353),$F353))</f>
        <v>0</v>
      </c>
      <c r="L353" s="424">
        <f>IF(OR(L$335&lt;$C353,L$335&lt;$H$2),0,MIN($E353-SUM($G353:K353),$F353))</f>
        <v>0</v>
      </c>
      <c r="M353" s="424">
        <f>IF(OR(M$335&lt;$C353,M$335&lt;$H$2),0,MIN($E353-SUM($G353:L353),$F353))</f>
        <v>0</v>
      </c>
      <c r="N353" s="424">
        <f>IF(OR(N$335&lt;$C353,N$335&lt;$H$2),0,MIN($E353-SUM($G353:M353),$F353))</f>
        <v>0</v>
      </c>
      <c r="O353" s="424">
        <f>IF(OR(O$335&lt;$C353,O$335&lt;$H$2),0,MIN($E353-SUM($G353:N353),$F353))</f>
        <v>0</v>
      </c>
      <c r="P353" s="424">
        <f>IF(OR(P$335&lt;$C353,P$335&lt;$H$2),0,MIN($E353-SUM($G353:O353),$F353))</f>
        <v>0</v>
      </c>
      <c r="Q353" s="424">
        <f>IF(OR(Q$335&lt;$C353,Q$335&lt;$H$2),0,MIN($E353-SUM($G353:P353),$F353))</f>
        <v>0</v>
      </c>
      <c r="R353" s="424">
        <f>IF(OR(R$335&lt;$C353,R$335&lt;$H$2),0,MIN($E353-SUM($G353:Q353),$F353))</f>
        <v>0</v>
      </c>
      <c r="S353" s="424">
        <f>IF(OR(S$335&lt;$C353,S$335&lt;$H$2),0,MIN($E353-SUM($G353:R353),$F353))</f>
        <v>0</v>
      </c>
      <c r="T353" s="424">
        <f>IF(OR(T$335&lt;$C353,T$335&lt;$H$2),0,MIN($E353-SUM($G353:S353),$F353))</f>
        <v>0</v>
      </c>
      <c r="U353" s="424">
        <f>IF(OR(U$335&lt;$C353,U$335&lt;$H$2),0,MIN($E353-SUM($G353:T353),$F353))</f>
        <v>0</v>
      </c>
      <c r="V353" s="424">
        <f>IF(OR(V$335&lt;$C353,V$335&lt;$H$2),0,MIN($E353-SUM($G353:U353),$F353))</f>
        <v>0</v>
      </c>
      <c r="W353" s="424">
        <f>IF(OR(W$335&lt;$C353,W$335&lt;$H$2),0,MIN($E353-SUM($G353:V353),$F353))</f>
        <v>0</v>
      </c>
      <c r="X353" s="424">
        <f>IF(OR(X$335&lt;$C353,X$335&lt;$H$2),0,MIN($E353-SUM($G353:W353),$F353))</f>
        <v>0</v>
      </c>
      <c r="Y353" s="424">
        <f>IF(OR(Y$335&lt;$C353,Y$335&lt;$H$2),0,MIN($E353-SUM($G353:X353),$F353))</f>
        <v>0</v>
      </c>
      <c r="Z353" s="424">
        <f>IF(OR(Z$335&lt;$C353,Z$335&lt;$H$2),0,MIN($E353-SUM($G353:Y353),$F353))</f>
        <v>0</v>
      </c>
      <c r="AA353" s="424">
        <f>IF(OR(AA$335&lt;$C353,AA$335&lt;$H$2),0,MIN($E353-SUM($G353:Z353),$F353))</f>
        <v>0</v>
      </c>
      <c r="AB353" s="424">
        <f>IF(OR(AB$335&lt;$C353,AB$335&lt;$H$2),0,MIN($E353-SUM($G353:AA353),$F353))</f>
        <v>0</v>
      </c>
      <c r="AC353" s="424">
        <f>IF(OR(AC$335&lt;$C353,AC$335&lt;$H$2),0,MIN($E353-SUM($G353:AB353),$F353))</f>
        <v>0</v>
      </c>
      <c r="AD353" s="424">
        <f>IF(OR(AD$335&lt;$C353,AD$335&lt;$H$2),0,MIN($E353-SUM($G353:AC353),$F353))</f>
        <v>0</v>
      </c>
    </row>
    <row r="354" spans="3:30">
      <c r="C354" s="201">
        <v>51879</v>
      </c>
      <c r="D354" s="94" t="s">
        <v>134</v>
      </c>
      <c r="E354" s="424">
        <f t="shared" si="139"/>
        <v>0</v>
      </c>
      <c r="F354" s="209">
        <f t="shared" si="140"/>
        <v>0</v>
      </c>
      <c r="H354" s="424">
        <f>IF(OR(H$335&lt;$C354,H$335&lt;$H$2),0,MIN($E354-SUM($G354:G354),$F354))</f>
        <v>0</v>
      </c>
      <c r="I354" s="424">
        <f>IF(OR(I$335&lt;$C354,I$335&lt;$H$2),0,MIN($E354-SUM($G354:H354),$F354))</f>
        <v>0</v>
      </c>
      <c r="J354" s="424">
        <f>IF(OR(J$335&lt;$C354,J$335&lt;$H$2),0,MIN($E354-SUM($G354:I354),$F354))</f>
        <v>0</v>
      </c>
      <c r="K354" s="424">
        <f>IF(OR(K$335&lt;$C354,K$335&lt;$H$2),0,MIN($E354-SUM($G354:J354),$F354))</f>
        <v>0</v>
      </c>
      <c r="L354" s="424">
        <f>IF(OR(L$335&lt;$C354,L$335&lt;$H$2),0,MIN($E354-SUM($G354:K354),$F354))</f>
        <v>0</v>
      </c>
      <c r="M354" s="424">
        <f>IF(OR(M$335&lt;$C354,M$335&lt;$H$2),0,MIN($E354-SUM($G354:L354),$F354))</f>
        <v>0</v>
      </c>
      <c r="N354" s="424">
        <f>IF(OR(N$335&lt;$C354,N$335&lt;$H$2),0,MIN($E354-SUM($G354:M354),$F354))</f>
        <v>0</v>
      </c>
      <c r="O354" s="424">
        <f>IF(OR(O$335&lt;$C354,O$335&lt;$H$2),0,MIN($E354-SUM($G354:N354),$F354))</f>
        <v>0</v>
      </c>
      <c r="P354" s="424">
        <f>IF(OR(P$335&lt;$C354,P$335&lt;$H$2),0,MIN($E354-SUM($G354:O354),$F354))</f>
        <v>0</v>
      </c>
      <c r="Q354" s="424">
        <f>IF(OR(Q$335&lt;$C354,Q$335&lt;$H$2),0,MIN($E354-SUM($G354:P354),$F354))</f>
        <v>0</v>
      </c>
      <c r="R354" s="424">
        <f>IF(OR(R$335&lt;$C354,R$335&lt;$H$2),0,MIN($E354-SUM($G354:Q354),$F354))</f>
        <v>0</v>
      </c>
      <c r="S354" s="424">
        <f>IF(OR(S$335&lt;$C354,S$335&lt;$H$2),0,MIN($E354-SUM($G354:R354),$F354))</f>
        <v>0</v>
      </c>
      <c r="T354" s="424">
        <f>IF(OR(T$335&lt;$C354,T$335&lt;$H$2),0,MIN($E354-SUM($G354:S354),$F354))</f>
        <v>0</v>
      </c>
      <c r="U354" s="424">
        <f>IF(OR(U$335&lt;$C354,U$335&lt;$H$2),0,MIN($E354-SUM($G354:T354),$F354))</f>
        <v>0</v>
      </c>
      <c r="V354" s="424">
        <f>IF(OR(V$335&lt;$C354,V$335&lt;$H$2),0,MIN($E354-SUM($G354:U354),$F354))</f>
        <v>0</v>
      </c>
      <c r="W354" s="424">
        <f>IF(OR(W$335&lt;$C354,W$335&lt;$H$2),0,MIN($E354-SUM($G354:V354),$F354))</f>
        <v>0</v>
      </c>
      <c r="X354" s="424">
        <f>IF(OR(X$335&lt;$C354,X$335&lt;$H$2),0,MIN($E354-SUM($G354:W354),$F354))</f>
        <v>0</v>
      </c>
      <c r="Y354" s="424">
        <f>IF(OR(Y$335&lt;$C354,Y$335&lt;$H$2),0,MIN($E354-SUM($G354:X354),$F354))</f>
        <v>0</v>
      </c>
      <c r="Z354" s="424">
        <f>IF(OR(Z$335&lt;$C354,Z$335&lt;$H$2),0,MIN($E354-SUM($G354:Y354),$F354))</f>
        <v>0</v>
      </c>
      <c r="AA354" s="424">
        <f>IF(OR(AA$335&lt;$C354,AA$335&lt;$H$2),0,MIN($E354-SUM($G354:Z354),$F354))</f>
        <v>0</v>
      </c>
      <c r="AB354" s="424">
        <f>IF(OR(AB$335&lt;$C354,AB$335&lt;$H$2),0,MIN($E354-SUM($G354:AA354),$F354))</f>
        <v>0</v>
      </c>
      <c r="AC354" s="424">
        <f>IF(OR(AC$335&lt;$C354,AC$335&lt;$H$2),0,MIN($E354-SUM($G354:AB354),$F354))</f>
        <v>0</v>
      </c>
      <c r="AD354" s="424">
        <f>IF(OR(AD$335&lt;$C354,AD$335&lt;$H$2),0,MIN($E354-SUM($G354:AC354),$F354))</f>
        <v>0</v>
      </c>
    </row>
    <row r="355" spans="3:30">
      <c r="C355" s="201">
        <v>52245</v>
      </c>
      <c r="D355" s="94" t="s">
        <v>134</v>
      </c>
      <c r="E355" s="424">
        <f t="shared" si="139"/>
        <v>0</v>
      </c>
      <c r="F355" s="209">
        <f t="shared" si="140"/>
        <v>0</v>
      </c>
      <c r="H355" s="424">
        <f>IF(OR(H$335&lt;$C355,H$335&lt;$H$2),0,MIN($E355-SUM($G355:G355),$F355))</f>
        <v>0</v>
      </c>
      <c r="I355" s="424">
        <f>IF(OR(I$335&lt;$C355,I$335&lt;$H$2),0,MIN($E355-SUM($G355:H355),$F355))</f>
        <v>0</v>
      </c>
      <c r="J355" s="424">
        <f>IF(OR(J$335&lt;$C355,J$335&lt;$H$2),0,MIN($E355-SUM($G355:I355),$F355))</f>
        <v>0</v>
      </c>
      <c r="K355" s="424">
        <f>IF(OR(K$335&lt;$C355,K$335&lt;$H$2),0,MIN($E355-SUM($G355:J355),$F355))</f>
        <v>0</v>
      </c>
      <c r="L355" s="424">
        <f>IF(OR(L$335&lt;$C355,L$335&lt;$H$2),0,MIN($E355-SUM($G355:K355),$F355))</f>
        <v>0</v>
      </c>
      <c r="M355" s="424">
        <f>IF(OR(M$335&lt;$C355,M$335&lt;$H$2),0,MIN($E355-SUM($G355:L355),$F355))</f>
        <v>0</v>
      </c>
      <c r="N355" s="424">
        <f>IF(OR(N$335&lt;$C355,N$335&lt;$H$2),0,MIN($E355-SUM($G355:M355),$F355))</f>
        <v>0</v>
      </c>
      <c r="O355" s="424">
        <f>IF(OR(O$335&lt;$C355,O$335&lt;$H$2),0,MIN($E355-SUM($G355:N355),$F355))</f>
        <v>0</v>
      </c>
      <c r="P355" s="424">
        <f>IF(OR(P$335&lt;$C355,P$335&lt;$H$2),0,MIN($E355-SUM($G355:O355),$F355))</f>
        <v>0</v>
      </c>
      <c r="Q355" s="424">
        <f>IF(OR(Q$335&lt;$C355,Q$335&lt;$H$2),0,MIN($E355-SUM($G355:P355),$F355))</f>
        <v>0</v>
      </c>
      <c r="R355" s="424">
        <f>IF(OR(R$335&lt;$C355,R$335&lt;$H$2),0,MIN($E355-SUM($G355:Q355),$F355))</f>
        <v>0</v>
      </c>
      <c r="S355" s="424">
        <f>IF(OR(S$335&lt;$C355,S$335&lt;$H$2),0,MIN($E355-SUM($G355:R355),$F355))</f>
        <v>0</v>
      </c>
      <c r="T355" s="424">
        <f>IF(OR(T$335&lt;$C355,T$335&lt;$H$2),0,MIN($E355-SUM($G355:S355),$F355))</f>
        <v>0</v>
      </c>
      <c r="U355" s="424">
        <f>IF(OR(U$335&lt;$C355,U$335&lt;$H$2),0,MIN($E355-SUM($G355:T355),$F355))</f>
        <v>0</v>
      </c>
      <c r="V355" s="424">
        <f>IF(OR(V$335&lt;$C355,V$335&lt;$H$2),0,MIN($E355-SUM($G355:U355),$F355))</f>
        <v>0</v>
      </c>
      <c r="W355" s="424">
        <f>IF(OR(W$335&lt;$C355,W$335&lt;$H$2),0,MIN($E355-SUM($G355:V355),$F355))</f>
        <v>0</v>
      </c>
      <c r="X355" s="424">
        <f>IF(OR(X$335&lt;$C355,X$335&lt;$H$2),0,MIN($E355-SUM($G355:W355),$F355))</f>
        <v>0</v>
      </c>
      <c r="Y355" s="424">
        <f>IF(OR(Y$335&lt;$C355,Y$335&lt;$H$2),0,MIN($E355-SUM($G355:X355),$F355))</f>
        <v>0</v>
      </c>
      <c r="Z355" s="424">
        <f>IF(OR(Z$335&lt;$C355,Z$335&lt;$H$2),0,MIN($E355-SUM($G355:Y355),$F355))</f>
        <v>0</v>
      </c>
      <c r="AA355" s="424">
        <f>IF(OR(AA$335&lt;$C355,AA$335&lt;$H$2),0,MIN($E355-SUM($G355:Z355),$F355))</f>
        <v>0</v>
      </c>
      <c r="AB355" s="424">
        <f>IF(OR(AB$335&lt;$C355,AB$335&lt;$H$2),0,MIN($E355-SUM($G355:AA355),$F355))</f>
        <v>0</v>
      </c>
      <c r="AC355" s="424">
        <f>IF(OR(AC$335&lt;$C355,AC$335&lt;$H$2),0,MIN($E355-SUM($G355:AB355),$F355))</f>
        <v>0</v>
      </c>
      <c r="AD355" s="424">
        <f>IF(OR(AD$335&lt;$C355,AD$335&lt;$H$2),0,MIN($E355-SUM($G355:AC355),$F355))</f>
        <v>0</v>
      </c>
    </row>
    <row r="356" spans="3:30">
      <c r="C356" s="201">
        <v>52611</v>
      </c>
      <c r="D356" s="94" t="s">
        <v>134</v>
      </c>
      <c r="E356" s="424">
        <f t="shared" si="139"/>
        <v>0</v>
      </c>
      <c r="F356" s="209">
        <f t="shared" si="140"/>
        <v>0</v>
      </c>
      <c r="H356" s="424">
        <f>IF(OR(H$335&lt;$C356,H$335&lt;$H$2),0,MIN($E356-SUM($G356:G356),$F356))</f>
        <v>0</v>
      </c>
      <c r="I356" s="424">
        <f>IF(OR(I$335&lt;$C356,I$335&lt;$H$2),0,MIN($E356-SUM($G356:H356),$F356))</f>
        <v>0</v>
      </c>
      <c r="J356" s="424">
        <f>IF(OR(J$335&lt;$C356,J$335&lt;$H$2),0,MIN($E356-SUM($G356:I356),$F356))</f>
        <v>0</v>
      </c>
      <c r="K356" s="424">
        <f>IF(OR(K$335&lt;$C356,K$335&lt;$H$2),0,MIN($E356-SUM($G356:J356),$F356))</f>
        <v>0</v>
      </c>
      <c r="L356" s="424">
        <f>IF(OR(L$335&lt;$C356,L$335&lt;$H$2),0,MIN($E356-SUM($G356:K356),$F356))</f>
        <v>0</v>
      </c>
      <c r="M356" s="424">
        <f>IF(OR(M$335&lt;$C356,M$335&lt;$H$2),0,MIN($E356-SUM($G356:L356),$F356))</f>
        <v>0</v>
      </c>
      <c r="N356" s="424">
        <f>IF(OR(N$335&lt;$C356,N$335&lt;$H$2),0,MIN($E356-SUM($G356:M356),$F356))</f>
        <v>0</v>
      </c>
      <c r="O356" s="424">
        <f>IF(OR(O$335&lt;$C356,O$335&lt;$H$2),0,MIN($E356-SUM($G356:N356),$F356))</f>
        <v>0</v>
      </c>
      <c r="P356" s="424">
        <f>IF(OR(P$335&lt;$C356,P$335&lt;$H$2),0,MIN($E356-SUM($G356:O356),$F356))</f>
        <v>0</v>
      </c>
      <c r="Q356" s="424">
        <f>IF(OR(Q$335&lt;$C356,Q$335&lt;$H$2),0,MIN($E356-SUM($G356:P356),$F356))</f>
        <v>0</v>
      </c>
      <c r="R356" s="424">
        <f>IF(OR(R$335&lt;$C356,R$335&lt;$H$2),0,MIN($E356-SUM($G356:Q356),$F356))</f>
        <v>0</v>
      </c>
      <c r="S356" s="424">
        <f>IF(OR(S$335&lt;$C356,S$335&lt;$H$2),0,MIN($E356-SUM($G356:R356),$F356))</f>
        <v>0</v>
      </c>
      <c r="T356" s="424">
        <f>IF(OR(T$335&lt;$C356,T$335&lt;$H$2),0,MIN($E356-SUM($G356:S356),$F356))</f>
        <v>0</v>
      </c>
      <c r="U356" s="424">
        <f>IF(OR(U$335&lt;$C356,U$335&lt;$H$2),0,MIN($E356-SUM($G356:T356),$F356))</f>
        <v>0</v>
      </c>
      <c r="V356" s="424">
        <f>IF(OR(V$335&lt;$C356,V$335&lt;$H$2),0,MIN($E356-SUM($G356:U356),$F356))</f>
        <v>0</v>
      </c>
      <c r="W356" s="424">
        <f>IF(OR(W$335&lt;$C356,W$335&lt;$H$2),0,MIN($E356-SUM($G356:V356),$F356))</f>
        <v>0</v>
      </c>
      <c r="X356" s="424">
        <f>IF(OR(X$335&lt;$C356,X$335&lt;$H$2),0,MIN($E356-SUM($G356:W356),$F356))</f>
        <v>0</v>
      </c>
      <c r="Y356" s="424">
        <f>IF(OR(Y$335&lt;$C356,Y$335&lt;$H$2),0,MIN($E356-SUM($G356:X356),$F356))</f>
        <v>0</v>
      </c>
      <c r="Z356" s="424">
        <f>IF(OR(Z$335&lt;$C356,Z$335&lt;$H$2),0,MIN($E356-SUM($G356:Y356),$F356))</f>
        <v>0</v>
      </c>
      <c r="AA356" s="424">
        <f>IF(OR(AA$335&lt;$C356,AA$335&lt;$H$2),0,MIN($E356-SUM($G356:Z356),$F356))</f>
        <v>0</v>
      </c>
      <c r="AB356" s="424">
        <f>IF(OR(AB$335&lt;$C356,AB$335&lt;$H$2),0,MIN($E356-SUM($G356:AA356),$F356))</f>
        <v>0</v>
      </c>
      <c r="AC356" s="424">
        <f>IF(OR(AC$335&lt;$C356,AC$335&lt;$H$2),0,MIN($E356-SUM($G356:AB356),$F356))</f>
        <v>0</v>
      </c>
      <c r="AD356" s="424">
        <f>IF(OR(AD$335&lt;$C356,AD$335&lt;$H$2),0,MIN($E356-SUM($G356:AC356),$F356))</f>
        <v>0</v>
      </c>
    </row>
    <row r="357" spans="3:30">
      <c r="C357" s="201">
        <v>52977</v>
      </c>
      <c r="D357" s="94" t="s">
        <v>134</v>
      </c>
      <c r="E357" s="424">
        <f t="shared" si="139"/>
        <v>0</v>
      </c>
      <c r="F357" s="209">
        <f t="shared" si="140"/>
        <v>0</v>
      </c>
      <c r="H357" s="424">
        <f>IF(OR(H$335&lt;$C357,H$335&lt;$H$2),0,MIN($E357-SUM($G357:G357),$F357))</f>
        <v>0</v>
      </c>
      <c r="I357" s="424">
        <f>IF(OR(I$335&lt;$C357,I$335&lt;$H$2),0,MIN($E357-SUM($G357:H357),$F357))</f>
        <v>0</v>
      </c>
      <c r="J357" s="424">
        <f>IF(OR(J$335&lt;$C357,J$335&lt;$H$2),0,MIN($E357-SUM($G357:I357),$F357))</f>
        <v>0</v>
      </c>
      <c r="K357" s="424">
        <f>IF(OR(K$335&lt;$C357,K$335&lt;$H$2),0,MIN($E357-SUM($G357:J357),$F357))</f>
        <v>0</v>
      </c>
      <c r="L357" s="424">
        <f>IF(OR(L$335&lt;$C357,L$335&lt;$H$2),0,MIN($E357-SUM($G357:K357),$F357))</f>
        <v>0</v>
      </c>
      <c r="M357" s="424">
        <f>IF(OR(M$335&lt;$C357,M$335&lt;$H$2),0,MIN($E357-SUM($G357:L357),$F357))</f>
        <v>0</v>
      </c>
      <c r="N357" s="424">
        <f>IF(OR(N$335&lt;$C357,N$335&lt;$H$2),0,MIN($E357-SUM($G357:M357),$F357))</f>
        <v>0</v>
      </c>
      <c r="O357" s="424">
        <f>IF(OR(O$335&lt;$C357,O$335&lt;$H$2),0,MIN($E357-SUM($G357:N357),$F357))</f>
        <v>0</v>
      </c>
      <c r="P357" s="424">
        <f>IF(OR(P$335&lt;$C357,P$335&lt;$H$2),0,MIN($E357-SUM($G357:O357),$F357))</f>
        <v>0</v>
      </c>
      <c r="Q357" s="424">
        <f>IF(OR(Q$335&lt;$C357,Q$335&lt;$H$2),0,MIN($E357-SUM($G357:P357),$F357))</f>
        <v>0</v>
      </c>
      <c r="R357" s="424">
        <f>IF(OR(R$335&lt;$C357,R$335&lt;$H$2),0,MIN($E357-SUM($G357:Q357),$F357))</f>
        <v>0</v>
      </c>
      <c r="S357" s="424">
        <f>IF(OR(S$335&lt;$C357,S$335&lt;$H$2),0,MIN($E357-SUM($G357:R357),$F357))</f>
        <v>0</v>
      </c>
      <c r="T357" s="424">
        <f>IF(OR(T$335&lt;$C357,T$335&lt;$H$2),0,MIN($E357-SUM($G357:S357),$F357))</f>
        <v>0</v>
      </c>
      <c r="U357" s="424">
        <f>IF(OR(U$335&lt;$C357,U$335&lt;$H$2),0,MIN($E357-SUM($G357:T357),$F357))</f>
        <v>0</v>
      </c>
      <c r="V357" s="424">
        <f>IF(OR(V$335&lt;$C357,V$335&lt;$H$2),0,MIN($E357-SUM($G357:U357),$F357))</f>
        <v>0</v>
      </c>
      <c r="W357" s="424">
        <f>IF(OR(W$335&lt;$C357,W$335&lt;$H$2),0,MIN($E357-SUM($G357:V357),$F357))</f>
        <v>0</v>
      </c>
      <c r="X357" s="424">
        <f>IF(OR(X$335&lt;$C357,X$335&lt;$H$2),0,MIN($E357-SUM($G357:W357),$F357))</f>
        <v>0</v>
      </c>
      <c r="Y357" s="424">
        <f>IF(OR(Y$335&lt;$C357,Y$335&lt;$H$2),0,MIN($E357-SUM($G357:X357),$F357))</f>
        <v>0</v>
      </c>
      <c r="Z357" s="424">
        <f>IF(OR(Z$335&lt;$C357,Z$335&lt;$H$2),0,MIN($E357-SUM($G357:Y357),$F357))</f>
        <v>0</v>
      </c>
      <c r="AA357" s="424">
        <f>IF(OR(AA$335&lt;$C357,AA$335&lt;$H$2),0,MIN($E357-SUM($G357:Z357),$F357))</f>
        <v>0</v>
      </c>
      <c r="AB357" s="424">
        <f>IF(OR(AB$335&lt;$C357,AB$335&lt;$H$2),0,MIN($E357-SUM($G357:AA357),$F357))</f>
        <v>0</v>
      </c>
      <c r="AC357" s="424">
        <f>IF(OR(AC$335&lt;$C357,AC$335&lt;$H$2),0,MIN($E357-SUM($G357:AB357),$F357))</f>
        <v>0</v>
      </c>
      <c r="AD357" s="424">
        <f>IF(OR(AD$335&lt;$C357,AD$335&lt;$H$2),0,MIN($E357-SUM($G357:AC357),$F357))</f>
        <v>0</v>
      </c>
    </row>
    <row r="358" spans="3:30">
      <c r="C358" s="201">
        <v>53343</v>
      </c>
      <c r="D358" s="94" t="s">
        <v>134</v>
      </c>
      <c r="E358" s="424">
        <f t="shared" si="139"/>
        <v>0</v>
      </c>
      <c r="F358" s="209">
        <f t="shared" si="140"/>
        <v>0</v>
      </c>
      <c r="H358" s="424">
        <f>IF(OR(H$335&lt;$C358,H$335&lt;$H$2),0,MIN($E358-SUM($G358:G358),$F358))</f>
        <v>0</v>
      </c>
      <c r="I358" s="424">
        <f>IF(OR(I$335&lt;$C358,I$335&lt;$H$2),0,MIN($E358-SUM($G358:H358),$F358))</f>
        <v>0</v>
      </c>
      <c r="J358" s="424">
        <f>IF(OR(J$335&lt;$C358,J$335&lt;$H$2),0,MIN($E358-SUM($G358:I358),$F358))</f>
        <v>0</v>
      </c>
      <c r="K358" s="424">
        <f>IF(OR(K$335&lt;$C358,K$335&lt;$H$2),0,MIN($E358-SUM($G358:J358),$F358))</f>
        <v>0</v>
      </c>
      <c r="L358" s="424">
        <f>IF(OR(L$335&lt;$C358,L$335&lt;$H$2),0,MIN($E358-SUM($G358:K358),$F358))</f>
        <v>0</v>
      </c>
      <c r="M358" s="424">
        <f>IF(OR(M$335&lt;$C358,M$335&lt;$H$2),0,MIN($E358-SUM($G358:L358),$F358))</f>
        <v>0</v>
      </c>
      <c r="N358" s="424">
        <f>IF(OR(N$335&lt;$C358,N$335&lt;$H$2),0,MIN($E358-SUM($G358:M358),$F358))</f>
        <v>0</v>
      </c>
      <c r="O358" s="424">
        <f>IF(OR(O$335&lt;$C358,O$335&lt;$H$2),0,MIN($E358-SUM($G358:N358),$F358))</f>
        <v>0</v>
      </c>
      <c r="P358" s="424">
        <f>IF(OR(P$335&lt;$C358,P$335&lt;$H$2),0,MIN($E358-SUM($G358:O358),$F358))</f>
        <v>0</v>
      </c>
      <c r="Q358" s="424">
        <f>IF(OR(Q$335&lt;$C358,Q$335&lt;$H$2),0,MIN($E358-SUM($G358:P358),$F358))</f>
        <v>0</v>
      </c>
      <c r="R358" s="424">
        <f>IF(OR(R$335&lt;$C358,R$335&lt;$H$2),0,MIN($E358-SUM($G358:Q358),$F358))</f>
        <v>0</v>
      </c>
      <c r="S358" s="424">
        <f>IF(OR(S$335&lt;$C358,S$335&lt;$H$2),0,MIN($E358-SUM($G358:R358),$F358))</f>
        <v>0</v>
      </c>
      <c r="T358" s="424">
        <f>IF(OR(T$335&lt;$C358,T$335&lt;$H$2),0,MIN($E358-SUM($G358:S358),$F358))</f>
        <v>0</v>
      </c>
      <c r="U358" s="424">
        <f>IF(OR(U$335&lt;$C358,U$335&lt;$H$2),0,MIN($E358-SUM($G358:T358),$F358))</f>
        <v>0</v>
      </c>
      <c r="V358" s="424">
        <f>IF(OR(V$335&lt;$C358,V$335&lt;$H$2),0,MIN($E358-SUM($G358:U358),$F358))</f>
        <v>0</v>
      </c>
      <c r="W358" s="424">
        <f>IF(OR(W$335&lt;$C358,W$335&lt;$H$2),0,MIN($E358-SUM($G358:V358),$F358))</f>
        <v>0</v>
      </c>
      <c r="X358" s="424">
        <f>IF(OR(X$335&lt;$C358,X$335&lt;$H$2),0,MIN($E358-SUM($G358:W358),$F358))</f>
        <v>0</v>
      </c>
      <c r="Y358" s="424">
        <f>IF(OR(Y$335&lt;$C358,Y$335&lt;$H$2),0,MIN($E358-SUM($G358:X358),$F358))</f>
        <v>0</v>
      </c>
      <c r="Z358" s="424">
        <f>IF(OR(Z$335&lt;$C358,Z$335&lt;$H$2),0,MIN($E358-SUM($G358:Y358),$F358))</f>
        <v>0</v>
      </c>
      <c r="AA358" s="424">
        <f>IF(OR(AA$335&lt;$C358,AA$335&lt;$H$2),0,MIN($E358-SUM($G358:Z358),$F358))</f>
        <v>0</v>
      </c>
      <c r="AB358" s="424">
        <f>IF(OR(AB$335&lt;$C358,AB$335&lt;$H$2),0,MIN($E358-SUM($G358:AA358),$F358))</f>
        <v>0</v>
      </c>
      <c r="AC358" s="424">
        <f>IF(OR(AC$335&lt;$C358,AC$335&lt;$H$2),0,MIN($E358-SUM($G358:AB358),$F358))</f>
        <v>0</v>
      </c>
      <c r="AD358" s="424">
        <f>IF(OR(AD$335&lt;$C358,AD$335&lt;$H$2),0,MIN($E358-SUM($G358:AC358),$F358))</f>
        <v>0</v>
      </c>
    </row>
    <row r="359" spans="3:30">
      <c r="C359" s="201">
        <v>53709</v>
      </c>
      <c r="D359" s="94" t="s">
        <v>134</v>
      </c>
      <c r="E359" s="424">
        <f t="shared" si="139"/>
        <v>0</v>
      </c>
      <c r="F359" s="209">
        <f t="shared" si="140"/>
        <v>0</v>
      </c>
      <c r="H359" s="424">
        <f>IF(OR(H$335&lt;$C359,H$335&lt;$H$2),0,MIN($E359-SUM($G359:G359),$F359))</f>
        <v>0</v>
      </c>
      <c r="I359" s="424">
        <f>IF(OR(I$335&lt;$C359,I$335&lt;$H$2),0,MIN($E359-SUM($G359:H359),$F359))</f>
        <v>0</v>
      </c>
      <c r="J359" s="424">
        <f>IF(OR(J$335&lt;$C359,J$335&lt;$H$2),0,MIN($E359-SUM($G359:I359),$F359))</f>
        <v>0</v>
      </c>
      <c r="K359" s="424">
        <f>IF(OR(K$335&lt;$C359,K$335&lt;$H$2),0,MIN($E359-SUM($G359:J359),$F359))</f>
        <v>0</v>
      </c>
      <c r="L359" s="424">
        <f>IF(OR(L$335&lt;$C359,L$335&lt;$H$2),0,MIN($E359-SUM($G359:K359),$F359))</f>
        <v>0</v>
      </c>
      <c r="M359" s="424">
        <f>IF(OR(M$335&lt;$C359,M$335&lt;$H$2),0,MIN($E359-SUM($G359:L359),$F359))</f>
        <v>0</v>
      </c>
      <c r="N359" s="424">
        <f>IF(OR(N$335&lt;$C359,N$335&lt;$H$2),0,MIN($E359-SUM($G359:M359),$F359))</f>
        <v>0</v>
      </c>
      <c r="O359" s="424">
        <f>IF(OR(O$335&lt;$C359,O$335&lt;$H$2),0,MIN($E359-SUM($G359:N359),$F359))</f>
        <v>0</v>
      </c>
      <c r="P359" s="424">
        <f>IF(OR(P$335&lt;$C359,P$335&lt;$H$2),0,MIN($E359-SUM($G359:O359),$F359))</f>
        <v>0</v>
      </c>
      <c r="Q359" s="424">
        <f>IF(OR(Q$335&lt;$C359,Q$335&lt;$H$2),0,MIN($E359-SUM($G359:P359),$F359))</f>
        <v>0</v>
      </c>
      <c r="R359" s="424">
        <f>IF(OR(R$335&lt;$C359,R$335&lt;$H$2),0,MIN($E359-SUM($G359:Q359),$F359))</f>
        <v>0</v>
      </c>
      <c r="S359" s="424">
        <f>IF(OR(S$335&lt;$C359,S$335&lt;$H$2),0,MIN($E359-SUM($G359:R359),$F359))</f>
        <v>0</v>
      </c>
      <c r="T359" s="424">
        <f>IF(OR(T$335&lt;$C359,T$335&lt;$H$2),0,MIN($E359-SUM($G359:S359),$F359))</f>
        <v>0</v>
      </c>
      <c r="U359" s="424">
        <f>IF(OR(U$335&lt;$C359,U$335&lt;$H$2),0,MIN($E359-SUM($G359:T359),$F359))</f>
        <v>0</v>
      </c>
      <c r="V359" s="424">
        <f>IF(OR(V$335&lt;$C359,V$335&lt;$H$2),0,MIN($E359-SUM($G359:U359),$F359))</f>
        <v>0</v>
      </c>
      <c r="W359" s="424">
        <f>IF(OR(W$335&lt;$C359,W$335&lt;$H$2),0,MIN($E359-SUM($G359:V359),$F359))</f>
        <v>0</v>
      </c>
      <c r="X359" s="424">
        <f>IF(OR(X$335&lt;$C359,X$335&lt;$H$2),0,MIN($E359-SUM($G359:W359),$F359))</f>
        <v>0</v>
      </c>
      <c r="Y359" s="424">
        <f>IF(OR(Y$335&lt;$C359,Y$335&lt;$H$2),0,MIN($E359-SUM($G359:X359),$F359))</f>
        <v>0</v>
      </c>
      <c r="Z359" s="424">
        <f>IF(OR(Z$335&lt;$C359,Z$335&lt;$H$2),0,MIN($E359-SUM($G359:Y359),$F359))</f>
        <v>0</v>
      </c>
      <c r="AA359" s="424">
        <f>IF(OR(AA$335&lt;$C359,AA$335&lt;$H$2),0,MIN($E359-SUM($G359:Z359),$F359))</f>
        <v>0</v>
      </c>
      <c r="AB359" s="424">
        <f>IF(OR(AB$335&lt;$C359,AB$335&lt;$H$2),0,MIN($E359-SUM($G359:AA359),$F359))</f>
        <v>0</v>
      </c>
      <c r="AC359" s="424">
        <f>IF(OR(AC$335&lt;$C359,AC$335&lt;$H$2),0,MIN($E359-SUM($G359:AB359),$F359))</f>
        <v>0</v>
      </c>
      <c r="AD359" s="424">
        <f>IF(OR(AD$335&lt;$C359,AD$335&lt;$H$2),0,MIN($E359-SUM($G359:AC359),$F359))</f>
        <v>0</v>
      </c>
    </row>
    <row r="360" spans="3:30">
      <c r="C360" s="201">
        <v>54075</v>
      </c>
      <c r="D360" s="94" t="s">
        <v>134</v>
      </c>
      <c r="E360" s="424">
        <f t="shared" si="139"/>
        <v>0</v>
      </c>
      <c r="F360" s="209">
        <f t="shared" si="140"/>
        <v>0</v>
      </c>
      <c r="H360" s="424">
        <f>IF(OR(H$335&lt;$C360,H$335&lt;$H$2),0,MIN($E360-SUM($G360:G360),$F360))</f>
        <v>0</v>
      </c>
      <c r="I360" s="424">
        <f>IF(OR(I$335&lt;$C360,I$335&lt;$H$2),0,MIN($E360-SUM($G360:H360),$F360))</f>
        <v>0</v>
      </c>
      <c r="J360" s="424">
        <f>IF(OR(J$335&lt;$C360,J$335&lt;$H$2),0,MIN($E360-SUM($G360:I360),$F360))</f>
        <v>0</v>
      </c>
      <c r="K360" s="424">
        <f>IF(OR(K$335&lt;$C360,K$335&lt;$H$2),0,MIN($E360-SUM($G360:J360),$F360))</f>
        <v>0</v>
      </c>
      <c r="L360" s="424">
        <f>IF(OR(L$335&lt;$C360,L$335&lt;$H$2),0,MIN($E360-SUM($G360:K360),$F360))</f>
        <v>0</v>
      </c>
      <c r="M360" s="424">
        <f>IF(OR(M$335&lt;$C360,M$335&lt;$H$2),0,MIN($E360-SUM($G360:L360),$F360))</f>
        <v>0</v>
      </c>
      <c r="N360" s="424">
        <f>IF(OR(N$335&lt;$C360,N$335&lt;$H$2),0,MIN($E360-SUM($G360:M360),$F360))</f>
        <v>0</v>
      </c>
      <c r="O360" s="424">
        <f>IF(OR(O$335&lt;$C360,O$335&lt;$H$2),0,MIN($E360-SUM($G360:N360),$F360))</f>
        <v>0</v>
      </c>
      <c r="P360" s="424">
        <f>IF(OR(P$335&lt;$C360,P$335&lt;$H$2),0,MIN($E360-SUM($G360:O360),$F360))</f>
        <v>0</v>
      </c>
      <c r="Q360" s="424">
        <f>IF(OR(Q$335&lt;$C360,Q$335&lt;$H$2),0,MIN($E360-SUM($G360:P360),$F360))</f>
        <v>0</v>
      </c>
      <c r="R360" s="424">
        <f>IF(OR(R$335&lt;$C360,R$335&lt;$H$2),0,MIN($E360-SUM($G360:Q360),$F360))</f>
        <v>0</v>
      </c>
      <c r="S360" s="424">
        <f>IF(OR(S$335&lt;$C360,S$335&lt;$H$2),0,MIN($E360-SUM($G360:R360),$F360))</f>
        <v>0</v>
      </c>
      <c r="T360" s="424">
        <f>IF(OR(T$335&lt;$C360,T$335&lt;$H$2),0,MIN($E360-SUM($G360:S360),$F360))</f>
        <v>0</v>
      </c>
      <c r="U360" s="424">
        <f>IF(OR(U$335&lt;$C360,U$335&lt;$H$2),0,MIN($E360-SUM($G360:T360),$F360))</f>
        <v>0</v>
      </c>
      <c r="V360" s="424">
        <f>IF(OR(V$335&lt;$C360,V$335&lt;$H$2),0,MIN($E360-SUM($G360:U360),$F360))</f>
        <v>0</v>
      </c>
      <c r="W360" s="424">
        <f>IF(OR(W$335&lt;$C360,W$335&lt;$H$2),0,MIN($E360-SUM($G360:V360),$F360))</f>
        <v>0</v>
      </c>
      <c r="X360" s="424">
        <f>IF(OR(X$335&lt;$C360,X$335&lt;$H$2),0,MIN($E360-SUM($G360:W360),$F360))</f>
        <v>0</v>
      </c>
      <c r="Y360" s="424">
        <f>IF(OR(Y$335&lt;$C360,Y$335&lt;$H$2),0,MIN($E360-SUM($G360:X360),$F360))</f>
        <v>0</v>
      </c>
      <c r="Z360" s="424">
        <f>IF(OR(Z$335&lt;$C360,Z$335&lt;$H$2),0,MIN($E360-SUM($G360:Y360),$F360))</f>
        <v>0</v>
      </c>
      <c r="AA360" s="424">
        <f>IF(OR(AA$335&lt;$C360,AA$335&lt;$H$2),0,MIN($E360-SUM($G360:Z360),$F360))</f>
        <v>0</v>
      </c>
      <c r="AB360" s="424">
        <f>IF(OR(AB$335&lt;$C360,AB$335&lt;$H$2),0,MIN($E360-SUM($G360:AA360),$F360))</f>
        <v>0</v>
      </c>
      <c r="AC360" s="424">
        <f>IF(OR(AC$335&lt;$C360,AC$335&lt;$H$2),0,MIN($E360-SUM($G360:AB360),$F360))</f>
        <v>0</v>
      </c>
      <c r="AD360" s="424">
        <f>IF(OR(AD$335&lt;$C360,AD$335&lt;$H$2),0,MIN($E360-SUM($G360:AC360),$F360))</f>
        <v>0</v>
      </c>
    </row>
    <row r="361" spans="3:30" ht="14" thickBot="1">
      <c r="C361" s="240" t="s">
        <v>543</v>
      </c>
      <c r="D361" s="348" t="s">
        <v>134</v>
      </c>
      <c r="E361" s="427">
        <f>SUM(E338:E360)</f>
        <v>197.685</v>
      </c>
      <c r="F361" s="427">
        <f>SUM(F338:F360)</f>
        <v>6.2666144999999993</v>
      </c>
      <c r="G361" s="348"/>
      <c r="H361" s="427">
        <f t="shared" ref="H361:AD361" si="141">SUM(H338:H360)</f>
        <v>0</v>
      </c>
      <c r="I361" s="427">
        <f t="shared" si="141"/>
        <v>1.8164099999999999</v>
      </c>
      <c r="J361" s="427">
        <f t="shared" si="141"/>
        <v>4.8437599999999996</v>
      </c>
      <c r="K361" s="427">
        <f t="shared" si="141"/>
        <v>6.0546999999999995</v>
      </c>
      <c r="L361" s="427">
        <f t="shared" si="141"/>
        <v>6.0546999999999995</v>
      </c>
      <c r="M361" s="427">
        <f t="shared" si="141"/>
        <v>6.0546999999999995</v>
      </c>
      <c r="N361" s="427">
        <f t="shared" si="141"/>
        <v>6.0546999999999995</v>
      </c>
      <c r="O361" s="427">
        <f t="shared" si="141"/>
        <v>6.0546999999999995</v>
      </c>
      <c r="P361" s="427">
        <f t="shared" si="141"/>
        <v>6.0546999999999995</v>
      </c>
      <c r="Q361" s="427">
        <f t="shared" si="141"/>
        <v>6.0546999999999995</v>
      </c>
      <c r="R361" s="427">
        <f t="shared" si="141"/>
        <v>6.0546999999999995</v>
      </c>
      <c r="S361" s="427">
        <f t="shared" si="141"/>
        <v>6.0546999999999995</v>
      </c>
      <c r="T361" s="427">
        <f t="shared" si="141"/>
        <v>6.0546999999999995</v>
      </c>
      <c r="U361" s="427">
        <f t="shared" si="141"/>
        <v>6.2666144999999993</v>
      </c>
      <c r="V361" s="427">
        <f t="shared" si="141"/>
        <v>6.2666144999999993</v>
      </c>
      <c r="W361" s="427">
        <f t="shared" si="141"/>
        <v>6.2666144999999993</v>
      </c>
      <c r="X361" s="427">
        <f t="shared" si="141"/>
        <v>6.2666144999999993</v>
      </c>
      <c r="Y361" s="427">
        <f t="shared" si="141"/>
        <v>6.2666144999999993</v>
      </c>
      <c r="Z361" s="427">
        <f t="shared" si="141"/>
        <v>6.2666144999999993</v>
      </c>
      <c r="AA361" s="427">
        <f t="shared" si="141"/>
        <v>6.2666144999999993</v>
      </c>
      <c r="AB361" s="427">
        <f t="shared" si="141"/>
        <v>6.2666144999999993</v>
      </c>
      <c r="AC361" s="427">
        <f t="shared" si="141"/>
        <v>6.2666144999999993</v>
      </c>
      <c r="AD361" s="427">
        <f t="shared" si="141"/>
        <v>6.2666144999999993</v>
      </c>
    </row>
    <row r="362" spans="3:30" ht="14" thickTop="1"/>
    <row r="363" spans="3:30" ht="28">
      <c r="C363" s="428" t="s">
        <v>166</v>
      </c>
      <c r="D363" s="428" t="s">
        <v>88</v>
      </c>
      <c r="E363" s="428" t="s">
        <v>555</v>
      </c>
      <c r="F363" s="429" t="s">
        <v>556</v>
      </c>
      <c r="G363" s="430"/>
      <c r="H363" s="201">
        <f t="shared" ref="H363:AD363" si="142">H335</f>
        <v>46023</v>
      </c>
      <c r="I363" s="201">
        <f t="shared" si="142"/>
        <v>46389</v>
      </c>
      <c r="J363" s="201">
        <f t="shared" si="142"/>
        <v>46755</v>
      </c>
      <c r="K363" s="201">
        <f t="shared" si="142"/>
        <v>47121</v>
      </c>
      <c r="L363" s="201">
        <f t="shared" si="142"/>
        <v>47487</v>
      </c>
      <c r="M363" s="201">
        <f t="shared" si="142"/>
        <v>47853</v>
      </c>
      <c r="N363" s="201">
        <f t="shared" si="142"/>
        <v>48219</v>
      </c>
      <c r="O363" s="201">
        <f t="shared" si="142"/>
        <v>48585</v>
      </c>
      <c r="P363" s="201">
        <f t="shared" si="142"/>
        <v>48951</v>
      </c>
      <c r="Q363" s="201">
        <f t="shared" si="142"/>
        <v>49317</v>
      </c>
      <c r="R363" s="201">
        <f t="shared" si="142"/>
        <v>49683</v>
      </c>
      <c r="S363" s="201">
        <f t="shared" si="142"/>
        <v>50049</v>
      </c>
      <c r="T363" s="201">
        <f t="shared" si="142"/>
        <v>50415</v>
      </c>
      <c r="U363" s="201">
        <f t="shared" si="142"/>
        <v>50781</v>
      </c>
      <c r="V363" s="201">
        <f t="shared" si="142"/>
        <v>51147</v>
      </c>
      <c r="W363" s="201">
        <f t="shared" si="142"/>
        <v>51513</v>
      </c>
      <c r="X363" s="201">
        <f t="shared" si="142"/>
        <v>51879</v>
      </c>
      <c r="Y363" s="201">
        <f t="shared" si="142"/>
        <v>52245</v>
      </c>
      <c r="Z363" s="201">
        <f t="shared" si="142"/>
        <v>52611</v>
      </c>
      <c r="AA363" s="201">
        <f t="shared" si="142"/>
        <v>52977</v>
      </c>
      <c r="AB363" s="201">
        <f t="shared" si="142"/>
        <v>53343</v>
      </c>
      <c r="AC363" s="201">
        <f t="shared" si="142"/>
        <v>53709</v>
      </c>
      <c r="AD363" s="201">
        <f t="shared" si="142"/>
        <v>54075</v>
      </c>
    </row>
    <row r="364" spans="3:30">
      <c r="C364" s="430"/>
      <c r="D364" s="430"/>
      <c r="E364" s="428" t="s">
        <v>134</v>
      </c>
      <c r="F364" s="428" t="s">
        <v>134</v>
      </c>
      <c r="G364" s="430"/>
      <c r="H364" s="1141">
        <f t="shared" ref="H364:AD364" si="143">H336</f>
        <v>-4</v>
      </c>
      <c r="I364" s="1141">
        <f t="shared" si="143"/>
        <v>-3</v>
      </c>
      <c r="J364" s="1141">
        <f t="shared" si="143"/>
        <v>-2</v>
      </c>
      <c r="K364" s="1141">
        <f t="shared" si="143"/>
        <v>-1</v>
      </c>
      <c r="L364" s="1141">
        <f t="shared" si="143"/>
        <v>1</v>
      </c>
      <c r="M364" s="1141">
        <f t="shared" si="143"/>
        <v>2</v>
      </c>
      <c r="N364" s="1141">
        <f t="shared" si="143"/>
        <v>3</v>
      </c>
      <c r="O364" s="1141">
        <f t="shared" si="143"/>
        <v>4</v>
      </c>
      <c r="P364" s="1141">
        <f t="shared" si="143"/>
        <v>5</v>
      </c>
      <c r="Q364" s="1141">
        <f t="shared" si="143"/>
        <v>6</v>
      </c>
      <c r="R364" s="1141">
        <f t="shared" si="143"/>
        <v>7</v>
      </c>
      <c r="S364" s="1141">
        <f t="shared" si="143"/>
        <v>8</v>
      </c>
      <c r="T364" s="1141">
        <f t="shared" si="143"/>
        <v>9</v>
      </c>
      <c r="U364" s="1141">
        <f t="shared" si="143"/>
        <v>10</v>
      </c>
      <c r="V364" s="1141">
        <f t="shared" si="143"/>
        <v>11</v>
      </c>
      <c r="W364" s="1141">
        <f t="shared" si="143"/>
        <v>12</v>
      </c>
      <c r="X364" s="1141">
        <f t="shared" si="143"/>
        <v>13</v>
      </c>
      <c r="Y364" s="1141">
        <f t="shared" si="143"/>
        <v>14</v>
      </c>
      <c r="Z364" s="1141">
        <f t="shared" si="143"/>
        <v>15</v>
      </c>
      <c r="AA364" s="1141">
        <f t="shared" si="143"/>
        <v>16</v>
      </c>
      <c r="AB364" s="1141">
        <f t="shared" si="143"/>
        <v>17</v>
      </c>
      <c r="AC364" s="1141">
        <f t="shared" si="143"/>
        <v>18</v>
      </c>
      <c r="AD364" s="1141">
        <f t="shared" si="143"/>
        <v>19</v>
      </c>
    </row>
    <row r="365" spans="3:30">
      <c r="C365" s="191" t="str">
        <f>C77</f>
        <v>Fire Fighting &amp; Dust Suppression</v>
      </c>
    </row>
    <row r="366" spans="3:30">
      <c r="C366" s="201" cm="1">
        <f t="array" ref="C366:C388">TRANSPOSE(H363:AD363)</f>
        <v>46023</v>
      </c>
      <c r="D366" s="94" t="s">
        <v>134</v>
      </c>
      <c r="E366" s="424">
        <f t="shared" ref="E366:E388" si="144">HLOOKUP($C366,$H$39:$AI$112,41,FALSE)</f>
        <v>0</v>
      </c>
      <c r="F366" s="209">
        <f>E366*$F$77</f>
        <v>0</v>
      </c>
      <c r="H366" s="424">
        <f>IF(OR(H$363&lt;$C366,H$363&lt;$H$2),0,MIN($E366-SUM($G366:G366),$F366))</f>
        <v>0</v>
      </c>
      <c r="I366" s="424">
        <f>IF(OR(I$363&lt;$C366,I$363&lt;$H$2),0,MIN($E366-SUM($G366:H366),$F366))</f>
        <v>0</v>
      </c>
      <c r="J366" s="424">
        <f>IF(OR(J$363&lt;$C366,J$363&lt;$H$2),0,MIN($E366-SUM($G366:I366),$F366))</f>
        <v>0</v>
      </c>
      <c r="K366" s="424">
        <f>IF(OR(K$363&lt;$C366,K$363&lt;$H$2),0,MIN($E366-SUM($G366:J366),$F366))</f>
        <v>0</v>
      </c>
      <c r="L366" s="424">
        <f>IF(OR(L$363&lt;$C366,L$363&lt;$H$2),0,MIN($E366-SUM($G366:K366),$F366))</f>
        <v>0</v>
      </c>
      <c r="M366" s="424">
        <f>IF(OR(M$363&lt;$C366,M$363&lt;$H$2),0,MIN($E366-SUM($G366:L366),$F366))</f>
        <v>0</v>
      </c>
      <c r="N366" s="424">
        <f>IF(OR(N$363&lt;$C366,N$363&lt;$H$2),0,MIN($E366-SUM($G366:M366),$F366))</f>
        <v>0</v>
      </c>
      <c r="O366" s="424">
        <f>IF(OR(O$363&lt;$C366,O$363&lt;$H$2),0,MIN($E366-SUM($G366:N366),$F366))</f>
        <v>0</v>
      </c>
      <c r="P366" s="424">
        <f>IF(OR(P$363&lt;$C366,P$363&lt;$H$2),0,MIN($E366-SUM($G366:O366),$F366))</f>
        <v>0</v>
      </c>
      <c r="Q366" s="424">
        <f>IF(OR(Q$363&lt;$C366,Q$363&lt;$H$2),0,MIN($E366-SUM($G366:P366),$F366))</f>
        <v>0</v>
      </c>
      <c r="R366" s="424">
        <f>IF(OR(R$363&lt;$C366,R$363&lt;$H$2),0,MIN($E366-SUM($G366:Q366),$F366))</f>
        <v>0</v>
      </c>
      <c r="S366" s="424">
        <f>IF(OR(S$363&lt;$C366,S$363&lt;$H$2),0,MIN($E366-SUM($G366:R366),$F366))</f>
        <v>0</v>
      </c>
      <c r="T366" s="424">
        <f>IF(OR(T$363&lt;$C366,T$363&lt;$H$2),0,MIN($E366-SUM($G366:S366),$F366))</f>
        <v>0</v>
      </c>
      <c r="U366" s="424">
        <f>IF(OR(U$363&lt;$C366,U$363&lt;$H$2),0,MIN($E366-SUM($G366:T366),$F366))</f>
        <v>0</v>
      </c>
      <c r="V366" s="424">
        <f>IF(OR(V$363&lt;$C366,V$363&lt;$H$2),0,MIN($E366-SUM($G366:U366),$F366))</f>
        <v>0</v>
      </c>
      <c r="W366" s="424">
        <f>IF(OR(W$363&lt;$C366,W$363&lt;$H$2),0,MIN($E366-SUM($G366:V366),$F366))</f>
        <v>0</v>
      </c>
      <c r="X366" s="424">
        <f>IF(OR(X$363&lt;$C366,X$363&lt;$H$2),0,MIN($E366-SUM($G366:W366),$F366))</f>
        <v>0</v>
      </c>
      <c r="Y366" s="424">
        <f>IF(OR(Y$363&lt;$C366,Y$363&lt;$H$2),0,MIN($E366-SUM($G366:X366),$F366))</f>
        <v>0</v>
      </c>
      <c r="Z366" s="424">
        <f>IF(OR(Z$363&lt;$C366,Z$363&lt;$H$2),0,MIN($E366-SUM($G366:Y366),$F366))</f>
        <v>0</v>
      </c>
      <c r="AA366" s="424">
        <f>IF(OR(AA$363&lt;$C366,AA$363&lt;$H$2),0,MIN($E366-SUM($G366:Z366),$F366))</f>
        <v>0</v>
      </c>
      <c r="AB366" s="424">
        <f>IF(OR(AB$363&lt;$C366,AB$363&lt;$H$2),0,MIN($E366-SUM($G366:AA366),$F366))</f>
        <v>0</v>
      </c>
      <c r="AC366" s="424">
        <f>IF(OR(AC$363&lt;$C366,AC$363&lt;$H$2),0,MIN($E366-SUM($G366:AB366),$F366))</f>
        <v>0</v>
      </c>
      <c r="AD366" s="424">
        <f>IF(OR(AD$363&lt;$C366,AD$363&lt;$H$2),0,MIN($E366-SUM($G366:AC366),$F366))</f>
        <v>0</v>
      </c>
    </row>
    <row r="367" spans="3:30">
      <c r="C367" s="201">
        <v>46389</v>
      </c>
      <c r="D367" s="94" t="s">
        <v>134</v>
      </c>
      <c r="E367" s="424">
        <f t="shared" si="144"/>
        <v>4.335</v>
      </c>
      <c r="F367" s="209">
        <f t="shared" ref="F367:F388" si="145">E367*$F$77</f>
        <v>0.28914449999999997</v>
      </c>
      <c r="H367" s="424">
        <f>IF(OR(H$363&lt;$C367,H$363&lt;$H$2),0,MIN($E367-SUM($G367:G367),$F367))</f>
        <v>0</v>
      </c>
      <c r="I367" s="424">
        <f>IF(OR(I$363&lt;$C367,I$363&lt;$H$2),0,MIN($E367-SUM($G367:H367),$F367))</f>
        <v>0.28914449999999997</v>
      </c>
      <c r="J367" s="424">
        <f>IF(OR(J$363&lt;$C367,J$363&lt;$H$2),0,MIN($E367-SUM($G367:I367),$F367))</f>
        <v>0.28914449999999997</v>
      </c>
      <c r="K367" s="424">
        <f>IF(OR(K$363&lt;$C367,K$363&lt;$H$2),0,MIN($E367-SUM($G367:J367),$F367))</f>
        <v>0.28914449999999997</v>
      </c>
      <c r="L367" s="424">
        <f>IF(OR(L$363&lt;$C367,L$363&lt;$H$2),0,MIN($E367-SUM($G367:K367),$F367))</f>
        <v>0.28914449999999997</v>
      </c>
      <c r="M367" s="424">
        <f>IF(OR(M$363&lt;$C367,M$363&lt;$H$2),0,MIN($E367-SUM($G367:L367),$F367))</f>
        <v>0.28914449999999997</v>
      </c>
      <c r="N367" s="424">
        <f>IF(OR(N$363&lt;$C367,N$363&lt;$H$2),0,MIN($E367-SUM($G367:M367),$F367))</f>
        <v>0.28914449999999997</v>
      </c>
      <c r="O367" s="424">
        <f>IF(OR(O$363&lt;$C367,O$363&lt;$H$2),0,MIN($E367-SUM($G367:N367),$F367))</f>
        <v>0.28914449999999997</v>
      </c>
      <c r="P367" s="424">
        <f>IF(OR(P$363&lt;$C367,P$363&lt;$H$2),0,MIN($E367-SUM($G367:O367),$F367))</f>
        <v>0.28914449999999997</v>
      </c>
      <c r="Q367" s="424">
        <f>IF(OR(Q$363&lt;$C367,Q$363&lt;$H$2),0,MIN($E367-SUM($G367:P367),$F367))</f>
        <v>0.28914449999999997</v>
      </c>
      <c r="R367" s="424">
        <f>IF(OR(R$363&lt;$C367,R$363&lt;$H$2),0,MIN($E367-SUM($G367:Q367),$F367))</f>
        <v>0.28914449999999997</v>
      </c>
      <c r="S367" s="424">
        <f>IF(OR(S$363&lt;$C367,S$363&lt;$H$2),0,MIN($E367-SUM($G367:R367),$F367))</f>
        <v>0.28914449999999997</v>
      </c>
      <c r="T367" s="424">
        <f>IF(OR(T$363&lt;$C367,T$363&lt;$H$2),0,MIN($E367-SUM($G367:S367),$F367))</f>
        <v>0.28914449999999997</v>
      </c>
      <c r="U367" s="424">
        <f>IF(OR(U$363&lt;$C367,U$363&lt;$H$2),0,MIN($E367-SUM($G367:T367),$F367))</f>
        <v>0.28914449999999997</v>
      </c>
      <c r="V367" s="424">
        <f>IF(OR(V$363&lt;$C367,V$363&lt;$H$2),0,MIN($E367-SUM($G367:U367),$F367))</f>
        <v>0.28914449999999997</v>
      </c>
      <c r="W367" s="424">
        <f>IF(OR(W$363&lt;$C367,W$363&lt;$H$2),0,MIN($E367-SUM($G367:V367),$F367))</f>
        <v>0.28697700000000026</v>
      </c>
      <c r="X367" s="424">
        <f>IF(OR(X$363&lt;$C367,X$363&lt;$H$2),0,MIN($E367-SUM($G367:W367),$F367))</f>
        <v>0</v>
      </c>
      <c r="Y367" s="424">
        <f>IF(OR(Y$363&lt;$C367,Y$363&lt;$H$2),0,MIN($E367-SUM($G367:X367),$F367))</f>
        <v>0</v>
      </c>
      <c r="Z367" s="424">
        <f>IF(OR(Z$363&lt;$C367,Z$363&lt;$H$2),0,MIN($E367-SUM($G367:Y367),$F367))</f>
        <v>0</v>
      </c>
      <c r="AA367" s="424">
        <f>IF(OR(AA$363&lt;$C367,AA$363&lt;$H$2),0,MIN($E367-SUM($G367:Z367),$F367))</f>
        <v>0</v>
      </c>
      <c r="AB367" s="424">
        <f>IF(OR(AB$363&lt;$C367,AB$363&lt;$H$2),0,MIN($E367-SUM($G367:AA367),$F367))</f>
        <v>0</v>
      </c>
      <c r="AC367" s="424">
        <f>IF(OR(AC$363&lt;$C367,AC$363&lt;$H$2),0,MIN($E367-SUM($G367:AB367),$F367))</f>
        <v>0</v>
      </c>
      <c r="AD367" s="424">
        <f>IF(OR(AD$363&lt;$C367,AD$363&lt;$H$2),0,MIN($E367-SUM($G367:AC367),$F367))</f>
        <v>0</v>
      </c>
    </row>
    <row r="368" spans="3:30">
      <c r="C368" s="201">
        <v>46755</v>
      </c>
      <c r="D368" s="94" t="s">
        <v>134</v>
      </c>
      <c r="E368" s="424">
        <f t="shared" si="144"/>
        <v>7.2249999999999996</v>
      </c>
      <c r="F368" s="209">
        <f t="shared" si="145"/>
        <v>0.48190749999999993</v>
      </c>
      <c r="H368" s="424">
        <f>IF(OR(H$363&lt;$C368,H$363&lt;$H$2),0,MIN($E368-SUM($G368:G368),$F368))</f>
        <v>0</v>
      </c>
      <c r="I368" s="424">
        <f>IF(OR(I$363&lt;$C368,I$363&lt;$H$2),0,MIN($E368-SUM($G368:H368),$F368))</f>
        <v>0</v>
      </c>
      <c r="J368" s="424">
        <f>IF(OR(J$363&lt;$C368,J$363&lt;$H$2),0,MIN($E368-SUM($G368:I368),$F368))</f>
        <v>0.48190749999999993</v>
      </c>
      <c r="K368" s="424">
        <f>IF(OR(K$363&lt;$C368,K$363&lt;$H$2),0,MIN($E368-SUM($G368:J368),$F368))</f>
        <v>0.48190749999999993</v>
      </c>
      <c r="L368" s="424">
        <f>IF(OR(L$363&lt;$C368,L$363&lt;$H$2),0,MIN($E368-SUM($G368:K368),$F368))</f>
        <v>0.48190749999999993</v>
      </c>
      <c r="M368" s="424">
        <f>IF(OR(M$363&lt;$C368,M$363&lt;$H$2),0,MIN($E368-SUM($G368:L368),$F368))</f>
        <v>0.48190749999999993</v>
      </c>
      <c r="N368" s="424">
        <f>IF(OR(N$363&lt;$C368,N$363&lt;$H$2),0,MIN($E368-SUM($G368:M368),$F368))</f>
        <v>0.48190749999999993</v>
      </c>
      <c r="O368" s="424">
        <f>IF(OR(O$363&lt;$C368,O$363&lt;$H$2),0,MIN($E368-SUM($G368:N368),$F368))</f>
        <v>0.48190749999999993</v>
      </c>
      <c r="P368" s="424">
        <f>IF(OR(P$363&lt;$C368,P$363&lt;$H$2),0,MIN($E368-SUM($G368:O368),$F368))</f>
        <v>0.48190749999999993</v>
      </c>
      <c r="Q368" s="424">
        <f>IF(OR(Q$363&lt;$C368,Q$363&lt;$H$2),0,MIN($E368-SUM($G368:P368),$F368))</f>
        <v>0.48190749999999993</v>
      </c>
      <c r="R368" s="424">
        <f>IF(OR(R$363&lt;$C368,R$363&lt;$H$2),0,MIN($E368-SUM($G368:Q368),$F368))</f>
        <v>0.48190749999999993</v>
      </c>
      <c r="S368" s="424">
        <f>IF(OR(S$363&lt;$C368,S$363&lt;$H$2),0,MIN($E368-SUM($G368:R368),$F368))</f>
        <v>0.48190749999999993</v>
      </c>
      <c r="T368" s="424">
        <f>IF(OR(T$363&lt;$C368,T$363&lt;$H$2),0,MIN($E368-SUM($G368:S368),$F368))</f>
        <v>0.48190749999999993</v>
      </c>
      <c r="U368" s="424">
        <f>IF(OR(U$363&lt;$C368,U$363&lt;$H$2),0,MIN($E368-SUM($G368:T368),$F368))</f>
        <v>0.48190749999999993</v>
      </c>
      <c r="V368" s="424">
        <f>IF(OR(V$363&lt;$C368,V$363&lt;$H$2),0,MIN($E368-SUM($G368:U368),$F368))</f>
        <v>0.48190749999999993</v>
      </c>
      <c r="W368" s="424">
        <f>IF(OR(W$363&lt;$C368,W$363&lt;$H$2),0,MIN($E368-SUM($G368:V368),$F368))</f>
        <v>0.48190749999999993</v>
      </c>
      <c r="X368" s="424">
        <f>IF(OR(X$363&lt;$C368,X$363&lt;$H$2),0,MIN($E368-SUM($G368:W368),$F368))</f>
        <v>0.47829499999999836</v>
      </c>
      <c r="Y368" s="424">
        <f>IF(OR(Y$363&lt;$C368,Y$363&lt;$H$2),0,MIN($E368-SUM($G368:X368),$F368))</f>
        <v>0</v>
      </c>
      <c r="Z368" s="424">
        <f>IF(OR(Z$363&lt;$C368,Z$363&lt;$H$2),0,MIN($E368-SUM($G368:Y368),$F368))</f>
        <v>0</v>
      </c>
      <c r="AA368" s="424">
        <f>IF(OR(AA$363&lt;$C368,AA$363&lt;$H$2),0,MIN($E368-SUM($G368:Z368),$F368))</f>
        <v>0</v>
      </c>
      <c r="AB368" s="424">
        <f>IF(OR(AB$363&lt;$C368,AB$363&lt;$H$2),0,MIN($E368-SUM($G368:AA368),$F368))</f>
        <v>0</v>
      </c>
      <c r="AC368" s="424">
        <f>IF(OR(AC$363&lt;$C368,AC$363&lt;$H$2),0,MIN($E368-SUM($G368:AB368),$F368))</f>
        <v>0</v>
      </c>
      <c r="AD368" s="424">
        <f>IF(OR(AD$363&lt;$C368,AD$363&lt;$H$2),0,MIN($E368-SUM($G368:AC368),$F368))</f>
        <v>0</v>
      </c>
    </row>
    <row r="369" spans="3:30">
      <c r="C369" s="201">
        <v>47121</v>
      </c>
      <c r="D369" s="94" t="s">
        <v>134</v>
      </c>
      <c r="E369" s="424">
        <f t="shared" si="144"/>
        <v>2.89</v>
      </c>
      <c r="F369" s="209">
        <f t="shared" si="145"/>
        <v>0.19276299999999999</v>
      </c>
      <c r="H369" s="424">
        <f>IF(OR(H$363&lt;$C369,H$363&lt;$H$2),0,MIN($E369-SUM($G369:G369),$F369))</f>
        <v>0</v>
      </c>
      <c r="I369" s="424">
        <f>IF(OR(I$363&lt;$C369,I$363&lt;$H$2),0,MIN($E369-SUM($G369:H369),$F369))</f>
        <v>0</v>
      </c>
      <c r="J369" s="424">
        <f>IF(OR(J$363&lt;$C369,J$363&lt;$H$2),0,MIN($E369-SUM($G369:I369),$F369))</f>
        <v>0</v>
      </c>
      <c r="K369" s="424">
        <f>IF(OR(K$363&lt;$C369,K$363&lt;$H$2),0,MIN($E369-SUM($G369:J369),$F369))</f>
        <v>0.19276299999999999</v>
      </c>
      <c r="L369" s="424">
        <f>IF(OR(L$363&lt;$C369,L$363&lt;$H$2),0,MIN($E369-SUM($G369:K369),$F369))</f>
        <v>0.19276299999999999</v>
      </c>
      <c r="M369" s="424">
        <f>IF(OR(M$363&lt;$C369,M$363&lt;$H$2),0,MIN($E369-SUM($G369:L369),$F369))</f>
        <v>0.19276299999999999</v>
      </c>
      <c r="N369" s="424">
        <f>IF(OR(N$363&lt;$C369,N$363&lt;$H$2),0,MIN($E369-SUM($G369:M369),$F369))</f>
        <v>0.19276299999999999</v>
      </c>
      <c r="O369" s="424">
        <f>IF(OR(O$363&lt;$C369,O$363&lt;$H$2),0,MIN($E369-SUM($G369:N369),$F369))</f>
        <v>0.19276299999999999</v>
      </c>
      <c r="P369" s="424">
        <f>IF(OR(P$363&lt;$C369,P$363&lt;$H$2),0,MIN($E369-SUM($G369:O369),$F369))</f>
        <v>0.19276299999999999</v>
      </c>
      <c r="Q369" s="424">
        <f>IF(OR(Q$363&lt;$C369,Q$363&lt;$H$2),0,MIN($E369-SUM($G369:P369),$F369))</f>
        <v>0.19276299999999999</v>
      </c>
      <c r="R369" s="424">
        <f>IF(OR(R$363&lt;$C369,R$363&lt;$H$2),0,MIN($E369-SUM($G369:Q369),$F369))</f>
        <v>0.19276299999999999</v>
      </c>
      <c r="S369" s="424">
        <f>IF(OR(S$363&lt;$C369,S$363&lt;$H$2),0,MIN($E369-SUM($G369:R369),$F369))</f>
        <v>0.19276299999999999</v>
      </c>
      <c r="T369" s="424">
        <f>IF(OR(T$363&lt;$C369,T$363&lt;$H$2),0,MIN($E369-SUM($G369:S369),$F369))</f>
        <v>0.19276299999999999</v>
      </c>
      <c r="U369" s="424">
        <f>IF(OR(U$363&lt;$C369,U$363&lt;$H$2),0,MIN($E369-SUM($G369:T369),$F369))</f>
        <v>0.19276299999999999</v>
      </c>
      <c r="V369" s="424">
        <f>IF(OR(V$363&lt;$C369,V$363&lt;$H$2),0,MIN($E369-SUM($G369:U369),$F369))</f>
        <v>0.19276299999999999</v>
      </c>
      <c r="W369" s="424">
        <f>IF(OR(W$363&lt;$C369,W$363&lt;$H$2),0,MIN($E369-SUM($G369:V369),$F369))</f>
        <v>0.19276299999999999</v>
      </c>
      <c r="X369" s="424">
        <f>IF(OR(X$363&lt;$C369,X$363&lt;$H$2),0,MIN($E369-SUM($G369:W369),$F369))</f>
        <v>0.19276299999999999</v>
      </c>
      <c r="Y369" s="424">
        <f>IF(OR(Y$363&lt;$C369,Y$363&lt;$H$2),0,MIN($E369-SUM($G369:X369),$F369))</f>
        <v>0.19131800000000077</v>
      </c>
      <c r="Z369" s="424">
        <f>IF(OR(Z$363&lt;$C369,Z$363&lt;$H$2),0,MIN($E369-SUM($G369:Y369),$F369))</f>
        <v>0</v>
      </c>
      <c r="AA369" s="424">
        <f>IF(OR(AA$363&lt;$C369,AA$363&lt;$H$2),0,MIN($E369-SUM($G369:Z369),$F369))</f>
        <v>0</v>
      </c>
      <c r="AB369" s="424">
        <f>IF(OR(AB$363&lt;$C369,AB$363&lt;$H$2),0,MIN($E369-SUM($G369:AA369),$F369))</f>
        <v>0</v>
      </c>
      <c r="AC369" s="424">
        <f>IF(OR(AC$363&lt;$C369,AC$363&lt;$H$2),0,MIN($E369-SUM($G369:AB369),$F369))</f>
        <v>0</v>
      </c>
      <c r="AD369" s="424">
        <f>IF(OR(AD$363&lt;$C369,AD$363&lt;$H$2),0,MIN($E369-SUM($G369:AC369),$F369))</f>
        <v>0</v>
      </c>
    </row>
    <row r="370" spans="3:30">
      <c r="C370" s="201">
        <v>47487</v>
      </c>
      <c r="D370" s="94" t="s">
        <v>134</v>
      </c>
      <c r="E370" s="424">
        <f t="shared" si="144"/>
        <v>0</v>
      </c>
      <c r="F370" s="209">
        <f t="shared" si="145"/>
        <v>0</v>
      </c>
      <c r="H370" s="424">
        <f>IF(OR(H$363&lt;$C370,H$363&lt;$H$2),0,MIN($E370-SUM($G370:G370),$F370))</f>
        <v>0</v>
      </c>
      <c r="I370" s="424">
        <f>IF(OR(I$363&lt;$C370,I$363&lt;$H$2),0,MIN($E370-SUM($G370:H370),$F370))</f>
        <v>0</v>
      </c>
      <c r="J370" s="424">
        <f>IF(OR(J$363&lt;$C370,J$363&lt;$H$2),0,MIN($E370-SUM($G370:I370),$F370))</f>
        <v>0</v>
      </c>
      <c r="K370" s="424">
        <f>IF(OR(K$363&lt;$C370,K$363&lt;$H$2),0,MIN($E370-SUM($G370:J370),$F370))</f>
        <v>0</v>
      </c>
      <c r="L370" s="424">
        <f>IF(OR(L$363&lt;$C370,L$363&lt;$H$2),0,MIN($E370-SUM($G370:K370),$F370))</f>
        <v>0</v>
      </c>
      <c r="M370" s="424">
        <f>IF(OR(M$363&lt;$C370,M$363&lt;$H$2),0,MIN($E370-SUM($G370:L370),$F370))</f>
        <v>0</v>
      </c>
      <c r="N370" s="424">
        <f>IF(OR(N$363&lt;$C370,N$363&lt;$H$2),0,MIN($E370-SUM($G370:M370),$F370))</f>
        <v>0</v>
      </c>
      <c r="O370" s="424">
        <f>IF(OR(O$363&lt;$C370,O$363&lt;$H$2),0,MIN($E370-SUM($G370:N370),$F370))</f>
        <v>0</v>
      </c>
      <c r="P370" s="424">
        <f>IF(OR(P$363&lt;$C370,P$363&lt;$H$2),0,MIN($E370-SUM($G370:O370),$F370))</f>
        <v>0</v>
      </c>
      <c r="Q370" s="424">
        <f>IF(OR(Q$363&lt;$C370,Q$363&lt;$H$2),0,MIN($E370-SUM($G370:P370),$F370))</f>
        <v>0</v>
      </c>
      <c r="R370" s="424">
        <f>IF(OR(R$363&lt;$C370,R$363&lt;$H$2),0,MIN($E370-SUM($G370:Q370),$F370))</f>
        <v>0</v>
      </c>
      <c r="S370" s="424">
        <f>IF(OR(S$363&lt;$C370,S$363&lt;$H$2),0,MIN($E370-SUM($G370:R370),$F370))</f>
        <v>0</v>
      </c>
      <c r="T370" s="424">
        <f>IF(OR(T$363&lt;$C370,T$363&lt;$H$2),0,MIN($E370-SUM($G370:S370),$F370))</f>
        <v>0</v>
      </c>
      <c r="U370" s="424">
        <f>IF(OR(U$363&lt;$C370,U$363&lt;$H$2),0,MIN($E370-SUM($G370:T370),$F370))</f>
        <v>0</v>
      </c>
      <c r="V370" s="424">
        <f>IF(OR(V$363&lt;$C370,V$363&lt;$H$2),0,MIN($E370-SUM($G370:U370),$F370))</f>
        <v>0</v>
      </c>
      <c r="W370" s="424">
        <f>IF(OR(W$363&lt;$C370,W$363&lt;$H$2),0,MIN($E370-SUM($G370:V370),$F370))</f>
        <v>0</v>
      </c>
      <c r="X370" s="424">
        <f>IF(OR(X$363&lt;$C370,X$363&lt;$H$2),0,MIN($E370-SUM($G370:W370),$F370))</f>
        <v>0</v>
      </c>
      <c r="Y370" s="424">
        <f>IF(OR(Y$363&lt;$C370,Y$363&lt;$H$2),0,MIN($E370-SUM($G370:X370),$F370))</f>
        <v>0</v>
      </c>
      <c r="Z370" s="424">
        <f>IF(OR(Z$363&lt;$C370,Z$363&lt;$H$2),0,MIN($E370-SUM($G370:Y370),$F370))</f>
        <v>0</v>
      </c>
      <c r="AA370" s="424">
        <f>IF(OR(AA$363&lt;$C370,AA$363&lt;$H$2),0,MIN($E370-SUM($G370:Z370),$F370))</f>
        <v>0</v>
      </c>
      <c r="AB370" s="424">
        <f>IF(OR(AB$363&lt;$C370,AB$363&lt;$H$2),0,MIN($E370-SUM($G370:AA370),$F370))</f>
        <v>0</v>
      </c>
      <c r="AC370" s="424">
        <f>IF(OR(AC$363&lt;$C370,AC$363&lt;$H$2),0,MIN($E370-SUM($G370:AB370),$F370))</f>
        <v>0</v>
      </c>
      <c r="AD370" s="424">
        <f>IF(OR(AD$363&lt;$C370,AD$363&lt;$H$2),0,MIN($E370-SUM($G370:AC370),$F370))</f>
        <v>0</v>
      </c>
    </row>
    <row r="371" spans="3:30">
      <c r="C371" s="201">
        <v>47853</v>
      </c>
      <c r="D371" s="94" t="s">
        <v>134</v>
      </c>
      <c r="E371" s="424">
        <f t="shared" si="144"/>
        <v>0</v>
      </c>
      <c r="F371" s="209">
        <f t="shared" si="145"/>
        <v>0</v>
      </c>
      <c r="H371" s="424">
        <f>IF(OR(H$363&lt;$C371,H$363&lt;$H$2),0,MIN($E371-SUM($G371:G371),$F371))</f>
        <v>0</v>
      </c>
      <c r="I371" s="424">
        <f>IF(OR(I$363&lt;$C371,I$363&lt;$H$2),0,MIN($E371-SUM($G371:H371),$F371))</f>
        <v>0</v>
      </c>
      <c r="J371" s="424">
        <f>IF(OR(J$363&lt;$C371,J$363&lt;$H$2),0,MIN($E371-SUM($G371:I371),$F371))</f>
        <v>0</v>
      </c>
      <c r="K371" s="424">
        <f>IF(OR(K$363&lt;$C371,K$363&lt;$H$2),0,MIN($E371-SUM($G371:J371),$F371))</f>
        <v>0</v>
      </c>
      <c r="L371" s="424">
        <f>IF(OR(L$363&lt;$C371,L$363&lt;$H$2),0,MIN($E371-SUM($G371:K371),$F371))</f>
        <v>0</v>
      </c>
      <c r="M371" s="424">
        <f>IF(OR(M$363&lt;$C371,M$363&lt;$H$2),0,MIN($E371-SUM($G371:L371),$F371))</f>
        <v>0</v>
      </c>
      <c r="N371" s="424">
        <f>IF(OR(N$363&lt;$C371,N$363&lt;$H$2),0,MIN($E371-SUM($G371:M371),$F371))</f>
        <v>0</v>
      </c>
      <c r="O371" s="424">
        <f>IF(OR(O$363&lt;$C371,O$363&lt;$H$2),0,MIN($E371-SUM($G371:N371),$F371))</f>
        <v>0</v>
      </c>
      <c r="P371" s="424">
        <f>IF(OR(P$363&lt;$C371,P$363&lt;$H$2),0,MIN($E371-SUM($G371:O371),$F371))</f>
        <v>0</v>
      </c>
      <c r="Q371" s="424">
        <f>IF(OR(Q$363&lt;$C371,Q$363&lt;$H$2),0,MIN($E371-SUM($G371:P371),$F371))</f>
        <v>0</v>
      </c>
      <c r="R371" s="424">
        <f>IF(OR(R$363&lt;$C371,R$363&lt;$H$2),0,MIN($E371-SUM($G371:Q371),$F371))</f>
        <v>0</v>
      </c>
      <c r="S371" s="424">
        <f>IF(OR(S$363&lt;$C371,S$363&lt;$H$2),0,MIN($E371-SUM($G371:R371),$F371))</f>
        <v>0</v>
      </c>
      <c r="T371" s="424">
        <f>IF(OR(T$363&lt;$C371,T$363&lt;$H$2),0,MIN($E371-SUM($G371:S371),$F371))</f>
        <v>0</v>
      </c>
      <c r="U371" s="424">
        <f>IF(OR(U$363&lt;$C371,U$363&lt;$H$2),0,MIN($E371-SUM($G371:T371),$F371))</f>
        <v>0</v>
      </c>
      <c r="V371" s="424">
        <f>IF(OR(V$363&lt;$C371,V$363&lt;$H$2),0,MIN($E371-SUM($G371:U371),$F371))</f>
        <v>0</v>
      </c>
      <c r="W371" s="424">
        <f>IF(OR(W$363&lt;$C371,W$363&lt;$H$2),0,MIN($E371-SUM($G371:V371),$F371))</f>
        <v>0</v>
      </c>
      <c r="X371" s="424">
        <f>IF(OR(X$363&lt;$C371,X$363&lt;$H$2),0,MIN($E371-SUM($G371:W371),$F371))</f>
        <v>0</v>
      </c>
      <c r="Y371" s="424">
        <f>IF(OR(Y$363&lt;$C371,Y$363&lt;$H$2),0,MIN($E371-SUM($G371:X371),$F371))</f>
        <v>0</v>
      </c>
      <c r="Z371" s="424">
        <f>IF(OR(Z$363&lt;$C371,Z$363&lt;$H$2),0,MIN($E371-SUM($G371:Y371),$F371))</f>
        <v>0</v>
      </c>
      <c r="AA371" s="424">
        <f>IF(OR(AA$363&lt;$C371,AA$363&lt;$H$2),0,MIN($E371-SUM($G371:Z371),$F371))</f>
        <v>0</v>
      </c>
      <c r="AB371" s="424">
        <f>IF(OR(AB$363&lt;$C371,AB$363&lt;$H$2),0,MIN($E371-SUM($G371:AA371),$F371))</f>
        <v>0</v>
      </c>
      <c r="AC371" s="424">
        <f>IF(OR(AC$363&lt;$C371,AC$363&lt;$H$2),0,MIN($E371-SUM($G371:AB371),$F371))</f>
        <v>0</v>
      </c>
      <c r="AD371" s="424">
        <f>IF(OR(AD$363&lt;$C371,AD$363&lt;$H$2),0,MIN($E371-SUM($G371:AC371),$F371))</f>
        <v>0</v>
      </c>
    </row>
    <row r="372" spans="3:30">
      <c r="C372" s="201">
        <v>48219</v>
      </c>
      <c r="D372" s="94" t="s">
        <v>134</v>
      </c>
      <c r="E372" s="424">
        <f t="shared" si="144"/>
        <v>0</v>
      </c>
      <c r="F372" s="209">
        <f t="shared" si="145"/>
        <v>0</v>
      </c>
      <c r="H372" s="424">
        <f>IF(OR(H$363&lt;$C372,H$363&lt;$H$2),0,MIN($E372-SUM($G372:G372),$F372))</f>
        <v>0</v>
      </c>
      <c r="I372" s="424">
        <f>IF(OR(I$363&lt;$C372,I$363&lt;$H$2),0,MIN($E372-SUM($G372:H372),$F372))</f>
        <v>0</v>
      </c>
      <c r="J372" s="424">
        <f>IF(OR(J$363&lt;$C372,J$363&lt;$H$2),0,MIN($E372-SUM($G372:I372),$F372))</f>
        <v>0</v>
      </c>
      <c r="K372" s="424">
        <f>IF(OR(K$363&lt;$C372,K$363&lt;$H$2),0,MIN($E372-SUM($G372:J372),$F372))</f>
        <v>0</v>
      </c>
      <c r="L372" s="424">
        <f>IF(OR(L$363&lt;$C372,L$363&lt;$H$2),0,MIN($E372-SUM($G372:K372),$F372))</f>
        <v>0</v>
      </c>
      <c r="M372" s="424">
        <f>IF(OR(M$363&lt;$C372,M$363&lt;$H$2),0,MIN($E372-SUM($G372:L372),$F372))</f>
        <v>0</v>
      </c>
      <c r="N372" s="424">
        <f>IF(OR(N$363&lt;$C372,N$363&lt;$H$2),0,MIN($E372-SUM($G372:M372),$F372))</f>
        <v>0</v>
      </c>
      <c r="O372" s="424">
        <f>IF(OR(O$363&lt;$C372,O$363&lt;$H$2),0,MIN($E372-SUM($G372:N372),$F372))</f>
        <v>0</v>
      </c>
      <c r="P372" s="424">
        <f>IF(OR(P$363&lt;$C372,P$363&lt;$H$2),0,MIN($E372-SUM($G372:O372),$F372))</f>
        <v>0</v>
      </c>
      <c r="Q372" s="424">
        <f>IF(OR(Q$363&lt;$C372,Q$363&lt;$H$2),0,MIN($E372-SUM($G372:P372),$F372))</f>
        <v>0</v>
      </c>
      <c r="R372" s="424">
        <f>IF(OR(R$363&lt;$C372,R$363&lt;$H$2),0,MIN($E372-SUM($G372:Q372),$F372))</f>
        <v>0</v>
      </c>
      <c r="S372" s="424">
        <f>IF(OR(S$363&lt;$C372,S$363&lt;$H$2),0,MIN($E372-SUM($G372:R372),$F372))</f>
        <v>0</v>
      </c>
      <c r="T372" s="424">
        <f>IF(OR(T$363&lt;$C372,T$363&lt;$H$2),0,MIN($E372-SUM($G372:S372),$F372))</f>
        <v>0</v>
      </c>
      <c r="U372" s="424">
        <f>IF(OR(U$363&lt;$C372,U$363&lt;$H$2),0,MIN($E372-SUM($G372:T372),$F372))</f>
        <v>0</v>
      </c>
      <c r="V372" s="424">
        <f>IF(OR(V$363&lt;$C372,V$363&lt;$H$2),0,MIN($E372-SUM($G372:U372),$F372))</f>
        <v>0</v>
      </c>
      <c r="W372" s="424">
        <f>IF(OR(W$363&lt;$C372,W$363&lt;$H$2),0,MIN($E372-SUM($G372:V372),$F372))</f>
        <v>0</v>
      </c>
      <c r="X372" s="424">
        <f>IF(OR(X$363&lt;$C372,X$363&lt;$H$2),0,MIN($E372-SUM($G372:W372),$F372))</f>
        <v>0</v>
      </c>
      <c r="Y372" s="424">
        <f>IF(OR(Y$363&lt;$C372,Y$363&lt;$H$2),0,MIN($E372-SUM($G372:X372),$F372))</f>
        <v>0</v>
      </c>
      <c r="Z372" s="424">
        <f>IF(OR(Z$363&lt;$C372,Z$363&lt;$H$2),0,MIN($E372-SUM($G372:Y372),$F372))</f>
        <v>0</v>
      </c>
      <c r="AA372" s="424">
        <f>IF(OR(AA$363&lt;$C372,AA$363&lt;$H$2),0,MIN($E372-SUM($G372:Z372),$F372))</f>
        <v>0</v>
      </c>
      <c r="AB372" s="424">
        <f>IF(OR(AB$363&lt;$C372,AB$363&lt;$H$2),0,MIN($E372-SUM($G372:AA372),$F372))</f>
        <v>0</v>
      </c>
      <c r="AC372" s="424">
        <f>IF(OR(AC$363&lt;$C372,AC$363&lt;$H$2),0,MIN($E372-SUM($G372:AB372),$F372))</f>
        <v>0</v>
      </c>
      <c r="AD372" s="424">
        <f>IF(OR(AD$363&lt;$C372,AD$363&lt;$H$2),0,MIN($E372-SUM($G372:AC372),$F372))</f>
        <v>0</v>
      </c>
    </row>
    <row r="373" spans="3:30">
      <c r="C373" s="201">
        <v>48585</v>
      </c>
      <c r="D373" s="94" t="s">
        <v>134</v>
      </c>
      <c r="E373" s="424">
        <f t="shared" si="144"/>
        <v>0</v>
      </c>
      <c r="F373" s="209">
        <f t="shared" si="145"/>
        <v>0</v>
      </c>
      <c r="H373" s="424">
        <f>IF(OR(H$363&lt;$C373,H$363&lt;$H$2),0,MIN($E373-SUM($G373:G373),$F373))</f>
        <v>0</v>
      </c>
      <c r="I373" s="424">
        <f>IF(OR(I$363&lt;$C373,I$363&lt;$H$2),0,MIN($E373-SUM($G373:H373),$F373))</f>
        <v>0</v>
      </c>
      <c r="J373" s="424">
        <f>IF(OR(J$363&lt;$C373,J$363&lt;$H$2),0,MIN($E373-SUM($G373:I373),$F373))</f>
        <v>0</v>
      </c>
      <c r="K373" s="424">
        <f>IF(OR(K$363&lt;$C373,K$363&lt;$H$2),0,MIN($E373-SUM($G373:J373),$F373))</f>
        <v>0</v>
      </c>
      <c r="L373" s="424">
        <f>IF(OR(L$363&lt;$C373,L$363&lt;$H$2),0,MIN($E373-SUM($G373:K373),$F373))</f>
        <v>0</v>
      </c>
      <c r="M373" s="424">
        <f>IF(OR(M$363&lt;$C373,M$363&lt;$H$2),0,MIN($E373-SUM($G373:L373),$F373))</f>
        <v>0</v>
      </c>
      <c r="N373" s="424">
        <f>IF(OR(N$363&lt;$C373,N$363&lt;$H$2),0,MIN($E373-SUM($G373:M373),$F373))</f>
        <v>0</v>
      </c>
      <c r="O373" s="424">
        <f>IF(OR(O$363&lt;$C373,O$363&lt;$H$2),0,MIN($E373-SUM($G373:N373),$F373))</f>
        <v>0</v>
      </c>
      <c r="P373" s="424">
        <f>IF(OR(P$363&lt;$C373,P$363&lt;$H$2),0,MIN($E373-SUM($G373:O373),$F373))</f>
        <v>0</v>
      </c>
      <c r="Q373" s="424">
        <f>IF(OR(Q$363&lt;$C373,Q$363&lt;$H$2),0,MIN($E373-SUM($G373:P373),$F373))</f>
        <v>0</v>
      </c>
      <c r="R373" s="424">
        <f>IF(OR(R$363&lt;$C373,R$363&lt;$H$2),0,MIN($E373-SUM($G373:Q373),$F373))</f>
        <v>0</v>
      </c>
      <c r="S373" s="424">
        <f>IF(OR(S$363&lt;$C373,S$363&lt;$H$2),0,MIN($E373-SUM($G373:R373),$F373))</f>
        <v>0</v>
      </c>
      <c r="T373" s="424">
        <f>IF(OR(T$363&lt;$C373,T$363&lt;$H$2),0,MIN($E373-SUM($G373:S373),$F373))</f>
        <v>0</v>
      </c>
      <c r="U373" s="424">
        <f>IF(OR(U$363&lt;$C373,U$363&lt;$H$2),0,MIN($E373-SUM($G373:T373),$F373))</f>
        <v>0</v>
      </c>
      <c r="V373" s="424">
        <f>IF(OR(V$363&lt;$C373,V$363&lt;$H$2),0,MIN($E373-SUM($G373:U373),$F373))</f>
        <v>0</v>
      </c>
      <c r="W373" s="424">
        <f>IF(OR(W$363&lt;$C373,W$363&lt;$H$2),0,MIN($E373-SUM($G373:V373),$F373))</f>
        <v>0</v>
      </c>
      <c r="X373" s="424">
        <f>IF(OR(X$363&lt;$C373,X$363&lt;$H$2),0,MIN($E373-SUM($G373:W373),$F373))</f>
        <v>0</v>
      </c>
      <c r="Y373" s="424">
        <f>IF(OR(Y$363&lt;$C373,Y$363&lt;$H$2),0,MIN($E373-SUM($G373:X373),$F373))</f>
        <v>0</v>
      </c>
      <c r="Z373" s="424">
        <f>IF(OR(Z$363&lt;$C373,Z$363&lt;$H$2),0,MIN($E373-SUM($G373:Y373),$F373))</f>
        <v>0</v>
      </c>
      <c r="AA373" s="424">
        <f>IF(OR(AA$363&lt;$C373,AA$363&lt;$H$2),0,MIN($E373-SUM($G373:Z373),$F373))</f>
        <v>0</v>
      </c>
      <c r="AB373" s="424">
        <f>IF(OR(AB$363&lt;$C373,AB$363&lt;$H$2),0,MIN($E373-SUM($G373:AA373),$F373))</f>
        <v>0</v>
      </c>
      <c r="AC373" s="424">
        <f>IF(OR(AC$363&lt;$C373,AC$363&lt;$H$2),0,MIN($E373-SUM($G373:AB373),$F373))</f>
        <v>0</v>
      </c>
      <c r="AD373" s="424">
        <f>IF(OR(AD$363&lt;$C373,AD$363&lt;$H$2),0,MIN($E373-SUM($G373:AC373),$F373))</f>
        <v>0</v>
      </c>
    </row>
    <row r="374" spans="3:30">
      <c r="C374" s="201">
        <v>48951</v>
      </c>
      <c r="D374" s="94" t="s">
        <v>134</v>
      </c>
      <c r="E374" s="424">
        <f t="shared" si="144"/>
        <v>0</v>
      </c>
      <c r="F374" s="209">
        <f t="shared" si="145"/>
        <v>0</v>
      </c>
      <c r="H374" s="424">
        <f>IF(OR(H$363&lt;$C374,H$363&lt;$H$2),0,MIN($E374-SUM($G374:G374),$F374))</f>
        <v>0</v>
      </c>
      <c r="I374" s="424">
        <f>IF(OR(I$363&lt;$C374,I$363&lt;$H$2),0,MIN($E374-SUM($G374:H374),$F374))</f>
        <v>0</v>
      </c>
      <c r="J374" s="424">
        <f>IF(OR(J$363&lt;$C374,J$363&lt;$H$2),0,MIN($E374-SUM($G374:I374),$F374))</f>
        <v>0</v>
      </c>
      <c r="K374" s="424">
        <f>IF(OR(K$363&lt;$C374,K$363&lt;$H$2),0,MIN($E374-SUM($G374:J374),$F374))</f>
        <v>0</v>
      </c>
      <c r="L374" s="424">
        <f>IF(OR(L$363&lt;$C374,L$363&lt;$H$2),0,MIN($E374-SUM($G374:K374),$F374))</f>
        <v>0</v>
      </c>
      <c r="M374" s="424">
        <f>IF(OR(M$363&lt;$C374,M$363&lt;$H$2),0,MIN($E374-SUM($G374:L374),$F374))</f>
        <v>0</v>
      </c>
      <c r="N374" s="424">
        <f>IF(OR(N$363&lt;$C374,N$363&lt;$H$2),0,MIN($E374-SUM($G374:M374),$F374))</f>
        <v>0</v>
      </c>
      <c r="O374" s="424">
        <f>IF(OR(O$363&lt;$C374,O$363&lt;$H$2),0,MIN($E374-SUM($G374:N374),$F374))</f>
        <v>0</v>
      </c>
      <c r="P374" s="424">
        <f>IF(OR(P$363&lt;$C374,P$363&lt;$H$2),0,MIN($E374-SUM($G374:O374),$F374))</f>
        <v>0</v>
      </c>
      <c r="Q374" s="424">
        <f>IF(OR(Q$363&lt;$C374,Q$363&lt;$H$2),0,MIN($E374-SUM($G374:P374),$F374))</f>
        <v>0</v>
      </c>
      <c r="R374" s="424">
        <f>IF(OR(R$363&lt;$C374,R$363&lt;$H$2),0,MIN($E374-SUM($G374:Q374),$F374))</f>
        <v>0</v>
      </c>
      <c r="S374" s="424">
        <f>IF(OR(S$363&lt;$C374,S$363&lt;$H$2),0,MIN($E374-SUM($G374:R374),$F374))</f>
        <v>0</v>
      </c>
      <c r="T374" s="424">
        <f>IF(OR(T$363&lt;$C374,T$363&lt;$H$2),0,MIN($E374-SUM($G374:S374),$F374))</f>
        <v>0</v>
      </c>
      <c r="U374" s="424">
        <f>IF(OR(U$363&lt;$C374,U$363&lt;$H$2),0,MIN($E374-SUM($G374:T374),$F374))</f>
        <v>0</v>
      </c>
      <c r="V374" s="424">
        <f>IF(OR(V$363&lt;$C374,V$363&lt;$H$2),0,MIN($E374-SUM($G374:U374),$F374))</f>
        <v>0</v>
      </c>
      <c r="W374" s="424">
        <f>IF(OR(W$363&lt;$C374,W$363&lt;$H$2),0,MIN($E374-SUM($G374:V374),$F374))</f>
        <v>0</v>
      </c>
      <c r="X374" s="424">
        <f>IF(OR(X$363&lt;$C374,X$363&lt;$H$2),0,MIN($E374-SUM($G374:W374),$F374))</f>
        <v>0</v>
      </c>
      <c r="Y374" s="424">
        <f>IF(OR(Y$363&lt;$C374,Y$363&lt;$H$2),0,MIN($E374-SUM($G374:X374),$F374))</f>
        <v>0</v>
      </c>
      <c r="Z374" s="424">
        <f>IF(OR(Z$363&lt;$C374,Z$363&lt;$H$2),0,MIN($E374-SUM($G374:Y374),$F374))</f>
        <v>0</v>
      </c>
      <c r="AA374" s="424">
        <f>IF(OR(AA$363&lt;$C374,AA$363&lt;$H$2),0,MIN($E374-SUM($G374:Z374),$F374))</f>
        <v>0</v>
      </c>
      <c r="AB374" s="424">
        <f>IF(OR(AB$363&lt;$C374,AB$363&lt;$H$2),0,MIN($E374-SUM($G374:AA374),$F374))</f>
        <v>0</v>
      </c>
      <c r="AC374" s="424">
        <f>IF(OR(AC$363&lt;$C374,AC$363&lt;$H$2),0,MIN($E374-SUM($G374:AB374),$F374))</f>
        <v>0</v>
      </c>
      <c r="AD374" s="424">
        <f>IF(OR(AD$363&lt;$C374,AD$363&lt;$H$2),0,MIN($E374-SUM($G374:AC374),$F374))</f>
        <v>0</v>
      </c>
    </row>
    <row r="375" spans="3:30">
      <c r="C375" s="201">
        <v>49317</v>
      </c>
      <c r="D375" s="94" t="s">
        <v>134</v>
      </c>
      <c r="E375" s="424">
        <f t="shared" si="144"/>
        <v>0</v>
      </c>
      <c r="F375" s="209">
        <f t="shared" si="145"/>
        <v>0</v>
      </c>
      <c r="H375" s="424">
        <f>IF(OR(H$363&lt;$C375,H$363&lt;$H$2),0,MIN($E375-SUM($G375:G375),$F375))</f>
        <v>0</v>
      </c>
      <c r="I375" s="424">
        <f>IF(OR(I$363&lt;$C375,I$363&lt;$H$2),0,MIN($E375-SUM($G375:H375),$F375))</f>
        <v>0</v>
      </c>
      <c r="J375" s="424">
        <f>IF(OR(J$363&lt;$C375,J$363&lt;$H$2),0,MIN($E375-SUM($G375:I375),$F375))</f>
        <v>0</v>
      </c>
      <c r="K375" s="424">
        <f>IF(OR(K$363&lt;$C375,K$363&lt;$H$2),0,MIN($E375-SUM($G375:J375),$F375))</f>
        <v>0</v>
      </c>
      <c r="L375" s="424">
        <f>IF(OR(L$363&lt;$C375,L$363&lt;$H$2),0,MIN($E375-SUM($G375:K375),$F375))</f>
        <v>0</v>
      </c>
      <c r="M375" s="424">
        <f>IF(OR(M$363&lt;$C375,M$363&lt;$H$2),0,MIN($E375-SUM($G375:L375),$F375))</f>
        <v>0</v>
      </c>
      <c r="N375" s="424">
        <f>IF(OR(N$363&lt;$C375,N$363&lt;$H$2),0,MIN($E375-SUM($G375:M375),$F375))</f>
        <v>0</v>
      </c>
      <c r="O375" s="424">
        <f>IF(OR(O$363&lt;$C375,O$363&lt;$H$2),0,MIN($E375-SUM($G375:N375),$F375))</f>
        <v>0</v>
      </c>
      <c r="P375" s="424">
        <f>IF(OR(P$363&lt;$C375,P$363&lt;$H$2),0,MIN($E375-SUM($G375:O375),$F375))</f>
        <v>0</v>
      </c>
      <c r="Q375" s="424">
        <f>IF(OR(Q$363&lt;$C375,Q$363&lt;$H$2),0,MIN($E375-SUM($G375:P375),$F375))</f>
        <v>0</v>
      </c>
      <c r="R375" s="424">
        <f>IF(OR(R$363&lt;$C375,R$363&lt;$H$2),0,MIN($E375-SUM($G375:Q375),$F375))</f>
        <v>0</v>
      </c>
      <c r="S375" s="424">
        <f>IF(OR(S$363&lt;$C375,S$363&lt;$H$2),0,MIN($E375-SUM($G375:R375),$F375))</f>
        <v>0</v>
      </c>
      <c r="T375" s="424">
        <f>IF(OR(T$363&lt;$C375,T$363&lt;$H$2),0,MIN($E375-SUM($G375:S375),$F375))</f>
        <v>0</v>
      </c>
      <c r="U375" s="424">
        <f>IF(OR(U$363&lt;$C375,U$363&lt;$H$2),0,MIN($E375-SUM($G375:T375),$F375))</f>
        <v>0</v>
      </c>
      <c r="V375" s="424">
        <f>IF(OR(V$363&lt;$C375,V$363&lt;$H$2),0,MIN($E375-SUM($G375:U375),$F375))</f>
        <v>0</v>
      </c>
      <c r="W375" s="424">
        <f>IF(OR(W$363&lt;$C375,W$363&lt;$H$2),0,MIN($E375-SUM($G375:V375),$F375))</f>
        <v>0</v>
      </c>
      <c r="X375" s="424">
        <f>IF(OR(X$363&lt;$C375,X$363&lt;$H$2),0,MIN($E375-SUM($G375:W375),$F375))</f>
        <v>0</v>
      </c>
      <c r="Y375" s="424">
        <f>IF(OR(Y$363&lt;$C375,Y$363&lt;$H$2),0,MIN($E375-SUM($G375:X375),$F375))</f>
        <v>0</v>
      </c>
      <c r="Z375" s="424">
        <f>IF(OR(Z$363&lt;$C375,Z$363&lt;$H$2),0,MIN($E375-SUM($G375:Y375),$F375))</f>
        <v>0</v>
      </c>
      <c r="AA375" s="424">
        <f>IF(OR(AA$363&lt;$C375,AA$363&lt;$H$2),0,MIN($E375-SUM($G375:Z375),$F375))</f>
        <v>0</v>
      </c>
      <c r="AB375" s="424">
        <f>IF(OR(AB$363&lt;$C375,AB$363&lt;$H$2),0,MIN($E375-SUM($G375:AA375),$F375))</f>
        <v>0</v>
      </c>
      <c r="AC375" s="424">
        <f>IF(OR(AC$363&lt;$C375,AC$363&lt;$H$2),0,MIN($E375-SUM($G375:AB375),$F375))</f>
        <v>0</v>
      </c>
      <c r="AD375" s="424">
        <f>IF(OR(AD$363&lt;$C375,AD$363&lt;$H$2),0,MIN($E375-SUM($G375:AC375),$F375))</f>
        <v>0</v>
      </c>
    </row>
    <row r="376" spans="3:30">
      <c r="C376" s="201">
        <v>49683</v>
      </c>
      <c r="D376" s="94" t="s">
        <v>134</v>
      </c>
      <c r="E376" s="424">
        <f t="shared" si="144"/>
        <v>0</v>
      </c>
      <c r="F376" s="209">
        <f t="shared" si="145"/>
        <v>0</v>
      </c>
      <c r="H376" s="424">
        <f>IF(OR(H$363&lt;$C376,H$363&lt;$H$2),0,MIN($E376-SUM($G376:G376),$F376))</f>
        <v>0</v>
      </c>
      <c r="I376" s="424">
        <f>IF(OR(I$363&lt;$C376,I$363&lt;$H$2),0,MIN($E376-SUM($G376:H376),$F376))</f>
        <v>0</v>
      </c>
      <c r="J376" s="424">
        <f>IF(OR(J$363&lt;$C376,J$363&lt;$H$2),0,MIN($E376-SUM($G376:I376),$F376))</f>
        <v>0</v>
      </c>
      <c r="K376" s="424">
        <f>IF(OR(K$363&lt;$C376,K$363&lt;$H$2),0,MIN($E376-SUM($G376:J376),$F376))</f>
        <v>0</v>
      </c>
      <c r="L376" s="424">
        <f>IF(OR(L$363&lt;$C376,L$363&lt;$H$2),0,MIN($E376-SUM($G376:K376),$F376))</f>
        <v>0</v>
      </c>
      <c r="M376" s="424">
        <f>IF(OR(M$363&lt;$C376,M$363&lt;$H$2),0,MIN($E376-SUM($G376:L376),$F376))</f>
        <v>0</v>
      </c>
      <c r="N376" s="424">
        <f>IF(OR(N$363&lt;$C376,N$363&lt;$H$2),0,MIN($E376-SUM($G376:M376),$F376))</f>
        <v>0</v>
      </c>
      <c r="O376" s="424">
        <f>IF(OR(O$363&lt;$C376,O$363&lt;$H$2),0,MIN($E376-SUM($G376:N376),$F376))</f>
        <v>0</v>
      </c>
      <c r="P376" s="424">
        <f>IF(OR(P$363&lt;$C376,P$363&lt;$H$2),0,MIN($E376-SUM($G376:O376),$F376))</f>
        <v>0</v>
      </c>
      <c r="Q376" s="424">
        <f>IF(OR(Q$363&lt;$C376,Q$363&lt;$H$2),0,MIN($E376-SUM($G376:P376),$F376))</f>
        <v>0</v>
      </c>
      <c r="R376" s="424">
        <f>IF(OR(R$363&lt;$C376,R$363&lt;$H$2),0,MIN($E376-SUM($G376:Q376),$F376))</f>
        <v>0</v>
      </c>
      <c r="S376" s="424">
        <f>IF(OR(S$363&lt;$C376,S$363&lt;$H$2),0,MIN($E376-SUM($G376:R376),$F376))</f>
        <v>0</v>
      </c>
      <c r="T376" s="424">
        <f>IF(OR(T$363&lt;$C376,T$363&lt;$H$2),0,MIN($E376-SUM($G376:S376),$F376))</f>
        <v>0</v>
      </c>
      <c r="U376" s="424">
        <f>IF(OR(U$363&lt;$C376,U$363&lt;$H$2),0,MIN($E376-SUM($G376:T376),$F376))</f>
        <v>0</v>
      </c>
      <c r="V376" s="424">
        <f>IF(OR(V$363&lt;$C376,V$363&lt;$H$2),0,MIN($E376-SUM($G376:U376),$F376))</f>
        <v>0</v>
      </c>
      <c r="W376" s="424">
        <f>IF(OR(W$363&lt;$C376,W$363&lt;$H$2),0,MIN($E376-SUM($G376:V376),$F376))</f>
        <v>0</v>
      </c>
      <c r="X376" s="424">
        <f>IF(OR(X$363&lt;$C376,X$363&lt;$H$2),0,MIN($E376-SUM($G376:W376),$F376))</f>
        <v>0</v>
      </c>
      <c r="Y376" s="424">
        <f>IF(OR(Y$363&lt;$C376,Y$363&lt;$H$2),0,MIN($E376-SUM($G376:X376),$F376))</f>
        <v>0</v>
      </c>
      <c r="Z376" s="424">
        <f>IF(OR(Z$363&lt;$C376,Z$363&lt;$H$2),0,MIN($E376-SUM($G376:Y376),$F376))</f>
        <v>0</v>
      </c>
      <c r="AA376" s="424">
        <f>IF(OR(AA$363&lt;$C376,AA$363&lt;$H$2),0,MIN($E376-SUM($G376:Z376),$F376))</f>
        <v>0</v>
      </c>
      <c r="AB376" s="424">
        <f>IF(OR(AB$363&lt;$C376,AB$363&lt;$H$2),0,MIN($E376-SUM($G376:AA376),$F376))</f>
        <v>0</v>
      </c>
      <c r="AC376" s="424">
        <f>IF(OR(AC$363&lt;$C376,AC$363&lt;$H$2),0,MIN($E376-SUM($G376:AB376),$F376))</f>
        <v>0</v>
      </c>
      <c r="AD376" s="424">
        <f>IF(OR(AD$363&lt;$C376,AD$363&lt;$H$2),0,MIN($E376-SUM($G376:AC376),$F376))</f>
        <v>0</v>
      </c>
    </row>
    <row r="377" spans="3:30">
      <c r="C377" s="201">
        <v>50049</v>
      </c>
      <c r="D377" s="94" t="s">
        <v>134</v>
      </c>
      <c r="E377" s="424">
        <f t="shared" si="144"/>
        <v>0</v>
      </c>
      <c r="F377" s="209">
        <f t="shared" si="145"/>
        <v>0</v>
      </c>
      <c r="H377" s="424">
        <f>IF(OR(H$363&lt;$C377,H$363&lt;$H$2),0,MIN($E377-SUM($G377:G377),$F377))</f>
        <v>0</v>
      </c>
      <c r="I377" s="424">
        <f>IF(OR(I$363&lt;$C377,I$363&lt;$H$2),0,MIN($E377-SUM($G377:H377),$F377))</f>
        <v>0</v>
      </c>
      <c r="J377" s="424">
        <f>IF(OR(J$363&lt;$C377,J$363&lt;$H$2),0,MIN($E377-SUM($G377:I377),$F377))</f>
        <v>0</v>
      </c>
      <c r="K377" s="424">
        <f>IF(OR(K$363&lt;$C377,K$363&lt;$H$2),0,MIN($E377-SUM($G377:J377),$F377))</f>
        <v>0</v>
      </c>
      <c r="L377" s="424">
        <f>IF(OR(L$363&lt;$C377,L$363&lt;$H$2),0,MIN($E377-SUM($G377:K377),$F377))</f>
        <v>0</v>
      </c>
      <c r="M377" s="424">
        <f>IF(OR(M$363&lt;$C377,M$363&lt;$H$2),0,MIN($E377-SUM($G377:L377),$F377))</f>
        <v>0</v>
      </c>
      <c r="N377" s="424">
        <f>IF(OR(N$363&lt;$C377,N$363&lt;$H$2),0,MIN($E377-SUM($G377:M377),$F377))</f>
        <v>0</v>
      </c>
      <c r="O377" s="424">
        <f>IF(OR(O$363&lt;$C377,O$363&lt;$H$2),0,MIN($E377-SUM($G377:N377),$F377))</f>
        <v>0</v>
      </c>
      <c r="P377" s="424">
        <f>IF(OR(P$363&lt;$C377,P$363&lt;$H$2),0,MIN($E377-SUM($G377:O377),$F377))</f>
        <v>0</v>
      </c>
      <c r="Q377" s="424">
        <f>IF(OR(Q$363&lt;$C377,Q$363&lt;$H$2),0,MIN($E377-SUM($G377:P377),$F377))</f>
        <v>0</v>
      </c>
      <c r="R377" s="424">
        <f>IF(OR(R$363&lt;$C377,R$363&lt;$H$2),0,MIN($E377-SUM($G377:Q377),$F377))</f>
        <v>0</v>
      </c>
      <c r="S377" s="424">
        <f>IF(OR(S$363&lt;$C377,S$363&lt;$H$2),0,MIN($E377-SUM($G377:R377),$F377))</f>
        <v>0</v>
      </c>
      <c r="T377" s="424">
        <f>IF(OR(T$363&lt;$C377,T$363&lt;$H$2),0,MIN($E377-SUM($G377:S377),$F377))</f>
        <v>0</v>
      </c>
      <c r="U377" s="424">
        <f>IF(OR(U$363&lt;$C377,U$363&lt;$H$2),0,MIN($E377-SUM($G377:T377),$F377))</f>
        <v>0</v>
      </c>
      <c r="V377" s="424">
        <f>IF(OR(V$363&lt;$C377,V$363&lt;$H$2),0,MIN($E377-SUM($G377:U377),$F377))</f>
        <v>0</v>
      </c>
      <c r="W377" s="424">
        <f>IF(OR(W$363&lt;$C377,W$363&lt;$H$2),0,MIN($E377-SUM($G377:V377),$F377))</f>
        <v>0</v>
      </c>
      <c r="X377" s="424">
        <f>IF(OR(X$363&lt;$C377,X$363&lt;$H$2),0,MIN($E377-SUM($G377:W377),$F377))</f>
        <v>0</v>
      </c>
      <c r="Y377" s="424">
        <f>IF(OR(Y$363&lt;$C377,Y$363&lt;$H$2),0,MIN($E377-SUM($G377:X377),$F377))</f>
        <v>0</v>
      </c>
      <c r="Z377" s="424">
        <f>IF(OR(Z$363&lt;$C377,Z$363&lt;$H$2),0,MIN($E377-SUM($G377:Y377),$F377))</f>
        <v>0</v>
      </c>
      <c r="AA377" s="424">
        <f>IF(OR(AA$363&lt;$C377,AA$363&lt;$H$2),0,MIN($E377-SUM($G377:Z377),$F377))</f>
        <v>0</v>
      </c>
      <c r="AB377" s="424">
        <f>IF(OR(AB$363&lt;$C377,AB$363&lt;$H$2),0,MIN($E377-SUM($G377:AA377),$F377))</f>
        <v>0</v>
      </c>
      <c r="AC377" s="424">
        <f>IF(OR(AC$363&lt;$C377,AC$363&lt;$H$2),0,MIN($E377-SUM($G377:AB377),$F377))</f>
        <v>0</v>
      </c>
      <c r="AD377" s="424">
        <f>IF(OR(AD$363&lt;$C377,AD$363&lt;$H$2),0,MIN($E377-SUM($G377:AC377),$F377))</f>
        <v>0</v>
      </c>
    </row>
    <row r="378" spans="3:30">
      <c r="C378" s="201">
        <v>50415</v>
      </c>
      <c r="D378" s="94" t="s">
        <v>134</v>
      </c>
      <c r="E378" s="424">
        <f t="shared" si="144"/>
        <v>0</v>
      </c>
      <c r="F378" s="209">
        <f t="shared" si="145"/>
        <v>0</v>
      </c>
      <c r="H378" s="424">
        <f>IF(OR(H$363&lt;$C378,H$363&lt;$H$2),0,MIN($E378-SUM($G378:G378),$F378))</f>
        <v>0</v>
      </c>
      <c r="I378" s="424">
        <f>IF(OR(I$363&lt;$C378,I$363&lt;$H$2),0,MIN($E378-SUM($G378:H378),$F378))</f>
        <v>0</v>
      </c>
      <c r="J378" s="424">
        <f>IF(OR(J$363&lt;$C378,J$363&lt;$H$2),0,MIN($E378-SUM($G378:I378),$F378))</f>
        <v>0</v>
      </c>
      <c r="K378" s="424">
        <f>IF(OR(K$363&lt;$C378,K$363&lt;$H$2),0,MIN($E378-SUM($G378:J378),$F378))</f>
        <v>0</v>
      </c>
      <c r="L378" s="424">
        <f>IF(OR(L$363&lt;$C378,L$363&lt;$H$2),0,MIN($E378-SUM($G378:K378),$F378))</f>
        <v>0</v>
      </c>
      <c r="M378" s="424">
        <f>IF(OR(M$363&lt;$C378,M$363&lt;$H$2),0,MIN($E378-SUM($G378:L378),$F378))</f>
        <v>0</v>
      </c>
      <c r="N378" s="424">
        <f>IF(OR(N$363&lt;$C378,N$363&lt;$H$2),0,MIN($E378-SUM($G378:M378),$F378))</f>
        <v>0</v>
      </c>
      <c r="O378" s="424">
        <f>IF(OR(O$363&lt;$C378,O$363&lt;$H$2),0,MIN($E378-SUM($G378:N378),$F378))</f>
        <v>0</v>
      </c>
      <c r="P378" s="424">
        <f>IF(OR(P$363&lt;$C378,P$363&lt;$H$2),0,MIN($E378-SUM($G378:O378),$F378))</f>
        <v>0</v>
      </c>
      <c r="Q378" s="424">
        <f>IF(OR(Q$363&lt;$C378,Q$363&lt;$H$2),0,MIN($E378-SUM($G378:P378),$F378))</f>
        <v>0</v>
      </c>
      <c r="R378" s="424">
        <f>IF(OR(R$363&lt;$C378,R$363&lt;$H$2),0,MIN($E378-SUM($G378:Q378),$F378))</f>
        <v>0</v>
      </c>
      <c r="S378" s="424">
        <f>IF(OR(S$363&lt;$C378,S$363&lt;$H$2),0,MIN($E378-SUM($G378:R378),$F378))</f>
        <v>0</v>
      </c>
      <c r="T378" s="424">
        <f>IF(OR(T$363&lt;$C378,T$363&lt;$H$2),0,MIN($E378-SUM($G378:S378),$F378))</f>
        <v>0</v>
      </c>
      <c r="U378" s="424">
        <f>IF(OR(U$363&lt;$C378,U$363&lt;$H$2),0,MIN($E378-SUM($G378:T378),$F378))</f>
        <v>0</v>
      </c>
      <c r="V378" s="424">
        <f>IF(OR(V$363&lt;$C378,V$363&lt;$H$2),0,MIN($E378-SUM($G378:U378),$F378))</f>
        <v>0</v>
      </c>
      <c r="W378" s="424">
        <f>IF(OR(W$363&lt;$C378,W$363&lt;$H$2),0,MIN($E378-SUM($G378:V378),$F378))</f>
        <v>0</v>
      </c>
      <c r="X378" s="424">
        <f>IF(OR(X$363&lt;$C378,X$363&lt;$H$2),0,MIN($E378-SUM($G378:W378),$F378))</f>
        <v>0</v>
      </c>
      <c r="Y378" s="424">
        <f>IF(OR(Y$363&lt;$C378,Y$363&lt;$H$2),0,MIN($E378-SUM($G378:X378),$F378))</f>
        <v>0</v>
      </c>
      <c r="Z378" s="424">
        <f>IF(OR(Z$363&lt;$C378,Z$363&lt;$H$2),0,MIN($E378-SUM($G378:Y378),$F378))</f>
        <v>0</v>
      </c>
      <c r="AA378" s="424">
        <f>IF(OR(AA$363&lt;$C378,AA$363&lt;$H$2),0,MIN($E378-SUM($G378:Z378),$F378))</f>
        <v>0</v>
      </c>
      <c r="AB378" s="424">
        <f>IF(OR(AB$363&lt;$C378,AB$363&lt;$H$2),0,MIN($E378-SUM($G378:AA378),$F378))</f>
        <v>0</v>
      </c>
      <c r="AC378" s="424">
        <f>IF(OR(AC$363&lt;$C378,AC$363&lt;$H$2),0,MIN($E378-SUM($G378:AB378),$F378))</f>
        <v>0</v>
      </c>
      <c r="AD378" s="424">
        <f>IF(OR(AD$363&lt;$C378,AD$363&lt;$H$2),0,MIN($E378-SUM($G378:AC378),$F378))</f>
        <v>0</v>
      </c>
    </row>
    <row r="379" spans="3:30">
      <c r="C379" s="201">
        <v>50781</v>
      </c>
      <c r="D379" s="94" t="s">
        <v>134</v>
      </c>
      <c r="E379" s="424">
        <f t="shared" si="144"/>
        <v>0</v>
      </c>
      <c r="F379" s="209">
        <f t="shared" si="145"/>
        <v>0</v>
      </c>
      <c r="H379" s="424">
        <f>IF(OR(H$363&lt;$C379,H$363&lt;$H$2),0,MIN($E379-SUM($G379:G379),$F379))</f>
        <v>0</v>
      </c>
      <c r="I379" s="424">
        <f>IF(OR(I$363&lt;$C379,I$363&lt;$H$2),0,MIN($E379-SUM($G379:H379),$F379))</f>
        <v>0</v>
      </c>
      <c r="J379" s="424">
        <f>IF(OR(J$363&lt;$C379,J$363&lt;$H$2),0,MIN($E379-SUM($G379:I379),$F379))</f>
        <v>0</v>
      </c>
      <c r="K379" s="424">
        <f>IF(OR(K$363&lt;$C379,K$363&lt;$H$2),0,MIN($E379-SUM($G379:J379),$F379))</f>
        <v>0</v>
      </c>
      <c r="L379" s="424">
        <f>IF(OR(L$363&lt;$C379,L$363&lt;$H$2),0,MIN($E379-SUM($G379:K379),$F379))</f>
        <v>0</v>
      </c>
      <c r="M379" s="424">
        <f>IF(OR(M$363&lt;$C379,M$363&lt;$H$2),0,MIN($E379-SUM($G379:L379),$F379))</f>
        <v>0</v>
      </c>
      <c r="N379" s="424">
        <f>IF(OR(N$363&lt;$C379,N$363&lt;$H$2),0,MIN($E379-SUM($G379:M379),$F379))</f>
        <v>0</v>
      </c>
      <c r="O379" s="424">
        <f>IF(OR(O$363&lt;$C379,O$363&lt;$H$2),0,MIN($E379-SUM($G379:N379),$F379))</f>
        <v>0</v>
      </c>
      <c r="P379" s="424">
        <f>IF(OR(P$363&lt;$C379,P$363&lt;$H$2),0,MIN($E379-SUM($G379:O379),$F379))</f>
        <v>0</v>
      </c>
      <c r="Q379" s="424">
        <f>IF(OR(Q$363&lt;$C379,Q$363&lt;$H$2),0,MIN($E379-SUM($G379:P379),$F379))</f>
        <v>0</v>
      </c>
      <c r="R379" s="424">
        <f>IF(OR(R$363&lt;$C379,R$363&lt;$H$2),0,MIN($E379-SUM($G379:Q379),$F379))</f>
        <v>0</v>
      </c>
      <c r="S379" s="424">
        <f>IF(OR(S$363&lt;$C379,S$363&lt;$H$2),0,MIN($E379-SUM($G379:R379),$F379))</f>
        <v>0</v>
      </c>
      <c r="T379" s="424">
        <f>IF(OR(T$363&lt;$C379,T$363&lt;$H$2),0,MIN($E379-SUM($G379:S379),$F379))</f>
        <v>0</v>
      </c>
      <c r="U379" s="424">
        <f>IF(OR(U$363&lt;$C379,U$363&lt;$H$2),0,MIN($E379-SUM($G379:T379),$F379))</f>
        <v>0</v>
      </c>
      <c r="V379" s="424">
        <f>IF(OR(V$363&lt;$C379,V$363&lt;$H$2),0,MIN($E379-SUM($G379:U379),$F379))</f>
        <v>0</v>
      </c>
      <c r="W379" s="424">
        <f>IF(OR(W$363&lt;$C379,W$363&lt;$H$2),0,MIN($E379-SUM($G379:V379),$F379))</f>
        <v>0</v>
      </c>
      <c r="X379" s="424">
        <f>IF(OR(X$363&lt;$C379,X$363&lt;$H$2),0,MIN($E379-SUM($G379:W379),$F379))</f>
        <v>0</v>
      </c>
      <c r="Y379" s="424">
        <f>IF(OR(Y$363&lt;$C379,Y$363&lt;$H$2),0,MIN($E379-SUM($G379:X379),$F379))</f>
        <v>0</v>
      </c>
      <c r="Z379" s="424">
        <f>IF(OR(Z$363&lt;$C379,Z$363&lt;$H$2),0,MIN($E379-SUM($G379:Y379),$F379))</f>
        <v>0</v>
      </c>
      <c r="AA379" s="424">
        <f>IF(OR(AA$363&lt;$C379,AA$363&lt;$H$2),0,MIN($E379-SUM($G379:Z379),$F379))</f>
        <v>0</v>
      </c>
      <c r="AB379" s="424">
        <f>IF(OR(AB$363&lt;$C379,AB$363&lt;$H$2),0,MIN($E379-SUM($G379:AA379),$F379))</f>
        <v>0</v>
      </c>
      <c r="AC379" s="424">
        <f>IF(OR(AC$363&lt;$C379,AC$363&lt;$H$2),0,MIN($E379-SUM($G379:AB379),$F379))</f>
        <v>0</v>
      </c>
      <c r="AD379" s="424">
        <f>IF(OR(AD$363&lt;$C379,AD$363&lt;$H$2),0,MIN($E379-SUM($G379:AC379),$F379))</f>
        <v>0</v>
      </c>
    </row>
    <row r="380" spans="3:30">
      <c r="C380" s="201">
        <v>51147</v>
      </c>
      <c r="D380" s="94" t="s">
        <v>134</v>
      </c>
      <c r="E380" s="424">
        <f t="shared" si="144"/>
        <v>0</v>
      </c>
      <c r="F380" s="209">
        <f t="shared" si="145"/>
        <v>0</v>
      </c>
      <c r="H380" s="424">
        <f>IF(OR(H$363&lt;$C380,H$363&lt;$H$2),0,MIN($E380-SUM($G380:G380),$F380))</f>
        <v>0</v>
      </c>
      <c r="I380" s="424">
        <f>IF(OR(I$363&lt;$C380,I$363&lt;$H$2),0,MIN($E380-SUM($G380:H380),$F380))</f>
        <v>0</v>
      </c>
      <c r="J380" s="424">
        <f>IF(OR(J$363&lt;$C380,J$363&lt;$H$2),0,MIN($E380-SUM($G380:I380),$F380))</f>
        <v>0</v>
      </c>
      <c r="K380" s="424">
        <f>IF(OR(K$363&lt;$C380,K$363&lt;$H$2),0,MIN($E380-SUM($G380:J380),$F380))</f>
        <v>0</v>
      </c>
      <c r="L380" s="424">
        <f>IF(OR(L$363&lt;$C380,L$363&lt;$H$2),0,MIN($E380-SUM($G380:K380),$F380))</f>
        <v>0</v>
      </c>
      <c r="M380" s="424">
        <f>IF(OR(M$363&lt;$C380,M$363&lt;$H$2),0,MIN($E380-SUM($G380:L380),$F380))</f>
        <v>0</v>
      </c>
      <c r="N380" s="424">
        <f>IF(OR(N$363&lt;$C380,N$363&lt;$H$2),0,MIN($E380-SUM($G380:M380),$F380))</f>
        <v>0</v>
      </c>
      <c r="O380" s="424">
        <f>IF(OR(O$363&lt;$C380,O$363&lt;$H$2),0,MIN($E380-SUM($G380:N380),$F380))</f>
        <v>0</v>
      </c>
      <c r="P380" s="424">
        <f>IF(OR(P$363&lt;$C380,P$363&lt;$H$2),0,MIN($E380-SUM($G380:O380),$F380))</f>
        <v>0</v>
      </c>
      <c r="Q380" s="424">
        <f>IF(OR(Q$363&lt;$C380,Q$363&lt;$H$2),0,MIN($E380-SUM($G380:P380),$F380))</f>
        <v>0</v>
      </c>
      <c r="R380" s="424">
        <f>IF(OR(R$363&lt;$C380,R$363&lt;$H$2),0,MIN($E380-SUM($G380:Q380),$F380))</f>
        <v>0</v>
      </c>
      <c r="S380" s="424">
        <f>IF(OR(S$363&lt;$C380,S$363&lt;$H$2),0,MIN($E380-SUM($G380:R380),$F380))</f>
        <v>0</v>
      </c>
      <c r="T380" s="424">
        <f>IF(OR(T$363&lt;$C380,T$363&lt;$H$2),0,MIN($E380-SUM($G380:S380),$F380))</f>
        <v>0</v>
      </c>
      <c r="U380" s="424">
        <f>IF(OR(U$363&lt;$C380,U$363&lt;$H$2),0,MIN($E380-SUM($G380:T380),$F380))</f>
        <v>0</v>
      </c>
      <c r="V380" s="424">
        <f>IF(OR(V$363&lt;$C380,V$363&lt;$H$2),0,MIN($E380-SUM($G380:U380),$F380))</f>
        <v>0</v>
      </c>
      <c r="W380" s="424">
        <f>IF(OR(W$363&lt;$C380,W$363&lt;$H$2),0,MIN($E380-SUM($G380:V380),$F380))</f>
        <v>0</v>
      </c>
      <c r="X380" s="424">
        <f>IF(OR(X$363&lt;$C380,X$363&lt;$H$2),0,MIN($E380-SUM($G380:W380),$F380))</f>
        <v>0</v>
      </c>
      <c r="Y380" s="424">
        <f>IF(OR(Y$363&lt;$C380,Y$363&lt;$H$2),0,MIN($E380-SUM($G380:X380),$F380))</f>
        <v>0</v>
      </c>
      <c r="Z380" s="424">
        <f>IF(OR(Z$363&lt;$C380,Z$363&lt;$H$2),0,MIN($E380-SUM($G380:Y380),$F380))</f>
        <v>0</v>
      </c>
      <c r="AA380" s="424">
        <f>IF(OR(AA$363&lt;$C380,AA$363&lt;$H$2),0,MIN($E380-SUM($G380:Z380),$F380))</f>
        <v>0</v>
      </c>
      <c r="AB380" s="424">
        <f>IF(OR(AB$363&lt;$C380,AB$363&lt;$H$2),0,MIN($E380-SUM($G380:AA380),$F380))</f>
        <v>0</v>
      </c>
      <c r="AC380" s="424">
        <f>IF(OR(AC$363&lt;$C380,AC$363&lt;$H$2),0,MIN($E380-SUM($G380:AB380),$F380))</f>
        <v>0</v>
      </c>
      <c r="AD380" s="424">
        <f>IF(OR(AD$363&lt;$C380,AD$363&lt;$H$2),0,MIN($E380-SUM($G380:AC380),$F380))</f>
        <v>0</v>
      </c>
    </row>
    <row r="381" spans="3:30">
      <c r="C381" s="201">
        <v>51513</v>
      </c>
      <c r="D381" s="94" t="s">
        <v>134</v>
      </c>
      <c r="E381" s="424">
        <f t="shared" si="144"/>
        <v>0</v>
      </c>
      <c r="F381" s="209">
        <f t="shared" si="145"/>
        <v>0</v>
      </c>
      <c r="H381" s="424">
        <f>IF(OR(H$363&lt;$C381,H$363&lt;$H$2),0,MIN($E381-SUM($G381:G381),$F381))</f>
        <v>0</v>
      </c>
      <c r="I381" s="424">
        <f>IF(OR(I$363&lt;$C381,I$363&lt;$H$2),0,MIN($E381-SUM($G381:H381),$F381))</f>
        <v>0</v>
      </c>
      <c r="J381" s="424">
        <f>IF(OR(J$363&lt;$C381,J$363&lt;$H$2),0,MIN($E381-SUM($G381:I381),$F381))</f>
        <v>0</v>
      </c>
      <c r="K381" s="424">
        <f>IF(OR(K$363&lt;$C381,K$363&lt;$H$2),0,MIN($E381-SUM($G381:J381),$F381))</f>
        <v>0</v>
      </c>
      <c r="L381" s="424">
        <f>IF(OR(L$363&lt;$C381,L$363&lt;$H$2),0,MIN($E381-SUM($G381:K381),$F381))</f>
        <v>0</v>
      </c>
      <c r="M381" s="424">
        <f>IF(OR(M$363&lt;$C381,M$363&lt;$H$2),0,MIN($E381-SUM($G381:L381),$F381))</f>
        <v>0</v>
      </c>
      <c r="N381" s="424">
        <f>IF(OR(N$363&lt;$C381,N$363&lt;$H$2),0,MIN($E381-SUM($G381:M381),$F381))</f>
        <v>0</v>
      </c>
      <c r="O381" s="424">
        <f>IF(OR(O$363&lt;$C381,O$363&lt;$H$2),0,MIN($E381-SUM($G381:N381),$F381))</f>
        <v>0</v>
      </c>
      <c r="P381" s="424">
        <f>IF(OR(P$363&lt;$C381,P$363&lt;$H$2),0,MIN($E381-SUM($G381:O381),$F381))</f>
        <v>0</v>
      </c>
      <c r="Q381" s="424">
        <f>IF(OR(Q$363&lt;$C381,Q$363&lt;$H$2),0,MIN($E381-SUM($G381:P381),$F381))</f>
        <v>0</v>
      </c>
      <c r="R381" s="424">
        <f>IF(OR(R$363&lt;$C381,R$363&lt;$H$2),0,MIN($E381-SUM($G381:Q381),$F381))</f>
        <v>0</v>
      </c>
      <c r="S381" s="424">
        <f>IF(OR(S$363&lt;$C381,S$363&lt;$H$2),0,MIN($E381-SUM($G381:R381),$F381))</f>
        <v>0</v>
      </c>
      <c r="T381" s="424">
        <f>IF(OR(T$363&lt;$C381,T$363&lt;$H$2),0,MIN($E381-SUM($G381:S381),$F381))</f>
        <v>0</v>
      </c>
      <c r="U381" s="424">
        <f>IF(OR(U$363&lt;$C381,U$363&lt;$H$2),0,MIN($E381-SUM($G381:T381),$F381))</f>
        <v>0</v>
      </c>
      <c r="V381" s="424">
        <f>IF(OR(V$363&lt;$C381,V$363&lt;$H$2),0,MIN($E381-SUM($G381:U381),$F381))</f>
        <v>0</v>
      </c>
      <c r="W381" s="424">
        <f>IF(OR(W$363&lt;$C381,W$363&lt;$H$2),0,MIN($E381-SUM($G381:V381),$F381))</f>
        <v>0</v>
      </c>
      <c r="X381" s="424">
        <f>IF(OR(X$363&lt;$C381,X$363&lt;$H$2),0,MIN($E381-SUM($G381:W381),$F381))</f>
        <v>0</v>
      </c>
      <c r="Y381" s="424">
        <f>IF(OR(Y$363&lt;$C381,Y$363&lt;$H$2),0,MIN($E381-SUM($G381:X381),$F381))</f>
        <v>0</v>
      </c>
      <c r="Z381" s="424">
        <f>IF(OR(Z$363&lt;$C381,Z$363&lt;$H$2),0,MIN($E381-SUM($G381:Y381),$F381))</f>
        <v>0</v>
      </c>
      <c r="AA381" s="424">
        <f>IF(OR(AA$363&lt;$C381,AA$363&lt;$H$2),0,MIN($E381-SUM($G381:Z381),$F381))</f>
        <v>0</v>
      </c>
      <c r="AB381" s="424">
        <f>IF(OR(AB$363&lt;$C381,AB$363&lt;$H$2),0,MIN($E381-SUM($G381:AA381),$F381))</f>
        <v>0</v>
      </c>
      <c r="AC381" s="424">
        <f>IF(OR(AC$363&lt;$C381,AC$363&lt;$H$2),0,MIN($E381-SUM($G381:AB381),$F381))</f>
        <v>0</v>
      </c>
      <c r="AD381" s="424">
        <f>IF(OR(AD$363&lt;$C381,AD$363&lt;$H$2),0,MIN($E381-SUM($G381:AC381),$F381))</f>
        <v>0</v>
      </c>
    </row>
    <row r="382" spans="3:30">
      <c r="C382" s="201">
        <v>51879</v>
      </c>
      <c r="D382" s="94" t="s">
        <v>134</v>
      </c>
      <c r="E382" s="424">
        <f t="shared" si="144"/>
        <v>0</v>
      </c>
      <c r="F382" s="209">
        <f t="shared" si="145"/>
        <v>0</v>
      </c>
      <c r="H382" s="424">
        <f>IF(OR(H$363&lt;$C382,H$363&lt;$H$2),0,MIN($E382-SUM($G382:G382),$F382))</f>
        <v>0</v>
      </c>
      <c r="I382" s="424">
        <f>IF(OR(I$363&lt;$C382,I$363&lt;$H$2),0,MIN($E382-SUM($G382:H382),$F382))</f>
        <v>0</v>
      </c>
      <c r="J382" s="424">
        <f>IF(OR(J$363&lt;$C382,J$363&lt;$H$2),0,MIN($E382-SUM($G382:I382),$F382))</f>
        <v>0</v>
      </c>
      <c r="K382" s="424">
        <f>IF(OR(K$363&lt;$C382,K$363&lt;$H$2),0,MIN($E382-SUM($G382:J382),$F382))</f>
        <v>0</v>
      </c>
      <c r="L382" s="424">
        <f>IF(OR(L$363&lt;$C382,L$363&lt;$H$2),0,MIN($E382-SUM($G382:K382),$F382))</f>
        <v>0</v>
      </c>
      <c r="M382" s="424">
        <f>IF(OR(M$363&lt;$C382,M$363&lt;$H$2),0,MIN($E382-SUM($G382:L382),$F382))</f>
        <v>0</v>
      </c>
      <c r="N382" s="424">
        <f>IF(OR(N$363&lt;$C382,N$363&lt;$H$2),0,MIN($E382-SUM($G382:M382),$F382))</f>
        <v>0</v>
      </c>
      <c r="O382" s="424">
        <f>IF(OR(O$363&lt;$C382,O$363&lt;$H$2),0,MIN($E382-SUM($G382:N382),$F382))</f>
        <v>0</v>
      </c>
      <c r="P382" s="424">
        <f>IF(OR(P$363&lt;$C382,P$363&lt;$H$2),0,MIN($E382-SUM($G382:O382),$F382))</f>
        <v>0</v>
      </c>
      <c r="Q382" s="424">
        <f>IF(OR(Q$363&lt;$C382,Q$363&lt;$H$2),0,MIN($E382-SUM($G382:P382),$F382))</f>
        <v>0</v>
      </c>
      <c r="R382" s="424">
        <f>IF(OR(R$363&lt;$C382,R$363&lt;$H$2),0,MIN($E382-SUM($G382:Q382),$F382))</f>
        <v>0</v>
      </c>
      <c r="S382" s="424">
        <f>IF(OR(S$363&lt;$C382,S$363&lt;$H$2),0,MIN($E382-SUM($G382:R382),$F382))</f>
        <v>0</v>
      </c>
      <c r="T382" s="424">
        <f>IF(OR(T$363&lt;$C382,T$363&lt;$H$2),0,MIN($E382-SUM($G382:S382),$F382))</f>
        <v>0</v>
      </c>
      <c r="U382" s="424">
        <f>IF(OR(U$363&lt;$C382,U$363&lt;$H$2),0,MIN($E382-SUM($G382:T382),$F382))</f>
        <v>0</v>
      </c>
      <c r="V382" s="424">
        <f>IF(OR(V$363&lt;$C382,V$363&lt;$H$2),0,MIN($E382-SUM($G382:U382),$F382))</f>
        <v>0</v>
      </c>
      <c r="W382" s="424">
        <f>IF(OR(W$363&lt;$C382,W$363&lt;$H$2),0,MIN($E382-SUM($G382:V382),$F382))</f>
        <v>0</v>
      </c>
      <c r="X382" s="424">
        <f>IF(OR(X$363&lt;$C382,X$363&lt;$H$2),0,MIN($E382-SUM($G382:W382),$F382))</f>
        <v>0</v>
      </c>
      <c r="Y382" s="424">
        <f>IF(OR(Y$363&lt;$C382,Y$363&lt;$H$2),0,MIN($E382-SUM($G382:X382),$F382))</f>
        <v>0</v>
      </c>
      <c r="Z382" s="424">
        <f>IF(OR(Z$363&lt;$C382,Z$363&lt;$H$2),0,MIN($E382-SUM($G382:Y382),$F382))</f>
        <v>0</v>
      </c>
      <c r="AA382" s="424">
        <f>IF(OR(AA$363&lt;$C382,AA$363&lt;$H$2),0,MIN($E382-SUM($G382:Z382),$F382))</f>
        <v>0</v>
      </c>
      <c r="AB382" s="424">
        <f>IF(OR(AB$363&lt;$C382,AB$363&lt;$H$2),0,MIN($E382-SUM($G382:AA382),$F382))</f>
        <v>0</v>
      </c>
      <c r="AC382" s="424">
        <f>IF(OR(AC$363&lt;$C382,AC$363&lt;$H$2),0,MIN($E382-SUM($G382:AB382),$F382))</f>
        <v>0</v>
      </c>
      <c r="AD382" s="424">
        <f>IF(OR(AD$363&lt;$C382,AD$363&lt;$H$2),0,MIN($E382-SUM($G382:AC382),$F382))</f>
        <v>0</v>
      </c>
    </row>
    <row r="383" spans="3:30">
      <c r="C383" s="201">
        <v>52245</v>
      </c>
      <c r="D383" s="94" t="s">
        <v>134</v>
      </c>
      <c r="E383" s="424">
        <f t="shared" si="144"/>
        <v>0</v>
      </c>
      <c r="F383" s="209">
        <f t="shared" si="145"/>
        <v>0</v>
      </c>
      <c r="H383" s="424">
        <f>IF(OR(H$363&lt;$C383,H$363&lt;$H$2),0,MIN($E383-SUM($G383:G383),$F383))</f>
        <v>0</v>
      </c>
      <c r="I383" s="424">
        <f>IF(OR(I$363&lt;$C383,I$363&lt;$H$2),0,MIN($E383-SUM($G383:H383),$F383))</f>
        <v>0</v>
      </c>
      <c r="J383" s="424">
        <f>IF(OR(J$363&lt;$C383,J$363&lt;$H$2),0,MIN($E383-SUM($G383:I383),$F383))</f>
        <v>0</v>
      </c>
      <c r="K383" s="424">
        <f>IF(OR(K$363&lt;$C383,K$363&lt;$H$2),0,MIN($E383-SUM($G383:J383),$F383))</f>
        <v>0</v>
      </c>
      <c r="L383" s="424">
        <f>IF(OR(L$363&lt;$C383,L$363&lt;$H$2),0,MIN($E383-SUM($G383:K383),$F383))</f>
        <v>0</v>
      </c>
      <c r="M383" s="424">
        <f>IF(OR(M$363&lt;$C383,M$363&lt;$H$2),0,MIN($E383-SUM($G383:L383),$F383))</f>
        <v>0</v>
      </c>
      <c r="N383" s="424">
        <f>IF(OR(N$363&lt;$C383,N$363&lt;$H$2),0,MIN($E383-SUM($G383:M383),$F383))</f>
        <v>0</v>
      </c>
      <c r="O383" s="424">
        <f>IF(OR(O$363&lt;$C383,O$363&lt;$H$2),0,MIN($E383-SUM($G383:N383),$F383))</f>
        <v>0</v>
      </c>
      <c r="P383" s="424">
        <f>IF(OR(P$363&lt;$C383,P$363&lt;$H$2),0,MIN($E383-SUM($G383:O383),$F383))</f>
        <v>0</v>
      </c>
      <c r="Q383" s="424">
        <f>IF(OR(Q$363&lt;$C383,Q$363&lt;$H$2),0,MIN($E383-SUM($G383:P383),$F383))</f>
        <v>0</v>
      </c>
      <c r="R383" s="424">
        <f>IF(OR(R$363&lt;$C383,R$363&lt;$H$2),0,MIN($E383-SUM($G383:Q383),$F383))</f>
        <v>0</v>
      </c>
      <c r="S383" s="424">
        <f>IF(OR(S$363&lt;$C383,S$363&lt;$H$2),0,MIN($E383-SUM($G383:R383),$F383))</f>
        <v>0</v>
      </c>
      <c r="T383" s="424">
        <f>IF(OR(T$363&lt;$C383,T$363&lt;$H$2),0,MIN($E383-SUM($G383:S383),$F383))</f>
        <v>0</v>
      </c>
      <c r="U383" s="424">
        <f>IF(OR(U$363&lt;$C383,U$363&lt;$H$2),0,MIN($E383-SUM($G383:T383),$F383))</f>
        <v>0</v>
      </c>
      <c r="V383" s="424">
        <f>IF(OR(V$363&lt;$C383,V$363&lt;$H$2),0,MIN($E383-SUM($G383:U383),$F383))</f>
        <v>0</v>
      </c>
      <c r="W383" s="424">
        <f>IF(OR(W$363&lt;$C383,W$363&lt;$H$2),0,MIN($E383-SUM($G383:V383),$F383))</f>
        <v>0</v>
      </c>
      <c r="X383" s="424">
        <f>IF(OR(X$363&lt;$C383,X$363&lt;$H$2),0,MIN($E383-SUM($G383:W383),$F383))</f>
        <v>0</v>
      </c>
      <c r="Y383" s="424">
        <f>IF(OR(Y$363&lt;$C383,Y$363&lt;$H$2),0,MIN($E383-SUM($G383:X383),$F383))</f>
        <v>0</v>
      </c>
      <c r="Z383" s="424">
        <f>IF(OR(Z$363&lt;$C383,Z$363&lt;$H$2),0,MIN($E383-SUM($G383:Y383),$F383))</f>
        <v>0</v>
      </c>
      <c r="AA383" s="424">
        <f>IF(OR(AA$363&lt;$C383,AA$363&lt;$H$2),0,MIN($E383-SUM($G383:Z383),$F383))</f>
        <v>0</v>
      </c>
      <c r="AB383" s="424">
        <f>IF(OR(AB$363&lt;$C383,AB$363&lt;$H$2),0,MIN($E383-SUM($G383:AA383),$F383))</f>
        <v>0</v>
      </c>
      <c r="AC383" s="424">
        <f>IF(OR(AC$363&lt;$C383,AC$363&lt;$H$2),0,MIN($E383-SUM($G383:AB383),$F383))</f>
        <v>0</v>
      </c>
      <c r="AD383" s="424">
        <f>IF(OR(AD$363&lt;$C383,AD$363&lt;$H$2),0,MIN($E383-SUM($G383:AC383),$F383))</f>
        <v>0</v>
      </c>
    </row>
    <row r="384" spans="3:30">
      <c r="C384" s="201">
        <v>52611</v>
      </c>
      <c r="D384" s="94" t="s">
        <v>134</v>
      </c>
      <c r="E384" s="424">
        <f t="shared" si="144"/>
        <v>0</v>
      </c>
      <c r="F384" s="209">
        <f t="shared" si="145"/>
        <v>0</v>
      </c>
      <c r="H384" s="424">
        <f>IF(OR(H$363&lt;$C384,H$363&lt;$H$2),0,MIN($E384-SUM($G384:G384),$F384))</f>
        <v>0</v>
      </c>
      <c r="I384" s="424">
        <f>IF(OR(I$363&lt;$C384,I$363&lt;$H$2),0,MIN($E384-SUM($G384:H384),$F384))</f>
        <v>0</v>
      </c>
      <c r="J384" s="424">
        <f>IF(OR(J$363&lt;$C384,J$363&lt;$H$2),0,MIN($E384-SUM($G384:I384),$F384))</f>
        <v>0</v>
      </c>
      <c r="K384" s="424">
        <f>IF(OR(K$363&lt;$C384,K$363&lt;$H$2),0,MIN($E384-SUM($G384:J384),$F384))</f>
        <v>0</v>
      </c>
      <c r="L384" s="424">
        <f>IF(OR(L$363&lt;$C384,L$363&lt;$H$2),0,MIN($E384-SUM($G384:K384),$F384))</f>
        <v>0</v>
      </c>
      <c r="M384" s="424">
        <f>IF(OR(M$363&lt;$C384,M$363&lt;$H$2),0,MIN($E384-SUM($G384:L384),$F384))</f>
        <v>0</v>
      </c>
      <c r="N384" s="424">
        <f>IF(OR(N$363&lt;$C384,N$363&lt;$H$2),0,MIN($E384-SUM($G384:M384),$F384))</f>
        <v>0</v>
      </c>
      <c r="O384" s="424">
        <f>IF(OR(O$363&lt;$C384,O$363&lt;$H$2),0,MIN($E384-SUM($G384:N384),$F384))</f>
        <v>0</v>
      </c>
      <c r="P384" s="424">
        <f>IF(OR(P$363&lt;$C384,P$363&lt;$H$2),0,MIN($E384-SUM($G384:O384),$F384))</f>
        <v>0</v>
      </c>
      <c r="Q384" s="424">
        <f>IF(OR(Q$363&lt;$C384,Q$363&lt;$H$2),0,MIN($E384-SUM($G384:P384),$F384))</f>
        <v>0</v>
      </c>
      <c r="R384" s="424">
        <f>IF(OR(R$363&lt;$C384,R$363&lt;$H$2),0,MIN($E384-SUM($G384:Q384),$F384))</f>
        <v>0</v>
      </c>
      <c r="S384" s="424">
        <f>IF(OR(S$363&lt;$C384,S$363&lt;$H$2),0,MIN($E384-SUM($G384:R384),$F384))</f>
        <v>0</v>
      </c>
      <c r="T384" s="424">
        <f>IF(OR(T$363&lt;$C384,T$363&lt;$H$2),0,MIN($E384-SUM($G384:S384),$F384))</f>
        <v>0</v>
      </c>
      <c r="U384" s="424">
        <f>IF(OR(U$363&lt;$C384,U$363&lt;$H$2),0,MIN($E384-SUM($G384:T384),$F384))</f>
        <v>0</v>
      </c>
      <c r="V384" s="424">
        <f>IF(OR(V$363&lt;$C384,V$363&lt;$H$2),0,MIN($E384-SUM($G384:U384),$F384))</f>
        <v>0</v>
      </c>
      <c r="W384" s="424">
        <f>IF(OR(W$363&lt;$C384,W$363&lt;$H$2),0,MIN($E384-SUM($G384:V384),$F384))</f>
        <v>0</v>
      </c>
      <c r="X384" s="424">
        <f>IF(OR(X$363&lt;$C384,X$363&lt;$H$2),0,MIN($E384-SUM($G384:W384),$F384))</f>
        <v>0</v>
      </c>
      <c r="Y384" s="424">
        <f>IF(OR(Y$363&lt;$C384,Y$363&lt;$H$2),0,MIN($E384-SUM($G384:X384),$F384))</f>
        <v>0</v>
      </c>
      <c r="Z384" s="424">
        <f>IF(OR(Z$363&lt;$C384,Z$363&lt;$H$2),0,MIN($E384-SUM($G384:Y384),$F384))</f>
        <v>0</v>
      </c>
      <c r="AA384" s="424">
        <f>IF(OR(AA$363&lt;$C384,AA$363&lt;$H$2),0,MIN($E384-SUM($G384:Z384),$F384))</f>
        <v>0</v>
      </c>
      <c r="AB384" s="424">
        <f>IF(OR(AB$363&lt;$C384,AB$363&lt;$H$2),0,MIN($E384-SUM($G384:AA384),$F384))</f>
        <v>0</v>
      </c>
      <c r="AC384" s="424">
        <f>IF(OR(AC$363&lt;$C384,AC$363&lt;$H$2),0,MIN($E384-SUM($G384:AB384),$F384))</f>
        <v>0</v>
      </c>
      <c r="AD384" s="424">
        <f>IF(OR(AD$363&lt;$C384,AD$363&lt;$H$2),0,MIN($E384-SUM($G384:AC384),$F384))</f>
        <v>0</v>
      </c>
    </row>
    <row r="385" spans="3:30">
      <c r="C385" s="201">
        <v>52977</v>
      </c>
      <c r="D385" s="94" t="s">
        <v>134</v>
      </c>
      <c r="E385" s="424">
        <f t="shared" si="144"/>
        <v>0</v>
      </c>
      <c r="F385" s="209">
        <f t="shared" si="145"/>
        <v>0</v>
      </c>
      <c r="H385" s="424">
        <f>IF(OR(H$363&lt;$C385,H$363&lt;$H$2),0,MIN($E385-SUM($G385:G385),$F385))</f>
        <v>0</v>
      </c>
      <c r="I385" s="424">
        <f>IF(OR(I$363&lt;$C385,I$363&lt;$H$2),0,MIN($E385-SUM($G385:H385),$F385))</f>
        <v>0</v>
      </c>
      <c r="J385" s="424">
        <f>IF(OR(J$363&lt;$C385,J$363&lt;$H$2),0,MIN($E385-SUM($G385:I385),$F385))</f>
        <v>0</v>
      </c>
      <c r="K385" s="424">
        <f>IF(OR(K$363&lt;$C385,K$363&lt;$H$2),0,MIN($E385-SUM($G385:J385),$F385))</f>
        <v>0</v>
      </c>
      <c r="L385" s="424">
        <f>IF(OR(L$363&lt;$C385,L$363&lt;$H$2),0,MIN($E385-SUM($G385:K385),$F385))</f>
        <v>0</v>
      </c>
      <c r="M385" s="424">
        <f>IF(OR(M$363&lt;$C385,M$363&lt;$H$2),0,MIN($E385-SUM($G385:L385),$F385))</f>
        <v>0</v>
      </c>
      <c r="N385" s="424">
        <f>IF(OR(N$363&lt;$C385,N$363&lt;$H$2),0,MIN($E385-SUM($G385:M385),$F385))</f>
        <v>0</v>
      </c>
      <c r="O385" s="424">
        <f>IF(OR(O$363&lt;$C385,O$363&lt;$H$2),0,MIN($E385-SUM($G385:N385),$F385))</f>
        <v>0</v>
      </c>
      <c r="P385" s="424">
        <f>IF(OR(P$363&lt;$C385,P$363&lt;$H$2),0,MIN($E385-SUM($G385:O385),$F385))</f>
        <v>0</v>
      </c>
      <c r="Q385" s="424">
        <f>IF(OR(Q$363&lt;$C385,Q$363&lt;$H$2),0,MIN($E385-SUM($G385:P385),$F385))</f>
        <v>0</v>
      </c>
      <c r="R385" s="424">
        <f>IF(OR(R$363&lt;$C385,R$363&lt;$H$2),0,MIN($E385-SUM($G385:Q385),$F385))</f>
        <v>0</v>
      </c>
      <c r="S385" s="424">
        <f>IF(OR(S$363&lt;$C385,S$363&lt;$H$2),0,MIN($E385-SUM($G385:R385),$F385))</f>
        <v>0</v>
      </c>
      <c r="T385" s="424">
        <f>IF(OR(T$363&lt;$C385,T$363&lt;$H$2),0,MIN($E385-SUM($G385:S385),$F385))</f>
        <v>0</v>
      </c>
      <c r="U385" s="424">
        <f>IF(OR(U$363&lt;$C385,U$363&lt;$H$2),0,MIN($E385-SUM($G385:T385),$F385))</f>
        <v>0</v>
      </c>
      <c r="V385" s="424">
        <f>IF(OR(V$363&lt;$C385,V$363&lt;$H$2),0,MIN($E385-SUM($G385:U385),$F385))</f>
        <v>0</v>
      </c>
      <c r="W385" s="424">
        <f>IF(OR(W$363&lt;$C385,W$363&lt;$H$2),0,MIN($E385-SUM($G385:V385),$F385))</f>
        <v>0</v>
      </c>
      <c r="X385" s="424">
        <f>IF(OR(X$363&lt;$C385,X$363&lt;$H$2),0,MIN($E385-SUM($G385:W385),$F385))</f>
        <v>0</v>
      </c>
      <c r="Y385" s="424">
        <f>IF(OR(Y$363&lt;$C385,Y$363&lt;$H$2),0,MIN($E385-SUM($G385:X385),$F385))</f>
        <v>0</v>
      </c>
      <c r="Z385" s="424">
        <f>IF(OR(Z$363&lt;$C385,Z$363&lt;$H$2),0,MIN($E385-SUM($G385:Y385),$F385))</f>
        <v>0</v>
      </c>
      <c r="AA385" s="424">
        <f>IF(OR(AA$363&lt;$C385,AA$363&lt;$H$2),0,MIN($E385-SUM($G385:Z385),$F385))</f>
        <v>0</v>
      </c>
      <c r="AB385" s="424">
        <f>IF(OR(AB$363&lt;$C385,AB$363&lt;$H$2),0,MIN($E385-SUM($G385:AA385),$F385))</f>
        <v>0</v>
      </c>
      <c r="AC385" s="424">
        <f>IF(OR(AC$363&lt;$C385,AC$363&lt;$H$2),0,MIN($E385-SUM($G385:AB385),$F385))</f>
        <v>0</v>
      </c>
      <c r="AD385" s="424">
        <f>IF(OR(AD$363&lt;$C385,AD$363&lt;$H$2),0,MIN($E385-SUM($G385:AC385),$F385))</f>
        <v>0</v>
      </c>
    </row>
    <row r="386" spans="3:30">
      <c r="C386" s="201">
        <v>53343</v>
      </c>
      <c r="D386" s="94" t="s">
        <v>134</v>
      </c>
      <c r="E386" s="424">
        <f t="shared" si="144"/>
        <v>0</v>
      </c>
      <c r="F386" s="209">
        <f t="shared" si="145"/>
        <v>0</v>
      </c>
      <c r="H386" s="424">
        <f>IF(OR(H$363&lt;$C386,H$363&lt;$H$2),0,MIN($E386-SUM($G386:G386),$F386))</f>
        <v>0</v>
      </c>
      <c r="I386" s="424">
        <f>IF(OR(I$363&lt;$C386,I$363&lt;$H$2),0,MIN($E386-SUM($G386:H386),$F386))</f>
        <v>0</v>
      </c>
      <c r="J386" s="424">
        <f>IF(OR(J$363&lt;$C386,J$363&lt;$H$2),0,MIN($E386-SUM($G386:I386),$F386))</f>
        <v>0</v>
      </c>
      <c r="K386" s="424">
        <f>IF(OR(K$363&lt;$C386,K$363&lt;$H$2),0,MIN($E386-SUM($G386:J386),$F386))</f>
        <v>0</v>
      </c>
      <c r="L386" s="424">
        <f>IF(OR(L$363&lt;$C386,L$363&lt;$H$2),0,MIN($E386-SUM($G386:K386),$F386))</f>
        <v>0</v>
      </c>
      <c r="M386" s="424">
        <f>IF(OR(M$363&lt;$C386,M$363&lt;$H$2),0,MIN($E386-SUM($G386:L386),$F386))</f>
        <v>0</v>
      </c>
      <c r="N386" s="424">
        <f>IF(OR(N$363&lt;$C386,N$363&lt;$H$2),0,MIN($E386-SUM($G386:M386),$F386))</f>
        <v>0</v>
      </c>
      <c r="O386" s="424">
        <f>IF(OR(O$363&lt;$C386,O$363&lt;$H$2),0,MIN($E386-SUM($G386:N386),$F386))</f>
        <v>0</v>
      </c>
      <c r="P386" s="424">
        <f>IF(OR(P$363&lt;$C386,P$363&lt;$H$2),0,MIN($E386-SUM($G386:O386),$F386))</f>
        <v>0</v>
      </c>
      <c r="Q386" s="424">
        <f>IF(OR(Q$363&lt;$C386,Q$363&lt;$H$2),0,MIN($E386-SUM($G386:P386),$F386))</f>
        <v>0</v>
      </c>
      <c r="R386" s="424">
        <f>IF(OR(R$363&lt;$C386,R$363&lt;$H$2),0,MIN($E386-SUM($G386:Q386),$F386))</f>
        <v>0</v>
      </c>
      <c r="S386" s="424">
        <f>IF(OR(S$363&lt;$C386,S$363&lt;$H$2),0,MIN($E386-SUM($G386:R386),$F386))</f>
        <v>0</v>
      </c>
      <c r="T386" s="424">
        <f>IF(OR(T$363&lt;$C386,T$363&lt;$H$2),0,MIN($E386-SUM($G386:S386),$F386))</f>
        <v>0</v>
      </c>
      <c r="U386" s="424">
        <f>IF(OR(U$363&lt;$C386,U$363&lt;$H$2),0,MIN($E386-SUM($G386:T386),$F386))</f>
        <v>0</v>
      </c>
      <c r="V386" s="424">
        <f>IF(OR(V$363&lt;$C386,V$363&lt;$H$2),0,MIN($E386-SUM($G386:U386),$F386))</f>
        <v>0</v>
      </c>
      <c r="W386" s="424">
        <f>IF(OR(W$363&lt;$C386,W$363&lt;$H$2),0,MIN($E386-SUM($G386:V386),$F386))</f>
        <v>0</v>
      </c>
      <c r="X386" s="424">
        <f>IF(OR(X$363&lt;$C386,X$363&lt;$H$2),0,MIN($E386-SUM($G386:W386),$F386))</f>
        <v>0</v>
      </c>
      <c r="Y386" s="424">
        <f>IF(OR(Y$363&lt;$C386,Y$363&lt;$H$2),0,MIN($E386-SUM($G386:X386),$F386))</f>
        <v>0</v>
      </c>
      <c r="Z386" s="424">
        <f>IF(OR(Z$363&lt;$C386,Z$363&lt;$H$2),0,MIN($E386-SUM($G386:Y386),$F386))</f>
        <v>0</v>
      </c>
      <c r="AA386" s="424">
        <f>IF(OR(AA$363&lt;$C386,AA$363&lt;$H$2),0,MIN($E386-SUM($G386:Z386),$F386))</f>
        <v>0</v>
      </c>
      <c r="AB386" s="424">
        <f>IF(OR(AB$363&lt;$C386,AB$363&lt;$H$2),0,MIN($E386-SUM($G386:AA386),$F386))</f>
        <v>0</v>
      </c>
      <c r="AC386" s="424">
        <f>IF(OR(AC$363&lt;$C386,AC$363&lt;$H$2),0,MIN($E386-SUM($G386:AB386),$F386))</f>
        <v>0</v>
      </c>
      <c r="AD386" s="424">
        <f>IF(OR(AD$363&lt;$C386,AD$363&lt;$H$2),0,MIN($E386-SUM($G386:AC386),$F386))</f>
        <v>0</v>
      </c>
    </row>
    <row r="387" spans="3:30">
      <c r="C387" s="201">
        <v>53709</v>
      </c>
      <c r="D387" s="94" t="s">
        <v>134</v>
      </c>
      <c r="E387" s="424">
        <f t="shared" si="144"/>
        <v>0</v>
      </c>
      <c r="F387" s="209">
        <f t="shared" si="145"/>
        <v>0</v>
      </c>
      <c r="H387" s="424">
        <f>IF(OR(H$363&lt;$C387,H$363&lt;$H$2),0,MIN($E387-SUM($G387:G387),$F387))</f>
        <v>0</v>
      </c>
      <c r="I387" s="424">
        <f>IF(OR(I$363&lt;$C387,I$363&lt;$H$2),0,MIN($E387-SUM($G387:H387),$F387))</f>
        <v>0</v>
      </c>
      <c r="J387" s="424">
        <f>IF(OR(J$363&lt;$C387,J$363&lt;$H$2),0,MIN($E387-SUM($G387:I387),$F387))</f>
        <v>0</v>
      </c>
      <c r="K387" s="424">
        <f>IF(OR(K$363&lt;$C387,K$363&lt;$H$2),0,MIN($E387-SUM($G387:J387),$F387))</f>
        <v>0</v>
      </c>
      <c r="L387" s="424">
        <f>IF(OR(L$363&lt;$C387,L$363&lt;$H$2),0,MIN($E387-SUM($G387:K387),$F387))</f>
        <v>0</v>
      </c>
      <c r="M387" s="424">
        <f>IF(OR(M$363&lt;$C387,M$363&lt;$H$2),0,MIN($E387-SUM($G387:L387),$F387))</f>
        <v>0</v>
      </c>
      <c r="N387" s="424">
        <f>IF(OR(N$363&lt;$C387,N$363&lt;$H$2),0,MIN($E387-SUM($G387:M387),$F387))</f>
        <v>0</v>
      </c>
      <c r="O387" s="424">
        <f>IF(OR(O$363&lt;$C387,O$363&lt;$H$2),0,MIN($E387-SUM($G387:N387),$F387))</f>
        <v>0</v>
      </c>
      <c r="P387" s="424">
        <f>IF(OR(P$363&lt;$C387,P$363&lt;$H$2),0,MIN($E387-SUM($G387:O387),$F387))</f>
        <v>0</v>
      </c>
      <c r="Q387" s="424">
        <f>IF(OR(Q$363&lt;$C387,Q$363&lt;$H$2),0,MIN($E387-SUM($G387:P387),$F387))</f>
        <v>0</v>
      </c>
      <c r="R387" s="424">
        <f>IF(OR(R$363&lt;$C387,R$363&lt;$H$2),0,MIN($E387-SUM($G387:Q387),$F387))</f>
        <v>0</v>
      </c>
      <c r="S387" s="424">
        <f>IF(OR(S$363&lt;$C387,S$363&lt;$H$2),0,MIN($E387-SUM($G387:R387),$F387))</f>
        <v>0</v>
      </c>
      <c r="T387" s="424">
        <f>IF(OR(T$363&lt;$C387,T$363&lt;$H$2),0,MIN($E387-SUM($G387:S387),$F387))</f>
        <v>0</v>
      </c>
      <c r="U387" s="424">
        <f>IF(OR(U$363&lt;$C387,U$363&lt;$H$2),0,MIN($E387-SUM($G387:T387),$F387))</f>
        <v>0</v>
      </c>
      <c r="V387" s="424">
        <f>IF(OR(V$363&lt;$C387,V$363&lt;$H$2),0,MIN($E387-SUM($G387:U387),$F387))</f>
        <v>0</v>
      </c>
      <c r="W387" s="424">
        <f>IF(OR(W$363&lt;$C387,W$363&lt;$H$2),0,MIN($E387-SUM($G387:V387),$F387))</f>
        <v>0</v>
      </c>
      <c r="X387" s="424">
        <f>IF(OR(X$363&lt;$C387,X$363&lt;$H$2),0,MIN($E387-SUM($G387:W387),$F387))</f>
        <v>0</v>
      </c>
      <c r="Y387" s="424">
        <f>IF(OR(Y$363&lt;$C387,Y$363&lt;$H$2),0,MIN($E387-SUM($G387:X387),$F387))</f>
        <v>0</v>
      </c>
      <c r="Z387" s="424">
        <f>IF(OR(Z$363&lt;$C387,Z$363&lt;$H$2),0,MIN($E387-SUM($G387:Y387),$F387))</f>
        <v>0</v>
      </c>
      <c r="AA387" s="424">
        <f>IF(OR(AA$363&lt;$C387,AA$363&lt;$H$2),0,MIN($E387-SUM($G387:Z387),$F387))</f>
        <v>0</v>
      </c>
      <c r="AB387" s="424">
        <f>IF(OR(AB$363&lt;$C387,AB$363&lt;$H$2),0,MIN($E387-SUM($G387:AA387),$F387))</f>
        <v>0</v>
      </c>
      <c r="AC387" s="424">
        <f>IF(OR(AC$363&lt;$C387,AC$363&lt;$H$2),0,MIN($E387-SUM($G387:AB387),$F387))</f>
        <v>0</v>
      </c>
      <c r="AD387" s="424">
        <f>IF(OR(AD$363&lt;$C387,AD$363&lt;$H$2),0,MIN($E387-SUM($G387:AC387),$F387))</f>
        <v>0</v>
      </c>
    </row>
    <row r="388" spans="3:30">
      <c r="C388" s="201">
        <v>54075</v>
      </c>
      <c r="D388" s="94" t="s">
        <v>134</v>
      </c>
      <c r="E388" s="424">
        <f t="shared" si="144"/>
        <v>0</v>
      </c>
      <c r="F388" s="209">
        <f t="shared" si="145"/>
        <v>0</v>
      </c>
      <c r="H388" s="424">
        <f>IF(OR(H$363&lt;$C388,H$363&lt;$H$2),0,MIN($E388-SUM($G388:G388),$F388))</f>
        <v>0</v>
      </c>
      <c r="I388" s="424">
        <f>IF(OR(I$363&lt;$C388,I$363&lt;$H$2),0,MIN($E388-SUM($G388:H388),$F388))</f>
        <v>0</v>
      </c>
      <c r="J388" s="424">
        <f>IF(OR(J$363&lt;$C388,J$363&lt;$H$2),0,MIN($E388-SUM($G388:I388),$F388))</f>
        <v>0</v>
      </c>
      <c r="K388" s="424">
        <f>IF(OR(K$363&lt;$C388,K$363&lt;$H$2),0,MIN($E388-SUM($G388:J388),$F388))</f>
        <v>0</v>
      </c>
      <c r="L388" s="424">
        <f>IF(OR(L$363&lt;$C388,L$363&lt;$H$2),0,MIN($E388-SUM($G388:K388),$F388))</f>
        <v>0</v>
      </c>
      <c r="M388" s="424">
        <f>IF(OR(M$363&lt;$C388,M$363&lt;$H$2),0,MIN($E388-SUM($G388:L388),$F388))</f>
        <v>0</v>
      </c>
      <c r="N388" s="424">
        <f>IF(OR(N$363&lt;$C388,N$363&lt;$H$2),0,MIN($E388-SUM($G388:M388),$F388))</f>
        <v>0</v>
      </c>
      <c r="O388" s="424">
        <f>IF(OR(O$363&lt;$C388,O$363&lt;$H$2),0,MIN($E388-SUM($G388:N388),$F388))</f>
        <v>0</v>
      </c>
      <c r="P388" s="424">
        <f>IF(OR(P$363&lt;$C388,P$363&lt;$H$2),0,MIN($E388-SUM($G388:O388),$F388))</f>
        <v>0</v>
      </c>
      <c r="Q388" s="424">
        <f>IF(OR(Q$363&lt;$C388,Q$363&lt;$H$2),0,MIN($E388-SUM($G388:P388),$F388))</f>
        <v>0</v>
      </c>
      <c r="R388" s="424">
        <f>IF(OR(R$363&lt;$C388,R$363&lt;$H$2),0,MIN($E388-SUM($G388:Q388),$F388))</f>
        <v>0</v>
      </c>
      <c r="S388" s="424">
        <f>IF(OR(S$363&lt;$C388,S$363&lt;$H$2),0,MIN($E388-SUM($G388:R388),$F388))</f>
        <v>0</v>
      </c>
      <c r="T388" s="424">
        <f>IF(OR(T$363&lt;$C388,T$363&lt;$H$2),0,MIN($E388-SUM($G388:S388),$F388))</f>
        <v>0</v>
      </c>
      <c r="U388" s="424">
        <f>IF(OR(U$363&lt;$C388,U$363&lt;$H$2),0,MIN($E388-SUM($G388:T388),$F388))</f>
        <v>0</v>
      </c>
      <c r="V388" s="424">
        <f>IF(OR(V$363&lt;$C388,V$363&lt;$H$2),0,MIN($E388-SUM($G388:U388),$F388))</f>
        <v>0</v>
      </c>
      <c r="W388" s="424">
        <f>IF(OR(W$363&lt;$C388,W$363&lt;$H$2),0,MIN($E388-SUM($G388:V388),$F388))</f>
        <v>0</v>
      </c>
      <c r="X388" s="424">
        <f>IF(OR(X$363&lt;$C388,X$363&lt;$H$2),0,MIN($E388-SUM($G388:W388),$F388))</f>
        <v>0</v>
      </c>
      <c r="Y388" s="424">
        <f>IF(OR(Y$363&lt;$C388,Y$363&lt;$H$2),0,MIN($E388-SUM($G388:X388),$F388))</f>
        <v>0</v>
      </c>
      <c r="Z388" s="424">
        <f>IF(OR(Z$363&lt;$C388,Z$363&lt;$H$2),0,MIN($E388-SUM($G388:Y388),$F388))</f>
        <v>0</v>
      </c>
      <c r="AA388" s="424">
        <f>IF(OR(AA$363&lt;$C388,AA$363&lt;$H$2),0,MIN($E388-SUM($G388:Z388),$F388))</f>
        <v>0</v>
      </c>
      <c r="AB388" s="424">
        <f>IF(OR(AB$363&lt;$C388,AB$363&lt;$H$2),0,MIN($E388-SUM($G388:AA388),$F388))</f>
        <v>0</v>
      </c>
      <c r="AC388" s="424">
        <f>IF(OR(AC$363&lt;$C388,AC$363&lt;$H$2),0,MIN($E388-SUM($G388:AB388),$F388))</f>
        <v>0</v>
      </c>
      <c r="AD388" s="424">
        <f>IF(OR(AD$363&lt;$C388,AD$363&lt;$H$2),0,MIN($E388-SUM($G388:AC388),$F388))</f>
        <v>0</v>
      </c>
    </row>
    <row r="389" spans="3:30" ht="14" thickBot="1">
      <c r="C389" s="240" t="s">
        <v>543</v>
      </c>
      <c r="D389" s="348" t="s">
        <v>134</v>
      </c>
      <c r="E389" s="427">
        <f>SUM(E366:E388)</f>
        <v>14.45</v>
      </c>
      <c r="F389" s="427">
        <f>SUM(F366:F388)</f>
        <v>0.96381499999999987</v>
      </c>
      <c r="G389" s="348"/>
      <c r="H389" s="427">
        <f t="shared" ref="H389:AD389" si="146">SUM(H366:H388)</f>
        <v>0</v>
      </c>
      <c r="I389" s="427">
        <f t="shared" si="146"/>
        <v>0.28914449999999997</v>
      </c>
      <c r="J389" s="427">
        <f t="shared" si="146"/>
        <v>0.77105199999999985</v>
      </c>
      <c r="K389" s="427">
        <f t="shared" si="146"/>
        <v>0.96381499999999987</v>
      </c>
      <c r="L389" s="427">
        <f t="shared" si="146"/>
        <v>0.96381499999999987</v>
      </c>
      <c r="M389" s="427">
        <f t="shared" si="146"/>
        <v>0.96381499999999987</v>
      </c>
      <c r="N389" s="427">
        <f t="shared" si="146"/>
        <v>0.96381499999999987</v>
      </c>
      <c r="O389" s="427">
        <f t="shared" si="146"/>
        <v>0.96381499999999987</v>
      </c>
      <c r="P389" s="427">
        <f t="shared" si="146"/>
        <v>0.96381499999999987</v>
      </c>
      <c r="Q389" s="427">
        <f t="shared" si="146"/>
        <v>0.96381499999999987</v>
      </c>
      <c r="R389" s="427">
        <f t="shared" si="146"/>
        <v>0.96381499999999987</v>
      </c>
      <c r="S389" s="427">
        <f t="shared" si="146"/>
        <v>0.96381499999999987</v>
      </c>
      <c r="T389" s="427">
        <f t="shared" si="146"/>
        <v>0.96381499999999987</v>
      </c>
      <c r="U389" s="427">
        <f t="shared" si="146"/>
        <v>0.96381499999999987</v>
      </c>
      <c r="V389" s="427">
        <f t="shared" si="146"/>
        <v>0.96381499999999987</v>
      </c>
      <c r="W389" s="427">
        <f t="shared" si="146"/>
        <v>0.96164750000000021</v>
      </c>
      <c r="X389" s="427">
        <f t="shared" si="146"/>
        <v>0.67105799999999838</v>
      </c>
      <c r="Y389" s="427">
        <f t="shared" si="146"/>
        <v>0.19131800000000077</v>
      </c>
      <c r="Z389" s="427">
        <f t="shared" si="146"/>
        <v>0</v>
      </c>
      <c r="AA389" s="427">
        <f t="shared" si="146"/>
        <v>0</v>
      </c>
      <c r="AB389" s="427">
        <f t="shared" si="146"/>
        <v>0</v>
      </c>
      <c r="AC389" s="427">
        <f t="shared" si="146"/>
        <v>0</v>
      </c>
      <c r="AD389" s="427">
        <f t="shared" si="146"/>
        <v>0</v>
      </c>
    </row>
    <row r="390" spans="3:30" ht="14" thickTop="1"/>
    <row r="391" spans="3:30" ht="28">
      <c r="C391" s="428" t="s">
        <v>166</v>
      </c>
      <c r="D391" s="428" t="s">
        <v>88</v>
      </c>
      <c r="E391" s="428" t="s">
        <v>555</v>
      </c>
      <c r="F391" s="429" t="s">
        <v>556</v>
      </c>
      <c r="G391" s="430"/>
      <c r="H391" s="201">
        <f t="shared" ref="H391:AD391" si="147">H363</f>
        <v>46023</v>
      </c>
      <c r="I391" s="201">
        <f t="shared" si="147"/>
        <v>46389</v>
      </c>
      <c r="J391" s="201">
        <f t="shared" si="147"/>
        <v>46755</v>
      </c>
      <c r="K391" s="201">
        <f t="shared" si="147"/>
        <v>47121</v>
      </c>
      <c r="L391" s="201">
        <f t="shared" si="147"/>
        <v>47487</v>
      </c>
      <c r="M391" s="201">
        <f t="shared" si="147"/>
        <v>47853</v>
      </c>
      <c r="N391" s="201">
        <f t="shared" si="147"/>
        <v>48219</v>
      </c>
      <c r="O391" s="201">
        <f t="shared" si="147"/>
        <v>48585</v>
      </c>
      <c r="P391" s="201">
        <f t="shared" si="147"/>
        <v>48951</v>
      </c>
      <c r="Q391" s="201">
        <f t="shared" si="147"/>
        <v>49317</v>
      </c>
      <c r="R391" s="201">
        <f t="shared" si="147"/>
        <v>49683</v>
      </c>
      <c r="S391" s="201">
        <f t="shared" si="147"/>
        <v>50049</v>
      </c>
      <c r="T391" s="201">
        <f t="shared" si="147"/>
        <v>50415</v>
      </c>
      <c r="U391" s="201">
        <f t="shared" si="147"/>
        <v>50781</v>
      </c>
      <c r="V391" s="201">
        <f t="shared" si="147"/>
        <v>51147</v>
      </c>
      <c r="W391" s="201">
        <f t="shared" si="147"/>
        <v>51513</v>
      </c>
      <c r="X391" s="201">
        <f t="shared" si="147"/>
        <v>51879</v>
      </c>
      <c r="Y391" s="201">
        <f t="shared" si="147"/>
        <v>52245</v>
      </c>
      <c r="Z391" s="201">
        <f t="shared" si="147"/>
        <v>52611</v>
      </c>
      <c r="AA391" s="201">
        <f t="shared" si="147"/>
        <v>52977</v>
      </c>
      <c r="AB391" s="201">
        <f t="shared" si="147"/>
        <v>53343</v>
      </c>
      <c r="AC391" s="201">
        <f t="shared" si="147"/>
        <v>53709</v>
      </c>
      <c r="AD391" s="201">
        <f t="shared" si="147"/>
        <v>54075</v>
      </c>
    </row>
    <row r="392" spans="3:30">
      <c r="C392" s="430"/>
      <c r="D392" s="430"/>
      <c r="E392" s="428" t="s">
        <v>134</v>
      </c>
      <c r="F392" s="428" t="s">
        <v>134</v>
      </c>
      <c r="G392" s="430"/>
      <c r="H392" s="1141">
        <f t="shared" ref="H392:AD392" si="148">H364</f>
        <v>-4</v>
      </c>
      <c r="I392" s="1141">
        <f t="shared" si="148"/>
        <v>-3</v>
      </c>
      <c r="J392" s="1141">
        <f t="shared" si="148"/>
        <v>-2</v>
      </c>
      <c r="K392" s="1141">
        <f t="shared" si="148"/>
        <v>-1</v>
      </c>
      <c r="L392" s="1141">
        <f t="shared" si="148"/>
        <v>1</v>
      </c>
      <c r="M392" s="1141">
        <f t="shared" si="148"/>
        <v>2</v>
      </c>
      <c r="N392" s="1141">
        <f t="shared" si="148"/>
        <v>3</v>
      </c>
      <c r="O392" s="1141">
        <f t="shared" si="148"/>
        <v>4</v>
      </c>
      <c r="P392" s="1141">
        <f t="shared" si="148"/>
        <v>5</v>
      </c>
      <c r="Q392" s="1141">
        <f t="shared" si="148"/>
        <v>6</v>
      </c>
      <c r="R392" s="1141">
        <f t="shared" si="148"/>
        <v>7</v>
      </c>
      <c r="S392" s="1141">
        <f t="shared" si="148"/>
        <v>8</v>
      </c>
      <c r="T392" s="1141">
        <f t="shared" si="148"/>
        <v>9</v>
      </c>
      <c r="U392" s="1141">
        <f t="shared" si="148"/>
        <v>10</v>
      </c>
      <c r="V392" s="1141">
        <f t="shared" si="148"/>
        <v>11</v>
      </c>
      <c r="W392" s="1141">
        <f t="shared" si="148"/>
        <v>12</v>
      </c>
      <c r="X392" s="1141">
        <f t="shared" si="148"/>
        <v>13</v>
      </c>
      <c r="Y392" s="1141">
        <f t="shared" si="148"/>
        <v>14</v>
      </c>
      <c r="Z392" s="1141">
        <f t="shared" si="148"/>
        <v>15</v>
      </c>
      <c r="AA392" s="1141">
        <f t="shared" si="148"/>
        <v>16</v>
      </c>
      <c r="AB392" s="1141">
        <f t="shared" si="148"/>
        <v>17</v>
      </c>
      <c r="AC392" s="1141">
        <f t="shared" si="148"/>
        <v>18</v>
      </c>
      <c r="AD392" s="1141">
        <f t="shared" si="148"/>
        <v>19</v>
      </c>
    </row>
    <row r="393" spans="3:30">
      <c r="C393" s="191" t="str">
        <f>C83</f>
        <v>Workshop and Store</v>
      </c>
    </row>
    <row r="394" spans="3:30">
      <c r="C394" s="201" cm="1">
        <f t="array" ref="C394:C416">TRANSPOSE(H391:AD391)</f>
        <v>46023</v>
      </c>
      <c r="D394" s="94" t="s">
        <v>134</v>
      </c>
      <c r="E394" s="424">
        <f t="shared" ref="E394:E416" si="149">HLOOKUP($C394,$H$39:$AI$112,47,FALSE)</f>
        <v>0</v>
      </c>
      <c r="F394" s="209">
        <f>E394*$F$83</f>
        <v>0</v>
      </c>
      <c r="H394" s="424">
        <f>IF(OR(H$391&lt;$C394,H$391&lt;$H$2),0,MIN($E394-SUM($G394:G394),$F394))</f>
        <v>0</v>
      </c>
      <c r="I394" s="424">
        <f>IF(OR(I$391&lt;$C394,I$391&lt;$H$2),0,MIN($E394-SUM($G394:H394),$F394))</f>
        <v>0</v>
      </c>
      <c r="J394" s="424">
        <f>IF(OR(J$391&lt;$C394,J$391&lt;$H$2),0,MIN($E394-SUM($G394:I394),$F394))</f>
        <v>0</v>
      </c>
      <c r="K394" s="424">
        <f>IF(OR(K$391&lt;$C394,K$391&lt;$H$2),0,MIN($E394-SUM($G394:J394),$F394))</f>
        <v>0</v>
      </c>
      <c r="L394" s="424">
        <f>IF(OR(L$391&lt;$C394,L$391&lt;$H$2),0,MIN($E394-SUM($G394:K394),$F394))</f>
        <v>0</v>
      </c>
      <c r="M394" s="424">
        <f>IF(OR(M$391&lt;$C394,M$391&lt;$H$2),0,MIN($E394-SUM($G394:L394),$F394))</f>
        <v>0</v>
      </c>
      <c r="N394" s="424">
        <f>IF(OR(N$391&lt;$C394,N$391&lt;$H$2),0,MIN($E394-SUM($G394:M394),$F394))</f>
        <v>0</v>
      </c>
      <c r="O394" s="424">
        <f>IF(OR(O$391&lt;$C394,O$391&lt;$H$2),0,MIN($E394-SUM($G394:N394),$F394))</f>
        <v>0</v>
      </c>
      <c r="P394" s="424">
        <f>IF(OR(P$391&lt;$C394,P$391&lt;$H$2),0,MIN($E394-SUM($G394:O394),$F394))</f>
        <v>0</v>
      </c>
      <c r="Q394" s="424">
        <f>IF(OR(Q$391&lt;$C394,Q$391&lt;$H$2),0,MIN($E394-SUM($G394:P394),$F394))</f>
        <v>0</v>
      </c>
      <c r="R394" s="424">
        <f>IF(OR(R$391&lt;$C394,R$391&lt;$H$2),0,MIN($E394-SUM($G394:Q394),$F394))</f>
        <v>0</v>
      </c>
      <c r="S394" s="424">
        <f>IF(OR(S$391&lt;$C394,S$391&lt;$H$2),0,MIN($E394-SUM($G394:R394),$F394))</f>
        <v>0</v>
      </c>
      <c r="T394" s="424">
        <f>IF(OR(T$391&lt;$C394,T$391&lt;$H$2),0,MIN($E394-SUM($G394:S394),$F394))</f>
        <v>0</v>
      </c>
      <c r="U394" s="424">
        <f>IF(OR(U$391&lt;$C394,U$391&lt;$H$2),0,MIN($E394-SUM($G394:T394),$F394))</f>
        <v>0</v>
      </c>
      <c r="V394" s="424">
        <f>IF(OR(V$391&lt;$C394,V$391&lt;$H$2),0,MIN($E394-SUM($G394:U394),$F394))</f>
        <v>0</v>
      </c>
      <c r="W394" s="424">
        <f>IF(OR(W$391&lt;$C394,W$391&lt;$H$2),0,MIN($E394-SUM($G394:V394),$F394))</f>
        <v>0</v>
      </c>
      <c r="X394" s="424">
        <f>IF(OR(X$391&lt;$C394,X$391&lt;$H$2),0,MIN($E394-SUM($G394:W394),$F394))</f>
        <v>0</v>
      </c>
      <c r="Y394" s="424">
        <f>IF(OR(Y$391&lt;$C394,Y$391&lt;$H$2),0,MIN($E394-SUM($G394:X394),$F394))</f>
        <v>0</v>
      </c>
      <c r="Z394" s="424">
        <f>IF(OR(Z$391&lt;$C394,Z$391&lt;$H$2),0,MIN($E394-SUM($G394:Y394),$F394))</f>
        <v>0</v>
      </c>
      <c r="AA394" s="424">
        <f>IF(OR(AA$391&lt;$C394,AA$391&lt;$H$2),0,MIN($E394-SUM($G394:Z394),$F394))</f>
        <v>0</v>
      </c>
      <c r="AB394" s="424">
        <f>IF(OR(AB$391&lt;$C394,AB$391&lt;$H$2),0,MIN($E394-SUM($G394:AA394),$F394))</f>
        <v>0</v>
      </c>
      <c r="AC394" s="424">
        <f>IF(OR(AC$391&lt;$C394,AC$391&lt;$H$2),0,MIN($E394-SUM($G394:AB394),$F394))</f>
        <v>0</v>
      </c>
      <c r="AD394" s="424">
        <f>IF(OR(AD$391&lt;$C394,AD$391&lt;$H$2),0,MIN($E394-SUM($G394:AC394),$F394))</f>
        <v>0</v>
      </c>
    </row>
    <row r="395" spans="3:30">
      <c r="C395" s="201">
        <v>46389</v>
      </c>
      <c r="D395" s="94" t="s">
        <v>134</v>
      </c>
      <c r="E395" s="424">
        <f t="shared" si="149"/>
        <v>0</v>
      </c>
      <c r="F395" s="209">
        <f t="shared" ref="F395:F416" si="150">E395*$F$83</f>
        <v>0</v>
      </c>
      <c r="H395" s="424">
        <f>IF(OR(H$391&lt;$C395,H$391&lt;$H$2),0,MIN($E395-SUM($G395:G395),$F395))</f>
        <v>0</v>
      </c>
      <c r="I395" s="424">
        <f>IF(OR(I$391&lt;$C395,I$391&lt;$H$2),0,MIN($E395-SUM($G395:H395),$F395))</f>
        <v>0</v>
      </c>
      <c r="J395" s="424">
        <f>IF(OR(J$391&lt;$C395,J$391&lt;$H$2),0,MIN($E395-SUM($G395:I395),$F395))</f>
        <v>0</v>
      </c>
      <c r="K395" s="424">
        <f>IF(OR(K$391&lt;$C395,K$391&lt;$H$2),0,MIN($E395-SUM($G395:J395),$F395))</f>
        <v>0</v>
      </c>
      <c r="L395" s="424">
        <f>IF(OR(L$391&lt;$C395,L$391&lt;$H$2),0,MIN($E395-SUM($G395:K395),$F395))</f>
        <v>0</v>
      </c>
      <c r="M395" s="424">
        <f>IF(OR(M$391&lt;$C395,M$391&lt;$H$2),0,MIN($E395-SUM($G395:L395),$F395))</f>
        <v>0</v>
      </c>
      <c r="N395" s="424">
        <f>IF(OR(N$391&lt;$C395,N$391&lt;$H$2),0,MIN($E395-SUM($G395:M395),$F395))</f>
        <v>0</v>
      </c>
      <c r="O395" s="424">
        <f>IF(OR(O$391&lt;$C395,O$391&lt;$H$2),0,MIN($E395-SUM($G395:N395),$F395))</f>
        <v>0</v>
      </c>
      <c r="P395" s="424">
        <f>IF(OR(P$391&lt;$C395,P$391&lt;$H$2),0,MIN($E395-SUM($G395:O395),$F395))</f>
        <v>0</v>
      </c>
      <c r="Q395" s="424">
        <f>IF(OR(Q$391&lt;$C395,Q$391&lt;$H$2),0,MIN($E395-SUM($G395:P395),$F395))</f>
        <v>0</v>
      </c>
      <c r="R395" s="424">
        <f>IF(OR(R$391&lt;$C395,R$391&lt;$H$2),0,MIN($E395-SUM($G395:Q395),$F395))</f>
        <v>0</v>
      </c>
      <c r="S395" s="424">
        <f>IF(OR(S$391&lt;$C395,S$391&lt;$H$2),0,MIN($E395-SUM($G395:R395),$F395))</f>
        <v>0</v>
      </c>
      <c r="T395" s="424">
        <f>IF(OR(T$391&lt;$C395,T$391&lt;$H$2),0,MIN($E395-SUM($G395:S395),$F395))</f>
        <v>0</v>
      </c>
      <c r="U395" s="424">
        <f>IF(OR(U$391&lt;$C395,U$391&lt;$H$2),0,MIN($E395-SUM($G395:T395),$F395))</f>
        <v>0</v>
      </c>
      <c r="V395" s="424">
        <f>IF(OR(V$391&lt;$C395,V$391&lt;$H$2),0,MIN($E395-SUM($G395:U395),$F395))</f>
        <v>0</v>
      </c>
      <c r="W395" s="424">
        <f>IF(OR(W$391&lt;$C395,W$391&lt;$H$2),0,MIN($E395-SUM($G395:V395),$F395))</f>
        <v>0</v>
      </c>
      <c r="X395" s="424">
        <f>IF(OR(X$391&lt;$C395,X$391&lt;$H$2),0,MIN($E395-SUM($G395:W395),$F395))</f>
        <v>0</v>
      </c>
      <c r="Y395" s="424">
        <f>IF(OR(Y$391&lt;$C395,Y$391&lt;$H$2),0,MIN($E395-SUM($G395:X395),$F395))</f>
        <v>0</v>
      </c>
      <c r="Z395" s="424">
        <f>IF(OR(Z$391&lt;$C395,Z$391&lt;$H$2),0,MIN($E395-SUM($G395:Y395),$F395))</f>
        <v>0</v>
      </c>
      <c r="AA395" s="424">
        <f>IF(OR(AA$391&lt;$C395,AA$391&lt;$H$2),0,MIN($E395-SUM($G395:Z395),$F395))</f>
        <v>0</v>
      </c>
      <c r="AB395" s="424">
        <f>IF(OR(AB$391&lt;$C395,AB$391&lt;$H$2),0,MIN($E395-SUM($G395:AA395),$F395))</f>
        <v>0</v>
      </c>
      <c r="AC395" s="424">
        <f>IF(OR(AC$391&lt;$C395,AC$391&lt;$H$2),0,MIN($E395-SUM($G395:AB395),$F395))</f>
        <v>0</v>
      </c>
      <c r="AD395" s="424">
        <f>IF(OR(AD$391&lt;$C395,AD$391&lt;$H$2),0,MIN($E395-SUM($G395:AC395),$F395))</f>
        <v>0</v>
      </c>
    </row>
    <row r="396" spans="3:30">
      <c r="C396" s="201">
        <v>46755</v>
      </c>
      <c r="D396" s="94" t="s">
        <v>134</v>
      </c>
      <c r="E396" s="424">
        <f t="shared" si="149"/>
        <v>13.635</v>
      </c>
      <c r="F396" s="209">
        <f t="shared" si="150"/>
        <v>0.90945449999999994</v>
      </c>
      <c r="H396" s="424">
        <f>IF(OR(H$391&lt;$C396,H$391&lt;$H$2),0,MIN($E396-SUM($G396:G396),$F396))</f>
        <v>0</v>
      </c>
      <c r="I396" s="424">
        <f>IF(OR(I$391&lt;$C396,I$391&lt;$H$2),0,MIN($E396-SUM($G396:H396),$F396))</f>
        <v>0</v>
      </c>
      <c r="J396" s="424">
        <f>IF(OR(J$391&lt;$C396,J$391&lt;$H$2),0,MIN($E396-SUM($G396:I396),$F396))</f>
        <v>0.90945449999999994</v>
      </c>
      <c r="K396" s="424">
        <f>IF(OR(K$391&lt;$C396,K$391&lt;$H$2),0,MIN($E396-SUM($G396:J396),$F396))</f>
        <v>0.90945449999999994</v>
      </c>
      <c r="L396" s="424">
        <f>IF(OR(L$391&lt;$C396,L$391&lt;$H$2),0,MIN($E396-SUM($G396:K396),$F396))</f>
        <v>0.90945449999999994</v>
      </c>
      <c r="M396" s="424">
        <f>IF(OR(M$391&lt;$C396,M$391&lt;$H$2),0,MIN($E396-SUM($G396:L396),$F396))</f>
        <v>0.90945449999999994</v>
      </c>
      <c r="N396" s="424">
        <f>IF(OR(N$391&lt;$C396,N$391&lt;$H$2),0,MIN($E396-SUM($G396:M396),$F396))</f>
        <v>0.90945449999999994</v>
      </c>
      <c r="O396" s="424">
        <f>IF(OR(O$391&lt;$C396,O$391&lt;$H$2),0,MIN($E396-SUM($G396:N396),$F396))</f>
        <v>0.90945449999999994</v>
      </c>
      <c r="P396" s="424">
        <f>IF(OR(P$391&lt;$C396,P$391&lt;$H$2),0,MIN($E396-SUM($G396:O396),$F396))</f>
        <v>0.90945449999999994</v>
      </c>
      <c r="Q396" s="424">
        <f>IF(OR(Q$391&lt;$C396,Q$391&lt;$H$2),0,MIN($E396-SUM($G396:P396),$F396))</f>
        <v>0.90945449999999994</v>
      </c>
      <c r="R396" s="424">
        <f>IF(OR(R$391&lt;$C396,R$391&lt;$H$2),0,MIN($E396-SUM($G396:Q396),$F396))</f>
        <v>0.90945449999999994</v>
      </c>
      <c r="S396" s="424">
        <f>IF(OR(S$391&lt;$C396,S$391&lt;$H$2),0,MIN($E396-SUM($G396:R396),$F396))</f>
        <v>0.90945449999999994</v>
      </c>
      <c r="T396" s="424">
        <f>IF(OR(T$391&lt;$C396,T$391&lt;$H$2),0,MIN($E396-SUM($G396:S396),$F396))</f>
        <v>0.90945449999999994</v>
      </c>
      <c r="U396" s="424">
        <f>IF(OR(U$391&lt;$C396,U$391&lt;$H$2),0,MIN($E396-SUM($G396:T396),$F396))</f>
        <v>0.90945449999999994</v>
      </c>
      <c r="V396" s="424">
        <f>IF(OR(V$391&lt;$C396,V$391&lt;$H$2),0,MIN($E396-SUM($G396:U396),$F396))</f>
        <v>0.90945449999999994</v>
      </c>
      <c r="W396" s="424">
        <f>IF(OR(W$391&lt;$C396,W$391&lt;$H$2),0,MIN($E396-SUM($G396:V396),$F396))</f>
        <v>0.90945449999999994</v>
      </c>
      <c r="X396" s="424">
        <f>IF(OR(X$391&lt;$C396,X$391&lt;$H$2),0,MIN($E396-SUM($G396:W396),$F396))</f>
        <v>0.9026369999999968</v>
      </c>
      <c r="Y396" s="424">
        <f>IF(OR(Y$391&lt;$C396,Y$391&lt;$H$2),0,MIN($E396-SUM($G396:X396),$F396))</f>
        <v>0</v>
      </c>
      <c r="Z396" s="424">
        <f>IF(OR(Z$391&lt;$C396,Z$391&lt;$H$2),0,MIN($E396-SUM($G396:Y396),$F396))</f>
        <v>0</v>
      </c>
      <c r="AA396" s="424">
        <f>IF(OR(AA$391&lt;$C396,AA$391&lt;$H$2),0,MIN($E396-SUM($G396:Z396),$F396))</f>
        <v>0</v>
      </c>
      <c r="AB396" s="424">
        <f>IF(OR(AB$391&lt;$C396,AB$391&lt;$H$2),0,MIN($E396-SUM($G396:AA396),$F396))</f>
        <v>0</v>
      </c>
      <c r="AC396" s="424">
        <f>IF(OR(AC$391&lt;$C396,AC$391&lt;$H$2),0,MIN($E396-SUM($G396:AB396),$F396))</f>
        <v>0</v>
      </c>
      <c r="AD396" s="424">
        <f>IF(OR(AD$391&lt;$C396,AD$391&lt;$H$2),0,MIN($E396-SUM($G396:AC396),$F396))</f>
        <v>0</v>
      </c>
    </row>
    <row r="397" spans="3:30">
      <c r="C397" s="201">
        <v>47121</v>
      </c>
      <c r="D397" s="94" t="s">
        <v>134</v>
      </c>
      <c r="E397" s="424">
        <f t="shared" si="149"/>
        <v>13.635</v>
      </c>
      <c r="F397" s="209">
        <f t="shared" si="150"/>
        <v>0.90945449999999994</v>
      </c>
      <c r="H397" s="424">
        <f>IF(OR(H$391&lt;$C397,H$391&lt;$H$2),0,MIN($E397-SUM($G397:G397),$F397))</f>
        <v>0</v>
      </c>
      <c r="I397" s="424">
        <f>IF(OR(I$391&lt;$C397,I$391&lt;$H$2),0,MIN($E397-SUM($G397:H397),$F397))</f>
        <v>0</v>
      </c>
      <c r="J397" s="424">
        <f>IF(OR(J$391&lt;$C397,J$391&lt;$H$2),0,MIN($E397-SUM($G397:I397),$F397))</f>
        <v>0</v>
      </c>
      <c r="K397" s="424">
        <f>IF(OR(K$391&lt;$C397,K$391&lt;$H$2),0,MIN($E397-SUM($G397:J397),$F397))</f>
        <v>0.90945449999999994</v>
      </c>
      <c r="L397" s="424">
        <f>IF(OR(L$391&lt;$C397,L$391&lt;$H$2),0,MIN($E397-SUM($G397:K397),$F397))</f>
        <v>0.90945449999999994</v>
      </c>
      <c r="M397" s="424">
        <f>IF(OR(M$391&lt;$C397,M$391&lt;$H$2),0,MIN($E397-SUM($G397:L397),$F397))</f>
        <v>0.90945449999999994</v>
      </c>
      <c r="N397" s="424">
        <f>IF(OR(N$391&lt;$C397,N$391&lt;$H$2),0,MIN($E397-SUM($G397:M397),$F397))</f>
        <v>0.90945449999999994</v>
      </c>
      <c r="O397" s="424">
        <f>IF(OR(O$391&lt;$C397,O$391&lt;$H$2),0,MIN($E397-SUM($G397:N397),$F397))</f>
        <v>0.90945449999999994</v>
      </c>
      <c r="P397" s="424">
        <f>IF(OR(P$391&lt;$C397,P$391&lt;$H$2),0,MIN($E397-SUM($G397:O397),$F397))</f>
        <v>0.90945449999999994</v>
      </c>
      <c r="Q397" s="424">
        <f>IF(OR(Q$391&lt;$C397,Q$391&lt;$H$2),0,MIN($E397-SUM($G397:P397),$F397))</f>
        <v>0.90945449999999994</v>
      </c>
      <c r="R397" s="424">
        <f>IF(OR(R$391&lt;$C397,R$391&lt;$H$2),0,MIN($E397-SUM($G397:Q397),$F397))</f>
        <v>0.90945449999999994</v>
      </c>
      <c r="S397" s="424">
        <f>IF(OR(S$391&lt;$C397,S$391&lt;$H$2),0,MIN($E397-SUM($G397:R397),$F397))</f>
        <v>0.90945449999999994</v>
      </c>
      <c r="T397" s="424">
        <f>IF(OR(T$391&lt;$C397,T$391&lt;$H$2),0,MIN($E397-SUM($G397:S397),$F397))</f>
        <v>0.90945449999999994</v>
      </c>
      <c r="U397" s="424">
        <f>IF(OR(U$391&lt;$C397,U$391&lt;$H$2),0,MIN($E397-SUM($G397:T397),$F397))</f>
        <v>0.90945449999999994</v>
      </c>
      <c r="V397" s="424">
        <f>IF(OR(V$391&lt;$C397,V$391&lt;$H$2),0,MIN($E397-SUM($G397:U397),$F397))</f>
        <v>0.90945449999999994</v>
      </c>
      <c r="W397" s="424">
        <f>IF(OR(W$391&lt;$C397,W$391&lt;$H$2),0,MIN($E397-SUM($G397:V397),$F397))</f>
        <v>0.90945449999999994</v>
      </c>
      <c r="X397" s="424">
        <f>IF(OR(X$391&lt;$C397,X$391&lt;$H$2),0,MIN($E397-SUM($G397:W397),$F397))</f>
        <v>0.90945449999999994</v>
      </c>
      <c r="Y397" s="424">
        <f>IF(OR(Y$391&lt;$C397,Y$391&lt;$H$2),0,MIN($E397-SUM($G397:X397),$F397))</f>
        <v>0.9026369999999968</v>
      </c>
      <c r="Z397" s="424">
        <f>IF(OR(Z$391&lt;$C397,Z$391&lt;$H$2),0,MIN($E397-SUM($G397:Y397),$F397))</f>
        <v>0</v>
      </c>
      <c r="AA397" s="424">
        <f>IF(OR(AA$391&lt;$C397,AA$391&lt;$H$2),0,MIN($E397-SUM($G397:Z397),$F397))</f>
        <v>0</v>
      </c>
      <c r="AB397" s="424">
        <f>IF(OR(AB$391&lt;$C397,AB$391&lt;$H$2),0,MIN($E397-SUM($G397:AA397),$F397))</f>
        <v>0</v>
      </c>
      <c r="AC397" s="424">
        <f>IF(OR(AC$391&lt;$C397,AC$391&lt;$H$2),0,MIN($E397-SUM($G397:AB397),$F397))</f>
        <v>0</v>
      </c>
      <c r="AD397" s="424">
        <f>IF(OR(AD$391&lt;$C397,AD$391&lt;$H$2),0,MIN($E397-SUM($G397:AC397),$F397))</f>
        <v>0</v>
      </c>
    </row>
    <row r="398" spans="3:30">
      <c r="C398" s="201">
        <v>47487</v>
      </c>
      <c r="D398" s="94" t="s">
        <v>134</v>
      </c>
      <c r="E398" s="424">
        <f t="shared" si="149"/>
        <v>0</v>
      </c>
      <c r="F398" s="209">
        <f t="shared" si="150"/>
        <v>0</v>
      </c>
      <c r="H398" s="424">
        <f>IF(OR(H$391&lt;$C398,H$391&lt;$H$2),0,MIN($E398-SUM($G398:G398),$F398))</f>
        <v>0</v>
      </c>
      <c r="I398" s="424">
        <f>IF(OR(I$391&lt;$C398,I$391&lt;$H$2),0,MIN($E398-SUM($G398:H398),$F398))</f>
        <v>0</v>
      </c>
      <c r="J398" s="424">
        <f>IF(OR(J$391&lt;$C398,J$391&lt;$H$2),0,MIN($E398-SUM($G398:I398),$F398))</f>
        <v>0</v>
      </c>
      <c r="K398" s="424">
        <f>IF(OR(K$391&lt;$C398,K$391&lt;$H$2),0,MIN($E398-SUM($G398:J398),$F398))</f>
        <v>0</v>
      </c>
      <c r="L398" s="424">
        <f>IF(OR(L$391&lt;$C398,L$391&lt;$H$2),0,MIN($E398-SUM($G398:K398),$F398))</f>
        <v>0</v>
      </c>
      <c r="M398" s="424">
        <f>IF(OR(M$391&lt;$C398,M$391&lt;$H$2),0,MIN($E398-SUM($G398:L398),$F398))</f>
        <v>0</v>
      </c>
      <c r="N398" s="424">
        <f>IF(OR(N$391&lt;$C398,N$391&lt;$H$2),0,MIN($E398-SUM($G398:M398),$F398))</f>
        <v>0</v>
      </c>
      <c r="O398" s="424">
        <f>IF(OR(O$391&lt;$C398,O$391&lt;$H$2),0,MIN($E398-SUM($G398:N398),$F398))</f>
        <v>0</v>
      </c>
      <c r="P398" s="424">
        <f>IF(OR(P$391&lt;$C398,P$391&lt;$H$2),0,MIN($E398-SUM($G398:O398),$F398))</f>
        <v>0</v>
      </c>
      <c r="Q398" s="424">
        <f>IF(OR(Q$391&lt;$C398,Q$391&lt;$H$2),0,MIN($E398-SUM($G398:P398),$F398))</f>
        <v>0</v>
      </c>
      <c r="R398" s="424">
        <f>IF(OR(R$391&lt;$C398,R$391&lt;$H$2),0,MIN($E398-SUM($G398:Q398),$F398))</f>
        <v>0</v>
      </c>
      <c r="S398" s="424">
        <f>IF(OR(S$391&lt;$C398,S$391&lt;$H$2),0,MIN($E398-SUM($G398:R398),$F398))</f>
        <v>0</v>
      </c>
      <c r="T398" s="424">
        <f>IF(OR(T$391&lt;$C398,T$391&lt;$H$2),0,MIN($E398-SUM($G398:S398),$F398))</f>
        <v>0</v>
      </c>
      <c r="U398" s="424">
        <f>IF(OR(U$391&lt;$C398,U$391&lt;$H$2),0,MIN($E398-SUM($G398:T398),$F398))</f>
        <v>0</v>
      </c>
      <c r="V398" s="424">
        <f>IF(OR(V$391&lt;$C398,V$391&lt;$H$2),0,MIN($E398-SUM($G398:U398),$F398))</f>
        <v>0</v>
      </c>
      <c r="W398" s="424">
        <f>IF(OR(W$391&lt;$C398,W$391&lt;$H$2),0,MIN($E398-SUM($G398:V398),$F398))</f>
        <v>0</v>
      </c>
      <c r="X398" s="424">
        <f>IF(OR(X$391&lt;$C398,X$391&lt;$H$2),0,MIN($E398-SUM($G398:W398),$F398))</f>
        <v>0</v>
      </c>
      <c r="Y398" s="424">
        <f>IF(OR(Y$391&lt;$C398,Y$391&lt;$H$2),0,MIN($E398-SUM($G398:X398),$F398))</f>
        <v>0</v>
      </c>
      <c r="Z398" s="424">
        <f>IF(OR(Z$391&lt;$C398,Z$391&lt;$H$2),0,MIN($E398-SUM($G398:Y398),$F398))</f>
        <v>0</v>
      </c>
      <c r="AA398" s="424">
        <f>IF(OR(AA$391&lt;$C398,AA$391&lt;$H$2),0,MIN($E398-SUM($G398:Z398),$F398))</f>
        <v>0</v>
      </c>
      <c r="AB398" s="424">
        <f>IF(OR(AB$391&lt;$C398,AB$391&lt;$H$2),0,MIN($E398-SUM($G398:AA398),$F398))</f>
        <v>0</v>
      </c>
      <c r="AC398" s="424">
        <f>IF(OR(AC$391&lt;$C398,AC$391&lt;$H$2),0,MIN($E398-SUM($G398:AB398),$F398))</f>
        <v>0</v>
      </c>
      <c r="AD398" s="424">
        <f>IF(OR(AD$391&lt;$C398,AD$391&lt;$H$2),0,MIN($E398-SUM($G398:AC398),$F398))</f>
        <v>0</v>
      </c>
    </row>
    <row r="399" spans="3:30">
      <c r="C399" s="201">
        <v>47853</v>
      </c>
      <c r="D399" s="94" t="s">
        <v>134</v>
      </c>
      <c r="E399" s="424">
        <f t="shared" si="149"/>
        <v>0</v>
      </c>
      <c r="F399" s="209">
        <f t="shared" si="150"/>
        <v>0</v>
      </c>
      <c r="H399" s="424">
        <f>IF(OR(H$391&lt;$C399,H$391&lt;$H$2),0,MIN($E399-SUM($G399:G399),$F399))</f>
        <v>0</v>
      </c>
      <c r="I399" s="424">
        <f>IF(OR(I$391&lt;$C399,I$391&lt;$H$2),0,MIN($E399-SUM($G399:H399),$F399))</f>
        <v>0</v>
      </c>
      <c r="J399" s="424">
        <f>IF(OR(J$391&lt;$C399,J$391&lt;$H$2),0,MIN($E399-SUM($G399:I399),$F399))</f>
        <v>0</v>
      </c>
      <c r="K399" s="424">
        <f>IF(OR(K$391&lt;$C399,K$391&lt;$H$2),0,MIN($E399-SUM($G399:J399),$F399))</f>
        <v>0</v>
      </c>
      <c r="L399" s="424">
        <f>IF(OR(L$391&lt;$C399,L$391&lt;$H$2),0,MIN($E399-SUM($G399:K399),$F399))</f>
        <v>0</v>
      </c>
      <c r="M399" s="424">
        <f>IF(OR(M$391&lt;$C399,M$391&lt;$H$2),0,MIN($E399-SUM($G399:L399),$F399))</f>
        <v>0</v>
      </c>
      <c r="N399" s="424">
        <f>IF(OR(N$391&lt;$C399,N$391&lt;$H$2),0,MIN($E399-SUM($G399:M399),$F399))</f>
        <v>0</v>
      </c>
      <c r="O399" s="424">
        <f>IF(OR(O$391&lt;$C399,O$391&lt;$H$2),0,MIN($E399-SUM($G399:N399),$F399))</f>
        <v>0</v>
      </c>
      <c r="P399" s="424">
        <f>IF(OR(P$391&lt;$C399,P$391&lt;$H$2),0,MIN($E399-SUM($G399:O399),$F399))</f>
        <v>0</v>
      </c>
      <c r="Q399" s="424">
        <f>IF(OR(Q$391&lt;$C399,Q$391&lt;$H$2),0,MIN($E399-SUM($G399:P399),$F399))</f>
        <v>0</v>
      </c>
      <c r="R399" s="424">
        <f>IF(OR(R$391&lt;$C399,R$391&lt;$H$2),0,MIN($E399-SUM($G399:Q399),$F399))</f>
        <v>0</v>
      </c>
      <c r="S399" s="424">
        <f>IF(OR(S$391&lt;$C399,S$391&lt;$H$2),0,MIN($E399-SUM($G399:R399),$F399))</f>
        <v>0</v>
      </c>
      <c r="T399" s="424">
        <f>IF(OR(T$391&lt;$C399,T$391&lt;$H$2),0,MIN($E399-SUM($G399:S399),$F399))</f>
        <v>0</v>
      </c>
      <c r="U399" s="424">
        <f>IF(OR(U$391&lt;$C399,U$391&lt;$H$2),0,MIN($E399-SUM($G399:T399),$F399))</f>
        <v>0</v>
      </c>
      <c r="V399" s="424">
        <f>IF(OR(V$391&lt;$C399,V$391&lt;$H$2),0,MIN($E399-SUM($G399:U399),$F399))</f>
        <v>0</v>
      </c>
      <c r="W399" s="424">
        <f>IF(OR(W$391&lt;$C399,W$391&lt;$H$2),0,MIN($E399-SUM($G399:V399),$F399))</f>
        <v>0</v>
      </c>
      <c r="X399" s="424">
        <f>IF(OR(X$391&lt;$C399,X$391&lt;$H$2),0,MIN($E399-SUM($G399:W399),$F399))</f>
        <v>0</v>
      </c>
      <c r="Y399" s="424">
        <f>IF(OR(Y$391&lt;$C399,Y$391&lt;$H$2),0,MIN($E399-SUM($G399:X399),$F399))</f>
        <v>0</v>
      </c>
      <c r="Z399" s="424">
        <f>IF(OR(Z$391&lt;$C399,Z$391&lt;$H$2),0,MIN($E399-SUM($G399:Y399),$F399))</f>
        <v>0</v>
      </c>
      <c r="AA399" s="424">
        <f>IF(OR(AA$391&lt;$C399,AA$391&lt;$H$2),0,MIN($E399-SUM($G399:Z399),$F399))</f>
        <v>0</v>
      </c>
      <c r="AB399" s="424">
        <f>IF(OR(AB$391&lt;$C399,AB$391&lt;$H$2),0,MIN($E399-SUM($G399:AA399),$F399))</f>
        <v>0</v>
      </c>
      <c r="AC399" s="424">
        <f>IF(OR(AC$391&lt;$C399,AC$391&lt;$H$2),0,MIN($E399-SUM($G399:AB399),$F399))</f>
        <v>0</v>
      </c>
      <c r="AD399" s="424">
        <f>IF(OR(AD$391&lt;$C399,AD$391&lt;$H$2),0,MIN($E399-SUM($G399:AC399),$F399))</f>
        <v>0</v>
      </c>
    </row>
    <row r="400" spans="3:30">
      <c r="C400" s="201">
        <v>48219</v>
      </c>
      <c r="D400" s="94" t="s">
        <v>134</v>
      </c>
      <c r="E400" s="424">
        <f t="shared" si="149"/>
        <v>0</v>
      </c>
      <c r="F400" s="209">
        <f t="shared" si="150"/>
        <v>0</v>
      </c>
      <c r="H400" s="424">
        <f>IF(OR(H$391&lt;$C400,H$391&lt;$H$2),0,MIN($E400-SUM($G400:G400),$F400))</f>
        <v>0</v>
      </c>
      <c r="I400" s="424">
        <f>IF(OR(I$391&lt;$C400,I$391&lt;$H$2),0,MIN($E400-SUM($G400:H400),$F400))</f>
        <v>0</v>
      </c>
      <c r="J400" s="424">
        <f>IF(OR(J$391&lt;$C400,J$391&lt;$H$2),0,MIN($E400-SUM($G400:I400),$F400))</f>
        <v>0</v>
      </c>
      <c r="K400" s="424">
        <f>IF(OR(K$391&lt;$C400,K$391&lt;$H$2),0,MIN($E400-SUM($G400:J400),$F400))</f>
        <v>0</v>
      </c>
      <c r="L400" s="424">
        <f>IF(OR(L$391&lt;$C400,L$391&lt;$H$2),0,MIN($E400-SUM($G400:K400),$F400))</f>
        <v>0</v>
      </c>
      <c r="M400" s="424">
        <f>IF(OR(M$391&lt;$C400,M$391&lt;$H$2),0,MIN($E400-SUM($G400:L400),$F400))</f>
        <v>0</v>
      </c>
      <c r="N400" s="424">
        <f>IF(OR(N$391&lt;$C400,N$391&lt;$H$2),0,MIN($E400-SUM($G400:M400),$F400))</f>
        <v>0</v>
      </c>
      <c r="O400" s="424">
        <f>IF(OR(O$391&lt;$C400,O$391&lt;$H$2),0,MIN($E400-SUM($G400:N400),$F400))</f>
        <v>0</v>
      </c>
      <c r="P400" s="424">
        <f>IF(OR(P$391&lt;$C400,P$391&lt;$H$2),0,MIN($E400-SUM($G400:O400),$F400))</f>
        <v>0</v>
      </c>
      <c r="Q400" s="424">
        <f>IF(OR(Q$391&lt;$C400,Q$391&lt;$H$2),0,MIN($E400-SUM($G400:P400),$F400))</f>
        <v>0</v>
      </c>
      <c r="R400" s="424">
        <f>IF(OR(R$391&lt;$C400,R$391&lt;$H$2),0,MIN($E400-SUM($G400:Q400),$F400))</f>
        <v>0</v>
      </c>
      <c r="S400" s="424">
        <f>IF(OR(S$391&lt;$C400,S$391&lt;$H$2),0,MIN($E400-SUM($G400:R400),$F400))</f>
        <v>0</v>
      </c>
      <c r="T400" s="424">
        <f>IF(OR(T$391&lt;$C400,T$391&lt;$H$2),0,MIN($E400-SUM($G400:S400),$F400))</f>
        <v>0</v>
      </c>
      <c r="U400" s="424">
        <f>IF(OR(U$391&lt;$C400,U$391&lt;$H$2),0,MIN($E400-SUM($G400:T400),$F400))</f>
        <v>0</v>
      </c>
      <c r="V400" s="424">
        <f>IF(OR(V$391&lt;$C400,V$391&lt;$H$2),0,MIN($E400-SUM($G400:U400),$F400))</f>
        <v>0</v>
      </c>
      <c r="W400" s="424">
        <f>IF(OR(W$391&lt;$C400,W$391&lt;$H$2),0,MIN($E400-SUM($G400:V400),$F400))</f>
        <v>0</v>
      </c>
      <c r="X400" s="424">
        <f>IF(OR(X$391&lt;$C400,X$391&lt;$H$2),0,MIN($E400-SUM($G400:W400),$F400))</f>
        <v>0</v>
      </c>
      <c r="Y400" s="424">
        <f>IF(OR(Y$391&lt;$C400,Y$391&lt;$H$2),0,MIN($E400-SUM($G400:X400),$F400))</f>
        <v>0</v>
      </c>
      <c r="Z400" s="424">
        <f>IF(OR(Z$391&lt;$C400,Z$391&lt;$H$2),0,MIN($E400-SUM($G400:Y400),$F400))</f>
        <v>0</v>
      </c>
      <c r="AA400" s="424">
        <f>IF(OR(AA$391&lt;$C400,AA$391&lt;$H$2),0,MIN($E400-SUM($G400:Z400),$F400))</f>
        <v>0</v>
      </c>
      <c r="AB400" s="424">
        <f>IF(OR(AB$391&lt;$C400,AB$391&lt;$H$2),0,MIN($E400-SUM($G400:AA400),$F400))</f>
        <v>0</v>
      </c>
      <c r="AC400" s="424">
        <f>IF(OR(AC$391&lt;$C400,AC$391&lt;$H$2),0,MIN($E400-SUM($G400:AB400),$F400))</f>
        <v>0</v>
      </c>
      <c r="AD400" s="424">
        <f>IF(OR(AD$391&lt;$C400,AD$391&lt;$H$2),0,MIN($E400-SUM($G400:AC400),$F400))</f>
        <v>0</v>
      </c>
    </row>
    <row r="401" spans="3:30">
      <c r="C401" s="201">
        <v>48585</v>
      </c>
      <c r="D401" s="94" t="s">
        <v>134</v>
      </c>
      <c r="E401" s="424">
        <f t="shared" si="149"/>
        <v>0</v>
      </c>
      <c r="F401" s="209">
        <f t="shared" si="150"/>
        <v>0</v>
      </c>
      <c r="H401" s="424">
        <f>IF(OR(H$391&lt;$C401,H$391&lt;$H$2),0,MIN($E401-SUM($G401:G401),$F401))</f>
        <v>0</v>
      </c>
      <c r="I401" s="424">
        <f>IF(OR(I$391&lt;$C401,I$391&lt;$H$2),0,MIN($E401-SUM($G401:H401),$F401))</f>
        <v>0</v>
      </c>
      <c r="J401" s="424">
        <f>IF(OR(J$391&lt;$C401,J$391&lt;$H$2),0,MIN($E401-SUM($G401:I401),$F401))</f>
        <v>0</v>
      </c>
      <c r="K401" s="424">
        <f>IF(OR(K$391&lt;$C401,K$391&lt;$H$2),0,MIN($E401-SUM($G401:J401),$F401))</f>
        <v>0</v>
      </c>
      <c r="L401" s="424">
        <f>IF(OR(L$391&lt;$C401,L$391&lt;$H$2),0,MIN($E401-SUM($G401:K401),$F401))</f>
        <v>0</v>
      </c>
      <c r="M401" s="424">
        <f>IF(OR(M$391&lt;$C401,M$391&lt;$H$2),0,MIN($E401-SUM($G401:L401),$F401))</f>
        <v>0</v>
      </c>
      <c r="N401" s="424">
        <f>IF(OR(N$391&lt;$C401,N$391&lt;$H$2),0,MIN($E401-SUM($G401:M401),$F401))</f>
        <v>0</v>
      </c>
      <c r="O401" s="424">
        <f>IF(OR(O$391&lt;$C401,O$391&lt;$H$2),0,MIN($E401-SUM($G401:N401),$F401))</f>
        <v>0</v>
      </c>
      <c r="P401" s="424">
        <f>IF(OR(P$391&lt;$C401,P$391&lt;$H$2),0,MIN($E401-SUM($G401:O401),$F401))</f>
        <v>0</v>
      </c>
      <c r="Q401" s="424">
        <f>IF(OR(Q$391&lt;$C401,Q$391&lt;$H$2),0,MIN($E401-SUM($G401:P401),$F401))</f>
        <v>0</v>
      </c>
      <c r="R401" s="424">
        <f>IF(OR(R$391&lt;$C401,R$391&lt;$H$2),0,MIN($E401-SUM($G401:Q401),$F401))</f>
        <v>0</v>
      </c>
      <c r="S401" s="424">
        <f>IF(OR(S$391&lt;$C401,S$391&lt;$H$2),0,MIN($E401-SUM($G401:R401),$F401))</f>
        <v>0</v>
      </c>
      <c r="T401" s="424">
        <f>IF(OR(T$391&lt;$C401,T$391&lt;$H$2),0,MIN($E401-SUM($G401:S401),$F401))</f>
        <v>0</v>
      </c>
      <c r="U401" s="424">
        <f>IF(OR(U$391&lt;$C401,U$391&lt;$H$2),0,MIN($E401-SUM($G401:T401),$F401))</f>
        <v>0</v>
      </c>
      <c r="V401" s="424">
        <f>IF(OR(V$391&lt;$C401,V$391&lt;$H$2),0,MIN($E401-SUM($G401:U401),$F401))</f>
        <v>0</v>
      </c>
      <c r="W401" s="424">
        <f>IF(OR(W$391&lt;$C401,W$391&lt;$H$2),0,MIN($E401-SUM($G401:V401),$F401))</f>
        <v>0</v>
      </c>
      <c r="X401" s="424">
        <f>IF(OR(X$391&lt;$C401,X$391&lt;$H$2),0,MIN($E401-SUM($G401:W401),$F401))</f>
        <v>0</v>
      </c>
      <c r="Y401" s="424">
        <f>IF(OR(Y$391&lt;$C401,Y$391&lt;$H$2),0,MIN($E401-SUM($G401:X401),$F401))</f>
        <v>0</v>
      </c>
      <c r="Z401" s="424">
        <f>IF(OR(Z$391&lt;$C401,Z$391&lt;$H$2),0,MIN($E401-SUM($G401:Y401),$F401))</f>
        <v>0</v>
      </c>
      <c r="AA401" s="424">
        <f>IF(OR(AA$391&lt;$C401,AA$391&lt;$H$2),0,MIN($E401-SUM($G401:Z401),$F401))</f>
        <v>0</v>
      </c>
      <c r="AB401" s="424">
        <f>IF(OR(AB$391&lt;$C401,AB$391&lt;$H$2),0,MIN($E401-SUM($G401:AA401),$F401))</f>
        <v>0</v>
      </c>
      <c r="AC401" s="424">
        <f>IF(OR(AC$391&lt;$C401,AC$391&lt;$H$2),0,MIN($E401-SUM($G401:AB401),$F401))</f>
        <v>0</v>
      </c>
      <c r="AD401" s="424">
        <f>IF(OR(AD$391&lt;$C401,AD$391&lt;$H$2),0,MIN($E401-SUM($G401:AC401),$F401))</f>
        <v>0</v>
      </c>
    </row>
    <row r="402" spans="3:30">
      <c r="C402" s="201">
        <v>48951</v>
      </c>
      <c r="D402" s="94" t="s">
        <v>134</v>
      </c>
      <c r="E402" s="424">
        <f t="shared" si="149"/>
        <v>0</v>
      </c>
      <c r="F402" s="209">
        <f t="shared" si="150"/>
        <v>0</v>
      </c>
      <c r="H402" s="424">
        <f>IF(OR(H$391&lt;$C402,H$391&lt;$H$2),0,MIN($E402-SUM($G402:G402),$F402))</f>
        <v>0</v>
      </c>
      <c r="I402" s="424">
        <f>IF(OR(I$391&lt;$C402,I$391&lt;$H$2),0,MIN($E402-SUM($G402:H402),$F402))</f>
        <v>0</v>
      </c>
      <c r="J402" s="424">
        <f>IF(OR(J$391&lt;$C402,J$391&lt;$H$2),0,MIN($E402-SUM($G402:I402),$F402))</f>
        <v>0</v>
      </c>
      <c r="K402" s="424">
        <f>IF(OR(K$391&lt;$C402,K$391&lt;$H$2),0,MIN($E402-SUM($G402:J402),$F402))</f>
        <v>0</v>
      </c>
      <c r="L402" s="424">
        <f>IF(OR(L$391&lt;$C402,L$391&lt;$H$2),0,MIN($E402-SUM($G402:K402),$F402))</f>
        <v>0</v>
      </c>
      <c r="M402" s="424">
        <f>IF(OR(M$391&lt;$C402,M$391&lt;$H$2),0,MIN($E402-SUM($G402:L402),$F402))</f>
        <v>0</v>
      </c>
      <c r="N402" s="424">
        <f>IF(OR(N$391&lt;$C402,N$391&lt;$H$2),0,MIN($E402-SUM($G402:M402),$F402))</f>
        <v>0</v>
      </c>
      <c r="O402" s="424">
        <f>IF(OR(O$391&lt;$C402,O$391&lt;$H$2),0,MIN($E402-SUM($G402:N402),$F402))</f>
        <v>0</v>
      </c>
      <c r="P402" s="424">
        <f>IF(OR(P$391&lt;$C402,P$391&lt;$H$2),0,MIN($E402-SUM($G402:O402),$F402))</f>
        <v>0</v>
      </c>
      <c r="Q402" s="424">
        <f>IF(OR(Q$391&lt;$C402,Q$391&lt;$H$2),0,MIN($E402-SUM($G402:P402),$F402))</f>
        <v>0</v>
      </c>
      <c r="R402" s="424">
        <f>IF(OR(R$391&lt;$C402,R$391&lt;$H$2),0,MIN($E402-SUM($G402:Q402),$F402))</f>
        <v>0</v>
      </c>
      <c r="S402" s="424">
        <f>IF(OR(S$391&lt;$C402,S$391&lt;$H$2),0,MIN($E402-SUM($G402:R402),$F402))</f>
        <v>0</v>
      </c>
      <c r="T402" s="424">
        <f>IF(OR(T$391&lt;$C402,T$391&lt;$H$2),0,MIN($E402-SUM($G402:S402),$F402))</f>
        <v>0</v>
      </c>
      <c r="U402" s="424">
        <f>IF(OR(U$391&lt;$C402,U$391&lt;$H$2),0,MIN($E402-SUM($G402:T402),$F402))</f>
        <v>0</v>
      </c>
      <c r="V402" s="424">
        <f>IF(OR(V$391&lt;$C402,V$391&lt;$H$2),0,MIN($E402-SUM($G402:U402),$F402))</f>
        <v>0</v>
      </c>
      <c r="W402" s="424">
        <f>IF(OR(W$391&lt;$C402,W$391&lt;$H$2),0,MIN($E402-SUM($G402:V402),$F402))</f>
        <v>0</v>
      </c>
      <c r="X402" s="424">
        <f>IF(OR(X$391&lt;$C402,X$391&lt;$H$2),0,MIN($E402-SUM($G402:W402),$F402))</f>
        <v>0</v>
      </c>
      <c r="Y402" s="424">
        <f>IF(OR(Y$391&lt;$C402,Y$391&lt;$H$2),0,MIN($E402-SUM($G402:X402),$F402))</f>
        <v>0</v>
      </c>
      <c r="Z402" s="424">
        <f>IF(OR(Z$391&lt;$C402,Z$391&lt;$H$2),0,MIN($E402-SUM($G402:Y402),$F402))</f>
        <v>0</v>
      </c>
      <c r="AA402" s="424">
        <f>IF(OR(AA$391&lt;$C402,AA$391&lt;$H$2),0,MIN($E402-SUM($G402:Z402),$F402))</f>
        <v>0</v>
      </c>
      <c r="AB402" s="424">
        <f>IF(OR(AB$391&lt;$C402,AB$391&lt;$H$2),0,MIN($E402-SUM($G402:AA402),$F402))</f>
        <v>0</v>
      </c>
      <c r="AC402" s="424">
        <f>IF(OR(AC$391&lt;$C402,AC$391&lt;$H$2),0,MIN($E402-SUM($G402:AB402),$F402))</f>
        <v>0</v>
      </c>
      <c r="AD402" s="424">
        <f>IF(OR(AD$391&lt;$C402,AD$391&lt;$H$2),0,MIN($E402-SUM($G402:AC402),$F402))</f>
        <v>0</v>
      </c>
    </row>
    <row r="403" spans="3:30">
      <c r="C403" s="201">
        <v>49317</v>
      </c>
      <c r="D403" s="94" t="s">
        <v>134</v>
      </c>
      <c r="E403" s="424">
        <f t="shared" si="149"/>
        <v>0</v>
      </c>
      <c r="F403" s="209">
        <f t="shared" si="150"/>
        <v>0</v>
      </c>
      <c r="H403" s="424">
        <f>IF(OR(H$391&lt;$C403,H$391&lt;$H$2),0,MIN($E403-SUM($G403:G403),$F403))</f>
        <v>0</v>
      </c>
      <c r="I403" s="424">
        <f>IF(OR(I$391&lt;$C403,I$391&lt;$H$2),0,MIN($E403-SUM($G403:H403),$F403))</f>
        <v>0</v>
      </c>
      <c r="J403" s="424">
        <f>IF(OR(J$391&lt;$C403,J$391&lt;$H$2),0,MIN($E403-SUM($G403:I403),$F403))</f>
        <v>0</v>
      </c>
      <c r="K403" s="424">
        <f>IF(OR(K$391&lt;$C403,K$391&lt;$H$2),0,MIN($E403-SUM($G403:J403),$F403))</f>
        <v>0</v>
      </c>
      <c r="L403" s="424">
        <f>IF(OR(L$391&lt;$C403,L$391&lt;$H$2),0,MIN($E403-SUM($G403:K403),$F403))</f>
        <v>0</v>
      </c>
      <c r="M403" s="424">
        <f>IF(OR(M$391&lt;$C403,M$391&lt;$H$2),0,MIN($E403-SUM($G403:L403),$F403))</f>
        <v>0</v>
      </c>
      <c r="N403" s="424">
        <f>IF(OR(N$391&lt;$C403,N$391&lt;$H$2),0,MIN($E403-SUM($G403:M403),$F403))</f>
        <v>0</v>
      </c>
      <c r="O403" s="424">
        <f>IF(OR(O$391&lt;$C403,O$391&lt;$H$2),0,MIN($E403-SUM($G403:N403),$F403))</f>
        <v>0</v>
      </c>
      <c r="P403" s="424">
        <f>IF(OR(P$391&lt;$C403,P$391&lt;$H$2),0,MIN($E403-SUM($G403:O403),$F403))</f>
        <v>0</v>
      </c>
      <c r="Q403" s="424">
        <f>IF(OR(Q$391&lt;$C403,Q$391&lt;$H$2),0,MIN($E403-SUM($G403:P403),$F403))</f>
        <v>0</v>
      </c>
      <c r="R403" s="424">
        <f>IF(OR(R$391&lt;$C403,R$391&lt;$H$2),0,MIN($E403-SUM($G403:Q403),$F403))</f>
        <v>0</v>
      </c>
      <c r="S403" s="424">
        <f>IF(OR(S$391&lt;$C403,S$391&lt;$H$2),0,MIN($E403-SUM($G403:R403),$F403))</f>
        <v>0</v>
      </c>
      <c r="T403" s="424">
        <f>IF(OR(T$391&lt;$C403,T$391&lt;$H$2),0,MIN($E403-SUM($G403:S403),$F403))</f>
        <v>0</v>
      </c>
      <c r="U403" s="424">
        <f>IF(OR(U$391&lt;$C403,U$391&lt;$H$2),0,MIN($E403-SUM($G403:T403),$F403))</f>
        <v>0</v>
      </c>
      <c r="V403" s="424">
        <f>IF(OR(V$391&lt;$C403,V$391&lt;$H$2),0,MIN($E403-SUM($G403:U403),$F403))</f>
        <v>0</v>
      </c>
      <c r="W403" s="424">
        <f>IF(OR(W$391&lt;$C403,W$391&lt;$H$2),0,MIN($E403-SUM($G403:V403),$F403))</f>
        <v>0</v>
      </c>
      <c r="X403" s="424">
        <f>IF(OR(X$391&lt;$C403,X$391&lt;$H$2),0,MIN($E403-SUM($G403:W403),$F403))</f>
        <v>0</v>
      </c>
      <c r="Y403" s="424">
        <f>IF(OR(Y$391&lt;$C403,Y$391&lt;$H$2),0,MIN($E403-SUM($G403:X403),$F403))</f>
        <v>0</v>
      </c>
      <c r="Z403" s="424">
        <f>IF(OR(Z$391&lt;$C403,Z$391&lt;$H$2),0,MIN($E403-SUM($G403:Y403),$F403))</f>
        <v>0</v>
      </c>
      <c r="AA403" s="424">
        <f>IF(OR(AA$391&lt;$C403,AA$391&lt;$H$2),0,MIN($E403-SUM($G403:Z403),$F403))</f>
        <v>0</v>
      </c>
      <c r="AB403" s="424">
        <f>IF(OR(AB$391&lt;$C403,AB$391&lt;$H$2),0,MIN($E403-SUM($G403:AA403),$F403))</f>
        <v>0</v>
      </c>
      <c r="AC403" s="424">
        <f>IF(OR(AC$391&lt;$C403,AC$391&lt;$H$2),0,MIN($E403-SUM($G403:AB403),$F403))</f>
        <v>0</v>
      </c>
      <c r="AD403" s="424">
        <f>IF(OR(AD$391&lt;$C403,AD$391&lt;$H$2),0,MIN($E403-SUM($G403:AC403),$F403))</f>
        <v>0</v>
      </c>
    </row>
    <row r="404" spans="3:30">
      <c r="C404" s="201">
        <v>49683</v>
      </c>
      <c r="D404" s="94" t="s">
        <v>134</v>
      </c>
      <c r="E404" s="424">
        <f t="shared" si="149"/>
        <v>0</v>
      </c>
      <c r="F404" s="209">
        <f t="shared" si="150"/>
        <v>0</v>
      </c>
      <c r="H404" s="424">
        <f>IF(OR(H$391&lt;$C404,H$391&lt;$H$2),0,MIN($E404-SUM($G404:G404),$F404))</f>
        <v>0</v>
      </c>
      <c r="I404" s="424">
        <f>IF(OR(I$391&lt;$C404,I$391&lt;$H$2),0,MIN($E404-SUM($G404:H404),$F404))</f>
        <v>0</v>
      </c>
      <c r="J404" s="424">
        <f>IF(OR(J$391&lt;$C404,J$391&lt;$H$2),0,MIN($E404-SUM($G404:I404),$F404))</f>
        <v>0</v>
      </c>
      <c r="K404" s="424">
        <f>IF(OR(K$391&lt;$C404,K$391&lt;$H$2),0,MIN($E404-SUM($G404:J404),$F404))</f>
        <v>0</v>
      </c>
      <c r="L404" s="424">
        <f>IF(OR(L$391&lt;$C404,L$391&lt;$H$2),0,MIN($E404-SUM($G404:K404),$F404))</f>
        <v>0</v>
      </c>
      <c r="M404" s="424">
        <f>IF(OR(M$391&lt;$C404,M$391&lt;$H$2),0,MIN($E404-SUM($G404:L404),$F404))</f>
        <v>0</v>
      </c>
      <c r="N404" s="424">
        <f>IF(OR(N$391&lt;$C404,N$391&lt;$H$2),0,MIN($E404-SUM($G404:M404),$F404))</f>
        <v>0</v>
      </c>
      <c r="O404" s="424">
        <f>IF(OR(O$391&lt;$C404,O$391&lt;$H$2),0,MIN($E404-SUM($G404:N404),$F404))</f>
        <v>0</v>
      </c>
      <c r="P404" s="424">
        <f>IF(OR(P$391&lt;$C404,P$391&lt;$H$2),0,MIN($E404-SUM($G404:O404),$F404))</f>
        <v>0</v>
      </c>
      <c r="Q404" s="424">
        <f>IF(OR(Q$391&lt;$C404,Q$391&lt;$H$2),0,MIN($E404-SUM($G404:P404),$F404))</f>
        <v>0</v>
      </c>
      <c r="R404" s="424">
        <f>IF(OR(R$391&lt;$C404,R$391&lt;$H$2),0,MIN($E404-SUM($G404:Q404),$F404))</f>
        <v>0</v>
      </c>
      <c r="S404" s="424">
        <f>IF(OR(S$391&lt;$C404,S$391&lt;$H$2),0,MIN($E404-SUM($G404:R404),$F404))</f>
        <v>0</v>
      </c>
      <c r="T404" s="424">
        <f>IF(OR(T$391&lt;$C404,T$391&lt;$H$2),0,MIN($E404-SUM($G404:S404),$F404))</f>
        <v>0</v>
      </c>
      <c r="U404" s="424">
        <f>IF(OR(U$391&lt;$C404,U$391&lt;$H$2),0,MIN($E404-SUM($G404:T404),$F404))</f>
        <v>0</v>
      </c>
      <c r="V404" s="424">
        <f>IF(OR(V$391&lt;$C404,V$391&lt;$H$2),0,MIN($E404-SUM($G404:U404),$F404))</f>
        <v>0</v>
      </c>
      <c r="W404" s="424">
        <f>IF(OR(W$391&lt;$C404,W$391&lt;$H$2),0,MIN($E404-SUM($G404:V404),$F404))</f>
        <v>0</v>
      </c>
      <c r="X404" s="424">
        <f>IF(OR(X$391&lt;$C404,X$391&lt;$H$2),0,MIN($E404-SUM($G404:W404),$F404))</f>
        <v>0</v>
      </c>
      <c r="Y404" s="424">
        <f>IF(OR(Y$391&lt;$C404,Y$391&lt;$H$2),0,MIN($E404-SUM($G404:X404),$F404))</f>
        <v>0</v>
      </c>
      <c r="Z404" s="424">
        <f>IF(OR(Z$391&lt;$C404,Z$391&lt;$H$2),0,MIN($E404-SUM($G404:Y404),$F404))</f>
        <v>0</v>
      </c>
      <c r="AA404" s="424">
        <f>IF(OR(AA$391&lt;$C404,AA$391&lt;$H$2),0,MIN($E404-SUM($G404:Z404),$F404))</f>
        <v>0</v>
      </c>
      <c r="AB404" s="424">
        <f>IF(OR(AB$391&lt;$C404,AB$391&lt;$H$2),0,MIN($E404-SUM($G404:AA404),$F404))</f>
        <v>0</v>
      </c>
      <c r="AC404" s="424">
        <f>IF(OR(AC$391&lt;$C404,AC$391&lt;$H$2),0,MIN($E404-SUM($G404:AB404),$F404))</f>
        <v>0</v>
      </c>
      <c r="AD404" s="424">
        <f>IF(OR(AD$391&lt;$C404,AD$391&lt;$H$2),0,MIN($E404-SUM($G404:AC404),$F404))</f>
        <v>0</v>
      </c>
    </row>
    <row r="405" spans="3:30">
      <c r="C405" s="201">
        <v>50049</v>
      </c>
      <c r="D405" s="94" t="s">
        <v>134</v>
      </c>
      <c r="E405" s="424">
        <f t="shared" si="149"/>
        <v>0</v>
      </c>
      <c r="F405" s="209">
        <f t="shared" si="150"/>
        <v>0</v>
      </c>
      <c r="H405" s="424">
        <f>IF(OR(H$391&lt;$C405,H$391&lt;$H$2),0,MIN($E405-SUM($G405:G405),$F405))</f>
        <v>0</v>
      </c>
      <c r="I405" s="424">
        <f>IF(OR(I$391&lt;$C405,I$391&lt;$H$2),0,MIN($E405-SUM($G405:H405),$F405))</f>
        <v>0</v>
      </c>
      <c r="J405" s="424">
        <f>IF(OR(J$391&lt;$C405,J$391&lt;$H$2),0,MIN($E405-SUM($G405:I405),$F405))</f>
        <v>0</v>
      </c>
      <c r="K405" s="424">
        <f>IF(OR(K$391&lt;$C405,K$391&lt;$H$2),0,MIN($E405-SUM($G405:J405),$F405))</f>
        <v>0</v>
      </c>
      <c r="L405" s="424">
        <f>IF(OR(L$391&lt;$C405,L$391&lt;$H$2),0,MIN($E405-SUM($G405:K405),$F405))</f>
        <v>0</v>
      </c>
      <c r="M405" s="424">
        <f>IF(OR(M$391&lt;$C405,M$391&lt;$H$2),0,MIN($E405-SUM($G405:L405),$F405))</f>
        <v>0</v>
      </c>
      <c r="N405" s="424">
        <f>IF(OR(N$391&lt;$C405,N$391&lt;$H$2),0,MIN($E405-SUM($G405:M405),$F405))</f>
        <v>0</v>
      </c>
      <c r="O405" s="424">
        <f>IF(OR(O$391&lt;$C405,O$391&lt;$H$2),0,MIN($E405-SUM($G405:N405),$F405))</f>
        <v>0</v>
      </c>
      <c r="P405" s="424">
        <f>IF(OR(P$391&lt;$C405,P$391&lt;$H$2),0,MIN($E405-SUM($G405:O405),$F405))</f>
        <v>0</v>
      </c>
      <c r="Q405" s="424">
        <f>IF(OR(Q$391&lt;$C405,Q$391&lt;$H$2),0,MIN($E405-SUM($G405:P405),$F405))</f>
        <v>0</v>
      </c>
      <c r="R405" s="424">
        <f>IF(OR(R$391&lt;$C405,R$391&lt;$H$2),0,MIN($E405-SUM($G405:Q405),$F405))</f>
        <v>0</v>
      </c>
      <c r="S405" s="424">
        <f>IF(OR(S$391&lt;$C405,S$391&lt;$H$2),0,MIN($E405-SUM($G405:R405),$F405))</f>
        <v>0</v>
      </c>
      <c r="T405" s="424">
        <f>IF(OR(T$391&lt;$C405,T$391&lt;$H$2),0,MIN($E405-SUM($G405:S405),$F405))</f>
        <v>0</v>
      </c>
      <c r="U405" s="424">
        <f>IF(OR(U$391&lt;$C405,U$391&lt;$H$2),0,MIN($E405-SUM($G405:T405),$F405))</f>
        <v>0</v>
      </c>
      <c r="V405" s="424">
        <f>IF(OR(V$391&lt;$C405,V$391&lt;$H$2),0,MIN($E405-SUM($G405:U405),$F405))</f>
        <v>0</v>
      </c>
      <c r="W405" s="424">
        <f>IF(OR(W$391&lt;$C405,W$391&lt;$H$2),0,MIN($E405-SUM($G405:V405),$F405))</f>
        <v>0</v>
      </c>
      <c r="X405" s="424">
        <f>IF(OR(X$391&lt;$C405,X$391&lt;$H$2),0,MIN($E405-SUM($G405:W405),$F405))</f>
        <v>0</v>
      </c>
      <c r="Y405" s="424">
        <f>IF(OR(Y$391&lt;$C405,Y$391&lt;$H$2),0,MIN($E405-SUM($G405:X405),$F405))</f>
        <v>0</v>
      </c>
      <c r="Z405" s="424">
        <f>IF(OR(Z$391&lt;$C405,Z$391&lt;$H$2),0,MIN($E405-SUM($G405:Y405),$F405))</f>
        <v>0</v>
      </c>
      <c r="AA405" s="424">
        <f>IF(OR(AA$391&lt;$C405,AA$391&lt;$H$2),0,MIN($E405-SUM($G405:Z405),$F405))</f>
        <v>0</v>
      </c>
      <c r="AB405" s="424">
        <f>IF(OR(AB$391&lt;$C405,AB$391&lt;$H$2),0,MIN($E405-SUM($G405:AA405),$F405))</f>
        <v>0</v>
      </c>
      <c r="AC405" s="424">
        <f>IF(OR(AC$391&lt;$C405,AC$391&lt;$H$2),0,MIN($E405-SUM($G405:AB405),$F405))</f>
        <v>0</v>
      </c>
      <c r="AD405" s="424">
        <f>IF(OR(AD$391&lt;$C405,AD$391&lt;$H$2),0,MIN($E405-SUM($G405:AC405),$F405))</f>
        <v>0</v>
      </c>
    </row>
    <row r="406" spans="3:30">
      <c r="C406" s="201">
        <v>50415</v>
      </c>
      <c r="D406" s="94" t="s">
        <v>134</v>
      </c>
      <c r="E406" s="424">
        <f t="shared" si="149"/>
        <v>0</v>
      </c>
      <c r="F406" s="209">
        <f t="shared" si="150"/>
        <v>0</v>
      </c>
      <c r="H406" s="424">
        <f>IF(OR(H$391&lt;$C406,H$391&lt;$H$2),0,MIN($E406-SUM($G406:G406),$F406))</f>
        <v>0</v>
      </c>
      <c r="I406" s="424">
        <f>IF(OR(I$391&lt;$C406,I$391&lt;$H$2),0,MIN($E406-SUM($G406:H406),$F406))</f>
        <v>0</v>
      </c>
      <c r="J406" s="424">
        <f>IF(OR(J$391&lt;$C406,J$391&lt;$H$2),0,MIN($E406-SUM($G406:I406),$F406))</f>
        <v>0</v>
      </c>
      <c r="K406" s="424">
        <f>IF(OR(K$391&lt;$C406,K$391&lt;$H$2),0,MIN($E406-SUM($G406:J406),$F406))</f>
        <v>0</v>
      </c>
      <c r="L406" s="424">
        <f>IF(OR(L$391&lt;$C406,L$391&lt;$H$2),0,MIN($E406-SUM($G406:K406),$F406))</f>
        <v>0</v>
      </c>
      <c r="M406" s="424">
        <f>IF(OR(M$391&lt;$C406,M$391&lt;$H$2),0,MIN($E406-SUM($G406:L406),$F406))</f>
        <v>0</v>
      </c>
      <c r="N406" s="424">
        <f>IF(OR(N$391&lt;$C406,N$391&lt;$H$2),0,MIN($E406-SUM($G406:M406),$F406))</f>
        <v>0</v>
      </c>
      <c r="O406" s="424">
        <f>IF(OR(O$391&lt;$C406,O$391&lt;$H$2),0,MIN($E406-SUM($G406:N406),$F406))</f>
        <v>0</v>
      </c>
      <c r="P406" s="424">
        <f>IF(OR(P$391&lt;$C406,P$391&lt;$H$2),0,MIN($E406-SUM($G406:O406),$F406))</f>
        <v>0</v>
      </c>
      <c r="Q406" s="424">
        <f>IF(OR(Q$391&lt;$C406,Q$391&lt;$H$2),0,MIN($E406-SUM($G406:P406),$F406))</f>
        <v>0</v>
      </c>
      <c r="R406" s="424">
        <f>IF(OR(R$391&lt;$C406,R$391&lt;$H$2),0,MIN($E406-SUM($G406:Q406),$F406))</f>
        <v>0</v>
      </c>
      <c r="S406" s="424">
        <f>IF(OR(S$391&lt;$C406,S$391&lt;$H$2),0,MIN($E406-SUM($G406:R406),$F406))</f>
        <v>0</v>
      </c>
      <c r="T406" s="424">
        <f>IF(OR(T$391&lt;$C406,T$391&lt;$H$2),0,MIN($E406-SUM($G406:S406),$F406))</f>
        <v>0</v>
      </c>
      <c r="U406" s="424">
        <f>IF(OR(U$391&lt;$C406,U$391&lt;$H$2),0,MIN($E406-SUM($G406:T406),$F406))</f>
        <v>0</v>
      </c>
      <c r="V406" s="424">
        <f>IF(OR(V$391&lt;$C406,V$391&lt;$H$2),0,MIN($E406-SUM($G406:U406),$F406))</f>
        <v>0</v>
      </c>
      <c r="W406" s="424">
        <f>IF(OR(W$391&lt;$C406,W$391&lt;$H$2),0,MIN($E406-SUM($G406:V406),$F406))</f>
        <v>0</v>
      </c>
      <c r="X406" s="424">
        <f>IF(OR(X$391&lt;$C406,X$391&lt;$H$2),0,MIN($E406-SUM($G406:W406),$F406))</f>
        <v>0</v>
      </c>
      <c r="Y406" s="424">
        <f>IF(OR(Y$391&lt;$C406,Y$391&lt;$H$2),0,MIN($E406-SUM($G406:X406),$F406))</f>
        <v>0</v>
      </c>
      <c r="Z406" s="424">
        <f>IF(OR(Z$391&lt;$C406,Z$391&lt;$H$2),0,MIN($E406-SUM($G406:Y406),$F406))</f>
        <v>0</v>
      </c>
      <c r="AA406" s="424">
        <f>IF(OR(AA$391&lt;$C406,AA$391&lt;$H$2),0,MIN($E406-SUM($G406:Z406),$F406))</f>
        <v>0</v>
      </c>
      <c r="AB406" s="424">
        <f>IF(OR(AB$391&lt;$C406,AB$391&lt;$H$2),0,MIN($E406-SUM($G406:AA406),$F406))</f>
        <v>0</v>
      </c>
      <c r="AC406" s="424">
        <f>IF(OR(AC$391&lt;$C406,AC$391&lt;$H$2),0,MIN($E406-SUM($G406:AB406),$F406))</f>
        <v>0</v>
      </c>
      <c r="AD406" s="424">
        <f>IF(OR(AD$391&lt;$C406,AD$391&lt;$H$2),0,MIN($E406-SUM($G406:AC406),$F406))</f>
        <v>0</v>
      </c>
    </row>
    <row r="407" spans="3:30">
      <c r="C407" s="201">
        <v>50781</v>
      </c>
      <c r="D407" s="94" t="s">
        <v>134</v>
      </c>
      <c r="E407" s="424">
        <f t="shared" si="149"/>
        <v>0</v>
      </c>
      <c r="F407" s="209">
        <f t="shared" si="150"/>
        <v>0</v>
      </c>
      <c r="H407" s="424">
        <f>IF(OR(H$391&lt;$C407,H$391&lt;$H$2),0,MIN($E407-SUM($G407:G407),$F407))</f>
        <v>0</v>
      </c>
      <c r="I407" s="424">
        <f>IF(OR(I$391&lt;$C407,I$391&lt;$H$2),0,MIN($E407-SUM($G407:H407),$F407))</f>
        <v>0</v>
      </c>
      <c r="J407" s="424">
        <f>IF(OR(J$391&lt;$C407,J$391&lt;$H$2),0,MIN($E407-SUM($G407:I407),$F407))</f>
        <v>0</v>
      </c>
      <c r="K407" s="424">
        <f>IF(OR(K$391&lt;$C407,K$391&lt;$H$2),0,MIN($E407-SUM($G407:J407),$F407))</f>
        <v>0</v>
      </c>
      <c r="L407" s="424">
        <f>IF(OR(L$391&lt;$C407,L$391&lt;$H$2),0,MIN($E407-SUM($G407:K407),$F407))</f>
        <v>0</v>
      </c>
      <c r="M407" s="424">
        <f>IF(OR(M$391&lt;$C407,M$391&lt;$H$2),0,MIN($E407-SUM($G407:L407),$F407))</f>
        <v>0</v>
      </c>
      <c r="N407" s="424">
        <f>IF(OR(N$391&lt;$C407,N$391&lt;$H$2),0,MIN($E407-SUM($G407:M407),$F407))</f>
        <v>0</v>
      </c>
      <c r="O407" s="424">
        <f>IF(OR(O$391&lt;$C407,O$391&lt;$H$2),0,MIN($E407-SUM($G407:N407),$F407))</f>
        <v>0</v>
      </c>
      <c r="P407" s="424">
        <f>IF(OR(P$391&lt;$C407,P$391&lt;$H$2),0,MIN($E407-SUM($G407:O407),$F407))</f>
        <v>0</v>
      </c>
      <c r="Q407" s="424">
        <f>IF(OR(Q$391&lt;$C407,Q$391&lt;$H$2),0,MIN($E407-SUM($G407:P407),$F407))</f>
        <v>0</v>
      </c>
      <c r="R407" s="424">
        <f>IF(OR(R$391&lt;$C407,R$391&lt;$H$2),0,MIN($E407-SUM($G407:Q407),$F407))</f>
        <v>0</v>
      </c>
      <c r="S407" s="424">
        <f>IF(OR(S$391&lt;$C407,S$391&lt;$H$2),0,MIN($E407-SUM($G407:R407),$F407))</f>
        <v>0</v>
      </c>
      <c r="T407" s="424">
        <f>IF(OR(T$391&lt;$C407,T$391&lt;$H$2),0,MIN($E407-SUM($G407:S407),$F407))</f>
        <v>0</v>
      </c>
      <c r="U407" s="424">
        <f>IF(OR(U$391&lt;$C407,U$391&lt;$H$2),0,MIN($E407-SUM($G407:T407),$F407))</f>
        <v>0</v>
      </c>
      <c r="V407" s="424">
        <f>IF(OR(V$391&lt;$C407,V$391&lt;$H$2),0,MIN($E407-SUM($G407:U407),$F407))</f>
        <v>0</v>
      </c>
      <c r="W407" s="424">
        <f>IF(OR(W$391&lt;$C407,W$391&lt;$H$2),0,MIN($E407-SUM($G407:V407),$F407))</f>
        <v>0</v>
      </c>
      <c r="X407" s="424">
        <f>IF(OR(X$391&lt;$C407,X$391&lt;$H$2),0,MIN($E407-SUM($G407:W407),$F407))</f>
        <v>0</v>
      </c>
      <c r="Y407" s="424">
        <f>IF(OR(Y$391&lt;$C407,Y$391&lt;$H$2),0,MIN($E407-SUM($G407:X407),$F407))</f>
        <v>0</v>
      </c>
      <c r="Z407" s="424">
        <f>IF(OR(Z$391&lt;$C407,Z$391&lt;$H$2),0,MIN($E407-SUM($G407:Y407),$F407))</f>
        <v>0</v>
      </c>
      <c r="AA407" s="424">
        <f>IF(OR(AA$391&lt;$C407,AA$391&lt;$H$2),0,MIN($E407-SUM($G407:Z407),$F407))</f>
        <v>0</v>
      </c>
      <c r="AB407" s="424">
        <f>IF(OR(AB$391&lt;$C407,AB$391&lt;$H$2),0,MIN($E407-SUM($G407:AA407),$F407))</f>
        <v>0</v>
      </c>
      <c r="AC407" s="424">
        <f>IF(OR(AC$391&lt;$C407,AC$391&lt;$H$2),0,MIN($E407-SUM($G407:AB407),$F407))</f>
        <v>0</v>
      </c>
      <c r="AD407" s="424">
        <f>IF(OR(AD$391&lt;$C407,AD$391&lt;$H$2),0,MIN($E407-SUM($G407:AC407),$F407))</f>
        <v>0</v>
      </c>
    </row>
    <row r="408" spans="3:30">
      <c r="C408" s="201">
        <v>51147</v>
      </c>
      <c r="D408" s="94" t="s">
        <v>134</v>
      </c>
      <c r="E408" s="424">
        <f t="shared" si="149"/>
        <v>0</v>
      </c>
      <c r="F408" s="209">
        <f t="shared" si="150"/>
        <v>0</v>
      </c>
      <c r="H408" s="424">
        <f>IF(OR(H$391&lt;$C408,H$391&lt;$H$2),0,MIN($E408-SUM($G408:G408),$F408))</f>
        <v>0</v>
      </c>
      <c r="I408" s="424">
        <f>IF(OR(I$391&lt;$C408,I$391&lt;$H$2),0,MIN($E408-SUM($G408:H408),$F408))</f>
        <v>0</v>
      </c>
      <c r="J408" s="424">
        <f>IF(OR(J$391&lt;$C408,J$391&lt;$H$2),0,MIN($E408-SUM($G408:I408),$F408))</f>
        <v>0</v>
      </c>
      <c r="K408" s="424">
        <f>IF(OR(K$391&lt;$C408,K$391&lt;$H$2),0,MIN($E408-SUM($G408:J408),$F408))</f>
        <v>0</v>
      </c>
      <c r="L408" s="424">
        <f>IF(OR(L$391&lt;$C408,L$391&lt;$H$2),0,MIN($E408-SUM($G408:K408),$F408))</f>
        <v>0</v>
      </c>
      <c r="M408" s="424">
        <f>IF(OR(M$391&lt;$C408,M$391&lt;$H$2),0,MIN($E408-SUM($G408:L408),$F408))</f>
        <v>0</v>
      </c>
      <c r="N408" s="424">
        <f>IF(OR(N$391&lt;$C408,N$391&lt;$H$2),0,MIN($E408-SUM($G408:M408),$F408))</f>
        <v>0</v>
      </c>
      <c r="O408" s="424">
        <f>IF(OR(O$391&lt;$C408,O$391&lt;$H$2),0,MIN($E408-SUM($G408:N408),$F408))</f>
        <v>0</v>
      </c>
      <c r="P408" s="424">
        <f>IF(OR(P$391&lt;$C408,P$391&lt;$H$2),0,MIN($E408-SUM($G408:O408),$F408))</f>
        <v>0</v>
      </c>
      <c r="Q408" s="424">
        <f>IF(OR(Q$391&lt;$C408,Q$391&lt;$H$2),0,MIN($E408-SUM($G408:P408),$F408))</f>
        <v>0</v>
      </c>
      <c r="R408" s="424">
        <f>IF(OR(R$391&lt;$C408,R$391&lt;$H$2),0,MIN($E408-SUM($G408:Q408),$F408))</f>
        <v>0</v>
      </c>
      <c r="S408" s="424">
        <f>IF(OR(S$391&lt;$C408,S$391&lt;$H$2),0,MIN($E408-SUM($G408:R408),$F408))</f>
        <v>0</v>
      </c>
      <c r="T408" s="424">
        <f>IF(OR(T$391&lt;$C408,T$391&lt;$H$2),0,MIN($E408-SUM($G408:S408),$F408))</f>
        <v>0</v>
      </c>
      <c r="U408" s="424">
        <f>IF(OR(U$391&lt;$C408,U$391&lt;$H$2),0,MIN($E408-SUM($G408:T408),$F408))</f>
        <v>0</v>
      </c>
      <c r="V408" s="424">
        <f>IF(OR(V$391&lt;$C408,V$391&lt;$H$2),0,MIN($E408-SUM($G408:U408),$F408))</f>
        <v>0</v>
      </c>
      <c r="W408" s="424">
        <f>IF(OR(W$391&lt;$C408,W$391&lt;$H$2),0,MIN($E408-SUM($G408:V408),$F408))</f>
        <v>0</v>
      </c>
      <c r="X408" s="424">
        <f>IF(OR(X$391&lt;$C408,X$391&lt;$H$2),0,MIN($E408-SUM($G408:W408),$F408))</f>
        <v>0</v>
      </c>
      <c r="Y408" s="424">
        <f>IF(OR(Y$391&lt;$C408,Y$391&lt;$H$2),0,MIN($E408-SUM($G408:X408),$F408))</f>
        <v>0</v>
      </c>
      <c r="Z408" s="424">
        <f>IF(OR(Z$391&lt;$C408,Z$391&lt;$H$2),0,MIN($E408-SUM($G408:Y408),$F408))</f>
        <v>0</v>
      </c>
      <c r="AA408" s="424">
        <f>IF(OR(AA$391&lt;$C408,AA$391&lt;$H$2),0,MIN($E408-SUM($G408:Z408),$F408))</f>
        <v>0</v>
      </c>
      <c r="AB408" s="424">
        <f>IF(OR(AB$391&lt;$C408,AB$391&lt;$H$2),0,MIN($E408-SUM($G408:AA408),$F408))</f>
        <v>0</v>
      </c>
      <c r="AC408" s="424">
        <f>IF(OR(AC$391&lt;$C408,AC$391&lt;$H$2),0,MIN($E408-SUM($G408:AB408),$F408))</f>
        <v>0</v>
      </c>
      <c r="AD408" s="424">
        <f>IF(OR(AD$391&lt;$C408,AD$391&lt;$H$2),0,MIN($E408-SUM($G408:AC408),$F408))</f>
        <v>0</v>
      </c>
    </row>
    <row r="409" spans="3:30">
      <c r="C409" s="201">
        <v>51513</v>
      </c>
      <c r="D409" s="94" t="s">
        <v>134</v>
      </c>
      <c r="E409" s="424">
        <f t="shared" si="149"/>
        <v>0</v>
      </c>
      <c r="F409" s="209">
        <f t="shared" si="150"/>
        <v>0</v>
      </c>
      <c r="H409" s="424">
        <f>IF(OR(H$391&lt;$C409,H$391&lt;$H$2),0,MIN($E409-SUM($G409:G409),$F409))</f>
        <v>0</v>
      </c>
      <c r="I409" s="424">
        <f>IF(OR(I$391&lt;$C409,I$391&lt;$H$2),0,MIN($E409-SUM($G409:H409),$F409))</f>
        <v>0</v>
      </c>
      <c r="J409" s="424">
        <f>IF(OR(J$391&lt;$C409,J$391&lt;$H$2),0,MIN($E409-SUM($G409:I409),$F409))</f>
        <v>0</v>
      </c>
      <c r="K409" s="424">
        <f>IF(OR(K$391&lt;$C409,K$391&lt;$H$2),0,MIN($E409-SUM($G409:J409),$F409))</f>
        <v>0</v>
      </c>
      <c r="L409" s="424">
        <f>IF(OR(L$391&lt;$C409,L$391&lt;$H$2),0,MIN($E409-SUM($G409:K409),$F409))</f>
        <v>0</v>
      </c>
      <c r="M409" s="424">
        <f>IF(OR(M$391&lt;$C409,M$391&lt;$H$2),0,MIN($E409-SUM($G409:L409),$F409))</f>
        <v>0</v>
      </c>
      <c r="N409" s="424">
        <f>IF(OR(N$391&lt;$C409,N$391&lt;$H$2),0,MIN($E409-SUM($G409:M409),$F409))</f>
        <v>0</v>
      </c>
      <c r="O409" s="424">
        <f>IF(OR(O$391&lt;$C409,O$391&lt;$H$2),0,MIN($E409-SUM($G409:N409),$F409))</f>
        <v>0</v>
      </c>
      <c r="P409" s="424">
        <f>IF(OR(P$391&lt;$C409,P$391&lt;$H$2),0,MIN($E409-SUM($G409:O409),$F409))</f>
        <v>0</v>
      </c>
      <c r="Q409" s="424">
        <f>IF(OR(Q$391&lt;$C409,Q$391&lt;$H$2),0,MIN($E409-SUM($G409:P409),$F409))</f>
        <v>0</v>
      </c>
      <c r="R409" s="424">
        <f>IF(OR(R$391&lt;$C409,R$391&lt;$H$2),0,MIN($E409-SUM($G409:Q409),$F409))</f>
        <v>0</v>
      </c>
      <c r="S409" s="424">
        <f>IF(OR(S$391&lt;$C409,S$391&lt;$H$2),0,MIN($E409-SUM($G409:R409),$F409))</f>
        <v>0</v>
      </c>
      <c r="T409" s="424">
        <f>IF(OR(T$391&lt;$C409,T$391&lt;$H$2),0,MIN($E409-SUM($G409:S409),$F409))</f>
        <v>0</v>
      </c>
      <c r="U409" s="424">
        <f>IF(OR(U$391&lt;$C409,U$391&lt;$H$2),0,MIN($E409-SUM($G409:T409),$F409))</f>
        <v>0</v>
      </c>
      <c r="V409" s="424">
        <f>IF(OR(V$391&lt;$C409,V$391&lt;$H$2),0,MIN($E409-SUM($G409:U409),$F409))</f>
        <v>0</v>
      </c>
      <c r="W409" s="424">
        <f>IF(OR(W$391&lt;$C409,W$391&lt;$H$2),0,MIN($E409-SUM($G409:V409),$F409))</f>
        <v>0</v>
      </c>
      <c r="X409" s="424">
        <f>IF(OR(X$391&lt;$C409,X$391&lt;$H$2),0,MIN($E409-SUM($G409:W409),$F409))</f>
        <v>0</v>
      </c>
      <c r="Y409" s="424">
        <f>IF(OR(Y$391&lt;$C409,Y$391&lt;$H$2),0,MIN($E409-SUM($G409:X409),$F409))</f>
        <v>0</v>
      </c>
      <c r="Z409" s="424">
        <f>IF(OR(Z$391&lt;$C409,Z$391&lt;$H$2),0,MIN($E409-SUM($G409:Y409),$F409))</f>
        <v>0</v>
      </c>
      <c r="AA409" s="424">
        <f>IF(OR(AA$391&lt;$C409,AA$391&lt;$H$2),0,MIN($E409-SUM($G409:Z409),$F409))</f>
        <v>0</v>
      </c>
      <c r="AB409" s="424">
        <f>IF(OR(AB$391&lt;$C409,AB$391&lt;$H$2),0,MIN($E409-SUM($G409:AA409),$F409))</f>
        <v>0</v>
      </c>
      <c r="AC409" s="424">
        <f>IF(OR(AC$391&lt;$C409,AC$391&lt;$H$2),0,MIN($E409-SUM($G409:AB409),$F409))</f>
        <v>0</v>
      </c>
      <c r="AD409" s="424">
        <f>IF(OR(AD$391&lt;$C409,AD$391&lt;$H$2),0,MIN($E409-SUM($G409:AC409),$F409))</f>
        <v>0</v>
      </c>
    </row>
    <row r="410" spans="3:30">
      <c r="C410" s="201">
        <v>51879</v>
      </c>
      <c r="D410" s="94" t="s">
        <v>134</v>
      </c>
      <c r="E410" s="424">
        <f t="shared" si="149"/>
        <v>0</v>
      </c>
      <c r="F410" s="209">
        <f t="shared" si="150"/>
        <v>0</v>
      </c>
      <c r="H410" s="424">
        <f>IF(OR(H$391&lt;$C410,H$391&lt;$H$2),0,MIN($E410-SUM($G410:G410),$F410))</f>
        <v>0</v>
      </c>
      <c r="I410" s="424">
        <f>IF(OR(I$391&lt;$C410,I$391&lt;$H$2),0,MIN($E410-SUM($G410:H410),$F410))</f>
        <v>0</v>
      </c>
      <c r="J410" s="424">
        <f>IF(OR(J$391&lt;$C410,J$391&lt;$H$2),0,MIN($E410-SUM($G410:I410),$F410))</f>
        <v>0</v>
      </c>
      <c r="K410" s="424">
        <f>IF(OR(K$391&lt;$C410,K$391&lt;$H$2),0,MIN($E410-SUM($G410:J410),$F410))</f>
        <v>0</v>
      </c>
      <c r="L410" s="424">
        <f>IF(OR(L$391&lt;$C410,L$391&lt;$H$2),0,MIN($E410-SUM($G410:K410),$F410))</f>
        <v>0</v>
      </c>
      <c r="M410" s="424">
        <f>IF(OR(M$391&lt;$C410,M$391&lt;$H$2),0,MIN($E410-SUM($G410:L410),$F410))</f>
        <v>0</v>
      </c>
      <c r="N410" s="424">
        <f>IF(OR(N$391&lt;$C410,N$391&lt;$H$2),0,MIN($E410-SUM($G410:M410),$F410))</f>
        <v>0</v>
      </c>
      <c r="O410" s="424">
        <f>IF(OR(O$391&lt;$C410,O$391&lt;$H$2),0,MIN($E410-SUM($G410:N410),$F410))</f>
        <v>0</v>
      </c>
      <c r="P410" s="424">
        <f>IF(OR(P$391&lt;$C410,P$391&lt;$H$2),0,MIN($E410-SUM($G410:O410),$F410))</f>
        <v>0</v>
      </c>
      <c r="Q410" s="424">
        <f>IF(OR(Q$391&lt;$C410,Q$391&lt;$H$2),0,MIN($E410-SUM($G410:P410),$F410))</f>
        <v>0</v>
      </c>
      <c r="R410" s="424">
        <f>IF(OR(R$391&lt;$C410,R$391&lt;$H$2),0,MIN($E410-SUM($G410:Q410),$F410))</f>
        <v>0</v>
      </c>
      <c r="S410" s="424">
        <f>IF(OR(S$391&lt;$C410,S$391&lt;$H$2),0,MIN($E410-SUM($G410:R410),$F410))</f>
        <v>0</v>
      </c>
      <c r="T410" s="424">
        <f>IF(OR(T$391&lt;$C410,T$391&lt;$H$2),0,MIN($E410-SUM($G410:S410),$F410))</f>
        <v>0</v>
      </c>
      <c r="U410" s="424">
        <f>IF(OR(U$391&lt;$C410,U$391&lt;$H$2),0,MIN($E410-SUM($G410:T410),$F410))</f>
        <v>0</v>
      </c>
      <c r="V410" s="424">
        <f>IF(OR(V$391&lt;$C410,V$391&lt;$H$2),0,MIN($E410-SUM($G410:U410),$F410))</f>
        <v>0</v>
      </c>
      <c r="W410" s="424">
        <f>IF(OR(W$391&lt;$C410,W$391&lt;$H$2),0,MIN($E410-SUM($G410:V410),$F410))</f>
        <v>0</v>
      </c>
      <c r="X410" s="424">
        <f>IF(OR(X$391&lt;$C410,X$391&lt;$H$2),0,MIN($E410-SUM($G410:W410),$F410))</f>
        <v>0</v>
      </c>
      <c r="Y410" s="424">
        <f>IF(OR(Y$391&lt;$C410,Y$391&lt;$H$2),0,MIN($E410-SUM($G410:X410),$F410))</f>
        <v>0</v>
      </c>
      <c r="Z410" s="424">
        <f>IF(OR(Z$391&lt;$C410,Z$391&lt;$H$2),0,MIN($E410-SUM($G410:Y410),$F410))</f>
        <v>0</v>
      </c>
      <c r="AA410" s="424">
        <f>IF(OR(AA$391&lt;$C410,AA$391&lt;$H$2),0,MIN($E410-SUM($G410:Z410),$F410))</f>
        <v>0</v>
      </c>
      <c r="AB410" s="424">
        <f>IF(OR(AB$391&lt;$C410,AB$391&lt;$H$2),0,MIN($E410-SUM($G410:AA410),$F410))</f>
        <v>0</v>
      </c>
      <c r="AC410" s="424">
        <f>IF(OR(AC$391&lt;$C410,AC$391&lt;$H$2),0,MIN($E410-SUM($G410:AB410),$F410))</f>
        <v>0</v>
      </c>
      <c r="AD410" s="424">
        <f>IF(OR(AD$391&lt;$C410,AD$391&lt;$H$2),0,MIN($E410-SUM($G410:AC410),$F410))</f>
        <v>0</v>
      </c>
    </row>
    <row r="411" spans="3:30">
      <c r="C411" s="201">
        <v>52245</v>
      </c>
      <c r="D411" s="94" t="s">
        <v>134</v>
      </c>
      <c r="E411" s="424">
        <f t="shared" si="149"/>
        <v>0</v>
      </c>
      <c r="F411" s="209">
        <f t="shared" si="150"/>
        <v>0</v>
      </c>
      <c r="H411" s="424">
        <f>IF(OR(H$391&lt;$C411,H$391&lt;$H$2),0,MIN($E411-SUM($G411:G411),$F411))</f>
        <v>0</v>
      </c>
      <c r="I411" s="424">
        <f>IF(OR(I$391&lt;$C411,I$391&lt;$H$2),0,MIN($E411-SUM($G411:H411),$F411))</f>
        <v>0</v>
      </c>
      <c r="J411" s="424">
        <f>IF(OR(J$391&lt;$C411,J$391&lt;$H$2),0,MIN($E411-SUM($G411:I411),$F411))</f>
        <v>0</v>
      </c>
      <c r="K411" s="424">
        <f>IF(OR(K$391&lt;$C411,K$391&lt;$H$2),0,MIN($E411-SUM($G411:J411),$F411))</f>
        <v>0</v>
      </c>
      <c r="L411" s="424">
        <f>IF(OR(L$391&lt;$C411,L$391&lt;$H$2),0,MIN($E411-SUM($G411:K411),$F411))</f>
        <v>0</v>
      </c>
      <c r="M411" s="424">
        <f>IF(OR(M$391&lt;$C411,M$391&lt;$H$2),0,MIN($E411-SUM($G411:L411),$F411))</f>
        <v>0</v>
      </c>
      <c r="N411" s="424">
        <f>IF(OR(N$391&lt;$C411,N$391&lt;$H$2),0,MIN($E411-SUM($G411:M411),$F411))</f>
        <v>0</v>
      </c>
      <c r="O411" s="424">
        <f>IF(OR(O$391&lt;$C411,O$391&lt;$H$2),0,MIN($E411-SUM($G411:N411),$F411))</f>
        <v>0</v>
      </c>
      <c r="P411" s="424">
        <f>IF(OR(P$391&lt;$C411,P$391&lt;$H$2),0,MIN($E411-SUM($G411:O411),$F411))</f>
        <v>0</v>
      </c>
      <c r="Q411" s="424">
        <f>IF(OR(Q$391&lt;$C411,Q$391&lt;$H$2),0,MIN($E411-SUM($G411:P411),$F411))</f>
        <v>0</v>
      </c>
      <c r="R411" s="424">
        <f>IF(OR(R$391&lt;$C411,R$391&lt;$H$2),0,MIN($E411-SUM($G411:Q411),$F411))</f>
        <v>0</v>
      </c>
      <c r="S411" s="424">
        <f>IF(OR(S$391&lt;$C411,S$391&lt;$H$2),0,MIN($E411-SUM($G411:R411),$F411))</f>
        <v>0</v>
      </c>
      <c r="T411" s="424">
        <f>IF(OR(T$391&lt;$C411,T$391&lt;$H$2),0,MIN($E411-SUM($G411:S411),$F411))</f>
        <v>0</v>
      </c>
      <c r="U411" s="424">
        <f>IF(OR(U$391&lt;$C411,U$391&lt;$H$2),0,MIN($E411-SUM($G411:T411),$F411))</f>
        <v>0</v>
      </c>
      <c r="V411" s="424">
        <f>IF(OR(V$391&lt;$C411,V$391&lt;$H$2),0,MIN($E411-SUM($G411:U411),$F411))</f>
        <v>0</v>
      </c>
      <c r="W411" s="424">
        <f>IF(OR(W$391&lt;$C411,W$391&lt;$H$2),0,MIN($E411-SUM($G411:V411),$F411))</f>
        <v>0</v>
      </c>
      <c r="X411" s="424">
        <f>IF(OR(X$391&lt;$C411,X$391&lt;$H$2),0,MIN($E411-SUM($G411:W411),$F411))</f>
        <v>0</v>
      </c>
      <c r="Y411" s="424">
        <f>IF(OR(Y$391&lt;$C411,Y$391&lt;$H$2),0,MIN($E411-SUM($G411:X411),$F411))</f>
        <v>0</v>
      </c>
      <c r="Z411" s="424">
        <f>IF(OR(Z$391&lt;$C411,Z$391&lt;$H$2),0,MIN($E411-SUM($G411:Y411),$F411))</f>
        <v>0</v>
      </c>
      <c r="AA411" s="424">
        <f>IF(OR(AA$391&lt;$C411,AA$391&lt;$H$2),0,MIN($E411-SUM($G411:Z411),$F411))</f>
        <v>0</v>
      </c>
      <c r="AB411" s="424">
        <f>IF(OR(AB$391&lt;$C411,AB$391&lt;$H$2),0,MIN($E411-SUM($G411:AA411),$F411))</f>
        <v>0</v>
      </c>
      <c r="AC411" s="424">
        <f>IF(OR(AC$391&lt;$C411,AC$391&lt;$H$2),0,MIN($E411-SUM($G411:AB411),$F411))</f>
        <v>0</v>
      </c>
      <c r="AD411" s="424">
        <f>IF(OR(AD$391&lt;$C411,AD$391&lt;$H$2),0,MIN($E411-SUM($G411:AC411),$F411))</f>
        <v>0</v>
      </c>
    </row>
    <row r="412" spans="3:30">
      <c r="C412" s="201">
        <v>52611</v>
      </c>
      <c r="D412" s="94" t="s">
        <v>134</v>
      </c>
      <c r="E412" s="424">
        <f t="shared" si="149"/>
        <v>0</v>
      </c>
      <c r="F412" s="209">
        <f t="shared" si="150"/>
        <v>0</v>
      </c>
      <c r="H412" s="424">
        <f>IF(OR(H$391&lt;$C412,H$391&lt;$H$2),0,MIN($E412-SUM($G412:G412),$F412))</f>
        <v>0</v>
      </c>
      <c r="I412" s="424">
        <f>IF(OR(I$391&lt;$C412,I$391&lt;$H$2),0,MIN($E412-SUM($G412:H412),$F412))</f>
        <v>0</v>
      </c>
      <c r="J412" s="424">
        <f>IF(OR(J$391&lt;$C412,J$391&lt;$H$2),0,MIN($E412-SUM($G412:I412),$F412))</f>
        <v>0</v>
      </c>
      <c r="K412" s="424">
        <f>IF(OR(K$391&lt;$C412,K$391&lt;$H$2),0,MIN($E412-SUM($G412:J412),$F412))</f>
        <v>0</v>
      </c>
      <c r="L412" s="424">
        <f>IF(OR(L$391&lt;$C412,L$391&lt;$H$2),0,MIN($E412-SUM($G412:K412),$F412))</f>
        <v>0</v>
      </c>
      <c r="M412" s="424">
        <f>IF(OR(M$391&lt;$C412,M$391&lt;$H$2),0,MIN($E412-SUM($G412:L412),$F412))</f>
        <v>0</v>
      </c>
      <c r="N412" s="424">
        <f>IF(OR(N$391&lt;$C412,N$391&lt;$H$2),0,MIN($E412-SUM($G412:M412),$F412))</f>
        <v>0</v>
      </c>
      <c r="O412" s="424">
        <f>IF(OR(O$391&lt;$C412,O$391&lt;$H$2),0,MIN($E412-SUM($G412:N412),$F412))</f>
        <v>0</v>
      </c>
      <c r="P412" s="424">
        <f>IF(OR(P$391&lt;$C412,P$391&lt;$H$2),0,MIN($E412-SUM($G412:O412),$F412))</f>
        <v>0</v>
      </c>
      <c r="Q412" s="424">
        <f>IF(OR(Q$391&lt;$C412,Q$391&lt;$H$2),0,MIN($E412-SUM($G412:P412),$F412))</f>
        <v>0</v>
      </c>
      <c r="R412" s="424">
        <f>IF(OR(R$391&lt;$C412,R$391&lt;$H$2),0,MIN($E412-SUM($G412:Q412),$F412))</f>
        <v>0</v>
      </c>
      <c r="S412" s="424">
        <f>IF(OR(S$391&lt;$C412,S$391&lt;$H$2),0,MIN($E412-SUM($G412:R412),$F412))</f>
        <v>0</v>
      </c>
      <c r="T412" s="424">
        <f>IF(OR(T$391&lt;$C412,T$391&lt;$H$2),0,MIN($E412-SUM($G412:S412),$F412))</f>
        <v>0</v>
      </c>
      <c r="U412" s="424">
        <f>IF(OR(U$391&lt;$C412,U$391&lt;$H$2),0,MIN($E412-SUM($G412:T412),$F412))</f>
        <v>0</v>
      </c>
      <c r="V412" s="424">
        <f>IF(OR(V$391&lt;$C412,V$391&lt;$H$2),0,MIN($E412-SUM($G412:U412),$F412))</f>
        <v>0</v>
      </c>
      <c r="W412" s="424">
        <f>IF(OR(W$391&lt;$C412,W$391&lt;$H$2),0,MIN($E412-SUM($G412:V412),$F412))</f>
        <v>0</v>
      </c>
      <c r="X412" s="424">
        <f>IF(OR(X$391&lt;$C412,X$391&lt;$H$2),0,MIN($E412-SUM($G412:W412),$F412))</f>
        <v>0</v>
      </c>
      <c r="Y412" s="424">
        <f>IF(OR(Y$391&lt;$C412,Y$391&lt;$H$2),0,MIN($E412-SUM($G412:X412),$F412))</f>
        <v>0</v>
      </c>
      <c r="Z412" s="424">
        <f>IF(OR(Z$391&lt;$C412,Z$391&lt;$H$2),0,MIN($E412-SUM($G412:Y412),$F412))</f>
        <v>0</v>
      </c>
      <c r="AA412" s="424">
        <f>IF(OR(AA$391&lt;$C412,AA$391&lt;$H$2),0,MIN($E412-SUM($G412:Z412),$F412))</f>
        <v>0</v>
      </c>
      <c r="AB412" s="424">
        <f>IF(OR(AB$391&lt;$C412,AB$391&lt;$H$2),0,MIN($E412-SUM($G412:AA412),$F412))</f>
        <v>0</v>
      </c>
      <c r="AC412" s="424">
        <f>IF(OR(AC$391&lt;$C412,AC$391&lt;$H$2),0,MIN($E412-SUM($G412:AB412),$F412))</f>
        <v>0</v>
      </c>
      <c r="AD412" s="424">
        <f>IF(OR(AD$391&lt;$C412,AD$391&lt;$H$2),0,MIN($E412-SUM($G412:AC412),$F412))</f>
        <v>0</v>
      </c>
    </row>
    <row r="413" spans="3:30">
      <c r="C413" s="201">
        <v>52977</v>
      </c>
      <c r="D413" s="94" t="s">
        <v>134</v>
      </c>
      <c r="E413" s="424">
        <f t="shared" si="149"/>
        <v>0</v>
      </c>
      <c r="F413" s="209">
        <f t="shared" si="150"/>
        <v>0</v>
      </c>
      <c r="H413" s="424">
        <f>IF(OR(H$391&lt;$C413,H$391&lt;$H$2),0,MIN($E413-SUM($G413:G413),$F413))</f>
        <v>0</v>
      </c>
      <c r="I413" s="424">
        <f>IF(OR(I$391&lt;$C413,I$391&lt;$H$2),0,MIN($E413-SUM($G413:H413),$F413))</f>
        <v>0</v>
      </c>
      <c r="J413" s="424">
        <f>IF(OR(J$391&lt;$C413,J$391&lt;$H$2),0,MIN($E413-SUM($G413:I413),$F413))</f>
        <v>0</v>
      </c>
      <c r="K413" s="424">
        <f>IF(OR(K$391&lt;$C413,K$391&lt;$H$2),0,MIN($E413-SUM($G413:J413),$F413))</f>
        <v>0</v>
      </c>
      <c r="L413" s="424">
        <f>IF(OR(L$391&lt;$C413,L$391&lt;$H$2),0,MIN($E413-SUM($G413:K413),$F413))</f>
        <v>0</v>
      </c>
      <c r="M413" s="424">
        <f>IF(OR(M$391&lt;$C413,M$391&lt;$H$2),0,MIN($E413-SUM($G413:L413),$F413))</f>
        <v>0</v>
      </c>
      <c r="N413" s="424">
        <f>IF(OR(N$391&lt;$C413,N$391&lt;$H$2),0,MIN($E413-SUM($G413:M413),$F413))</f>
        <v>0</v>
      </c>
      <c r="O413" s="424">
        <f>IF(OR(O$391&lt;$C413,O$391&lt;$H$2),0,MIN($E413-SUM($G413:N413),$F413))</f>
        <v>0</v>
      </c>
      <c r="P413" s="424">
        <f>IF(OR(P$391&lt;$C413,P$391&lt;$H$2),0,MIN($E413-SUM($G413:O413),$F413))</f>
        <v>0</v>
      </c>
      <c r="Q413" s="424">
        <f>IF(OR(Q$391&lt;$C413,Q$391&lt;$H$2),0,MIN($E413-SUM($G413:P413),$F413))</f>
        <v>0</v>
      </c>
      <c r="R413" s="424">
        <f>IF(OR(R$391&lt;$C413,R$391&lt;$H$2),0,MIN($E413-SUM($G413:Q413),$F413))</f>
        <v>0</v>
      </c>
      <c r="S413" s="424">
        <f>IF(OR(S$391&lt;$C413,S$391&lt;$H$2),0,MIN($E413-SUM($G413:R413),$F413))</f>
        <v>0</v>
      </c>
      <c r="T413" s="424">
        <f>IF(OR(T$391&lt;$C413,T$391&lt;$H$2),0,MIN($E413-SUM($G413:S413),$F413))</f>
        <v>0</v>
      </c>
      <c r="U413" s="424">
        <f>IF(OR(U$391&lt;$C413,U$391&lt;$H$2),0,MIN($E413-SUM($G413:T413),$F413))</f>
        <v>0</v>
      </c>
      <c r="V413" s="424">
        <f>IF(OR(V$391&lt;$C413,V$391&lt;$H$2),0,MIN($E413-SUM($G413:U413),$F413))</f>
        <v>0</v>
      </c>
      <c r="W413" s="424">
        <f>IF(OR(W$391&lt;$C413,W$391&lt;$H$2),0,MIN($E413-SUM($G413:V413),$F413))</f>
        <v>0</v>
      </c>
      <c r="X413" s="424">
        <f>IF(OR(X$391&lt;$C413,X$391&lt;$H$2),0,MIN($E413-SUM($G413:W413),$F413))</f>
        <v>0</v>
      </c>
      <c r="Y413" s="424">
        <f>IF(OR(Y$391&lt;$C413,Y$391&lt;$H$2),0,MIN($E413-SUM($G413:X413),$F413))</f>
        <v>0</v>
      </c>
      <c r="Z413" s="424">
        <f>IF(OR(Z$391&lt;$C413,Z$391&lt;$H$2),0,MIN($E413-SUM($G413:Y413),$F413))</f>
        <v>0</v>
      </c>
      <c r="AA413" s="424">
        <f>IF(OR(AA$391&lt;$C413,AA$391&lt;$H$2),0,MIN($E413-SUM($G413:Z413),$F413))</f>
        <v>0</v>
      </c>
      <c r="AB413" s="424">
        <f>IF(OR(AB$391&lt;$C413,AB$391&lt;$H$2),0,MIN($E413-SUM($G413:AA413),$F413))</f>
        <v>0</v>
      </c>
      <c r="AC413" s="424">
        <f>IF(OR(AC$391&lt;$C413,AC$391&lt;$H$2),0,MIN($E413-SUM($G413:AB413),$F413))</f>
        <v>0</v>
      </c>
      <c r="AD413" s="424">
        <f>IF(OR(AD$391&lt;$C413,AD$391&lt;$H$2),0,MIN($E413-SUM($G413:AC413),$F413))</f>
        <v>0</v>
      </c>
    </row>
    <row r="414" spans="3:30">
      <c r="C414" s="201">
        <v>53343</v>
      </c>
      <c r="D414" s="94" t="s">
        <v>134</v>
      </c>
      <c r="E414" s="424">
        <f t="shared" si="149"/>
        <v>0</v>
      </c>
      <c r="F414" s="209">
        <f t="shared" si="150"/>
        <v>0</v>
      </c>
      <c r="H414" s="424">
        <f>IF(OR(H$391&lt;$C414,H$391&lt;$H$2),0,MIN($E414-SUM($G414:G414),$F414))</f>
        <v>0</v>
      </c>
      <c r="I414" s="424">
        <f>IF(OR(I$391&lt;$C414,I$391&lt;$H$2),0,MIN($E414-SUM($G414:H414),$F414))</f>
        <v>0</v>
      </c>
      <c r="J414" s="424">
        <f>IF(OR(J$391&lt;$C414,J$391&lt;$H$2),0,MIN($E414-SUM($G414:I414),$F414))</f>
        <v>0</v>
      </c>
      <c r="K414" s="424">
        <f>IF(OR(K$391&lt;$C414,K$391&lt;$H$2),0,MIN($E414-SUM($G414:J414),$F414))</f>
        <v>0</v>
      </c>
      <c r="L414" s="424">
        <f>IF(OR(L$391&lt;$C414,L$391&lt;$H$2),0,MIN($E414-SUM($G414:K414),$F414))</f>
        <v>0</v>
      </c>
      <c r="M414" s="424">
        <f>IF(OR(M$391&lt;$C414,M$391&lt;$H$2),0,MIN($E414-SUM($G414:L414),$F414))</f>
        <v>0</v>
      </c>
      <c r="N414" s="424">
        <f>IF(OR(N$391&lt;$C414,N$391&lt;$H$2),0,MIN($E414-SUM($G414:M414),$F414))</f>
        <v>0</v>
      </c>
      <c r="O414" s="424">
        <f>IF(OR(O$391&lt;$C414,O$391&lt;$H$2),0,MIN($E414-SUM($G414:N414),$F414))</f>
        <v>0</v>
      </c>
      <c r="P414" s="424">
        <f>IF(OR(P$391&lt;$C414,P$391&lt;$H$2),0,MIN($E414-SUM($G414:O414),$F414))</f>
        <v>0</v>
      </c>
      <c r="Q414" s="424">
        <f>IF(OR(Q$391&lt;$C414,Q$391&lt;$H$2),0,MIN($E414-SUM($G414:P414),$F414))</f>
        <v>0</v>
      </c>
      <c r="R414" s="424">
        <f>IF(OR(R$391&lt;$C414,R$391&lt;$H$2),0,MIN($E414-SUM($G414:Q414),$F414))</f>
        <v>0</v>
      </c>
      <c r="S414" s="424">
        <f>IF(OR(S$391&lt;$C414,S$391&lt;$H$2),0,MIN($E414-SUM($G414:R414),$F414))</f>
        <v>0</v>
      </c>
      <c r="T414" s="424">
        <f>IF(OR(T$391&lt;$C414,T$391&lt;$H$2),0,MIN($E414-SUM($G414:S414),$F414))</f>
        <v>0</v>
      </c>
      <c r="U414" s="424">
        <f>IF(OR(U$391&lt;$C414,U$391&lt;$H$2),0,MIN($E414-SUM($G414:T414),$F414))</f>
        <v>0</v>
      </c>
      <c r="V414" s="424">
        <f>IF(OR(V$391&lt;$C414,V$391&lt;$H$2),0,MIN($E414-SUM($G414:U414),$F414))</f>
        <v>0</v>
      </c>
      <c r="W414" s="424">
        <f>IF(OR(W$391&lt;$C414,W$391&lt;$H$2),0,MIN($E414-SUM($G414:V414),$F414))</f>
        <v>0</v>
      </c>
      <c r="X414" s="424">
        <f>IF(OR(X$391&lt;$C414,X$391&lt;$H$2),0,MIN($E414-SUM($G414:W414),$F414))</f>
        <v>0</v>
      </c>
      <c r="Y414" s="424">
        <f>IF(OR(Y$391&lt;$C414,Y$391&lt;$H$2),0,MIN($E414-SUM($G414:X414),$F414))</f>
        <v>0</v>
      </c>
      <c r="Z414" s="424">
        <f>IF(OR(Z$391&lt;$C414,Z$391&lt;$H$2),0,MIN($E414-SUM($G414:Y414),$F414))</f>
        <v>0</v>
      </c>
      <c r="AA414" s="424">
        <f>IF(OR(AA$391&lt;$C414,AA$391&lt;$H$2),0,MIN($E414-SUM($G414:Z414),$F414))</f>
        <v>0</v>
      </c>
      <c r="AB414" s="424">
        <f>IF(OR(AB$391&lt;$C414,AB$391&lt;$H$2),0,MIN($E414-SUM($G414:AA414),$F414))</f>
        <v>0</v>
      </c>
      <c r="AC414" s="424">
        <f>IF(OR(AC$391&lt;$C414,AC$391&lt;$H$2),0,MIN($E414-SUM($G414:AB414),$F414))</f>
        <v>0</v>
      </c>
      <c r="AD414" s="424">
        <f>IF(OR(AD$391&lt;$C414,AD$391&lt;$H$2),0,MIN($E414-SUM($G414:AC414),$F414))</f>
        <v>0</v>
      </c>
    </row>
    <row r="415" spans="3:30">
      <c r="C415" s="201">
        <v>53709</v>
      </c>
      <c r="D415" s="94" t="s">
        <v>134</v>
      </c>
      <c r="E415" s="424">
        <f t="shared" si="149"/>
        <v>0</v>
      </c>
      <c r="F415" s="209">
        <f t="shared" si="150"/>
        <v>0</v>
      </c>
      <c r="H415" s="424">
        <f>IF(OR(H$391&lt;$C415,H$391&lt;$H$2),0,MIN($E415-SUM($G415:G415),$F415))</f>
        <v>0</v>
      </c>
      <c r="I415" s="424">
        <f>IF(OR(I$391&lt;$C415,I$391&lt;$H$2),0,MIN($E415-SUM($G415:H415),$F415))</f>
        <v>0</v>
      </c>
      <c r="J415" s="424">
        <f>IF(OR(J$391&lt;$C415,J$391&lt;$H$2),0,MIN($E415-SUM($G415:I415),$F415))</f>
        <v>0</v>
      </c>
      <c r="K415" s="424">
        <f>IF(OR(K$391&lt;$C415,K$391&lt;$H$2),0,MIN($E415-SUM($G415:J415),$F415))</f>
        <v>0</v>
      </c>
      <c r="L415" s="424">
        <f>IF(OR(L$391&lt;$C415,L$391&lt;$H$2),0,MIN($E415-SUM($G415:K415),$F415))</f>
        <v>0</v>
      </c>
      <c r="M415" s="424">
        <f>IF(OR(M$391&lt;$C415,M$391&lt;$H$2),0,MIN($E415-SUM($G415:L415),$F415))</f>
        <v>0</v>
      </c>
      <c r="N415" s="424">
        <f>IF(OR(N$391&lt;$C415,N$391&lt;$H$2),0,MIN($E415-SUM($G415:M415),$F415))</f>
        <v>0</v>
      </c>
      <c r="O415" s="424">
        <f>IF(OR(O$391&lt;$C415,O$391&lt;$H$2),0,MIN($E415-SUM($G415:N415),$F415))</f>
        <v>0</v>
      </c>
      <c r="P415" s="424">
        <f>IF(OR(P$391&lt;$C415,P$391&lt;$H$2),0,MIN($E415-SUM($G415:O415),$F415))</f>
        <v>0</v>
      </c>
      <c r="Q415" s="424">
        <f>IF(OR(Q$391&lt;$C415,Q$391&lt;$H$2),0,MIN($E415-SUM($G415:P415),$F415))</f>
        <v>0</v>
      </c>
      <c r="R415" s="424">
        <f>IF(OR(R$391&lt;$C415,R$391&lt;$H$2),0,MIN($E415-SUM($G415:Q415),$F415))</f>
        <v>0</v>
      </c>
      <c r="S415" s="424">
        <f>IF(OR(S$391&lt;$C415,S$391&lt;$H$2),0,MIN($E415-SUM($G415:R415),$F415))</f>
        <v>0</v>
      </c>
      <c r="T415" s="424">
        <f>IF(OR(T$391&lt;$C415,T$391&lt;$H$2),0,MIN($E415-SUM($G415:S415),$F415))</f>
        <v>0</v>
      </c>
      <c r="U415" s="424">
        <f>IF(OR(U$391&lt;$C415,U$391&lt;$H$2),0,MIN($E415-SUM($G415:T415),$F415))</f>
        <v>0</v>
      </c>
      <c r="V415" s="424">
        <f>IF(OR(V$391&lt;$C415,V$391&lt;$H$2),0,MIN($E415-SUM($G415:U415),$F415))</f>
        <v>0</v>
      </c>
      <c r="W415" s="424">
        <f>IF(OR(W$391&lt;$C415,W$391&lt;$H$2),0,MIN($E415-SUM($G415:V415),$F415))</f>
        <v>0</v>
      </c>
      <c r="X415" s="424">
        <f>IF(OR(X$391&lt;$C415,X$391&lt;$H$2),0,MIN($E415-SUM($G415:W415),$F415))</f>
        <v>0</v>
      </c>
      <c r="Y415" s="424">
        <f>IF(OR(Y$391&lt;$C415,Y$391&lt;$H$2),0,MIN($E415-SUM($G415:X415),$F415))</f>
        <v>0</v>
      </c>
      <c r="Z415" s="424">
        <f>IF(OR(Z$391&lt;$C415,Z$391&lt;$H$2),0,MIN($E415-SUM($G415:Y415),$F415))</f>
        <v>0</v>
      </c>
      <c r="AA415" s="424">
        <f>IF(OR(AA$391&lt;$C415,AA$391&lt;$H$2),0,MIN($E415-SUM($G415:Z415),$F415))</f>
        <v>0</v>
      </c>
      <c r="AB415" s="424">
        <f>IF(OR(AB$391&lt;$C415,AB$391&lt;$H$2),0,MIN($E415-SUM($G415:AA415),$F415))</f>
        <v>0</v>
      </c>
      <c r="AC415" s="424">
        <f>IF(OR(AC$391&lt;$C415,AC$391&lt;$H$2),0,MIN($E415-SUM($G415:AB415),$F415))</f>
        <v>0</v>
      </c>
      <c r="AD415" s="424">
        <f>IF(OR(AD$391&lt;$C415,AD$391&lt;$H$2),0,MIN($E415-SUM($G415:AC415),$F415))</f>
        <v>0</v>
      </c>
    </row>
    <row r="416" spans="3:30">
      <c r="C416" s="201">
        <v>54075</v>
      </c>
      <c r="D416" s="94" t="s">
        <v>134</v>
      </c>
      <c r="E416" s="424">
        <f t="shared" si="149"/>
        <v>0</v>
      </c>
      <c r="F416" s="209">
        <f t="shared" si="150"/>
        <v>0</v>
      </c>
      <c r="H416" s="424">
        <f>IF(OR(H$391&lt;$C416,H$391&lt;$H$2),0,MIN($E416-SUM($G416:G416),$F416))</f>
        <v>0</v>
      </c>
      <c r="I416" s="424">
        <f>IF(OR(I$391&lt;$C416,I$391&lt;$H$2),0,MIN($E416-SUM($G416:H416),$F416))</f>
        <v>0</v>
      </c>
      <c r="J416" s="424">
        <f>IF(OR(J$391&lt;$C416,J$391&lt;$H$2),0,MIN($E416-SUM($G416:I416),$F416))</f>
        <v>0</v>
      </c>
      <c r="K416" s="424">
        <f>IF(OR(K$391&lt;$C416,K$391&lt;$H$2),0,MIN($E416-SUM($G416:J416),$F416))</f>
        <v>0</v>
      </c>
      <c r="L416" s="424">
        <f>IF(OR(L$391&lt;$C416,L$391&lt;$H$2),0,MIN($E416-SUM($G416:K416),$F416))</f>
        <v>0</v>
      </c>
      <c r="M416" s="424">
        <f>IF(OR(M$391&lt;$C416,M$391&lt;$H$2),0,MIN($E416-SUM($G416:L416),$F416))</f>
        <v>0</v>
      </c>
      <c r="N416" s="424">
        <f>IF(OR(N$391&lt;$C416,N$391&lt;$H$2),0,MIN($E416-SUM($G416:M416),$F416))</f>
        <v>0</v>
      </c>
      <c r="O416" s="424">
        <f>IF(OR(O$391&lt;$C416,O$391&lt;$H$2),0,MIN($E416-SUM($G416:N416),$F416))</f>
        <v>0</v>
      </c>
      <c r="P416" s="424">
        <f>IF(OR(P$391&lt;$C416,P$391&lt;$H$2),0,MIN($E416-SUM($G416:O416),$F416))</f>
        <v>0</v>
      </c>
      <c r="Q416" s="424">
        <f>IF(OR(Q$391&lt;$C416,Q$391&lt;$H$2),0,MIN($E416-SUM($G416:P416),$F416))</f>
        <v>0</v>
      </c>
      <c r="R416" s="424">
        <f>IF(OR(R$391&lt;$C416,R$391&lt;$H$2),0,MIN($E416-SUM($G416:Q416),$F416))</f>
        <v>0</v>
      </c>
      <c r="S416" s="424">
        <f>IF(OR(S$391&lt;$C416,S$391&lt;$H$2),0,MIN($E416-SUM($G416:R416),$F416))</f>
        <v>0</v>
      </c>
      <c r="T416" s="424">
        <f>IF(OR(T$391&lt;$C416,T$391&lt;$H$2),0,MIN($E416-SUM($G416:S416),$F416))</f>
        <v>0</v>
      </c>
      <c r="U416" s="424">
        <f>IF(OR(U$391&lt;$C416,U$391&lt;$H$2),0,MIN($E416-SUM($G416:T416),$F416))</f>
        <v>0</v>
      </c>
      <c r="V416" s="424">
        <f>IF(OR(V$391&lt;$C416,V$391&lt;$H$2),0,MIN($E416-SUM($G416:U416),$F416))</f>
        <v>0</v>
      </c>
      <c r="W416" s="424">
        <f>IF(OR(W$391&lt;$C416,W$391&lt;$H$2),0,MIN($E416-SUM($G416:V416),$F416))</f>
        <v>0</v>
      </c>
      <c r="X416" s="424">
        <f>IF(OR(X$391&lt;$C416,X$391&lt;$H$2),0,MIN($E416-SUM($G416:W416),$F416))</f>
        <v>0</v>
      </c>
      <c r="Y416" s="424">
        <f>IF(OR(Y$391&lt;$C416,Y$391&lt;$H$2),0,MIN($E416-SUM($G416:X416),$F416))</f>
        <v>0</v>
      </c>
      <c r="Z416" s="424">
        <f>IF(OR(Z$391&lt;$C416,Z$391&lt;$H$2),0,MIN($E416-SUM($G416:Y416),$F416))</f>
        <v>0</v>
      </c>
      <c r="AA416" s="424">
        <f>IF(OR(AA$391&lt;$C416,AA$391&lt;$H$2),0,MIN($E416-SUM($G416:Z416),$F416))</f>
        <v>0</v>
      </c>
      <c r="AB416" s="424">
        <f>IF(OR(AB$391&lt;$C416,AB$391&lt;$H$2),0,MIN($E416-SUM($G416:AA416),$F416))</f>
        <v>0</v>
      </c>
      <c r="AC416" s="424">
        <f>IF(OR(AC$391&lt;$C416,AC$391&lt;$H$2),0,MIN($E416-SUM($G416:AB416),$F416))</f>
        <v>0</v>
      </c>
      <c r="AD416" s="424">
        <f>IF(OR(AD$391&lt;$C416,AD$391&lt;$H$2),0,MIN($E416-SUM($G416:AC416),$F416))</f>
        <v>0</v>
      </c>
    </row>
    <row r="417" spans="3:30" ht="14" thickBot="1">
      <c r="C417" s="240" t="s">
        <v>543</v>
      </c>
      <c r="D417" s="348" t="s">
        <v>134</v>
      </c>
      <c r="E417" s="427">
        <f>SUM(E394:E416)</f>
        <v>27.27</v>
      </c>
      <c r="F417" s="427">
        <f>SUM(F394:F416)</f>
        <v>1.8189089999999999</v>
      </c>
      <c r="G417" s="348"/>
      <c r="H417" s="427">
        <f t="shared" ref="H417:AD417" si="151">SUM(H394:H416)</f>
        <v>0</v>
      </c>
      <c r="I417" s="427">
        <f t="shared" si="151"/>
        <v>0</v>
      </c>
      <c r="J417" s="427">
        <f t="shared" si="151"/>
        <v>0.90945449999999994</v>
      </c>
      <c r="K417" s="427">
        <f t="shared" si="151"/>
        <v>1.8189089999999999</v>
      </c>
      <c r="L417" s="427">
        <f t="shared" si="151"/>
        <v>1.8189089999999999</v>
      </c>
      <c r="M417" s="427">
        <f t="shared" si="151"/>
        <v>1.8189089999999999</v>
      </c>
      <c r="N417" s="427">
        <f t="shared" si="151"/>
        <v>1.8189089999999999</v>
      </c>
      <c r="O417" s="427">
        <f t="shared" si="151"/>
        <v>1.8189089999999999</v>
      </c>
      <c r="P417" s="427">
        <f t="shared" si="151"/>
        <v>1.8189089999999999</v>
      </c>
      <c r="Q417" s="427">
        <f t="shared" si="151"/>
        <v>1.8189089999999999</v>
      </c>
      <c r="R417" s="427">
        <f t="shared" si="151"/>
        <v>1.8189089999999999</v>
      </c>
      <c r="S417" s="427">
        <f t="shared" si="151"/>
        <v>1.8189089999999999</v>
      </c>
      <c r="T417" s="427">
        <f t="shared" si="151"/>
        <v>1.8189089999999999</v>
      </c>
      <c r="U417" s="427">
        <f t="shared" si="151"/>
        <v>1.8189089999999999</v>
      </c>
      <c r="V417" s="427">
        <f t="shared" si="151"/>
        <v>1.8189089999999999</v>
      </c>
      <c r="W417" s="427">
        <f t="shared" si="151"/>
        <v>1.8189089999999999</v>
      </c>
      <c r="X417" s="427">
        <f t="shared" si="151"/>
        <v>1.8120914999999966</v>
      </c>
      <c r="Y417" s="427">
        <f t="shared" si="151"/>
        <v>0.9026369999999968</v>
      </c>
      <c r="Z417" s="427">
        <f t="shared" si="151"/>
        <v>0</v>
      </c>
      <c r="AA417" s="427">
        <f t="shared" si="151"/>
        <v>0</v>
      </c>
      <c r="AB417" s="427">
        <f t="shared" si="151"/>
        <v>0</v>
      </c>
      <c r="AC417" s="427">
        <f t="shared" si="151"/>
        <v>0</v>
      </c>
      <c r="AD417" s="427">
        <f t="shared" si="151"/>
        <v>0</v>
      </c>
    </row>
    <row r="418" spans="3:30" ht="14" thickTop="1"/>
    <row r="419" spans="3:30" ht="28">
      <c r="C419" s="428" t="s">
        <v>166</v>
      </c>
      <c r="D419" s="428" t="s">
        <v>88</v>
      </c>
      <c r="E419" s="428" t="s">
        <v>555</v>
      </c>
      <c r="F419" s="429" t="s">
        <v>556</v>
      </c>
      <c r="G419" s="430"/>
      <c r="H419" s="201">
        <f t="shared" ref="H419:AD419" si="152">H391</f>
        <v>46023</v>
      </c>
      <c r="I419" s="201">
        <f t="shared" si="152"/>
        <v>46389</v>
      </c>
      <c r="J419" s="201">
        <f t="shared" si="152"/>
        <v>46755</v>
      </c>
      <c r="K419" s="201">
        <f t="shared" si="152"/>
        <v>47121</v>
      </c>
      <c r="L419" s="201">
        <f t="shared" si="152"/>
        <v>47487</v>
      </c>
      <c r="M419" s="201">
        <f t="shared" si="152"/>
        <v>47853</v>
      </c>
      <c r="N419" s="201">
        <f t="shared" si="152"/>
        <v>48219</v>
      </c>
      <c r="O419" s="201">
        <f t="shared" si="152"/>
        <v>48585</v>
      </c>
      <c r="P419" s="201">
        <f t="shared" si="152"/>
        <v>48951</v>
      </c>
      <c r="Q419" s="201">
        <f t="shared" si="152"/>
        <v>49317</v>
      </c>
      <c r="R419" s="201">
        <f t="shared" si="152"/>
        <v>49683</v>
      </c>
      <c r="S419" s="201">
        <f t="shared" si="152"/>
        <v>50049</v>
      </c>
      <c r="T419" s="201">
        <f t="shared" si="152"/>
        <v>50415</v>
      </c>
      <c r="U419" s="201">
        <f t="shared" si="152"/>
        <v>50781</v>
      </c>
      <c r="V419" s="201">
        <f t="shared" si="152"/>
        <v>51147</v>
      </c>
      <c r="W419" s="201">
        <f t="shared" si="152"/>
        <v>51513</v>
      </c>
      <c r="X419" s="201">
        <f t="shared" si="152"/>
        <v>51879</v>
      </c>
      <c r="Y419" s="201">
        <f t="shared" si="152"/>
        <v>52245</v>
      </c>
      <c r="Z419" s="201">
        <f t="shared" si="152"/>
        <v>52611</v>
      </c>
      <c r="AA419" s="201">
        <f t="shared" si="152"/>
        <v>52977</v>
      </c>
      <c r="AB419" s="201">
        <f t="shared" si="152"/>
        <v>53343</v>
      </c>
      <c r="AC419" s="201">
        <f t="shared" si="152"/>
        <v>53709</v>
      </c>
      <c r="AD419" s="201">
        <f t="shared" si="152"/>
        <v>54075</v>
      </c>
    </row>
    <row r="420" spans="3:30">
      <c r="C420" s="430"/>
      <c r="D420" s="430"/>
      <c r="E420" s="428" t="s">
        <v>134</v>
      </c>
      <c r="F420" s="428" t="s">
        <v>134</v>
      </c>
      <c r="G420" s="430"/>
      <c r="H420" s="1141">
        <f t="shared" ref="H420:AD420" si="153">H392</f>
        <v>-4</v>
      </c>
      <c r="I420" s="1141">
        <f t="shared" si="153"/>
        <v>-3</v>
      </c>
      <c r="J420" s="1141">
        <f t="shared" si="153"/>
        <v>-2</v>
      </c>
      <c r="K420" s="1141">
        <f t="shared" si="153"/>
        <v>-1</v>
      </c>
      <c r="L420" s="1141">
        <f t="shared" si="153"/>
        <v>1</v>
      </c>
      <c r="M420" s="1141">
        <f t="shared" si="153"/>
        <v>2</v>
      </c>
      <c r="N420" s="1141">
        <f t="shared" si="153"/>
        <v>3</v>
      </c>
      <c r="O420" s="1141">
        <f t="shared" si="153"/>
        <v>4</v>
      </c>
      <c r="P420" s="1141">
        <f t="shared" si="153"/>
        <v>5</v>
      </c>
      <c r="Q420" s="1141">
        <f t="shared" si="153"/>
        <v>6</v>
      </c>
      <c r="R420" s="1141">
        <f t="shared" si="153"/>
        <v>7</v>
      </c>
      <c r="S420" s="1141">
        <f t="shared" si="153"/>
        <v>8</v>
      </c>
      <c r="T420" s="1141">
        <f t="shared" si="153"/>
        <v>9</v>
      </c>
      <c r="U420" s="1141">
        <f t="shared" si="153"/>
        <v>10</v>
      </c>
      <c r="V420" s="1141">
        <f t="shared" si="153"/>
        <v>11</v>
      </c>
      <c r="W420" s="1141">
        <f t="shared" si="153"/>
        <v>12</v>
      </c>
      <c r="X420" s="1141">
        <f t="shared" si="153"/>
        <v>13</v>
      </c>
      <c r="Y420" s="1141">
        <f t="shared" si="153"/>
        <v>14</v>
      </c>
      <c r="Z420" s="1141">
        <f t="shared" si="153"/>
        <v>15</v>
      </c>
      <c r="AA420" s="1141">
        <f t="shared" si="153"/>
        <v>16</v>
      </c>
      <c r="AB420" s="1141">
        <f t="shared" si="153"/>
        <v>17</v>
      </c>
      <c r="AC420" s="1141">
        <f t="shared" si="153"/>
        <v>18</v>
      </c>
      <c r="AD420" s="1141">
        <f t="shared" si="153"/>
        <v>19</v>
      </c>
    </row>
    <row r="421" spans="3:30">
      <c r="C421" s="191" t="str">
        <f>C89</f>
        <v xml:space="preserve">Electrical </v>
      </c>
    </row>
    <row r="422" spans="3:30">
      <c r="C422" s="201" cm="1">
        <f t="array" ref="C422:C444">TRANSPOSE(H419:AD419)</f>
        <v>46023</v>
      </c>
      <c r="D422" s="94" t="s">
        <v>134</v>
      </c>
      <c r="E422" s="424">
        <f t="shared" ref="E422:E444" si="154">HLOOKUP($C422,$H$39:$AI$112,53,FALSE)</f>
        <v>0</v>
      </c>
      <c r="F422" s="209">
        <f>E422*$F$89</f>
        <v>0</v>
      </c>
      <c r="H422" s="424">
        <f>IF(OR(H$419&lt;$C422,H$419&lt;$H$2),0,MIN($E422-SUM($G422:G422),$F422))</f>
        <v>0</v>
      </c>
      <c r="I422" s="424">
        <f>IF(OR(I$419&lt;$C422,I$419&lt;$H$2),0,MIN($E422-SUM($G422:H422),$F422))</f>
        <v>0</v>
      </c>
      <c r="J422" s="424">
        <f>IF(OR(J$419&lt;$C422,J$419&lt;$H$2),0,MIN($E422-SUM($G422:I422),$F422))</f>
        <v>0</v>
      </c>
      <c r="K422" s="424">
        <f>IF(OR(K$419&lt;$C422,K$419&lt;$H$2),0,MIN($E422-SUM($G422:J422),$F422))</f>
        <v>0</v>
      </c>
      <c r="L422" s="424">
        <f>IF(OR(L$419&lt;$C422,L$419&lt;$H$2),0,MIN($E422-SUM($G422:K422),$F422))</f>
        <v>0</v>
      </c>
      <c r="M422" s="424">
        <f>IF(OR(M$419&lt;$C422,M$419&lt;$H$2),0,MIN($E422-SUM($G422:L422),$F422))</f>
        <v>0</v>
      </c>
      <c r="N422" s="424">
        <f>IF(OR(N$419&lt;$C422,N$419&lt;$H$2),0,MIN($E422-SUM($G422:M422),$F422))</f>
        <v>0</v>
      </c>
      <c r="O422" s="424">
        <f>IF(OR(O$419&lt;$C422,O$419&lt;$H$2),0,MIN($E422-SUM($G422:N422),$F422))</f>
        <v>0</v>
      </c>
      <c r="P422" s="424">
        <f>IF(OR(P$419&lt;$C422,P$419&lt;$H$2),0,MIN($E422-SUM($G422:O422),$F422))</f>
        <v>0</v>
      </c>
      <c r="Q422" s="424">
        <f>IF(OR(Q$419&lt;$C422,Q$419&lt;$H$2),0,MIN($E422-SUM($G422:P422),$F422))</f>
        <v>0</v>
      </c>
      <c r="R422" s="424">
        <f>IF(OR(R$419&lt;$C422,R$419&lt;$H$2),0,MIN($E422-SUM($G422:Q422),$F422))</f>
        <v>0</v>
      </c>
      <c r="S422" s="424">
        <f>IF(OR(S$419&lt;$C422,S$419&lt;$H$2),0,MIN($E422-SUM($G422:R422),$F422))</f>
        <v>0</v>
      </c>
      <c r="T422" s="424">
        <f>IF(OR(T$419&lt;$C422,T$419&lt;$H$2),0,MIN($E422-SUM($G422:S422),$F422))</f>
        <v>0</v>
      </c>
      <c r="U422" s="424">
        <f>IF(OR(U$419&lt;$C422,U$419&lt;$H$2),0,MIN($E422-SUM($G422:T422),$F422))</f>
        <v>0</v>
      </c>
      <c r="V422" s="424">
        <f>IF(OR(V$419&lt;$C422,V$419&lt;$H$2),0,MIN($E422-SUM($G422:U422),$F422))</f>
        <v>0</v>
      </c>
      <c r="W422" s="424">
        <f>IF(OR(W$419&lt;$C422,W$419&lt;$H$2),0,MIN($E422-SUM($G422:V422),$F422))</f>
        <v>0</v>
      </c>
      <c r="X422" s="424">
        <f>IF(OR(X$419&lt;$C422,X$419&lt;$H$2),0,MIN($E422-SUM($G422:W422),$F422))</f>
        <v>0</v>
      </c>
      <c r="Y422" s="424">
        <f>IF(OR(Y$419&lt;$C422,Y$419&lt;$H$2),0,MIN($E422-SUM($G422:X422),$F422))</f>
        <v>0</v>
      </c>
      <c r="Z422" s="424">
        <f>IF(OR(Z$419&lt;$C422,Z$419&lt;$H$2),0,MIN($E422-SUM($G422:Y422),$F422))</f>
        <v>0</v>
      </c>
      <c r="AA422" s="424">
        <f>IF(OR(AA$419&lt;$C422,AA$419&lt;$H$2),0,MIN($E422-SUM($G422:Z422),$F422))</f>
        <v>0</v>
      </c>
      <c r="AB422" s="424">
        <f>IF(OR(AB$419&lt;$C422,AB$419&lt;$H$2),0,MIN($E422-SUM($G422:AA422),$F422))</f>
        <v>0</v>
      </c>
      <c r="AC422" s="424">
        <f>IF(OR(AC$419&lt;$C422,AC$419&lt;$H$2),0,MIN($E422-SUM($G422:AB422),$F422))</f>
        <v>0</v>
      </c>
      <c r="AD422" s="424">
        <f>IF(OR(AD$419&lt;$C422,AD$419&lt;$H$2),0,MIN($E422-SUM($G422:AC422),$F422))</f>
        <v>0</v>
      </c>
    </row>
    <row r="423" spans="3:30">
      <c r="C423" s="201">
        <v>46389</v>
      </c>
      <c r="D423" s="94" t="s">
        <v>134</v>
      </c>
      <c r="E423" s="424">
        <f t="shared" si="154"/>
        <v>0</v>
      </c>
      <c r="F423" s="209">
        <f t="shared" ref="F423:F444" si="155">E423*$F$89</f>
        <v>0</v>
      </c>
      <c r="H423" s="424">
        <f>IF(OR(H$419&lt;$C423,H$419&lt;$H$2),0,MIN($E423-SUM($G423:G423),$F423))</f>
        <v>0</v>
      </c>
      <c r="I423" s="424">
        <f>IF(OR(I$419&lt;$C423,I$419&lt;$H$2),0,MIN($E423-SUM($G423:H423),$F423))</f>
        <v>0</v>
      </c>
      <c r="J423" s="424">
        <f>IF(OR(J$419&lt;$C423,J$419&lt;$H$2),0,MIN($E423-SUM($G423:I423),$F423))</f>
        <v>0</v>
      </c>
      <c r="K423" s="424">
        <f>IF(OR(K$419&lt;$C423,K$419&lt;$H$2),0,MIN($E423-SUM($G423:J423),$F423))</f>
        <v>0</v>
      </c>
      <c r="L423" s="424">
        <f>IF(OR(L$419&lt;$C423,L$419&lt;$H$2),0,MIN($E423-SUM($G423:K423),$F423))</f>
        <v>0</v>
      </c>
      <c r="M423" s="424">
        <f>IF(OR(M$419&lt;$C423,M$419&lt;$H$2),0,MIN($E423-SUM($G423:L423),$F423))</f>
        <v>0</v>
      </c>
      <c r="N423" s="424">
        <f>IF(OR(N$419&lt;$C423,N$419&lt;$H$2),0,MIN($E423-SUM($G423:M423),$F423))</f>
        <v>0</v>
      </c>
      <c r="O423" s="424">
        <f>IF(OR(O$419&lt;$C423,O$419&lt;$H$2),0,MIN($E423-SUM($G423:N423),$F423))</f>
        <v>0</v>
      </c>
      <c r="P423" s="424">
        <f>IF(OR(P$419&lt;$C423,P$419&lt;$H$2),0,MIN($E423-SUM($G423:O423),$F423))</f>
        <v>0</v>
      </c>
      <c r="Q423" s="424">
        <f>IF(OR(Q$419&lt;$C423,Q$419&lt;$H$2),0,MIN($E423-SUM($G423:P423),$F423))</f>
        <v>0</v>
      </c>
      <c r="R423" s="424">
        <f>IF(OR(R$419&lt;$C423,R$419&lt;$H$2),0,MIN($E423-SUM($G423:Q423),$F423))</f>
        <v>0</v>
      </c>
      <c r="S423" s="424">
        <f>IF(OR(S$419&lt;$C423,S$419&lt;$H$2),0,MIN($E423-SUM($G423:R423),$F423))</f>
        <v>0</v>
      </c>
      <c r="T423" s="424">
        <f>IF(OR(T$419&lt;$C423,T$419&lt;$H$2),0,MIN($E423-SUM($G423:S423),$F423))</f>
        <v>0</v>
      </c>
      <c r="U423" s="424">
        <f>IF(OR(U$419&lt;$C423,U$419&lt;$H$2),0,MIN($E423-SUM($G423:T423),$F423))</f>
        <v>0</v>
      </c>
      <c r="V423" s="424">
        <f>IF(OR(V$419&lt;$C423,V$419&lt;$H$2),0,MIN($E423-SUM($G423:U423),$F423))</f>
        <v>0</v>
      </c>
      <c r="W423" s="424">
        <f>IF(OR(W$419&lt;$C423,W$419&lt;$H$2),0,MIN($E423-SUM($G423:V423),$F423))</f>
        <v>0</v>
      </c>
      <c r="X423" s="424">
        <f>IF(OR(X$419&lt;$C423,X$419&lt;$H$2),0,MIN($E423-SUM($G423:W423),$F423))</f>
        <v>0</v>
      </c>
      <c r="Y423" s="424">
        <f>IF(OR(Y$419&lt;$C423,Y$419&lt;$H$2),0,MIN($E423-SUM($G423:X423),$F423))</f>
        <v>0</v>
      </c>
      <c r="Z423" s="424">
        <f>IF(OR(Z$419&lt;$C423,Z$419&lt;$H$2),0,MIN($E423-SUM($G423:Y423),$F423))</f>
        <v>0</v>
      </c>
      <c r="AA423" s="424">
        <f>IF(OR(AA$419&lt;$C423,AA$419&lt;$H$2),0,MIN($E423-SUM($G423:Z423),$F423))</f>
        <v>0</v>
      </c>
      <c r="AB423" s="424">
        <f>IF(OR(AB$419&lt;$C423,AB$419&lt;$H$2),0,MIN($E423-SUM($G423:AA423),$F423))</f>
        <v>0</v>
      </c>
      <c r="AC423" s="424">
        <f>IF(OR(AC$419&lt;$C423,AC$419&lt;$H$2),0,MIN($E423-SUM($G423:AB423),$F423))</f>
        <v>0</v>
      </c>
      <c r="AD423" s="424">
        <f>IF(OR(AD$419&lt;$C423,AD$419&lt;$H$2),0,MIN($E423-SUM($G423:AC423),$F423))</f>
        <v>0</v>
      </c>
    </row>
    <row r="424" spans="3:30">
      <c r="C424" s="201">
        <v>46755</v>
      </c>
      <c r="D424" s="94" t="s">
        <v>134</v>
      </c>
      <c r="E424" s="424">
        <f t="shared" si="154"/>
        <v>0</v>
      </c>
      <c r="F424" s="209">
        <f t="shared" si="155"/>
        <v>0</v>
      </c>
      <c r="H424" s="424">
        <f>IF(OR(H$419&lt;$C424,H$419&lt;$H$2),0,MIN($E424-SUM($G424:G424),$F424))</f>
        <v>0</v>
      </c>
      <c r="I424" s="424">
        <f>IF(OR(I$419&lt;$C424,I$419&lt;$H$2),0,MIN($E424-SUM($G424:H424),$F424))</f>
        <v>0</v>
      </c>
      <c r="J424" s="424">
        <f>IF(OR(J$419&lt;$C424,J$419&lt;$H$2),0,MIN($E424-SUM($G424:I424),$F424))</f>
        <v>0</v>
      </c>
      <c r="K424" s="424">
        <f>IF(OR(K$419&lt;$C424,K$419&lt;$H$2),0,MIN($E424-SUM($G424:J424),$F424))</f>
        <v>0</v>
      </c>
      <c r="L424" s="424">
        <f>IF(OR(L$419&lt;$C424,L$419&lt;$H$2),0,MIN($E424-SUM($G424:K424),$F424))</f>
        <v>0</v>
      </c>
      <c r="M424" s="424">
        <f>IF(OR(M$419&lt;$C424,M$419&lt;$H$2),0,MIN($E424-SUM($G424:L424),$F424))</f>
        <v>0</v>
      </c>
      <c r="N424" s="424">
        <f>IF(OR(N$419&lt;$C424,N$419&lt;$H$2),0,MIN($E424-SUM($G424:M424),$F424))</f>
        <v>0</v>
      </c>
      <c r="O424" s="424">
        <f>IF(OR(O$419&lt;$C424,O$419&lt;$H$2),0,MIN($E424-SUM($G424:N424),$F424))</f>
        <v>0</v>
      </c>
      <c r="P424" s="424">
        <f>IF(OR(P$419&lt;$C424,P$419&lt;$H$2),0,MIN($E424-SUM($G424:O424),$F424))</f>
        <v>0</v>
      </c>
      <c r="Q424" s="424">
        <f>IF(OR(Q$419&lt;$C424,Q$419&lt;$H$2),0,MIN($E424-SUM($G424:P424),$F424))</f>
        <v>0</v>
      </c>
      <c r="R424" s="424">
        <f>IF(OR(R$419&lt;$C424,R$419&lt;$H$2),0,MIN($E424-SUM($G424:Q424),$F424))</f>
        <v>0</v>
      </c>
      <c r="S424" s="424">
        <f>IF(OR(S$419&lt;$C424,S$419&lt;$H$2),0,MIN($E424-SUM($G424:R424),$F424))</f>
        <v>0</v>
      </c>
      <c r="T424" s="424">
        <f>IF(OR(T$419&lt;$C424,T$419&lt;$H$2),0,MIN($E424-SUM($G424:S424),$F424))</f>
        <v>0</v>
      </c>
      <c r="U424" s="424">
        <f>IF(OR(U$419&lt;$C424,U$419&lt;$H$2),0,MIN($E424-SUM($G424:T424),$F424))</f>
        <v>0</v>
      </c>
      <c r="V424" s="424">
        <f>IF(OR(V$419&lt;$C424,V$419&lt;$H$2),0,MIN($E424-SUM($G424:U424),$F424))</f>
        <v>0</v>
      </c>
      <c r="W424" s="424">
        <f>IF(OR(W$419&lt;$C424,W$419&lt;$H$2),0,MIN($E424-SUM($G424:V424),$F424))</f>
        <v>0</v>
      </c>
      <c r="X424" s="424">
        <f>IF(OR(X$419&lt;$C424,X$419&lt;$H$2),0,MIN($E424-SUM($G424:W424),$F424))</f>
        <v>0</v>
      </c>
      <c r="Y424" s="424">
        <f>IF(OR(Y$419&lt;$C424,Y$419&lt;$H$2),0,MIN($E424-SUM($G424:X424),$F424))</f>
        <v>0</v>
      </c>
      <c r="Z424" s="424">
        <f>IF(OR(Z$419&lt;$C424,Z$419&lt;$H$2),0,MIN($E424-SUM($G424:Y424),$F424))</f>
        <v>0</v>
      </c>
      <c r="AA424" s="424">
        <f>IF(OR(AA$419&lt;$C424,AA$419&lt;$H$2),0,MIN($E424-SUM($G424:Z424),$F424))</f>
        <v>0</v>
      </c>
      <c r="AB424" s="424">
        <f>IF(OR(AB$419&lt;$C424,AB$419&lt;$H$2),0,MIN($E424-SUM($G424:AA424),$F424))</f>
        <v>0</v>
      </c>
      <c r="AC424" s="424">
        <f>IF(OR(AC$419&lt;$C424,AC$419&lt;$H$2),0,MIN($E424-SUM($G424:AB424),$F424))</f>
        <v>0</v>
      </c>
      <c r="AD424" s="424">
        <f>IF(OR(AD$419&lt;$C424,AD$419&lt;$H$2),0,MIN($E424-SUM($G424:AC424),$F424))</f>
        <v>0</v>
      </c>
    </row>
    <row r="425" spans="3:30">
      <c r="C425" s="201">
        <v>47121</v>
      </c>
      <c r="D425" s="94" t="s">
        <v>134</v>
      </c>
      <c r="E425" s="424">
        <f t="shared" si="154"/>
        <v>8.5875000000000004</v>
      </c>
      <c r="F425" s="209">
        <f t="shared" si="155"/>
        <v>0.42937500000000006</v>
      </c>
      <c r="H425" s="424">
        <f>IF(OR(H$419&lt;$C425,H$419&lt;$H$2),0,MIN($E425-SUM($G425:G425),$F425))</f>
        <v>0</v>
      </c>
      <c r="I425" s="424">
        <f>IF(OR(I$419&lt;$C425,I$419&lt;$H$2),0,MIN($E425-SUM($G425:H425),$F425))</f>
        <v>0</v>
      </c>
      <c r="J425" s="424">
        <f>IF(OR(J$419&lt;$C425,J$419&lt;$H$2),0,MIN($E425-SUM($G425:I425),$F425))</f>
        <v>0</v>
      </c>
      <c r="K425" s="424">
        <f>IF(OR(K$419&lt;$C425,K$419&lt;$H$2),0,MIN($E425-SUM($G425:J425),$F425))</f>
        <v>0.42937500000000006</v>
      </c>
      <c r="L425" s="424">
        <f>IF(OR(L$419&lt;$C425,L$419&lt;$H$2),0,MIN($E425-SUM($G425:K425),$F425))</f>
        <v>0.42937500000000006</v>
      </c>
      <c r="M425" s="424">
        <f>IF(OR(M$419&lt;$C425,M$419&lt;$H$2),0,MIN($E425-SUM($G425:L425),$F425))</f>
        <v>0.42937500000000006</v>
      </c>
      <c r="N425" s="424">
        <f>IF(OR(N$419&lt;$C425,N$419&lt;$H$2),0,MIN($E425-SUM($G425:M425),$F425))</f>
        <v>0.42937500000000006</v>
      </c>
      <c r="O425" s="424">
        <f>IF(OR(O$419&lt;$C425,O$419&lt;$H$2),0,MIN($E425-SUM($G425:N425),$F425))</f>
        <v>0.42937500000000006</v>
      </c>
      <c r="P425" s="424">
        <f>IF(OR(P$419&lt;$C425,P$419&lt;$H$2),0,MIN($E425-SUM($G425:O425),$F425))</f>
        <v>0.42937500000000006</v>
      </c>
      <c r="Q425" s="424">
        <f>IF(OR(Q$419&lt;$C425,Q$419&lt;$H$2),0,MIN($E425-SUM($G425:P425),$F425))</f>
        <v>0.42937500000000006</v>
      </c>
      <c r="R425" s="424">
        <f>IF(OR(R$419&lt;$C425,R$419&lt;$H$2),0,MIN($E425-SUM($G425:Q425),$F425))</f>
        <v>0.42937500000000006</v>
      </c>
      <c r="S425" s="424">
        <f>IF(OR(S$419&lt;$C425,S$419&lt;$H$2),0,MIN($E425-SUM($G425:R425),$F425))</f>
        <v>0.42937500000000006</v>
      </c>
      <c r="T425" s="424">
        <f>IF(OR(T$419&lt;$C425,T$419&lt;$H$2),0,MIN($E425-SUM($G425:S425),$F425))</f>
        <v>0.42937500000000006</v>
      </c>
      <c r="U425" s="424">
        <f>IF(OR(U$419&lt;$C425,U$419&lt;$H$2),0,MIN($E425-SUM($G425:T425),$F425))</f>
        <v>0.42937500000000006</v>
      </c>
      <c r="V425" s="424">
        <f>IF(OR(V$419&lt;$C425,V$419&lt;$H$2),0,MIN($E425-SUM($G425:U425),$F425))</f>
        <v>0.42937500000000006</v>
      </c>
      <c r="W425" s="424">
        <f>IF(OR(W$419&lt;$C425,W$419&lt;$H$2),0,MIN($E425-SUM($G425:V425),$F425))</f>
        <v>0.42937500000000006</v>
      </c>
      <c r="X425" s="424">
        <f>IF(OR(X$419&lt;$C425,X$419&lt;$H$2),0,MIN($E425-SUM($G425:W425),$F425))</f>
        <v>0.42937500000000006</v>
      </c>
      <c r="Y425" s="424">
        <f>IF(OR(Y$419&lt;$C425,Y$419&lt;$H$2),0,MIN($E425-SUM($G425:X425),$F425))</f>
        <v>0.42937500000000006</v>
      </c>
      <c r="Z425" s="424">
        <f>IF(OR(Z$419&lt;$C425,Z$419&lt;$H$2),0,MIN($E425-SUM($G425:Y425),$F425))</f>
        <v>0.42937500000000006</v>
      </c>
      <c r="AA425" s="424">
        <f>IF(OR(AA$419&lt;$C425,AA$419&lt;$H$2),0,MIN($E425-SUM($G425:Z425),$F425))</f>
        <v>0.42937500000000006</v>
      </c>
      <c r="AB425" s="424">
        <f>IF(OR(AB$419&lt;$C425,AB$419&lt;$H$2),0,MIN($E425-SUM($G425:AA425),$F425))</f>
        <v>0.42937500000000006</v>
      </c>
      <c r="AC425" s="424">
        <f>IF(OR(AC$419&lt;$C425,AC$419&lt;$H$2),0,MIN($E425-SUM($G425:AB425),$F425))</f>
        <v>0.42937500000000006</v>
      </c>
      <c r="AD425" s="424">
        <f>IF(OR(AD$419&lt;$C425,AD$419&lt;$H$2),0,MIN($E425-SUM($G425:AC425),$F425))</f>
        <v>0.42937499999999673</v>
      </c>
    </row>
    <row r="426" spans="3:30">
      <c r="C426" s="201">
        <v>47487</v>
      </c>
      <c r="D426" s="94" t="s">
        <v>134</v>
      </c>
      <c r="E426" s="424">
        <f t="shared" si="154"/>
        <v>13.740000000000002</v>
      </c>
      <c r="F426" s="209">
        <f t="shared" si="155"/>
        <v>0.68700000000000017</v>
      </c>
      <c r="H426" s="424">
        <f>IF(OR(H$419&lt;$C426,H$419&lt;$H$2),0,MIN($E426-SUM($G426:G426),$F426))</f>
        <v>0</v>
      </c>
      <c r="I426" s="424">
        <f>IF(OR(I$419&lt;$C426,I$419&lt;$H$2),0,MIN($E426-SUM($G426:H426),$F426))</f>
        <v>0</v>
      </c>
      <c r="J426" s="424">
        <f>IF(OR(J$419&lt;$C426,J$419&lt;$H$2),0,MIN($E426-SUM($G426:I426),$F426))</f>
        <v>0</v>
      </c>
      <c r="K426" s="424">
        <f>IF(OR(K$419&lt;$C426,K$419&lt;$H$2),0,MIN($E426-SUM($G426:J426),$F426))</f>
        <v>0</v>
      </c>
      <c r="L426" s="424">
        <f>IF(OR(L$419&lt;$C426,L$419&lt;$H$2),0,MIN($E426-SUM($G426:K426),$F426))</f>
        <v>0.68700000000000017</v>
      </c>
      <c r="M426" s="424">
        <f>IF(OR(M$419&lt;$C426,M$419&lt;$H$2),0,MIN($E426-SUM($G426:L426),$F426))</f>
        <v>0.68700000000000017</v>
      </c>
      <c r="N426" s="424">
        <f>IF(OR(N$419&lt;$C426,N$419&lt;$H$2),0,MIN($E426-SUM($G426:M426),$F426))</f>
        <v>0.68700000000000017</v>
      </c>
      <c r="O426" s="424">
        <f>IF(OR(O$419&lt;$C426,O$419&lt;$H$2),0,MIN($E426-SUM($G426:N426),$F426))</f>
        <v>0.68700000000000017</v>
      </c>
      <c r="P426" s="424">
        <f>IF(OR(P$419&lt;$C426,P$419&lt;$H$2),0,MIN($E426-SUM($G426:O426),$F426))</f>
        <v>0.68700000000000017</v>
      </c>
      <c r="Q426" s="424">
        <f>IF(OR(Q$419&lt;$C426,Q$419&lt;$H$2),0,MIN($E426-SUM($G426:P426),$F426))</f>
        <v>0.68700000000000017</v>
      </c>
      <c r="R426" s="424">
        <f>IF(OR(R$419&lt;$C426,R$419&lt;$H$2),0,MIN($E426-SUM($G426:Q426),$F426))</f>
        <v>0.68700000000000017</v>
      </c>
      <c r="S426" s="424">
        <f>IF(OR(S$419&lt;$C426,S$419&lt;$H$2),0,MIN($E426-SUM($G426:R426),$F426))</f>
        <v>0.68700000000000017</v>
      </c>
      <c r="T426" s="424">
        <f>IF(OR(T$419&lt;$C426,T$419&lt;$H$2),0,MIN($E426-SUM($G426:S426),$F426))</f>
        <v>0.68700000000000017</v>
      </c>
      <c r="U426" s="424">
        <f>IF(OR(U$419&lt;$C426,U$419&lt;$H$2),0,MIN($E426-SUM($G426:T426),$F426))</f>
        <v>0.68700000000000017</v>
      </c>
      <c r="V426" s="424">
        <f>IF(OR(V$419&lt;$C426,V$419&lt;$H$2),0,MIN($E426-SUM($G426:U426),$F426))</f>
        <v>0.68700000000000017</v>
      </c>
      <c r="W426" s="424">
        <f>IF(OR(W$419&lt;$C426,W$419&lt;$H$2),0,MIN($E426-SUM($G426:V426),$F426))</f>
        <v>0.68700000000000017</v>
      </c>
      <c r="X426" s="424">
        <f>IF(OR(X$419&lt;$C426,X$419&lt;$H$2),0,MIN($E426-SUM($G426:W426),$F426))</f>
        <v>0.68700000000000017</v>
      </c>
      <c r="Y426" s="424">
        <f>IF(OR(Y$419&lt;$C426,Y$419&lt;$H$2),0,MIN($E426-SUM($G426:X426),$F426))</f>
        <v>0.68700000000000017</v>
      </c>
      <c r="Z426" s="424">
        <f>IF(OR(Z$419&lt;$C426,Z$419&lt;$H$2),0,MIN($E426-SUM($G426:Y426),$F426))</f>
        <v>0.68700000000000017</v>
      </c>
      <c r="AA426" s="424">
        <f>IF(OR(AA$419&lt;$C426,AA$419&lt;$H$2),0,MIN($E426-SUM($G426:Z426),$F426))</f>
        <v>0.68700000000000017</v>
      </c>
      <c r="AB426" s="424">
        <f>IF(OR(AB$419&lt;$C426,AB$419&lt;$H$2),0,MIN($E426-SUM($G426:AA426),$F426))</f>
        <v>0.68700000000000017</v>
      </c>
      <c r="AC426" s="424">
        <f>IF(OR(AC$419&lt;$C426,AC$419&lt;$H$2),0,MIN($E426-SUM($G426:AB426),$F426))</f>
        <v>0.68700000000000017</v>
      </c>
      <c r="AD426" s="424">
        <f>IF(OR(AD$419&lt;$C426,AD$419&lt;$H$2),0,MIN($E426-SUM($G426:AC426),$F426))</f>
        <v>0.68700000000000017</v>
      </c>
    </row>
    <row r="427" spans="3:30">
      <c r="C427" s="201">
        <v>47853</v>
      </c>
      <c r="D427" s="94" t="s">
        <v>134</v>
      </c>
      <c r="E427" s="424">
        <f t="shared" si="154"/>
        <v>8.5875000000000004</v>
      </c>
      <c r="F427" s="209">
        <f t="shared" si="155"/>
        <v>0.42937500000000006</v>
      </c>
      <c r="H427" s="424">
        <f>IF(OR(H$419&lt;$C427,H$419&lt;$H$2),0,MIN($E427-SUM($G427:G427),$F427))</f>
        <v>0</v>
      </c>
      <c r="I427" s="424">
        <f>IF(OR(I$419&lt;$C427,I$419&lt;$H$2),0,MIN($E427-SUM($G427:H427),$F427))</f>
        <v>0</v>
      </c>
      <c r="J427" s="424">
        <f>IF(OR(J$419&lt;$C427,J$419&lt;$H$2),0,MIN($E427-SUM($G427:I427),$F427))</f>
        <v>0</v>
      </c>
      <c r="K427" s="424">
        <f>IF(OR(K$419&lt;$C427,K$419&lt;$H$2),0,MIN($E427-SUM($G427:J427),$F427))</f>
        <v>0</v>
      </c>
      <c r="L427" s="424">
        <f>IF(OR(L$419&lt;$C427,L$419&lt;$H$2),0,MIN($E427-SUM($G427:K427),$F427))</f>
        <v>0</v>
      </c>
      <c r="M427" s="424">
        <f>IF(OR(M$419&lt;$C427,M$419&lt;$H$2),0,MIN($E427-SUM($G427:L427),$F427))</f>
        <v>0.42937500000000006</v>
      </c>
      <c r="N427" s="424">
        <f>IF(OR(N$419&lt;$C427,N$419&lt;$H$2),0,MIN($E427-SUM($G427:M427),$F427))</f>
        <v>0.42937500000000006</v>
      </c>
      <c r="O427" s="424">
        <f>IF(OR(O$419&lt;$C427,O$419&lt;$H$2),0,MIN($E427-SUM($G427:N427),$F427))</f>
        <v>0.42937500000000006</v>
      </c>
      <c r="P427" s="424">
        <f>IF(OR(P$419&lt;$C427,P$419&lt;$H$2),0,MIN($E427-SUM($G427:O427),$F427))</f>
        <v>0.42937500000000006</v>
      </c>
      <c r="Q427" s="424">
        <f>IF(OR(Q$419&lt;$C427,Q$419&lt;$H$2),0,MIN($E427-SUM($G427:P427),$F427))</f>
        <v>0.42937500000000006</v>
      </c>
      <c r="R427" s="424">
        <f>IF(OR(R$419&lt;$C427,R$419&lt;$H$2),0,MIN($E427-SUM($G427:Q427),$F427))</f>
        <v>0.42937500000000006</v>
      </c>
      <c r="S427" s="424">
        <f>IF(OR(S$419&lt;$C427,S$419&lt;$H$2),0,MIN($E427-SUM($G427:R427),$F427))</f>
        <v>0.42937500000000006</v>
      </c>
      <c r="T427" s="424">
        <f>IF(OR(T$419&lt;$C427,T$419&lt;$H$2),0,MIN($E427-SUM($G427:S427),$F427))</f>
        <v>0.42937500000000006</v>
      </c>
      <c r="U427" s="424">
        <f>IF(OR(U$419&lt;$C427,U$419&lt;$H$2),0,MIN($E427-SUM($G427:T427),$F427))</f>
        <v>0.42937500000000006</v>
      </c>
      <c r="V427" s="424">
        <f>IF(OR(V$419&lt;$C427,V$419&lt;$H$2),0,MIN($E427-SUM($G427:U427),$F427))</f>
        <v>0.42937500000000006</v>
      </c>
      <c r="W427" s="424">
        <f>IF(OR(W$419&lt;$C427,W$419&lt;$H$2),0,MIN($E427-SUM($G427:V427),$F427))</f>
        <v>0.42937500000000006</v>
      </c>
      <c r="X427" s="424">
        <f>IF(OR(X$419&lt;$C427,X$419&lt;$H$2),0,MIN($E427-SUM($G427:W427),$F427))</f>
        <v>0.42937500000000006</v>
      </c>
      <c r="Y427" s="424">
        <f>IF(OR(Y$419&lt;$C427,Y$419&lt;$H$2),0,MIN($E427-SUM($G427:X427),$F427))</f>
        <v>0.42937500000000006</v>
      </c>
      <c r="Z427" s="424">
        <f>IF(OR(Z$419&lt;$C427,Z$419&lt;$H$2),0,MIN($E427-SUM($G427:Y427),$F427))</f>
        <v>0.42937500000000006</v>
      </c>
      <c r="AA427" s="424">
        <f>IF(OR(AA$419&lt;$C427,AA$419&lt;$H$2),0,MIN($E427-SUM($G427:Z427),$F427))</f>
        <v>0.42937500000000006</v>
      </c>
      <c r="AB427" s="424">
        <f>IF(OR(AB$419&lt;$C427,AB$419&lt;$H$2),0,MIN($E427-SUM($G427:AA427),$F427))</f>
        <v>0.42937500000000006</v>
      </c>
      <c r="AC427" s="424">
        <f>IF(OR(AC$419&lt;$C427,AC$419&lt;$H$2),0,MIN($E427-SUM($G427:AB427),$F427))</f>
        <v>0.42937500000000006</v>
      </c>
      <c r="AD427" s="424">
        <f>IF(OR(AD$419&lt;$C427,AD$419&lt;$H$2),0,MIN($E427-SUM($G427:AC427),$F427))</f>
        <v>0.42937500000000006</v>
      </c>
    </row>
    <row r="428" spans="3:30">
      <c r="C428" s="201">
        <v>48219</v>
      </c>
      <c r="D428" s="94" t="s">
        <v>134</v>
      </c>
      <c r="E428" s="424">
        <f t="shared" si="154"/>
        <v>3.4350000000000005</v>
      </c>
      <c r="F428" s="209">
        <f t="shared" si="155"/>
        <v>0.17175000000000004</v>
      </c>
      <c r="H428" s="424">
        <f>IF(OR(H$419&lt;$C428,H$419&lt;$H$2),0,MIN($E428-SUM($G428:G428),$F428))</f>
        <v>0</v>
      </c>
      <c r="I428" s="424">
        <f>IF(OR(I$419&lt;$C428,I$419&lt;$H$2),0,MIN($E428-SUM($G428:H428),$F428))</f>
        <v>0</v>
      </c>
      <c r="J428" s="424">
        <f>IF(OR(J$419&lt;$C428,J$419&lt;$H$2),0,MIN($E428-SUM($G428:I428),$F428))</f>
        <v>0</v>
      </c>
      <c r="K428" s="424">
        <f>IF(OR(K$419&lt;$C428,K$419&lt;$H$2),0,MIN($E428-SUM($G428:J428),$F428))</f>
        <v>0</v>
      </c>
      <c r="L428" s="424">
        <f>IF(OR(L$419&lt;$C428,L$419&lt;$H$2),0,MIN($E428-SUM($G428:K428),$F428))</f>
        <v>0</v>
      </c>
      <c r="M428" s="424">
        <f>IF(OR(M$419&lt;$C428,M$419&lt;$H$2),0,MIN($E428-SUM($G428:L428),$F428))</f>
        <v>0</v>
      </c>
      <c r="N428" s="424">
        <f>IF(OR(N$419&lt;$C428,N$419&lt;$H$2),0,MIN($E428-SUM($G428:M428),$F428))</f>
        <v>0.17175000000000004</v>
      </c>
      <c r="O428" s="424">
        <f>IF(OR(O$419&lt;$C428,O$419&lt;$H$2),0,MIN($E428-SUM($G428:N428),$F428))</f>
        <v>0.17175000000000004</v>
      </c>
      <c r="P428" s="424">
        <f>IF(OR(P$419&lt;$C428,P$419&lt;$H$2),0,MIN($E428-SUM($G428:O428),$F428))</f>
        <v>0.17175000000000004</v>
      </c>
      <c r="Q428" s="424">
        <f>IF(OR(Q$419&lt;$C428,Q$419&lt;$H$2),0,MIN($E428-SUM($G428:P428),$F428))</f>
        <v>0.17175000000000004</v>
      </c>
      <c r="R428" s="424">
        <f>IF(OR(R$419&lt;$C428,R$419&lt;$H$2),0,MIN($E428-SUM($G428:Q428),$F428))</f>
        <v>0.17175000000000004</v>
      </c>
      <c r="S428" s="424">
        <f>IF(OR(S$419&lt;$C428,S$419&lt;$H$2),0,MIN($E428-SUM($G428:R428),$F428))</f>
        <v>0.17175000000000004</v>
      </c>
      <c r="T428" s="424">
        <f>IF(OR(T$419&lt;$C428,T$419&lt;$H$2),0,MIN($E428-SUM($G428:S428),$F428))</f>
        <v>0.17175000000000004</v>
      </c>
      <c r="U428" s="424">
        <f>IF(OR(U$419&lt;$C428,U$419&lt;$H$2),0,MIN($E428-SUM($G428:T428),$F428))</f>
        <v>0.17175000000000004</v>
      </c>
      <c r="V428" s="424">
        <f>IF(OR(V$419&lt;$C428,V$419&lt;$H$2),0,MIN($E428-SUM($G428:U428),$F428))</f>
        <v>0.17175000000000004</v>
      </c>
      <c r="W428" s="424">
        <f>IF(OR(W$419&lt;$C428,W$419&lt;$H$2),0,MIN($E428-SUM($G428:V428),$F428))</f>
        <v>0.17175000000000004</v>
      </c>
      <c r="X428" s="424">
        <f>IF(OR(X$419&lt;$C428,X$419&lt;$H$2),0,MIN($E428-SUM($G428:W428),$F428))</f>
        <v>0.17175000000000004</v>
      </c>
      <c r="Y428" s="424">
        <f>IF(OR(Y$419&lt;$C428,Y$419&lt;$H$2),0,MIN($E428-SUM($G428:X428),$F428))</f>
        <v>0.17175000000000004</v>
      </c>
      <c r="Z428" s="424">
        <f>IF(OR(Z$419&lt;$C428,Z$419&lt;$H$2),0,MIN($E428-SUM($G428:Y428),$F428))</f>
        <v>0.17175000000000004</v>
      </c>
      <c r="AA428" s="424">
        <f>IF(OR(AA$419&lt;$C428,AA$419&lt;$H$2),0,MIN($E428-SUM($G428:Z428),$F428))</f>
        <v>0.17175000000000004</v>
      </c>
      <c r="AB428" s="424">
        <f>IF(OR(AB$419&lt;$C428,AB$419&lt;$H$2),0,MIN($E428-SUM($G428:AA428),$F428))</f>
        <v>0.17175000000000004</v>
      </c>
      <c r="AC428" s="424">
        <f>IF(OR(AC$419&lt;$C428,AC$419&lt;$H$2),0,MIN($E428-SUM($G428:AB428),$F428))</f>
        <v>0.17175000000000004</v>
      </c>
      <c r="AD428" s="424">
        <f>IF(OR(AD$419&lt;$C428,AD$419&lt;$H$2),0,MIN($E428-SUM($G428:AC428),$F428))</f>
        <v>0.17175000000000004</v>
      </c>
    </row>
    <row r="429" spans="3:30">
      <c r="C429" s="201">
        <v>48585</v>
      </c>
      <c r="D429" s="94" t="s">
        <v>134</v>
      </c>
      <c r="E429" s="424">
        <f t="shared" si="154"/>
        <v>0</v>
      </c>
      <c r="F429" s="209">
        <f t="shared" si="155"/>
        <v>0</v>
      </c>
      <c r="H429" s="424">
        <f>IF(OR(H$419&lt;$C429,H$419&lt;$H$2),0,MIN($E429-SUM($G429:G429),$F429))</f>
        <v>0</v>
      </c>
      <c r="I429" s="424">
        <f>IF(OR(I$419&lt;$C429,I$419&lt;$H$2),0,MIN($E429-SUM($G429:H429),$F429))</f>
        <v>0</v>
      </c>
      <c r="J429" s="424">
        <f>IF(OR(J$419&lt;$C429,J$419&lt;$H$2),0,MIN($E429-SUM($G429:I429),$F429))</f>
        <v>0</v>
      </c>
      <c r="K429" s="424">
        <f>IF(OR(K$419&lt;$C429,K$419&lt;$H$2),0,MIN($E429-SUM($G429:J429),$F429))</f>
        <v>0</v>
      </c>
      <c r="L429" s="424">
        <f>IF(OR(L$419&lt;$C429,L$419&lt;$H$2),0,MIN($E429-SUM($G429:K429),$F429))</f>
        <v>0</v>
      </c>
      <c r="M429" s="424">
        <f>IF(OR(M$419&lt;$C429,M$419&lt;$H$2),0,MIN($E429-SUM($G429:L429),$F429))</f>
        <v>0</v>
      </c>
      <c r="N429" s="424">
        <f>IF(OR(N$419&lt;$C429,N$419&lt;$H$2),0,MIN($E429-SUM($G429:M429),$F429))</f>
        <v>0</v>
      </c>
      <c r="O429" s="424">
        <f>IF(OR(O$419&lt;$C429,O$419&lt;$H$2),0,MIN($E429-SUM($G429:N429),$F429))</f>
        <v>0</v>
      </c>
      <c r="P429" s="424">
        <f>IF(OR(P$419&lt;$C429,P$419&lt;$H$2),0,MIN($E429-SUM($G429:O429),$F429))</f>
        <v>0</v>
      </c>
      <c r="Q429" s="424">
        <f>IF(OR(Q$419&lt;$C429,Q$419&lt;$H$2),0,MIN($E429-SUM($G429:P429),$F429))</f>
        <v>0</v>
      </c>
      <c r="R429" s="424">
        <f>IF(OR(R$419&lt;$C429,R$419&lt;$H$2),0,MIN($E429-SUM($G429:Q429),$F429))</f>
        <v>0</v>
      </c>
      <c r="S429" s="424">
        <f>IF(OR(S$419&lt;$C429,S$419&lt;$H$2),0,MIN($E429-SUM($G429:R429),$F429))</f>
        <v>0</v>
      </c>
      <c r="T429" s="424">
        <f>IF(OR(T$419&lt;$C429,T$419&lt;$H$2),0,MIN($E429-SUM($G429:S429),$F429))</f>
        <v>0</v>
      </c>
      <c r="U429" s="424">
        <f>IF(OR(U$419&lt;$C429,U$419&lt;$H$2),0,MIN($E429-SUM($G429:T429),$F429))</f>
        <v>0</v>
      </c>
      <c r="V429" s="424">
        <f>IF(OR(V$419&lt;$C429,V$419&lt;$H$2),0,MIN($E429-SUM($G429:U429),$F429))</f>
        <v>0</v>
      </c>
      <c r="W429" s="424">
        <f>IF(OR(W$419&lt;$C429,W$419&lt;$H$2),0,MIN($E429-SUM($G429:V429),$F429))</f>
        <v>0</v>
      </c>
      <c r="X429" s="424">
        <f>IF(OR(X$419&lt;$C429,X$419&lt;$H$2),0,MIN($E429-SUM($G429:W429),$F429))</f>
        <v>0</v>
      </c>
      <c r="Y429" s="424">
        <f>IF(OR(Y$419&lt;$C429,Y$419&lt;$H$2),0,MIN($E429-SUM($G429:X429),$F429))</f>
        <v>0</v>
      </c>
      <c r="Z429" s="424">
        <f>IF(OR(Z$419&lt;$C429,Z$419&lt;$H$2),0,MIN($E429-SUM($G429:Y429),$F429))</f>
        <v>0</v>
      </c>
      <c r="AA429" s="424">
        <f>IF(OR(AA$419&lt;$C429,AA$419&lt;$H$2),0,MIN($E429-SUM($G429:Z429),$F429))</f>
        <v>0</v>
      </c>
      <c r="AB429" s="424">
        <f>IF(OR(AB$419&lt;$C429,AB$419&lt;$H$2),0,MIN($E429-SUM($G429:AA429),$F429))</f>
        <v>0</v>
      </c>
      <c r="AC429" s="424">
        <f>IF(OR(AC$419&lt;$C429,AC$419&lt;$H$2),0,MIN($E429-SUM($G429:AB429),$F429))</f>
        <v>0</v>
      </c>
      <c r="AD429" s="424">
        <f>IF(OR(AD$419&lt;$C429,AD$419&lt;$H$2),0,MIN($E429-SUM($G429:AC429),$F429))</f>
        <v>0</v>
      </c>
    </row>
    <row r="430" spans="3:30">
      <c r="C430" s="201">
        <v>48951</v>
      </c>
      <c r="D430" s="94" t="s">
        <v>134</v>
      </c>
      <c r="E430" s="424">
        <f t="shared" si="154"/>
        <v>0</v>
      </c>
      <c r="F430" s="209">
        <f t="shared" si="155"/>
        <v>0</v>
      </c>
      <c r="H430" s="424">
        <f>IF(OR(H$419&lt;$C430,H$419&lt;$H$2),0,MIN($E430-SUM($G430:G430),$F430))</f>
        <v>0</v>
      </c>
      <c r="I430" s="424">
        <f>IF(OR(I$419&lt;$C430,I$419&lt;$H$2),0,MIN($E430-SUM($G430:H430),$F430))</f>
        <v>0</v>
      </c>
      <c r="J430" s="424">
        <f>IF(OR(J$419&lt;$C430,J$419&lt;$H$2),0,MIN($E430-SUM($G430:I430),$F430))</f>
        <v>0</v>
      </c>
      <c r="K430" s="424">
        <f>IF(OR(K$419&lt;$C430,K$419&lt;$H$2),0,MIN($E430-SUM($G430:J430),$F430))</f>
        <v>0</v>
      </c>
      <c r="L430" s="424">
        <f>IF(OR(L$419&lt;$C430,L$419&lt;$H$2),0,MIN($E430-SUM($G430:K430),$F430))</f>
        <v>0</v>
      </c>
      <c r="M430" s="424">
        <f>IF(OR(M$419&lt;$C430,M$419&lt;$H$2),0,MIN($E430-SUM($G430:L430),$F430))</f>
        <v>0</v>
      </c>
      <c r="N430" s="424">
        <f>IF(OR(N$419&lt;$C430,N$419&lt;$H$2),0,MIN($E430-SUM($G430:M430),$F430))</f>
        <v>0</v>
      </c>
      <c r="O430" s="424">
        <f>IF(OR(O$419&lt;$C430,O$419&lt;$H$2),0,MIN($E430-SUM($G430:N430),$F430))</f>
        <v>0</v>
      </c>
      <c r="P430" s="424">
        <f>IF(OR(P$419&lt;$C430,P$419&lt;$H$2),0,MIN($E430-SUM($G430:O430),$F430))</f>
        <v>0</v>
      </c>
      <c r="Q430" s="424">
        <f>IF(OR(Q$419&lt;$C430,Q$419&lt;$H$2),0,MIN($E430-SUM($G430:P430),$F430))</f>
        <v>0</v>
      </c>
      <c r="R430" s="424">
        <f>IF(OR(R$419&lt;$C430,R$419&lt;$H$2),0,MIN($E430-SUM($G430:Q430),$F430))</f>
        <v>0</v>
      </c>
      <c r="S430" s="424">
        <f>IF(OR(S$419&lt;$C430,S$419&lt;$H$2),0,MIN($E430-SUM($G430:R430),$F430))</f>
        <v>0</v>
      </c>
      <c r="T430" s="424">
        <f>IF(OR(T$419&lt;$C430,T$419&lt;$H$2),0,MIN($E430-SUM($G430:S430),$F430))</f>
        <v>0</v>
      </c>
      <c r="U430" s="424">
        <f>IF(OR(U$419&lt;$C430,U$419&lt;$H$2),0,MIN($E430-SUM($G430:T430),$F430))</f>
        <v>0</v>
      </c>
      <c r="V430" s="424">
        <f>IF(OR(V$419&lt;$C430,V$419&lt;$H$2),0,MIN($E430-SUM($G430:U430),$F430))</f>
        <v>0</v>
      </c>
      <c r="W430" s="424">
        <f>IF(OR(W$419&lt;$C430,W$419&lt;$H$2),0,MIN($E430-SUM($G430:V430),$F430))</f>
        <v>0</v>
      </c>
      <c r="X430" s="424">
        <f>IF(OR(X$419&lt;$C430,X$419&lt;$H$2),0,MIN($E430-SUM($G430:W430),$F430))</f>
        <v>0</v>
      </c>
      <c r="Y430" s="424">
        <f>IF(OR(Y$419&lt;$C430,Y$419&lt;$H$2),0,MIN($E430-SUM($G430:X430),$F430))</f>
        <v>0</v>
      </c>
      <c r="Z430" s="424">
        <f>IF(OR(Z$419&lt;$C430,Z$419&lt;$H$2),0,MIN($E430-SUM($G430:Y430),$F430))</f>
        <v>0</v>
      </c>
      <c r="AA430" s="424">
        <f>IF(OR(AA$419&lt;$C430,AA$419&lt;$H$2),0,MIN($E430-SUM($G430:Z430),$F430))</f>
        <v>0</v>
      </c>
      <c r="AB430" s="424">
        <f>IF(OR(AB$419&lt;$C430,AB$419&lt;$H$2),0,MIN($E430-SUM($G430:AA430),$F430))</f>
        <v>0</v>
      </c>
      <c r="AC430" s="424">
        <f>IF(OR(AC$419&lt;$C430,AC$419&lt;$H$2),0,MIN($E430-SUM($G430:AB430),$F430))</f>
        <v>0</v>
      </c>
      <c r="AD430" s="424">
        <f>IF(OR(AD$419&lt;$C430,AD$419&lt;$H$2),0,MIN($E430-SUM($G430:AC430),$F430))</f>
        <v>0</v>
      </c>
    </row>
    <row r="431" spans="3:30">
      <c r="C431" s="201">
        <v>49317</v>
      </c>
      <c r="D431" s="94" t="s">
        <v>134</v>
      </c>
      <c r="E431" s="424">
        <f t="shared" si="154"/>
        <v>0</v>
      </c>
      <c r="F431" s="209">
        <f t="shared" si="155"/>
        <v>0</v>
      </c>
      <c r="H431" s="424">
        <f>IF(OR(H$419&lt;$C431,H$419&lt;$H$2),0,MIN($E431-SUM($G431:G431),$F431))</f>
        <v>0</v>
      </c>
      <c r="I431" s="424">
        <f>IF(OR(I$419&lt;$C431,I$419&lt;$H$2),0,MIN($E431-SUM($G431:H431),$F431))</f>
        <v>0</v>
      </c>
      <c r="J431" s="424">
        <f>IF(OR(J$419&lt;$C431,J$419&lt;$H$2),0,MIN($E431-SUM($G431:I431),$F431))</f>
        <v>0</v>
      </c>
      <c r="K431" s="424">
        <f>IF(OR(K$419&lt;$C431,K$419&lt;$H$2),0,MIN($E431-SUM($G431:J431),$F431))</f>
        <v>0</v>
      </c>
      <c r="L431" s="424">
        <f>IF(OR(L$419&lt;$C431,L$419&lt;$H$2),0,MIN($E431-SUM($G431:K431),$F431))</f>
        <v>0</v>
      </c>
      <c r="M431" s="424">
        <f>IF(OR(M$419&lt;$C431,M$419&lt;$H$2),0,MIN($E431-SUM($G431:L431),$F431))</f>
        <v>0</v>
      </c>
      <c r="N431" s="424">
        <f>IF(OR(N$419&lt;$C431,N$419&lt;$H$2),0,MIN($E431-SUM($G431:M431),$F431))</f>
        <v>0</v>
      </c>
      <c r="O431" s="424">
        <f>IF(OR(O$419&lt;$C431,O$419&lt;$H$2),0,MIN($E431-SUM($G431:N431),$F431))</f>
        <v>0</v>
      </c>
      <c r="P431" s="424">
        <f>IF(OR(P$419&lt;$C431,P$419&lt;$H$2),0,MIN($E431-SUM($G431:O431),$F431))</f>
        <v>0</v>
      </c>
      <c r="Q431" s="424">
        <f>IF(OR(Q$419&lt;$C431,Q$419&lt;$H$2),0,MIN($E431-SUM($G431:P431),$F431))</f>
        <v>0</v>
      </c>
      <c r="R431" s="424">
        <f>IF(OR(R$419&lt;$C431,R$419&lt;$H$2),0,MIN($E431-SUM($G431:Q431),$F431))</f>
        <v>0</v>
      </c>
      <c r="S431" s="424">
        <f>IF(OR(S$419&lt;$C431,S$419&lt;$H$2),0,MIN($E431-SUM($G431:R431),$F431))</f>
        <v>0</v>
      </c>
      <c r="T431" s="424">
        <f>IF(OR(T$419&lt;$C431,T$419&lt;$H$2),0,MIN($E431-SUM($G431:S431),$F431))</f>
        <v>0</v>
      </c>
      <c r="U431" s="424">
        <f>IF(OR(U$419&lt;$C431,U$419&lt;$H$2),0,MIN($E431-SUM($G431:T431),$F431))</f>
        <v>0</v>
      </c>
      <c r="V431" s="424">
        <f>IF(OR(V$419&lt;$C431,V$419&lt;$H$2),0,MIN($E431-SUM($G431:U431),$F431))</f>
        <v>0</v>
      </c>
      <c r="W431" s="424">
        <f>IF(OR(W$419&lt;$C431,W$419&lt;$H$2),0,MIN($E431-SUM($G431:V431),$F431))</f>
        <v>0</v>
      </c>
      <c r="X431" s="424">
        <f>IF(OR(X$419&lt;$C431,X$419&lt;$H$2),0,MIN($E431-SUM($G431:W431),$F431))</f>
        <v>0</v>
      </c>
      <c r="Y431" s="424">
        <f>IF(OR(Y$419&lt;$C431,Y$419&lt;$H$2),0,MIN($E431-SUM($G431:X431),$F431))</f>
        <v>0</v>
      </c>
      <c r="Z431" s="424">
        <f>IF(OR(Z$419&lt;$C431,Z$419&lt;$H$2),0,MIN($E431-SUM($G431:Y431),$F431))</f>
        <v>0</v>
      </c>
      <c r="AA431" s="424">
        <f>IF(OR(AA$419&lt;$C431,AA$419&lt;$H$2),0,MIN($E431-SUM($G431:Z431),$F431))</f>
        <v>0</v>
      </c>
      <c r="AB431" s="424">
        <f>IF(OR(AB$419&lt;$C431,AB$419&lt;$H$2),0,MIN($E431-SUM($G431:AA431),$F431))</f>
        <v>0</v>
      </c>
      <c r="AC431" s="424">
        <f>IF(OR(AC$419&lt;$C431,AC$419&lt;$H$2),0,MIN($E431-SUM($G431:AB431),$F431))</f>
        <v>0</v>
      </c>
      <c r="AD431" s="424">
        <f>IF(OR(AD$419&lt;$C431,AD$419&lt;$H$2),0,MIN($E431-SUM($G431:AC431),$F431))</f>
        <v>0</v>
      </c>
    </row>
    <row r="432" spans="3:30">
      <c r="C432" s="201">
        <v>49683</v>
      </c>
      <c r="D432" s="94" t="s">
        <v>134</v>
      </c>
      <c r="E432" s="424">
        <f t="shared" si="154"/>
        <v>0</v>
      </c>
      <c r="F432" s="209">
        <f t="shared" si="155"/>
        <v>0</v>
      </c>
      <c r="H432" s="424">
        <f>IF(OR(H$419&lt;$C432,H$419&lt;$H$2),0,MIN($E432-SUM($G432:G432),$F432))</f>
        <v>0</v>
      </c>
      <c r="I432" s="424">
        <f>IF(OR(I$419&lt;$C432,I$419&lt;$H$2),0,MIN($E432-SUM($G432:H432),$F432))</f>
        <v>0</v>
      </c>
      <c r="J432" s="424">
        <f>IF(OR(J$419&lt;$C432,J$419&lt;$H$2),0,MIN($E432-SUM($G432:I432),$F432))</f>
        <v>0</v>
      </c>
      <c r="K432" s="424">
        <f>IF(OR(K$419&lt;$C432,K$419&lt;$H$2),0,MIN($E432-SUM($G432:J432),$F432))</f>
        <v>0</v>
      </c>
      <c r="L432" s="424">
        <f>IF(OR(L$419&lt;$C432,L$419&lt;$H$2),0,MIN($E432-SUM($G432:K432),$F432))</f>
        <v>0</v>
      </c>
      <c r="M432" s="424">
        <f>IF(OR(M$419&lt;$C432,M$419&lt;$H$2),0,MIN($E432-SUM($G432:L432),$F432))</f>
        <v>0</v>
      </c>
      <c r="N432" s="424">
        <f>IF(OR(N$419&lt;$C432,N$419&lt;$H$2),0,MIN($E432-SUM($G432:M432),$F432))</f>
        <v>0</v>
      </c>
      <c r="O432" s="424">
        <f>IF(OR(O$419&lt;$C432,O$419&lt;$H$2),0,MIN($E432-SUM($G432:N432),$F432))</f>
        <v>0</v>
      </c>
      <c r="P432" s="424">
        <f>IF(OR(P$419&lt;$C432,P$419&lt;$H$2),0,MIN($E432-SUM($G432:O432),$F432))</f>
        <v>0</v>
      </c>
      <c r="Q432" s="424">
        <f>IF(OR(Q$419&lt;$C432,Q$419&lt;$H$2),0,MIN($E432-SUM($G432:P432),$F432))</f>
        <v>0</v>
      </c>
      <c r="R432" s="424">
        <f>IF(OR(R$419&lt;$C432,R$419&lt;$H$2),0,MIN($E432-SUM($G432:Q432),$F432))</f>
        <v>0</v>
      </c>
      <c r="S432" s="424">
        <f>IF(OR(S$419&lt;$C432,S$419&lt;$H$2),0,MIN($E432-SUM($G432:R432),$F432))</f>
        <v>0</v>
      </c>
      <c r="T432" s="424">
        <f>IF(OR(T$419&lt;$C432,T$419&lt;$H$2),0,MIN($E432-SUM($G432:S432),$F432))</f>
        <v>0</v>
      </c>
      <c r="U432" s="424">
        <f>IF(OR(U$419&lt;$C432,U$419&lt;$H$2),0,MIN($E432-SUM($G432:T432),$F432))</f>
        <v>0</v>
      </c>
      <c r="V432" s="424">
        <f>IF(OR(V$419&lt;$C432,V$419&lt;$H$2),0,MIN($E432-SUM($G432:U432),$F432))</f>
        <v>0</v>
      </c>
      <c r="W432" s="424">
        <f>IF(OR(W$419&lt;$C432,W$419&lt;$H$2),0,MIN($E432-SUM($G432:V432),$F432))</f>
        <v>0</v>
      </c>
      <c r="X432" s="424">
        <f>IF(OR(X$419&lt;$C432,X$419&lt;$H$2),0,MIN($E432-SUM($G432:W432),$F432))</f>
        <v>0</v>
      </c>
      <c r="Y432" s="424">
        <f>IF(OR(Y$419&lt;$C432,Y$419&lt;$H$2),0,MIN($E432-SUM($G432:X432),$F432))</f>
        <v>0</v>
      </c>
      <c r="Z432" s="424">
        <f>IF(OR(Z$419&lt;$C432,Z$419&lt;$H$2),0,MIN($E432-SUM($G432:Y432),$F432))</f>
        <v>0</v>
      </c>
      <c r="AA432" s="424">
        <f>IF(OR(AA$419&lt;$C432,AA$419&lt;$H$2),0,MIN($E432-SUM($G432:Z432),$F432))</f>
        <v>0</v>
      </c>
      <c r="AB432" s="424">
        <f>IF(OR(AB$419&lt;$C432,AB$419&lt;$H$2),0,MIN($E432-SUM($G432:AA432),$F432))</f>
        <v>0</v>
      </c>
      <c r="AC432" s="424">
        <f>IF(OR(AC$419&lt;$C432,AC$419&lt;$H$2),0,MIN($E432-SUM($G432:AB432),$F432))</f>
        <v>0</v>
      </c>
      <c r="AD432" s="424">
        <f>IF(OR(AD$419&lt;$C432,AD$419&lt;$H$2),0,MIN($E432-SUM($G432:AC432),$F432))</f>
        <v>0</v>
      </c>
    </row>
    <row r="433" spans="3:30">
      <c r="C433" s="201">
        <v>50049</v>
      </c>
      <c r="D433" s="94" t="s">
        <v>134</v>
      </c>
      <c r="E433" s="424">
        <f t="shared" si="154"/>
        <v>0</v>
      </c>
      <c r="F433" s="209">
        <f t="shared" si="155"/>
        <v>0</v>
      </c>
      <c r="H433" s="424">
        <f>IF(OR(H$419&lt;$C433,H$419&lt;$H$2),0,MIN($E433-SUM($G433:G433),$F433))</f>
        <v>0</v>
      </c>
      <c r="I433" s="424">
        <f>IF(OR(I$419&lt;$C433,I$419&lt;$H$2),0,MIN($E433-SUM($G433:H433),$F433))</f>
        <v>0</v>
      </c>
      <c r="J433" s="424">
        <f>IF(OR(J$419&lt;$C433,J$419&lt;$H$2),0,MIN($E433-SUM($G433:I433),$F433))</f>
        <v>0</v>
      </c>
      <c r="K433" s="424">
        <f>IF(OR(K$419&lt;$C433,K$419&lt;$H$2),0,MIN($E433-SUM($G433:J433),$F433))</f>
        <v>0</v>
      </c>
      <c r="L433" s="424">
        <f>IF(OR(L$419&lt;$C433,L$419&lt;$H$2),0,MIN($E433-SUM($G433:K433),$F433))</f>
        <v>0</v>
      </c>
      <c r="M433" s="424">
        <f>IF(OR(M$419&lt;$C433,M$419&lt;$H$2),0,MIN($E433-SUM($G433:L433),$F433))</f>
        <v>0</v>
      </c>
      <c r="N433" s="424">
        <f>IF(OR(N$419&lt;$C433,N$419&lt;$H$2),0,MIN($E433-SUM($G433:M433),$F433))</f>
        <v>0</v>
      </c>
      <c r="O433" s="424">
        <f>IF(OR(O$419&lt;$C433,O$419&lt;$H$2),0,MIN($E433-SUM($G433:N433),$F433))</f>
        <v>0</v>
      </c>
      <c r="P433" s="424">
        <f>IF(OR(P$419&lt;$C433,P$419&lt;$H$2),0,MIN($E433-SUM($G433:O433),$F433))</f>
        <v>0</v>
      </c>
      <c r="Q433" s="424">
        <f>IF(OR(Q$419&lt;$C433,Q$419&lt;$H$2),0,MIN($E433-SUM($G433:P433),$F433))</f>
        <v>0</v>
      </c>
      <c r="R433" s="424">
        <f>IF(OR(R$419&lt;$C433,R$419&lt;$H$2),0,MIN($E433-SUM($G433:Q433),$F433))</f>
        <v>0</v>
      </c>
      <c r="S433" s="424">
        <f>IF(OR(S$419&lt;$C433,S$419&lt;$H$2),0,MIN($E433-SUM($G433:R433),$F433))</f>
        <v>0</v>
      </c>
      <c r="T433" s="424">
        <f>IF(OR(T$419&lt;$C433,T$419&lt;$H$2),0,MIN($E433-SUM($G433:S433),$F433))</f>
        <v>0</v>
      </c>
      <c r="U433" s="424">
        <f>IF(OR(U$419&lt;$C433,U$419&lt;$H$2),0,MIN($E433-SUM($G433:T433),$F433))</f>
        <v>0</v>
      </c>
      <c r="V433" s="424">
        <f>IF(OR(V$419&lt;$C433,V$419&lt;$H$2),0,MIN($E433-SUM($G433:U433),$F433))</f>
        <v>0</v>
      </c>
      <c r="W433" s="424">
        <f>IF(OR(W$419&lt;$C433,W$419&lt;$H$2),0,MIN($E433-SUM($G433:V433),$F433))</f>
        <v>0</v>
      </c>
      <c r="X433" s="424">
        <f>IF(OR(X$419&lt;$C433,X$419&lt;$H$2),0,MIN($E433-SUM($G433:W433),$F433))</f>
        <v>0</v>
      </c>
      <c r="Y433" s="424">
        <f>IF(OR(Y$419&lt;$C433,Y$419&lt;$H$2),0,MIN($E433-SUM($G433:X433),$F433))</f>
        <v>0</v>
      </c>
      <c r="Z433" s="424">
        <f>IF(OR(Z$419&lt;$C433,Z$419&lt;$H$2),0,MIN($E433-SUM($G433:Y433),$F433))</f>
        <v>0</v>
      </c>
      <c r="AA433" s="424">
        <f>IF(OR(AA$419&lt;$C433,AA$419&lt;$H$2),0,MIN($E433-SUM($G433:Z433),$F433))</f>
        <v>0</v>
      </c>
      <c r="AB433" s="424">
        <f>IF(OR(AB$419&lt;$C433,AB$419&lt;$H$2),0,MIN($E433-SUM($G433:AA433),$F433))</f>
        <v>0</v>
      </c>
      <c r="AC433" s="424">
        <f>IF(OR(AC$419&lt;$C433,AC$419&lt;$H$2),0,MIN($E433-SUM($G433:AB433),$F433))</f>
        <v>0</v>
      </c>
      <c r="AD433" s="424">
        <f>IF(OR(AD$419&lt;$C433,AD$419&lt;$H$2),0,MIN($E433-SUM($G433:AC433),$F433))</f>
        <v>0</v>
      </c>
    </row>
    <row r="434" spans="3:30">
      <c r="C434" s="201">
        <v>50415</v>
      </c>
      <c r="D434" s="94" t="s">
        <v>134</v>
      </c>
      <c r="E434" s="424">
        <f t="shared" si="154"/>
        <v>0</v>
      </c>
      <c r="F434" s="209">
        <f t="shared" si="155"/>
        <v>0</v>
      </c>
      <c r="H434" s="424">
        <f>IF(OR(H$419&lt;$C434,H$419&lt;$H$2),0,MIN($E434-SUM($G434:G434),$F434))</f>
        <v>0</v>
      </c>
      <c r="I434" s="424">
        <f>IF(OR(I$419&lt;$C434,I$419&lt;$H$2),0,MIN($E434-SUM($G434:H434),$F434))</f>
        <v>0</v>
      </c>
      <c r="J434" s="424">
        <f>IF(OR(J$419&lt;$C434,J$419&lt;$H$2),0,MIN($E434-SUM($G434:I434),$F434))</f>
        <v>0</v>
      </c>
      <c r="K434" s="424">
        <f>IF(OR(K$419&lt;$C434,K$419&lt;$H$2),0,MIN($E434-SUM($G434:J434),$F434))</f>
        <v>0</v>
      </c>
      <c r="L434" s="424">
        <f>IF(OR(L$419&lt;$C434,L$419&lt;$H$2),0,MIN($E434-SUM($G434:K434),$F434))</f>
        <v>0</v>
      </c>
      <c r="M434" s="424">
        <f>IF(OR(M$419&lt;$C434,M$419&lt;$H$2),0,MIN($E434-SUM($G434:L434),$F434))</f>
        <v>0</v>
      </c>
      <c r="N434" s="424">
        <f>IF(OR(N$419&lt;$C434,N$419&lt;$H$2),0,MIN($E434-SUM($G434:M434),$F434))</f>
        <v>0</v>
      </c>
      <c r="O434" s="424">
        <f>IF(OR(O$419&lt;$C434,O$419&lt;$H$2),0,MIN($E434-SUM($G434:N434),$F434))</f>
        <v>0</v>
      </c>
      <c r="P434" s="424">
        <f>IF(OR(P$419&lt;$C434,P$419&lt;$H$2),0,MIN($E434-SUM($G434:O434),$F434))</f>
        <v>0</v>
      </c>
      <c r="Q434" s="424">
        <f>IF(OR(Q$419&lt;$C434,Q$419&lt;$H$2),0,MIN($E434-SUM($G434:P434),$F434))</f>
        <v>0</v>
      </c>
      <c r="R434" s="424">
        <f>IF(OR(R$419&lt;$C434,R$419&lt;$H$2),0,MIN($E434-SUM($G434:Q434),$F434))</f>
        <v>0</v>
      </c>
      <c r="S434" s="424">
        <f>IF(OR(S$419&lt;$C434,S$419&lt;$H$2),0,MIN($E434-SUM($G434:R434),$F434))</f>
        <v>0</v>
      </c>
      <c r="T434" s="424">
        <f>IF(OR(T$419&lt;$C434,T$419&lt;$H$2),0,MIN($E434-SUM($G434:S434),$F434))</f>
        <v>0</v>
      </c>
      <c r="U434" s="424">
        <f>IF(OR(U$419&lt;$C434,U$419&lt;$H$2),0,MIN($E434-SUM($G434:T434),$F434))</f>
        <v>0</v>
      </c>
      <c r="V434" s="424">
        <f>IF(OR(V$419&lt;$C434,V$419&lt;$H$2),0,MIN($E434-SUM($G434:U434),$F434))</f>
        <v>0</v>
      </c>
      <c r="W434" s="424">
        <f>IF(OR(W$419&lt;$C434,W$419&lt;$H$2),0,MIN($E434-SUM($G434:V434),$F434))</f>
        <v>0</v>
      </c>
      <c r="X434" s="424">
        <f>IF(OR(X$419&lt;$C434,X$419&lt;$H$2),0,MIN($E434-SUM($G434:W434),$F434))</f>
        <v>0</v>
      </c>
      <c r="Y434" s="424">
        <f>IF(OR(Y$419&lt;$C434,Y$419&lt;$H$2),0,MIN($E434-SUM($G434:X434),$F434))</f>
        <v>0</v>
      </c>
      <c r="Z434" s="424">
        <f>IF(OR(Z$419&lt;$C434,Z$419&lt;$H$2),0,MIN($E434-SUM($G434:Y434),$F434))</f>
        <v>0</v>
      </c>
      <c r="AA434" s="424">
        <f>IF(OR(AA$419&lt;$C434,AA$419&lt;$H$2),0,MIN($E434-SUM($G434:Z434),$F434))</f>
        <v>0</v>
      </c>
      <c r="AB434" s="424">
        <f>IF(OR(AB$419&lt;$C434,AB$419&lt;$H$2),0,MIN($E434-SUM($G434:AA434),$F434))</f>
        <v>0</v>
      </c>
      <c r="AC434" s="424">
        <f>IF(OR(AC$419&lt;$C434,AC$419&lt;$H$2),0,MIN($E434-SUM($G434:AB434),$F434))</f>
        <v>0</v>
      </c>
      <c r="AD434" s="424">
        <f>IF(OR(AD$419&lt;$C434,AD$419&lt;$H$2),0,MIN($E434-SUM($G434:AC434),$F434))</f>
        <v>0</v>
      </c>
    </row>
    <row r="435" spans="3:30">
      <c r="C435" s="201">
        <v>50781</v>
      </c>
      <c r="D435" s="94" t="s">
        <v>134</v>
      </c>
      <c r="E435" s="424">
        <f t="shared" si="154"/>
        <v>0</v>
      </c>
      <c r="F435" s="209">
        <f t="shared" si="155"/>
        <v>0</v>
      </c>
      <c r="H435" s="424">
        <f>IF(OR(H$419&lt;$C435,H$419&lt;$H$2),0,MIN($E435-SUM($G435:G435),$F435))</f>
        <v>0</v>
      </c>
      <c r="I435" s="424">
        <f>IF(OR(I$419&lt;$C435,I$419&lt;$H$2),0,MIN($E435-SUM($G435:H435),$F435))</f>
        <v>0</v>
      </c>
      <c r="J435" s="424">
        <f>IF(OR(J$419&lt;$C435,J$419&lt;$H$2),0,MIN($E435-SUM($G435:I435),$F435))</f>
        <v>0</v>
      </c>
      <c r="K435" s="424">
        <f>IF(OR(K$419&lt;$C435,K$419&lt;$H$2),0,MIN($E435-SUM($G435:J435),$F435))</f>
        <v>0</v>
      </c>
      <c r="L435" s="424">
        <f>IF(OR(L$419&lt;$C435,L$419&lt;$H$2),0,MIN($E435-SUM($G435:K435),$F435))</f>
        <v>0</v>
      </c>
      <c r="M435" s="424">
        <f>IF(OR(M$419&lt;$C435,M$419&lt;$H$2),0,MIN($E435-SUM($G435:L435),$F435))</f>
        <v>0</v>
      </c>
      <c r="N435" s="424">
        <f>IF(OR(N$419&lt;$C435,N$419&lt;$H$2),0,MIN($E435-SUM($G435:M435),$F435))</f>
        <v>0</v>
      </c>
      <c r="O435" s="424">
        <f>IF(OR(O$419&lt;$C435,O$419&lt;$H$2),0,MIN($E435-SUM($G435:N435),$F435))</f>
        <v>0</v>
      </c>
      <c r="P435" s="424">
        <f>IF(OR(P$419&lt;$C435,P$419&lt;$H$2),0,MIN($E435-SUM($G435:O435),$F435))</f>
        <v>0</v>
      </c>
      <c r="Q435" s="424">
        <f>IF(OR(Q$419&lt;$C435,Q$419&lt;$H$2),0,MIN($E435-SUM($G435:P435),$F435))</f>
        <v>0</v>
      </c>
      <c r="R435" s="424">
        <f>IF(OR(R$419&lt;$C435,R$419&lt;$H$2),0,MIN($E435-SUM($G435:Q435),$F435))</f>
        <v>0</v>
      </c>
      <c r="S435" s="424">
        <f>IF(OR(S$419&lt;$C435,S$419&lt;$H$2),0,MIN($E435-SUM($G435:R435),$F435))</f>
        <v>0</v>
      </c>
      <c r="T435" s="424">
        <f>IF(OR(T$419&lt;$C435,T$419&lt;$H$2),0,MIN($E435-SUM($G435:S435),$F435))</f>
        <v>0</v>
      </c>
      <c r="U435" s="424">
        <f>IF(OR(U$419&lt;$C435,U$419&lt;$H$2),0,MIN($E435-SUM($G435:T435),$F435))</f>
        <v>0</v>
      </c>
      <c r="V435" s="424">
        <f>IF(OR(V$419&lt;$C435,V$419&lt;$H$2),0,MIN($E435-SUM($G435:U435),$F435))</f>
        <v>0</v>
      </c>
      <c r="W435" s="424">
        <f>IF(OR(W$419&lt;$C435,W$419&lt;$H$2),0,MIN($E435-SUM($G435:V435),$F435))</f>
        <v>0</v>
      </c>
      <c r="X435" s="424">
        <f>IF(OR(X$419&lt;$C435,X$419&lt;$H$2),0,MIN($E435-SUM($G435:W435),$F435))</f>
        <v>0</v>
      </c>
      <c r="Y435" s="424">
        <f>IF(OR(Y$419&lt;$C435,Y$419&lt;$H$2),0,MIN($E435-SUM($G435:X435),$F435))</f>
        <v>0</v>
      </c>
      <c r="Z435" s="424">
        <f>IF(OR(Z$419&lt;$C435,Z$419&lt;$H$2),0,MIN($E435-SUM($G435:Y435),$F435))</f>
        <v>0</v>
      </c>
      <c r="AA435" s="424">
        <f>IF(OR(AA$419&lt;$C435,AA$419&lt;$H$2),0,MIN($E435-SUM($G435:Z435),$F435))</f>
        <v>0</v>
      </c>
      <c r="AB435" s="424">
        <f>IF(OR(AB$419&lt;$C435,AB$419&lt;$H$2),0,MIN($E435-SUM($G435:AA435),$F435))</f>
        <v>0</v>
      </c>
      <c r="AC435" s="424">
        <f>IF(OR(AC$419&lt;$C435,AC$419&lt;$H$2),0,MIN($E435-SUM($G435:AB435),$F435))</f>
        <v>0</v>
      </c>
      <c r="AD435" s="424">
        <f>IF(OR(AD$419&lt;$C435,AD$419&lt;$H$2),0,MIN($E435-SUM($G435:AC435),$F435))</f>
        <v>0</v>
      </c>
    </row>
    <row r="436" spans="3:30">
      <c r="C436" s="201">
        <v>51147</v>
      </c>
      <c r="D436" s="94" t="s">
        <v>134</v>
      </c>
      <c r="E436" s="424">
        <f t="shared" si="154"/>
        <v>0</v>
      </c>
      <c r="F436" s="209">
        <f t="shared" si="155"/>
        <v>0</v>
      </c>
      <c r="H436" s="424">
        <f>IF(OR(H$419&lt;$C436,H$419&lt;$H$2),0,MIN($E436-SUM($G436:G436),$F436))</f>
        <v>0</v>
      </c>
      <c r="I436" s="424">
        <f>IF(OR(I$419&lt;$C436,I$419&lt;$H$2),0,MIN($E436-SUM($G436:H436),$F436))</f>
        <v>0</v>
      </c>
      <c r="J436" s="424">
        <f>IF(OR(J$419&lt;$C436,J$419&lt;$H$2),0,MIN($E436-SUM($G436:I436),$F436))</f>
        <v>0</v>
      </c>
      <c r="K436" s="424">
        <f>IF(OR(K$419&lt;$C436,K$419&lt;$H$2),0,MIN($E436-SUM($G436:J436),$F436))</f>
        <v>0</v>
      </c>
      <c r="L436" s="424">
        <f>IF(OR(L$419&lt;$C436,L$419&lt;$H$2),0,MIN($E436-SUM($G436:K436),$F436))</f>
        <v>0</v>
      </c>
      <c r="M436" s="424">
        <f>IF(OR(M$419&lt;$C436,M$419&lt;$H$2),0,MIN($E436-SUM($G436:L436),$F436))</f>
        <v>0</v>
      </c>
      <c r="N436" s="424">
        <f>IF(OR(N$419&lt;$C436,N$419&lt;$H$2),0,MIN($E436-SUM($G436:M436),$F436))</f>
        <v>0</v>
      </c>
      <c r="O436" s="424">
        <f>IF(OR(O$419&lt;$C436,O$419&lt;$H$2),0,MIN($E436-SUM($G436:N436),$F436))</f>
        <v>0</v>
      </c>
      <c r="P436" s="424">
        <f>IF(OR(P$419&lt;$C436,P$419&lt;$H$2),0,MIN($E436-SUM($G436:O436),$F436))</f>
        <v>0</v>
      </c>
      <c r="Q436" s="424">
        <f>IF(OR(Q$419&lt;$C436,Q$419&lt;$H$2),0,MIN($E436-SUM($G436:P436),$F436))</f>
        <v>0</v>
      </c>
      <c r="R436" s="424">
        <f>IF(OR(R$419&lt;$C436,R$419&lt;$H$2),0,MIN($E436-SUM($G436:Q436),$F436))</f>
        <v>0</v>
      </c>
      <c r="S436" s="424">
        <f>IF(OR(S$419&lt;$C436,S$419&lt;$H$2),0,MIN($E436-SUM($G436:R436),$F436))</f>
        <v>0</v>
      </c>
      <c r="T436" s="424">
        <f>IF(OR(T$419&lt;$C436,T$419&lt;$H$2),0,MIN($E436-SUM($G436:S436),$F436))</f>
        <v>0</v>
      </c>
      <c r="U436" s="424">
        <f>IF(OR(U$419&lt;$C436,U$419&lt;$H$2),0,MIN($E436-SUM($G436:T436),$F436))</f>
        <v>0</v>
      </c>
      <c r="V436" s="424">
        <f>IF(OR(V$419&lt;$C436,V$419&lt;$H$2),0,MIN($E436-SUM($G436:U436),$F436))</f>
        <v>0</v>
      </c>
      <c r="W436" s="424">
        <f>IF(OR(W$419&lt;$C436,W$419&lt;$H$2),0,MIN($E436-SUM($G436:V436),$F436))</f>
        <v>0</v>
      </c>
      <c r="X436" s="424">
        <f>IF(OR(X$419&lt;$C436,X$419&lt;$H$2),0,MIN($E436-SUM($G436:W436),$F436))</f>
        <v>0</v>
      </c>
      <c r="Y436" s="424">
        <f>IF(OR(Y$419&lt;$C436,Y$419&lt;$H$2),0,MIN($E436-SUM($G436:X436),$F436))</f>
        <v>0</v>
      </c>
      <c r="Z436" s="424">
        <f>IF(OR(Z$419&lt;$C436,Z$419&lt;$H$2),0,MIN($E436-SUM($G436:Y436),$F436))</f>
        <v>0</v>
      </c>
      <c r="AA436" s="424">
        <f>IF(OR(AA$419&lt;$C436,AA$419&lt;$H$2),0,MIN($E436-SUM($G436:Z436),$F436))</f>
        <v>0</v>
      </c>
      <c r="AB436" s="424">
        <f>IF(OR(AB$419&lt;$C436,AB$419&lt;$H$2),0,MIN($E436-SUM($G436:AA436),$F436))</f>
        <v>0</v>
      </c>
      <c r="AC436" s="424">
        <f>IF(OR(AC$419&lt;$C436,AC$419&lt;$H$2),0,MIN($E436-SUM($G436:AB436),$F436))</f>
        <v>0</v>
      </c>
      <c r="AD436" s="424">
        <f>IF(OR(AD$419&lt;$C436,AD$419&lt;$H$2),0,MIN($E436-SUM($G436:AC436),$F436))</f>
        <v>0</v>
      </c>
    </row>
    <row r="437" spans="3:30">
      <c r="C437" s="201">
        <v>51513</v>
      </c>
      <c r="D437" s="94" t="s">
        <v>134</v>
      </c>
      <c r="E437" s="424">
        <f t="shared" si="154"/>
        <v>0</v>
      </c>
      <c r="F437" s="209">
        <f t="shared" si="155"/>
        <v>0</v>
      </c>
      <c r="H437" s="424">
        <f>IF(OR(H$419&lt;$C437,H$419&lt;$H$2),0,MIN($E437-SUM($G437:G437),$F437))</f>
        <v>0</v>
      </c>
      <c r="I437" s="424">
        <f>IF(OR(I$419&lt;$C437,I$419&lt;$H$2),0,MIN($E437-SUM($G437:H437),$F437))</f>
        <v>0</v>
      </c>
      <c r="J437" s="424">
        <f>IF(OR(J$419&lt;$C437,J$419&lt;$H$2),0,MIN($E437-SUM($G437:I437),$F437))</f>
        <v>0</v>
      </c>
      <c r="K437" s="424">
        <f>IF(OR(K$419&lt;$C437,K$419&lt;$H$2),0,MIN($E437-SUM($G437:J437),$F437))</f>
        <v>0</v>
      </c>
      <c r="L437" s="424">
        <f>IF(OR(L$419&lt;$C437,L$419&lt;$H$2),0,MIN($E437-SUM($G437:K437),$F437))</f>
        <v>0</v>
      </c>
      <c r="M437" s="424">
        <f>IF(OR(M$419&lt;$C437,M$419&lt;$H$2),0,MIN($E437-SUM($G437:L437),$F437))</f>
        <v>0</v>
      </c>
      <c r="N437" s="424">
        <f>IF(OR(N$419&lt;$C437,N$419&lt;$H$2),0,MIN($E437-SUM($G437:M437),$F437))</f>
        <v>0</v>
      </c>
      <c r="O437" s="424">
        <f>IF(OR(O$419&lt;$C437,O$419&lt;$H$2),0,MIN($E437-SUM($G437:N437),$F437))</f>
        <v>0</v>
      </c>
      <c r="P437" s="424">
        <f>IF(OR(P$419&lt;$C437,P$419&lt;$H$2),0,MIN($E437-SUM($G437:O437),$F437))</f>
        <v>0</v>
      </c>
      <c r="Q437" s="424">
        <f>IF(OR(Q$419&lt;$C437,Q$419&lt;$H$2),0,MIN($E437-SUM($G437:P437),$F437))</f>
        <v>0</v>
      </c>
      <c r="R437" s="424">
        <f>IF(OR(R$419&lt;$C437,R$419&lt;$H$2),0,MIN($E437-SUM($G437:Q437),$F437))</f>
        <v>0</v>
      </c>
      <c r="S437" s="424">
        <f>IF(OR(S$419&lt;$C437,S$419&lt;$H$2),0,MIN($E437-SUM($G437:R437),$F437))</f>
        <v>0</v>
      </c>
      <c r="T437" s="424">
        <f>IF(OR(T$419&lt;$C437,T$419&lt;$H$2),0,MIN($E437-SUM($G437:S437),$F437))</f>
        <v>0</v>
      </c>
      <c r="U437" s="424">
        <f>IF(OR(U$419&lt;$C437,U$419&lt;$H$2),0,MIN($E437-SUM($G437:T437),$F437))</f>
        <v>0</v>
      </c>
      <c r="V437" s="424">
        <f>IF(OR(V$419&lt;$C437,V$419&lt;$H$2),0,MIN($E437-SUM($G437:U437),$F437))</f>
        <v>0</v>
      </c>
      <c r="W437" s="424">
        <f>IF(OR(W$419&lt;$C437,W$419&lt;$H$2),0,MIN($E437-SUM($G437:V437),$F437))</f>
        <v>0</v>
      </c>
      <c r="X437" s="424">
        <f>IF(OR(X$419&lt;$C437,X$419&lt;$H$2),0,MIN($E437-SUM($G437:W437),$F437))</f>
        <v>0</v>
      </c>
      <c r="Y437" s="424">
        <f>IF(OR(Y$419&lt;$C437,Y$419&lt;$H$2),0,MIN($E437-SUM($G437:X437),$F437))</f>
        <v>0</v>
      </c>
      <c r="Z437" s="424">
        <f>IF(OR(Z$419&lt;$C437,Z$419&lt;$H$2),0,MIN($E437-SUM($G437:Y437),$F437))</f>
        <v>0</v>
      </c>
      <c r="AA437" s="424">
        <f>IF(OR(AA$419&lt;$C437,AA$419&lt;$H$2),0,MIN($E437-SUM($G437:Z437),$F437))</f>
        <v>0</v>
      </c>
      <c r="AB437" s="424">
        <f>IF(OR(AB$419&lt;$C437,AB$419&lt;$H$2),0,MIN($E437-SUM($G437:AA437),$F437))</f>
        <v>0</v>
      </c>
      <c r="AC437" s="424">
        <f>IF(OR(AC$419&lt;$C437,AC$419&lt;$H$2),0,MIN($E437-SUM($G437:AB437),$F437))</f>
        <v>0</v>
      </c>
      <c r="AD437" s="424">
        <f>IF(OR(AD$419&lt;$C437,AD$419&lt;$H$2),0,MIN($E437-SUM($G437:AC437),$F437))</f>
        <v>0</v>
      </c>
    </row>
    <row r="438" spans="3:30">
      <c r="C438" s="201">
        <v>51879</v>
      </c>
      <c r="D438" s="94" t="s">
        <v>134</v>
      </c>
      <c r="E438" s="424">
        <f t="shared" si="154"/>
        <v>0</v>
      </c>
      <c r="F438" s="209">
        <f t="shared" si="155"/>
        <v>0</v>
      </c>
      <c r="H438" s="424">
        <f>IF(OR(H$419&lt;$C438,H$419&lt;$H$2),0,MIN($E438-SUM($G438:G438),$F438))</f>
        <v>0</v>
      </c>
      <c r="I438" s="424">
        <f>IF(OR(I$419&lt;$C438,I$419&lt;$H$2),0,MIN($E438-SUM($G438:H438),$F438))</f>
        <v>0</v>
      </c>
      <c r="J438" s="424">
        <f>IF(OR(J$419&lt;$C438,J$419&lt;$H$2),0,MIN($E438-SUM($G438:I438),$F438))</f>
        <v>0</v>
      </c>
      <c r="K438" s="424">
        <f>IF(OR(K$419&lt;$C438,K$419&lt;$H$2),0,MIN($E438-SUM($G438:J438),$F438))</f>
        <v>0</v>
      </c>
      <c r="L438" s="424">
        <f>IF(OR(L$419&lt;$C438,L$419&lt;$H$2),0,MIN($E438-SUM($G438:K438),$F438))</f>
        <v>0</v>
      </c>
      <c r="M438" s="424">
        <f>IF(OR(M$419&lt;$C438,M$419&lt;$H$2),0,MIN($E438-SUM($G438:L438),$F438))</f>
        <v>0</v>
      </c>
      <c r="N438" s="424">
        <f>IF(OR(N$419&lt;$C438,N$419&lt;$H$2),0,MIN($E438-SUM($G438:M438),$F438))</f>
        <v>0</v>
      </c>
      <c r="O438" s="424">
        <f>IF(OR(O$419&lt;$C438,O$419&lt;$H$2),0,MIN($E438-SUM($G438:N438),$F438))</f>
        <v>0</v>
      </c>
      <c r="P438" s="424">
        <f>IF(OR(P$419&lt;$C438,P$419&lt;$H$2),0,MIN($E438-SUM($G438:O438),$F438))</f>
        <v>0</v>
      </c>
      <c r="Q438" s="424">
        <f>IF(OR(Q$419&lt;$C438,Q$419&lt;$H$2),0,MIN($E438-SUM($G438:P438),$F438))</f>
        <v>0</v>
      </c>
      <c r="R438" s="424">
        <f>IF(OR(R$419&lt;$C438,R$419&lt;$H$2),0,MIN($E438-SUM($G438:Q438),$F438))</f>
        <v>0</v>
      </c>
      <c r="S438" s="424">
        <f>IF(OR(S$419&lt;$C438,S$419&lt;$H$2),0,MIN($E438-SUM($G438:R438),$F438))</f>
        <v>0</v>
      </c>
      <c r="T438" s="424">
        <f>IF(OR(T$419&lt;$C438,T$419&lt;$H$2),0,MIN($E438-SUM($G438:S438),$F438))</f>
        <v>0</v>
      </c>
      <c r="U438" s="424">
        <f>IF(OR(U$419&lt;$C438,U$419&lt;$H$2),0,MIN($E438-SUM($G438:T438),$F438))</f>
        <v>0</v>
      </c>
      <c r="V438" s="424">
        <f>IF(OR(V$419&lt;$C438,V$419&lt;$H$2),0,MIN($E438-SUM($G438:U438),$F438))</f>
        <v>0</v>
      </c>
      <c r="W438" s="424">
        <f>IF(OR(W$419&lt;$C438,W$419&lt;$H$2),0,MIN($E438-SUM($G438:V438),$F438))</f>
        <v>0</v>
      </c>
      <c r="X438" s="424">
        <f>IF(OR(X$419&lt;$C438,X$419&lt;$H$2),0,MIN($E438-SUM($G438:W438),$F438))</f>
        <v>0</v>
      </c>
      <c r="Y438" s="424">
        <f>IF(OR(Y$419&lt;$C438,Y$419&lt;$H$2),0,MIN($E438-SUM($G438:X438),$F438))</f>
        <v>0</v>
      </c>
      <c r="Z438" s="424">
        <f>IF(OR(Z$419&lt;$C438,Z$419&lt;$H$2),0,MIN($E438-SUM($G438:Y438),$F438))</f>
        <v>0</v>
      </c>
      <c r="AA438" s="424">
        <f>IF(OR(AA$419&lt;$C438,AA$419&lt;$H$2),0,MIN($E438-SUM($G438:Z438),$F438))</f>
        <v>0</v>
      </c>
      <c r="AB438" s="424">
        <f>IF(OR(AB$419&lt;$C438,AB$419&lt;$H$2),0,MIN($E438-SUM($G438:AA438),$F438))</f>
        <v>0</v>
      </c>
      <c r="AC438" s="424">
        <f>IF(OR(AC$419&lt;$C438,AC$419&lt;$H$2),0,MIN($E438-SUM($G438:AB438),$F438))</f>
        <v>0</v>
      </c>
      <c r="AD438" s="424">
        <f>IF(OR(AD$419&lt;$C438,AD$419&lt;$H$2),0,MIN($E438-SUM($G438:AC438),$F438))</f>
        <v>0</v>
      </c>
    </row>
    <row r="439" spans="3:30">
      <c r="C439" s="201">
        <v>52245</v>
      </c>
      <c r="D439" s="94" t="s">
        <v>134</v>
      </c>
      <c r="E439" s="424">
        <f t="shared" si="154"/>
        <v>0</v>
      </c>
      <c r="F439" s="209">
        <f t="shared" si="155"/>
        <v>0</v>
      </c>
      <c r="H439" s="424">
        <f>IF(OR(H$419&lt;$C439,H$419&lt;$H$2),0,MIN($E439-SUM($G439:G439),$F439))</f>
        <v>0</v>
      </c>
      <c r="I439" s="424">
        <f>IF(OR(I$419&lt;$C439,I$419&lt;$H$2),0,MIN($E439-SUM($G439:H439),$F439))</f>
        <v>0</v>
      </c>
      <c r="J439" s="424">
        <f>IF(OR(J$419&lt;$C439,J$419&lt;$H$2),0,MIN($E439-SUM($G439:I439),$F439))</f>
        <v>0</v>
      </c>
      <c r="K439" s="424">
        <f>IF(OR(K$419&lt;$C439,K$419&lt;$H$2),0,MIN($E439-SUM($G439:J439),$F439))</f>
        <v>0</v>
      </c>
      <c r="L439" s="424">
        <f>IF(OR(L$419&lt;$C439,L$419&lt;$H$2),0,MIN($E439-SUM($G439:K439),$F439))</f>
        <v>0</v>
      </c>
      <c r="M439" s="424">
        <f>IF(OR(M$419&lt;$C439,M$419&lt;$H$2),0,MIN($E439-SUM($G439:L439),$F439))</f>
        <v>0</v>
      </c>
      <c r="N439" s="424">
        <f>IF(OR(N$419&lt;$C439,N$419&lt;$H$2),0,MIN($E439-SUM($G439:M439),$F439))</f>
        <v>0</v>
      </c>
      <c r="O439" s="424">
        <f>IF(OR(O$419&lt;$C439,O$419&lt;$H$2),0,MIN($E439-SUM($G439:N439),$F439))</f>
        <v>0</v>
      </c>
      <c r="P439" s="424">
        <f>IF(OR(P$419&lt;$C439,P$419&lt;$H$2),0,MIN($E439-SUM($G439:O439),$F439))</f>
        <v>0</v>
      </c>
      <c r="Q439" s="424">
        <f>IF(OR(Q$419&lt;$C439,Q$419&lt;$H$2),0,MIN($E439-SUM($G439:P439),$F439))</f>
        <v>0</v>
      </c>
      <c r="R439" s="424">
        <f>IF(OR(R$419&lt;$C439,R$419&lt;$H$2),0,MIN($E439-SUM($G439:Q439),$F439))</f>
        <v>0</v>
      </c>
      <c r="S439" s="424">
        <f>IF(OR(S$419&lt;$C439,S$419&lt;$H$2),0,MIN($E439-SUM($G439:R439),$F439))</f>
        <v>0</v>
      </c>
      <c r="T439" s="424">
        <f>IF(OR(T$419&lt;$C439,T$419&lt;$H$2),0,MIN($E439-SUM($G439:S439),$F439))</f>
        <v>0</v>
      </c>
      <c r="U439" s="424">
        <f>IF(OR(U$419&lt;$C439,U$419&lt;$H$2),0,MIN($E439-SUM($G439:T439),$F439))</f>
        <v>0</v>
      </c>
      <c r="V439" s="424">
        <f>IF(OR(V$419&lt;$C439,V$419&lt;$H$2),0,MIN($E439-SUM($G439:U439),$F439))</f>
        <v>0</v>
      </c>
      <c r="W439" s="424">
        <f>IF(OR(W$419&lt;$C439,W$419&lt;$H$2),0,MIN($E439-SUM($G439:V439),$F439))</f>
        <v>0</v>
      </c>
      <c r="X439" s="424">
        <f>IF(OR(X$419&lt;$C439,X$419&lt;$H$2),0,MIN($E439-SUM($G439:W439),$F439))</f>
        <v>0</v>
      </c>
      <c r="Y439" s="424">
        <f>IF(OR(Y$419&lt;$C439,Y$419&lt;$H$2),0,MIN($E439-SUM($G439:X439),$F439))</f>
        <v>0</v>
      </c>
      <c r="Z439" s="424">
        <f>IF(OR(Z$419&lt;$C439,Z$419&lt;$H$2),0,MIN($E439-SUM($G439:Y439),$F439))</f>
        <v>0</v>
      </c>
      <c r="AA439" s="424">
        <f>IF(OR(AA$419&lt;$C439,AA$419&lt;$H$2),0,MIN($E439-SUM($G439:Z439),$F439))</f>
        <v>0</v>
      </c>
      <c r="AB439" s="424">
        <f>IF(OR(AB$419&lt;$C439,AB$419&lt;$H$2),0,MIN($E439-SUM($G439:AA439),$F439))</f>
        <v>0</v>
      </c>
      <c r="AC439" s="424">
        <f>IF(OR(AC$419&lt;$C439,AC$419&lt;$H$2),0,MIN($E439-SUM($G439:AB439),$F439))</f>
        <v>0</v>
      </c>
      <c r="AD439" s="424">
        <f>IF(OR(AD$419&lt;$C439,AD$419&lt;$H$2),0,MIN($E439-SUM($G439:AC439),$F439))</f>
        <v>0</v>
      </c>
    </row>
    <row r="440" spans="3:30">
      <c r="C440" s="201">
        <v>52611</v>
      </c>
      <c r="D440" s="94" t="s">
        <v>134</v>
      </c>
      <c r="E440" s="424">
        <f t="shared" si="154"/>
        <v>0</v>
      </c>
      <c r="F440" s="209">
        <f t="shared" si="155"/>
        <v>0</v>
      </c>
      <c r="H440" s="424">
        <f>IF(OR(H$419&lt;$C440,H$419&lt;$H$2),0,MIN($E440-SUM($G440:G440),$F440))</f>
        <v>0</v>
      </c>
      <c r="I440" s="424">
        <f>IF(OR(I$419&lt;$C440,I$419&lt;$H$2),0,MIN($E440-SUM($G440:H440),$F440))</f>
        <v>0</v>
      </c>
      <c r="J440" s="424">
        <f>IF(OR(J$419&lt;$C440,J$419&lt;$H$2),0,MIN($E440-SUM($G440:I440),$F440))</f>
        <v>0</v>
      </c>
      <c r="K440" s="424">
        <f>IF(OR(K$419&lt;$C440,K$419&lt;$H$2),0,MIN($E440-SUM($G440:J440),$F440))</f>
        <v>0</v>
      </c>
      <c r="L440" s="424">
        <f>IF(OR(L$419&lt;$C440,L$419&lt;$H$2),0,MIN($E440-SUM($G440:K440),$F440))</f>
        <v>0</v>
      </c>
      <c r="M440" s="424">
        <f>IF(OR(M$419&lt;$C440,M$419&lt;$H$2),0,MIN($E440-SUM($G440:L440),$F440))</f>
        <v>0</v>
      </c>
      <c r="N440" s="424">
        <f>IF(OR(N$419&lt;$C440,N$419&lt;$H$2),0,MIN($E440-SUM($G440:M440),$F440))</f>
        <v>0</v>
      </c>
      <c r="O440" s="424">
        <f>IF(OR(O$419&lt;$C440,O$419&lt;$H$2),0,MIN($E440-SUM($G440:N440),$F440))</f>
        <v>0</v>
      </c>
      <c r="P440" s="424">
        <f>IF(OR(P$419&lt;$C440,P$419&lt;$H$2),0,MIN($E440-SUM($G440:O440),$F440))</f>
        <v>0</v>
      </c>
      <c r="Q440" s="424">
        <f>IF(OR(Q$419&lt;$C440,Q$419&lt;$H$2),0,MIN($E440-SUM($G440:P440),$F440))</f>
        <v>0</v>
      </c>
      <c r="R440" s="424">
        <f>IF(OR(R$419&lt;$C440,R$419&lt;$H$2),0,MIN($E440-SUM($G440:Q440),$F440))</f>
        <v>0</v>
      </c>
      <c r="S440" s="424">
        <f>IF(OR(S$419&lt;$C440,S$419&lt;$H$2),0,MIN($E440-SUM($G440:R440),$F440))</f>
        <v>0</v>
      </c>
      <c r="T440" s="424">
        <f>IF(OR(T$419&lt;$C440,T$419&lt;$H$2),0,MIN($E440-SUM($G440:S440),$F440))</f>
        <v>0</v>
      </c>
      <c r="U440" s="424">
        <f>IF(OR(U$419&lt;$C440,U$419&lt;$H$2),0,MIN($E440-SUM($G440:T440),$F440))</f>
        <v>0</v>
      </c>
      <c r="V440" s="424">
        <f>IF(OR(V$419&lt;$C440,V$419&lt;$H$2),0,MIN($E440-SUM($G440:U440),$F440))</f>
        <v>0</v>
      </c>
      <c r="W440" s="424">
        <f>IF(OR(W$419&lt;$C440,W$419&lt;$H$2),0,MIN($E440-SUM($G440:V440),$F440))</f>
        <v>0</v>
      </c>
      <c r="X440" s="424">
        <f>IF(OR(X$419&lt;$C440,X$419&lt;$H$2),0,MIN($E440-SUM($G440:W440),$F440))</f>
        <v>0</v>
      </c>
      <c r="Y440" s="424">
        <f>IF(OR(Y$419&lt;$C440,Y$419&lt;$H$2),0,MIN($E440-SUM($G440:X440),$F440))</f>
        <v>0</v>
      </c>
      <c r="Z440" s="424">
        <f>IF(OR(Z$419&lt;$C440,Z$419&lt;$H$2),0,MIN($E440-SUM($G440:Y440),$F440))</f>
        <v>0</v>
      </c>
      <c r="AA440" s="424">
        <f>IF(OR(AA$419&lt;$C440,AA$419&lt;$H$2),0,MIN($E440-SUM($G440:Z440),$F440))</f>
        <v>0</v>
      </c>
      <c r="AB440" s="424">
        <f>IF(OR(AB$419&lt;$C440,AB$419&lt;$H$2),0,MIN($E440-SUM($G440:AA440),$F440))</f>
        <v>0</v>
      </c>
      <c r="AC440" s="424">
        <f>IF(OR(AC$419&lt;$C440,AC$419&lt;$H$2),0,MIN($E440-SUM($G440:AB440),$F440))</f>
        <v>0</v>
      </c>
      <c r="AD440" s="424">
        <f>IF(OR(AD$419&lt;$C440,AD$419&lt;$H$2),0,MIN($E440-SUM($G440:AC440),$F440))</f>
        <v>0</v>
      </c>
    </row>
    <row r="441" spans="3:30">
      <c r="C441" s="201">
        <v>52977</v>
      </c>
      <c r="D441" s="94" t="s">
        <v>134</v>
      </c>
      <c r="E441" s="424">
        <f t="shared" si="154"/>
        <v>0</v>
      </c>
      <c r="F441" s="209">
        <f t="shared" si="155"/>
        <v>0</v>
      </c>
      <c r="H441" s="424">
        <f>IF(OR(H$419&lt;$C441,H$419&lt;$H$2),0,MIN($E441-SUM($G441:G441),$F441))</f>
        <v>0</v>
      </c>
      <c r="I441" s="424">
        <f>IF(OR(I$419&lt;$C441,I$419&lt;$H$2),0,MIN($E441-SUM($G441:H441),$F441))</f>
        <v>0</v>
      </c>
      <c r="J441" s="424">
        <f>IF(OR(J$419&lt;$C441,J$419&lt;$H$2),0,MIN($E441-SUM($G441:I441),$F441))</f>
        <v>0</v>
      </c>
      <c r="K441" s="424">
        <f>IF(OR(K$419&lt;$C441,K$419&lt;$H$2),0,MIN($E441-SUM($G441:J441),$F441))</f>
        <v>0</v>
      </c>
      <c r="L441" s="424">
        <f>IF(OR(L$419&lt;$C441,L$419&lt;$H$2),0,MIN($E441-SUM($G441:K441),$F441))</f>
        <v>0</v>
      </c>
      <c r="M441" s="424">
        <f>IF(OR(M$419&lt;$C441,M$419&lt;$H$2),0,MIN($E441-SUM($G441:L441),$F441))</f>
        <v>0</v>
      </c>
      <c r="N441" s="424">
        <f>IF(OR(N$419&lt;$C441,N$419&lt;$H$2),0,MIN($E441-SUM($G441:M441),$F441))</f>
        <v>0</v>
      </c>
      <c r="O441" s="424">
        <f>IF(OR(O$419&lt;$C441,O$419&lt;$H$2),0,MIN($E441-SUM($G441:N441),$F441))</f>
        <v>0</v>
      </c>
      <c r="P441" s="424">
        <f>IF(OR(P$419&lt;$C441,P$419&lt;$H$2),0,MIN($E441-SUM($G441:O441),$F441))</f>
        <v>0</v>
      </c>
      <c r="Q441" s="424">
        <f>IF(OR(Q$419&lt;$C441,Q$419&lt;$H$2),0,MIN($E441-SUM($G441:P441),$F441))</f>
        <v>0</v>
      </c>
      <c r="R441" s="424">
        <f>IF(OR(R$419&lt;$C441,R$419&lt;$H$2),0,MIN($E441-SUM($G441:Q441),$F441))</f>
        <v>0</v>
      </c>
      <c r="S441" s="424">
        <f>IF(OR(S$419&lt;$C441,S$419&lt;$H$2),0,MIN($E441-SUM($G441:R441),$F441))</f>
        <v>0</v>
      </c>
      <c r="T441" s="424">
        <f>IF(OR(T$419&lt;$C441,T$419&lt;$H$2),0,MIN($E441-SUM($G441:S441),$F441))</f>
        <v>0</v>
      </c>
      <c r="U441" s="424">
        <f>IF(OR(U$419&lt;$C441,U$419&lt;$H$2),0,MIN($E441-SUM($G441:T441),$F441))</f>
        <v>0</v>
      </c>
      <c r="V441" s="424">
        <f>IF(OR(V$419&lt;$C441,V$419&lt;$H$2),0,MIN($E441-SUM($G441:U441),$F441))</f>
        <v>0</v>
      </c>
      <c r="W441" s="424">
        <f>IF(OR(W$419&lt;$C441,W$419&lt;$H$2),0,MIN($E441-SUM($G441:V441),$F441))</f>
        <v>0</v>
      </c>
      <c r="X441" s="424">
        <f>IF(OR(X$419&lt;$C441,X$419&lt;$H$2),0,MIN($E441-SUM($G441:W441),$F441))</f>
        <v>0</v>
      </c>
      <c r="Y441" s="424">
        <f>IF(OR(Y$419&lt;$C441,Y$419&lt;$H$2),0,MIN($E441-SUM($G441:X441),$F441))</f>
        <v>0</v>
      </c>
      <c r="Z441" s="424">
        <f>IF(OR(Z$419&lt;$C441,Z$419&lt;$H$2),0,MIN($E441-SUM($G441:Y441),$F441))</f>
        <v>0</v>
      </c>
      <c r="AA441" s="424">
        <f>IF(OR(AA$419&lt;$C441,AA$419&lt;$H$2),0,MIN($E441-SUM($G441:Z441),$F441))</f>
        <v>0</v>
      </c>
      <c r="AB441" s="424">
        <f>IF(OR(AB$419&lt;$C441,AB$419&lt;$H$2),0,MIN($E441-SUM($G441:AA441),$F441))</f>
        <v>0</v>
      </c>
      <c r="AC441" s="424">
        <f>IF(OR(AC$419&lt;$C441,AC$419&lt;$H$2),0,MIN($E441-SUM($G441:AB441),$F441))</f>
        <v>0</v>
      </c>
      <c r="AD441" s="424">
        <f>IF(OR(AD$419&lt;$C441,AD$419&lt;$H$2),0,MIN($E441-SUM($G441:AC441),$F441))</f>
        <v>0</v>
      </c>
    </row>
    <row r="442" spans="3:30">
      <c r="C442" s="201">
        <v>53343</v>
      </c>
      <c r="D442" s="94" t="s">
        <v>134</v>
      </c>
      <c r="E442" s="424">
        <f t="shared" si="154"/>
        <v>0</v>
      </c>
      <c r="F442" s="209">
        <f t="shared" si="155"/>
        <v>0</v>
      </c>
      <c r="H442" s="424">
        <f>IF(OR(H$419&lt;$C442,H$419&lt;$H$2),0,MIN($E442-SUM($G442:G442),$F442))</f>
        <v>0</v>
      </c>
      <c r="I442" s="424">
        <f>IF(OR(I$419&lt;$C442,I$419&lt;$H$2),0,MIN($E442-SUM($G442:H442),$F442))</f>
        <v>0</v>
      </c>
      <c r="J442" s="424">
        <f>IF(OR(J$419&lt;$C442,J$419&lt;$H$2),0,MIN($E442-SUM($G442:I442),$F442))</f>
        <v>0</v>
      </c>
      <c r="K442" s="424">
        <f>IF(OR(K$419&lt;$C442,K$419&lt;$H$2),0,MIN($E442-SUM($G442:J442),$F442))</f>
        <v>0</v>
      </c>
      <c r="L442" s="424">
        <f>IF(OR(L$419&lt;$C442,L$419&lt;$H$2),0,MIN($E442-SUM($G442:K442),$F442))</f>
        <v>0</v>
      </c>
      <c r="M442" s="424">
        <f>IF(OR(M$419&lt;$C442,M$419&lt;$H$2),0,MIN($E442-SUM($G442:L442),$F442))</f>
        <v>0</v>
      </c>
      <c r="N442" s="424">
        <f>IF(OR(N$419&lt;$C442,N$419&lt;$H$2),0,MIN($E442-SUM($G442:M442),$F442))</f>
        <v>0</v>
      </c>
      <c r="O442" s="424">
        <f>IF(OR(O$419&lt;$C442,O$419&lt;$H$2),0,MIN($E442-SUM($G442:N442),$F442))</f>
        <v>0</v>
      </c>
      <c r="P442" s="424">
        <f>IF(OR(P$419&lt;$C442,P$419&lt;$H$2),0,MIN($E442-SUM($G442:O442),$F442))</f>
        <v>0</v>
      </c>
      <c r="Q442" s="424">
        <f>IF(OR(Q$419&lt;$C442,Q$419&lt;$H$2),0,MIN($E442-SUM($G442:P442),$F442))</f>
        <v>0</v>
      </c>
      <c r="R442" s="424">
        <f>IF(OR(R$419&lt;$C442,R$419&lt;$H$2),0,MIN($E442-SUM($G442:Q442),$F442))</f>
        <v>0</v>
      </c>
      <c r="S442" s="424">
        <f>IF(OR(S$419&lt;$C442,S$419&lt;$H$2),0,MIN($E442-SUM($G442:R442),$F442))</f>
        <v>0</v>
      </c>
      <c r="T442" s="424">
        <f>IF(OR(T$419&lt;$C442,T$419&lt;$H$2),0,MIN($E442-SUM($G442:S442),$F442))</f>
        <v>0</v>
      </c>
      <c r="U442" s="424">
        <f>IF(OR(U$419&lt;$C442,U$419&lt;$H$2),0,MIN($E442-SUM($G442:T442),$F442))</f>
        <v>0</v>
      </c>
      <c r="V442" s="424">
        <f>IF(OR(V$419&lt;$C442,V$419&lt;$H$2),0,MIN($E442-SUM($G442:U442),$F442))</f>
        <v>0</v>
      </c>
      <c r="W442" s="424">
        <f>IF(OR(W$419&lt;$C442,W$419&lt;$H$2),0,MIN($E442-SUM($G442:V442),$F442))</f>
        <v>0</v>
      </c>
      <c r="X442" s="424">
        <f>IF(OR(X$419&lt;$C442,X$419&lt;$H$2),0,MIN($E442-SUM($G442:W442),$F442))</f>
        <v>0</v>
      </c>
      <c r="Y442" s="424">
        <f>IF(OR(Y$419&lt;$C442,Y$419&lt;$H$2),0,MIN($E442-SUM($G442:X442),$F442))</f>
        <v>0</v>
      </c>
      <c r="Z442" s="424">
        <f>IF(OR(Z$419&lt;$C442,Z$419&lt;$H$2),0,MIN($E442-SUM($G442:Y442),$F442))</f>
        <v>0</v>
      </c>
      <c r="AA442" s="424">
        <f>IF(OR(AA$419&lt;$C442,AA$419&lt;$H$2),0,MIN($E442-SUM($G442:Z442),$F442))</f>
        <v>0</v>
      </c>
      <c r="AB442" s="424">
        <f>IF(OR(AB$419&lt;$C442,AB$419&lt;$H$2),0,MIN($E442-SUM($G442:AA442),$F442))</f>
        <v>0</v>
      </c>
      <c r="AC442" s="424">
        <f>IF(OR(AC$419&lt;$C442,AC$419&lt;$H$2),0,MIN($E442-SUM($G442:AB442),$F442))</f>
        <v>0</v>
      </c>
      <c r="AD442" s="424">
        <f>IF(OR(AD$419&lt;$C442,AD$419&lt;$H$2),0,MIN($E442-SUM($G442:AC442),$F442))</f>
        <v>0</v>
      </c>
    </row>
    <row r="443" spans="3:30">
      <c r="C443" s="201">
        <v>53709</v>
      </c>
      <c r="D443" s="94" t="s">
        <v>134</v>
      </c>
      <c r="E443" s="424">
        <f t="shared" si="154"/>
        <v>0</v>
      </c>
      <c r="F443" s="209">
        <f t="shared" si="155"/>
        <v>0</v>
      </c>
      <c r="H443" s="424">
        <f>IF(OR(H$419&lt;$C443,H$419&lt;$H$2),0,MIN($E443-SUM($G443:G443),$F443))</f>
        <v>0</v>
      </c>
      <c r="I443" s="424">
        <f>IF(OR(I$419&lt;$C443,I$419&lt;$H$2),0,MIN($E443-SUM($G443:H443),$F443))</f>
        <v>0</v>
      </c>
      <c r="J443" s="424">
        <f>IF(OR(J$419&lt;$C443,J$419&lt;$H$2),0,MIN($E443-SUM($G443:I443),$F443))</f>
        <v>0</v>
      </c>
      <c r="K443" s="424">
        <f>IF(OR(K$419&lt;$C443,K$419&lt;$H$2),0,MIN($E443-SUM($G443:J443),$F443))</f>
        <v>0</v>
      </c>
      <c r="L443" s="424">
        <f>IF(OR(L$419&lt;$C443,L$419&lt;$H$2),0,MIN($E443-SUM($G443:K443),$F443))</f>
        <v>0</v>
      </c>
      <c r="M443" s="424">
        <f>IF(OR(M$419&lt;$C443,M$419&lt;$H$2),0,MIN($E443-SUM($G443:L443),$F443))</f>
        <v>0</v>
      </c>
      <c r="N443" s="424">
        <f>IF(OR(N$419&lt;$C443,N$419&lt;$H$2),0,MIN($E443-SUM($G443:M443),$F443))</f>
        <v>0</v>
      </c>
      <c r="O443" s="424">
        <f>IF(OR(O$419&lt;$C443,O$419&lt;$H$2),0,MIN($E443-SUM($G443:N443),$F443))</f>
        <v>0</v>
      </c>
      <c r="P443" s="424">
        <f>IF(OR(P$419&lt;$C443,P$419&lt;$H$2),0,MIN($E443-SUM($G443:O443),$F443))</f>
        <v>0</v>
      </c>
      <c r="Q443" s="424">
        <f>IF(OR(Q$419&lt;$C443,Q$419&lt;$H$2),0,MIN($E443-SUM($G443:P443),$F443))</f>
        <v>0</v>
      </c>
      <c r="R443" s="424">
        <f>IF(OR(R$419&lt;$C443,R$419&lt;$H$2),0,MIN($E443-SUM($G443:Q443),$F443))</f>
        <v>0</v>
      </c>
      <c r="S443" s="424">
        <f>IF(OR(S$419&lt;$C443,S$419&lt;$H$2),0,MIN($E443-SUM($G443:R443),$F443))</f>
        <v>0</v>
      </c>
      <c r="T443" s="424">
        <f>IF(OR(T$419&lt;$C443,T$419&lt;$H$2),0,MIN($E443-SUM($G443:S443),$F443))</f>
        <v>0</v>
      </c>
      <c r="U443" s="424">
        <f>IF(OR(U$419&lt;$C443,U$419&lt;$H$2),0,MIN($E443-SUM($G443:T443),$F443))</f>
        <v>0</v>
      </c>
      <c r="V443" s="424">
        <f>IF(OR(V$419&lt;$C443,V$419&lt;$H$2),0,MIN($E443-SUM($G443:U443),$F443))</f>
        <v>0</v>
      </c>
      <c r="W443" s="424">
        <f>IF(OR(W$419&lt;$C443,W$419&lt;$H$2),0,MIN($E443-SUM($G443:V443),$F443))</f>
        <v>0</v>
      </c>
      <c r="X443" s="424">
        <f>IF(OR(X$419&lt;$C443,X$419&lt;$H$2),0,MIN($E443-SUM($G443:W443),$F443))</f>
        <v>0</v>
      </c>
      <c r="Y443" s="424">
        <f>IF(OR(Y$419&lt;$C443,Y$419&lt;$H$2),0,MIN($E443-SUM($G443:X443),$F443))</f>
        <v>0</v>
      </c>
      <c r="Z443" s="424">
        <f>IF(OR(Z$419&lt;$C443,Z$419&lt;$H$2),0,MIN($E443-SUM($G443:Y443),$F443))</f>
        <v>0</v>
      </c>
      <c r="AA443" s="424">
        <f>IF(OR(AA$419&lt;$C443,AA$419&lt;$H$2),0,MIN($E443-SUM($G443:Z443),$F443))</f>
        <v>0</v>
      </c>
      <c r="AB443" s="424">
        <f>IF(OR(AB$419&lt;$C443,AB$419&lt;$H$2),0,MIN($E443-SUM($G443:AA443),$F443))</f>
        <v>0</v>
      </c>
      <c r="AC443" s="424">
        <f>IF(OR(AC$419&lt;$C443,AC$419&lt;$H$2),0,MIN($E443-SUM($G443:AB443),$F443))</f>
        <v>0</v>
      </c>
      <c r="AD443" s="424">
        <f>IF(OR(AD$419&lt;$C443,AD$419&lt;$H$2),0,MIN($E443-SUM($G443:AC443),$F443))</f>
        <v>0</v>
      </c>
    </row>
    <row r="444" spans="3:30">
      <c r="C444" s="201">
        <v>54075</v>
      </c>
      <c r="D444" s="94" t="s">
        <v>134</v>
      </c>
      <c r="E444" s="424">
        <f t="shared" si="154"/>
        <v>0</v>
      </c>
      <c r="F444" s="209">
        <f t="shared" si="155"/>
        <v>0</v>
      </c>
      <c r="H444" s="424">
        <f>IF(OR(H$419&lt;$C444,H$419&lt;$H$2),0,MIN($E444-SUM($G444:G444),$F444))</f>
        <v>0</v>
      </c>
      <c r="I444" s="424">
        <f>IF(OR(I$419&lt;$C444,I$419&lt;$H$2),0,MIN($E444-SUM($G444:H444),$F444))</f>
        <v>0</v>
      </c>
      <c r="J444" s="424">
        <f>IF(OR(J$419&lt;$C444,J$419&lt;$H$2),0,MIN($E444-SUM($G444:I444),$F444))</f>
        <v>0</v>
      </c>
      <c r="K444" s="424">
        <f>IF(OR(K$419&lt;$C444,K$419&lt;$H$2),0,MIN($E444-SUM($G444:J444),$F444))</f>
        <v>0</v>
      </c>
      <c r="L444" s="424">
        <f>IF(OR(L$419&lt;$C444,L$419&lt;$H$2),0,MIN($E444-SUM($G444:K444),$F444))</f>
        <v>0</v>
      </c>
      <c r="M444" s="424">
        <f>IF(OR(M$419&lt;$C444,M$419&lt;$H$2),0,MIN($E444-SUM($G444:L444),$F444))</f>
        <v>0</v>
      </c>
      <c r="N444" s="424">
        <f>IF(OR(N$419&lt;$C444,N$419&lt;$H$2),0,MIN($E444-SUM($G444:M444),$F444))</f>
        <v>0</v>
      </c>
      <c r="O444" s="424">
        <f>IF(OR(O$419&lt;$C444,O$419&lt;$H$2),0,MIN($E444-SUM($G444:N444),$F444))</f>
        <v>0</v>
      </c>
      <c r="P444" s="424">
        <f>IF(OR(P$419&lt;$C444,P$419&lt;$H$2),0,MIN($E444-SUM($G444:O444),$F444))</f>
        <v>0</v>
      </c>
      <c r="Q444" s="424">
        <f>IF(OR(Q$419&lt;$C444,Q$419&lt;$H$2),0,MIN($E444-SUM($G444:P444),$F444))</f>
        <v>0</v>
      </c>
      <c r="R444" s="424">
        <f>IF(OR(R$419&lt;$C444,R$419&lt;$H$2),0,MIN($E444-SUM($G444:Q444),$F444))</f>
        <v>0</v>
      </c>
      <c r="S444" s="424">
        <f>IF(OR(S$419&lt;$C444,S$419&lt;$H$2),0,MIN($E444-SUM($G444:R444),$F444))</f>
        <v>0</v>
      </c>
      <c r="T444" s="424">
        <f>IF(OR(T$419&lt;$C444,T$419&lt;$H$2),0,MIN($E444-SUM($G444:S444),$F444))</f>
        <v>0</v>
      </c>
      <c r="U444" s="424">
        <f>IF(OR(U$419&lt;$C444,U$419&lt;$H$2),0,MIN($E444-SUM($G444:T444),$F444))</f>
        <v>0</v>
      </c>
      <c r="V444" s="424">
        <f>IF(OR(V$419&lt;$C444,V$419&lt;$H$2),0,MIN($E444-SUM($G444:U444),$F444))</f>
        <v>0</v>
      </c>
      <c r="W444" s="424">
        <f>IF(OR(W$419&lt;$C444,W$419&lt;$H$2),0,MIN($E444-SUM($G444:V444),$F444))</f>
        <v>0</v>
      </c>
      <c r="X444" s="424">
        <f>IF(OR(X$419&lt;$C444,X$419&lt;$H$2),0,MIN($E444-SUM($G444:W444),$F444))</f>
        <v>0</v>
      </c>
      <c r="Y444" s="424">
        <f>IF(OR(Y$419&lt;$C444,Y$419&lt;$H$2),0,MIN($E444-SUM($G444:X444),$F444))</f>
        <v>0</v>
      </c>
      <c r="Z444" s="424">
        <f>IF(OR(Z$419&lt;$C444,Z$419&lt;$H$2),0,MIN($E444-SUM($G444:Y444),$F444))</f>
        <v>0</v>
      </c>
      <c r="AA444" s="424">
        <f>IF(OR(AA$419&lt;$C444,AA$419&lt;$H$2),0,MIN($E444-SUM($G444:Z444),$F444))</f>
        <v>0</v>
      </c>
      <c r="AB444" s="424">
        <f>IF(OR(AB$419&lt;$C444,AB$419&lt;$H$2),0,MIN($E444-SUM($G444:AA444),$F444))</f>
        <v>0</v>
      </c>
      <c r="AC444" s="424">
        <f>IF(OR(AC$419&lt;$C444,AC$419&lt;$H$2),0,MIN($E444-SUM($G444:AB444),$F444))</f>
        <v>0</v>
      </c>
      <c r="AD444" s="424">
        <f>IF(OR(AD$419&lt;$C444,AD$419&lt;$H$2),0,MIN($E444-SUM($G444:AC444),$F444))</f>
        <v>0</v>
      </c>
    </row>
    <row r="445" spans="3:30" ht="14" thickBot="1">
      <c r="C445" s="240" t="s">
        <v>543</v>
      </c>
      <c r="D445" s="348" t="s">
        <v>134</v>
      </c>
      <c r="E445" s="427">
        <f>SUM(E422:E444)</f>
        <v>34.35</v>
      </c>
      <c r="F445" s="427">
        <f>SUM(F422:F444)</f>
        <v>1.7175000000000002</v>
      </c>
      <c r="G445" s="348"/>
      <c r="H445" s="427">
        <f t="shared" ref="H445:AD445" si="156">SUM(H422:H444)</f>
        <v>0</v>
      </c>
      <c r="I445" s="427">
        <f t="shared" si="156"/>
        <v>0</v>
      </c>
      <c r="J445" s="427">
        <f t="shared" si="156"/>
        <v>0</v>
      </c>
      <c r="K445" s="427">
        <f t="shared" si="156"/>
        <v>0.42937500000000006</v>
      </c>
      <c r="L445" s="427">
        <f t="shared" si="156"/>
        <v>1.1163750000000001</v>
      </c>
      <c r="M445" s="427">
        <f t="shared" si="156"/>
        <v>1.5457500000000002</v>
      </c>
      <c r="N445" s="427">
        <f t="shared" si="156"/>
        <v>1.7175000000000002</v>
      </c>
      <c r="O445" s="427">
        <f t="shared" si="156"/>
        <v>1.7175000000000002</v>
      </c>
      <c r="P445" s="427">
        <f t="shared" si="156"/>
        <v>1.7175000000000002</v>
      </c>
      <c r="Q445" s="427">
        <f t="shared" si="156"/>
        <v>1.7175000000000002</v>
      </c>
      <c r="R445" s="427">
        <f t="shared" si="156"/>
        <v>1.7175000000000002</v>
      </c>
      <c r="S445" s="427">
        <f t="shared" si="156"/>
        <v>1.7175000000000002</v>
      </c>
      <c r="T445" s="427">
        <f t="shared" si="156"/>
        <v>1.7175000000000002</v>
      </c>
      <c r="U445" s="427">
        <f t="shared" si="156"/>
        <v>1.7175000000000002</v>
      </c>
      <c r="V445" s="427">
        <f t="shared" si="156"/>
        <v>1.7175000000000002</v>
      </c>
      <c r="W445" s="427">
        <f t="shared" si="156"/>
        <v>1.7175000000000002</v>
      </c>
      <c r="X445" s="427">
        <f t="shared" si="156"/>
        <v>1.7175000000000002</v>
      </c>
      <c r="Y445" s="427">
        <f t="shared" si="156"/>
        <v>1.7175000000000002</v>
      </c>
      <c r="Z445" s="427">
        <f t="shared" si="156"/>
        <v>1.7175000000000002</v>
      </c>
      <c r="AA445" s="427">
        <f t="shared" si="156"/>
        <v>1.7175000000000002</v>
      </c>
      <c r="AB445" s="427">
        <f t="shared" si="156"/>
        <v>1.7175000000000002</v>
      </c>
      <c r="AC445" s="427">
        <f t="shared" si="156"/>
        <v>1.7175000000000002</v>
      </c>
      <c r="AD445" s="427">
        <f t="shared" si="156"/>
        <v>1.7174999999999971</v>
      </c>
    </row>
    <row r="446" spans="3:30" ht="14" thickTop="1"/>
    <row r="447" spans="3:30" ht="28">
      <c r="C447" s="428" t="s">
        <v>166</v>
      </c>
      <c r="D447" s="428" t="s">
        <v>88</v>
      </c>
      <c r="E447" s="428" t="s">
        <v>555</v>
      </c>
      <c r="F447" s="429" t="s">
        <v>556</v>
      </c>
      <c r="G447" s="430"/>
      <c r="H447" s="201">
        <f t="shared" ref="H447:AD447" si="157">H419</f>
        <v>46023</v>
      </c>
      <c r="I447" s="201">
        <f t="shared" si="157"/>
        <v>46389</v>
      </c>
      <c r="J447" s="201">
        <f t="shared" si="157"/>
        <v>46755</v>
      </c>
      <c r="K447" s="201">
        <f t="shared" si="157"/>
        <v>47121</v>
      </c>
      <c r="L447" s="201">
        <f t="shared" si="157"/>
        <v>47487</v>
      </c>
      <c r="M447" s="201">
        <f t="shared" si="157"/>
        <v>47853</v>
      </c>
      <c r="N447" s="201">
        <f t="shared" si="157"/>
        <v>48219</v>
      </c>
      <c r="O447" s="201">
        <f t="shared" si="157"/>
        <v>48585</v>
      </c>
      <c r="P447" s="201">
        <f t="shared" si="157"/>
        <v>48951</v>
      </c>
      <c r="Q447" s="201">
        <f t="shared" si="157"/>
        <v>49317</v>
      </c>
      <c r="R447" s="201">
        <f t="shared" si="157"/>
        <v>49683</v>
      </c>
      <c r="S447" s="201">
        <f t="shared" si="157"/>
        <v>50049</v>
      </c>
      <c r="T447" s="201">
        <f t="shared" si="157"/>
        <v>50415</v>
      </c>
      <c r="U447" s="201">
        <f t="shared" si="157"/>
        <v>50781</v>
      </c>
      <c r="V447" s="201">
        <f t="shared" si="157"/>
        <v>51147</v>
      </c>
      <c r="W447" s="201">
        <f t="shared" si="157"/>
        <v>51513</v>
      </c>
      <c r="X447" s="201">
        <f t="shared" si="157"/>
        <v>51879</v>
      </c>
      <c r="Y447" s="201">
        <f t="shared" si="157"/>
        <v>52245</v>
      </c>
      <c r="Z447" s="201">
        <f t="shared" si="157"/>
        <v>52611</v>
      </c>
      <c r="AA447" s="201">
        <f t="shared" si="157"/>
        <v>52977</v>
      </c>
      <c r="AB447" s="201">
        <f t="shared" si="157"/>
        <v>53343</v>
      </c>
      <c r="AC447" s="201">
        <f t="shared" si="157"/>
        <v>53709</v>
      </c>
      <c r="AD447" s="201">
        <f t="shared" si="157"/>
        <v>54075</v>
      </c>
    </row>
    <row r="448" spans="3:30">
      <c r="C448" s="430"/>
      <c r="D448" s="430"/>
      <c r="E448" s="428" t="s">
        <v>134</v>
      </c>
      <c r="F448" s="428" t="s">
        <v>134</v>
      </c>
      <c r="G448" s="430"/>
      <c r="H448" s="1141">
        <f t="shared" ref="H448:AD448" si="158">H420</f>
        <v>-4</v>
      </c>
      <c r="I448" s="1141">
        <f t="shared" si="158"/>
        <v>-3</v>
      </c>
      <c r="J448" s="1141">
        <f t="shared" si="158"/>
        <v>-2</v>
      </c>
      <c r="K448" s="1141">
        <f t="shared" si="158"/>
        <v>-1</v>
      </c>
      <c r="L448" s="1141">
        <f t="shared" si="158"/>
        <v>1</v>
      </c>
      <c r="M448" s="1141">
        <f t="shared" si="158"/>
        <v>2</v>
      </c>
      <c r="N448" s="1141">
        <f t="shared" si="158"/>
        <v>3</v>
      </c>
      <c r="O448" s="1141">
        <f t="shared" si="158"/>
        <v>4</v>
      </c>
      <c r="P448" s="1141">
        <f t="shared" si="158"/>
        <v>5</v>
      </c>
      <c r="Q448" s="1141">
        <f t="shared" si="158"/>
        <v>6</v>
      </c>
      <c r="R448" s="1141">
        <f t="shared" si="158"/>
        <v>7</v>
      </c>
      <c r="S448" s="1141">
        <f t="shared" si="158"/>
        <v>8</v>
      </c>
      <c r="T448" s="1141">
        <f t="shared" si="158"/>
        <v>9</v>
      </c>
      <c r="U448" s="1141">
        <f t="shared" si="158"/>
        <v>10</v>
      </c>
      <c r="V448" s="1141">
        <f t="shared" si="158"/>
        <v>11</v>
      </c>
      <c r="W448" s="1141">
        <f t="shared" si="158"/>
        <v>12</v>
      </c>
      <c r="X448" s="1141">
        <f t="shared" si="158"/>
        <v>13</v>
      </c>
      <c r="Y448" s="1141">
        <f t="shared" si="158"/>
        <v>14</v>
      </c>
      <c r="Z448" s="1141">
        <f t="shared" si="158"/>
        <v>15</v>
      </c>
      <c r="AA448" s="1141">
        <f t="shared" si="158"/>
        <v>16</v>
      </c>
      <c r="AB448" s="1141">
        <f t="shared" si="158"/>
        <v>17</v>
      </c>
      <c r="AC448" s="1141">
        <f t="shared" si="158"/>
        <v>18</v>
      </c>
      <c r="AD448" s="1141">
        <f t="shared" si="158"/>
        <v>19</v>
      </c>
    </row>
    <row r="449" spans="3:30">
      <c r="C449" s="191" t="str">
        <f>C95</f>
        <v>Mine Dewatering System</v>
      </c>
    </row>
    <row r="450" spans="3:30">
      <c r="C450" s="201" cm="1">
        <f t="array" ref="C450:C472">TRANSPOSE(H447:AD447)</f>
        <v>46023</v>
      </c>
      <c r="D450" s="94" t="s">
        <v>134</v>
      </c>
      <c r="E450" s="424">
        <f t="shared" ref="E450:E472" si="159">HLOOKUP($C450,$H$39:$AI$112,59,FALSE)</f>
        <v>0</v>
      </c>
      <c r="F450" s="209">
        <f>E450*$F$95</f>
        <v>0</v>
      </c>
      <c r="H450" s="424">
        <f>IF(OR(H$447&lt;$C450,H$447&lt;$H$2),0,MIN($E450-SUM($G450:G450),$F450))</f>
        <v>0</v>
      </c>
      <c r="I450" s="424">
        <f>IF(OR(I$447&lt;$C450,I$447&lt;$H$2),0,MIN($E450-SUM($G450:H450),$F450))</f>
        <v>0</v>
      </c>
      <c r="J450" s="424">
        <f>IF(OR(J$447&lt;$C450,J$447&lt;$H$2),0,MIN($E450-SUM($G450:I450),$F450))</f>
        <v>0</v>
      </c>
      <c r="K450" s="424">
        <f>IF(OR(K$447&lt;$C450,K$447&lt;$H$2),0,MIN($E450-SUM($G450:J450),$F450))</f>
        <v>0</v>
      </c>
      <c r="L450" s="424">
        <f>IF(OR(L$447&lt;$C450,L$447&lt;$H$2),0,MIN($E450-SUM($G450:K450),$F450))</f>
        <v>0</v>
      </c>
      <c r="M450" s="424">
        <f>IF(OR(M$447&lt;$C450,M$447&lt;$H$2),0,MIN($E450-SUM($G450:L450),$F450))</f>
        <v>0</v>
      </c>
      <c r="N450" s="424">
        <f>IF(OR(N$447&lt;$C450,N$447&lt;$H$2),0,MIN($E450-SUM($G450:M450),$F450))</f>
        <v>0</v>
      </c>
      <c r="O450" s="424">
        <f>IF(OR(O$447&lt;$C450,O$447&lt;$H$2),0,MIN($E450-SUM($G450:N450),$F450))</f>
        <v>0</v>
      </c>
      <c r="P450" s="424">
        <f>IF(OR(P$447&lt;$C450,P$447&lt;$H$2),0,MIN($E450-SUM($G450:O450),$F450))</f>
        <v>0</v>
      </c>
      <c r="Q450" s="424">
        <f>IF(OR(Q$447&lt;$C450,Q$447&lt;$H$2),0,MIN($E450-SUM($G450:P450),$F450))</f>
        <v>0</v>
      </c>
      <c r="R450" s="424">
        <f>IF(OR(R$447&lt;$C450,R$447&lt;$H$2),0,MIN($E450-SUM($G450:Q450),$F450))</f>
        <v>0</v>
      </c>
      <c r="S450" s="424">
        <f>IF(OR(S$447&lt;$C450,S$447&lt;$H$2),0,MIN($E450-SUM($G450:R450),$F450))</f>
        <v>0</v>
      </c>
      <c r="T450" s="424">
        <f>IF(OR(T$447&lt;$C450,T$447&lt;$H$2),0,MIN($E450-SUM($G450:S450),$F450))</f>
        <v>0</v>
      </c>
      <c r="U450" s="424">
        <f>IF(OR(U$447&lt;$C450,U$447&lt;$H$2),0,MIN($E450-SUM($G450:T450),$F450))</f>
        <v>0</v>
      </c>
      <c r="V450" s="424">
        <f>IF(OR(V$447&lt;$C450,V$447&lt;$H$2),0,MIN($E450-SUM($G450:U450),$F450))</f>
        <v>0</v>
      </c>
      <c r="W450" s="424">
        <f>IF(OR(W$447&lt;$C450,W$447&lt;$H$2),0,MIN($E450-SUM($G450:V450),$F450))</f>
        <v>0</v>
      </c>
      <c r="X450" s="424">
        <f>IF(OR(X$447&lt;$C450,X$447&lt;$H$2),0,MIN($E450-SUM($G450:W450),$F450))</f>
        <v>0</v>
      </c>
      <c r="Y450" s="424">
        <f>IF(OR(Y$447&lt;$C450,Y$447&lt;$H$2),0,MIN($E450-SUM($G450:X450),$F450))</f>
        <v>0</v>
      </c>
      <c r="Z450" s="424">
        <f>IF(OR(Z$447&lt;$C450,Z$447&lt;$H$2),0,MIN($E450-SUM($G450:Y450),$F450))</f>
        <v>0</v>
      </c>
      <c r="AA450" s="424">
        <f>IF(OR(AA$447&lt;$C450,AA$447&lt;$H$2),0,MIN($E450-SUM($G450:Z450),$F450))</f>
        <v>0</v>
      </c>
      <c r="AB450" s="424">
        <f>IF(OR(AB$447&lt;$C450,AB$447&lt;$H$2),0,MIN($E450-SUM($G450:AA450),$F450))</f>
        <v>0</v>
      </c>
      <c r="AC450" s="424">
        <f>IF(OR(AC$447&lt;$C450,AC$447&lt;$H$2),0,MIN($E450-SUM($G450:AB450),$F450))</f>
        <v>0</v>
      </c>
      <c r="AD450" s="424">
        <f>IF(OR(AD$447&lt;$C450,AD$447&lt;$H$2),0,MIN($E450-SUM($G450:AC450),$F450))</f>
        <v>0</v>
      </c>
    </row>
    <row r="451" spans="3:30">
      <c r="C451" s="201">
        <v>46389</v>
      </c>
      <c r="D451" s="94" t="s">
        <v>134</v>
      </c>
      <c r="E451" s="424">
        <f t="shared" si="159"/>
        <v>0</v>
      </c>
      <c r="F451" s="209">
        <f t="shared" ref="F451:F472" si="160">E451*$F$95</f>
        <v>0</v>
      </c>
      <c r="H451" s="424">
        <f>IF(OR(H$447&lt;$C451,H$447&lt;$H$2),0,MIN($E451-SUM($G451:G451),$F451))</f>
        <v>0</v>
      </c>
      <c r="I451" s="424">
        <f>IF(OR(I$447&lt;$C451,I$447&lt;$H$2),0,MIN($E451-SUM($G451:H451),$F451))</f>
        <v>0</v>
      </c>
      <c r="J451" s="424">
        <f>IF(OR(J$447&lt;$C451,J$447&lt;$H$2),0,MIN($E451-SUM($G451:I451),$F451))</f>
        <v>0</v>
      </c>
      <c r="K451" s="424">
        <f>IF(OR(K$447&lt;$C451,K$447&lt;$H$2),0,MIN($E451-SUM($G451:J451),$F451))</f>
        <v>0</v>
      </c>
      <c r="L451" s="424">
        <f>IF(OR(L$447&lt;$C451,L$447&lt;$H$2),0,MIN($E451-SUM($G451:K451),$F451))</f>
        <v>0</v>
      </c>
      <c r="M451" s="424">
        <f>IF(OR(M$447&lt;$C451,M$447&lt;$H$2),0,MIN($E451-SUM($G451:L451),$F451))</f>
        <v>0</v>
      </c>
      <c r="N451" s="424">
        <f>IF(OR(N$447&lt;$C451,N$447&lt;$H$2),0,MIN($E451-SUM($G451:M451),$F451))</f>
        <v>0</v>
      </c>
      <c r="O451" s="424">
        <f>IF(OR(O$447&lt;$C451,O$447&lt;$H$2),0,MIN($E451-SUM($G451:N451),$F451))</f>
        <v>0</v>
      </c>
      <c r="P451" s="424">
        <f>IF(OR(P$447&lt;$C451,P$447&lt;$H$2),0,MIN($E451-SUM($G451:O451),$F451))</f>
        <v>0</v>
      </c>
      <c r="Q451" s="424">
        <f>IF(OR(Q$447&lt;$C451,Q$447&lt;$H$2),0,MIN($E451-SUM($G451:P451),$F451))</f>
        <v>0</v>
      </c>
      <c r="R451" s="424">
        <f>IF(OR(R$447&lt;$C451,R$447&lt;$H$2),0,MIN($E451-SUM($G451:Q451),$F451))</f>
        <v>0</v>
      </c>
      <c r="S451" s="424">
        <f>IF(OR(S$447&lt;$C451,S$447&lt;$H$2),0,MIN($E451-SUM($G451:R451),$F451))</f>
        <v>0</v>
      </c>
      <c r="T451" s="424">
        <f>IF(OR(T$447&lt;$C451,T$447&lt;$H$2),0,MIN($E451-SUM($G451:S451),$F451))</f>
        <v>0</v>
      </c>
      <c r="U451" s="424">
        <f>IF(OR(U$447&lt;$C451,U$447&lt;$H$2),0,MIN($E451-SUM($G451:T451),$F451))</f>
        <v>0</v>
      </c>
      <c r="V451" s="424">
        <f>IF(OR(V$447&lt;$C451,V$447&lt;$H$2),0,MIN($E451-SUM($G451:U451),$F451))</f>
        <v>0</v>
      </c>
      <c r="W451" s="424">
        <f>IF(OR(W$447&lt;$C451,W$447&lt;$H$2),0,MIN($E451-SUM($G451:V451),$F451))</f>
        <v>0</v>
      </c>
      <c r="X451" s="424">
        <f>IF(OR(X$447&lt;$C451,X$447&lt;$H$2),0,MIN($E451-SUM($G451:W451),$F451))</f>
        <v>0</v>
      </c>
      <c r="Y451" s="424">
        <f>IF(OR(Y$447&lt;$C451,Y$447&lt;$H$2),0,MIN($E451-SUM($G451:X451),$F451))</f>
        <v>0</v>
      </c>
      <c r="Z451" s="424">
        <f>IF(OR(Z$447&lt;$C451,Z$447&lt;$H$2),0,MIN($E451-SUM($G451:Y451),$F451))</f>
        <v>0</v>
      </c>
      <c r="AA451" s="424">
        <f>IF(OR(AA$447&lt;$C451,AA$447&lt;$H$2),0,MIN($E451-SUM($G451:Z451),$F451))</f>
        <v>0</v>
      </c>
      <c r="AB451" s="424">
        <f>IF(OR(AB$447&lt;$C451,AB$447&lt;$H$2),0,MIN($E451-SUM($G451:AA451),$F451))</f>
        <v>0</v>
      </c>
      <c r="AC451" s="424">
        <f>IF(OR(AC$447&lt;$C451,AC$447&lt;$H$2),0,MIN($E451-SUM($G451:AB451),$F451))</f>
        <v>0</v>
      </c>
      <c r="AD451" s="424">
        <f>IF(OR(AD$447&lt;$C451,AD$447&lt;$H$2),0,MIN($E451-SUM($G451:AC451),$F451))</f>
        <v>0</v>
      </c>
    </row>
    <row r="452" spans="3:30">
      <c r="C452" s="201">
        <v>46755</v>
      </c>
      <c r="D452" s="94" t="s">
        <v>134</v>
      </c>
      <c r="E452" s="424">
        <f t="shared" si="159"/>
        <v>0</v>
      </c>
      <c r="F452" s="209">
        <f t="shared" si="160"/>
        <v>0</v>
      </c>
      <c r="H452" s="424">
        <f>IF(OR(H$447&lt;$C452,H$447&lt;$H$2),0,MIN($E452-SUM($G452:G452),$F452))</f>
        <v>0</v>
      </c>
      <c r="I452" s="424">
        <f>IF(OR(I$447&lt;$C452,I$447&lt;$H$2),0,MIN($E452-SUM($G452:H452),$F452))</f>
        <v>0</v>
      </c>
      <c r="J452" s="424">
        <f>IF(OR(J$447&lt;$C452,J$447&lt;$H$2),0,MIN($E452-SUM($G452:I452),$F452))</f>
        <v>0</v>
      </c>
      <c r="K452" s="424">
        <f>IF(OR(K$447&lt;$C452,K$447&lt;$H$2),0,MIN($E452-SUM($G452:J452),$F452))</f>
        <v>0</v>
      </c>
      <c r="L452" s="424">
        <f>IF(OR(L$447&lt;$C452,L$447&lt;$H$2),0,MIN($E452-SUM($G452:K452),$F452))</f>
        <v>0</v>
      </c>
      <c r="M452" s="424">
        <f>IF(OR(M$447&lt;$C452,M$447&lt;$H$2),0,MIN($E452-SUM($G452:L452),$F452))</f>
        <v>0</v>
      </c>
      <c r="N452" s="424">
        <f>IF(OR(N$447&lt;$C452,N$447&lt;$H$2),0,MIN($E452-SUM($G452:M452),$F452))</f>
        <v>0</v>
      </c>
      <c r="O452" s="424">
        <f>IF(OR(O$447&lt;$C452,O$447&lt;$H$2),0,MIN($E452-SUM($G452:N452),$F452))</f>
        <v>0</v>
      </c>
      <c r="P452" s="424">
        <f>IF(OR(P$447&lt;$C452,P$447&lt;$H$2),0,MIN($E452-SUM($G452:O452),$F452))</f>
        <v>0</v>
      </c>
      <c r="Q452" s="424">
        <f>IF(OR(Q$447&lt;$C452,Q$447&lt;$H$2),0,MIN($E452-SUM($G452:P452),$F452))</f>
        <v>0</v>
      </c>
      <c r="R452" s="424">
        <f>IF(OR(R$447&lt;$C452,R$447&lt;$H$2),0,MIN($E452-SUM($G452:Q452),$F452))</f>
        <v>0</v>
      </c>
      <c r="S452" s="424">
        <f>IF(OR(S$447&lt;$C452,S$447&lt;$H$2),0,MIN($E452-SUM($G452:R452),$F452))</f>
        <v>0</v>
      </c>
      <c r="T452" s="424">
        <f>IF(OR(T$447&lt;$C452,T$447&lt;$H$2),0,MIN($E452-SUM($G452:S452),$F452))</f>
        <v>0</v>
      </c>
      <c r="U452" s="424">
        <f>IF(OR(U$447&lt;$C452,U$447&lt;$H$2),0,MIN($E452-SUM($G452:T452),$F452))</f>
        <v>0</v>
      </c>
      <c r="V452" s="424">
        <f>IF(OR(V$447&lt;$C452,V$447&lt;$H$2),0,MIN($E452-SUM($G452:U452),$F452))</f>
        <v>0</v>
      </c>
      <c r="W452" s="424">
        <f>IF(OR(W$447&lt;$C452,W$447&lt;$H$2),0,MIN($E452-SUM($G452:V452),$F452))</f>
        <v>0</v>
      </c>
      <c r="X452" s="424">
        <f>IF(OR(X$447&lt;$C452,X$447&lt;$H$2),0,MIN($E452-SUM($G452:W452),$F452))</f>
        <v>0</v>
      </c>
      <c r="Y452" s="424">
        <f>IF(OR(Y$447&lt;$C452,Y$447&lt;$H$2),0,MIN($E452-SUM($G452:X452),$F452))</f>
        <v>0</v>
      </c>
      <c r="Z452" s="424">
        <f>IF(OR(Z$447&lt;$C452,Z$447&lt;$H$2),0,MIN($E452-SUM($G452:Y452),$F452))</f>
        <v>0</v>
      </c>
      <c r="AA452" s="424">
        <f>IF(OR(AA$447&lt;$C452,AA$447&lt;$H$2),0,MIN($E452-SUM($G452:Z452),$F452))</f>
        <v>0</v>
      </c>
      <c r="AB452" s="424">
        <f>IF(OR(AB$447&lt;$C452,AB$447&lt;$H$2),0,MIN($E452-SUM($G452:AA452),$F452))</f>
        <v>0</v>
      </c>
      <c r="AC452" s="424">
        <f>IF(OR(AC$447&lt;$C452,AC$447&lt;$H$2),0,MIN($E452-SUM($G452:AB452),$F452))</f>
        <v>0</v>
      </c>
      <c r="AD452" s="424">
        <f>IF(OR(AD$447&lt;$C452,AD$447&lt;$H$2),0,MIN($E452-SUM($G452:AC452),$F452))</f>
        <v>0</v>
      </c>
    </row>
    <row r="453" spans="3:30">
      <c r="C453" s="201">
        <v>47121</v>
      </c>
      <c r="D453" s="94" t="s">
        <v>134</v>
      </c>
      <c r="E453" s="424">
        <f t="shared" si="159"/>
        <v>0</v>
      </c>
      <c r="F453" s="209">
        <f t="shared" si="160"/>
        <v>0</v>
      </c>
      <c r="H453" s="424">
        <f>IF(OR(H$447&lt;$C453,H$447&lt;$H$2),0,MIN($E453-SUM($G453:G453),$F453))</f>
        <v>0</v>
      </c>
      <c r="I453" s="424">
        <f>IF(OR(I$447&lt;$C453,I$447&lt;$H$2),0,MIN($E453-SUM($G453:H453),$F453))</f>
        <v>0</v>
      </c>
      <c r="J453" s="424">
        <f>IF(OR(J$447&lt;$C453,J$447&lt;$H$2),0,MIN($E453-SUM($G453:I453),$F453))</f>
        <v>0</v>
      </c>
      <c r="K453" s="424">
        <f>IF(OR(K$447&lt;$C453,K$447&lt;$H$2),0,MIN($E453-SUM($G453:J453),$F453))</f>
        <v>0</v>
      </c>
      <c r="L453" s="424">
        <f>IF(OR(L$447&lt;$C453,L$447&lt;$H$2),0,MIN($E453-SUM($G453:K453),$F453))</f>
        <v>0</v>
      </c>
      <c r="M453" s="424">
        <f>IF(OR(M$447&lt;$C453,M$447&lt;$H$2),0,MIN($E453-SUM($G453:L453),$F453))</f>
        <v>0</v>
      </c>
      <c r="N453" s="424">
        <f>IF(OR(N$447&lt;$C453,N$447&lt;$H$2),0,MIN($E453-SUM($G453:M453),$F453))</f>
        <v>0</v>
      </c>
      <c r="O453" s="424">
        <f>IF(OR(O$447&lt;$C453,O$447&lt;$H$2),0,MIN($E453-SUM($G453:N453),$F453))</f>
        <v>0</v>
      </c>
      <c r="P453" s="424">
        <f>IF(OR(P$447&lt;$C453,P$447&lt;$H$2),0,MIN($E453-SUM($G453:O453),$F453))</f>
        <v>0</v>
      </c>
      <c r="Q453" s="424">
        <f>IF(OR(Q$447&lt;$C453,Q$447&lt;$H$2),0,MIN($E453-SUM($G453:P453),$F453))</f>
        <v>0</v>
      </c>
      <c r="R453" s="424">
        <f>IF(OR(R$447&lt;$C453,R$447&lt;$H$2),0,MIN($E453-SUM($G453:Q453),$F453))</f>
        <v>0</v>
      </c>
      <c r="S453" s="424">
        <f>IF(OR(S$447&lt;$C453,S$447&lt;$H$2),0,MIN($E453-SUM($G453:R453),$F453))</f>
        <v>0</v>
      </c>
      <c r="T453" s="424">
        <f>IF(OR(T$447&lt;$C453,T$447&lt;$H$2),0,MIN($E453-SUM($G453:S453),$F453))</f>
        <v>0</v>
      </c>
      <c r="U453" s="424">
        <f>IF(OR(U$447&lt;$C453,U$447&lt;$H$2),0,MIN($E453-SUM($G453:T453),$F453))</f>
        <v>0</v>
      </c>
      <c r="V453" s="424">
        <f>IF(OR(V$447&lt;$C453,V$447&lt;$H$2),0,MIN($E453-SUM($G453:U453),$F453))</f>
        <v>0</v>
      </c>
      <c r="W453" s="424">
        <f>IF(OR(W$447&lt;$C453,W$447&lt;$H$2),0,MIN($E453-SUM($G453:V453),$F453))</f>
        <v>0</v>
      </c>
      <c r="X453" s="424">
        <f>IF(OR(X$447&lt;$C453,X$447&lt;$H$2),0,MIN($E453-SUM($G453:W453),$F453))</f>
        <v>0</v>
      </c>
      <c r="Y453" s="424">
        <f>IF(OR(Y$447&lt;$C453,Y$447&lt;$H$2),0,MIN($E453-SUM($G453:X453),$F453))</f>
        <v>0</v>
      </c>
      <c r="Z453" s="424">
        <f>IF(OR(Z$447&lt;$C453,Z$447&lt;$H$2),0,MIN($E453-SUM($G453:Y453),$F453))</f>
        <v>0</v>
      </c>
      <c r="AA453" s="424">
        <f>IF(OR(AA$447&lt;$C453,AA$447&lt;$H$2),0,MIN($E453-SUM($G453:Z453),$F453))</f>
        <v>0</v>
      </c>
      <c r="AB453" s="424">
        <f>IF(OR(AB$447&lt;$C453,AB$447&lt;$H$2),0,MIN($E453-SUM($G453:AA453),$F453))</f>
        <v>0</v>
      </c>
      <c r="AC453" s="424">
        <f>IF(OR(AC$447&lt;$C453,AC$447&lt;$H$2),0,MIN($E453-SUM($G453:AB453),$F453))</f>
        <v>0</v>
      </c>
      <c r="AD453" s="424">
        <f>IF(OR(AD$447&lt;$C453,AD$447&lt;$H$2),0,MIN($E453-SUM($G453:AC453),$F453))</f>
        <v>0</v>
      </c>
    </row>
    <row r="454" spans="3:30">
      <c r="C454" s="201">
        <v>47487</v>
      </c>
      <c r="D454" s="94" t="s">
        <v>134</v>
      </c>
      <c r="E454" s="424">
        <f t="shared" si="159"/>
        <v>2.8256089083763327</v>
      </c>
      <c r="F454" s="209">
        <f t="shared" si="160"/>
        <v>0.18846811418870138</v>
      </c>
      <c r="H454" s="424">
        <f>IF(OR(H$447&lt;$C454,H$447&lt;$H$2),0,MIN($E454-SUM($G454:G454),$F454))</f>
        <v>0</v>
      </c>
      <c r="I454" s="424">
        <f>IF(OR(I$447&lt;$C454,I$447&lt;$H$2),0,MIN($E454-SUM($G454:H454),$F454))</f>
        <v>0</v>
      </c>
      <c r="J454" s="424">
        <f>IF(OR(J$447&lt;$C454,J$447&lt;$H$2),0,MIN($E454-SUM($G454:I454),$F454))</f>
        <v>0</v>
      </c>
      <c r="K454" s="424">
        <f>IF(OR(K$447&lt;$C454,K$447&lt;$H$2),0,MIN($E454-SUM($G454:J454),$F454))</f>
        <v>0</v>
      </c>
      <c r="L454" s="424">
        <f>IF(OR(L$447&lt;$C454,L$447&lt;$H$2),0,MIN($E454-SUM($G454:K454),$F454))</f>
        <v>0.18846811418870138</v>
      </c>
      <c r="M454" s="424">
        <f>IF(OR(M$447&lt;$C454,M$447&lt;$H$2),0,MIN($E454-SUM($G454:L454),$F454))</f>
        <v>0.18846811418870138</v>
      </c>
      <c r="N454" s="424">
        <f>IF(OR(N$447&lt;$C454,N$447&lt;$H$2),0,MIN($E454-SUM($G454:M454),$F454))</f>
        <v>0.18846811418870138</v>
      </c>
      <c r="O454" s="424">
        <f>IF(OR(O$447&lt;$C454,O$447&lt;$H$2),0,MIN($E454-SUM($G454:N454),$F454))</f>
        <v>0.18846811418870138</v>
      </c>
      <c r="P454" s="424">
        <f>IF(OR(P$447&lt;$C454,P$447&lt;$H$2),0,MIN($E454-SUM($G454:O454),$F454))</f>
        <v>0.18846811418870138</v>
      </c>
      <c r="Q454" s="424">
        <f>IF(OR(Q$447&lt;$C454,Q$447&lt;$H$2),0,MIN($E454-SUM($G454:P454),$F454))</f>
        <v>0.18846811418870138</v>
      </c>
      <c r="R454" s="424">
        <f>IF(OR(R$447&lt;$C454,R$447&lt;$H$2),0,MIN($E454-SUM($G454:Q454),$F454))</f>
        <v>0.18846811418870138</v>
      </c>
      <c r="S454" s="424">
        <f>IF(OR(S$447&lt;$C454,S$447&lt;$H$2),0,MIN($E454-SUM($G454:R454),$F454))</f>
        <v>0.18846811418870138</v>
      </c>
      <c r="T454" s="424">
        <f>IF(OR(T$447&lt;$C454,T$447&lt;$H$2),0,MIN($E454-SUM($G454:S454),$F454))</f>
        <v>0.18846811418870138</v>
      </c>
      <c r="U454" s="424">
        <f>IF(OR(U$447&lt;$C454,U$447&lt;$H$2),0,MIN($E454-SUM($G454:T454),$F454))</f>
        <v>0.18846811418870138</v>
      </c>
      <c r="V454" s="424">
        <f>IF(OR(V$447&lt;$C454,V$447&lt;$H$2),0,MIN($E454-SUM($G454:U454),$F454))</f>
        <v>0.18846811418870138</v>
      </c>
      <c r="W454" s="424">
        <f>IF(OR(W$447&lt;$C454,W$447&lt;$H$2),0,MIN($E454-SUM($G454:V454),$F454))</f>
        <v>0.18846811418870138</v>
      </c>
      <c r="X454" s="424">
        <f>IF(OR(X$447&lt;$C454,X$447&lt;$H$2),0,MIN($E454-SUM($G454:W454),$F454))</f>
        <v>0.18846811418870138</v>
      </c>
      <c r="Y454" s="424">
        <f>IF(OR(Y$447&lt;$C454,Y$447&lt;$H$2),0,MIN($E454-SUM($G454:X454),$F454))</f>
        <v>0.18846811418870138</v>
      </c>
      <c r="Z454" s="424">
        <f>IF(OR(Z$447&lt;$C454,Z$447&lt;$H$2),0,MIN($E454-SUM($G454:Y454),$F454))</f>
        <v>0.18705530973451268</v>
      </c>
      <c r="AA454" s="424">
        <f>IF(OR(AA$447&lt;$C454,AA$447&lt;$H$2),0,MIN($E454-SUM($G454:Z454),$F454))</f>
        <v>0</v>
      </c>
      <c r="AB454" s="424">
        <f>IF(OR(AB$447&lt;$C454,AB$447&lt;$H$2),0,MIN($E454-SUM($G454:AA454),$F454))</f>
        <v>0</v>
      </c>
      <c r="AC454" s="424">
        <f>IF(OR(AC$447&lt;$C454,AC$447&lt;$H$2),0,MIN($E454-SUM($G454:AB454),$F454))</f>
        <v>0</v>
      </c>
      <c r="AD454" s="424">
        <f>IF(OR(AD$447&lt;$C454,AD$447&lt;$H$2),0,MIN($E454-SUM($G454:AC454),$F454))</f>
        <v>0</v>
      </c>
    </row>
    <row r="455" spans="3:30">
      <c r="C455" s="201">
        <v>47853</v>
      </c>
      <c r="D455" s="94" t="s">
        <v>134</v>
      </c>
      <c r="E455" s="424">
        <f t="shared" si="159"/>
        <v>2.0484987835200386</v>
      </c>
      <c r="F455" s="209">
        <f t="shared" si="160"/>
        <v>0.13663486886078657</v>
      </c>
      <c r="H455" s="424">
        <f>IF(OR(H$447&lt;$C455,H$447&lt;$H$2),0,MIN($E455-SUM($G455:G455),$F455))</f>
        <v>0</v>
      </c>
      <c r="I455" s="424">
        <f>IF(OR(I$447&lt;$C455,I$447&lt;$H$2),0,MIN($E455-SUM($G455:H455),$F455))</f>
        <v>0</v>
      </c>
      <c r="J455" s="424">
        <f>IF(OR(J$447&lt;$C455,J$447&lt;$H$2),0,MIN($E455-SUM($G455:I455),$F455))</f>
        <v>0</v>
      </c>
      <c r="K455" s="424">
        <f>IF(OR(K$447&lt;$C455,K$447&lt;$H$2),0,MIN($E455-SUM($G455:J455),$F455))</f>
        <v>0</v>
      </c>
      <c r="L455" s="424">
        <f>IF(OR(L$447&lt;$C455,L$447&lt;$H$2),0,MIN($E455-SUM($G455:K455),$F455))</f>
        <v>0</v>
      </c>
      <c r="M455" s="424">
        <f>IF(OR(M$447&lt;$C455,M$447&lt;$H$2),0,MIN($E455-SUM($G455:L455),$F455))</f>
        <v>0.13663486886078657</v>
      </c>
      <c r="N455" s="424">
        <f>IF(OR(N$447&lt;$C455,N$447&lt;$H$2),0,MIN($E455-SUM($G455:M455),$F455))</f>
        <v>0.13663486886078657</v>
      </c>
      <c r="O455" s="424">
        <f>IF(OR(O$447&lt;$C455,O$447&lt;$H$2),0,MIN($E455-SUM($G455:N455),$F455))</f>
        <v>0.13663486886078657</v>
      </c>
      <c r="P455" s="424">
        <f>IF(OR(P$447&lt;$C455,P$447&lt;$H$2),0,MIN($E455-SUM($G455:O455),$F455))</f>
        <v>0.13663486886078657</v>
      </c>
      <c r="Q455" s="424">
        <f>IF(OR(Q$447&lt;$C455,Q$447&lt;$H$2),0,MIN($E455-SUM($G455:P455),$F455))</f>
        <v>0.13663486886078657</v>
      </c>
      <c r="R455" s="424">
        <f>IF(OR(R$447&lt;$C455,R$447&lt;$H$2),0,MIN($E455-SUM($G455:Q455),$F455))</f>
        <v>0.13663486886078657</v>
      </c>
      <c r="S455" s="424">
        <f>IF(OR(S$447&lt;$C455,S$447&lt;$H$2),0,MIN($E455-SUM($G455:R455),$F455))</f>
        <v>0.13663486886078657</v>
      </c>
      <c r="T455" s="424">
        <f>IF(OR(T$447&lt;$C455,T$447&lt;$H$2),0,MIN($E455-SUM($G455:S455),$F455))</f>
        <v>0.13663486886078657</v>
      </c>
      <c r="U455" s="424">
        <f>IF(OR(U$447&lt;$C455,U$447&lt;$H$2),0,MIN($E455-SUM($G455:T455),$F455))</f>
        <v>0.13663486886078657</v>
      </c>
      <c r="V455" s="424">
        <f>IF(OR(V$447&lt;$C455,V$447&lt;$H$2),0,MIN($E455-SUM($G455:U455),$F455))</f>
        <v>0.13663486886078657</v>
      </c>
      <c r="W455" s="424">
        <f>IF(OR(W$447&lt;$C455,W$447&lt;$H$2),0,MIN($E455-SUM($G455:V455),$F455))</f>
        <v>0.13663486886078657</v>
      </c>
      <c r="X455" s="424">
        <f>IF(OR(X$447&lt;$C455,X$447&lt;$H$2),0,MIN($E455-SUM($G455:W455),$F455))</f>
        <v>0.13663486886078657</v>
      </c>
      <c r="Y455" s="424">
        <f>IF(OR(Y$447&lt;$C455,Y$447&lt;$H$2),0,MIN($E455-SUM($G455:X455),$F455))</f>
        <v>0.13663486886078657</v>
      </c>
      <c r="Z455" s="424">
        <f>IF(OR(Z$447&lt;$C455,Z$447&lt;$H$2),0,MIN($E455-SUM($G455:Y455),$F455))</f>
        <v>0.13663486886078657</v>
      </c>
      <c r="AA455" s="424">
        <f>IF(OR(AA$447&lt;$C455,AA$447&lt;$H$2),0,MIN($E455-SUM($G455:Z455),$F455))</f>
        <v>0.13561061946902653</v>
      </c>
      <c r="AB455" s="424">
        <f>IF(OR(AB$447&lt;$C455,AB$447&lt;$H$2),0,MIN($E455-SUM($G455:AA455),$F455))</f>
        <v>0</v>
      </c>
      <c r="AC455" s="424">
        <f>IF(OR(AC$447&lt;$C455,AC$447&lt;$H$2),0,MIN($E455-SUM($G455:AB455),$F455))</f>
        <v>0</v>
      </c>
      <c r="AD455" s="424">
        <f>IF(OR(AD$447&lt;$C455,AD$447&lt;$H$2),0,MIN($E455-SUM($G455:AC455),$F455))</f>
        <v>0</v>
      </c>
    </row>
    <row r="456" spans="3:30">
      <c r="C456" s="201">
        <v>48219</v>
      </c>
      <c r="D456" s="94" t="s">
        <v>134</v>
      </c>
      <c r="E456" s="424">
        <f t="shared" si="159"/>
        <v>0</v>
      </c>
      <c r="F456" s="209">
        <f t="shared" si="160"/>
        <v>0</v>
      </c>
      <c r="H456" s="424">
        <f>IF(OR(H$447&lt;$C456,H$447&lt;$H$2),0,MIN($E456-SUM($G456:G456),$F456))</f>
        <v>0</v>
      </c>
      <c r="I456" s="424">
        <f>IF(OR(I$447&lt;$C456,I$447&lt;$H$2),0,MIN($E456-SUM($G456:H456),$F456))</f>
        <v>0</v>
      </c>
      <c r="J456" s="424">
        <f>IF(OR(J$447&lt;$C456,J$447&lt;$H$2),0,MIN($E456-SUM($G456:I456),$F456))</f>
        <v>0</v>
      </c>
      <c r="K456" s="424">
        <f>IF(OR(K$447&lt;$C456,K$447&lt;$H$2),0,MIN($E456-SUM($G456:J456),$F456))</f>
        <v>0</v>
      </c>
      <c r="L456" s="424">
        <f>IF(OR(L$447&lt;$C456,L$447&lt;$H$2),0,MIN($E456-SUM($G456:K456),$F456))</f>
        <v>0</v>
      </c>
      <c r="M456" s="424">
        <f>IF(OR(M$447&lt;$C456,M$447&lt;$H$2),0,MIN($E456-SUM($G456:L456),$F456))</f>
        <v>0</v>
      </c>
      <c r="N456" s="424">
        <f>IF(OR(N$447&lt;$C456,N$447&lt;$H$2),0,MIN($E456-SUM($G456:M456),$F456))</f>
        <v>0</v>
      </c>
      <c r="O456" s="424">
        <f>IF(OR(O$447&lt;$C456,O$447&lt;$H$2),0,MIN($E456-SUM($G456:N456),$F456))</f>
        <v>0</v>
      </c>
      <c r="P456" s="424">
        <f>IF(OR(P$447&lt;$C456,P$447&lt;$H$2),0,MIN($E456-SUM($G456:O456),$F456))</f>
        <v>0</v>
      </c>
      <c r="Q456" s="424">
        <f>IF(OR(Q$447&lt;$C456,Q$447&lt;$H$2),0,MIN($E456-SUM($G456:P456),$F456))</f>
        <v>0</v>
      </c>
      <c r="R456" s="424">
        <f>IF(OR(R$447&lt;$C456,R$447&lt;$H$2),0,MIN($E456-SUM($G456:Q456),$F456))</f>
        <v>0</v>
      </c>
      <c r="S456" s="424">
        <f>IF(OR(S$447&lt;$C456,S$447&lt;$H$2),0,MIN($E456-SUM($G456:R456),$F456))</f>
        <v>0</v>
      </c>
      <c r="T456" s="424">
        <f>IF(OR(T$447&lt;$C456,T$447&lt;$H$2),0,MIN($E456-SUM($G456:S456),$F456))</f>
        <v>0</v>
      </c>
      <c r="U456" s="424">
        <f>IF(OR(U$447&lt;$C456,U$447&lt;$H$2),0,MIN($E456-SUM($G456:T456),$F456))</f>
        <v>0</v>
      </c>
      <c r="V456" s="424">
        <f>IF(OR(V$447&lt;$C456,V$447&lt;$H$2),0,MIN($E456-SUM($G456:U456),$F456))</f>
        <v>0</v>
      </c>
      <c r="W456" s="424">
        <f>IF(OR(W$447&lt;$C456,W$447&lt;$H$2),0,MIN($E456-SUM($G456:V456),$F456))</f>
        <v>0</v>
      </c>
      <c r="X456" s="424">
        <f>IF(OR(X$447&lt;$C456,X$447&lt;$H$2),0,MIN($E456-SUM($G456:W456),$F456))</f>
        <v>0</v>
      </c>
      <c r="Y456" s="424">
        <f>IF(OR(Y$447&lt;$C456,Y$447&lt;$H$2),0,MIN($E456-SUM($G456:X456),$F456))</f>
        <v>0</v>
      </c>
      <c r="Z456" s="424">
        <f>IF(OR(Z$447&lt;$C456,Z$447&lt;$H$2),0,MIN($E456-SUM($G456:Y456),$F456))</f>
        <v>0</v>
      </c>
      <c r="AA456" s="424">
        <f>IF(OR(AA$447&lt;$C456,AA$447&lt;$H$2),0,MIN($E456-SUM($G456:Z456),$F456))</f>
        <v>0</v>
      </c>
      <c r="AB456" s="424">
        <f>IF(OR(AB$447&lt;$C456,AB$447&lt;$H$2),0,MIN($E456-SUM($G456:AA456),$F456))</f>
        <v>0</v>
      </c>
      <c r="AC456" s="424">
        <f>IF(OR(AC$447&lt;$C456,AC$447&lt;$H$2),0,MIN($E456-SUM($G456:AB456),$F456))</f>
        <v>0</v>
      </c>
      <c r="AD456" s="424">
        <f>IF(OR(AD$447&lt;$C456,AD$447&lt;$H$2),0,MIN($E456-SUM($G456:AC456),$F456))</f>
        <v>0</v>
      </c>
    </row>
    <row r="457" spans="3:30">
      <c r="C457" s="201">
        <v>48585</v>
      </c>
      <c r="D457" s="94" t="s">
        <v>134</v>
      </c>
      <c r="E457" s="424">
        <f t="shared" si="159"/>
        <v>0</v>
      </c>
      <c r="F457" s="209">
        <f t="shared" si="160"/>
        <v>0</v>
      </c>
      <c r="H457" s="424">
        <f>IF(OR(H$447&lt;$C457,H$447&lt;$H$2),0,MIN($E457-SUM($G457:G457),$F457))</f>
        <v>0</v>
      </c>
      <c r="I457" s="424">
        <f>IF(OR(I$447&lt;$C457,I$447&lt;$H$2),0,MIN($E457-SUM($G457:H457),$F457))</f>
        <v>0</v>
      </c>
      <c r="J457" s="424">
        <f>IF(OR(J$447&lt;$C457,J$447&lt;$H$2),0,MIN($E457-SUM($G457:I457),$F457))</f>
        <v>0</v>
      </c>
      <c r="K457" s="424">
        <f>IF(OR(K$447&lt;$C457,K$447&lt;$H$2),0,MIN($E457-SUM($G457:J457),$F457))</f>
        <v>0</v>
      </c>
      <c r="L457" s="424">
        <f>IF(OR(L$447&lt;$C457,L$447&lt;$H$2),0,MIN($E457-SUM($G457:K457),$F457))</f>
        <v>0</v>
      </c>
      <c r="M457" s="424">
        <f>IF(OR(M$447&lt;$C457,M$447&lt;$H$2),0,MIN($E457-SUM($G457:L457),$F457))</f>
        <v>0</v>
      </c>
      <c r="N457" s="424">
        <f>IF(OR(N$447&lt;$C457,N$447&lt;$H$2),0,MIN($E457-SUM($G457:M457),$F457))</f>
        <v>0</v>
      </c>
      <c r="O457" s="424">
        <f>IF(OR(O$447&lt;$C457,O$447&lt;$H$2),0,MIN($E457-SUM($G457:N457),$F457))</f>
        <v>0</v>
      </c>
      <c r="P457" s="424">
        <f>IF(OR(P$447&lt;$C457,P$447&lt;$H$2),0,MIN($E457-SUM($G457:O457),$F457))</f>
        <v>0</v>
      </c>
      <c r="Q457" s="424">
        <f>IF(OR(Q$447&lt;$C457,Q$447&lt;$H$2),0,MIN($E457-SUM($G457:P457),$F457))</f>
        <v>0</v>
      </c>
      <c r="R457" s="424">
        <f>IF(OR(R$447&lt;$C457,R$447&lt;$H$2),0,MIN($E457-SUM($G457:Q457),$F457))</f>
        <v>0</v>
      </c>
      <c r="S457" s="424">
        <f>IF(OR(S$447&lt;$C457,S$447&lt;$H$2),0,MIN($E457-SUM($G457:R457),$F457))</f>
        <v>0</v>
      </c>
      <c r="T457" s="424">
        <f>IF(OR(T$447&lt;$C457,T$447&lt;$H$2),0,MIN($E457-SUM($G457:S457),$F457))</f>
        <v>0</v>
      </c>
      <c r="U457" s="424">
        <f>IF(OR(U$447&lt;$C457,U$447&lt;$H$2),0,MIN($E457-SUM($G457:T457),$F457))</f>
        <v>0</v>
      </c>
      <c r="V457" s="424">
        <f>IF(OR(V$447&lt;$C457,V$447&lt;$H$2),0,MIN($E457-SUM($G457:U457),$F457))</f>
        <v>0</v>
      </c>
      <c r="W457" s="424">
        <f>IF(OR(W$447&lt;$C457,W$447&lt;$H$2),0,MIN($E457-SUM($G457:V457),$F457))</f>
        <v>0</v>
      </c>
      <c r="X457" s="424">
        <f>IF(OR(X$447&lt;$C457,X$447&lt;$H$2),0,MIN($E457-SUM($G457:W457),$F457))</f>
        <v>0</v>
      </c>
      <c r="Y457" s="424">
        <f>IF(OR(Y$447&lt;$C457,Y$447&lt;$H$2),0,MIN($E457-SUM($G457:X457),$F457))</f>
        <v>0</v>
      </c>
      <c r="Z457" s="424">
        <f>IF(OR(Z$447&lt;$C457,Z$447&lt;$H$2),0,MIN($E457-SUM($G457:Y457),$F457))</f>
        <v>0</v>
      </c>
      <c r="AA457" s="424">
        <f>IF(OR(AA$447&lt;$C457,AA$447&lt;$H$2),0,MIN($E457-SUM($G457:Z457),$F457))</f>
        <v>0</v>
      </c>
      <c r="AB457" s="424">
        <f>IF(OR(AB$447&lt;$C457,AB$447&lt;$H$2),0,MIN($E457-SUM($G457:AA457),$F457))</f>
        <v>0</v>
      </c>
      <c r="AC457" s="424">
        <f>IF(OR(AC$447&lt;$C457,AC$447&lt;$H$2),0,MIN($E457-SUM($G457:AB457),$F457))</f>
        <v>0</v>
      </c>
      <c r="AD457" s="424">
        <f>IF(OR(AD$447&lt;$C457,AD$447&lt;$H$2),0,MIN($E457-SUM($G457:AC457),$F457))</f>
        <v>0</v>
      </c>
    </row>
    <row r="458" spans="3:30">
      <c r="C458" s="201">
        <v>48951</v>
      </c>
      <c r="D458" s="94" t="s">
        <v>134</v>
      </c>
      <c r="E458" s="424">
        <f t="shared" si="159"/>
        <v>3.7895021789696011</v>
      </c>
      <c r="F458" s="209">
        <f t="shared" si="160"/>
        <v>0.25275979533727239</v>
      </c>
      <c r="H458" s="424">
        <f>IF(OR(H$447&lt;$C458,H$447&lt;$H$2),0,MIN($E458-SUM($G458:G458),$F458))</f>
        <v>0</v>
      </c>
      <c r="I458" s="424">
        <f>IF(OR(I$447&lt;$C458,I$447&lt;$H$2),0,MIN($E458-SUM($G458:H458),$F458))</f>
        <v>0</v>
      </c>
      <c r="J458" s="424">
        <f>IF(OR(J$447&lt;$C458,J$447&lt;$H$2),0,MIN($E458-SUM($G458:I458),$F458))</f>
        <v>0</v>
      </c>
      <c r="K458" s="424">
        <f>IF(OR(K$447&lt;$C458,K$447&lt;$H$2),0,MIN($E458-SUM($G458:J458),$F458))</f>
        <v>0</v>
      </c>
      <c r="L458" s="424">
        <f>IF(OR(L$447&lt;$C458,L$447&lt;$H$2),0,MIN($E458-SUM($G458:K458),$F458))</f>
        <v>0</v>
      </c>
      <c r="M458" s="424">
        <f>IF(OR(M$447&lt;$C458,M$447&lt;$H$2),0,MIN($E458-SUM($G458:L458),$F458))</f>
        <v>0</v>
      </c>
      <c r="N458" s="424">
        <f>IF(OR(N$447&lt;$C458,N$447&lt;$H$2),0,MIN($E458-SUM($G458:M458),$F458))</f>
        <v>0</v>
      </c>
      <c r="O458" s="424">
        <f>IF(OR(O$447&lt;$C458,O$447&lt;$H$2),0,MIN($E458-SUM($G458:N458),$F458))</f>
        <v>0</v>
      </c>
      <c r="P458" s="424">
        <f>IF(OR(P$447&lt;$C458,P$447&lt;$H$2),0,MIN($E458-SUM($G458:O458),$F458))</f>
        <v>0.25275979533727239</v>
      </c>
      <c r="Q458" s="424">
        <f>IF(OR(Q$447&lt;$C458,Q$447&lt;$H$2),0,MIN($E458-SUM($G458:P458),$F458))</f>
        <v>0.25275979533727239</v>
      </c>
      <c r="R458" s="424">
        <f>IF(OR(R$447&lt;$C458,R$447&lt;$H$2),0,MIN($E458-SUM($G458:Q458),$F458))</f>
        <v>0.25275979533727239</v>
      </c>
      <c r="S458" s="424">
        <f>IF(OR(S$447&lt;$C458,S$447&lt;$H$2),0,MIN($E458-SUM($G458:R458),$F458))</f>
        <v>0.25275979533727239</v>
      </c>
      <c r="T458" s="424">
        <f>IF(OR(T$447&lt;$C458,T$447&lt;$H$2),0,MIN($E458-SUM($G458:S458),$F458))</f>
        <v>0.25275979533727239</v>
      </c>
      <c r="U458" s="424">
        <f>IF(OR(U$447&lt;$C458,U$447&lt;$H$2),0,MIN($E458-SUM($G458:T458),$F458))</f>
        <v>0.25275979533727239</v>
      </c>
      <c r="V458" s="424">
        <f>IF(OR(V$447&lt;$C458,V$447&lt;$H$2),0,MIN($E458-SUM($G458:U458),$F458))</f>
        <v>0.25275979533727239</v>
      </c>
      <c r="W458" s="424">
        <f>IF(OR(W$447&lt;$C458,W$447&lt;$H$2),0,MIN($E458-SUM($G458:V458),$F458))</f>
        <v>0.25275979533727239</v>
      </c>
      <c r="X458" s="424">
        <f>IF(OR(X$447&lt;$C458,X$447&lt;$H$2),0,MIN($E458-SUM($G458:W458),$F458))</f>
        <v>0.25275979533727239</v>
      </c>
      <c r="Y458" s="424">
        <f>IF(OR(Y$447&lt;$C458,Y$447&lt;$H$2),0,MIN($E458-SUM($G458:X458),$F458))</f>
        <v>0.25275979533727239</v>
      </c>
      <c r="Z458" s="424">
        <f>IF(OR(Z$447&lt;$C458,Z$447&lt;$H$2),0,MIN($E458-SUM($G458:Y458),$F458))</f>
        <v>0.25275979533727239</v>
      </c>
      <c r="AA458" s="424">
        <f>IF(OR(AA$447&lt;$C458,AA$447&lt;$H$2),0,MIN($E458-SUM($G458:Z458),$F458))</f>
        <v>0.25275979533727239</v>
      </c>
      <c r="AB458" s="424">
        <f>IF(OR(AB$447&lt;$C458,AB$447&lt;$H$2),0,MIN($E458-SUM($G458:AA458),$F458))</f>
        <v>0.25275979533727239</v>
      </c>
      <c r="AC458" s="424">
        <f>IF(OR(AC$447&lt;$C458,AC$447&lt;$H$2),0,MIN($E458-SUM($G458:AB458),$F458))</f>
        <v>0.25275979533727239</v>
      </c>
      <c r="AD458" s="424">
        <f>IF(OR(AD$447&lt;$C458,AD$447&lt;$H$2),0,MIN($E458-SUM($G458:AC458),$F458))</f>
        <v>0.25086504424778866</v>
      </c>
    </row>
    <row r="459" spans="3:30">
      <c r="C459" s="201">
        <v>49317</v>
      </c>
      <c r="D459" s="94" t="s">
        <v>134</v>
      </c>
      <c r="E459" s="424">
        <f t="shared" si="159"/>
        <v>0</v>
      </c>
      <c r="F459" s="209">
        <f t="shared" si="160"/>
        <v>0</v>
      </c>
      <c r="H459" s="424">
        <f>IF(OR(H$447&lt;$C459,H$447&lt;$H$2),0,MIN($E459-SUM($G459:G459),$F459))</f>
        <v>0</v>
      </c>
      <c r="I459" s="424">
        <f>IF(OR(I$447&lt;$C459,I$447&lt;$H$2),0,MIN($E459-SUM($G459:H459),$F459))</f>
        <v>0</v>
      </c>
      <c r="J459" s="424">
        <f>IF(OR(J$447&lt;$C459,J$447&lt;$H$2),0,MIN($E459-SUM($G459:I459),$F459))</f>
        <v>0</v>
      </c>
      <c r="K459" s="424">
        <f>IF(OR(K$447&lt;$C459,K$447&lt;$H$2),0,MIN($E459-SUM($G459:J459),$F459))</f>
        <v>0</v>
      </c>
      <c r="L459" s="424">
        <f>IF(OR(L$447&lt;$C459,L$447&lt;$H$2),0,MIN($E459-SUM($G459:K459),$F459))</f>
        <v>0</v>
      </c>
      <c r="M459" s="424">
        <f>IF(OR(M$447&lt;$C459,M$447&lt;$H$2),0,MIN($E459-SUM($G459:L459),$F459))</f>
        <v>0</v>
      </c>
      <c r="N459" s="424">
        <f>IF(OR(N$447&lt;$C459,N$447&lt;$H$2),0,MIN($E459-SUM($G459:M459),$F459))</f>
        <v>0</v>
      </c>
      <c r="O459" s="424">
        <f>IF(OR(O$447&lt;$C459,O$447&lt;$H$2),0,MIN($E459-SUM($G459:N459),$F459))</f>
        <v>0</v>
      </c>
      <c r="P459" s="424">
        <f>IF(OR(P$447&lt;$C459,P$447&lt;$H$2),0,MIN($E459-SUM($G459:O459),$F459))</f>
        <v>0</v>
      </c>
      <c r="Q459" s="424">
        <f>IF(OR(Q$447&lt;$C459,Q$447&lt;$H$2),0,MIN($E459-SUM($G459:P459),$F459))</f>
        <v>0</v>
      </c>
      <c r="R459" s="424">
        <f>IF(OR(R$447&lt;$C459,R$447&lt;$H$2),0,MIN($E459-SUM($G459:Q459),$F459))</f>
        <v>0</v>
      </c>
      <c r="S459" s="424">
        <f>IF(OR(S$447&lt;$C459,S$447&lt;$H$2),0,MIN($E459-SUM($G459:R459),$F459))</f>
        <v>0</v>
      </c>
      <c r="T459" s="424">
        <f>IF(OR(T$447&lt;$C459,T$447&lt;$H$2),0,MIN($E459-SUM($G459:S459),$F459))</f>
        <v>0</v>
      </c>
      <c r="U459" s="424">
        <f>IF(OR(U$447&lt;$C459,U$447&lt;$H$2),0,MIN($E459-SUM($G459:T459),$F459))</f>
        <v>0</v>
      </c>
      <c r="V459" s="424">
        <f>IF(OR(V$447&lt;$C459,V$447&lt;$H$2),0,MIN($E459-SUM($G459:U459),$F459))</f>
        <v>0</v>
      </c>
      <c r="W459" s="424">
        <f>IF(OR(W$447&lt;$C459,W$447&lt;$H$2),0,MIN($E459-SUM($G459:V459),$F459))</f>
        <v>0</v>
      </c>
      <c r="X459" s="424">
        <f>IF(OR(X$447&lt;$C459,X$447&lt;$H$2),0,MIN($E459-SUM($G459:W459),$F459))</f>
        <v>0</v>
      </c>
      <c r="Y459" s="424">
        <f>IF(OR(Y$447&lt;$C459,Y$447&lt;$H$2),0,MIN($E459-SUM($G459:X459),$F459))</f>
        <v>0</v>
      </c>
      <c r="Z459" s="424">
        <f>IF(OR(Z$447&lt;$C459,Z$447&lt;$H$2),0,MIN($E459-SUM($G459:Y459),$F459))</f>
        <v>0</v>
      </c>
      <c r="AA459" s="424">
        <f>IF(OR(AA$447&lt;$C459,AA$447&lt;$H$2),0,MIN($E459-SUM($G459:Z459),$F459))</f>
        <v>0</v>
      </c>
      <c r="AB459" s="424">
        <f>IF(OR(AB$447&lt;$C459,AB$447&lt;$H$2),0,MIN($E459-SUM($G459:AA459),$F459))</f>
        <v>0</v>
      </c>
      <c r="AC459" s="424">
        <f>IF(OR(AC$447&lt;$C459,AC$447&lt;$H$2),0,MIN($E459-SUM($G459:AB459),$F459))</f>
        <v>0</v>
      </c>
      <c r="AD459" s="424">
        <f>IF(OR(AD$447&lt;$C459,AD$447&lt;$H$2),0,MIN($E459-SUM($G459:AC459),$F459))</f>
        <v>0</v>
      </c>
    </row>
    <row r="460" spans="3:30">
      <c r="C460" s="201">
        <v>49683</v>
      </c>
      <c r="D460" s="94" t="s">
        <v>134</v>
      </c>
      <c r="E460" s="424">
        <f t="shared" si="159"/>
        <v>0</v>
      </c>
      <c r="F460" s="209">
        <f t="shared" si="160"/>
        <v>0</v>
      </c>
      <c r="H460" s="424">
        <f>IF(OR(H$447&lt;$C460,H$447&lt;$H$2),0,MIN($E460-SUM($G460:G460),$F460))</f>
        <v>0</v>
      </c>
      <c r="I460" s="424">
        <f>IF(OR(I$447&lt;$C460,I$447&lt;$H$2),0,MIN($E460-SUM($G460:H460),$F460))</f>
        <v>0</v>
      </c>
      <c r="J460" s="424">
        <f>IF(OR(J$447&lt;$C460,J$447&lt;$H$2),0,MIN($E460-SUM($G460:I460),$F460))</f>
        <v>0</v>
      </c>
      <c r="K460" s="424">
        <f>IF(OR(K$447&lt;$C460,K$447&lt;$H$2),0,MIN($E460-SUM($G460:J460),$F460))</f>
        <v>0</v>
      </c>
      <c r="L460" s="424">
        <f>IF(OR(L$447&lt;$C460,L$447&lt;$H$2),0,MIN($E460-SUM($G460:K460),$F460))</f>
        <v>0</v>
      </c>
      <c r="M460" s="424">
        <f>IF(OR(M$447&lt;$C460,M$447&lt;$H$2),0,MIN($E460-SUM($G460:L460),$F460))</f>
        <v>0</v>
      </c>
      <c r="N460" s="424">
        <f>IF(OR(N$447&lt;$C460,N$447&lt;$H$2),0,MIN($E460-SUM($G460:M460),$F460))</f>
        <v>0</v>
      </c>
      <c r="O460" s="424">
        <f>IF(OR(O$447&lt;$C460,O$447&lt;$H$2),0,MIN($E460-SUM($G460:N460),$F460))</f>
        <v>0</v>
      </c>
      <c r="P460" s="424">
        <f>IF(OR(P$447&lt;$C460,P$447&lt;$H$2),0,MIN($E460-SUM($G460:O460),$F460))</f>
        <v>0</v>
      </c>
      <c r="Q460" s="424">
        <f>IF(OR(Q$447&lt;$C460,Q$447&lt;$H$2),0,MIN($E460-SUM($G460:P460),$F460))</f>
        <v>0</v>
      </c>
      <c r="R460" s="424">
        <f>IF(OR(R$447&lt;$C460,R$447&lt;$H$2),0,MIN($E460-SUM($G460:Q460),$F460))</f>
        <v>0</v>
      </c>
      <c r="S460" s="424">
        <f>IF(OR(S$447&lt;$C460,S$447&lt;$H$2),0,MIN($E460-SUM($G460:R460),$F460))</f>
        <v>0</v>
      </c>
      <c r="T460" s="424">
        <f>IF(OR(T$447&lt;$C460,T$447&lt;$H$2),0,MIN($E460-SUM($G460:S460),$F460))</f>
        <v>0</v>
      </c>
      <c r="U460" s="424">
        <f>IF(OR(U$447&lt;$C460,U$447&lt;$H$2),0,MIN($E460-SUM($G460:T460),$F460))</f>
        <v>0</v>
      </c>
      <c r="V460" s="424">
        <f>IF(OR(V$447&lt;$C460,V$447&lt;$H$2),0,MIN($E460-SUM($G460:U460),$F460))</f>
        <v>0</v>
      </c>
      <c r="W460" s="424">
        <f>IF(OR(W$447&lt;$C460,W$447&lt;$H$2),0,MIN($E460-SUM($G460:V460),$F460))</f>
        <v>0</v>
      </c>
      <c r="X460" s="424">
        <f>IF(OR(X$447&lt;$C460,X$447&lt;$H$2),0,MIN($E460-SUM($G460:W460),$F460))</f>
        <v>0</v>
      </c>
      <c r="Y460" s="424">
        <f>IF(OR(Y$447&lt;$C460,Y$447&lt;$H$2),0,MIN($E460-SUM($G460:X460),$F460))</f>
        <v>0</v>
      </c>
      <c r="Z460" s="424">
        <f>IF(OR(Z$447&lt;$C460,Z$447&lt;$H$2),0,MIN($E460-SUM($G460:Y460),$F460))</f>
        <v>0</v>
      </c>
      <c r="AA460" s="424">
        <f>IF(OR(AA$447&lt;$C460,AA$447&lt;$H$2),0,MIN($E460-SUM($G460:Z460),$F460))</f>
        <v>0</v>
      </c>
      <c r="AB460" s="424">
        <f>IF(OR(AB$447&lt;$C460,AB$447&lt;$H$2),0,MIN($E460-SUM($G460:AA460),$F460))</f>
        <v>0</v>
      </c>
      <c r="AC460" s="424">
        <f>IF(OR(AC$447&lt;$C460,AC$447&lt;$H$2),0,MIN($E460-SUM($G460:AB460),$F460))</f>
        <v>0</v>
      </c>
      <c r="AD460" s="424">
        <f>IF(OR(AD$447&lt;$C460,AD$447&lt;$H$2),0,MIN($E460-SUM($G460:AC460),$F460))</f>
        <v>0</v>
      </c>
    </row>
    <row r="461" spans="3:30">
      <c r="C461" s="201">
        <v>50049</v>
      </c>
      <c r="D461" s="94" t="s">
        <v>134</v>
      </c>
      <c r="E461" s="424">
        <f t="shared" si="159"/>
        <v>0</v>
      </c>
      <c r="F461" s="209">
        <f t="shared" si="160"/>
        <v>0</v>
      </c>
      <c r="H461" s="424">
        <f>IF(OR(H$447&lt;$C461,H$447&lt;$H$2),0,MIN($E461-SUM($G461:G461),$F461))</f>
        <v>0</v>
      </c>
      <c r="I461" s="424">
        <f>IF(OR(I$447&lt;$C461,I$447&lt;$H$2),0,MIN($E461-SUM($G461:H461),$F461))</f>
        <v>0</v>
      </c>
      <c r="J461" s="424">
        <f>IF(OR(J$447&lt;$C461,J$447&lt;$H$2),0,MIN($E461-SUM($G461:I461),$F461))</f>
        <v>0</v>
      </c>
      <c r="K461" s="424">
        <f>IF(OR(K$447&lt;$C461,K$447&lt;$H$2),0,MIN($E461-SUM($G461:J461),$F461))</f>
        <v>0</v>
      </c>
      <c r="L461" s="424">
        <f>IF(OR(L$447&lt;$C461,L$447&lt;$H$2),0,MIN($E461-SUM($G461:K461),$F461))</f>
        <v>0</v>
      </c>
      <c r="M461" s="424">
        <f>IF(OR(M$447&lt;$C461,M$447&lt;$H$2),0,MIN($E461-SUM($G461:L461),$F461))</f>
        <v>0</v>
      </c>
      <c r="N461" s="424">
        <f>IF(OR(N$447&lt;$C461,N$447&lt;$H$2),0,MIN($E461-SUM($G461:M461),$F461))</f>
        <v>0</v>
      </c>
      <c r="O461" s="424">
        <f>IF(OR(O$447&lt;$C461,O$447&lt;$H$2),0,MIN($E461-SUM($G461:N461),$F461))</f>
        <v>0</v>
      </c>
      <c r="P461" s="424">
        <f>IF(OR(P$447&lt;$C461,P$447&lt;$H$2),0,MIN($E461-SUM($G461:O461),$F461))</f>
        <v>0</v>
      </c>
      <c r="Q461" s="424">
        <f>IF(OR(Q$447&lt;$C461,Q$447&lt;$H$2),0,MIN($E461-SUM($G461:P461),$F461))</f>
        <v>0</v>
      </c>
      <c r="R461" s="424">
        <f>IF(OR(R$447&lt;$C461,R$447&lt;$H$2),0,MIN($E461-SUM($G461:Q461),$F461))</f>
        <v>0</v>
      </c>
      <c r="S461" s="424">
        <f>IF(OR(S$447&lt;$C461,S$447&lt;$H$2),0,MIN($E461-SUM($G461:R461),$F461))</f>
        <v>0</v>
      </c>
      <c r="T461" s="424">
        <f>IF(OR(T$447&lt;$C461,T$447&lt;$H$2),0,MIN($E461-SUM($G461:S461),$F461))</f>
        <v>0</v>
      </c>
      <c r="U461" s="424">
        <f>IF(OR(U$447&lt;$C461,U$447&lt;$H$2),0,MIN($E461-SUM($G461:T461),$F461))</f>
        <v>0</v>
      </c>
      <c r="V461" s="424">
        <f>IF(OR(V$447&lt;$C461,V$447&lt;$H$2),0,MIN($E461-SUM($G461:U461),$F461))</f>
        <v>0</v>
      </c>
      <c r="W461" s="424">
        <f>IF(OR(W$447&lt;$C461,W$447&lt;$H$2),0,MIN($E461-SUM($G461:V461),$F461))</f>
        <v>0</v>
      </c>
      <c r="X461" s="424">
        <f>IF(OR(X$447&lt;$C461,X$447&lt;$H$2),0,MIN($E461-SUM($G461:W461),$F461))</f>
        <v>0</v>
      </c>
      <c r="Y461" s="424">
        <f>IF(OR(Y$447&lt;$C461,Y$447&lt;$H$2),0,MIN($E461-SUM($G461:X461),$F461))</f>
        <v>0</v>
      </c>
      <c r="Z461" s="424">
        <f>IF(OR(Z$447&lt;$C461,Z$447&lt;$H$2),0,MIN($E461-SUM($G461:Y461),$F461))</f>
        <v>0</v>
      </c>
      <c r="AA461" s="424">
        <f>IF(OR(AA$447&lt;$C461,AA$447&lt;$H$2),0,MIN($E461-SUM($G461:Z461),$F461))</f>
        <v>0</v>
      </c>
      <c r="AB461" s="424">
        <f>IF(OR(AB$447&lt;$C461,AB$447&lt;$H$2),0,MIN($E461-SUM($G461:AA461),$F461))</f>
        <v>0</v>
      </c>
      <c r="AC461" s="424">
        <f>IF(OR(AC$447&lt;$C461,AC$447&lt;$H$2),0,MIN($E461-SUM($G461:AB461),$F461))</f>
        <v>0</v>
      </c>
      <c r="AD461" s="424">
        <f>IF(OR(AD$447&lt;$C461,AD$447&lt;$H$2),0,MIN($E461-SUM($G461:AC461),$F461))</f>
        <v>0</v>
      </c>
    </row>
    <row r="462" spans="3:30">
      <c r="C462" s="201">
        <v>50415</v>
      </c>
      <c r="D462" s="94" t="s">
        <v>134</v>
      </c>
      <c r="E462" s="424">
        <f t="shared" si="159"/>
        <v>0</v>
      </c>
      <c r="F462" s="209">
        <f t="shared" si="160"/>
        <v>0</v>
      </c>
      <c r="H462" s="424">
        <f>IF(OR(H$447&lt;$C462,H$447&lt;$H$2),0,MIN($E462-SUM($G462:G462),$F462))</f>
        <v>0</v>
      </c>
      <c r="I462" s="424">
        <f>IF(OR(I$447&lt;$C462,I$447&lt;$H$2),0,MIN($E462-SUM($G462:H462),$F462))</f>
        <v>0</v>
      </c>
      <c r="J462" s="424">
        <f>IF(OR(J$447&lt;$C462,J$447&lt;$H$2),0,MIN($E462-SUM($G462:I462),$F462))</f>
        <v>0</v>
      </c>
      <c r="K462" s="424">
        <f>IF(OR(K$447&lt;$C462,K$447&lt;$H$2),0,MIN($E462-SUM($G462:J462),$F462))</f>
        <v>0</v>
      </c>
      <c r="L462" s="424">
        <f>IF(OR(L$447&lt;$C462,L$447&lt;$H$2),0,MIN($E462-SUM($G462:K462),$F462))</f>
        <v>0</v>
      </c>
      <c r="M462" s="424">
        <f>IF(OR(M$447&lt;$C462,M$447&lt;$H$2),0,MIN($E462-SUM($G462:L462),$F462))</f>
        <v>0</v>
      </c>
      <c r="N462" s="424">
        <f>IF(OR(N$447&lt;$C462,N$447&lt;$H$2),0,MIN($E462-SUM($G462:M462),$F462))</f>
        <v>0</v>
      </c>
      <c r="O462" s="424">
        <f>IF(OR(O$447&lt;$C462,O$447&lt;$H$2),0,MIN($E462-SUM($G462:N462),$F462))</f>
        <v>0</v>
      </c>
      <c r="P462" s="424">
        <f>IF(OR(P$447&lt;$C462,P$447&lt;$H$2),0,MIN($E462-SUM($G462:O462),$F462))</f>
        <v>0</v>
      </c>
      <c r="Q462" s="424">
        <f>IF(OR(Q$447&lt;$C462,Q$447&lt;$H$2),0,MIN($E462-SUM($G462:P462),$F462))</f>
        <v>0</v>
      </c>
      <c r="R462" s="424">
        <f>IF(OR(R$447&lt;$C462,R$447&lt;$H$2),0,MIN($E462-SUM($G462:Q462),$F462))</f>
        <v>0</v>
      </c>
      <c r="S462" s="424">
        <f>IF(OR(S$447&lt;$C462,S$447&lt;$H$2),0,MIN($E462-SUM($G462:R462),$F462))</f>
        <v>0</v>
      </c>
      <c r="T462" s="424">
        <f>IF(OR(T$447&lt;$C462,T$447&lt;$H$2),0,MIN($E462-SUM($G462:S462),$F462))</f>
        <v>0</v>
      </c>
      <c r="U462" s="424">
        <f>IF(OR(U$447&lt;$C462,U$447&lt;$H$2),0,MIN($E462-SUM($G462:T462),$F462))</f>
        <v>0</v>
      </c>
      <c r="V462" s="424">
        <f>IF(OR(V$447&lt;$C462,V$447&lt;$H$2),0,MIN($E462-SUM($G462:U462),$F462))</f>
        <v>0</v>
      </c>
      <c r="W462" s="424">
        <f>IF(OR(W$447&lt;$C462,W$447&lt;$H$2),0,MIN($E462-SUM($G462:V462),$F462))</f>
        <v>0</v>
      </c>
      <c r="X462" s="424">
        <f>IF(OR(X$447&lt;$C462,X$447&lt;$H$2),0,MIN($E462-SUM($G462:W462),$F462))</f>
        <v>0</v>
      </c>
      <c r="Y462" s="424">
        <f>IF(OR(Y$447&lt;$C462,Y$447&lt;$H$2),0,MIN($E462-SUM($G462:X462),$F462))</f>
        <v>0</v>
      </c>
      <c r="Z462" s="424">
        <f>IF(OR(Z$447&lt;$C462,Z$447&lt;$H$2),0,MIN($E462-SUM($G462:Y462),$F462))</f>
        <v>0</v>
      </c>
      <c r="AA462" s="424">
        <f>IF(OR(AA$447&lt;$C462,AA$447&lt;$H$2),0,MIN($E462-SUM($G462:Z462),$F462))</f>
        <v>0</v>
      </c>
      <c r="AB462" s="424">
        <f>IF(OR(AB$447&lt;$C462,AB$447&lt;$H$2),0,MIN($E462-SUM($G462:AA462),$F462))</f>
        <v>0</v>
      </c>
      <c r="AC462" s="424">
        <f>IF(OR(AC$447&lt;$C462,AC$447&lt;$H$2),0,MIN($E462-SUM($G462:AB462),$F462))</f>
        <v>0</v>
      </c>
      <c r="AD462" s="424">
        <f>IF(OR(AD$447&lt;$C462,AD$447&lt;$H$2),0,MIN($E462-SUM($G462:AC462),$F462))</f>
        <v>0</v>
      </c>
    </row>
    <row r="463" spans="3:30">
      <c r="C463" s="201">
        <v>50781</v>
      </c>
      <c r="D463" s="94" t="s">
        <v>134</v>
      </c>
      <c r="E463" s="424">
        <f t="shared" si="159"/>
        <v>3.3687137395396092</v>
      </c>
      <c r="F463" s="209">
        <f t="shared" si="160"/>
        <v>0.2246932064272919</v>
      </c>
      <c r="H463" s="424">
        <f>IF(OR(H$447&lt;$C463,H$447&lt;$H$2),0,MIN($E463-SUM($G463:G463),$F463))</f>
        <v>0</v>
      </c>
      <c r="I463" s="424">
        <f>IF(OR(I$447&lt;$C463,I$447&lt;$H$2),0,MIN($E463-SUM($G463:H463),$F463))</f>
        <v>0</v>
      </c>
      <c r="J463" s="424">
        <f>IF(OR(J$447&lt;$C463,J$447&lt;$H$2),0,MIN($E463-SUM($G463:I463),$F463))</f>
        <v>0</v>
      </c>
      <c r="K463" s="424">
        <f>IF(OR(K$447&lt;$C463,K$447&lt;$H$2),0,MIN($E463-SUM($G463:J463),$F463))</f>
        <v>0</v>
      </c>
      <c r="L463" s="424">
        <f>IF(OR(L$447&lt;$C463,L$447&lt;$H$2),0,MIN($E463-SUM($G463:K463),$F463))</f>
        <v>0</v>
      </c>
      <c r="M463" s="424">
        <f>IF(OR(M$447&lt;$C463,M$447&lt;$H$2),0,MIN($E463-SUM($G463:L463),$F463))</f>
        <v>0</v>
      </c>
      <c r="N463" s="424">
        <f>IF(OR(N$447&lt;$C463,N$447&lt;$H$2),0,MIN($E463-SUM($G463:M463),$F463))</f>
        <v>0</v>
      </c>
      <c r="O463" s="424">
        <f>IF(OR(O$447&lt;$C463,O$447&lt;$H$2),0,MIN($E463-SUM($G463:N463),$F463))</f>
        <v>0</v>
      </c>
      <c r="P463" s="424">
        <f>IF(OR(P$447&lt;$C463,P$447&lt;$H$2),0,MIN($E463-SUM($G463:O463),$F463))</f>
        <v>0</v>
      </c>
      <c r="Q463" s="424">
        <f>IF(OR(Q$447&lt;$C463,Q$447&lt;$H$2),0,MIN($E463-SUM($G463:P463),$F463))</f>
        <v>0</v>
      </c>
      <c r="R463" s="424">
        <f>IF(OR(R$447&lt;$C463,R$447&lt;$H$2),0,MIN($E463-SUM($G463:Q463),$F463))</f>
        <v>0</v>
      </c>
      <c r="S463" s="424">
        <f>IF(OR(S$447&lt;$C463,S$447&lt;$H$2),0,MIN($E463-SUM($G463:R463),$F463))</f>
        <v>0</v>
      </c>
      <c r="T463" s="424">
        <f>IF(OR(T$447&lt;$C463,T$447&lt;$H$2),0,MIN($E463-SUM($G463:S463),$F463))</f>
        <v>0</v>
      </c>
      <c r="U463" s="424">
        <f>IF(OR(U$447&lt;$C463,U$447&lt;$H$2),0,MIN($E463-SUM($G463:T463),$F463))</f>
        <v>0.2246932064272919</v>
      </c>
      <c r="V463" s="424">
        <f>IF(OR(V$447&lt;$C463,V$447&lt;$H$2),0,MIN($E463-SUM($G463:U463),$F463))</f>
        <v>0.2246932064272919</v>
      </c>
      <c r="W463" s="424">
        <f>IF(OR(W$447&lt;$C463,W$447&lt;$H$2),0,MIN($E463-SUM($G463:V463),$F463))</f>
        <v>0.2246932064272919</v>
      </c>
      <c r="X463" s="424">
        <f>IF(OR(X$447&lt;$C463,X$447&lt;$H$2),0,MIN($E463-SUM($G463:W463),$F463))</f>
        <v>0.2246932064272919</v>
      </c>
      <c r="Y463" s="424">
        <f>IF(OR(Y$447&lt;$C463,Y$447&lt;$H$2),0,MIN($E463-SUM($G463:X463),$F463))</f>
        <v>0.2246932064272919</v>
      </c>
      <c r="Z463" s="424">
        <f>IF(OR(Z$447&lt;$C463,Z$447&lt;$H$2),0,MIN($E463-SUM($G463:Y463),$F463))</f>
        <v>0.2246932064272919</v>
      </c>
      <c r="AA463" s="424">
        <f>IF(OR(AA$447&lt;$C463,AA$447&lt;$H$2),0,MIN($E463-SUM($G463:Z463),$F463))</f>
        <v>0.2246932064272919</v>
      </c>
      <c r="AB463" s="424">
        <f>IF(OR(AB$447&lt;$C463,AB$447&lt;$H$2),0,MIN($E463-SUM($G463:AA463),$F463))</f>
        <v>0.2246932064272919</v>
      </c>
      <c r="AC463" s="424">
        <f>IF(OR(AC$447&lt;$C463,AC$447&lt;$H$2),0,MIN($E463-SUM($G463:AB463),$F463))</f>
        <v>0.2246932064272919</v>
      </c>
      <c r="AD463" s="424">
        <f>IF(OR(AD$447&lt;$C463,AD$447&lt;$H$2),0,MIN($E463-SUM($G463:AC463),$F463))</f>
        <v>0.2246932064272919</v>
      </c>
    </row>
    <row r="464" spans="3:30">
      <c r="C464" s="201">
        <v>51147</v>
      </c>
      <c r="D464" s="94" t="s">
        <v>134</v>
      </c>
      <c r="E464" s="424">
        <f t="shared" si="159"/>
        <v>0</v>
      </c>
      <c r="F464" s="209">
        <f t="shared" si="160"/>
        <v>0</v>
      </c>
      <c r="H464" s="424">
        <f>IF(OR(H$447&lt;$C464,H$447&lt;$H$2),0,MIN($E464-SUM($G464:G464),$F464))</f>
        <v>0</v>
      </c>
      <c r="I464" s="424">
        <f>IF(OR(I$447&lt;$C464,I$447&lt;$H$2),0,MIN($E464-SUM($G464:H464),$F464))</f>
        <v>0</v>
      </c>
      <c r="J464" s="424">
        <f>IF(OR(J$447&lt;$C464,J$447&lt;$H$2),0,MIN($E464-SUM($G464:I464),$F464))</f>
        <v>0</v>
      </c>
      <c r="K464" s="424">
        <f>IF(OR(K$447&lt;$C464,K$447&lt;$H$2),0,MIN($E464-SUM($G464:J464),$F464))</f>
        <v>0</v>
      </c>
      <c r="L464" s="424">
        <f>IF(OR(L$447&lt;$C464,L$447&lt;$H$2),0,MIN($E464-SUM($G464:K464),$F464))</f>
        <v>0</v>
      </c>
      <c r="M464" s="424">
        <f>IF(OR(M$447&lt;$C464,M$447&lt;$H$2),0,MIN($E464-SUM($G464:L464),$F464))</f>
        <v>0</v>
      </c>
      <c r="N464" s="424">
        <f>IF(OR(N$447&lt;$C464,N$447&lt;$H$2),0,MIN($E464-SUM($G464:M464),$F464))</f>
        <v>0</v>
      </c>
      <c r="O464" s="424">
        <f>IF(OR(O$447&lt;$C464,O$447&lt;$H$2),0,MIN($E464-SUM($G464:N464),$F464))</f>
        <v>0</v>
      </c>
      <c r="P464" s="424">
        <f>IF(OR(P$447&lt;$C464,P$447&lt;$H$2),0,MIN($E464-SUM($G464:O464),$F464))</f>
        <v>0</v>
      </c>
      <c r="Q464" s="424">
        <f>IF(OR(Q$447&lt;$C464,Q$447&lt;$H$2),0,MIN($E464-SUM($G464:P464),$F464))</f>
        <v>0</v>
      </c>
      <c r="R464" s="424">
        <f>IF(OR(R$447&lt;$C464,R$447&lt;$H$2),0,MIN($E464-SUM($G464:Q464),$F464))</f>
        <v>0</v>
      </c>
      <c r="S464" s="424">
        <f>IF(OR(S$447&lt;$C464,S$447&lt;$H$2),0,MIN($E464-SUM($G464:R464),$F464))</f>
        <v>0</v>
      </c>
      <c r="T464" s="424">
        <f>IF(OR(T$447&lt;$C464,T$447&lt;$H$2),0,MIN($E464-SUM($G464:S464),$F464))</f>
        <v>0</v>
      </c>
      <c r="U464" s="424">
        <f>IF(OR(U$447&lt;$C464,U$447&lt;$H$2),0,MIN($E464-SUM($G464:T464),$F464))</f>
        <v>0</v>
      </c>
      <c r="V464" s="424">
        <f>IF(OR(V$447&lt;$C464,V$447&lt;$H$2),0,MIN($E464-SUM($G464:U464),$F464))</f>
        <v>0</v>
      </c>
      <c r="W464" s="424">
        <f>IF(OR(W$447&lt;$C464,W$447&lt;$H$2),0,MIN($E464-SUM($G464:V464),$F464))</f>
        <v>0</v>
      </c>
      <c r="X464" s="424">
        <f>IF(OR(X$447&lt;$C464,X$447&lt;$H$2),0,MIN($E464-SUM($G464:W464),$F464))</f>
        <v>0</v>
      </c>
      <c r="Y464" s="424">
        <f>IF(OR(Y$447&lt;$C464,Y$447&lt;$H$2),0,MIN($E464-SUM($G464:X464),$F464))</f>
        <v>0</v>
      </c>
      <c r="Z464" s="424">
        <f>IF(OR(Z$447&lt;$C464,Z$447&lt;$H$2),0,MIN($E464-SUM($G464:Y464),$F464))</f>
        <v>0</v>
      </c>
      <c r="AA464" s="424">
        <f>IF(OR(AA$447&lt;$C464,AA$447&lt;$H$2),0,MIN($E464-SUM($G464:Z464),$F464))</f>
        <v>0</v>
      </c>
      <c r="AB464" s="424">
        <f>IF(OR(AB$447&lt;$C464,AB$447&lt;$H$2),0,MIN($E464-SUM($G464:AA464),$F464))</f>
        <v>0</v>
      </c>
      <c r="AC464" s="424">
        <f>IF(OR(AC$447&lt;$C464,AC$447&lt;$H$2),0,MIN($E464-SUM($G464:AB464),$F464))</f>
        <v>0</v>
      </c>
      <c r="AD464" s="424">
        <f>IF(OR(AD$447&lt;$C464,AD$447&lt;$H$2),0,MIN($E464-SUM($G464:AC464),$F464))</f>
        <v>0</v>
      </c>
    </row>
    <row r="465" spans="3:30">
      <c r="C465" s="201">
        <v>51513</v>
      </c>
      <c r="D465" s="94" t="s">
        <v>134</v>
      </c>
      <c r="E465" s="424">
        <f t="shared" si="159"/>
        <v>0</v>
      </c>
      <c r="F465" s="209">
        <f t="shared" si="160"/>
        <v>0</v>
      </c>
      <c r="H465" s="424">
        <f>IF(OR(H$447&lt;$C465,H$447&lt;$H$2),0,MIN($E465-SUM($G465:G465),$F465))</f>
        <v>0</v>
      </c>
      <c r="I465" s="424">
        <f>IF(OR(I$447&lt;$C465,I$447&lt;$H$2),0,MIN($E465-SUM($G465:H465),$F465))</f>
        <v>0</v>
      </c>
      <c r="J465" s="424">
        <f>IF(OR(J$447&lt;$C465,J$447&lt;$H$2),0,MIN($E465-SUM($G465:I465),$F465))</f>
        <v>0</v>
      </c>
      <c r="K465" s="424">
        <f>IF(OR(K$447&lt;$C465,K$447&lt;$H$2),0,MIN($E465-SUM($G465:J465),$F465))</f>
        <v>0</v>
      </c>
      <c r="L465" s="424">
        <f>IF(OR(L$447&lt;$C465,L$447&lt;$H$2),0,MIN($E465-SUM($G465:K465),$F465))</f>
        <v>0</v>
      </c>
      <c r="M465" s="424">
        <f>IF(OR(M$447&lt;$C465,M$447&lt;$H$2),0,MIN($E465-SUM($G465:L465),$F465))</f>
        <v>0</v>
      </c>
      <c r="N465" s="424">
        <f>IF(OR(N$447&lt;$C465,N$447&lt;$H$2),0,MIN($E465-SUM($G465:M465),$F465))</f>
        <v>0</v>
      </c>
      <c r="O465" s="424">
        <f>IF(OR(O$447&lt;$C465,O$447&lt;$H$2),0,MIN($E465-SUM($G465:N465),$F465))</f>
        <v>0</v>
      </c>
      <c r="P465" s="424">
        <f>IF(OR(P$447&lt;$C465,P$447&lt;$H$2),0,MIN($E465-SUM($G465:O465),$F465))</f>
        <v>0</v>
      </c>
      <c r="Q465" s="424">
        <f>IF(OR(Q$447&lt;$C465,Q$447&lt;$H$2),0,MIN($E465-SUM($G465:P465),$F465))</f>
        <v>0</v>
      </c>
      <c r="R465" s="424">
        <f>IF(OR(R$447&lt;$C465,R$447&lt;$H$2),0,MIN($E465-SUM($G465:Q465),$F465))</f>
        <v>0</v>
      </c>
      <c r="S465" s="424">
        <f>IF(OR(S$447&lt;$C465,S$447&lt;$H$2),0,MIN($E465-SUM($G465:R465),$F465))</f>
        <v>0</v>
      </c>
      <c r="T465" s="424">
        <f>IF(OR(T$447&lt;$C465,T$447&lt;$H$2),0,MIN($E465-SUM($G465:S465),$F465))</f>
        <v>0</v>
      </c>
      <c r="U465" s="424">
        <f>IF(OR(U$447&lt;$C465,U$447&lt;$H$2),0,MIN($E465-SUM($G465:T465),$F465))</f>
        <v>0</v>
      </c>
      <c r="V465" s="424">
        <f>IF(OR(V$447&lt;$C465,V$447&lt;$H$2),0,MIN($E465-SUM($G465:U465),$F465))</f>
        <v>0</v>
      </c>
      <c r="W465" s="424">
        <f>IF(OR(W$447&lt;$C465,W$447&lt;$H$2),0,MIN($E465-SUM($G465:V465),$F465))</f>
        <v>0</v>
      </c>
      <c r="X465" s="424">
        <f>IF(OR(X$447&lt;$C465,X$447&lt;$H$2),0,MIN($E465-SUM($G465:W465),$F465))</f>
        <v>0</v>
      </c>
      <c r="Y465" s="424">
        <f>IF(OR(Y$447&lt;$C465,Y$447&lt;$H$2),0,MIN($E465-SUM($G465:X465),$F465))</f>
        <v>0</v>
      </c>
      <c r="Z465" s="424">
        <f>IF(OR(Z$447&lt;$C465,Z$447&lt;$H$2),0,MIN($E465-SUM($G465:Y465),$F465))</f>
        <v>0</v>
      </c>
      <c r="AA465" s="424">
        <f>IF(OR(AA$447&lt;$C465,AA$447&lt;$H$2),0,MIN($E465-SUM($G465:Z465),$F465))</f>
        <v>0</v>
      </c>
      <c r="AB465" s="424">
        <f>IF(OR(AB$447&lt;$C465,AB$447&lt;$H$2),0,MIN($E465-SUM($G465:AA465),$F465))</f>
        <v>0</v>
      </c>
      <c r="AC465" s="424">
        <f>IF(OR(AC$447&lt;$C465,AC$447&lt;$H$2),0,MIN($E465-SUM($G465:AB465),$F465))</f>
        <v>0</v>
      </c>
      <c r="AD465" s="424">
        <f>IF(OR(AD$447&lt;$C465,AD$447&lt;$H$2),0,MIN($E465-SUM($G465:AC465),$F465))</f>
        <v>0</v>
      </c>
    </row>
    <row r="466" spans="3:30">
      <c r="C466" s="201">
        <v>51879</v>
      </c>
      <c r="D466" s="94" t="s">
        <v>134</v>
      </c>
      <c r="E466" s="424">
        <f t="shared" si="159"/>
        <v>0</v>
      </c>
      <c r="F466" s="209">
        <f t="shared" si="160"/>
        <v>0</v>
      </c>
      <c r="H466" s="424">
        <f>IF(OR(H$447&lt;$C466,H$447&lt;$H$2),0,MIN($E466-SUM($G466:G466),$F466))</f>
        <v>0</v>
      </c>
      <c r="I466" s="424">
        <f>IF(OR(I$447&lt;$C466,I$447&lt;$H$2),0,MIN($E466-SUM($G466:H466),$F466))</f>
        <v>0</v>
      </c>
      <c r="J466" s="424">
        <f>IF(OR(J$447&lt;$C466,J$447&lt;$H$2),0,MIN($E466-SUM($G466:I466),$F466))</f>
        <v>0</v>
      </c>
      <c r="K466" s="424">
        <f>IF(OR(K$447&lt;$C466,K$447&lt;$H$2),0,MIN($E466-SUM($G466:J466),$F466))</f>
        <v>0</v>
      </c>
      <c r="L466" s="424">
        <f>IF(OR(L$447&lt;$C466,L$447&lt;$H$2),0,MIN($E466-SUM($G466:K466),$F466))</f>
        <v>0</v>
      </c>
      <c r="M466" s="424">
        <f>IF(OR(M$447&lt;$C466,M$447&lt;$H$2),0,MIN($E466-SUM($G466:L466),$F466))</f>
        <v>0</v>
      </c>
      <c r="N466" s="424">
        <f>IF(OR(N$447&lt;$C466,N$447&lt;$H$2),0,MIN($E466-SUM($G466:M466),$F466))</f>
        <v>0</v>
      </c>
      <c r="O466" s="424">
        <f>IF(OR(O$447&lt;$C466,O$447&lt;$H$2),0,MIN($E466-SUM($G466:N466),$F466))</f>
        <v>0</v>
      </c>
      <c r="P466" s="424">
        <f>IF(OR(P$447&lt;$C466,P$447&lt;$H$2),0,MIN($E466-SUM($G466:O466),$F466))</f>
        <v>0</v>
      </c>
      <c r="Q466" s="424">
        <f>IF(OR(Q$447&lt;$C466,Q$447&lt;$H$2),0,MIN($E466-SUM($G466:P466),$F466))</f>
        <v>0</v>
      </c>
      <c r="R466" s="424">
        <f>IF(OR(R$447&lt;$C466,R$447&lt;$H$2),0,MIN($E466-SUM($G466:Q466),$F466))</f>
        <v>0</v>
      </c>
      <c r="S466" s="424">
        <f>IF(OR(S$447&lt;$C466,S$447&lt;$H$2),0,MIN($E466-SUM($G466:R466),$F466))</f>
        <v>0</v>
      </c>
      <c r="T466" s="424">
        <f>IF(OR(T$447&lt;$C466,T$447&lt;$H$2),0,MIN($E466-SUM($G466:S466),$F466))</f>
        <v>0</v>
      </c>
      <c r="U466" s="424">
        <f>IF(OR(U$447&lt;$C466,U$447&lt;$H$2),0,MIN($E466-SUM($G466:T466),$F466))</f>
        <v>0</v>
      </c>
      <c r="V466" s="424">
        <f>IF(OR(V$447&lt;$C466,V$447&lt;$H$2),0,MIN($E466-SUM($G466:U466),$F466))</f>
        <v>0</v>
      </c>
      <c r="W466" s="424">
        <f>IF(OR(W$447&lt;$C466,W$447&lt;$H$2),0,MIN($E466-SUM($G466:V466),$F466))</f>
        <v>0</v>
      </c>
      <c r="X466" s="424">
        <f>IF(OR(X$447&lt;$C466,X$447&lt;$H$2),0,MIN($E466-SUM($G466:W466),$F466))</f>
        <v>0</v>
      </c>
      <c r="Y466" s="424">
        <f>IF(OR(Y$447&lt;$C466,Y$447&lt;$H$2),0,MIN($E466-SUM($G466:X466),$F466))</f>
        <v>0</v>
      </c>
      <c r="Z466" s="424">
        <f>IF(OR(Z$447&lt;$C466,Z$447&lt;$H$2),0,MIN($E466-SUM($G466:Y466),$F466))</f>
        <v>0</v>
      </c>
      <c r="AA466" s="424">
        <f>IF(OR(AA$447&lt;$C466,AA$447&lt;$H$2),0,MIN($E466-SUM($G466:Z466),$F466))</f>
        <v>0</v>
      </c>
      <c r="AB466" s="424">
        <f>IF(OR(AB$447&lt;$C466,AB$447&lt;$H$2),0,MIN($E466-SUM($G466:AA466),$F466))</f>
        <v>0</v>
      </c>
      <c r="AC466" s="424">
        <f>IF(OR(AC$447&lt;$C466,AC$447&lt;$H$2),0,MIN($E466-SUM($G466:AB466),$F466))</f>
        <v>0</v>
      </c>
      <c r="AD466" s="424">
        <f>IF(OR(AD$447&lt;$C466,AD$447&lt;$H$2),0,MIN($E466-SUM($G466:AC466),$F466))</f>
        <v>0</v>
      </c>
    </row>
    <row r="467" spans="3:30">
      <c r="C467" s="201">
        <v>52245</v>
      </c>
      <c r="D467" s="94" t="s">
        <v>134</v>
      </c>
      <c r="E467" s="424">
        <f t="shared" si="159"/>
        <v>0</v>
      </c>
      <c r="F467" s="209">
        <f t="shared" si="160"/>
        <v>0</v>
      </c>
      <c r="H467" s="424">
        <f>IF(OR(H$447&lt;$C467,H$447&lt;$H$2),0,MIN($E467-SUM($G467:G467),$F467))</f>
        <v>0</v>
      </c>
      <c r="I467" s="424">
        <f>IF(OR(I$447&lt;$C467,I$447&lt;$H$2),0,MIN($E467-SUM($G467:H467),$F467))</f>
        <v>0</v>
      </c>
      <c r="J467" s="424">
        <f>IF(OR(J$447&lt;$C467,J$447&lt;$H$2),0,MIN($E467-SUM($G467:I467),$F467))</f>
        <v>0</v>
      </c>
      <c r="K467" s="424">
        <f>IF(OR(K$447&lt;$C467,K$447&lt;$H$2),0,MIN($E467-SUM($G467:J467),$F467))</f>
        <v>0</v>
      </c>
      <c r="L467" s="424">
        <f>IF(OR(L$447&lt;$C467,L$447&lt;$H$2),0,MIN($E467-SUM($G467:K467),$F467))</f>
        <v>0</v>
      </c>
      <c r="M467" s="424">
        <f>IF(OR(M$447&lt;$C467,M$447&lt;$H$2),0,MIN($E467-SUM($G467:L467),$F467))</f>
        <v>0</v>
      </c>
      <c r="N467" s="424">
        <f>IF(OR(N$447&lt;$C467,N$447&lt;$H$2),0,MIN($E467-SUM($G467:M467),$F467))</f>
        <v>0</v>
      </c>
      <c r="O467" s="424">
        <f>IF(OR(O$447&lt;$C467,O$447&lt;$H$2),0,MIN($E467-SUM($G467:N467),$F467))</f>
        <v>0</v>
      </c>
      <c r="P467" s="424">
        <f>IF(OR(P$447&lt;$C467,P$447&lt;$H$2),0,MIN($E467-SUM($G467:O467),$F467))</f>
        <v>0</v>
      </c>
      <c r="Q467" s="424">
        <f>IF(OR(Q$447&lt;$C467,Q$447&lt;$H$2),0,MIN($E467-SUM($G467:P467),$F467))</f>
        <v>0</v>
      </c>
      <c r="R467" s="424">
        <f>IF(OR(R$447&lt;$C467,R$447&lt;$H$2),0,MIN($E467-SUM($G467:Q467),$F467))</f>
        <v>0</v>
      </c>
      <c r="S467" s="424">
        <f>IF(OR(S$447&lt;$C467,S$447&lt;$H$2),0,MIN($E467-SUM($G467:R467),$F467))</f>
        <v>0</v>
      </c>
      <c r="T467" s="424">
        <f>IF(OR(T$447&lt;$C467,T$447&lt;$H$2),0,MIN($E467-SUM($G467:S467),$F467))</f>
        <v>0</v>
      </c>
      <c r="U467" s="424">
        <f>IF(OR(U$447&lt;$C467,U$447&lt;$H$2),0,MIN($E467-SUM($G467:T467),$F467))</f>
        <v>0</v>
      </c>
      <c r="V467" s="424">
        <f>IF(OR(V$447&lt;$C467,V$447&lt;$H$2),0,MIN($E467-SUM($G467:U467),$F467))</f>
        <v>0</v>
      </c>
      <c r="W467" s="424">
        <f>IF(OR(W$447&lt;$C467,W$447&lt;$H$2),0,MIN($E467-SUM($G467:V467),$F467))</f>
        <v>0</v>
      </c>
      <c r="X467" s="424">
        <f>IF(OR(X$447&lt;$C467,X$447&lt;$H$2),0,MIN($E467-SUM($G467:W467),$F467))</f>
        <v>0</v>
      </c>
      <c r="Y467" s="424">
        <f>IF(OR(Y$447&lt;$C467,Y$447&lt;$H$2),0,MIN($E467-SUM($G467:X467),$F467))</f>
        <v>0</v>
      </c>
      <c r="Z467" s="424">
        <f>IF(OR(Z$447&lt;$C467,Z$447&lt;$H$2),0,MIN($E467-SUM($G467:Y467),$F467))</f>
        <v>0</v>
      </c>
      <c r="AA467" s="424">
        <f>IF(OR(AA$447&lt;$C467,AA$447&lt;$H$2),0,MIN($E467-SUM($G467:Z467),$F467))</f>
        <v>0</v>
      </c>
      <c r="AB467" s="424">
        <f>IF(OR(AB$447&lt;$C467,AB$447&lt;$H$2),0,MIN($E467-SUM($G467:AA467),$F467))</f>
        <v>0</v>
      </c>
      <c r="AC467" s="424">
        <f>IF(OR(AC$447&lt;$C467,AC$447&lt;$H$2),0,MIN($E467-SUM($G467:AB467),$F467))</f>
        <v>0</v>
      </c>
      <c r="AD467" s="424">
        <f>IF(OR(AD$447&lt;$C467,AD$447&lt;$H$2),0,MIN($E467-SUM($G467:AC467),$F467))</f>
        <v>0</v>
      </c>
    </row>
    <row r="468" spans="3:30">
      <c r="C468" s="201">
        <v>52611</v>
      </c>
      <c r="D468" s="94" t="s">
        <v>134</v>
      </c>
      <c r="E468" s="424">
        <f t="shared" si="159"/>
        <v>2.9676763895944172</v>
      </c>
      <c r="F468" s="209">
        <f t="shared" si="160"/>
        <v>0.19794401518594762</v>
      </c>
      <c r="H468" s="424">
        <f>IF(OR(H$447&lt;$C468,H$447&lt;$H$2),0,MIN($E468-SUM($G468:G468),$F468))</f>
        <v>0</v>
      </c>
      <c r="I468" s="424">
        <f>IF(OR(I$447&lt;$C468,I$447&lt;$H$2),0,MIN($E468-SUM($G468:H468),$F468))</f>
        <v>0</v>
      </c>
      <c r="J468" s="424">
        <f>IF(OR(J$447&lt;$C468,J$447&lt;$H$2),0,MIN($E468-SUM($G468:I468),$F468))</f>
        <v>0</v>
      </c>
      <c r="K468" s="424">
        <f>IF(OR(K$447&lt;$C468,K$447&lt;$H$2),0,MIN($E468-SUM($G468:J468),$F468))</f>
        <v>0</v>
      </c>
      <c r="L468" s="424">
        <f>IF(OR(L$447&lt;$C468,L$447&lt;$H$2),0,MIN($E468-SUM($G468:K468),$F468))</f>
        <v>0</v>
      </c>
      <c r="M468" s="424">
        <f>IF(OR(M$447&lt;$C468,M$447&lt;$H$2),0,MIN($E468-SUM($G468:L468),$F468))</f>
        <v>0</v>
      </c>
      <c r="N468" s="424">
        <f>IF(OR(N$447&lt;$C468,N$447&lt;$H$2),0,MIN($E468-SUM($G468:M468),$F468))</f>
        <v>0</v>
      </c>
      <c r="O468" s="424">
        <f>IF(OR(O$447&lt;$C468,O$447&lt;$H$2),0,MIN($E468-SUM($G468:N468),$F468))</f>
        <v>0</v>
      </c>
      <c r="P468" s="424">
        <f>IF(OR(P$447&lt;$C468,P$447&lt;$H$2),0,MIN($E468-SUM($G468:O468),$F468))</f>
        <v>0</v>
      </c>
      <c r="Q468" s="424">
        <f>IF(OR(Q$447&lt;$C468,Q$447&lt;$H$2),0,MIN($E468-SUM($G468:P468),$F468))</f>
        <v>0</v>
      </c>
      <c r="R468" s="424">
        <f>IF(OR(R$447&lt;$C468,R$447&lt;$H$2),0,MIN($E468-SUM($G468:Q468),$F468))</f>
        <v>0</v>
      </c>
      <c r="S468" s="424">
        <f>IF(OR(S$447&lt;$C468,S$447&lt;$H$2),0,MIN($E468-SUM($G468:R468),$F468))</f>
        <v>0</v>
      </c>
      <c r="T468" s="424">
        <f>IF(OR(T$447&lt;$C468,T$447&lt;$H$2),0,MIN($E468-SUM($G468:S468),$F468))</f>
        <v>0</v>
      </c>
      <c r="U468" s="424">
        <f>IF(OR(U$447&lt;$C468,U$447&lt;$H$2),0,MIN($E468-SUM($G468:T468),$F468))</f>
        <v>0</v>
      </c>
      <c r="V468" s="424">
        <f>IF(OR(V$447&lt;$C468,V$447&lt;$H$2),0,MIN($E468-SUM($G468:U468),$F468))</f>
        <v>0</v>
      </c>
      <c r="W468" s="424">
        <f>IF(OR(W$447&lt;$C468,W$447&lt;$H$2),0,MIN($E468-SUM($G468:V468),$F468))</f>
        <v>0</v>
      </c>
      <c r="X468" s="424">
        <f>IF(OR(X$447&lt;$C468,X$447&lt;$H$2),0,MIN($E468-SUM($G468:W468),$F468))</f>
        <v>0</v>
      </c>
      <c r="Y468" s="424">
        <f>IF(OR(Y$447&lt;$C468,Y$447&lt;$H$2),0,MIN($E468-SUM($G468:X468),$F468))</f>
        <v>0</v>
      </c>
      <c r="Z468" s="424">
        <f>IF(OR(Z$447&lt;$C468,Z$447&lt;$H$2),0,MIN($E468-SUM($G468:Y468),$F468))</f>
        <v>0.19794401518594762</v>
      </c>
      <c r="AA468" s="424">
        <f>IF(OR(AA$447&lt;$C468,AA$447&lt;$H$2),0,MIN($E468-SUM($G468:Z468),$F468))</f>
        <v>0.19794401518594762</v>
      </c>
      <c r="AB468" s="424">
        <f>IF(OR(AB$447&lt;$C468,AB$447&lt;$H$2),0,MIN($E468-SUM($G468:AA468),$F468))</f>
        <v>0.19794401518594762</v>
      </c>
      <c r="AC468" s="424">
        <f>IF(OR(AC$447&lt;$C468,AC$447&lt;$H$2),0,MIN($E468-SUM($G468:AB468),$F468))</f>
        <v>0.19794401518594762</v>
      </c>
      <c r="AD468" s="424">
        <f>IF(OR(AD$447&lt;$C468,AD$447&lt;$H$2),0,MIN($E468-SUM($G468:AC468),$F468))</f>
        <v>0.19794401518594762</v>
      </c>
    </row>
    <row r="469" spans="3:30">
      <c r="C469" s="201">
        <v>52977</v>
      </c>
      <c r="D469" s="94" t="s">
        <v>134</v>
      </c>
      <c r="E469" s="424">
        <f t="shared" si="159"/>
        <v>0</v>
      </c>
      <c r="F469" s="209">
        <f t="shared" si="160"/>
        <v>0</v>
      </c>
      <c r="H469" s="424">
        <f>IF(OR(H$447&lt;$C469,H$447&lt;$H$2),0,MIN($E469-SUM($G469:G469),$F469))</f>
        <v>0</v>
      </c>
      <c r="I469" s="424">
        <f>IF(OR(I$447&lt;$C469,I$447&lt;$H$2),0,MIN($E469-SUM($G469:H469),$F469))</f>
        <v>0</v>
      </c>
      <c r="J469" s="424">
        <f>IF(OR(J$447&lt;$C469,J$447&lt;$H$2),0,MIN($E469-SUM($G469:I469),$F469))</f>
        <v>0</v>
      </c>
      <c r="K469" s="424">
        <f>IF(OR(K$447&lt;$C469,K$447&lt;$H$2),0,MIN($E469-SUM($G469:J469),$F469))</f>
        <v>0</v>
      </c>
      <c r="L469" s="424">
        <f>IF(OR(L$447&lt;$C469,L$447&lt;$H$2),0,MIN($E469-SUM($G469:K469),$F469))</f>
        <v>0</v>
      </c>
      <c r="M469" s="424">
        <f>IF(OR(M$447&lt;$C469,M$447&lt;$H$2),0,MIN($E469-SUM($G469:L469),$F469))</f>
        <v>0</v>
      </c>
      <c r="N469" s="424">
        <f>IF(OR(N$447&lt;$C469,N$447&lt;$H$2),0,MIN($E469-SUM($G469:M469),$F469))</f>
        <v>0</v>
      </c>
      <c r="O469" s="424">
        <f>IF(OR(O$447&lt;$C469,O$447&lt;$H$2),0,MIN($E469-SUM($G469:N469),$F469))</f>
        <v>0</v>
      </c>
      <c r="P469" s="424">
        <f>IF(OR(P$447&lt;$C469,P$447&lt;$H$2),0,MIN($E469-SUM($G469:O469),$F469))</f>
        <v>0</v>
      </c>
      <c r="Q469" s="424">
        <f>IF(OR(Q$447&lt;$C469,Q$447&lt;$H$2),0,MIN($E469-SUM($G469:P469),$F469))</f>
        <v>0</v>
      </c>
      <c r="R469" s="424">
        <f>IF(OR(R$447&lt;$C469,R$447&lt;$H$2),0,MIN($E469-SUM($G469:Q469),$F469))</f>
        <v>0</v>
      </c>
      <c r="S469" s="424">
        <f>IF(OR(S$447&lt;$C469,S$447&lt;$H$2),0,MIN($E469-SUM($G469:R469),$F469))</f>
        <v>0</v>
      </c>
      <c r="T469" s="424">
        <f>IF(OR(T$447&lt;$C469,T$447&lt;$H$2),0,MIN($E469-SUM($G469:S469),$F469))</f>
        <v>0</v>
      </c>
      <c r="U469" s="424">
        <f>IF(OR(U$447&lt;$C469,U$447&lt;$H$2),0,MIN($E469-SUM($G469:T469),$F469))</f>
        <v>0</v>
      </c>
      <c r="V469" s="424">
        <f>IF(OR(V$447&lt;$C469,V$447&lt;$H$2),0,MIN($E469-SUM($G469:U469),$F469))</f>
        <v>0</v>
      </c>
      <c r="W469" s="424">
        <f>IF(OR(W$447&lt;$C469,W$447&lt;$H$2),0,MIN($E469-SUM($G469:V469),$F469))</f>
        <v>0</v>
      </c>
      <c r="X469" s="424">
        <f>IF(OR(X$447&lt;$C469,X$447&lt;$H$2),0,MIN($E469-SUM($G469:W469),$F469))</f>
        <v>0</v>
      </c>
      <c r="Y469" s="424">
        <f>IF(OR(Y$447&lt;$C469,Y$447&lt;$H$2),0,MIN($E469-SUM($G469:X469),$F469))</f>
        <v>0</v>
      </c>
      <c r="Z469" s="424">
        <f>IF(OR(Z$447&lt;$C469,Z$447&lt;$H$2),0,MIN($E469-SUM($G469:Y469),$F469))</f>
        <v>0</v>
      </c>
      <c r="AA469" s="424">
        <f>IF(OR(AA$447&lt;$C469,AA$447&lt;$H$2),0,MIN($E469-SUM($G469:Z469),$F469))</f>
        <v>0</v>
      </c>
      <c r="AB469" s="424">
        <f>IF(OR(AB$447&lt;$C469,AB$447&lt;$H$2),0,MIN($E469-SUM($G469:AA469),$F469))</f>
        <v>0</v>
      </c>
      <c r="AC469" s="424">
        <f>IF(OR(AC$447&lt;$C469,AC$447&lt;$H$2),0,MIN($E469-SUM($G469:AB469),$F469))</f>
        <v>0</v>
      </c>
      <c r="AD469" s="424">
        <f>IF(OR(AD$447&lt;$C469,AD$447&lt;$H$2),0,MIN($E469-SUM($G469:AC469),$F469))</f>
        <v>0</v>
      </c>
    </row>
    <row r="470" spans="3:30">
      <c r="C470" s="201">
        <v>53343</v>
      </c>
      <c r="D470" s="94" t="s">
        <v>134</v>
      </c>
      <c r="E470" s="424">
        <f t="shared" si="159"/>
        <v>0</v>
      </c>
      <c r="F470" s="209">
        <f t="shared" si="160"/>
        <v>0</v>
      </c>
      <c r="H470" s="424">
        <f>IF(OR(H$447&lt;$C470,H$447&lt;$H$2),0,MIN($E470-SUM($G470:G470),$F470))</f>
        <v>0</v>
      </c>
      <c r="I470" s="424">
        <f>IF(OR(I$447&lt;$C470,I$447&lt;$H$2),0,MIN($E470-SUM($G470:H470),$F470))</f>
        <v>0</v>
      </c>
      <c r="J470" s="424">
        <f>IF(OR(J$447&lt;$C470,J$447&lt;$H$2),0,MIN($E470-SUM($G470:I470),$F470))</f>
        <v>0</v>
      </c>
      <c r="K470" s="424">
        <f>IF(OR(K$447&lt;$C470,K$447&lt;$H$2),0,MIN($E470-SUM($G470:J470),$F470))</f>
        <v>0</v>
      </c>
      <c r="L470" s="424">
        <f>IF(OR(L$447&lt;$C470,L$447&lt;$H$2),0,MIN($E470-SUM($G470:K470),$F470))</f>
        <v>0</v>
      </c>
      <c r="M470" s="424">
        <f>IF(OR(M$447&lt;$C470,M$447&lt;$H$2),0,MIN($E470-SUM($G470:L470),$F470))</f>
        <v>0</v>
      </c>
      <c r="N470" s="424">
        <f>IF(OR(N$447&lt;$C470,N$447&lt;$H$2),0,MIN($E470-SUM($G470:M470),$F470))</f>
        <v>0</v>
      </c>
      <c r="O470" s="424">
        <f>IF(OR(O$447&lt;$C470,O$447&lt;$H$2),0,MIN($E470-SUM($G470:N470),$F470))</f>
        <v>0</v>
      </c>
      <c r="P470" s="424">
        <f>IF(OR(P$447&lt;$C470,P$447&lt;$H$2),0,MIN($E470-SUM($G470:O470),$F470))</f>
        <v>0</v>
      </c>
      <c r="Q470" s="424">
        <f>IF(OR(Q$447&lt;$C470,Q$447&lt;$H$2),0,MIN($E470-SUM($G470:P470),$F470))</f>
        <v>0</v>
      </c>
      <c r="R470" s="424">
        <f>IF(OR(R$447&lt;$C470,R$447&lt;$H$2),0,MIN($E470-SUM($G470:Q470),$F470))</f>
        <v>0</v>
      </c>
      <c r="S470" s="424">
        <f>IF(OR(S$447&lt;$C470,S$447&lt;$H$2),0,MIN($E470-SUM($G470:R470),$F470))</f>
        <v>0</v>
      </c>
      <c r="T470" s="424">
        <f>IF(OR(T$447&lt;$C470,T$447&lt;$H$2),0,MIN($E470-SUM($G470:S470),$F470))</f>
        <v>0</v>
      </c>
      <c r="U470" s="424">
        <f>IF(OR(U$447&lt;$C470,U$447&lt;$H$2),0,MIN($E470-SUM($G470:T470),$F470))</f>
        <v>0</v>
      </c>
      <c r="V470" s="424">
        <f>IF(OR(V$447&lt;$C470,V$447&lt;$H$2),0,MIN($E470-SUM($G470:U470),$F470))</f>
        <v>0</v>
      </c>
      <c r="W470" s="424">
        <f>IF(OR(W$447&lt;$C470,W$447&lt;$H$2),0,MIN($E470-SUM($G470:V470),$F470))</f>
        <v>0</v>
      </c>
      <c r="X470" s="424">
        <f>IF(OR(X$447&lt;$C470,X$447&lt;$H$2),0,MIN($E470-SUM($G470:W470),$F470))</f>
        <v>0</v>
      </c>
      <c r="Y470" s="424">
        <f>IF(OR(Y$447&lt;$C470,Y$447&lt;$H$2),0,MIN($E470-SUM($G470:X470),$F470))</f>
        <v>0</v>
      </c>
      <c r="Z470" s="424">
        <f>IF(OR(Z$447&lt;$C470,Z$447&lt;$H$2),0,MIN($E470-SUM($G470:Y470),$F470))</f>
        <v>0</v>
      </c>
      <c r="AA470" s="424">
        <f>IF(OR(AA$447&lt;$C470,AA$447&lt;$H$2),0,MIN($E470-SUM($G470:Z470),$F470))</f>
        <v>0</v>
      </c>
      <c r="AB470" s="424">
        <f>IF(OR(AB$447&lt;$C470,AB$447&lt;$H$2),0,MIN($E470-SUM($G470:AA470),$F470))</f>
        <v>0</v>
      </c>
      <c r="AC470" s="424">
        <f>IF(OR(AC$447&lt;$C470,AC$447&lt;$H$2),0,MIN($E470-SUM($G470:AB470),$F470))</f>
        <v>0</v>
      </c>
      <c r="AD470" s="424">
        <f>IF(OR(AD$447&lt;$C470,AD$447&lt;$H$2),0,MIN($E470-SUM($G470:AC470),$F470))</f>
        <v>0</v>
      </c>
    </row>
    <row r="471" spans="3:30">
      <c r="C471" s="201">
        <v>53709</v>
      </c>
      <c r="D471" s="94" t="s">
        <v>134</v>
      </c>
      <c r="E471" s="424">
        <f t="shared" si="159"/>
        <v>0</v>
      </c>
      <c r="F471" s="209">
        <f t="shared" si="160"/>
        <v>0</v>
      </c>
      <c r="H471" s="424">
        <f>IF(OR(H$447&lt;$C471,H$447&lt;$H$2),0,MIN($E471-SUM($G471:G471),$F471))</f>
        <v>0</v>
      </c>
      <c r="I471" s="424">
        <f>IF(OR(I$447&lt;$C471,I$447&lt;$H$2),0,MIN($E471-SUM($G471:H471),$F471))</f>
        <v>0</v>
      </c>
      <c r="J471" s="424">
        <f>IF(OR(J$447&lt;$C471,J$447&lt;$H$2),0,MIN($E471-SUM($G471:I471),$F471))</f>
        <v>0</v>
      </c>
      <c r="K471" s="424">
        <f>IF(OR(K$447&lt;$C471,K$447&lt;$H$2),0,MIN($E471-SUM($G471:J471),$F471))</f>
        <v>0</v>
      </c>
      <c r="L471" s="424">
        <f>IF(OR(L$447&lt;$C471,L$447&lt;$H$2),0,MIN($E471-SUM($G471:K471),$F471))</f>
        <v>0</v>
      </c>
      <c r="M471" s="424">
        <f>IF(OR(M$447&lt;$C471,M$447&lt;$H$2),0,MIN($E471-SUM($G471:L471),$F471))</f>
        <v>0</v>
      </c>
      <c r="N471" s="424">
        <f>IF(OR(N$447&lt;$C471,N$447&lt;$H$2),0,MIN($E471-SUM($G471:M471),$F471))</f>
        <v>0</v>
      </c>
      <c r="O471" s="424">
        <f>IF(OR(O$447&lt;$C471,O$447&lt;$H$2),0,MIN($E471-SUM($G471:N471),$F471))</f>
        <v>0</v>
      </c>
      <c r="P471" s="424">
        <f>IF(OR(P$447&lt;$C471,P$447&lt;$H$2),0,MIN($E471-SUM($G471:O471),$F471))</f>
        <v>0</v>
      </c>
      <c r="Q471" s="424">
        <f>IF(OR(Q$447&lt;$C471,Q$447&lt;$H$2),0,MIN($E471-SUM($G471:P471),$F471))</f>
        <v>0</v>
      </c>
      <c r="R471" s="424">
        <f>IF(OR(R$447&lt;$C471,R$447&lt;$H$2),0,MIN($E471-SUM($G471:Q471),$F471))</f>
        <v>0</v>
      </c>
      <c r="S471" s="424">
        <f>IF(OR(S$447&lt;$C471,S$447&lt;$H$2),0,MIN($E471-SUM($G471:R471),$F471))</f>
        <v>0</v>
      </c>
      <c r="T471" s="424">
        <f>IF(OR(T$447&lt;$C471,T$447&lt;$H$2),0,MIN($E471-SUM($G471:S471),$F471))</f>
        <v>0</v>
      </c>
      <c r="U471" s="424">
        <f>IF(OR(U$447&lt;$C471,U$447&lt;$H$2),0,MIN($E471-SUM($G471:T471),$F471))</f>
        <v>0</v>
      </c>
      <c r="V471" s="424">
        <f>IF(OR(V$447&lt;$C471,V$447&lt;$H$2),0,MIN($E471-SUM($G471:U471),$F471))</f>
        <v>0</v>
      </c>
      <c r="W471" s="424">
        <f>IF(OR(W$447&lt;$C471,W$447&lt;$H$2),0,MIN($E471-SUM($G471:V471),$F471))</f>
        <v>0</v>
      </c>
      <c r="X471" s="424">
        <f>IF(OR(X$447&lt;$C471,X$447&lt;$H$2),0,MIN($E471-SUM($G471:W471),$F471))</f>
        <v>0</v>
      </c>
      <c r="Y471" s="424">
        <f>IF(OR(Y$447&lt;$C471,Y$447&lt;$H$2),0,MIN($E471-SUM($G471:X471),$F471))</f>
        <v>0</v>
      </c>
      <c r="Z471" s="424">
        <f>IF(OR(Z$447&lt;$C471,Z$447&lt;$H$2),0,MIN($E471-SUM($G471:Y471),$F471))</f>
        <v>0</v>
      </c>
      <c r="AA471" s="424">
        <f>IF(OR(AA$447&lt;$C471,AA$447&lt;$H$2),0,MIN($E471-SUM($G471:Z471),$F471))</f>
        <v>0</v>
      </c>
      <c r="AB471" s="424">
        <f>IF(OR(AB$447&lt;$C471,AB$447&lt;$H$2),0,MIN($E471-SUM($G471:AA471),$F471))</f>
        <v>0</v>
      </c>
      <c r="AC471" s="424">
        <f>IF(OR(AC$447&lt;$C471,AC$447&lt;$H$2),0,MIN($E471-SUM($G471:AB471),$F471))</f>
        <v>0</v>
      </c>
      <c r="AD471" s="424">
        <f>IF(OR(AD$447&lt;$C471,AD$447&lt;$H$2),0,MIN($E471-SUM($G471:AC471),$F471))</f>
        <v>0</v>
      </c>
    </row>
    <row r="472" spans="3:30">
      <c r="C472" s="201">
        <v>54075</v>
      </c>
      <c r="D472" s="94" t="s">
        <v>134</v>
      </c>
      <c r="E472" s="424">
        <f t="shared" si="159"/>
        <v>0</v>
      </c>
      <c r="F472" s="209">
        <f t="shared" si="160"/>
        <v>0</v>
      </c>
      <c r="H472" s="424">
        <f>IF(OR(H$447&lt;$C472,H$447&lt;$H$2),0,MIN($E472-SUM($G472:G472),$F472))</f>
        <v>0</v>
      </c>
      <c r="I472" s="424">
        <f>IF(OR(I$447&lt;$C472,I$447&lt;$H$2),0,MIN($E472-SUM($G472:H472),$F472))</f>
        <v>0</v>
      </c>
      <c r="J472" s="424">
        <f>IF(OR(J$447&lt;$C472,J$447&lt;$H$2),0,MIN($E472-SUM($G472:I472),$F472))</f>
        <v>0</v>
      </c>
      <c r="K472" s="424">
        <f>IF(OR(K$447&lt;$C472,K$447&lt;$H$2),0,MIN($E472-SUM($G472:J472),$F472))</f>
        <v>0</v>
      </c>
      <c r="L472" s="424">
        <f>IF(OR(L$447&lt;$C472,L$447&lt;$H$2),0,MIN($E472-SUM($G472:K472),$F472))</f>
        <v>0</v>
      </c>
      <c r="M472" s="424">
        <f>IF(OR(M$447&lt;$C472,M$447&lt;$H$2),0,MIN($E472-SUM($G472:L472),$F472))</f>
        <v>0</v>
      </c>
      <c r="N472" s="424">
        <f>IF(OR(N$447&lt;$C472,N$447&lt;$H$2),0,MIN($E472-SUM($G472:M472),$F472))</f>
        <v>0</v>
      </c>
      <c r="O472" s="424">
        <f>IF(OR(O$447&lt;$C472,O$447&lt;$H$2),0,MIN($E472-SUM($G472:N472),$F472))</f>
        <v>0</v>
      </c>
      <c r="P472" s="424">
        <f>IF(OR(P$447&lt;$C472,P$447&lt;$H$2),0,MIN($E472-SUM($G472:O472),$F472))</f>
        <v>0</v>
      </c>
      <c r="Q472" s="424">
        <f>IF(OR(Q$447&lt;$C472,Q$447&lt;$H$2),0,MIN($E472-SUM($G472:P472),$F472))</f>
        <v>0</v>
      </c>
      <c r="R472" s="424">
        <f>IF(OR(R$447&lt;$C472,R$447&lt;$H$2),0,MIN($E472-SUM($G472:Q472),$F472))</f>
        <v>0</v>
      </c>
      <c r="S472" s="424">
        <f>IF(OR(S$447&lt;$C472,S$447&lt;$H$2),0,MIN($E472-SUM($G472:R472),$F472))</f>
        <v>0</v>
      </c>
      <c r="T472" s="424">
        <f>IF(OR(T$447&lt;$C472,T$447&lt;$H$2),0,MIN($E472-SUM($G472:S472),$F472))</f>
        <v>0</v>
      </c>
      <c r="U472" s="424">
        <f>IF(OR(U$447&lt;$C472,U$447&lt;$H$2),0,MIN($E472-SUM($G472:T472),$F472))</f>
        <v>0</v>
      </c>
      <c r="V472" s="424">
        <f>IF(OR(V$447&lt;$C472,V$447&lt;$H$2),0,MIN($E472-SUM($G472:U472),$F472))</f>
        <v>0</v>
      </c>
      <c r="W472" s="424">
        <f>IF(OR(W$447&lt;$C472,W$447&lt;$H$2),0,MIN($E472-SUM($G472:V472),$F472))</f>
        <v>0</v>
      </c>
      <c r="X472" s="424">
        <f>IF(OR(X$447&lt;$C472,X$447&lt;$H$2),0,MIN($E472-SUM($G472:W472),$F472))</f>
        <v>0</v>
      </c>
      <c r="Y472" s="424">
        <f>IF(OR(Y$447&lt;$C472,Y$447&lt;$H$2),0,MIN($E472-SUM($G472:X472),$F472))</f>
        <v>0</v>
      </c>
      <c r="Z472" s="424">
        <f>IF(OR(Z$447&lt;$C472,Z$447&lt;$H$2),0,MIN($E472-SUM($G472:Y472),$F472))</f>
        <v>0</v>
      </c>
      <c r="AA472" s="424">
        <f>IF(OR(AA$447&lt;$C472,AA$447&lt;$H$2),0,MIN($E472-SUM($G472:Z472),$F472))</f>
        <v>0</v>
      </c>
      <c r="AB472" s="424">
        <f>IF(OR(AB$447&lt;$C472,AB$447&lt;$H$2),0,MIN($E472-SUM($G472:AA472),$F472))</f>
        <v>0</v>
      </c>
      <c r="AC472" s="424">
        <f>IF(OR(AC$447&lt;$C472,AC$447&lt;$H$2),0,MIN($E472-SUM($G472:AB472),$F472))</f>
        <v>0</v>
      </c>
      <c r="AD472" s="424">
        <f>IF(OR(AD$447&lt;$C472,AD$447&lt;$H$2),0,MIN($E472-SUM($G472:AC472),$F472))</f>
        <v>0</v>
      </c>
    </row>
    <row r="473" spans="3:30" ht="14" thickBot="1">
      <c r="C473" s="240" t="s">
        <v>543</v>
      </c>
      <c r="D473" s="348" t="s">
        <v>134</v>
      </c>
      <c r="E473" s="427">
        <f>SUM(E450:E472)</f>
        <v>15</v>
      </c>
      <c r="F473" s="427">
        <f>SUM(F450:F472)</f>
        <v>1.0004999999999997</v>
      </c>
      <c r="G473" s="348"/>
      <c r="H473" s="427">
        <f t="shared" ref="H473:AD473" si="161">SUM(H450:H472)</f>
        <v>0</v>
      </c>
      <c r="I473" s="427">
        <f t="shared" si="161"/>
        <v>0</v>
      </c>
      <c r="J473" s="427">
        <f t="shared" si="161"/>
        <v>0</v>
      </c>
      <c r="K473" s="427">
        <f t="shared" si="161"/>
        <v>0</v>
      </c>
      <c r="L473" s="427">
        <f t="shared" si="161"/>
        <v>0.18846811418870138</v>
      </c>
      <c r="M473" s="427">
        <f t="shared" si="161"/>
        <v>0.32510298304948793</v>
      </c>
      <c r="N473" s="427">
        <f t="shared" si="161"/>
        <v>0.32510298304948793</v>
      </c>
      <c r="O473" s="427">
        <f t="shared" si="161"/>
        <v>0.32510298304948793</v>
      </c>
      <c r="P473" s="427">
        <f t="shared" si="161"/>
        <v>0.57786277838676026</v>
      </c>
      <c r="Q473" s="427">
        <f t="shared" si="161"/>
        <v>0.57786277838676026</v>
      </c>
      <c r="R473" s="427">
        <f t="shared" si="161"/>
        <v>0.57786277838676026</v>
      </c>
      <c r="S473" s="427">
        <f t="shared" si="161"/>
        <v>0.57786277838676026</v>
      </c>
      <c r="T473" s="427">
        <f t="shared" si="161"/>
        <v>0.57786277838676026</v>
      </c>
      <c r="U473" s="427">
        <f t="shared" si="161"/>
        <v>0.80255598481405221</v>
      </c>
      <c r="V473" s="427">
        <f t="shared" si="161"/>
        <v>0.80255598481405221</v>
      </c>
      <c r="W473" s="427">
        <f t="shared" si="161"/>
        <v>0.80255598481405221</v>
      </c>
      <c r="X473" s="427">
        <f t="shared" si="161"/>
        <v>0.80255598481405221</v>
      </c>
      <c r="Y473" s="427">
        <f t="shared" si="161"/>
        <v>0.80255598481405221</v>
      </c>
      <c r="Z473" s="427">
        <f t="shared" si="161"/>
        <v>0.99908719554581127</v>
      </c>
      <c r="AA473" s="427">
        <f t="shared" si="161"/>
        <v>0.81100763641953844</v>
      </c>
      <c r="AB473" s="427">
        <f t="shared" si="161"/>
        <v>0.67539701695051191</v>
      </c>
      <c r="AC473" s="427">
        <f t="shared" si="161"/>
        <v>0.67539701695051191</v>
      </c>
      <c r="AD473" s="427">
        <f t="shared" si="161"/>
        <v>0.67350226586102813</v>
      </c>
    </row>
    <row r="475" spans="3:30" ht="28">
      <c r="C475" s="428" t="s">
        <v>166</v>
      </c>
      <c r="D475" s="428" t="s">
        <v>88</v>
      </c>
      <c r="E475" s="428" t="s">
        <v>555</v>
      </c>
      <c r="F475" s="429" t="s">
        <v>556</v>
      </c>
      <c r="G475" s="430"/>
      <c r="H475" s="201">
        <f t="shared" ref="H475:AD475" si="162">H447</f>
        <v>46023</v>
      </c>
      <c r="I475" s="201">
        <f t="shared" si="162"/>
        <v>46389</v>
      </c>
      <c r="J475" s="201">
        <f t="shared" si="162"/>
        <v>46755</v>
      </c>
      <c r="K475" s="201">
        <f t="shared" si="162"/>
        <v>47121</v>
      </c>
      <c r="L475" s="201">
        <f t="shared" si="162"/>
        <v>47487</v>
      </c>
      <c r="M475" s="201">
        <f t="shared" si="162"/>
        <v>47853</v>
      </c>
      <c r="N475" s="201">
        <f t="shared" si="162"/>
        <v>48219</v>
      </c>
      <c r="O475" s="201">
        <f t="shared" si="162"/>
        <v>48585</v>
      </c>
      <c r="P475" s="201">
        <f t="shared" si="162"/>
        <v>48951</v>
      </c>
      <c r="Q475" s="201">
        <f t="shared" si="162"/>
        <v>49317</v>
      </c>
      <c r="R475" s="201">
        <f t="shared" si="162"/>
        <v>49683</v>
      </c>
      <c r="S475" s="201">
        <f t="shared" si="162"/>
        <v>50049</v>
      </c>
      <c r="T475" s="201">
        <f t="shared" si="162"/>
        <v>50415</v>
      </c>
      <c r="U475" s="201">
        <f t="shared" si="162"/>
        <v>50781</v>
      </c>
      <c r="V475" s="201">
        <f t="shared" si="162"/>
        <v>51147</v>
      </c>
      <c r="W475" s="201">
        <f t="shared" si="162"/>
        <v>51513</v>
      </c>
      <c r="X475" s="201">
        <f t="shared" si="162"/>
        <v>51879</v>
      </c>
      <c r="Y475" s="201">
        <f t="shared" si="162"/>
        <v>52245</v>
      </c>
      <c r="Z475" s="201">
        <f t="shared" si="162"/>
        <v>52611</v>
      </c>
      <c r="AA475" s="201">
        <f t="shared" si="162"/>
        <v>52977</v>
      </c>
      <c r="AB475" s="201">
        <f t="shared" si="162"/>
        <v>53343</v>
      </c>
      <c r="AC475" s="201">
        <f t="shared" si="162"/>
        <v>53709</v>
      </c>
      <c r="AD475" s="201">
        <f t="shared" si="162"/>
        <v>54075</v>
      </c>
    </row>
    <row r="476" spans="3:30">
      <c r="C476" s="430"/>
      <c r="D476" s="430"/>
      <c r="E476" s="428" t="s">
        <v>134</v>
      </c>
      <c r="F476" s="428" t="s">
        <v>134</v>
      </c>
      <c r="G476" s="430"/>
      <c r="H476" s="1141">
        <f t="shared" ref="H476:AD476" si="163">H448</f>
        <v>-4</v>
      </c>
      <c r="I476" s="1141">
        <f t="shared" si="163"/>
        <v>-3</v>
      </c>
      <c r="J476" s="1141">
        <f t="shared" si="163"/>
        <v>-2</v>
      </c>
      <c r="K476" s="1141">
        <f t="shared" si="163"/>
        <v>-1</v>
      </c>
      <c r="L476" s="1141">
        <f t="shared" si="163"/>
        <v>1</v>
      </c>
      <c r="M476" s="1141">
        <f t="shared" si="163"/>
        <v>2</v>
      </c>
      <c r="N476" s="1141">
        <f t="shared" si="163"/>
        <v>3</v>
      </c>
      <c r="O476" s="1141">
        <f t="shared" si="163"/>
        <v>4</v>
      </c>
      <c r="P476" s="1141">
        <f t="shared" si="163"/>
        <v>5</v>
      </c>
      <c r="Q476" s="1141">
        <f t="shared" si="163"/>
        <v>6</v>
      </c>
      <c r="R476" s="1141">
        <f t="shared" si="163"/>
        <v>7</v>
      </c>
      <c r="S476" s="1141">
        <f t="shared" si="163"/>
        <v>8</v>
      </c>
      <c r="T476" s="1141">
        <f t="shared" si="163"/>
        <v>9</v>
      </c>
      <c r="U476" s="1141">
        <f t="shared" si="163"/>
        <v>10</v>
      </c>
      <c r="V476" s="1141">
        <f t="shared" si="163"/>
        <v>11</v>
      </c>
      <c r="W476" s="1141">
        <f t="shared" si="163"/>
        <v>12</v>
      </c>
      <c r="X476" s="1141">
        <f t="shared" si="163"/>
        <v>13</v>
      </c>
      <c r="Y476" s="1141">
        <f t="shared" si="163"/>
        <v>14</v>
      </c>
      <c r="Z476" s="1141">
        <f t="shared" si="163"/>
        <v>15</v>
      </c>
      <c r="AA476" s="1141">
        <f t="shared" si="163"/>
        <v>16</v>
      </c>
      <c r="AB476" s="1141">
        <f t="shared" si="163"/>
        <v>17</v>
      </c>
      <c r="AC476" s="1141">
        <f t="shared" si="163"/>
        <v>18</v>
      </c>
      <c r="AD476" s="1141">
        <f t="shared" si="163"/>
        <v>19</v>
      </c>
    </row>
    <row r="477" spans="3:30">
      <c r="C477" s="191" t="str">
        <f>C101</f>
        <v>Digitalisation</v>
      </c>
    </row>
    <row r="478" spans="3:30">
      <c r="C478" s="201" cm="1">
        <f t="array" ref="C478:C500">TRANSPOSE(H475:AD475)</f>
        <v>46023</v>
      </c>
      <c r="D478" s="94" t="s">
        <v>134</v>
      </c>
      <c r="E478" s="424">
        <f t="shared" ref="E478:E500" si="164">HLOOKUP($C478,$H$39:$AI$112,65,FALSE)</f>
        <v>0</v>
      </c>
      <c r="F478" s="209">
        <f>E478*$F$101</f>
        <v>0</v>
      </c>
      <c r="H478" s="424">
        <f>IF(OR(H$475&lt;$C478,H$475&lt;$H$2),0,MIN($E478-SUM($G478:G478),$F478))</f>
        <v>0</v>
      </c>
      <c r="I478" s="424">
        <f>IF(OR(I$475&lt;$C478,I$475&lt;$H$2),0,MIN($E478-SUM($G478:H478),$F478))</f>
        <v>0</v>
      </c>
      <c r="J478" s="424">
        <f>IF(OR(J$475&lt;$C478,J$475&lt;$H$2),0,MIN($E478-SUM($G478:I478),$F478))</f>
        <v>0</v>
      </c>
      <c r="K478" s="424">
        <f>IF(OR(K$475&lt;$C478,K$475&lt;$H$2),0,MIN($E478-SUM($G478:J478),$F478))</f>
        <v>0</v>
      </c>
      <c r="L478" s="424">
        <f>IF(OR(L$475&lt;$C478,L$475&lt;$H$2),0,MIN($E478-SUM($G478:K478),$F478))</f>
        <v>0</v>
      </c>
      <c r="M478" s="424">
        <f>IF(OR(M$475&lt;$C478,M$475&lt;$H$2),0,MIN($E478-SUM($G478:L478),$F478))</f>
        <v>0</v>
      </c>
      <c r="N478" s="424">
        <f>IF(OR(N$475&lt;$C478,N$475&lt;$H$2),0,MIN($E478-SUM($G478:M478),$F478))</f>
        <v>0</v>
      </c>
      <c r="O478" s="424">
        <f>IF(OR(O$475&lt;$C478,O$475&lt;$H$2),0,MIN($E478-SUM($G478:N478),$F478))</f>
        <v>0</v>
      </c>
      <c r="P478" s="424">
        <f>IF(OR(P$475&lt;$C478,P$475&lt;$H$2),0,MIN($E478-SUM($G478:O478),$F478))</f>
        <v>0</v>
      </c>
      <c r="Q478" s="424">
        <f>IF(OR(Q$475&lt;$C478,Q$475&lt;$H$2),0,MIN($E478-SUM($G478:P478),$F478))</f>
        <v>0</v>
      </c>
      <c r="R478" s="424">
        <f>IF(OR(R$475&lt;$C478,R$475&lt;$H$2),0,MIN($E478-SUM($G478:Q478),$F478))</f>
        <v>0</v>
      </c>
      <c r="S478" s="424">
        <f>IF(OR(S$475&lt;$C478,S$475&lt;$H$2),0,MIN($E478-SUM($G478:R478),$F478))</f>
        <v>0</v>
      </c>
      <c r="T478" s="424">
        <f>IF(OR(T$475&lt;$C478,T$475&lt;$H$2),0,MIN($E478-SUM($G478:S478),$F478))</f>
        <v>0</v>
      </c>
      <c r="U478" s="424">
        <f>IF(OR(U$475&lt;$C478,U$475&lt;$H$2),0,MIN($E478-SUM($G478:T478),$F478))</f>
        <v>0</v>
      </c>
      <c r="V478" s="424">
        <f>IF(OR(V$475&lt;$C478,V$475&lt;$H$2),0,MIN($E478-SUM($G478:U478),$F478))</f>
        <v>0</v>
      </c>
      <c r="W478" s="424">
        <f>IF(OR(W$475&lt;$C478,W$475&lt;$H$2),0,MIN($E478-SUM($G478:V478),$F478))</f>
        <v>0</v>
      </c>
      <c r="X478" s="424">
        <f>IF(OR(X$475&lt;$C478,X$475&lt;$H$2),0,MIN($E478-SUM($G478:W478),$F478))</f>
        <v>0</v>
      </c>
      <c r="Y478" s="424">
        <f>IF(OR(Y$475&lt;$C478,Y$475&lt;$H$2),0,MIN($E478-SUM($G478:X478),$F478))</f>
        <v>0</v>
      </c>
      <c r="Z478" s="424">
        <f>IF(OR(Z$475&lt;$C478,Z$475&lt;$H$2),0,MIN($E478-SUM($G478:Y478),$F478))</f>
        <v>0</v>
      </c>
      <c r="AA478" s="424">
        <f>IF(OR(AA$475&lt;$C478,AA$475&lt;$H$2),0,MIN($E478-SUM($G478:Z478),$F478))</f>
        <v>0</v>
      </c>
      <c r="AB478" s="424">
        <f>IF(OR(AB$475&lt;$C478,AB$475&lt;$H$2),0,MIN($E478-SUM($G478:AA478),$F478))</f>
        <v>0</v>
      </c>
      <c r="AC478" s="424">
        <f>IF(OR(AC$475&lt;$C478,AC$475&lt;$H$2),0,MIN($E478-SUM($G478:AB478),$F478))</f>
        <v>0</v>
      </c>
      <c r="AD478" s="424">
        <f>IF(OR(AD$475&lt;$C478,AD$475&lt;$H$2),0,MIN($E478-SUM($G478:AC478),$F478))</f>
        <v>0</v>
      </c>
    </row>
    <row r="479" spans="3:30">
      <c r="C479" s="201">
        <v>46389</v>
      </c>
      <c r="D479" s="94" t="s">
        <v>134</v>
      </c>
      <c r="E479" s="424">
        <f t="shared" si="164"/>
        <v>3</v>
      </c>
      <c r="F479" s="209">
        <f t="shared" ref="F479:F500" si="165">E479*$F$101</f>
        <v>0.99990000000000001</v>
      </c>
      <c r="H479" s="424">
        <f>IF(OR(H$475&lt;$C479,H$475&lt;$H$2),0,MIN($E479-SUM($G479:G479),$F479))</f>
        <v>0</v>
      </c>
      <c r="I479" s="424">
        <f>IF(OR(I$475&lt;$C479,I$475&lt;$H$2),0,MIN($E479-SUM($G479:H479),$F479))</f>
        <v>0.99990000000000001</v>
      </c>
      <c r="J479" s="424">
        <f>IF(OR(J$475&lt;$C479,J$475&lt;$H$2),0,MIN($E479-SUM($G479:I479),$F479))</f>
        <v>0.99990000000000001</v>
      </c>
      <c r="K479" s="424">
        <f>IF(OR(K$475&lt;$C479,K$475&lt;$H$2),0,MIN($E479-SUM($G479:J479),$F479))</f>
        <v>0.99990000000000001</v>
      </c>
      <c r="L479" s="424">
        <f>IF(OR(L$475&lt;$C479,L$475&lt;$H$2),0,MIN($E479-SUM($G479:K479),$F479))</f>
        <v>3.00000000000189E-4</v>
      </c>
      <c r="M479" s="424">
        <f>IF(OR(M$475&lt;$C479,M$475&lt;$H$2),0,MIN($E479-SUM($G479:L479),$F479))</f>
        <v>0</v>
      </c>
      <c r="N479" s="424">
        <f>IF(OR(N$475&lt;$C479,N$475&lt;$H$2),0,MIN($E479-SUM($G479:M479),$F479))</f>
        <v>0</v>
      </c>
      <c r="O479" s="424">
        <f>IF(OR(O$475&lt;$C479,O$475&lt;$H$2),0,MIN($E479-SUM($G479:N479),$F479))</f>
        <v>0</v>
      </c>
      <c r="P479" s="424">
        <f>IF(OR(P$475&lt;$C479,P$475&lt;$H$2),0,MIN($E479-SUM($G479:O479),$F479))</f>
        <v>0</v>
      </c>
      <c r="Q479" s="424">
        <f>IF(OR(Q$475&lt;$C479,Q$475&lt;$H$2),0,MIN($E479-SUM($G479:P479),$F479))</f>
        <v>0</v>
      </c>
      <c r="R479" s="424">
        <f>IF(OR(R$475&lt;$C479,R$475&lt;$H$2),0,MIN($E479-SUM($G479:Q479),$F479))</f>
        <v>0</v>
      </c>
      <c r="S479" s="424">
        <f>IF(OR(S$475&lt;$C479,S$475&lt;$H$2),0,MIN($E479-SUM($G479:R479),$F479))</f>
        <v>0</v>
      </c>
      <c r="T479" s="424">
        <f>IF(OR(T$475&lt;$C479,T$475&lt;$H$2),0,MIN($E479-SUM($G479:S479),$F479))</f>
        <v>0</v>
      </c>
      <c r="U479" s="424">
        <f>IF(OR(U$475&lt;$C479,U$475&lt;$H$2),0,MIN($E479-SUM($G479:T479),$F479))</f>
        <v>0</v>
      </c>
      <c r="V479" s="424">
        <f>IF(OR(V$475&lt;$C479,V$475&lt;$H$2),0,MIN($E479-SUM($G479:U479),$F479))</f>
        <v>0</v>
      </c>
      <c r="W479" s="424">
        <f>IF(OR(W$475&lt;$C479,W$475&lt;$H$2),0,MIN($E479-SUM($G479:V479),$F479))</f>
        <v>0</v>
      </c>
      <c r="X479" s="424">
        <f>IF(OR(X$475&lt;$C479,X$475&lt;$H$2),0,MIN($E479-SUM($G479:W479),$F479))</f>
        <v>0</v>
      </c>
      <c r="Y479" s="424">
        <f>IF(OR(Y$475&lt;$C479,Y$475&lt;$H$2),0,MIN($E479-SUM($G479:X479),$F479))</f>
        <v>0</v>
      </c>
      <c r="Z479" s="424">
        <f>IF(OR(Z$475&lt;$C479,Z$475&lt;$H$2),0,MIN($E479-SUM($G479:Y479),$F479))</f>
        <v>0</v>
      </c>
      <c r="AA479" s="424">
        <f>IF(OR(AA$475&lt;$C479,AA$475&lt;$H$2),0,MIN($E479-SUM($G479:Z479),$F479))</f>
        <v>0</v>
      </c>
      <c r="AB479" s="424">
        <f>IF(OR(AB$475&lt;$C479,AB$475&lt;$H$2),0,MIN($E479-SUM($G479:AA479),$F479))</f>
        <v>0</v>
      </c>
      <c r="AC479" s="424">
        <f>IF(OR(AC$475&lt;$C479,AC$475&lt;$H$2),0,MIN($E479-SUM($G479:AB479),$F479))</f>
        <v>0</v>
      </c>
      <c r="AD479" s="424">
        <f>IF(OR(AD$475&lt;$C479,AD$475&lt;$H$2),0,MIN($E479-SUM($G479:AC479),$F479))</f>
        <v>0</v>
      </c>
    </row>
    <row r="480" spans="3:30">
      <c r="C480" s="201">
        <v>46755</v>
      </c>
      <c r="D480" s="94" t="s">
        <v>134</v>
      </c>
      <c r="E480" s="424">
        <f t="shared" si="164"/>
        <v>5</v>
      </c>
      <c r="F480" s="209">
        <f t="shared" si="165"/>
        <v>1.6664999999999999</v>
      </c>
      <c r="H480" s="424">
        <f>IF(OR(H$475&lt;$C480,H$475&lt;$H$2),0,MIN($E480-SUM($G480:G480),$F480))</f>
        <v>0</v>
      </c>
      <c r="I480" s="424">
        <f>IF(OR(I$475&lt;$C480,I$475&lt;$H$2),0,MIN($E480-SUM($G480:H480),$F480))</f>
        <v>0</v>
      </c>
      <c r="J480" s="424">
        <f>IF(OR(J$475&lt;$C480,J$475&lt;$H$2),0,MIN($E480-SUM($G480:I480),$F480))</f>
        <v>1.6664999999999999</v>
      </c>
      <c r="K480" s="424">
        <f>IF(OR(K$475&lt;$C480,K$475&lt;$H$2),0,MIN($E480-SUM($G480:J480),$F480))</f>
        <v>1.6664999999999999</v>
      </c>
      <c r="L480" s="424">
        <f>IF(OR(L$475&lt;$C480,L$475&lt;$H$2),0,MIN($E480-SUM($G480:K480),$F480))</f>
        <v>1.6664999999999999</v>
      </c>
      <c r="M480" s="424">
        <f>IF(OR(M$475&lt;$C480,M$475&lt;$H$2),0,MIN($E480-SUM($G480:L480),$F480))</f>
        <v>5.0000000000061107E-4</v>
      </c>
      <c r="N480" s="424">
        <f>IF(OR(N$475&lt;$C480,N$475&lt;$H$2),0,MIN($E480-SUM($G480:M480),$F480))</f>
        <v>0</v>
      </c>
      <c r="O480" s="424">
        <f>IF(OR(O$475&lt;$C480,O$475&lt;$H$2),0,MIN($E480-SUM($G480:N480),$F480))</f>
        <v>0</v>
      </c>
      <c r="P480" s="424">
        <f>IF(OR(P$475&lt;$C480,P$475&lt;$H$2),0,MIN($E480-SUM($G480:O480),$F480))</f>
        <v>0</v>
      </c>
      <c r="Q480" s="424">
        <f>IF(OR(Q$475&lt;$C480,Q$475&lt;$H$2),0,MIN($E480-SUM($G480:P480),$F480))</f>
        <v>0</v>
      </c>
      <c r="R480" s="424">
        <f>IF(OR(R$475&lt;$C480,R$475&lt;$H$2),0,MIN($E480-SUM($G480:Q480),$F480))</f>
        <v>0</v>
      </c>
      <c r="S480" s="424">
        <f>IF(OR(S$475&lt;$C480,S$475&lt;$H$2),0,MIN($E480-SUM($G480:R480),$F480))</f>
        <v>0</v>
      </c>
      <c r="T480" s="424">
        <f>IF(OR(T$475&lt;$C480,T$475&lt;$H$2),0,MIN($E480-SUM($G480:S480),$F480))</f>
        <v>0</v>
      </c>
      <c r="U480" s="424">
        <f>IF(OR(U$475&lt;$C480,U$475&lt;$H$2),0,MIN($E480-SUM($G480:T480),$F480))</f>
        <v>0</v>
      </c>
      <c r="V480" s="424">
        <f>IF(OR(V$475&lt;$C480,V$475&lt;$H$2),0,MIN($E480-SUM($G480:U480),$F480))</f>
        <v>0</v>
      </c>
      <c r="W480" s="424">
        <f>IF(OR(W$475&lt;$C480,W$475&lt;$H$2),0,MIN($E480-SUM($G480:V480),$F480))</f>
        <v>0</v>
      </c>
      <c r="X480" s="424">
        <f>IF(OR(X$475&lt;$C480,X$475&lt;$H$2),0,MIN($E480-SUM($G480:W480),$F480))</f>
        <v>0</v>
      </c>
      <c r="Y480" s="424">
        <f>IF(OR(Y$475&lt;$C480,Y$475&lt;$H$2),0,MIN($E480-SUM($G480:X480),$F480))</f>
        <v>0</v>
      </c>
      <c r="Z480" s="424">
        <f>IF(OR(Z$475&lt;$C480,Z$475&lt;$H$2),0,MIN($E480-SUM($G480:Y480),$F480))</f>
        <v>0</v>
      </c>
      <c r="AA480" s="424">
        <f>IF(OR(AA$475&lt;$C480,AA$475&lt;$H$2),0,MIN($E480-SUM($G480:Z480),$F480))</f>
        <v>0</v>
      </c>
      <c r="AB480" s="424">
        <f>IF(OR(AB$475&lt;$C480,AB$475&lt;$H$2),0,MIN($E480-SUM($G480:AA480),$F480))</f>
        <v>0</v>
      </c>
      <c r="AC480" s="424">
        <f>IF(OR(AC$475&lt;$C480,AC$475&lt;$H$2),0,MIN($E480-SUM($G480:AB480),$F480))</f>
        <v>0</v>
      </c>
      <c r="AD480" s="424">
        <f>IF(OR(AD$475&lt;$C480,AD$475&lt;$H$2),0,MIN($E480-SUM($G480:AC480),$F480))</f>
        <v>0</v>
      </c>
    </row>
    <row r="481" spans="3:30">
      <c r="C481" s="201">
        <v>47121</v>
      </c>
      <c r="D481" s="94" t="s">
        <v>134</v>
      </c>
      <c r="E481" s="424">
        <f t="shared" si="164"/>
        <v>2</v>
      </c>
      <c r="F481" s="209">
        <f t="shared" si="165"/>
        <v>0.66659999999999997</v>
      </c>
      <c r="H481" s="424">
        <f>IF(OR(H$475&lt;$C481,H$475&lt;$H$2),0,MIN($E481-SUM($G481:G481),$F481))</f>
        <v>0</v>
      </c>
      <c r="I481" s="424">
        <f>IF(OR(I$475&lt;$C481,I$475&lt;$H$2),0,MIN($E481-SUM($G481:H481),$F481))</f>
        <v>0</v>
      </c>
      <c r="J481" s="424">
        <f>IF(OR(J$475&lt;$C481,J$475&lt;$H$2),0,MIN($E481-SUM($G481:I481),$F481))</f>
        <v>0</v>
      </c>
      <c r="K481" s="424">
        <f>IF(OR(K$475&lt;$C481,K$475&lt;$H$2),0,MIN($E481-SUM($G481:J481),$F481))</f>
        <v>0.66659999999999997</v>
      </c>
      <c r="L481" s="424">
        <f>IF(OR(L$475&lt;$C481,L$475&lt;$H$2),0,MIN($E481-SUM($G481:K481),$F481))</f>
        <v>0.66659999999999997</v>
      </c>
      <c r="M481" s="424">
        <f>IF(OR(M$475&lt;$C481,M$475&lt;$H$2),0,MIN($E481-SUM($G481:L481),$F481))</f>
        <v>0.66659999999999997</v>
      </c>
      <c r="N481" s="424">
        <f>IF(OR(N$475&lt;$C481,N$475&lt;$H$2),0,MIN($E481-SUM($G481:M481),$F481))</f>
        <v>1.9999999999997797E-4</v>
      </c>
      <c r="O481" s="424">
        <f>IF(OR(O$475&lt;$C481,O$475&lt;$H$2),0,MIN($E481-SUM($G481:N481),$F481))</f>
        <v>0</v>
      </c>
      <c r="P481" s="424">
        <f>IF(OR(P$475&lt;$C481,P$475&lt;$H$2),0,MIN($E481-SUM($G481:O481),$F481))</f>
        <v>0</v>
      </c>
      <c r="Q481" s="424">
        <f>IF(OR(Q$475&lt;$C481,Q$475&lt;$H$2),0,MIN($E481-SUM($G481:P481),$F481))</f>
        <v>0</v>
      </c>
      <c r="R481" s="424">
        <f>IF(OR(R$475&lt;$C481,R$475&lt;$H$2),0,MIN($E481-SUM($G481:Q481),$F481))</f>
        <v>0</v>
      </c>
      <c r="S481" s="424">
        <f>IF(OR(S$475&lt;$C481,S$475&lt;$H$2),0,MIN($E481-SUM($G481:R481),$F481))</f>
        <v>0</v>
      </c>
      <c r="T481" s="424">
        <f>IF(OR(T$475&lt;$C481,T$475&lt;$H$2),0,MIN($E481-SUM($G481:S481),$F481))</f>
        <v>0</v>
      </c>
      <c r="U481" s="424">
        <f>IF(OR(U$475&lt;$C481,U$475&lt;$H$2),0,MIN($E481-SUM($G481:T481),$F481))</f>
        <v>0</v>
      </c>
      <c r="V481" s="424">
        <f>IF(OR(V$475&lt;$C481,V$475&lt;$H$2),0,MIN($E481-SUM($G481:U481),$F481))</f>
        <v>0</v>
      </c>
      <c r="W481" s="424">
        <f>IF(OR(W$475&lt;$C481,W$475&lt;$H$2),0,MIN($E481-SUM($G481:V481),$F481))</f>
        <v>0</v>
      </c>
      <c r="X481" s="424">
        <f>IF(OR(X$475&lt;$C481,X$475&lt;$H$2),0,MIN($E481-SUM($G481:W481),$F481))</f>
        <v>0</v>
      </c>
      <c r="Y481" s="424">
        <f>IF(OR(Y$475&lt;$C481,Y$475&lt;$H$2),0,MIN($E481-SUM($G481:X481),$F481))</f>
        <v>0</v>
      </c>
      <c r="Z481" s="424">
        <f>IF(OR(Z$475&lt;$C481,Z$475&lt;$H$2),0,MIN($E481-SUM($G481:Y481),$F481))</f>
        <v>0</v>
      </c>
      <c r="AA481" s="424">
        <f>IF(OR(AA$475&lt;$C481,AA$475&lt;$H$2),0,MIN($E481-SUM($G481:Z481),$F481))</f>
        <v>0</v>
      </c>
      <c r="AB481" s="424">
        <f>IF(OR(AB$475&lt;$C481,AB$475&lt;$H$2),0,MIN($E481-SUM($G481:AA481),$F481))</f>
        <v>0</v>
      </c>
      <c r="AC481" s="424">
        <f>IF(OR(AC$475&lt;$C481,AC$475&lt;$H$2),0,MIN($E481-SUM($G481:AB481),$F481))</f>
        <v>0</v>
      </c>
      <c r="AD481" s="424">
        <f>IF(OR(AD$475&lt;$C481,AD$475&lt;$H$2),0,MIN($E481-SUM($G481:AC481),$F481))</f>
        <v>0</v>
      </c>
    </row>
    <row r="482" spans="3:30">
      <c r="C482" s="201">
        <v>47487</v>
      </c>
      <c r="D482" s="94" t="s">
        <v>134</v>
      </c>
      <c r="E482" s="424">
        <f t="shared" si="164"/>
        <v>0</v>
      </c>
      <c r="F482" s="209">
        <f t="shared" si="165"/>
        <v>0</v>
      </c>
      <c r="H482" s="424">
        <f>IF(OR(H$475&lt;$C482,H$475&lt;$H$2),0,MIN($E482-SUM($G482:G482),$F482))</f>
        <v>0</v>
      </c>
      <c r="I482" s="424">
        <f>IF(OR(I$475&lt;$C482,I$475&lt;$H$2),0,MIN($E482-SUM($G482:H482),$F482))</f>
        <v>0</v>
      </c>
      <c r="J482" s="424">
        <f>IF(OR(J$475&lt;$C482,J$475&lt;$H$2),0,MIN($E482-SUM($G482:I482),$F482))</f>
        <v>0</v>
      </c>
      <c r="K482" s="424">
        <f>IF(OR(K$475&lt;$C482,K$475&lt;$H$2),0,MIN($E482-SUM($G482:J482),$F482))</f>
        <v>0</v>
      </c>
      <c r="L482" s="424">
        <f>IF(OR(L$475&lt;$C482,L$475&lt;$H$2),0,MIN($E482-SUM($G482:K482),$F482))</f>
        <v>0</v>
      </c>
      <c r="M482" s="424">
        <f>IF(OR(M$475&lt;$C482,M$475&lt;$H$2),0,MIN($E482-SUM($G482:L482),$F482))</f>
        <v>0</v>
      </c>
      <c r="N482" s="424">
        <f>IF(OR(N$475&lt;$C482,N$475&lt;$H$2),0,MIN($E482-SUM($G482:M482),$F482))</f>
        <v>0</v>
      </c>
      <c r="O482" s="424">
        <f>IF(OR(O$475&lt;$C482,O$475&lt;$H$2),0,MIN($E482-SUM($G482:N482),$F482))</f>
        <v>0</v>
      </c>
      <c r="P482" s="424">
        <f>IF(OR(P$475&lt;$C482,P$475&lt;$H$2),0,MIN($E482-SUM($G482:O482),$F482))</f>
        <v>0</v>
      </c>
      <c r="Q482" s="424">
        <f>IF(OR(Q$475&lt;$C482,Q$475&lt;$H$2),0,MIN($E482-SUM($G482:P482),$F482))</f>
        <v>0</v>
      </c>
      <c r="R482" s="424">
        <f>IF(OR(R$475&lt;$C482,R$475&lt;$H$2),0,MIN($E482-SUM($G482:Q482),$F482))</f>
        <v>0</v>
      </c>
      <c r="S482" s="424">
        <f>IF(OR(S$475&lt;$C482,S$475&lt;$H$2),0,MIN($E482-SUM($G482:R482),$F482))</f>
        <v>0</v>
      </c>
      <c r="T482" s="424">
        <f>IF(OR(T$475&lt;$C482,T$475&lt;$H$2),0,MIN($E482-SUM($G482:S482),$F482))</f>
        <v>0</v>
      </c>
      <c r="U482" s="424">
        <f>IF(OR(U$475&lt;$C482,U$475&lt;$H$2),0,MIN($E482-SUM($G482:T482),$F482))</f>
        <v>0</v>
      </c>
      <c r="V482" s="424">
        <f>IF(OR(V$475&lt;$C482,V$475&lt;$H$2),0,MIN($E482-SUM($G482:U482),$F482))</f>
        <v>0</v>
      </c>
      <c r="W482" s="424">
        <f>IF(OR(W$475&lt;$C482,W$475&lt;$H$2),0,MIN($E482-SUM($G482:V482),$F482))</f>
        <v>0</v>
      </c>
      <c r="X482" s="424">
        <f>IF(OR(X$475&lt;$C482,X$475&lt;$H$2),0,MIN($E482-SUM($G482:W482),$F482))</f>
        <v>0</v>
      </c>
      <c r="Y482" s="424">
        <f>IF(OR(Y$475&lt;$C482,Y$475&lt;$H$2),0,MIN($E482-SUM($G482:X482),$F482))</f>
        <v>0</v>
      </c>
      <c r="Z482" s="424">
        <f>IF(OR(Z$475&lt;$C482,Z$475&lt;$H$2),0,MIN($E482-SUM($G482:Y482),$F482))</f>
        <v>0</v>
      </c>
      <c r="AA482" s="424">
        <f>IF(OR(AA$475&lt;$C482,AA$475&lt;$H$2),0,MIN($E482-SUM($G482:Z482),$F482))</f>
        <v>0</v>
      </c>
      <c r="AB482" s="424">
        <f>IF(OR(AB$475&lt;$C482,AB$475&lt;$H$2),0,MIN($E482-SUM($G482:AA482),$F482))</f>
        <v>0</v>
      </c>
      <c r="AC482" s="424">
        <f>IF(OR(AC$475&lt;$C482,AC$475&lt;$H$2),0,MIN($E482-SUM($G482:AB482),$F482))</f>
        <v>0</v>
      </c>
      <c r="AD482" s="424">
        <f>IF(OR(AD$475&lt;$C482,AD$475&lt;$H$2),0,MIN($E482-SUM($G482:AC482),$F482))</f>
        <v>0</v>
      </c>
    </row>
    <row r="483" spans="3:30">
      <c r="C483" s="201">
        <v>47853</v>
      </c>
      <c r="D483" s="94" t="s">
        <v>134</v>
      </c>
      <c r="E483" s="424">
        <f t="shared" si="164"/>
        <v>0</v>
      </c>
      <c r="F483" s="209">
        <f t="shared" si="165"/>
        <v>0</v>
      </c>
      <c r="H483" s="424">
        <f>IF(OR(H$475&lt;$C483,H$475&lt;$H$2),0,MIN($E483-SUM($G483:G483),$F483))</f>
        <v>0</v>
      </c>
      <c r="I483" s="424">
        <f>IF(OR(I$475&lt;$C483,I$475&lt;$H$2),0,MIN($E483-SUM($G483:H483),$F483))</f>
        <v>0</v>
      </c>
      <c r="J483" s="424">
        <f>IF(OR(J$475&lt;$C483,J$475&lt;$H$2),0,MIN($E483-SUM($G483:I483),$F483))</f>
        <v>0</v>
      </c>
      <c r="K483" s="424">
        <f>IF(OR(K$475&lt;$C483,K$475&lt;$H$2),0,MIN($E483-SUM($G483:J483),$F483))</f>
        <v>0</v>
      </c>
      <c r="L483" s="424">
        <f>IF(OR(L$475&lt;$C483,L$475&lt;$H$2),0,MIN($E483-SUM($G483:K483),$F483))</f>
        <v>0</v>
      </c>
      <c r="M483" s="424">
        <f>IF(OR(M$475&lt;$C483,M$475&lt;$H$2),0,MIN($E483-SUM($G483:L483),$F483))</f>
        <v>0</v>
      </c>
      <c r="N483" s="424">
        <f>IF(OR(N$475&lt;$C483,N$475&lt;$H$2),0,MIN($E483-SUM($G483:M483),$F483))</f>
        <v>0</v>
      </c>
      <c r="O483" s="424">
        <f>IF(OR(O$475&lt;$C483,O$475&lt;$H$2),0,MIN($E483-SUM($G483:N483),$F483))</f>
        <v>0</v>
      </c>
      <c r="P483" s="424">
        <f>IF(OR(P$475&lt;$C483,P$475&lt;$H$2),0,MIN($E483-SUM($G483:O483),$F483))</f>
        <v>0</v>
      </c>
      <c r="Q483" s="424">
        <f>IF(OR(Q$475&lt;$C483,Q$475&lt;$H$2),0,MIN($E483-SUM($G483:P483),$F483))</f>
        <v>0</v>
      </c>
      <c r="R483" s="424">
        <f>IF(OR(R$475&lt;$C483,R$475&lt;$H$2),0,MIN($E483-SUM($G483:Q483),$F483))</f>
        <v>0</v>
      </c>
      <c r="S483" s="424">
        <f>IF(OR(S$475&lt;$C483,S$475&lt;$H$2),0,MIN($E483-SUM($G483:R483),$F483))</f>
        <v>0</v>
      </c>
      <c r="T483" s="424">
        <f>IF(OR(T$475&lt;$C483,T$475&lt;$H$2),0,MIN($E483-SUM($G483:S483),$F483))</f>
        <v>0</v>
      </c>
      <c r="U483" s="424">
        <f>IF(OR(U$475&lt;$C483,U$475&lt;$H$2),0,MIN($E483-SUM($G483:T483),$F483))</f>
        <v>0</v>
      </c>
      <c r="V483" s="424">
        <f>IF(OR(V$475&lt;$C483,V$475&lt;$H$2),0,MIN($E483-SUM($G483:U483),$F483))</f>
        <v>0</v>
      </c>
      <c r="W483" s="424">
        <f>IF(OR(W$475&lt;$C483,W$475&lt;$H$2),0,MIN($E483-SUM($G483:V483),$F483))</f>
        <v>0</v>
      </c>
      <c r="X483" s="424">
        <f>IF(OR(X$475&lt;$C483,X$475&lt;$H$2),0,MIN($E483-SUM($G483:W483),$F483))</f>
        <v>0</v>
      </c>
      <c r="Y483" s="424">
        <f>IF(OR(Y$475&lt;$C483,Y$475&lt;$H$2),0,MIN($E483-SUM($G483:X483),$F483))</f>
        <v>0</v>
      </c>
      <c r="Z483" s="424">
        <f>IF(OR(Z$475&lt;$C483,Z$475&lt;$H$2),0,MIN($E483-SUM($G483:Y483),$F483))</f>
        <v>0</v>
      </c>
      <c r="AA483" s="424">
        <f>IF(OR(AA$475&lt;$C483,AA$475&lt;$H$2),0,MIN($E483-SUM($G483:Z483),$F483))</f>
        <v>0</v>
      </c>
      <c r="AB483" s="424">
        <f>IF(OR(AB$475&lt;$C483,AB$475&lt;$H$2),0,MIN($E483-SUM($G483:AA483),$F483))</f>
        <v>0</v>
      </c>
      <c r="AC483" s="424">
        <f>IF(OR(AC$475&lt;$C483,AC$475&lt;$H$2),0,MIN($E483-SUM($G483:AB483),$F483))</f>
        <v>0</v>
      </c>
      <c r="AD483" s="424">
        <f>IF(OR(AD$475&lt;$C483,AD$475&lt;$H$2),0,MIN($E483-SUM($G483:AC483),$F483))</f>
        <v>0</v>
      </c>
    </row>
    <row r="484" spans="3:30">
      <c r="C484" s="201">
        <v>48219</v>
      </c>
      <c r="D484" s="94" t="s">
        <v>134</v>
      </c>
      <c r="E484" s="424">
        <f t="shared" si="164"/>
        <v>0</v>
      </c>
      <c r="F484" s="209">
        <f t="shared" si="165"/>
        <v>0</v>
      </c>
      <c r="H484" s="424">
        <f>IF(OR(H$475&lt;$C484,H$475&lt;$H$2),0,MIN($E484-SUM($G484:G484),$F484))</f>
        <v>0</v>
      </c>
      <c r="I484" s="424">
        <f>IF(OR(I$475&lt;$C484,I$475&lt;$H$2),0,MIN($E484-SUM($G484:H484),$F484))</f>
        <v>0</v>
      </c>
      <c r="J484" s="424">
        <f>IF(OR(J$475&lt;$C484,J$475&lt;$H$2),0,MIN($E484-SUM($G484:I484),$F484))</f>
        <v>0</v>
      </c>
      <c r="K484" s="424">
        <f>IF(OR(K$475&lt;$C484,K$475&lt;$H$2),0,MIN($E484-SUM($G484:J484),$F484))</f>
        <v>0</v>
      </c>
      <c r="L484" s="424">
        <f>IF(OR(L$475&lt;$C484,L$475&lt;$H$2),0,MIN($E484-SUM($G484:K484),$F484))</f>
        <v>0</v>
      </c>
      <c r="M484" s="424">
        <f>IF(OR(M$475&lt;$C484,M$475&lt;$H$2),0,MIN($E484-SUM($G484:L484),$F484))</f>
        <v>0</v>
      </c>
      <c r="N484" s="424">
        <f>IF(OR(N$475&lt;$C484,N$475&lt;$H$2),0,MIN($E484-SUM($G484:M484),$F484))</f>
        <v>0</v>
      </c>
      <c r="O484" s="424">
        <f>IF(OR(O$475&lt;$C484,O$475&lt;$H$2),0,MIN($E484-SUM($G484:N484),$F484))</f>
        <v>0</v>
      </c>
      <c r="P484" s="424">
        <f>IF(OR(P$475&lt;$C484,P$475&lt;$H$2),0,MIN($E484-SUM($G484:O484),$F484))</f>
        <v>0</v>
      </c>
      <c r="Q484" s="424">
        <f>IF(OR(Q$475&lt;$C484,Q$475&lt;$H$2),0,MIN($E484-SUM($G484:P484),$F484))</f>
        <v>0</v>
      </c>
      <c r="R484" s="424">
        <f>IF(OR(R$475&lt;$C484,R$475&lt;$H$2),0,MIN($E484-SUM($G484:Q484),$F484))</f>
        <v>0</v>
      </c>
      <c r="S484" s="424">
        <f>IF(OR(S$475&lt;$C484,S$475&lt;$H$2),0,MIN($E484-SUM($G484:R484),$F484))</f>
        <v>0</v>
      </c>
      <c r="T484" s="424">
        <f>IF(OR(T$475&lt;$C484,T$475&lt;$H$2),0,MIN($E484-SUM($G484:S484),$F484))</f>
        <v>0</v>
      </c>
      <c r="U484" s="424">
        <f>IF(OR(U$475&lt;$C484,U$475&lt;$H$2),0,MIN($E484-SUM($G484:T484),$F484))</f>
        <v>0</v>
      </c>
      <c r="V484" s="424">
        <f>IF(OR(V$475&lt;$C484,V$475&lt;$H$2),0,MIN($E484-SUM($G484:U484),$F484))</f>
        <v>0</v>
      </c>
      <c r="W484" s="424">
        <f>IF(OR(W$475&lt;$C484,W$475&lt;$H$2),0,MIN($E484-SUM($G484:V484),$F484))</f>
        <v>0</v>
      </c>
      <c r="X484" s="424">
        <f>IF(OR(X$475&lt;$C484,X$475&lt;$H$2),0,MIN($E484-SUM($G484:W484),$F484))</f>
        <v>0</v>
      </c>
      <c r="Y484" s="424">
        <f>IF(OR(Y$475&lt;$C484,Y$475&lt;$H$2),0,MIN($E484-SUM($G484:X484),$F484))</f>
        <v>0</v>
      </c>
      <c r="Z484" s="424">
        <f>IF(OR(Z$475&lt;$C484,Z$475&lt;$H$2),0,MIN($E484-SUM($G484:Y484),$F484))</f>
        <v>0</v>
      </c>
      <c r="AA484" s="424">
        <f>IF(OR(AA$475&lt;$C484,AA$475&lt;$H$2),0,MIN($E484-SUM($G484:Z484),$F484))</f>
        <v>0</v>
      </c>
      <c r="AB484" s="424">
        <f>IF(OR(AB$475&lt;$C484,AB$475&lt;$H$2),0,MIN($E484-SUM($G484:AA484),$F484))</f>
        <v>0</v>
      </c>
      <c r="AC484" s="424">
        <f>IF(OR(AC$475&lt;$C484,AC$475&lt;$H$2),0,MIN($E484-SUM($G484:AB484),$F484))</f>
        <v>0</v>
      </c>
      <c r="AD484" s="424">
        <f>IF(OR(AD$475&lt;$C484,AD$475&lt;$H$2),0,MIN($E484-SUM($G484:AC484),$F484))</f>
        <v>0</v>
      </c>
    </row>
    <row r="485" spans="3:30">
      <c r="C485" s="201">
        <v>48585</v>
      </c>
      <c r="D485" s="94" t="s">
        <v>134</v>
      </c>
      <c r="E485" s="424">
        <f t="shared" si="164"/>
        <v>0</v>
      </c>
      <c r="F485" s="209">
        <f t="shared" si="165"/>
        <v>0</v>
      </c>
      <c r="H485" s="424">
        <f>IF(OR(H$475&lt;$C485,H$475&lt;$H$2),0,MIN($E485-SUM($G485:G485),$F485))</f>
        <v>0</v>
      </c>
      <c r="I485" s="424">
        <f>IF(OR(I$475&lt;$C485,I$475&lt;$H$2),0,MIN($E485-SUM($G485:H485),$F485))</f>
        <v>0</v>
      </c>
      <c r="J485" s="424">
        <f>IF(OR(J$475&lt;$C485,J$475&lt;$H$2),0,MIN($E485-SUM($G485:I485),$F485))</f>
        <v>0</v>
      </c>
      <c r="K485" s="424">
        <f>IF(OR(K$475&lt;$C485,K$475&lt;$H$2),0,MIN($E485-SUM($G485:J485),$F485))</f>
        <v>0</v>
      </c>
      <c r="L485" s="424">
        <f>IF(OR(L$475&lt;$C485,L$475&lt;$H$2),0,MIN($E485-SUM($G485:K485),$F485))</f>
        <v>0</v>
      </c>
      <c r="M485" s="424">
        <f>IF(OR(M$475&lt;$C485,M$475&lt;$H$2),0,MIN($E485-SUM($G485:L485),$F485))</f>
        <v>0</v>
      </c>
      <c r="N485" s="424">
        <f>IF(OR(N$475&lt;$C485,N$475&lt;$H$2),0,MIN($E485-SUM($G485:M485),$F485))</f>
        <v>0</v>
      </c>
      <c r="O485" s="424">
        <f>IF(OR(O$475&lt;$C485,O$475&lt;$H$2),0,MIN($E485-SUM($G485:N485),$F485))</f>
        <v>0</v>
      </c>
      <c r="P485" s="424">
        <f>IF(OR(P$475&lt;$C485,P$475&lt;$H$2),0,MIN($E485-SUM($G485:O485),$F485))</f>
        <v>0</v>
      </c>
      <c r="Q485" s="424">
        <f>IF(OR(Q$475&lt;$C485,Q$475&lt;$H$2),0,MIN($E485-SUM($G485:P485),$F485))</f>
        <v>0</v>
      </c>
      <c r="R485" s="424">
        <f>IF(OR(R$475&lt;$C485,R$475&lt;$H$2),0,MIN($E485-SUM($G485:Q485),$F485))</f>
        <v>0</v>
      </c>
      <c r="S485" s="424">
        <f>IF(OR(S$475&lt;$C485,S$475&lt;$H$2),0,MIN($E485-SUM($G485:R485),$F485))</f>
        <v>0</v>
      </c>
      <c r="T485" s="424">
        <f>IF(OR(T$475&lt;$C485,T$475&lt;$H$2),0,MIN($E485-SUM($G485:S485),$F485))</f>
        <v>0</v>
      </c>
      <c r="U485" s="424">
        <f>IF(OR(U$475&lt;$C485,U$475&lt;$H$2),0,MIN($E485-SUM($G485:T485),$F485))</f>
        <v>0</v>
      </c>
      <c r="V485" s="424">
        <f>IF(OR(V$475&lt;$C485,V$475&lt;$H$2),0,MIN($E485-SUM($G485:U485),$F485))</f>
        <v>0</v>
      </c>
      <c r="W485" s="424">
        <f>IF(OR(W$475&lt;$C485,W$475&lt;$H$2),0,MIN($E485-SUM($G485:V485),$F485))</f>
        <v>0</v>
      </c>
      <c r="X485" s="424">
        <f>IF(OR(X$475&lt;$C485,X$475&lt;$H$2),0,MIN($E485-SUM($G485:W485),$F485))</f>
        <v>0</v>
      </c>
      <c r="Y485" s="424">
        <f>IF(OR(Y$475&lt;$C485,Y$475&lt;$H$2),0,MIN($E485-SUM($G485:X485),$F485))</f>
        <v>0</v>
      </c>
      <c r="Z485" s="424">
        <f>IF(OR(Z$475&lt;$C485,Z$475&lt;$H$2),0,MIN($E485-SUM($G485:Y485),$F485))</f>
        <v>0</v>
      </c>
      <c r="AA485" s="424">
        <f>IF(OR(AA$475&lt;$C485,AA$475&lt;$H$2),0,MIN($E485-SUM($G485:Z485),$F485))</f>
        <v>0</v>
      </c>
      <c r="AB485" s="424">
        <f>IF(OR(AB$475&lt;$C485,AB$475&lt;$H$2),0,MIN($E485-SUM($G485:AA485),$F485))</f>
        <v>0</v>
      </c>
      <c r="AC485" s="424">
        <f>IF(OR(AC$475&lt;$C485,AC$475&lt;$H$2),0,MIN($E485-SUM($G485:AB485),$F485))</f>
        <v>0</v>
      </c>
      <c r="AD485" s="424">
        <f>IF(OR(AD$475&lt;$C485,AD$475&lt;$H$2),0,MIN($E485-SUM($G485:AC485),$F485))</f>
        <v>0</v>
      </c>
    </row>
    <row r="486" spans="3:30">
      <c r="C486" s="201">
        <v>48951</v>
      </c>
      <c r="D486" s="94" t="s">
        <v>134</v>
      </c>
      <c r="E486" s="424">
        <f t="shared" si="164"/>
        <v>0</v>
      </c>
      <c r="F486" s="209">
        <f t="shared" si="165"/>
        <v>0</v>
      </c>
      <c r="H486" s="424">
        <f>IF(OR(H$475&lt;$C486,H$475&lt;$H$2),0,MIN($E486-SUM($G486:G486),$F486))</f>
        <v>0</v>
      </c>
      <c r="I486" s="424">
        <f>IF(OR(I$475&lt;$C486,I$475&lt;$H$2),0,MIN($E486-SUM($G486:H486),$F486))</f>
        <v>0</v>
      </c>
      <c r="J486" s="424">
        <f>IF(OR(J$475&lt;$C486,J$475&lt;$H$2),0,MIN($E486-SUM($G486:I486),$F486))</f>
        <v>0</v>
      </c>
      <c r="K486" s="424">
        <f>IF(OR(K$475&lt;$C486,K$475&lt;$H$2),0,MIN($E486-SUM($G486:J486),$F486))</f>
        <v>0</v>
      </c>
      <c r="L486" s="424">
        <f>IF(OR(L$475&lt;$C486,L$475&lt;$H$2),0,MIN($E486-SUM($G486:K486),$F486))</f>
        <v>0</v>
      </c>
      <c r="M486" s="424">
        <f>IF(OR(M$475&lt;$C486,M$475&lt;$H$2),0,MIN($E486-SUM($G486:L486),$F486))</f>
        <v>0</v>
      </c>
      <c r="N486" s="424">
        <f>IF(OR(N$475&lt;$C486,N$475&lt;$H$2),0,MIN($E486-SUM($G486:M486),$F486))</f>
        <v>0</v>
      </c>
      <c r="O486" s="424">
        <f>IF(OR(O$475&lt;$C486,O$475&lt;$H$2),0,MIN($E486-SUM($G486:N486),$F486))</f>
        <v>0</v>
      </c>
      <c r="P486" s="424">
        <f>IF(OR(P$475&lt;$C486,P$475&lt;$H$2),0,MIN($E486-SUM($G486:O486),$F486))</f>
        <v>0</v>
      </c>
      <c r="Q486" s="424">
        <f>IF(OR(Q$475&lt;$C486,Q$475&lt;$H$2),0,MIN($E486-SUM($G486:P486),$F486))</f>
        <v>0</v>
      </c>
      <c r="R486" s="424">
        <f>IF(OR(R$475&lt;$C486,R$475&lt;$H$2),0,MIN($E486-SUM($G486:Q486),$F486))</f>
        <v>0</v>
      </c>
      <c r="S486" s="424">
        <f>IF(OR(S$475&lt;$C486,S$475&lt;$H$2),0,MIN($E486-SUM($G486:R486),$F486))</f>
        <v>0</v>
      </c>
      <c r="T486" s="424">
        <f>IF(OR(T$475&lt;$C486,T$475&lt;$H$2),0,MIN($E486-SUM($G486:S486),$F486))</f>
        <v>0</v>
      </c>
      <c r="U486" s="424">
        <f>IF(OR(U$475&lt;$C486,U$475&lt;$H$2),0,MIN($E486-SUM($G486:T486),$F486))</f>
        <v>0</v>
      </c>
      <c r="V486" s="424">
        <f>IF(OR(V$475&lt;$C486,V$475&lt;$H$2),0,MIN($E486-SUM($G486:U486),$F486))</f>
        <v>0</v>
      </c>
      <c r="W486" s="424">
        <f>IF(OR(W$475&lt;$C486,W$475&lt;$H$2),0,MIN($E486-SUM($G486:V486),$F486))</f>
        <v>0</v>
      </c>
      <c r="X486" s="424">
        <f>IF(OR(X$475&lt;$C486,X$475&lt;$H$2),0,MIN($E486-SUM($G486:W486),$F486))</f>
        <v>0</v>
      </c>
      <c r="Y486" s="424">
        <f>IF(OR(Y$475&lt;$C486,Y$475&lt;$H$2),0,MIN($E486-SUM($G486:X486),$F486))</f>
        <v>0</v>
      </c>
      <c r="Z486" s="424">
        <f>IF(OR(Z$475&lt;$C486,Z$475&lt;$H$2),0,MIN($E486-SUM($G486:Y486),$F486))</f>
        <v>0</v>
      </c>
      <c r="AA486" s="424">
        <f>IF(OR(AA$475&lt;$C486,AA$475&lt;$H$2),0,MIN($E486-SUM($G486:Z486),$F486))</f>
        <v>0</v>
      </c>
      <c r="AB486" s="424">
        <f>IF(OR(AB$475&lt;$C486,AB$475&lt;$H$2),0,MIN($E486-SUM($G486:AA486),$F486))</f>
        <v>0</v>
      </c>
      <c r="AC486" s="424">
        <f>IF(OR(AC$475&lt;$C486,AC$475&lt;$H$2),0,MIN($E486-SUM($G486:AB486),$F486))</f>
        <v>0</v>
      </c>
      <c r="AD486" s="424">
        <f>IF(OR(AD$475&lt;$C486,AD$475&lt;$H$2),0,MIN($E486-SUM($G486:AC486),$F486))</f>
        <v>0</v>
      </c>
    </row>
    <row r="487" spans="3:30">
      <c r="C487" s="201">
        <v>49317</v>
      </c>
      <c r="D487" s="94" t="s">
        <v>134</v>
      </c>
      <c r="E487" s="424">
        <f t="shared" si="164"/>
        <v>0</v>
      </c>
      <c r="F487" s="209">
        <f t="shared" si="165"/>
        <v>0</v>
      </c>
      <c r="H487" s="424">
        <f>IF(OR(H$475&lt;$C487,H$475&lt;$H$2),0,MIN($E487-SUM($G487:G487),$F487))</f>
        <v>0</v>
      </c>
      <c r="I487" s="424">
        <f>IF(OR(I$475&lt;$C487,I$475&lt;$H$2),0,MIN($E487-SUM($G487:H487),$F487))</f>
        <v>0</v>
      </c>
      <c r="J487" s="424">
        <f>IF(OR(J$475&lt;$C487,J$475&lt;$H$2),0,MIN($E487-SUM($G487:I487),$F487))</f>
        <v>0</v>
      </c>
      <c r="K487" s="424">
        <f>IF(OR(K$475&lt;$C487,K$475&lt;$H$2),0,MIN($E487-SUM($G487:J487),$F487))</f>
        <v>0</v>
      </c>
      <c r="L487" s="424">
        <f>IF(OR(L$475&lt;$C487,L$475&lt;$H$2),0,MIN($E487-SUM($G487:K487),$F487))</f>
        <v>0</v>
      </c>
      <c r="M487" s="424">
        <f>IF(OR(M$475&lt;$C487,M$475&lt;$H$2),0,MIN($E487-SUM($G487:L487),$F487))</f>
        <v>0</v>
      </c>
      <c r="N487" s="424">
        <f>IF(OR(N$475&lt;$C487,N$475&lt;$H$2),0,MIN($E487-SUM($G487:M487),$F487))</f>
        <v>0</v>
      </c>
      <c r="O487" s="424">
        <f>IF(OR(O$475&lt;$C487,O$475&lt;$H$2),0,MIN($E487-SUM($G487:N487),$F487))</f>
        <v>0</v>
      </c>
      <c r="P487" s="424">
        <f>IF(OR(P$475&lt;$C487,P$475&lt;$H$2),0,MIN($E487-SUM($G487:O487),$F487))</f>
        <v>0</v>
      </c>
      <c r="Q487" s="424">
        <f>IF(OR(Q$475&lt;$C487,Q$475&lt;$H$2),0,MIN($E487-SUM($G487:P487),$F487))</f>
        <v>0</v>
      </c>
      <c r="R487" s="424">
        <f>IF(OR(R$475&lt;$C487,R$475&lt;$H$2),0,MIN($E487-SUM($G487:Q487),$F487))</f>
        <v>0</v>
      </c>
      <c r="S487" s="424">
        <f>IF(OR(S$475&lt;$C487,S$475&lt;$H$2),0,MIN($E487-SUM($G487:R487),$F487))</f>
        <v>0</v>
      </c>
      <c r="T487" s="424">
        <f>IF(OR(T$475&lt;$C487,T$475&lt;$H$2),0,MIN($E487-SUM($G487:S487),$F487))</f>
        <v>0</v>
      </c>
      <c r="U487" s="424">
        <f>IF(OR(U$475&lt;$C487,U$475&lt;$H$2),0,MIN($E487-SUM($G487:T487),$F487))</f>
        <v>0</v>
      </c>
      <c r="V487" s="424">
        <f>IF(OR(V$475&lt;$C487,V$475&lt;$H$2),0,MIN($E487-SUM($G487:U487),$F487))</f>
        <v>0</v>
      </c>
      <c r="W487" s="424">
        <f>IF(OR(W$475&lt;$C487,W$475&lt;$H$2),0,MIN($E487-SUM($G487:V487),$F487))</f>
        <v>0</v>
      </c>
      <c r="X487" s="424">
        <f>IF(OR(X$475&lt;$C487,X$475&lt;$H$2),0,MIN($E487-SUM($G487:W487),$F487))</f>
        <v>0</v>
      </c>
      <c r="Y487" s="424">
        <f>IF(OR(Y$475&lt;$C487,Y$475&lt;$H$2),0,MIN($E487-SUM($G487:X487),$F487))</f>
        <v>0</v>
      </c>
      <c r="Z487" s="424">
        <f>IF(OR(Z$475&lt;$C487,Z$475&lt;$H$2),0,MIN($E487-SUM($G487:Y487),$F487))</f>
        <v>0</v>
      </c>
      <c r="AA487" s="424">
        <f>IF(OR(AA$475&lt;$C487,AA$475&lt;$H$2),0,MIN($E487-SUM($G487:Z487),$F487))</f>
        <v>0</v>
      </c>
      <c r="AB487" s="424">
        <f>IF(OR(AB$475&lt;$C487,AB$475&lt;$H$2),0,MIN($E487-SUM($G487:AA487),$F487))</f>
        <v>0</v>
      </c>
      <c r="AC487" s="424">
        <f>IF(OR(AC$475&lt;$C487,AC$475&lt;$H$2),0,MIN($E487-SUM($G487:AB487),$F487))</f>
        <v>0</v>
      </c>
      <c r="AD487" s="424">
        <f>IF(OR(AD$475&lt;$C487,AD$475&lt;$H$2),0,MIN($E487-SUM($G487:AC487),$F487))</f>
        <v>0</v>
      </c>
    </row>
    <row r="488" spans="3:30">
      <c r="C488" s="201">
        <v>49683</v>
      </c>
      <c r="D488" s="94" t="s">
        <v>134</v>
      </c>
      <c r="E488" s="424">
        <f t="shared" si="164"/>
        <v>0</v>
      </c>
      <c r="F488" s="209">
        <f t="shared" si="165"/>
        <v>0</v>
      </c>
      <c r="H488" s="424">
        <f>IF(OR(H$475&lt;$C488,H$475&lt;$H$2),0,MIN($E488-SUM($G488:G488),$F488))</f>
        <v>0</v>
      </c>
      <c r="I488" s="424">
        <f>IF(OR(I$475&lt;$C488,I$475&lt;$H$2),0,MIN($E488-SUM($G488:H488),$F488))</f>
        <v>0</v>
      </c>
      <c r="J488" s="424">
        <f>IF(OR(J$475&lt;$C488,J$475&lt;$H$2),0,MIN($E488-SUM($G488:I488),$F488))</f>
        <v>0</v>
      </c>
      <c r="K488" s="424">
        <f>IF(OR(K$475&lt;$C488,K$475&lt;$H$2),0,MIN($E488-SUM($G488:J488),$F488))</f>
        <v>0</v>
      </c>
      <c r="L488" s="424">
        <f>IF(OR(L$475&lt;$C488,L$475&lt;$H$2),0,MIN($E488-SUM($G488:K488),$F488))</f>
        <v>0</v>
      </c>
      <c r="M488" s="424">
        <f>IF(OR(M$475&lt;$C488,M$475&lt;$H$2),0,MIN($E488-SUM($G488:L488),$F488))</f>
        <v>0</v>
      </c>
      <c r="N488" s="424">
        <f>IF(OR(N$475&lt;$C488,N$475&lt;$H$2),0,MIN($E488-SUM($G488:M488),$F488))</f>
        <v>0</v>
      </c>
      <c r="O488" s="424">
        <f>IF(OR(O$475&lt;$C488,O$475&lt;$H$2),0,MIN($E488-SUM($G488:N488),$F488))</f>
        <v>0</v>
      </c>
      <c r="P488" s="424">
        <f>IF(OR(P$475&lt;$C488,P$475&lt;$H$2),0,MIN($E488-SUM($G488:O488),$F488))</f>
        <v>0</v>
      </c>
      <c r="Q488" s="424">
        <f>IF(OR(Q$475&lt;$C488,Q$475&lt;$H$2),0,MIN($E488-SUM($G488:P488),$F488))</f>
        <v>0</v>
      </c>
      <c r="R488" s="424">
        <f>IF(OR(R$475&lt;$C488,R$475&lt;$H$2),0,MIN($E488-SUM($G488:Q488),$F488))</f>
        <v>0</v>
      </c>
      <c r="S488" s="424">
        <f>IF(OR(S$475&lt;$C488,S$475&lt;$H$2),0,MIN($E488-SUM($G488:R488),$F488))</f>
        <v>0</v>
      </c>
      <c r="T488" s="424">
        <f>IF(OR(T$475&lt;$C488,T$475&lt;$H$2),0,MIN($E488-SUM($G488:S488),$F488))</f>
        <v>0</v>
      </c>
      <c r="U488" s="424">
        <f>IF(OR(U$475&lt;$C488,U$475&lt;$H$2),0,MIN($E488-SUM($G488:T488),$F488))</f>
        <v>0</v>
      </c>
      <c r="V488" s="424">
        <f>IF(OR(V$475&lt;$C488,V$475&lt;$H$2),0,MIN($E488-SUM($G488:U488),$F488))</f>
        <v>0</v>
      </c>
      <c r="W488" s="424">
        <f>IF(OR(W$475&lt;$C488,W$475&lt;$H$2),0,MIN($E488-SUM($G488:V488),$F488))</f>
        <v>0</v>
      </c>
      <c r="X488" s="424">
        <f>IF(OR(X$475&lt;$C488,X$475&lt;$H$2),0,MIN($E488-SUM($G488:W488),$F488))</f>
        <v>0</v>
      </c>
      <c r="Y488" s="424">
        <f>IF(OR(Y$475&lt;$C488,Y$475&lt;$H$2),0,MIN($E488-SUM($G488:X488),$F488))</f>
        <v>0</v>
      </c>
      <c r="Z488" s="424">
        <f>IF(OR(Z$475&lt;$C488,Z$475&lt;$H$2),0,MIN($E488-SUM($G488:Y488),$F488))</f>
        <v>0</v>
      </c>
      <c r="AA488" s="424">
        <f>IF(OR(AA$475&lt;$C488,AA$475&lt;$H$2),0,MIN($E488-SUM($G488:Z488),$F488))</f>
        <v>0</v>
      </c>
      <c r="AB488" s="424">
        <f>IF(OR(AB$475&lt;$C488,AB$475&lt;$H$2),0,MIN($E488-SUM($G488:AA488),$F488))</f>
        <v>0</v>
      </c>
      <c r="AC488" s="424">
        <f>IF(OR(AC$475&lt;$C488,AC$475&lt;$H$2),0,MIN($E488-SUM($G488:AB488),$F488))</f>
        <v>0</v>
      </c>
      <c r="AD488" s="424">
        <f>IF(OR(AD$475&lt;$C488,AD$475&lt;$H$2),0,MIN($E488-SUM($G488:AC488),$F488))</f>
        <v>0</v>
      </c>
    </row>
    <row r="489" spans="3:30">
      <c r="C489" s="201">
        <v>50049</v>
      </c>
      <c r="D489" s="94" t="s">
        <v>134</v>
      </c>
      <c r="E489" s="424">
        <f t="shared" si="164"/>
        <v>0</v>
      </c>
      <c r="F489" s="209">
        <f t="shared" si="165"/>
        <v>0</v>
      </c>
      <c r="H489" s="424">
        <f>IF(OR(H$475&lt;$C489,H$475&lt;$H$2),0,MIN($E489-SUM($G489:G489),$F489))</f>
        <v>0</v>
      </c>
      <c r="I489" s="424">
        <f>IF(OR(I$475&lt;$C489,I$475&lt;$H$2),0,MIN($E489-SUM($G489:H489),$F489))</f>
        <v>0</v>
      </c>
      <c r="J489" s="424">
        <f>IF(OR(J$475&lt;$C489,J$475&lt;$H$2),0,MIN($E489-SUM($G489:I489),$F489))</f>
        <v>0</v>
      </c>
      <c r="K489" s="424">
        <f>IF(OR(K$475&lt;$C489,K$475&lt;$H$2),0,MIN($E489-SUM($G489:J489),$F489))</f>
        <v>0</v>
      </c>
      <c r="L489" s="424">
        <f>IF(OR(L$475&lt;$C489,L$475&lt;$H$2),0,MIN($E489-SUM($G489:K489),$F489))</f>
        <v>0</v>
      </c>
      <c r="M489" s="424">
        <f>IF(OR(M$475&lt;$C489,M$475&lt;$H$2),0,MIN($E489-SUM($G489:L489),$F489))</f>
        <v>0</v>
      </c>
      <c r="N489" s="424">
        <f>IF(OR(N$475&lt;$C489,N$475&lt;$H$2),0,MIN($E489-SUM($G489:M489),$F489))</f>
        <v>0</v>
      </c>
      <c r="O489" s="424">
        <f>IF(OR(O$475&lt;$C489,O$475&lt;$H$2),0,MIN($E489-SUM($G489:N489),$F489))</f>
        <v>0</v>
      </c>
      <c r="P489" s="424">
        <f>IF(OR(P$475&lt;$C489,P$475&lt;$H$2),0,MIN($E489-SUM($G489:O489),$F489))</f>
        <v>0</v>
      </c>
      <c r="Q489" s="424">
        <f>IF(OR(Q$475&lt;$C489,Q$475&lt;$H$2),0,MIN($E489-SUM($G489:P489),$F489))</f>
        <v>0</v>
      </c>
      <c r="R489" s="424">
        <f>IF(OR(R$475&lt;$C489,R$475&lt;$H$2),0,MIN($E489-SUM($G489:Q489),$F489))</f>
        <v>0</v>
      </c>
      <c r="S489" s="424">
        <f>IF(OR(S$475&lt;$C489,S$475&lt;$H$2),0,MIN($E489-SUM($G489:R489),$F489))</f>
        <v>0</v>
      </c>
      <c r="T489" s="424">
        <f>IF(OR(T$475&lt;$C489,T$475&lt;$H$2),0,MIN($E489-SUM($G489:S489),$F489))</f>
        <v>0</v>
      </c>
      <c r="U489" s="424">
        <f>IF(OR(U$475&lt;$C489,U$475&lt;$H$2),0,MIN($E489-SUM($G489:T489),$F489))</f>
        <v>0</v>
      </c>
      <c r="V489" s="424">
        <f>IF(OR(V$475&lt;$C489,V$475&lt;$H$2),0,MIN($E489-SUM($G489:U489),$F489))</f>
        <v>0</v>
      </c>
      <c r="W489" s="424">
        <f>IF(OR(W$475&lt;$C489,W$475&lt;$H$2),0,MIN($E489-SUM($G489:V489),$F489))</f>
        <v>0</v>
      </c>
      <c r="X489" s="424">
        <f>IF(OR(X$475&lt;$C489,X$475&lt;$H$2),0,MIN($E489-SUM($G489:W489),$F489))</f>
        <v>0</v>
      </c>
      <c r="Y489" s="424">
        <f>IF(OR(Y$475&lt;$C489,Y$475&lt;$H$2),0,MIN($E489-SUM($G489:X489),$F489))</f>
        <v>0</v>
      </c>
      <c r="Z489" s="424">
        <f>IF(OR(Z$475&lt;$C489,Z$475&lt;$H$2),0,MIN($E489-SUM($G489:Y489),$F489))</f>
        <v>0</v>
      </c>
      <c r="AA489" s="424">
        <f>IF(OR(AA$475&lt;$C489,AA$475&lt;$H$2),0,MIN($E489-SUM($G489:Z489),$F489))</f>
        <v>0</v>
      </c>
      <c r="AB489" s="424">
        <f>IF(OR(AB$475&lt;$C489,AB$475&lt;$H$2),0,MIN($E489-SUM($G489:AA489),$F489))</f>
        <v>0</v>
      </c>
      <c r="AC489" s="424">
        <f>IF(OR(AC$475&lt;$C489,AC$475&lt;$H$2),0,MIN($E489-SUM($G489:AB489),$F489))</f>
        <v>0</v>
      </c>
      <c r="AD489" s="424">
        <f>IF(OR(AD$475&lt;$C489,AD$475&lt;$H$2),0,MIN($E489-SUM($G489:AC489),$F489))</f>
        <v>0</v>
      </c>
    </row>
    <row r="490" spans="3:30">
      <c r="C490" s="201">
        <v>50415</v>
      </c>
      <c r="D490" s="94" t="s">
        <v>134</v>
      </c>
      <c r="E490" s="424">
        <f t="shared" si="164"/>
        <v>0</v>
      </c>
      <c r="F490" s="209">
        <f t="shared" si="165"/>
        <v>0</v>
      </c>
      <c r="H490" s="424">
        <f>IF(OR(H$475&lt;$C490,H$475&lt;$H$2),0,MIN($E490-SUM($G490:G490),$F490))</f>
        <v>0</v>
      </c>
      <c r="I490" s="424">
        <f>IF(OR(I$475&lt;$C490,I$475&lt;$H$2),0,MIN($E490-SUM($G490:H490),$F490))</f>
        <v>0</v>
      </c>
      <c r="J490" s="424">
        <f>IF(OR(J$475&lt;$C490,J$475&lt;$H$2),0,MIN($E490-SUM($G490:I490),$F490))</f>
        <v>0</v>
      </c>
      <c r="K490" s="424">
        <f>IF(OR(K$475&lt;$C490,K$475&lt;$H$2),0,MIN($E490-SUM($G490:J490),$F490))</f>
        <v>0</v>
      </c>
      <c r="L490" s="424">
        <f>IF(OR(L$475&lt;$C490,L$475&lt;$H$2),0,MIN($E490-SUM($G490:K490),$F490))</f>
        <v>0</v>
      </c>
      <c r="M490" s="424">
        <f>IF(OR(M$475&lt;$C490,M$475&lt;$H$2),0,MIN($E490-SUM($G490:L490),$F490))</f>
        <v>0</v>
      </c>
      <c r="N490" s="424">
        <f>IF(OR(N$475&lt;$C490,N$475&lt;$H$2),0,MIN($E490-SUM($G490:M490),$F490))</f>
        <v>0</v>
      </c>
      <c r="O490" s="424">
        <f>IF(OR(O$475&lt;$C490,O$475&lt;$H$2),0,MIN($E490-SUM($G490:N490),$F490))</f>
        <v>0</v>
      </c>
      <c r="P490" s="424">
        <f>IF(OR(P$475&lt;$C490,P$475&lt;$H$2),0,MIN($E490-SUM($G490:O490),$F490))</f>
        <v>0</v>
      </c>
      <c r="Q490" s="424">
        <f>IF(OR(Q$475&lt;$C490,Q$475&lt;$H$2),0,MIN($E490-SUM($G490:P490),$F490))</f>
        <v>0</v>
      </c>
      <c r="R490" s="424">
        <f>IF(OR(R$475&lt;$C490,R$475&lt;$H$2),0,MIN($E490-SUM($G490:Q490),$F490))</f>
        <v>0</v>
      </c>
      <c r="S490" s="424">
        <f>IF(OR(S$475&lt;$C490,S$475&lt;$H$2),0,MIN($E490-SUM($G490:R490),$F490))</f>
        <v>0</v>
      </c>
      <c r="T490" s="424">
        <f>IF(OR(T$475&lt;$C490,T$475&lt;$H$2),0,MIN($E490-SUM($G490:S490),$F490))</f>
        <v>0</v>
      </c>
      <c r="U490" s="424">
        <f>IF(OR(U$475&lt;$C490,U$475&lt;$H$2),0,MIN($E490-SUM($G490:T490),$F490))</f>
        <v>0</v>
      </c>
      <c r="V490" s="424">
        <f>IF(OR(V$475&lt;$C490,V$475&lt;$H$2),0,MIN($E490-SUM($G490:U490),$F490))</f>
        <v>0</v>
      </c>
      <c r="W490" s="424">
        <f>IF(OR(W$475&lt;$C490,W$475&lt;$H$2),0,MIN($E490-SUM($G490:V490),$F490))</f>
        <v>0</v>
      </c>
      <c r="X490" s="424">
        <f>IF(OR(X$475&lt;$C490,X$475&lt;$H$2),0,MIN($E490-SUM($G490:W490),$F490))</f>
        <v>0</v>
      </c>
      <c r="Y490" s="424">
        <f>IF(OR(Y$475&lt;$C490,Y$475&lt;$H$2),0,MIN($E490-SUM($G490:X490),$F490))</f>
        <v>0</v>
      </c>
      <c r="Z490" s="424">
        <f>IF(OR(Z$475&lt;$C490,Z$475&lt;$H$2),0,MIN($E490-SUM($G490:Y490),$F490))</f>
        <v>0</v>
      </c>
      <c r="AA490" s="424">
        <f>IF(OR(AA$475&lt;$C490,AA$475&lt;$H$2),0,MIN($E490-SUM($G490:Z490),$F490))</f>
        <v>0</v>
      </c>
      <c r="AB490" s="424">
        <f>IF(OR(AB$475&lt;$C490,AB$475&lt;$H$2),0,MIN($E490-SUM($G490:AA490),$F490))</f>
        <v>0</v>
      </c>
      <c r="AC490" s="424">
        <f>IF(OR(AC$475&lt;$C490,AC$475&lt;$H$2),0,MIN($E490-SUM($G490:AB490),$F490))</f>
        <v>0</v>
      </c>
      <c r="AD490" s="424">
        <f>IF(OR(AD$475&lt;$C490,AD$475&lt;$H$2),0,MIN($E490-SUM($G490:AC490),$F490))</f>
        <v>0</v>
      </c>
    </row>
    <row r="491" spans="3:30">
      <c r="C491" s="201">
        <v>50781</v>
      </c>
      <c r="D491" s="94" t="s">
        <v>134</v>
      </c>
      <c r="E491" s="424">
        <f t="shared" si="164"/>
        <v>0</v>
      </c>
      <c r="F491" s="209">
        <f t="shared" si="165"/>
        <v>0</v>
      </c>
      <c r="H491" s="424">
        <f>IF(OR(H$475&lt;$C491,H$475&lt;$H$2),0,MIN($E491-SUM($G491:G491),$F491))</f>
        <v>0</v>
      </c>
      <c r="I491" s="424">
        <f>IF(OR(I$475&lt;$C491,I$475&lt;$H$2),0,MIN($E491-SUM($G491:H491),$F491))</f>
        <v>0</v>
      </c>
      <c r="J491" s="424">
        <f>IF(OR(J$475&lt;$C491,J$475&lt;$H$2),0,MIN($E491-SUM($G491:I491),$F491))</f>
        <v>0</v>
      </c>
      <c r="K491" s="424">
        <f>IF(OR(K$475&lt;$C491,K$475&lt;$H$2),0,MIN($E491-SUM($G491:J491),$F491))</f>
        <v>0</v>
      </c>
      <c r="L491" s="424">
        <f>IF(OR(L$475&lt;$C491,L$475&lt;$H$2),0,MIN($E491-SUM($G491:K491),$F491))</f>
        <v>0</v>
      </c>
      <c r="M491" s="424">
        <f>IF(OR(M$475&lt;$C491,M$475&lt;$H$2),0,MIN($E491-SUM($G491:L491),$F491))</f>
        <v>0</v>
      </c>
      <c r="N491" s="424">
        <f>IF(OR(N$475&lt;$C491,N$475&lt;$H$2),0,MIN($E491-SUM($G491:M491),$F491))</f>
        <v>0</v>
      </c>
      <c r="O491" s="424">
        <f>IF(OR(O$475&lt;$C491,O$475&lt;$H$2),0,MIN($E491-SUM($G491:N491),$F491))</f>
        <v>0</v>
      </c>
      <c r="P491" s="424">
        <f>IF(OR(P$475&lt;$C491,P$475&lt;$H$2),0,MIN($E491-SUM($G491:O491),$F491))</f>
        <v>0</v>
      </c>
      <c r="Q491" s="424">
        <f>IF(OR(Q$475&lt;$C491,Q$475&lt;$H$2),0,MIN($E491-SUM($G491:P491),$F491))</f>
        <v>0</v>
      </c>
      <c r="R491" s="424">
        <f>IF(OR(R$475&lt;$C491,R$475&lt;$H$2),0,MIN($E491-SUM($G491:Q491),$F491))</f>
        <v>0</v>
      </c>
      <c r="S491" s="424">
        <f>IF(OR(S$475&lt;$C491,S$475&lt;$H$2),0,MIN($E491-SUM($G491:R491),$F491))</f>
        <v>0</v>
      </c>
      <c r="T491" s="424">
        <f>IF(OR(T$475&lt;$C491,T$475&lt;$H$2),0,MIN($E491-SUM($G491:S491),$F491))</f>
        <v>0</v>
      </c>
      <c r="U491" s="424">
        <f>IF(OR(U$475&lt;$C491,U$475&lt;$H$2),0,MIN($E491-SUM($G491:T491),$F491))</f>
        <v>0</v>
      </c>
      <c r="V491" s="424">
        <f>IF(OR(V$475&lt;$C491,V$475&lt;$H$2),0,MIN($E491-SUM($G491:U491),$F491))</f>
        <v>0</v>
      </c>
      <c r="W491" s="424">
        <f>IF(OR(W$475&lt;$C491,W$475&lt;$H$2),0,MIN($E491-SUM($G491:V491),$F491))</f>
        <v>0</v>
      </c>
      <c r="X491" s="424">
        <f>IF(OR(X$475&lt;$C491,X$475&lt;$H$2),0,MIN($E491-SUM($G491:W491),$F491))</f>
        <v>0</v>
      </c>
      <c r="Y491" s="424">
        <f>IF(OR(Y$475&lt;$C491,Y$475&lt;$H$2),0,MIN($E491-SUM($G491:X491),$F491))</f>
        <v>0</v>
      </c>
      <c r="Z491" s="424">
        <f>IF(OR(Z$475&lt;$C491,Z$475&lt;$H$2),0,MIN($E491-SUM($G491:Y491),$F491))</f>
        <v>0</v>
      </c>
      <c r="AA491" s="424">
        <f>IF(OR(AA$475&lt;$C491,AA$475&lt;$H$2),0,MIN($E491-SUM($G491:Z491),$F491))</f>
        <v>0</v>
      </c>
      <c r="AB491" s="424">
        <f>IF(OR(AB$475&lt;$C491,AB$475&lt;$H$2),0,MIN($E491-SUM($G491:AA491),$F491))</f>
        <v>0</v>
      </c>
      <c r="AC491" s="424">
        <f>IF(OR(AC$475&lt;$C491,AC$475&lt;$H$2),0,MIN($E491-SUM($G491:AB491),$F491))</f>
        <v>0</v>
      </c>
      <c r="AD491" s="424">
        <f>IF(OR(AD$475&lt;$C491,AD$475&lt;$H$2),0,MIN($E491-SUM($G491:AC491),$F491))</f>
        <v>0</v>
      </c>
    </row>
    <row r="492" spans="3:30">
      <c r="C492" s="201">
        <v>51147</v>
      </c>
      <c r="D492" s="94" t="s">
        <v>134</v>
      </c>
      <c r="E492" s="424">
        <f t="shared" si="164"/>
        <v>0</v>
      </c>
      <c r="F492" s="209">
        <f t="shared" si="165"/>
        <v>0</v>
      </c>
      <c r="H492" s="424">
        <f>IF(OR(H$475&lt;$C492,H$475&lt;$H$2),0,MIN($E492-SUM($G492:G492),$F492))</f>
        <v>0</v>
      </c>
      <c r="I492" s="424">
        <f>IF(OR(I$475&lt;$C492,I$475&lt;$H$2),0,MIN($E492-SUM($G492:H492),$F492))</f>
        <v>0</v>
      </c>
      <c r="J492" s="424">
        <f>IF(OR(J$475&lt;$C492,J$475&lt;$H$2),0,MIN($E492-SUM($G492:I492),$F492))</f>
        <v>0</v>
      </c>
      <c r="K492" s="424">
        <f>IF(OR(K$475&lt;$C492,K$475&lt;$H$2),0,MIN($E492-SUM($G492:J492),$F492))</f>
        <v>0</v>
      </c>
      <c r="L492" s="424">
        <f>IF(OR(L$475&lt;$C492,L$475&lt;$H$2),0,MIN($E492-SUM($G492:K492),$F492))</f>
        <v>0</v>
      </c>
      <c r="M492" s="424">
        <f>IF(OR(M$475&lt;$C492,M$475&lt;$H$2),0,MIN($E492-SUM($G492:L492),$F492))</f>
        <v>0</v>
      </c>
      <c r="N492" s="424">
        <f>IF(OR(N$475&lt;$C492,N$475&lt;$H$2),0,MIN($E492-SUM($G492:M492),$F492))</f>
        <v>0</v>
      </c>
      <c r="O492" s="424">
        <f>IF(OR(O$475&lt;$C492,O$475&lt;$H$2),0,MIN($E492-SUM($G492:N492),$F492))</f>
        <v>0</v>
      </c>
      <c r="P492" s="424">
        <f>IF(OR(P$475&lt;$C492,P$475&lt;$H$2),0,MIN($E492-SUM($G492:O492),$F492))</f>
        <v>0</v>
      </c>
      <c r="Q492" s="424">
        <f>IF(OR(Q$475&lt;$C492,Q$475&lt;$H$2),0,MIN($E492-SUM($G492:P492),$F492))</f>
        <v>0</v>
      </c>
      <c r="R492" s="424">
        <f>IF(OR(R$475&lt;$C492,R$475&lt;$H$2),0,MIN($E492-SUM($G492:Q492),$F492))</f>
        <v>0</v>
      </c>
      <c r="S492" s="424">
        <f>IF(OR(S$475&lt;$C492,S$475&lt;$H$2),0,MIN($E492-SUM($G492:R492),$F492))</f>
        <v>0</v>
      </c>
      <c r="T492" s="424">
        <f>IF(OR(T$475&lt;$C492,T$475&lt;$H$2),0,MIN($E492-SUM($G492:S492),$F492))</f>
        <v>0</v>
      </c>
      <c r="U492" s="424">
        <f>IF(OR(U$475&lt;$C492,U$475&lt;$H$2),0,MIN($E492-SUM($G492:T492),$F492))</f>
        <v>0</v>
      </c>
      <c r="V492" s="424">
        <f>IF(OR(V$475&lt;$C492,V$475&lt;$H$2),0,MIN($E492-SUM($G492:U492),$F492))</f>
        <v>0</v>
      </c>
      <c r="W492" s="424">
        <f>IF(OR(W$475&lt;$C492,W$475&lt;$H$2),0,MIN($E492-SUM($G492:V492),$F492))</f>
        <v>0</v>
      </c>
      <c r="X492" s="424">
        <f>IF(OR(X$475&lt;$C492,X$475&lt;$H$2),0,MIN($E492-SUM($G492:W492),$F492))</f>
        <v>0</v>
      </c>
      <c r="Y492" s="424">
        <f>IF(OR(Y$475&lt;$C492,Y$475&lt;$H$2),0,MIN($E492-SUM($G492:X492),$F492))</f>
        <v>0</v>
      </c>
      <c r="Z492" s="424">
        <f>IF(OR(Z$475&lt;$C492,Z$475&lt;$H$2),0,MIN($E492-SUM($G492:Y492),$F492))</f>
        <v>0</v>
      </c>
      <c r="AA492" s="424">
        <f>IF(OR(AA$475&lt;$C492,AA$475&lt;$H$2),0,MIN($E492-SUM($G492:Z492),$F492))</f>
        <v>0</v>
      </c>
      <c r="AB492" s="424">
        <f>IF(OR(AB$475&lt;$C492,AB$475&lt;$H$2),0,MIN($E492-SUM($G492:AA492),$F492))</f>
        <v>0</v>
      </c>
      <c r="AC492" s="424">
        <f>IF(OR(AC$475&lt;$C492,AC$475&lt;$H$2),0,MIN($E492-SUM($G492:AB492),$F492))</f>
        <v>0</v>
      </c>
      <c r="AD492" s="424">
        <f>IF(OR(AD$475&lt;$C492,AD$475&lt;$H$2),0,MIN($E492-SUM($G492:AC492),$F492))</f>
        <v>0</v>
      </c>
    </row>
    <row r="493" spans="3:30">
      <c r="C493" s="201">
        <v>51513</v>
      </c>
      <c r="D493" s="94" t="s">
        <v>134</v>
      </c>
      <c r="E493" s="424">
        <f t="shared" si="164"/>
        <v>0</v>
      </c>
      <c r="F493" s="209">
        <f t="shared" si="165"/>
        <v>0</v>
      </c>
      <c r="H493" s="424">
        <f>IF(OR(H$475&lt;$C493,H$475&lt;$H$2),0,MIN($E493-SUM($G493:G493),$F493))</f>
        <v>0</v>
      </c>
      <c r="I493" s="424">
        <f>IF(OR(I$475&lt;$C493,I$475&lt;$H$2),0,MIN($E493-SUM($G493:H493),$F493))</f>
        <v>0</v>
      </c>
      <c r="J493" s="424">
        <f>IF(OR(J$475&lt;$C493,J$475&lt;$H$2),0,MIN($E493-SUM($G493:I493),$F493))</f>
        <v>0</v>
      </c>
      <c r="K493" s="424">
        <f>IF(OR(K$475&lt;$C493,K$475&lt;$H$2),0,MIN($E493-SUM($G493:J493),$F493))</f>
        <v>0</v>
      </c>
      <c r="L493" s="424">
        <f>IF(OR(L$475&lt;$C493,L$475&lt;$H$2),0,MIN($E493-SUM($G493:K493),$F493))</f>
        <v>0</v>
      </c>
      <c r="M493" s="424">
        <f>IF(OR(M$475&lt;$C493,M$475&lt;$H$2),0,MIN($E493-SUM($G493:L493),$F493))</f>
        <v>0</v>
      </c>
      <c r="N493" s="424">
        <f>IF(OR(N$475&lt;$C493,N$475&lt;$H$2),0,MIN($E493-SUM($G493:M493),$F493))</f>
        <v>0</v>
      </c>
      <c r="O493" s="424">
        <f>IF(OR(O$475&lt;$C493,O$475&lt;$H$2),0,MIN($E493-SUM($G493:N493),$F493))</f>
        <v>0</v>
      </c>
      <c r="P493" s="424">
        <f>IF(OR(P$475&lt;$C493,P$475&lt;$H$2),0,MIN($E493-SUM($G493:O493),$F493))</f>
        <v>0</v>
      </c>
      <c r="Q493" s="424">
        <f>IF(OR(Q$475&lt;$C493,Q$475&lt;$H$2),0,MIN($E493-SUM($G493:P493),$F493))</f>
        <v>0</v>
      </c>
      <c r="R493" s="424">
        <f>IF(OR(R$475&lt;$C493,R$475&lt;$H$2),0,MIN($E493-SUM($G493:Q493),$F493))</f>
        <v>0</v>
      </c>
      <c r="S493" s="424">
        <f>IF(OR(S$475&lt;$C493,S$475&lt;$H$2),0,MIN($E493-SUM($G493:R493),$F493))</f>
        <v>0</v>
      </c>
      <c r="T493" s="424">
        <f>IF(OR(T$475&lt;$C493,T$475&lt;$H$2),0,MIN($E493-SUM($G493:S493),$F493))</f>
        <v>0</v>
      </c>
      <c r="U493" s="424">
        <f>IF(OR(U$475&lt;$C493,U$475&lt;$H$2),0,MIN($E493-SUM($G493:T493),$F493))</f>
        <v>0</v>
      </c>
      <c r="V493" s="424">
        <f>IF(OR(V$475&lt;$C493,V$475&lt;$H$2),0,MIN($E493-SUM($G493:U493),$F493))</f>
        <v>0</v>
      </c>
      <c r="W493" s="424">
        <f>IF(OR(W$475&lt;$C493,W$475&lt;$H$2),0,MIN($E493-SUM($G493:V493),$F493))</f>
        <v>0</v>
      </c>
      <c r="X493" s="424">
        <f>IF(OR(X$475&lt;$C493,X$475&lt;$H$2),0,MIN($E493-SUM($G493:W493),$F493))</f>
        <v>0</v>
      </c>
      <c r="Y493" s="424">
        <f>IF(OR(Y$475&lt;$C493,Y$475&lt;$H$2),0,MIN($E493-SUM($G493:X493),$F493))</f>
        <v>0</v>
      </c>
      <c r="Z493" s="424">
        <f>IF(OR(Z$475&lt;$C493,Z$475&lt;$H$2),0,MIN($E493-SUM($G493:Y493),$F493))</f>
        <v>0</v>
      </c>
      <c r="AA493" s="424">
        <f>IF(OR(AA$475&lt;$C493,AA$475&lt;$H$2),0,MIN($E493-SUM($G493:Z493),$F493))</f>
        <v>0</v>
      </c>
      <c r="AB493" s="424">
        <f>IF(OR(AB$475&lt;$C493,AB$475&lt;$H$2),0,MIN($E493-SUM($G493:AA493),$F493))</f>
        <v>0</v>
      </c>
      <c r="AC493" s="424">
        <f>IF(OR(AC$475&lt;$C493,AC$475&lt;$H$2),0,MIN($E493-SUM($G493:AB493),$F493))</f>
        <v>0</v>
      </c>
      <c r="AD493" s="424">
        <f>IF(OR(AD$475&lt;$C493,AD$475&lt;$H$2),0,MIN($E493-SUM($G493:AC493),$F493))</f>
        <v>0</v>
      </c>
    </row>
    <row r="494" spans="3:30">
      <c r="C494" s="201">
        <v>51879</v>
      </c>
      <c r="D494" s="94" t="s">
        <v>134</v>
      </c>
      <c r="E494" s="424">
        <f t="shared" si="164"/>
        <v>0</v>
      </c>
      <c r="F494" s="209">
        <f t="shared" si="165"/>
        <v>0</v>
      </c>
      <c r="H494" s="424">
        <f>IF(OR(H$475&lt;$C494,H$475&lt;$H$2),0,MIN($E494-SUM($G494:G494),$F494))</f>
        <v>0</v>
      </c>
      <c r="I494" s="424">
        <f>IF(OR(I$475&lt;$C494,I$475&lt;$H$2),0,MIN($E494-SUM($G494:H494),$F494))</f>
        <v>0</v>
      </c>
      <c r="J494" s="424">
        <f>IF(OR(J$475&lt;$C494,J$475&lt;$H$2),0,MIN($E494-SUM($G494:I494),$F494))</f>
        <v>0</v>
      </c>
      <c r="K494" s="424">
        <f>IF(OR(K$475&lt;$C494,K$475&lt;$H$2),0,MIN($E494-SUM($G494:J494),$F494))</f>
        <v>0</v>
      </c>
      <c r="L494" s="424">
        <f>IF(OR(L$475&lt;$C494,L$475&lt;$H$2),0,MIN($E494-SUM($G494:K494),$F494))</f>
        <v>0</v>
      </c>
      <c r="M494" s="424">
        <f>IF(OR(M$475&lt;$C494,M$475&lt;$H$2),0,MIN($E494-SUM($G494:L494),$F494))</f>
        <v>0</v>
      </c>
      <c r="N494" s="424">
        <f>IF(OR(N$475&lt;$C494,N$475&lt;$H$2),0,MIN($E494-SUM($G494:M494),$F494))</f>
        <v>0</v>
      </c>
      <c r="O494" s="424">
        <f>IF(OR(O$475&lt;$C494,O$475&lt;$H$2),0,MIN($E494-SUM($G494:N494),$F494))</f>
        <v>0</v>
      </c>
      <c r="P494" s="424">
        <f>IF(OR(P$475&lt;$C494,P$475&lt;$H$2),0,MIN($E494-SUM($G494:O494),$F494))</f>
        <v>0</v>
      </c>
      <c r="Q494" s="424">
        <f>IF(OR(Q$475&lt;$C494,Q$475&lt;$H$2),0,MIN($E494-SUM($G494:P494),$F494))</f>
        <v>0</v>
      </c>
      <c r="R494" s="424">
        <f>IF(OR(R$475&lt;$C494,R$475&lt;$H$2),0,MIN($E494-SUM($G494:Q494),$F494))</f>
        <v>0</v>
      </c>
      <c r="S494" s="424">
        <f>IF(OR(S$475&lt;$C494,S$475&lt;$H$2),0,MIN($E494-SUM($G494:R494),$F494))</f>
        <v>0</v>
      </c>
      <c r="T494" s="424">
        <f>IF(OR(T$475&lt;$C494,T$475&lt;$H$2),0,MIN($E494-SUM($G494:S494),$F494))</f>
        <v>0</v>
      </c>
      <c r="U494" s="424">
        <f>IF(OR(U$475&lt;$C494,U$475&lt;$H$2),0,MIN($E494-SUM($G494:T494),$F494))</f>
        <v>0</v>
      </c>
      <c r="V494" s="424">
        <f>IF(OR(V$475&lt;$C494,V$475&lt;$H$2),0,MIN($E494-SUM($G494:U494),$F494))</f>
        <v>0</v>
      </c>
      <c r="W494" s="424">
        <f>IF(OR(W$475&lt;$C494,W$475&lt;$H$2),0,MIN($E494-SUM($G494:V494),$F494))</f>
        <v>0</v>
      </c>
      <c r="X494" s="424">
        <f>IF(OR(X$475&lt;$C494,X$475&lt;$H$2),0,MIN($E494-SUM($G494:W494),$F494))</f>
        <v>0</v>
      </c>
      <c r="Y494" s="424">
        <f>IF(OR(Y$475&lt;$C494,Y$475&lt;$H$2),0,MIN($E494-SUM($G494:X494),$F494))</f>
        <v>0</v>
      </c>
      <c r="Z494" s="424">
        <f>IF(OR(Z$475&lt;$C494,Z$475&lt;$H$2),0,MIN($E494-SUM($G494:Y494),$F494))</f>
        <v>0</v>
      </c>
      <c r="AA494" s="424">
        <f>IF(OR(AA$475&lt;$C494,AA$475&lt;$H$2),0,MIN($E494-SUM($G494:Z494),$F494))</f>
        <v>0</v>
      </c>
      <c r="AB494" s="424">
        <f>IF(OR(AB$475&lt;$C494,AB$475&lt;$H$2),0,MIN($E494-SUM($G494:AA494),$F494))</f>
        <v>0</v>
      </c>
      <c r="AC494" s="424">
        <f>IF(OR(AC$475&lt;$C494,AC$475&lt;$H$2),0,MIN($E494-SUM($G494:AB494),$F494))</f>
        <v>0</v>
      </c>
      <c r="AD494" s="424">
        <f>IF(OR(AD$475&lt;$C494,AD$475&lt;$H$2),0,MIN($E494-SUM($G494:AC494),$F494))</f>
        <v>0</v>
      </c>
    </row>
    <row r="495" spans="3:30">
      <c r="C495" s="201">
        <v>52245</v>
      </c>
      <c r="D495" s="94" t="s">
        <v>134</v>
      </c>
      <c r="E495" s="424">
        <f t="shared" si="164"/>
        <v>0</v>
      </c>
      <c r="F495" s="209">
        <f t="shared" si="165"/>
        <v>0</v>
      </c>
      <c r="H495" s="424">
        <f>IF(OR(H$475&lt;$C495,H$475&lt;$H$2),0,MIN($E495-SUM($G495:G495),$F495))</f>
        <v>0</v>
      </c>
      <c r="I495" s="424">
        <f>IF(OR(I$475&lt;$C495,I$475&lt;$H$2),0,MIN($E495-SUM($G495:H495),$F495))</f>
        <v>0</v>
      </c>
      <c r="J495" s="424">
        <f>IF(OR(J$475&lt;$C495,J$475&lt;$H$2),0,MIN($E495-SUM($G495:I495),$F495))</f>
        <v>0</v>
      </c>
      <c r="K495" s="424">
        <f>IF(OR(K$475&lt;$C495,K$475&lt;$H$2),0,MIN($E495-SUM($G495:J495),$F495))</f>
        <v>0</v>
      </c>
      <c r="L495" s="424">
        <f>IF(OR(L$475&lt;$C495,L$475&lt;$H$2),0,MIN($E495-SUM($G495:K495),$F495))</f>
        <v>0</v>
      </c>
      <c r="M495" s="424">
        <f>IF(OR(M$475&lt;$C495,M$475&lt;$H$2),0,MIN($E495-SUM($G495:L495),$F495))</f>
        <v>0</v>
      </c>
      <c r="N495" s="424">
        <f>IF(OR(N$475&lt;$C495,N$475&lt;$H$2),0,MIN($E495-SUM($G495:M495),$F495))</f>
        <v>0</v>
      </c>
      <c r="O495" s="424">
        <f>IF(OR(O$475&lt;$C495,O$475&lt;$H$2),0,MIN($E495-SUM($G495:N495),$F495))</f>
        <v>0</v>
      </c>
      <c r="P495" s="424">
        <f>IF(OR(P$475&lt;$C495,P$475&lt;$H$2),0,MIN($E495-SUM($G495:O495),$F495))</f>
        <v>0</v>
      </c>
      <c r="Q495" s="424">
        <f>IF(OR(Q$475&lt;$C495,Q$475&lt;$H$2),0,MIN($E495-SUM($G495:P495),$F495))</f>
        <v>0</v>
      </c>
      <c r="R495" s="424">
        <f>IF(OR(R$475&lt;$C495,R$475&lt;$H$2),0,MIN($E495-SUM($G495:Q495),$F495))</f>
        <v>0</v>
      </c>
      <c r="S495" s="424">
        <f>IF(OR(S$475&lt;$C495,S$475&lt;$H$2),0,MIN($E495-SUM($G495:R495),$F495))</f>
        <v>0</v>
      </c>
      <c r="T495" s="424">
        <f>IF(OR(T$475&lt;$C495,T$475&lt;$H$2),0,MIN($E495-SUM($G495:S495),$F495))</f>
        <v>0</v>
      </c>
      <c r="U495" s="424">
        <f>IF(OR(U$475&lt;$C495,U$475&lt;$H$2),0,MIN($E495-SUM($G495:T495),$F495))</f>
        <v>0</v>
      </c>
      <c r="V495" s="424">
        <f>IF(OR(V$475&lt;$C495,V$475&lt;$H$2),0,MIN($E495-SUM($G495:U495),$F495))</f>
        <v>0</v>
      </c>
      <c r="W495" s="424">
        <f>IF(OR(W$475&lt;$C495,W$475&lt;$H$2),0,MIN($E495-SUM($G495:V495),$F495))</f>
        <v>0</v>
      </c>
      <c r="X495" s="424">
        <f>IF(OR(X$475&lt;$C495,X$475&lt;$H$2),0,MIN($E495-SUM($G495:W495),$F495))</f>
        <v>0</v>
      </c>
      <c r="Y495" s="424">
        <f>IF(OR(Y$475&lt;$C495,Y$475&lt;$H$2),0,MIN($E495-SUM($G495:X495),$F495))</f>
        <v>0</v>
      </c>
      <c r="Z495" s="424">
        <f>IF(OR(Z$475&lt;$C495,Z$475&lt;$H$2),0,MIN($E495-SUM($G495:Y495),$F495))</f>
        <v>0</v>
      </c>
      <c r="AA495" s="424">
        <f>IF(OR(AA$475&lt;$C495,AA$475&lt;$H$2),0,MIN($E495-SUM($G495:Z495),$F495))</f>
        <v>0</v>
      </c>
      <c r="AB495" s="424">
        <f>IF(OR(AB$475&lt;$C495,AB$475&lt;$H$2),0,MIN($E495-SUM($G495:AA495),$F495))</f>
        <v>0</v>
      </c>
      <c r="AC495" s="424">
        <f>IF(OR(AC$475&lt;$C495,AC$475&lt;$H$2),0,MIN($E495-SUM($G495:AB495),$F495))</f>
        <v>0</v>
      </c>
      <c r="AD495" s="424">
        <f>IF(OR(AD$475&lt;$C495,AD$475&lt;$H$2),0,MIN($E495-SUM($G495:AC495),$F495))</f>
        <v>0</v>
      </c>
    </row>
    <row r="496" spans="3:30">
      <c r="C496" s="201">
        <v>52611</v>
      </c>
      <c r="D496" s="94" t="s">
        <v>134</v>
      </c>
      <c r="E496" s="424">
        <f t="shared" si="164"/>
        <v>0</v>
      </c>
      <c r="F496" s="209">
        <f t="shared" si="165"/>
        <v>0</v>
      </c>
      <c r="H496" s="424">
        <f>IF(OR(H$475&lt;$C496,H$475&lt;$H$2),0,MIN($E496-SUM($G496:G496),$F496))</f>
        <v>0</v>
      </c>
      <c r="I496" s="424">
        <f>IF(OR(I$475&lt;$C496,I$475&lt;$H$2),0,MIN($E496-SUM($G496:H496),$F496))</f>
        <v>0</v>
      </c>
      <c r="J496" s="424">
        <f>IF(OR(J$475&lt;$C496,J$475&lt;$H$2),0,MIN($E496-SUM($G496:I496),$F496))</f>
        <v>0</v>
      </c>
      <c r="K496" s="424">
        <f>IF(OR(K$475&lt;$C496,K$475&lt;$H$2),0,MIN($E496-SUM($G496:J496),$F496))</f>
        <v>0</v>
      </c>
      <c r="L496" s="424">
        <f>IF(OR(L$475&lt;$C496,L$475&lt;$H$2),0,MIN($E496-SUM($G496:K496),$F496))</f>
        <v>0</v>
      </c>
      <c r="M496" s="424">
        <f>IF(OR(M$475&lt;$C496,M$475&lt;$H$2),0,MIN($E496-SUM($G496:L496),$F496))</f>
        <v>0</v>
      </c>
      <c r="N496" s="424">
        <f>IF(OR(N$475&lt;$C496,N$475&lt;$H$2),0,MIN($E496-SUM($G496:M496),$F496))</f>
        <v>0</v>
      </c>
      <c r="O496" s="424">
        <f>IF(OR(O$475&lt;$C496,O$475&lt;$H$2),0,MIN($E496-SUM($G496:N496),$F496))</f>
        <v>0</v>
      </c>
      <c r="P496" s="424">
        <f>IF(OR(P$475&lt;$C496,P$475&lt;$H$2),0,MIN($E496-SUM($G496:O496),$F496))</f>
        <v>0</v>
      </c>
      <c r="Q496" s="424">
        <f>IF(OR(Q$475&lt;$C496,Q$475&lt;$H$2),0,MIN($E496-SUM($G496:P496),$F496))</f>
        <v>0</v>
      </c>
      <c r="R496" s="424">
        <f>IF(OR(R$475&lt;$C496,R$475&lt;$H$2),0,MIN($E496-SUM($G496:Q496),$F496))</f>
        <v>0</v>
      </c>
      <c r="S496" s="424">
        <f>IF(OR(S$475&lt;$C496,S$475&lt;$H$2),0,MIN($E496-SUM($G496:R496),$F496))</f>
        <v>0</v>
      </c>
      <c r="T496" s="424">
        <f>IF(OR(T$475&lt;$C496,T$475&lt;$H$2),0,MIN($E496-SUM($G496:S496),$F496))</f>
        <v>0</v>
      </c>
      <c r="U496" s="424">
        <f>IF(OR(U$475&lt;$C496,U$475&lt;$H$2),0,MIN($E496-SUM($G496:T496),$F496))</f>
        <v>0</v>
      </c>
      <c r="V496" s="424">
        <f>IF(OR(V$475&lt;$C496,V$475&lt;$H$2),0,MIN($E496-SUM($G496:U496),$F496))</f>
        <v>0</v>
      </c>
      <c r="W496" s="424">
        <f>IF(OR(W$475&lt;$C496,W$475&lt;$H$2),0,MIN($E496-SUM($G496:V496),$F496))</f>
        <v>0</v>
      </c>
      <c r="X496" s="424">
        <f>IF(OR(X$475&lt;$C496,X$475&lt;$H$2),0,MIN($E496-SUM($G496:W496),$F496))</f>
        <v>0</v>
      </c>
      <c r="Y496" s="424">
        <f>IF(OR(Y$475&lt;$C496,Y$475&lt;$H$2),0,MIN($E496-SUM($G496:X496),$F496))</f>
        <v>0</v>
      </c>
      <c r="Z496" s="424">
        <f>IF(OR(Z$475&lt;$C496,Z$475&lt;$H$2),0,MIN($E496-SUM($G496:Y496),$F496))</f>
        <v>0</v>
      </c>
      <c r="AA496" s="424">
        <f>IF(OR(AA$475&lt;$C496,AA$475&lt;$H$2),0,MIN($E496-SUM($G496:Z496),$F496))</f>
        <v>0</v>
      </c>
      <c r="AB496" s="424">
        <f>IF(OR(AB$475&lt;$C496,AB$475&lt;$H$2),0,MIN($E496-SUM($G496:AA496),$F496))</f>
        <v>0</v>
      </c>
      <c r="AC496" s="424">
        <f>IF(OR(AC$475&lt;$C496,AC$475&lt;$H$2),0,MIN($E496-SUM($G496:AB496),$F496))</f>
        <v>0</v>
      </c>
      <c r="AD496" s="424">
        <f>IF(OR(AD$475&lt;$C496,AD$475&lt;$H$2),0,MIN($E496-SUM($G496:AC496),$F496))</f>
        <v>0</v>
      </c>
    </row>
    <row r="497" spans="3:30">
      <c r="C497" s="201">
        <v>52977</v>
      </c>
      <c r="D497" s="94" t="s">
        <v>134</v>
      </c>
      <c r="E497" s="424">
        <f t="shared" si="164"/>
        <v>0</v>
      </c>
      <c r="F497" s="209">
        <f t="shared" si="165"/>
        <v>0</v>
      </c>
      <c r="H497" s="424">
        <f>IF(OR(H$475&lt;$C497,H$475&lt;$H$2),0,MIN($E497-SUM($G497:G497),$F497))</f>
        <v>0</v>
      </c>
      <c r="I497" s="424">
        <f>IF(OR(I$475&lt;$C497,I$475&lt;$H$2),0,MIN($E497-SUM($G497:H497),$F497))</f>
        <v>0</v>
      </c>
      <c r="J497" s="424">
        <f>IF(OR(J$475&lt;$C497,J$475&lt;$H$2),0,MIN($E497-SUM($G497:I497),$F497))</f>
        <v>0</v>
      </c>
      <c r="K497" s="424">
        <f>IF(OR(K$475&lt;$C497,K$475&lt;$H$2),0,MIN($E497-SUM($G497:J497),$F497))</f>
        <v>0</v>
      </c>
      <c r="L497" s="424">
        <f>IF(OR(L$475&lt;$C497,L$475&lt;$H$2),0,MIN($E497-SUM($G497:K497),$F497))</f>
        <v>0</v>
      </c>
      <c r="M497" s="424">
        <f>IF(OR(M$475&lt;$C497,M$475&lt;$H$2),0,MIN($E497-SUM($G497:L497),$F497))</f>
        <v>0</v>
      </c>
      <c r="N497" s="424">
        <f>IF(OR(N$475&lt;$C497,N$475&lt;$H$2),0,MIN($E497-SUM($G497:M497),$F497))</f>
        <v>0</v>
      </c>
      <c r="O497" s="424">
        <f>IF(OR(O$475&lt;$C497,O$475&lt;$H$2),0,MIN($E497-SUM($G497:N497),$F497))</f>
        <v>0</v>
      </c>
      <c r="P497" s="424">
        <f>IF(OR(P$475&lt;$C497,P$475&lt;$H$2),0,MIN($E497-SUM($G497:O497),$F497))</f>
        <v>0</v>
      </c>
      <c r="Q497" s="424">
        <f>IF(OR(Q$475&lt;$C497,Q$475&lt;$H$2),0,MIN($E497-SUM($G497:P497),$F497))</f>
        <v>0</v>
      </c>
      <c r="R497" s="424">
        <f>IF(OR(R$475&lt;$C497,R$475&lt;$H$2),0,MIN($E497-SUM($G497:Q497),$F497))</f>
        <v>0</v>
      </c>
      <c r="S497" s="424">
        <f>IF(OR(S$475&lt;$C497,S$475&lt;$H$2),0,MIN($E497-SUM($G497:R497),$F497))</f>
        <v>0</v>
      </c>
      <c r="T497" s="424">
        <f>IF(OR(T$475&lt;$C497,T$475&lt;$H$2),0,MIN($E497-SUM($G497:S497),$F497))</f>
        <v>0</v>
      </c>
      <c r="U497" s="424">
        <f>IF(OR(U$475&lt;$C497,U$475&lt;$H$2),0,MIN($E497-SUM($G497:T497),$F497))</f>
        <v>0</v>
      </c>
      <c r="V497" s="424">
        <f>IF(OR(V$475&lt;$C497,V$475&lt;$H$2),0,MIN($E497-SUM($G497:U497),$F497))</f>
        <v>0</v>
      </c>
      <c r="W497" s="424">
        <f>IF(OR(W$475&lt;$C497,W$475&lt;$H$2),0,MIN($E497-SUM($G497:V497),$F497))</f>
        <v>0</v>
      </c>
      <c r="X497" s="424">
        <f>IF(OR(X$475&lt;$C497,X$475&lt;$H$2),0,MIN($E497-SUM($G497:W497),$F497))</f>
        <v>0</v>
      </c>
      <c r="Y497" s="424">
        <f>IF(OR(Y$475&lt;$C497,Y$475&lt;$H$2),0,MIN($E497-SUM($G497:X497),$F497))</f>
        <v>0</v>
      </c>
      <c r="Z497" s="424">
        <f>IF(OR(Z$475&lt;$C497,Z$475&lt;$H$2),0,MIN($E497-SUM($G497:Y497),$F497))</f>
        <v>0</v>
      </c>
      <c r="AA497" s="424">
        <f>IF(OR(AA$475&lt;$C497,AA$475&lt;$H$2),0,MIN($E497-SUM($G497:Z497),$F497))</f>
        <v>0</v>
      </c>
      <c r="AB497" s="424">
        <f>IF(OR(AB$475&lt;$C497,AB$475&lt;$H$2),0,MIN($E497-SUM($G497:AA497),$F497))</f>
        <v>0</v>
      </c>
      <c r="AC497" s="424">
        <f>IF(OR(AC$475&lt;$C497,AC$475&lt;$H$2),0,MIN($E497-SUM($G497:AB497),$F497))</f>
        <v>0</v>
      </c>
      <c r="AD497" s="424">
        <f>IF(OR(AD$475&lt;$C497,AD$475&lt;$H$2),0,MIN($E497-SUM($G497:AC497),$F497))</f>
        <v>0</v>
      </c>
    </row>
    <row r="498" spans="3:30">
      <c r="C498" s="201">
        <v>53343</v>
      </c>
      <c r="D498" s="94" t="s">
        <v>134</v>
      </c>
      <c r="E498" s="424">
        <f t="shared" si="164"/>
        <v>0</v>
      </c>
      <c r="F498" s="209">
        <f t="shared" si="165"/>
        <v>0</v>
      </c>
      <c r="H498" s="424">
        <f>IF(OR(H$475&lt;$C498,H$475&lt;$H$2),0,MIN($E498-SUM($G498:G498),$F498))</f>
        <v>0</v>
      </c>
      <c r="I498" s="424">
        <f>IF(OR(I$475&lt;$C498,I$475&lt;$H$2),0,MIN($E498-SUM($G498:H498),$F498))</f>
        <v>0</v>
      </c>
      <c r="J498" s="424">
        <f>IF(OR(J$475&lt;$C498,J$475&lt;$H$2),0,MIN($E498-SUM($G498:I498),$F498))</f>
        <v>0</v>
      </c>
      <c r="K498" s="424">
        <f>IF(OR(K$475&lt;$C498,K$475&lt;$H$2),0,MIN($E498-SUM($G498:J498),$F498))</f>
        <v>0</v>
      </c>
      <c r="L498" s="424">
        <f>IF(OR(L$475&lt;$C498,L$475&lt;$H$2),0,MIN($E498-SUM($G498:K498),$F498))</f>
        <v>0</v>
      </c>
      <c r="M498" s="424">
        <f>IF(OR(M$475&lt;$C498,M$475&lt;$H$2),0,MIN($E498-SUM($G498:L498),$F498))</f>
        <v>0</v>
      </c>
      <c r="N498" s="424">
        <f>IF(OR(N$475&lt;$C498,N$475&lt;$H$2),0,MIN($E498-SUM($G498:M498),$F498))</f>
        <v>0</v>
      </c>
      <c r="O498" s="424">
        <f>IF(OR(O$475&lt;$C498,O$475&lt;$H$2),0,MIN($E498-SUM($G498:N498),$F498))</f>
        <v>0</v>
      </c>
      <c r="P498" s="424">
        <f>IF(OR(P$475&lt;$C498,P$475&lt;$H$2),0,MIN($E498-SUM($G498:O498),$F498))</f>
        <v>0</v>
      </c>
      <c r="Q498" s="424">
        <f>IF(OR(Q$475&lt;$C498,Q$475&lt;$H$2),0,MIN($E498-SUM($G498:P498),$F498))</f>
        <v>0</v>
      </c>
      <c r="R498" s="424">
        <f>IF(OR(R$475&lt;$C498,R$475&lt;$H$2),0,MIN($E498-SUM($G498:Q498),$F498))</f>
        <v>0</v>
      </c>
      <c r="S498" s="424">
        <f>IF(OR(S$475&lt;$C498,S$475&lt;$H$2),0,MIN($E498-SUM($G498:R498),$F498))</f>
        <v>0</v>
      </c>
      <c r="T498" s="424">
        <f>IF(OR(T$475&lt;$C498,T$475&lt;$H$2),0,MIN($E498-SUM($G498:S498),$F498))</f>
        <v>0</v>
      </c>
      <c r="U498" s="424">
        <f>IF(OR(U$475&lt;$C498,U$475&lt;$H$2),0,MIN($E498-SUM($G498:T498),$F498))</f>
        <v>0</v>
      </c>
      <c r="V498" s="424">
        <f>IF(OR(V$475&lt;$C498,V$475&lt;$H$2),0,MIN($E498-SUM($G498:U498),$F498))</f>
        <v>0</v>
      </c>
      <c r="W498" s="424">
        <f>IF(OR(W$475&lt;$C498,W$475&lt;$H$2),0,MIN($E498-SUM($G498:V498),$F498))</f>
        <v>0</v>
      </c>
      <c r="X498" s="424">
        <f>IF(OR(X$475&lt;$C498,X$475&lt;$H$2),0,MIN($E498-SUM($G498:W498),$F498))</f>
        <v>0</v>
      </c>
      <c r="Y498" s="424">
        <f>IF(OR(Y$475&lt;$C498,Y$475&lt;$H$2),0,MIN($E498-SUM($G498:X498),$F498))</f>
        <v>0</v>
      </c>
      <c r="Z498" s="424">
        <f>IF(OR(Z$475&lt;$C498,Z$475&lt;$H$2),0,MIN($E498-SUM($G498:Y498),$F498))</f>
        <v>0</v>
      </c>
      <c r="AA498" s="424">
        <f>IF(OR(AA$475&lt;$C498,AA$475&lt;$H$2),0,MIN($E498-SUM($G498:Z498),$F498))</f>
        <v>0</v>
      </c>
      <c r="AB498" s="424">
        <f>IF(OR(AB$475&lt;$C498,AB$475&lt;$H$2),0,MIN($E498-SUM($G498:AA498),$F498))</f>
        <v>0</v>
      </c>
      <c r="AC498" s="424">
        <f>IF(OR(AC$475&lt;$C498,AC$475&lt;$H$2),0,MIN($E498-SUM($G498:AB498),$F498))</f>
        <v>0</v>
      </c>
      <c r="AD498" s="424">
        <f>IF(OR(AD$475&lt;$C498,AD$475&lt;$H$2),0,MIN($E498-SUM($G498:AC498),$F498))</f>
        <v>0</v>
      </c>
    </row>
    <row r="499" spans="3:30">
      <c r="C499" s="201">
        <v>53709</v>
      </c>
      <c r="D499" s="94" t="s">
        <v>134</v>
      </c>
      <c r="E499" s="424">
        <f t="shared" si="164"/>
        <v>0</v>
      </c>
      <c r="F499" s="209">
        <f t="shared" si="165"/>
        <v>0</v>
      </c>
      <c r="H499" s="424">
        <f>IF(OR(H$475&lt;$C499,H$475&lt;$H$2),0,MIN($E499-SUM($G499:G499),$F499))</f>
        <v>0</v>
      </c>
      <c r="I499" s="424">
        <f>IF(OR(I$475&lt;$C499,I$475&lt;$H$2),0,MIN($E499-SUM($G499:H499),$F499))</f>
        <v>0</v>
      </c>
      <c r="J499" s="424">
        <f>IF(OR(J$475&lt;$C499,J$475&lt;$H$2),0,MIN($E499-SUM($G499:I499),$F499))</f>
        <v>0</v>
      </c>
      <c r="K499" s="424">
        <f>IF(OR(K$475&lt;$C499,K$475&lt;$H$2),0,MIN($E499-SUM($G499:J499),$F499))</f>
        <v>0</v>
      </c>
      <c r="L499" s="424">
        <f>IF(OR(L$475&lt;$C499,L$475&lt;$H$2),0,MIN($E499-SUM($G499:K499),$F499))</f>
        <v>0</v>
      </c>
      <c r="M499" s="424">
        <f>IF(OR(M$475&lt;$C499,M$475&lt;$H$2),0,MIN($E499-SUM($G499:L499),$F499))</f>
        <v>0</v>
      </c>
      <c r="N499" s="424">
        <f>IF(OR(N$475&lt;$C499,N$475&lt;$H$2),0,MIN($E499-SUM($G499:M499),$F499))</f>
        <v>0</v>
      </c>
      <c r="O499" s="424">
        <f>IF(OR(O$475&lt;$C499,O$475&lt;$H$2),0,MIN($E499-SUM($G499:N499),$F499))</f>
        <v>0</v>
      </c>
      <c r="P499" s="424">
        <f>IF(OR(P$475&lt;$C499,P$475&lt;$H$2),0,MIN($E499-SUM($G499:O499),$F499))</f>
        <v>0</v>
      </c>
      <c r="Q499" s="424">
        <f>IF(OR(Q$475&lt;$C499,Q$475&lt;$H$2),0,MIN($E499-SUM($G499:P499),$F499))</f>
        <v>0</v>
      </c>
      <c r="R499" s="424">
        <f>IF(OR(R$475&lt;$C499,R$475&lt;$H$2),0,MIN($E499-SUM($G499:Q499),$F499))</f>
        <v>0</v>
      </c>
      <c r="S499" s="424">
        <f>IF(OR(S$475&lt;$C499,S$475&lt;$H$2),0,MIN($E499-SUM($G499:R499),$F499))</f>
        <v>0</v>
      </c>
      <c r="T499" s="424">
        <f>IF(OR(T$475&lt;$C499,T$475&lt;$H$2),0,MIN($E499-SUM($G499:S499),$F499))</f>
        <v>0</v>
      </c>
      <c r="U499" s="424">
        <f>IF(OR(U$475&lt;$C499,U$475&lt;$H$2),0,MIN($E499-SUM($G499:T499),$F499))</f>
        <v>0</v>
      </c>
      <c r="V499" s="424">
        <f>IF(OR(V$475&lt;$C499,V$475&lt;$H$2),0,MIN($E499-SUM($G499:U499),$F499))</f>
        <v>0</v>
      </c>
      <c r="W499" s="424">
        <f>IF(OR(W$475&lt;$C499,W$475&lt;$H$2),0,MIN($E499-SUM($G499:V499),$F499))</f>
        <v>0</v>
      </c>
      <c r="X499" s="424">
        <f>IF(OR(X$475&lt;$C499,X$475&lt;$H$2),0,MIN($E499-SUM($G499:W499),$F499))</f>
        <v>0</v>
      </c>
      <c r="Y499" s="424">
        <f>IF(OR(Y$475&lt;$C499,Y$475&lt;$H$2),0,MIN($E499-SUM($G499:X499),$F499))</f>
        <v>0</v>
      </c>
      <c r="Z499" s="424">
        <f>IF(OR(Z$475&lt;$C499,Z$475&lt;$H$2),0,MIN($E499-SUM($G499:Y499),$F499))</f>
        <v>0</v>
      </c>
      <c r="AA499" s="424">
        <f>IF(OR(AA$475&lt;$C499,AA$475&lt;$H$2),0,MIN($E499-SUM($G499:Z499),$F499))</f>
        <v>0</v>
      </c>
      <c r="AB499" s="424">
        <f>IF(OR(AB$475&lt;$C499,AB$475&lt;$H$2),0,MIN($E499-SUM($G499:AA499),$F499))</f>
        <v>0</v>
      </c>
      <c r="AC499" s="424">
        <f>IF(OR(AC$475&lt;$C499,AC$475&lt;$H$2),0,MIN($E499-SUM($G499:AB499),$F499))</f>
        <v>0</v>
      </c>
      <c r="AD499" s="424">
        <f>IF(OR(AD$475&lt;$C499,AD$475&lt;$H$2),0,MIN($E499-SUM($G499:AC499),$F499))</f>
        <v>0</v>
      </c>
    </row>
    <row r="500" spans="3:30">
      <c r="C500" s="201">
        <v>54075</v>
      </c>
      <c r="D500" s="94" t="s">
        <v>134</v>
      </c>
      <c r="E500" s="424">
        <f t="shared" si="164"/>
        <v>0</v>
      </c>
      <c r="F500" s="209">
        <f t="shared" si="165"/>
        <v>0</v>
      </c>
      <c r="H500" s="424">
        <f>IF(OR(H$475&lt;$C500,H$475&lt;$H$2),0,MIN($E500-SUM($G500:G500),$F500))</f>
        <v>0</v>
      </c>
      <c r="I500" s="424">
        <f>IF(OR(I$475&lt;$C500,I$475&lt;$H$2),0,MIN($E500-SUM($G500:H500),$F500))</f>
        <v>0</v>
      </c>
      <c r="J500" s="424">
        <f>IF(OR(J$475&lt;$C500,J$475&lt;$H$2),0,MIN($E500-SUM($G500:I500),$F500))</f>
        <v>0</v>
      </c>
      <c r="K500" s="424">
        <f>IF(OR(K$475&lt;$C500,K$475&lt;$H$2),0,MIN($E500-SUM($G500:J500),$F500))</f>
        <v>0</v>
      </c>
      <c r="L500" s="424">
        <f>IF(OR(L$475&lt;$C500,L$475&lt;$H$2),0,MIN($E500-SUM($G500:K500),$F500))</f>
        <v>0</v>
      </c>
      <c r="M500" s="424">
        <f>IF(OR(M$475&lt;$C500,M$475&lt;$H$2),0,MIN($E500-SUM($G500:L500),$F500))</f>
        <v>0</v>
      </c>
      <c r="N500" s="424">
        <f>IF(OR(N$475&lt;$C500,N$475&lt;$H$2),0,MIN($E500-SUM($G500:M500),$F500))</f>
        <v>0</v>
      </c>
      <c r="O500" s="424">
        <f>IF(OR(O$475&lt;$C500,O$475&lt;$H$2),0,MIN($E500-SUM($G500:N500),$F500))</f>
        <v>0</v>
      </c>
      <c r="P500" s="424">
        <f>IF(OR(P$475&lt;$C500,P$475&lt;$H$2),0,MIN($E500-SUM($G500:O500),$F500))</f>
        <v>0</v>
      </c>
      <c r="Q500" s="424">
        <f>IF(OR(Q$475&lt;$C500,Q$475&lt;$H$2),0,MIN($E500-SUM($G500:P500),$F500))</f>
        <v>0</v>
      </c>
      <c r="R500" s="424">
        <f>IF(OR(R$475&lt;$C500,R$475&lt;$H$2),0,MIN($E500-SUM($G500:Q500),$F500))</f>
        <v>0</v>
      </c>
      <c r="S500" s="424">
        <f>IF(OR(S$475&lt;$C500,S$475&lt;$H$2),0,MIN($E500-SUM($G500:R500),$F500))</f>
        <v>0</v>
      </c>
      <c r="T500" s="424">
        <f>IF(OR(T$475&lt;$C500,T$475&lt;$H$2),0,MIN($E500-SUM($G500:S500),$F500))</f>
        <v>0</v>
      </c>
      <c r="U500" s="424">
        <f>IF(OR(U$475&lt;$C500,U$475&lt;$H$2),0,MIN($E500-SUM($G500:T500),$F500))</f>
        <v>0</v>
      </c>
      <c r="V500" s="424">
        <f>IF(OR(V$475&lt;$C500,V$475&lt;$H$2),0,MIN($E500-SUM($G500:U500),$F500))</f>
        <v>0</v>
      </c>
      <c r="W500" s="424">
        <f>IF(OR(W$475&lt;$C500,W$475&lt;$H$2),0,MIN($E500-SUM($G500:V500),$F500))</f>
        <v>0</v>
      </c>
      <c r="X500" s="424">
        <f>IF(OR(X$475&lt;$C500,X$475&lt;$H$2),0,MIN($E500-SUM($G500:W500),$F500))</f>
        <v>0</v>
      </c>
      <c r="Y500" s="424">
        <f>IF(OR(Y$475&lt;$C500,Y$475&lt;$H$2),0,MIN($E500-SUM($G500:X500),$F500))</f>
        <v>0</v>
      </c>
      <c r="Z500" s="424">
        <f>IF(OR(Z$475&lt;$C500,Z$475&lt;$H$2),0,MIN($E500-SUM($G500:Y500),$F500))</f>
        <v>0</v>
      </c>
      <c r="AA500" s="424">
        <f>IF(OR(AA$475&lt;$C500,AA$475&lt;$H$2),0,MIN($E500-SUM($G500:Z500),$F500))</f>
        <v>0</v>
      </c>
      <c r="AB500" s="424">
        <f>IF(OR(AB$475&lt;$C500,AB$475&lt;$H$2),0,MIN($E500-SUM($G500:AA500),$F500))</f>
        <v>0</v>
      </c>
      <c r="AC500" s="424">
        <f>IF(OR(AC$475&lt;$C500,AC$475&lt;$H$2),0,MIN($E500-SUM($G500:AB500),$F500))</f>
        <v>0</v>
      </c>
      <c r="AD500" s="424">
        <f>IF(OR(AD$475&lt;$C500,AD$475&lt;$H$2),0,MIN($E500-SUM($G500:AC500),$F500))</f>
        <v>0</v>
      </c>
    </row>
    <row r="501" spans="3:30" ht="14" thickBot="1">
      <c r="C501" s="240" t="s">
        <v>543</v>
      </c>
      <c r="D501" s="348" t="s">
        <v>134</v>
      </c>
      <c r="E501" s="427">
        <f>SUM(E478:E500)</f>
        <v>10</v>
      </c>
      <c r="F501" s="427">
        <f>SUM(F478:F500)</f>
        <v>3.3329999999999997</v>
      </c>
      <c r="G501" s="348"/>
      <c r="H501" s="427">
        <f t="shared" ref="H501:AD501" si="166">SUM(H478:H500)</f>
        <v>0</v>
      </c>
      <c r="I501" s="427">
        <f t="shared" si="166"/>
        <v>0.99990000000000001</v>
      </c>
      <c r="J501" s="427">
        <f t="shared" si="166"/>
        <v>2.6663999999999999</v>
      </c>
      <c r="K501" s="427">
        <f t="shared" si="166"/>
        <v>3.3329999999999997</v>
      </c>
      <c r="L501" s="427">
        <f t="shared" si="166"/>
        <v>2.3334000000000001</v>
      </c>
      <c r="M501" s="427">
        <f t="shared" si="166"/>
        <v>0.66710000000000058</v>
      </c>
      <c r="N501" s="427">
        <f t="shared" si="166"/>
        <v>1.9999999999997797E-4</v>
      </c>
      <c r="O501" s="427">
        <f t="shared" si="166"/>
        <v>0</v>
      </c>
      <c r="P501" s="427">
        <f t="shared" si="166"/>
        <v>0</v>
      </c>
      <c r="Q501" s="427">
        <f t="shared" si="166"/>
        <v>0</v>
      </c>
      <c r="R501" s="427">
        <f t="shared" si="166"/>
        <v>0</v>
      </c>
      <c r="S501" s="427">
        <f t="shared" si="166"/>
        <v>0</v>
      </c>
      <c r="T501" s="427">
        <f t="shared" si="166"/>
        <v>0</v>
      </c>
      <c r="U501" s="427">
        <f t="shared" si="166"/>
        <v>0</v>
      </c>
      <c r="V501" s="427">
        <f t="shared" si="166"/>
        <v>0</v>
      </c>
      <c r="W501" s="427">
        <f t="shared" si="166"/>
        <v>0</v>
      </c>
      <c r="X501" s="427">
        <f t="shared" si="166"/>
        <v>0</v>
      </c>
      <c r="Y501" s="427">
        <f t="shared" si="166"/>
        <v>0</v>
      </c>
      <c r="Z501" s="427">
        <f t="shared" si="166"/>
        <v>0</v>
      </c>
      <c r="AA501" s="427">
        <f t="shared" si="166"/>
        <v>0</v>
      </c>
      <c r="AB501" s="427">
        <f t="shared" si="166"/>
        <v>0</v>
      </c>
      <c r="AC501" s="427">
        <f t="shared" si="166"/>
        <v>0</v>
      </c>
      <c r="AD501" s="427">
        <f t="shared" si="166"/>
        <v>0</v>
      </c>
    </row>
    <row r="502" spans="3:30" ht="14" thickTop="1"/>
    <row r="503" spans="3:30" ht="28">
      <c r="C503" s="428" t="s">
        <v>166</v>
      </c>
      <c r="D503" s="428" t="s">
        <v>88</v>
      </c>
      <c r="E503" s="428" t="s">
        <v>555</v>
      </c>
      <c r="F503" s="429" t="s">
        <v>556</v>
      </c>
      <c r="G503" s="430"/>
      <c r="H503" s="201">
        <f t="shared" ref="H503:AD503" si="167">H475</f>
        <v>46023</v>
      </c>
      <c r="I503" s="201">
        <f t="shared" si="167"/>
        <v>46389</v>
      </c>
      <c r="J503" s="201">
        <f t="shared" si="167"/>
        <v>46755</v>
      </c>
      <c r="K503" s="201">
        <f t="shared" si="167"/>
        <v>47121</v>
      </c>
      <c r="L503" s="201">
        <f t="shared" si="167"/>
        <v>47487</v>
      </c>
      <c r="M503" s="201">
        <f t="shared" si="167"/>
        <v>47853</v>
      </c>
      <c r="N503" s="201">
        <f t="shared" si="167"/>
        <v>48219</v>
      </c>
      <c r="O503" s="201">
        <f t="shared" si="167"/>
        <v>48585</v>
      </c>
      <c r="P503" s="201">
        <f t="shared" si="167"/>
        <v>48951</v>
      </c>
      <c r="Q503" s="201">
        <f t="shared" si="167"/>
        <v>49317</v>
      </c>
      <c r="R503" s="201">
        <f t="shared" si="167"/>
        <v>49683</v>
      </c>
      <c r="S503" s="201">
        <f t="shared" si="167"/>
        <v>50049</v>
      </c>
      <c r="T503" s="201">
        <f t="shared" si="167"/>
        <v>50415</v>
      </c>
      <c r="U503" s="201">
        <f t="shared" si="167"/>
        <v>50781</v>
      </c>
      <c r="V503" s="201">
        <f t="shared" si="167"/>
        <v>51147</v>
      </c>
      <c r="W503" s="201">
        <f t="shared" si="167"/>
        <v>51513</v>
      </c>
      <c r="X503" s="201">
        <f t="shared" si="167"/>
        <v>51879</v>
      </c>
      <c r="Y503" s="201">
        <f t="shared" si="167"/>
        <v>52245</v>
      </c>
      <c r="Z503" s="201">
        <f t="shared" si="167"/>
        <v>52611</v>
      </c>
      <c r="AA503" s="201">
        <f t="shared" si="167"/>
        <v>52977</v>
      </c>
      <c r="AB503" s="201">
        <f t="shared" si="167"/>
        <v>53343</v>
      </c>
      <c r="AC503" s="201">
        <f t="shared" si="167"/>
        <v>53709</v>
      </c>
      <c r="AD503" s="201">
        <f t="shared" si="167"/>
        <v>54075</v>
      </c>
    </row>
    <row r="504" spans="3:30">
      <c r="C504" s="430"/>
      <c r="D504" s="430"/>
      <c r="E504" s="428" t="s">
        <v>134</v>
      </c>
      <c r="F504" s="428" t="s">
        <v>134</v>
      </c>
      <c r="G504" s="430"/>
      <c r="H504" s="1141">
        <f t="shared" ref="H504:AD504" si="168">H476</f>
        <v>-4</v>
      </c>
      <c r="I504" s="1141">
        <f t="shared" si="168"/>
        <v>-3</v>
      </c>
      <c r="J504" s="1141">
        <f t="shared" si="168"/>
        <v>-2</v>
      </c>
      <c r="K504" s="1141">
        <f t="shared" si="168"/>
        <v>-1</v>
      </c>
      <c r="L504" s="1141">
        <f t="shared" si="168"/>
        <v>1</v>
      </c>
      <c r="M504" s="1141">
        <f t="shared" si="168"/>
        <v>2</v>
      </c>
      <c r="N504" s="1141">
        <f t="shared" si="168"/>
        <v>3</v>
      </c>
      <c r="O504" s="1141">
        <f t="shared" si="168"/>
        <v>4</v>
      </c>
      <c r="P504" s="1141">
        <f t="shared" si="168"/>
        <v>5</v>
      </c>
      <c r="Q504" s="1141">
        <f t="shared" si="168"/>
        <v>6</v>
      </c>
      <c r="R504" s="1141">
        <f t="shared" si="168"/>
        <v>7</v>
      </c>
      <c r="S504" s="1141">
        <f t="shared" si="168"/>
        <v>8</v>
      </c>
      <c r="T504" s="1141">
        <f t="shared" si="168"/>
        <v>9</v>
      </c>
      <c r="U504" s="1141">
        <f t="shared" si="168"/>
        <v>10</v>
      </c>
      <c r="V504" s="1141">
        <f t="shared" si="168"/>
        <v>11</v>
      </c>
      <c r="W504" s="1141">
        <f t="shared" si="168"/>
        <v>12</v>
      </c>
      <c r="X504" s="1141">
        <f t="shared" si="168"/>
        <v>13</v>
      </c>
      <c r="Y504" s="1141">
        <f t="shared" si="168"/>
        <v>14</v>
      </c>
      <c r="Z504" s="1141">
        <f t="shared" si="168"/>
        <v>15</v>
      </c>
      <c r="AA504" s="1141">
        <f t="shared" si="168"/>
        <v>16</v>
      </c>
      <c r="AB504" s="1141">
        <f t="shared" si="168"/>
        <v>17</v>
      </c>
      <c r="AC504" s="1141">
        <f t="shared" si="168"/>
        <v>18</v>
      </c>
      <c r="AD504" s="1141">
        <f t="shared" si="168"/>
        <v>19</v>
      </c>
    </row>
    <row r="505" spans="3:30">
      <c r="C505" s="191" t="str">
        <f>C107</f>
        <v>Contingency</v>
      </c>
    </row>
    <row r="506" spans="3:30">
      <c r="C506" s="201" cm="1">
        <f t="array" ref="C506:C528">TRANSPOSE(H503:AD503)</f>
        <v>46023</v>
      </c>
      <c r="D506" s="94" t="s">
        <v>134</v>
      </c>
      <c r="E506" s="424">
        <f t="shared" ref="E506:E528" ca="1" si="169">HLOOKUP($C506,$H$39:$AI$112,71,FALSE)</f>
        <v>17.116538999999996</v>
      </c>
      <c r="F506" s="209">
        <f ca="1">E506*$F$107</f>
        <v>0.74419734782608671</v>
      </c>
      <c r="H506" s="424">
        <f ca="1">IF(OR(H$503&lt;$C506,H$503&lt;$H$2),0,MIN($E506-SUM($G506:G506),$F506))</f>
        <v>0.74419734782608671</v>
      </c>
      <c r="I506" s="424">
        <f ca="1">IF(OR(I$503&lt;$C506,I$503&lt;$H$2),0,MIN($E506-SUM($G506:H506),$F506))</f>
        <v>0.74419734782608671</v>
      </c>
      <c r="J506" s="424">
        <f ca="1">IF(OR(J$503&lt;$C506,J$503&lt;$H$2),0,MIN($E506-SUM($G506:I506),$F506))</f>
        <v>0.74419734782608671</v>
      </c>
      <c r="K506" s="424">
        <f ca="1">IF(OR(K$503&lt;$C506,K$503&lt;$H$2),0,MIN($E506-SUM($G506:J506),$F506))</f>
        <v>0.74419734782608671</v>
      </c>
      <c r="L506" s="424">
        <f ca="1">IF(OR(L$503&lt;$C506,L$503&lt;$H$2),0,MIN($E506-SUM($G506:K506),$F506))</f>
        <v>0.74419734782608671</v>
      </c>
      <c r="M506" s="424">
        <f ca="1">IF(OR(M$503&lt;$C506,M$503&lt;$H$2),0,MIN($E506-SUM($G506:L506),$F506))</f>
        <v>0.74419734782608671</v>
      </c>
      <c r="N506" s="424">
        <f ca="1">IF(OR(N$503&lt;$C506,N$503&lt;$H$2),0,MIN($E506-SUM($G506:M506),$F506))</f>
        <v>0.74419734782608671</v>
      </c>
      <c r="O506" s="424">
        <f ca="1">IF(OR(O$503&lt;$C506,O$503&lt;$H$2),0,MIN($E506-SUM($G506:N506),$F506))</f>
        <v>0.74419734782608671</v>
      </c>
      <c r="P506" s="424">
        <f ca="1">IF(OR(P$503&lt;$C506,P$503&lt;$H$2),0,MIN($E506-SUM($G506:O506),$F506))</f>
        <v>0.74419734782608671</v>
      </c>
      <c r="Q506" s="424">
        <f ca="1">IF(OR(Q$503&lt;$C506,Q$503&lt;$H$2),0,MIN($E506-SUM($G506:P506),$F506))</f>
        <v>0.74419734782608671</v>
      </c>
      <c r="R506" s="424">
        <f ca="1">IF(OR(R$503&lt;$C506,R$503&lt;$H$2),0,MIN($E506-SUM($G506:Q506),$F506))</f>
        <v>0.74419734782608671</v>
      </c>
      <c r="S506" s="424">
        <f ca="1">IF(OR(S$503&lt;$C506,S$503&lt;$H$2),0,MIN($E506-SUM($G506:R506),$F506))</f>
        <v>0.74419734782608671</v>
      </c>
      <c r="T506" s="424">
        <f ca="1">IF(OR(T$503&lt;$C506,T$503&lt;$H$2),0,MIN($E506-SUM($G506:S506),$F506))</f>
        <v>0.74419734782608671</v>
      </c>
      <c r="U506" s="424">
        <f ca="1">IF(OR(U$503&lt;$C506,U$503&lt;$H$2),0,MIN($E506-SUM($G506:T506),$F506))</f>
        <v>0.74419734782608671</v>
      </c>
      <c r="V506" s="424">
        <f ca="1">IF(OR(V$503&lt;$C506,V$503&lt;$H$2),0,MIN($E506-SUM($G506:U506),$F506))</f>
        <v>0.74419734782608671</v>
      </c>
      <c r="W506" s="424">
        <f ca="1">IF(OR(W$503&lt;$C506,W$503&lt;$H$2),0,MIN($E506-SUM($G506:V506),$F506))</f>
        <v>0.74419734782608671</v>
      </c>
      <c r="X506" s="424">
        <f ca="1">IF(OR(X$503&lt;$C506,X$503&lt;$H$2),0,MIN($E506-SUM($G506:W506),$F506))</f>
        <v>0.74419734782608671</v>
      </c>
      <c r="Y506" s="424">
        <f ca="1">IF(OR(Y$503&lt;$C506,Y$503&lt;$H$2),0,MIN($E506-SUM($G506:X506),$F506))</f>
        <v>0.74419734782608671</v>
      </c>
      <c r="Z506" s="424">
        <f ca="1">IF(OR(Z$503&lt;$C506,Z$503&lt;$H$2),0,MIN($E506-SUM($G506:Y506),$F506))</f>
        <v>0.74419734782608671</v>
      </c>
      <c r="AA506" s="424">
        <f ca="1">IF(OR(AA$503&lt;$C506,AA$503&lt;$H$2),0,MIN($E506-SUM($G506:Z506),$F506))</f>
        <v>0.74419734782608671</v>
      </c>
      <c r="AB506" s="424">
        <f ca="1">IF(OR(AB$503&lt;$C506,AB$503&lt;$H$2),0,MIN($E506-SUM($G506:AA506),$F506))</f>
        <v>0.74419734782608671</v>
      </c>
      <c r="AC506" s="424">
        <f ca="1">IF(OR(AC$503&lt;$C506,AC$503&lt;$H$2),0,MIN($E506-SUM($G506:AB506),$F506))</f>
        <v>0.74419734782608671</v>
      </c>
      <c r="AD506" s="424">
        <f ca="1">IF(OR(AD$503&lt;$C506,AD$503&lt;$H$2),0,MIN($E506-SUM($G506:AC506),$F506))</f>
        <v>0.74419734782608671</v>
      </c>
    </row>
    <row r="507" spans="3:30">
      <c r="C507" s="201">
        <v>46389</v>
      </c>
      <c r="D507" s="94" t="s">
        <v>134</v>
      </c>
      <c r="E507" s="424">
        <f t="shared" ca="1" si="169"/>
        <v>44.800128191309994</v>
      </c>
      <c r="F507" s="209">
        <f t="shared" ref="F507:F528" ca="1" si="170">E507*$F$107</f>
        <v>1.9478316604917387</v>
      </c>
      <c r="H507" s="424">
        <f>IF(OR(H$503&lt;$C507,H$503&lt;$H$2),0,MIN($E507-SUM($G507:G507),$F507))</f>
        <v>0</v>
      </c>
      <c r="I507" s="424">
        <f ca="1">IF(OR(I$503&lt;$C507,I$503&lt;$H$2),0,MIN($E507-SUM($G507:H507),$F507))</f>
        <v>1.9478316604917387</v>
      </c>
      <c r="J507" s="424">
        <f ca="1">IF(OR(J$503&lt;$C507,J$503&lt;$H$2),0,MIN($E507-SUM($G507:I507),$F507))</f>
        <v>1.9478316604917387</v>
      </c>
      <c r="K507" s="424">
        <f ca="1">IF(OR(K$503&lt;$C507,K$503&lt;$H$2),0,MIN($E507-SUM($G507:J507),$F507))</f>
        <v>1.9478316604917387</v>
      </c>
      <c r="L507" s="424">
        <f ca="1">IF(OR(L$503&lt;$C507,L$503&lt;$H$2),0,MIN($E507-SUM($G507:K507),$F507))</f>
        <v>1.9478316604917387</v>
      </c>
      <c r="M507" s="424">
        <f ca="1">IF(OR(M$503&lt;$C507,M$503&lt;$H$2),0,MIN($E507-SUM($G507:L507),$F507))</f>
        <v>1.9478316604917387</v>
      </c>
      <c r="N507" s="424">
        <f ca="1">IF(OR(N$503&lt;$C507,N$503&lt;$H$2),0,MIN($E507-SUM($G507:M507),$F507))</f>
        <v>1.9478316604917387</v>
      </c>
      <c r="O507" s="424">
        <f ca="1">IF(OR(O$503&lt;$C507,O$503&lt;$H$2),0,MIN($E507-SUM($G507:N507),$F507))</f>
        <v>1.9478316604917387</v>
      </c>
      <c r="P507" s="424">
        <f ca="1">IF(OR(P$503&lt;$C507,P$503&lt;$H$2),0,MIN($E507-SUM($G507:O507),$F507))</f>
        <v>1.9478316604917387</v>
      </c>
      <c r="Q507" s="424">
        <f ca="1">IF(OR(Q$503&lt;$C507,Q$503&lt;$H$2),0,MIN($E507-SUM($G507:P507),$F507))</f>
        <v>1.9478316604917387</v>
      </c>
      <c r="R507" s="424">
        <f ca="1">IF(OR(R$503&lt;$C507,R$503&lt;$H$2),0,MIN($E507-SUM($G507:Q507),$F507))</f>
        <v>1.9478316604917387</v>
      </c>
      <c r="S507" s="424">
        <f ca="1">IF(OR(S$503&lt;$C507,S$503&lt;$H$2),0,MIN($E507-SUM($G507:R507),$F507))</f>
        <v>1.9478316604917387</v>
      </c>
      <c r="T507" s="424">
        <f ca="1">IF(OR(T$503&lt;$C507,T$503&lt;$H$2),0,MIN($E507-SUM($G507:S507),$F507))</f>
        <v>1.9478316604917387</v>
      </c>
      <c r="U507" s="424">
        <f ca="1">IF(OR(U$503&lt;$C507,U$503&lt;$H$2),0,MIN($E507-SUM($G507:T507),$F507))</f>
        <v>1.9478316604917387</v>
      </c>
      <c r="V507" s="424">
        <f ca="1">IF(OR(V$503&lt;$C507,V$503&lt;$H$2),0,MIN($E507-SUM($G507:U507),$F507))</f>
        <v>1.9478316604917387</v>
      </c>
      <c r="W507" s="424">
        <f ca="1">IF(OR(W$503&lt;$C507,W$503&lt;$H$2),0,MIN($E507-SUM($G507:V507),$F507))</f>
        <v>1.9478316604917387</v>
      </c>
      <c r="X507" s="424">
        <f ca="1">IF(OR(X$503&lt;$C507,X$503&lt;$H$2),0,MIN($E507-SUM($G507:W507),$F507))</f>
        <v>1.9478316604917387</v>
      </c>
      <c r="Y507" s="424">
        <f ca="1">IF(OR(Y$503&lt;$C507,Y$503&lt;$H$2),0,MIN($E507-SUM($G507:X507),$F507))</f>
        <v>1.9478316604917387</v>
      </c>
      <c r="Z507" s="424">
        <f ca="1">IF(OR(Z$503&lt;$C507,Z$503&lt;$H$2),0,MIN($E507-SUM($G507:Y507),$F507))</f>
        <v>1.9478316604917387</v>
      </c>
      <c r="AA507" s="424">
        <f ca="1">IF(OR(AA$503&lt;$C507,AA$503&lt;$H$2),0,MIN($E507-SUM($G507:Z507),$F507))</f>
        <v>1.9478316604917387</v>
      </c>
      <c r="AB507" s="424">
        <f ca="1">IF(OR(AB$503&lt;$C507,AB$503&lt;$H$2),0,MIN($E507-SUM($G507:AA507),$F507))</f>
        <v>1.9478316604917387</v>
      </c>
      <c r="AC507" s="424">
        <f ca="1">IF(OR(AC$503&lt;$C507,AC$503&lt;$H$2),0,MIN($E507-SUM($G507:AB507),$F507))</f>
        <v>1.9478316604917387</v>
      </c>
      <c r="AD507" s="424">
        <f ca="1">IF(OR(AD$503&lt;$C507,AD$503&lt;$H$2),0,MIN($E507-SUM($G507:AC507),$F507))</f>
        <v>1.9478316604917387</v>
      </c>
    </row>
    <row r="508" spans="3:30">
      <c r="C508" s="201">
        <v>46755</v>
      </c>
      <c r="D508" s="94" t="s">
        <v>134</v>
      </c>
      <c r="E508" s="424">
        <f t="shared" ca="1" si="169"/>
        <v>88.397465127540002</v>
      </c>
      <c r="F508" s="209">
        <f t="shared" ca="1" si="170"/>
        <v>3.8433680490234781</v>
      </c>
      <c r="H508" s="424">
        <f>IF(OR(H$503&lt;$C508,H$503&lt;$H$2),0,MIN($E508-SUM($G508:G508),$F508))</f>
        <v>0</v>
      </c>
      <c r="I508" s="424">
        <f>IF(OR(I$503&lt;$C508,I$503&lt;$H$2),0,MIN($E508-SUM($G508:H508),$F508))</f>
        <v>0</v>
      </c>
      <c r="J508" s="424">
        <f ca="1">IF(OR(J$503&lt;$C508,J$503&lt;$H$2),0,MIN($E508-SUM($G508:I508),$F508))</f>
        <v>3.8433680490234781</v>
      </c>
      <c r="K508" s="424">
        <f ca="1">IF(OR(K$503&lt;$C508,K$503&lt;$H$2),0,MIN($E508-SUM($G508:J508),$F508))</f>
        <v>3.8433680490234781</v>
      </c>
      <c r="L508" s="424">
        <f ca="1">IF(OR(L$503&lt;$C508,L$503&lt;$H$2),0,MIN($E508-SUM($G508:K508),$F508))</f>
        <v>3.8433680490234781</v>
      </c>
      <c r="M508" s="424">
        <f ca="1">IF(OR(M$503&lt;$C508,M$503&lt;$H$2),0,MIN($E508-SUM($G508:L508),$F508))</f>
        <v>3.8433680490234781</v>
      </c>
      <c r="N508" s="424">
        <f ca="1">IF(OR(N$503&lt;$C508,N$503&lt;$H$2),0,MIN($E508-SUM($G508:M508),$F508))</f>
        <v>3.8433680490234781</v>
      </c>
      <c r="O508" s="424">
        <f ca="1">IF(OR(O$503&lt;$C508,O$503&lt;$H$2),0,MIN($E508-SUM($G508:N508),$F508))</f>
        <v>3.8433680490234781</v>
      </c>
      <c r="P508" s="424">
        <f ca="1">IF(OR(P$503&lt;$C508,P$503&lt;$H$2),0,MIN($E508-SUM($G508:O508),$F508))</f>
        <v>3.8433680490234781</v>
      </c>
      <c r="Q508" s="424">
        <f ca="1">IF(OR(Q$503&lt;$C508,Q$503&lt;$H$2),0,MIN($E508-SUM($G508:P508),$F508))</f>
        <v>3.8433680490234781</v>
      </c>
      <c r="R508" s="424">
        <f ca="1">IF(OR(R$503&lt;$C508,R$503&lt;$H$2),0,MIN($E508-SUM($G508:Q508),$F508))</f>
        <v>3.8433680490234781</v>
      </c>
      <c r="S508" s="424">
        <f ca="1">IF(OR(S$503&lt;$C508,S$503&lt;$H$2),0,MIN($E508-SUM($G508:R508),$F508))</f>
        <v>3.8433680490234781</v>
      </c>
      <c r="T508" s="424">
        <f ca="1">IF(OR(T$503&lt;$C508,T$503&lt;$H$2),0,MIN($E508-SUM($G508:S508),$F508))</f>
        <v>3.8433680490234781</v>
      </c>
      <c r="U508" s="424">
        <f ca="1">IF(OR(U$503&lt;$C508,U$503&lt;$H$2),0,MIN($E508-SUM($G508:T508),$F508))</f>
        <v>3.8433680490234781</v>
      </c>
      <c r="V508" s="424">
        <f ca="1">IF(OR(V$503&lt;$C508,V$503&lt;$H$2),0,MIN($E508-SUM($G508:U508),$F508))</f>
        <v>3.8433680490234781</v>
      </c>
      <c r="W508" s="424">
        <f ca="1">IF(OR(W$503&lt;$C508,W$503&lt;$H$2),0,MIN($E508-SUM($G508:V508),$F508))</f>
        <v>3.8433680490234781</v>
      </c>
      <c r="X508" s="424">
        <f ca="1">IF(OR(X$503&lt;$C508,X$503&lt;$H$2),0,MIN($E508-SUM($G508:W508),$F508))</f>
        <v>3.8433680490234781</v>
      </c>
      <c r="Y508" s="424">
        <f ca="1">IF(OR(Y$503&lt;$C508,Y$503&lt;$H$2),0,MIN($E508-SUM($G508:X508),$F508))</f>
        <v>3.8433680490234781</v>
      </c>
      <c r="Z508" s="424">
        <f ca="1">IF(OR(Z$503&lt;$C508,Z$503&lt;$H$2),0,MIN($E508-SUM($G508:Y508),$F508))</f>
        <v>3.8433680490234781</v>
      </c>
      <c r="AA508" s="424">
        <f ca="1">IF(OR(AA$503&lt;$C508,AA$503&lt;$H$2),0,MIN($E508-SUM($G508:Z508),$F508))</f>
        <v>3.8433680490234781</v>
      </c>
      <c r="AB508" s="424">
        <f ca="1">IF(OR(AB$503&lt;$C508,AB$503&lt;$H$2),0,MIN($E508-SUM($G508:AA508),$F508))</f>
        <v>3.8433680490234781</v>
      </c>
      <c r="AC508" s="424">
        <f ca="1">IF(OR(AC$503&lt;$C508,AC$503&lt;$H$2),0,MIN($E508-SUM($G508:AB508),$F508))</f>
        <v>3.8433680490234781</v>
      </c>
      <c r="AD508" s="424">
        <f ca="1">IF(OR(AD$503&lt;$C508,AD$503&lt;$H$2),0,MIN($E508-SUM($G508:AC508),$F508))</f>
        <v>3.8433680490234781</v>
      </c>
    </row>
    <row r="509" spans="3:30">
      <c r="C509" s="201">
        <v>47121</v>
      </c>
      <c r="D509" s="94" t="s">
        <v>134</v>
      </c>
      <c r="E509" s="424">
        <f t="shared" ca="1" si="169"/>
        <v>67.485215127539988</v>
      </c>
      <c r="F509" s="209">
        <f t="shared" ca="1" si="170"/>
        <v>2.9341397881539124</v>
      </c>
      <c r="H509" s="424">
        <f>IF(OR(H$503&lt;$C509,H$503&lt;$H$2),0,MIN($E509-SUM($G509:G509),$F509))</f>
        <v>0</v>
      </c>
      <c r="I509" s="424">
        <f>IF(OR(I$503&lt;$C509,I$503&lt;$H$2),0,MIN($E509-SUM($G509:H509),$F509))</f>
        <v>0</v>
      </c>
      <c r="J509" s="424">
        <f>IF(OR(J$503&lt;$C509,J$503&lt;$H$2),0,MIN($E509-SUM($G509:I509),$F509))</f>
        <v>0</v>
      </c>
      <c r="K509" s="424">
        <f ca="1">IF(OR(K$503&lt;$C509,K$503&lt;$H$2),0,MIN($E509-SUM($G509:J509),$F509))</f>
        <v>2.9341397881539124</v>
      </c>
      <c r="L509" s="424">
        <f ca="1">IF(OR(L$503&lt;$C509,L$503&lt;$H$2),0,MIN($E509-SUM($G509:K509),$F509))</f>
        <v>2.9341397881539124</v>
      </c>
      <c r="M509" s="424">
        <f ca="1">IF(OR(M$503&lt;$C509,M$503&lt;$H$2),0,MIN($E509-SUM($G509:L509),$F509))</f>
        <v>2.9341397881539124</v>
      </c>
      <c r="N509" s="424">
        <f ca="1">IF(OR(N$503&lt;$C509,N$503&lt;$H$2),0,MIN($E509-SUM($G509:M509),$F509))</f>
        <v>2.9341397881539124</v>
      </c>
      <c r="O509" s="424">
        <f ca="1">IF(OR(O$503&lt;$C509,O$503&lt;$H$2),0,MIN($E509-SUM($G509:N509),$F509))</f>
        <v>2.9341397881539124</v>
      </c>
      <c r="P509" s="424">
        <f ca="1">IF(OR(P$503&lt;$C509,P$503&lt;$H$2),0,MIN($E509-SUM($G509:O509),$F509))</f>
        <v>2.9341397881539124</v>
      </c>
      <c r="Q509" s="424">
        <f ca="1">IF(OR(Q$503&lt;$C509,Q$503&lt;$H$2),0,MIN($E509-SUM($G509:P509),$F509))</f>
        <v>2.9341397881539124</v>
      </c>
      <c r="R509" s="424">
        <f ca="1">IF(OR(R$503&lt;$C509,R$503&lt;$H$2),0,MIN($E509-SUM($G509:Q509),$F509))</f>
        <v>2.9341397881539124</v>
      </c>
      <c r="S509" s="424">
        <f ca="1">IF(OR(S$503&lt;$C509,S$503&lt;$H$2),0,MIN($E509-SUM($G509:R509),$F509))</f>
        <v>2.9341397881539124</v>
      </c>
      <c r="T509" s="424">
        <f ca="1">IF(OR(T$503&lt;$C509,T$503&lt;$H$2),0,MIN($E509-SUM($G509:S509),$F509))</f>
        <v>2.9341397881539124</v>
      </c>
      <c r="U509" s="424">
        <f ca="1">IF(OR(U$503&lt;$C509,U$503&lt;$H$2),0,MIN($E509-SUM($G509:T509),$F509))</f>
        <v>2.9341397881539124</v>
      </c>
      <c r="V509" s="424">
        <f ca="1">IF(OR(V$503&lt;$C509,V$503&lt;$H$2),0,MIN($E509-SUM($G509:U509),$F509))</f>
        <v>2.9341397881539124</v>
      </c>
      <c r="W509" s="424">
        <f ca="1">IF(OR(W$503&lt;$C509,W$503&lt;$H$2),0,MIN($E509-SUM($G509:V509),$F509))</f>
        <v>2.9341397881539124</v>
      </c>
      <c r="X509" s="424">
        <f ca="1">IF(OR(X$503&lt;$C509,X$503&lt;$H$2),0,MIN($E509-SUM($G509:W509),$F509))</f>
        <v>2.9341397881539124</v>
      </c>
      <c r="Y509" s="424">
        <f ca="1">IF(OR(Y$503&lt;$C509,Y$503&lt;$H$2),0,MIN($E509-SUM($G509:X509),$F509))</f>
        <v>2.9341397881539124</v>
      </c>
      <c r="Z509" s="424">
        <f ca="1">IF(OR(Z$503&lt;$C509,Z$503&lt;$H$2),0,MIN($E509-SUM($G509:Y509),$F509))</f>
        <v>2.9341397881539124</v>
      </c>
      <c r="AA509" s="424">
        <f ca="1">IF(OR(AA$503&lt;$C509,AA$503&lt;$H$2),0,MIN($E509-SUM($G509:Z509),$F509))</f>
        <v>2.9341397881539124</v>
      </c>
      <c r="AB509" s="424">
        <f ca="1">IF(OR(AB$503&lt;$C509,AB$503&lt;$H$2),0,MIN($E509-SUM($G509:AA509),$F509))</f>
        <v>2.9341397881539124</v>
      </c>
      <c r="AC509" s="424">
        <f ca="1">IF(OR(AC$503&lt;$C509,AC$503&lt;$H$2),0,MIN($E509-SUM($G509:AB509),$F509))</f>
        <v>2.9341397881539124</v>
      </c>
      <c r="AD509" s="424">
        <f ca="1">IF(OR(AD$503&lt;$C509,AD$503&lt;$H$2),0,MIN($E509-SUM($G509:AC509),$F509))</f>
        <v>2.9341397881539124</v>
      </c>
    </row>
    <row r="510" spans="3:30">
      <c r="C510" s="201">
        <v>47487</v>
      </c>
      <c r="D510" s="94" t="s">
        <v>134</v>
      </c>
      <c r="E510" s="424">
        <f t="shared" si="169"/>
        <v>60.326308066771446</v>
      </c>
      <c r="F510" s="209">
        <f t="shared" si="170"/>
        <v>2.6228829594248455</v>
      </c>
      <c r="H510" s="424">
        <f>IF(OR(H$503&lt;$C510,H$503&lt;$H$2),0,MIN($E510-SUM($G510:G510),$F510))</f>
        <v>0</v>
      </c>
      <c r="I510" s="424">
        <f>IF(OR(I$503&lt;$C510,I$503&lt;$H$2),0,MIN($E510-SUM($G510:H510),$F510))</f>
        <v>0</v>
      </c>
      <c r="J510" s="424">
        <f>IF(OR(J$503&lt;$C510,J$503&lt;$H$2),0,MIN($E510-SUM($G510:I510),$F510))</f>
        <v>0</v>
      </c>
      <c r="K510" s="424">
        <f>IF(OR(K$503&lt;$C510,K$503&lt;$H$2),0,MIN($E510-SUM($G510:J510),$F510))</f>
        <v>0</v>
      </c>
      <c r="L510" s="424">
        <f>IF(OR(L$503&lt;$C510,L$503&lt;$H$2),0,MIN($E510-SUM($G510:K510),$F510))</f>
        <v>2.6228829594248455</v>
      </c>
      <c r="M510" s="424">
        <f>IF(OR(M$503&lt;$C510,M$503&lt;$H$2),0,MIN($E510-SUM($G510:L510),$F510))</f>
        <v>2.6228829594248455</v>
      </c>
      <c r="N510" s="424">
        <f>IF(OR(N$503&lt;$C510,N$503&lt;$H$2),0,MIN($E510-SUM($G510:M510),$F510))</f>
        <v>2.6228829594248455</v>
      </c>
      <c r="O510" s="424">
        <f>IF(OR(O$503&lt;$C510,O$503&lt;$H$2),0,MIN($E510-SUM($G510:N510),$F510))</f>
        <v>2.6228829594248455</v>
      </c>
      <c r="P510" s="424">
        <f>IF(OR(P$503&lt;$C510,P$503&lt;$H$2),0,MIN($E510-SUM($G510:O510),$F510))</f>
        <v>2.6228829594248455</v>
      </c>
      <c r="Q510" s="424">
        <f>IF(OR(Q$503&lt;$C510,Q$503&lt;$H$2),0,MIN($E510-SUM($G510:P510),$F510))</f>
        <v>2.6228829594248455</v>
      </c>
      <c r="R510" s="424">
        <f>IF(OR(R$503&lt;$C510,R$503&lt;$H$2),0,MIN($E510-SUM($G510:Q510),$F510))</f>
        <v>2.6228829594248455</v>
      </c>
      <c r="S510" s="424">
        <f>IF(OR(S$503&lt;$C510,S$503&lt;$H$2),0,MIN($E510-SUM($G510:R510),$F510))</f>
        <v>2.6228829594248455</v>
      </c>
      <c r="T510" s="424">
        <f>IF(OR(T$503&lt;$C510,T$503&lt;$H$2),0,MIN($E510-SUM($G510:S510),$F510))</f>
        <v>2.6228829594248455</v>
      </c>
      <c r="U510" s="424">
        <f>IF(OR(U$503&lt;$C510,U$503&lt;$H$2),0,MIN($E510-SUM($G510:T510),$F510))</f>
        <v>2.6228829594248455</v>
      </c>
      <c r="V510" s="424">
        <f>IF(OR(V$503&lt;$C510,V$503&lt;$H$2),0,MIN($E510-SUM($G510:U510),$F510))</f>
        <v>2.6228829594248455</v>
      </c>
      <c r="W510" s="424">
        <f>IF(OR(W$503&lt;$C510,W$503&lt;$H$2),0,MIN($E510-SUM($G510:V510),$F510))</f>
        <v>2.6228829594248455</v>
      </c>
      <c r="X510" s="424">
        <f>IF(OR(X$503&lt;$C510,X$503&lt;$H$2),0,MIN($E510-SUM($G510:W510),$F510))</f>
        <v>2.6228829594248455</v>
      </c>
      <c r="Y510" s="424">
        <f>IF(OR(Y$503&lt;$C510,Y$503&lt;$H$2),0,MIN($E510-SUM($G510:X510),$F510))</f>
        <v>2.6228829594248455</v>
      </c>
      <c r="Z510" s="424">
        <f>IF(OR(Z$503&lt;$C510,Z$503&lt;$H$2),0,MIN($E510-SUM($G510:Y510),$F510))</f>
        <v>2.6228829594248455</v>
      </c>
      <c r="AA510" s="424">
        <f>IF(OR(AA$503&lt;$C510,AA$503&lt;$H$2),0,MIN($E510-SUM($G510:Z510),$F510))</f>
        <v>2.6228829594248455</v>
      </c>
      <c r="AB510" s="424">
        <f>IF(OR(AB$503&lt;$C510,AB$503&lt;$H$2),0,MIN($E510-SUM($G510:AA510),$F510))</f>
        <v>2.6228829594248455</v>
      </c>
      <c r="AC510" s="424">
        <f>IF(OR(AC$503&lt;$C510,AC$503&lt;$H$2),0,MIN($E510-SUM($G510:AB510),$F510))</f>
        <v>2.6228829594248455</v>
      </c>
      <c r="AD510" s="424">
        <f>IF(OR(AD$503&lt;$C510,AD$503&lt;$H$2),0,MIN($E510-SUM($G510:AC510),$F510))</f>
        <v>2.6228829594248455</v>
      </c>
    </row>
    <row r="511" spans="3:30">
      <c r="C511" s="201">
        <v>47853</v>
      </c>
      <c r="D511" s="94" t="s">
        <v>134</v>
      </c>
      <c r="E511" s="424">
        <f t="shared" si="169"/>
        <v>24.236479198829468</v>
      </c>
      <c r="F511" s="209">
        <f t="shared" si="170"/>
        <v>1.0537599651664986</v>
      </c>
      <c r="H511" s="424">
        <f>IF(OR(H$503&lt;$C511,H$503&lt;$H$2),0,MIN($E511-SUM($G511:G511),$F511))</f>
        <v>0</v>
      </c>
      <c r="I511" s="424">
        <f>IF(OR(I$503&lt;$C511,I$503&lt;$H$2),0,MIN($E511-SUM($G511:H511),$F511))</f>
        <v>0</v>
      </c>
      <c r="J511" s="424">
        <f>IF(OR(J$503&lt;$C511,J$503&lt;$H$2),0,MIN($E511-SUM($G511:I511),$F511))</f>
        <v>0</v>
      </c>
      <c r="K511" s="424">
        <f>IF(OR(K$503&lt;$C511,K$503&lt;$H$2),0,MIN($E511-SUM($G511:J511),$F511))</f>
        <v>0</v>
      </c>
      <c r="L511" s="424">
        <f>IF(OR(L$503&lt;$C511,L$503&lt;$H$2),0,MIN($E511-SUM($G511:K511),$F511))</f>
        <v>0</v>
      </c>
      <c r="M511" s="424">
        <f>IF(OR(M$503&lt;$C511,M$503&lt;$H$2),0,MIN($E511-SUM($G511:L511),$F511))</f>
        <v>1.0537599651664986</v>
      </c>
      <c r="N511" s="424">
        <f>IF(OR(N$503&lt;$C511,N$503&lt;$H$2),0,MIN($E511-SUM($G511:M511),$F511))</f>
        <v>1.0537599651664986</v>
      </c>
      <c r="O511" s="424">
        <f>IF(OR(O$503&lt;$C511,O$503&lt;$H$2),0,MIN($E511-SUM($G511:N511),$F511))</f>
        <v>1.0537599651664986</v>
      </c>
      <c r="P511" s="424">
        <f>IF(OR(P$503&lt;$C511,P$503&lt;$H$2),0,MIN($E511-SUM($G511:O511),$F511))</f>
        <v>1.0537599651664986</v>
      </c>
      <c r="Q511" s="424">
        <f>IF(OR(Q$503&lt;$C511,Q$503&lt;$H$2),0,MIN($E511-SUM($G511:P511),$F511))</f>
        <v>1.0537599651664986</v>
      </c>
      <c r="R511" s="424">
        <f>IF(OR(R$503&lt;$C511,R$503&lt;$H$2),0,MIN($E511-SUM($G511:Q511),$F511))</f>
        <v>1.0537599651664986</v>
      </c>
      <c r="S511" s="424">
        <f>IF(OR(S$503&lt;$C511,S$503&lt;$H$2),0,MIN($E511-SUM($G511:R511),$F511))</f>
        <v>1.0537599651664986</v>
      </c>
      <c r="T511" s="424">
        <f>IF(OR(T$503&lt;$C511,T$503&lt;$H$2),0,MIN($E511-SUM($G511:S511),$F511))</f>
        <v>1.0537599651664986</v>
      </c>
      <c r="U511" s="424">
        <f>IF(OR(U$503&lt;$C511,U$503&lt;$H$2),0,MIN($E511-SUM($G511:T511),$F511))</f>
        <v>1.0537599651664986</v>
      </c>
      <c r="V511" s="424">
        <f>IF(OR(V$503&lt;$C511,V$503&lt;$H$2),0,MIN($E511-SUM($G511:U511),$F511))</f>
        <v>1.0537599651664986</v>
      </c>
      <c r="W511" s="424">
        <f>IF(OR(W$503&lt;$C511,W$503&lt;$H$2),0,MIN($E511-SUM($G511:V511),$F511))</f>
        <v>1.0537599651664986</v>
      </c>
      <c r="X511" s="424">
        <f>IF(OR(X$503&lt;$C511,X$503&lt;$H$2),0,MIN($E511-SUM($G511:W511),$F511))</f>
        <v>1.0537599651664986</v>
      </c>
      <c r="Y511" s="424">
        <f>IF(OR(Y$503&lt;$C511,Y$503&lt;$H$2),0,MIN($E511-SUM($G511:X511),$F511))</f>
        <v>1.0537599651664986</v>
      </c>
      <c r="Z511" s="424">
        <f>IF(OR(Z$503&lt;$C511,Z$503&lt;$H$2),0,MIN($E511-SUM($G511:Y511),$F511))</f>
        <v>1.0537599651664986</v>
      </c>
      <c r="AA511" s="424">
        <f>IF(OR(AA$503&lt;$C511,AA$503&lt;$H$2),0,MIN($E511-SUM($G511:Z511),$F511))</f>
        <v>1.0537599651664986</v>
      </c>
      <c r="AB511" s="424">
        <f>IF(OR(AB$503&lt;$C511,AB$503&lt;$H$2),0,MIN($E511-SUM($G511:AA511),$F511))</f>
        <v>1.0537599651664986</v>
      </c>
      <c r="AC511" s="424">
        <f>IF(OR(AC$503&lt;$C511,AC$503&lt;$H$2),0,MIN($E511-SUM($G511:AB511),$F511))</f>
        <v>1.0537599651664986</v>
      </c>
      <c r="AD511" s="424">
        <f>IF(OR(AD$503&lt;$C511,AD$503&lt;$H$2),0,MIN($E511-SUM($G511:AC511),$F511))</f>
        <v>1.0537599651664986</v>
      </c>
    </row>
    <row r="512" spans="3:30">
      <c r="C512" s="201">
        <v>48219</v>
      </c>
      <c r="D512" s="94" t="s">
        <v>134</v>
      </c>
      <c r="E512" s="424">
        <f t="shared" si="169"/>
        <v>27.916778201329073</v>
      </c>
      <c r="F512" s="209">
        <f t="shared" si="170"/>
        <v>1.213772965275177</v>
      </c>
      <c r="H512" s="424">
        <f>IF(OR(H$503&lt;$C512,H$503&lt;$H$2),0,MIN($E512-SUM($G512:G512),$F512))</f>
        <v>0</v>
      </c>
      <c r="I512" s="424">
        <f>IF(OR(I$503&lt;$C512,I$503&lt;$H$2),0,MIN($E512-SUM($G512:H512),$F512))</f>
        <v>0</v>
      </c>
      <c r="J512" s="424">
        <f>IF(OR(J$503&lt;$C512,J$503&lt;$H$2),0,MIN($E512-SUM($G512:I512),$F512))</f>
        <v>0</v>
      </c>
      <c r="K512" s="424">
        <f>IF(OR(K$503&lt;$C512,K$503&lt;$H$2),0,MIN($E512-SUM($G512:J512),$F512))</f>
        <v>0</v>
      </c>
      <c r="L512" s="424">
        <f>IF(OR(L$503&lt;$C512,L$503&lt;$H$2),0,MIN($E512-SUM($G512:K512),$F512))</f>
        <v>0</v>
      </c>
      <c r="M512" s="424">
        <f>IF(OR(M$503&lt;$C512,M$503&lt;$H$2),0,MIN($E512-SUM($G512:L512),$F512))</f>
        <v>0</v>
      </c>
      <c r="N512" s="424">
        <f>IF(OR(N$503&lt;$C512,N$503&lt;$H$2),0,MIN($E512-SUM($G512:M512),$F512))</f>
        <v>1.213772965275177</v>
      </c>
      <c r="O512" s="424">
        <f>IF(OR(O$503&lt;$C512,O$503&lt;$H$2),0,MIN($E512-SUM($G512:N512),$F512))</f>
        <v>1.213772965275177</v>
      </c>
      <c r="P512" s="424">
        <f>IF(OR(P$503&lt;$C512,P$503&lt;$H$2),0,MIN($E512-SUM($G512:O512),$F512))</f>
        <v>1.213772965275177</v>
      </c>
      <c r="Q512" s="424">
        <f>IF(OR(Q$503&lt;$C512,Q$503&lt;$H$2),0,MIN($E512-SUM($G512:P512),$F512))</f>
        <v>1.213772965275177</v>
      </c>
      <c r="R512" s="424">
        <f>IF(OR(R$503&lt;$C512,R$503&lt;$H$2),0,MIN($E512-SUM($G512:Q512),$F512))</f>
        <v>1.213772965275177</v>
      </c>
      <c r="S512" s="424">
        <f>IF(OR(S$503&lt;$C512,S$503&lt;$H$2),0,MIN($E512-SUM($G512:R512),$F512))</f>
        <v>1.213772965275177</v>
      </c>
      <c r="T512" s="424">
        <f>IF(OR(T$503&lt;$C512,T$503&lt;$H$2),0,MIN($E512-SUM($G512:S512),$F512))</f>
        <v>1.213772965275177</v>
      </c>
      <c r="U512" s="424">
        <f>IF(OR(U$503&lt;$C512,U$503&lt;$H$2),0,MIN($E512-SUM($G512:T512),$F512))</f>
        <v>1.213772965275177</v>
      </c>
      <c r="V512" s="424">
        <f>IF(OR(V$503&lt;$C512,V$503&lt;$H$2),0,MIN($E512-SUM($G512:U512),$F512))</f>
        <v>1.213772965275177</v>
      </c>
      <c r="W512" s="424">
        <f>IF(OR(W$503&lt;$C512,W$503&lt;$H$2),0,MIN($E512-SUM($G512:V512),$F512))</f>
        <v>1.213772965275177</v>
      </c>
      <c r="X512" s="424">
        <f>IF(OR(X$503&lt;$C512,X$503&lt;$H$2),0,MIN($E512-SUM($G512:W512),$F512))</f>
        <v>1.213772965275177</v>
      </c>
      <c r="Y512" s="424">
        <f>IF(OR(Y$503&lt;$C512,Y$503&lt;$H$2),0,MIN($E512-SUM($G512:X512),$F512))</f>
        <v>1.213772965275177</v>
      </c>
      <c r="Z512" s="424">
        <f>IF(OR(Z$503&lt;$C512,Z$503&lt;$H$2),0,MIN($E512-SUM($G512:Y512),$F512))</f>
        <v>1.213772965275177</v>
      </c>
      <c r="AA512" s="424">
        <f>IF(OR(AA$503&lt;$C512,AA$503&lt;$H$2),0,MIN($E512-SUM($G512:Z512),$F512))</f>
        <v>1.213772965275177</v>
      </c>
      <c r="AB512" s="424">
        <f>IF(OR(AB$503&lt;$C512,AB$503&lt;$H$2),0,MIN($E512-SUM($G512:AA512),$F512))</f>
        <v>1.213772965275177</v>
      </c>
      <c r="AC512" s="424">
        <f>IF(OR(AC$503&lt;$C512,AC$503&lt;$H$2),0,MIN($E512-SUM($G512:AB512),$F512))</f>
        <v>1.213772965275177</v>
      </c>
      <c r="AD512" s="424">
        <f>IF(OR(AD$503&lt;$C512,AD$503&lt;$H$2),0,MIN($E512-SUM($G512:AC512),$F512))</f>
        <v>1.213772965275177</v>
      </c>
    </row>
    <row r="513" spans="3:30">
      <c r="C513" s="201">
        <v>48585</v>
      </c>
      <c r="D513" s="94" t="s">
        <v>134</v>
      </c>
      <c r="E513" s="424">
        <f t="shared" si="169"/>
        <v>76.665102211219036</v>
      </c>
      <c r="F513" s="209">
        <f t="shared" si="170"/>
        <v>3.3332653135312622</v>
      </c>
      <c r="H513" s="424">
        <f>IF(OR(H$503&lt;$C513,H$503&lt;$H$2),0,MIN($E513-SUM($G513:G513),$F513))</f>
        <v>0</v>
      </c>
      <c r="I513" s="424">
        <f>IF(OR(I$503&lt;$C513,I$503&lt;$H$2),0,MIN($E513-SUM($G513:H513),$F513))</f>
        <v>0</v>
      </c>
      <c r="J513" s="424">
        <f>IF(OR(J$503&lt;$C513,J$503&lt;$H$2),0,MIN($E513-SUM($G513:I513),$F513))</f>
        <v>0</v>
      </c>
      <c r="K513" s="424">
        <f>IF(OR(K$503&lt;$C513,K$503&lt;$H$2),0,MIN($E513-SUM($G513:J513),$F513))</f>
        <v>0</v>
      </c>
      <c r="L513" s="424">
        <f>IF(OR(L$503&lt;$C513,L$503&lt;$H$2),0,MIN($E513-SUM($G513:K513),$F513))</f>
        <v>0</v>
      </c>
      <c r="M513" s="424">
        <f>IF(OR(M$503&lt;$C513,M$503&lt;$H$2),0,MIN($E513-SUM($G513:L513),$F513))</f>
        <v>0</v>
      </c>
      <c r="N513" s="424">
        <f>IF(OR(N$503&lt;$C513,N$503&lt;$H$2),0,MIN($E513-SUM($G513:M513),$F513))</f>
        <v>0</v>
      </c>
      <c r="O513" s="424">
        <f>IF(OR(O$503&lt;$C513,O$503&lt;$H$2),0,MIN($E513-SUM($G513:N513),$F513))</f>
        <v>3.3332653135312622</v>
      </c>
      <c r="P513" s="424">
        <f>IF(OR(P$503&lt;$C513,P$503&lt;$H$2),0,MIN($E513-SUM($G513:O513),$F513))</f>
        <v>3.3332653135312622</v>
      </c>
      <c r="Q513" s="424">
        <f>IF(OR(Q$503&lt;$C513,Q$503&lt;$H$2),0,MIN($E513-SUM($G513:P513),$F513))</f>
        <v>3.3332653135312622</v>
      </c>
      <c r="R513" s="424">
        <f>IF(OR(R$503&lt;$C513,R$503&lt;$H$2),0,MIN($E513-SUM($G513:Q513),$F513))</f>
        <v>3.3332653135312622</v>
      </c>
      <c r="S513" s="424">
        <f>IF(OR(S$503&lt;$C513,S$503&lt;$H$2),0,MIN($E513-SUM($G513:R513),$F513))</f>
        <v>3.3332653135312622</v>
      </c>
      <c r="T513" s="424">
        <f>IF(OR(T$503&lt;$C513,T$503&lt;$H$2),0,MIN($E513-SUM($G513:S513),$F513))</f>
        <v>3.3332653135312622</v>
      </c>
      <c r="U513" s="424">
        <f>IF(OR(U$503&lt;$C513,U$503&lt;$H$2),0,MIN($E513-SUM($G513:T513),$F513))</f>
        <v>3.3332653135312622</v>
      </c>
      <c r="V513" s="424">
        <f>IF(OR(V$503&lt;$C513,V$503&lt;$H$2),0,MIN($E513-SUM($G513:U513),$F513))</f>
        <v>3.3332653135312622</v>
      </c>
      <c r="W513" s="424">
        <f>IF(OR(W$503&lt;$C513,W$503&lt;$H$2),0,MIN($E513-SUM($G513:V513),$F513))</f>
        <v>3.3332653135312622</v>
      </c>
      <c r="X513" s="424">
        <f>IF(OR(X$503&lt;$C513,X$503&lt;$H$2),0,MIN($E513-SUM($G513:W513),$F513))</f>
        <v>3.3332653135312622</v>
      </c>
      <c r="Y513" s="424">
        <f>IF(OR(Y$503&lt;$C513,Y$503&lt;$H$2),0,MIN($E513-SUM($G513:X513),$F513))</f>
        <v>3.3332653135312622</v>
      </c>
      <c r="Z513" s="424">
        <f>IF(OR(Z$503&lt;$C513,Z$503&lt;$H$2),0,MIN($E513-SUM($G513:Y513),$F513))</f>
        <v>3.3332653135312622</v>
      </c>
      <c r="AA513" s="424">
        <f>IF(OR(AA$503&lt;$C513,AA$503&lt;$H$2),0,MIN($E513-SUM($G513:Z513),$F513))</f>
        <v>3.3332653135312622</v>
      </c>
      <c r="AB513" s="424">
        <f>IF(OR(AB$503&lt;$C513,AB$503&lt;$H$2),0,MIN($E513-SUM($G513:AA513),$F513))</f>
        <v>3.3332653135312622</v>
      </c>
      <c r="AC513" s="424">
        <f>IF(OR(AC$503&lt;$C513,AC$503&lt;$H$2),0,MIN($E513-SUM($G513:AB513),$F513))</f>
        <v>3.3332653135312622</v>
      </c>
      <c r="AD513" s="424">
        <f>IF(OR(AD$503&lt;$C513,AD$503&lt;$H$2),0,MIN($E513-SUM($G513:AC513),$F513))</f>
        <v>3.3332653135312622</v>
      </c>
    </row>
    <row r="514" spans="3:30">
      <c r="C514" s="201">
        <v>48951</v>
      </c>
      <c r="D514" s="94" t="s">
        <v>134</v>
      </c>
      <c r="E514" s="424">
        <f t="shared" si="169"/>
        <v>42.78156840345018</v>
      </c>
      <c r="F514" s="209">
        <f t="shared" si="170"/>
        <v>1.8600681914543555</v>
      </c>
      <c r="H514" s="424">
        <f>IF(OR(H$503&lt;$C514,H$503&lt;$H$2),0,MIN($E514-SUM($G514:G514),$F514))</f>
        <v>0</v>
      </c>
      <c r="I514" s="424">
        <f>IF(OR(I$503&lt;$C514,I$503&lt;$H$2),0,MIN($E514-SUM($G514:H514),$F514))</f>
        <v>0</v>
      </c>
      <c r="J514" s="424">
        <f>IF(OR(J$503&lt;$C514,J$503&lt;$H$2),0,MIN($E514-SUM($G514:I514),$F514))</f>
        <v>0</v>
      </c>
      <c r="K514" s="424">
        <f>IF(OR(K$503&lt;$C514,K$503&lt;$H$2),0,MIN($E514-SUM($G514:J514),$F514))</f>
        <v>0</v>
      </c>
      <c r="L514" s="424">
        <f>IF(OR(L$503&lt;$C514,L$503&lt;$H$2),0,MIN($E514-SUM($G514:K514),$F514))</f>
        <v>0</v>
      </c>
      <c r="M514" s="424">
        <f>IF(OR(M$503&lt;$C514,M$503&lt;$H$2),0,MIN($E514-SUM($G514:L514),$F514))</f>
        <v>0</v>
      </c>
      <c r="N514" s="424">
        <f>IF(OR(N$503&lt;$C514,N$503&lt;$H$2),0,MIN($E514-SUM($G514:M514),$F514))</f>
        <v>0</v>
      </c>
      <c r="O514" s="424">
        <f>IF(OR(O$503&lt;$C514,O$503&lt;$H$2),0,MIN($E514-SUM($G514:N514),$F514))</f>
        <v>0</v>
      </c>
      <c r="P514" s="424">
        <f>IF(OR(P$503&lt;$C514,P$503&lt;$H$2),0,MIN($E514-SUM($G514:O514),$F514))</f>
        <v>1.8600681914543555</v>
      </c>
      <c r="Q514" s="424">
        <f>IF(OR(Q$503&lt;$C514,Q$503&lt;$H$2),0,MIN($E514-SUM($G514:P514),$F514))</f>
        <v>1.8600681914543555</v>
      </c>
      <c r="R514" s="424">
        <f>IF(OR(R$503&lt;$C514,R$503&lt;$H$2),0,MIN($E514-SUM($G514:Q514),$F514))</f>
        <v>1.8600681914543555</v>
      </c>
      <c r="S514" s="424">
        <f>IF(OR(S$503&lt;$C514,S$503&lt;$H$2),0,MIN($E514-SUM($G514:R514),$F514))</f>
        <v>1.8600681914543555</v>
      </c>
      <c r="T514" s="424">
        <f>IF(OR(T$503&lt;$C514,T$503&lt;$H$2),0,MIN($E514-SUM($G514:S514),$F514))</f>
        <v>1.8600681914543555</v>
      </c>
      <c r="U514" s="424">
        <f>IF(OR(U$503&lt;$C514,U$503&lt;$H$2),0,MIN($E514-SUM($G514:T514),$F514))</f>
        <v>1.8600681914543555</v>
      </c>
      <c r="V514" s="424">
        <f>IF(OR(V$503&lt;$C514,V$503&lt;$H$2),0,MIN($E514-SUM($G514:U514),$F514))</f>
        <v>1.8600681914543555</v>
      </c>
      <c r="W514" s="424">
        <f>IF(OR(W$503&lt;$C514,W$503&lt;$H$2),0,MIN($E514-SUM($G514:V514),$F514))</f>
        <v>1.8600681914543555</v>
      </c>
      <c r="X514" s="424">
        <f>IF(OR(X$503&lt;$C514,X$503&lt;$H$2),0,MIN($E514-SUM($G514:W514),$F514))</f>
        <v>1.8600681914543555</v>
      </c>
      <c r="Y514" s="424">
        <f>IF(OR(Y$503&lt;$C514,Y$503&lt;$H$2),0,MIN($E514-SUM($G514:X514),$F514))</f>
        <v>1.8600681914543555</v>
      </c>
      <c r="Z514" s="424">
        <f>IF(OR(Z$503&lt;$C514,Z$503&lt;$H$2),0,MIN($E514-SUM($G514:Y514),$F514))</f>
        <v>1.8600681914543555</v>
      </c>
      <c r="AA514" s="424">
        <f>IF(OR(AA$503&lt;$C514,AA$503&lt;$H$2),0,MIN($E514-SUM($G514:Z514),$F514))</f>
        <v>1.8600681914543555</v>
      </c>
      <c r="AB514" s="424">
        <f>IF(OR(AB$503&lt;$C514,AB$503&lt;$H$2),0,MIN($E514-SUM($G514:AA514),$F514))</f>
        <v>1.8600681914543555</v>
      </c>
      <c r="AC514" s="424">
        <f>IF(OR(AC$503&lt;$C514,AC$503&lt;$H$2),0,MIN($E514-SUM($G514:AB514),$F514))</f>
        <v>1.8600681914543555</v>
      </c>
      <c r="AD514" s="424">
        <f>IF(OR(AD$503&lt;$C514,AD$503&lt;$H$2),0,MIN($E514-SUM($G514:AC514),$F514))</f>
        <v>1.8600681914543555</v>
      </c>
    </row>
    <row r="515" spans="3:30">
      <c r="C515" s="201">
        <v>49317</v>
      </c>
      <c r="D515" s="94" t="s">
        <v>134</v>
      </c>
      <c r="E515" s="424">
        <f t="shared" si="169"/>
        <v>68.535894737631679</v>
      </c>
      <c r="F515" s="209">
        <f t="shared" si="170"/>
        <v>2.9798215103318122</v>
      </c>
      <c r="H515" s="424">
        <f>IF(OR(H$503&lt;$C515,H$503&lt;$H$2),0,MIN($E515-SUM($G515:G515),$F515))</f>
        <v>0</v>
      </c>
      <c r="I515" s="424">
        <f>IF(OR(I$503&lt;$C515,I$503&lt;$H$2),0,MIN($E515-SUM($G515:H515),$F515))</f>
        <v>0</v>
      </c>
      <c r="J515" s="424">
        <f>IF(OR(J$503&lt;$C515,J$503&lt;$H$2),0,MIN($E515-SUM($G515:I515),$F515))</f>
        <v>0</v>
      </c>
      <c r="K515" s="424">
        <f>IF(OR(K$503&lt;$C515,K$503&lt;$H$2),0,MIN($E515-SUM($G515:J515),$F515))</f>
        <v>0</v>
      </c>
      <c r="L515" s="424">
        <f>IF(OR(L$503&lt;$C515,L$503&lt;$H$2),0,MIN($E515-SUM($G515:K515),$F515))</f>
        <v>0</v>
      </c>
      <c r="M515" s="424">
        <f>IF(OR(M$503&lt;$C515,M$503&lt;$H$2),0,MIN($E515-SUM($G515:L515),$F515))</f>
        <v>0</v>
      </c>
      <c r="N515" s="424">
        <f>IF(OR(N$503&lt;$C515,N$503&lt;$H$2),0,MIN($E515-SUM($G515:M515),$F515))</f>
        <v>0</v>
      </c>
      <c r="O515" s="424">
        <f>IF(OR(O$503&lt;$C515,O$503&lt;$H$2),0,MIN($E515-SUM($G515:N515),$F515))</f>
        <v>0</v>
      </c>
      <c r="P515" s="424">
        <f>IF(OR(P$503&lt;$C515,P$503&lt;$H$2),0,MIN($E515-SUM($G515:O515),$F515))</f>
        <v>0</v>
      </c>
      <c r="Q515" s="424">
        <f>IF(OR(Q$503&lt;$C515,Q$503&lt;$H$2),0,MIN($E515-SUM($G515:P515),$F515))</f>
        <v>2.9798215103318122</v>
      </c>
      <c r="R515" s="424">
        <f>IF(OR(R$503&lt;$C515,R$503&lt;$H$2),0,MIN($E515-SUM($G515:Q515),$F515))</f>
        <v>2.9798215103318122</v>
      </c>
      <c r="S515" s="424">
        <f>IF(OR(S$503&lt;$C515,S$503&lt;$H$2),0,MIN($E515-SUM($G515:R515),$F515))</f>
        <v>2.9798215103318122</v>
      </c>
      <c r="T515" s="424">
        <f>IF(OR(T$503&lt;$C515,T$503&lt;$H$2),0,MIN($E515-SUM($G515:S515),$F515))</f>
        <v>2.9798215103318122</v>
      </c>
      <c r="U515" s="424">
        <f>IF(OR(U$503&lt;$C515,U$503&lt;$H$2),0,MIN($E515-SUM($G515:T515),$F515))</f>
        <v>2.9798215103318122</v>
      </c>
      <c r="V515" s="424">
        <f>IF(OR(V$503&lt;$C515,V$503&lt;$H$2),0,MIN($E515-SUM($G515:U515),$F515))</f>
        <v>2.9798215103318122</v>
      </c>
      <c r="W515" s="424">
        <f>IF(OR(W$503&lt;$C515,W$503&lt;$H$2),0,MIN($E515-SUM($G515:V515),$F515))</f>
        <v>2.9798215103318122</v>
      </c>
      <c r="X515" s="424">
        <f>IF(OR(X$503&lt;$C515,X$503&lt;$H$2),0,MIN($E515-SUM($G515:W515),$F515))</f>
        <v>2.9798215103318122</v>
      </c>
      <c r="Y515" s="424">
        <f>IF(OR(Y$503&lt;$C515,Y$503&lt;$H$2),0,MIN($E515-SUM($G515:X515),$F515))</f>
        <v>2.9798215103318122</v>
      </c>
      <c r="Z515" s="424">
        <f>IF(OR(Z$503&lt;$C515,Z$503&lt;$H$2),0,MIN($E515-SUM($G515:Y515),$F515))</f>
        <v>2.9798215103318122</v>
      </c>
      <c r="AA515" s="424">
        <f>IF(OR(AA$503&lt;$C515,AA$503&lt;$H$2),0,MIN($E515-SUM($G515:Z515),$F515))</f>
        <v>2.9798215103318122</v>
      </c>
      <c r="AB515" s="424">
        <f>IF(OR(AB$503&lt;$C515,AB$503&lt;$H$2),0,MIN($E515-SUM($G515:AA515),$F515))</f>
        <v>2.9798215103318122</v>
      </c>
      <c r="AC515" s="424">
        <f>IF(OR(AC$503&lt;$C515,AC$503&lt;$H$2),0,MIN($E515-SUM($G515:AB515),$F515))</f>
        <v>2.9798215103318122</v>
      </c>
      <c r="AD515" s="424">
        <f>IF(OR(AD$503&lt;$C515,AD$503&lt;$H$2),0,MIN($E515-SUM($G515:AC515),$F515))</f>
        <v>2.9798215103318122</v>
      </c>
    </row>
    <row r="516" spans="3:30">
      <c r="C516" s="201">
        <v>49683</v>
      </c>
      <c r="D516" s="94" t="s">
        <v>134</v>
      </c>
      <c r="E516" s="424">
        <f t="shared" si="169"/>
        <v>42.856827137631683</v>
      </c>
      <c r="F516" s="209">
        <f t="shared" si="170"/>
        <v>1.8633403103318122</v>
      </c>
      <c r="H516" s="424">
        <f>IF(OR(H$503&lt;$C516,H$503&lt;$H$2),0,MIN($E516-SUM($G516:G516),$F516))</f>
        <v>0</v>
      </c>
      <c r="I516" s="424">
        <f>IF(OR(I$503&lt;$C516,I$503&lt;$H$2),0,MIN($E516-SUM($G516:H516),$F516))</f>
        <v>0</v>
      </c>
      <c r="J516" s="424">
        <f>IF(OR(J$503&lt;$C516,J$503&lt;$H$2),0,MIN($E516-SUM($G516:I516),$F516))</f>
        <v>0</v>
      </c>
      <c r="K516" s="424">
        <f>IF(OR(K$503&lt;$C516,K$503&lt;$H$2),0,MIN($E516-SUM($G516:J516),$F516))</f>
        <v>0</v>
      </c>
      <c r="L516" s="424">
        <f>IF(OR(L$503&lt;$C516,L$503&lt;$H$2),0,MIN($E516-SUM($G516:K516),$F516))</f>
        <v>0</v>
      </c>
      <c r="M516" s="424">
        <f>IF(OR(M$503&lt;$C516,M$503&lt;$H$2),0,MIN($E516-SUM($G516:L516),$F516))</f>
        <v>0</v>
      </c>
      <c r="N516" s="424">
        <f>IF(OR(N$503&lt;$C516,N$503&lt;$H$2),0,MIN($E516-SUM($G516:M516),$F516))</f>
        <v>0</v>
      </c>
      <c r="O516" s="424">
        <f>IF(OR(O$503&lt;$C516,O$503&lt;$H$2),0,MIN($E516-SUM($G516:N516),$F516))</f>
        <v>0</v>
      </c>
      <c r="P516" s="424">
        <f>IF(OR(P$503&lt;$C516,P$503&lt;$H$2),0,MIN($E516-SUM($G516:O516),$F516))</f>
        <v>0</v>
      </c>
      <c r="Q516" s="424">
        <f>IF(OR(Q$503&lt;$C516,Q$503&lt;$H$2),0,MIN($E516-SUM($G516:P516),$F516))</f>
        <v>0</v>
      </c>
      <c r="R516" s="424">
        <f>IF(OR(R$503&lt;$C516,R$503&lt;$H$2),0,MIN($E516-SUM($G516:Q516),$F516))</f>
        <v>1.8633403103318122</v>
      </c>
      <c r="S516" s="424">
        <f>IF(OR(S$503&lt;$C516,S$503&lt;$H$2),0,MIN($E516-SUM($G516:R516),$F516))</f>
        <v>1.8633403103318122</v>
      </c>
      <c r="T516" s="424">
        <f>IF(OR(T$503&lt;$C516,T$503&lt;$H$2),0,MIN($E516-SUM($G516:S516),$F516))</f>
        <v>1.8633403103318122</v>
      </c>
      <c r="U516" s="424">
        <f>IF(OR(U$503&lt;$C516,U$503&lt;$H$2),0,MIN($E516-SUM($G516:T516),$F516))</f>
        <v>1.8633403103318122</v>
      </c>
      <c r="V516" s="424">
        <f>IF(OR(V$503&lt;$C516,V$503&lt;$H$2),0,MIN($E516-SUM($G516:U516),$F516))</f>
        <v>1.8633403103318122</v>
      </c>
      <c r="W516" s="424">
        <f>IF(OR(W$503&lt;$C516,W$503&lt;$H$2),0,MIN($E516-SUM($G516:V516),$F516))</f>
        <v>1.8633403103318122</v>
      </c>
      <c r="X516" s="424">
        <f>IF(OR(X$503&lt;$C516,X$503&lt;$H$2),0,MIN($E516-SUM($G516:W516),$F516))</f>
        <v>1.8633403103318122</v>
      </c>
      <c r="Y516" s="424">
        <f>IF(OR(Y$503&lt;$C516,Y$503&lt;$H$2),0,MIN($E516-SUM($G516:X516),$F516))</f>
        <v>1.8633403103318122</v>
      </c>
      <c r="Z516" s="424">
        <f>IF(OR(Z$503&lt;$C516,Z$503&lt;$H$2),0,MIN($E516-SUM($G516:Y516),$F516))</f>
        <v>1.8633403103318122</v>
      </c>
      <c r="AA516" s="424">
        <f>IF(OR(AA$503&lt;$C516,AA$503&lt;$H$2),0,MIN($E516-SUM($G516:Z516),$F516))</f>
        <v>1.8633403103318122</v>
      </c>
      <c r="AB516" s="424">
        <f>IF(OR(AB$503&lt;$C516,AB$503&lt;$H$2),0,MIN($E516-SUM($G516:AA516),$F516))</f>
        <v>1.8633403103318122</v>
      </c>
      <c r="AC516" s="424">
        <f>IF(OR(AC$503&lt;$C516,AC$503&lt;$H$2),0,MIN($E516-SUM($G516:AB516),$F516))</f>
        <v>1.8633403103318122</v>
      </c>
      <c r="AD516" s="424">
        <f>IF(OR(AD$503&lt;$C516,AD$503&lt;$H$2),0,MIN($E516-SUM($G516:AC516),$F516))</f>
        <v>1.8633403103318122</v>
      </c>
    </row>
    <row r="517" spans="3:30">
      <c r="C517" s="201">
        <v>50049</v>
      </c>
      <c r="D517" s="94" t="s">
        <v>134</v>
      </c>
      <c r="E517" s="424">
        <f t="shared" si="169"/>
        <v>52.19756131222573</v>
      </c>
      <c r="F517" s="209">
        <f t="shared" si="170"/>
        <v>2.2694591874880752</v>
      </c>
      <c r="H517" s="424">
        <f>IF(OR(H$503&lt;$C517,H$503&lt;$H$2),0,MIN($E517-SUM($G517:G517),$F517))</f>
        <v>0</v>
      </c>
      <c r="I517" s="424">
        <f>IF(OR(I$503&lt;$C517,I$503&lt;$H$2),0,MIN($E517-SUM($G517:H517),$F517))</f>
        <v>0</v>
      </c>
      <c r="J517" s="424">
        <f>IF(OR(J$503&lt;$C517,J$503&lt;$H$2),0,MIN($E517-SUM($G517:I517),$F517))</f>
        <v>0</v>
      </c>
      <c r="K517" s="424">
        <f>IF(OR(K$503&lt;$C517,K$503&lt;$H$2),0,MIN($E517-SUM($G517:J517),$F517))</f>
        <v>0</v>
      </c>
      <c r="L517" s="424">
        <f>IF(OR(L$503&lt;$C517,L$503&lt;$H$2),0,MIN($E517-SUM($G517:K517),$F517))</f>
        <v>0</v>
      </c>
      <c r="M517" s="424">
        <f>IF(OR(M$503&lt;$C517,M$503&lt;$H$2),0,MIN($E517-SUM($G517:L517),$F517))</f>
        <v>0</v>
      </c>
      <c r="N517" s="424">
        <f>IF(OR(N$503&lt;$C517,N$503&lt;$H$2),0,MIN($E517-SUM($G517:M517),$F517))</f>
        <v>0</v>
      </c>
      <c r="O517" s="424">
        <f>IF(OR(O$503&lt;$C517,O$503&lt;$H$2),0,MIN($E517-SUM($G517:N517),$F517))</f>
        <v>0</v>
      </c>
      <c r="P517" s="424">
        <f>IF(OR(P$503&lt;$C517,P$503&lt;$H$2),0,MIN($E517-SUM($G517:O517),$F517))</f>
        <v>0</v>
      </c>
      <c r="Q517" s="424">
        <f>IF(OR(Q$503&lt;$C517,Q$503&lt;$H$2),0,MIN($E517-SUM($G517:P517),$F517))</f>
        <v>0</v>
      </c>
      <c r="R517" s="424">
        <f>IF(OR(R$503&lt;$C517,R$503&lt;$H$2),0,MIN($E517-SUM($G517:Q517),$F517))</f>
        <v>0</v>
      </c>
      <c r="S517" s="424">
        <f>IF(OR(S$503&lt;$C517,S$503&lt;$H$2),0,MIN($E517-SUM($G517:R517),$F517))</f>
        <v>2.2694591874880752</v>
      </c>
      <c r="T517" s="424">
        <f>IF(OR(T$503&lt;$C517,T$503&lt;$H$2),0,MIN($E517-SUM($G517:S517),$F517))</f>
        <v>2.2694591874880752</v>
      </c>
      <c r="U517" s="424">
        <f>IF(OR(U$503&lt;$C517,U$503&lt;$H$2),0,MIN($E517-SUM($G517:T517),$F517))</f>
        <v>2.2694591874880752</v>
      </c>
      <c r="V517" s="424">
        <f>IF(OR(V$503&lt;$C517,V$503&lt;$H$2),0,MIN($E517-SUM($G517:U517),$F517))</f>
        <v>2.2694591874880752</v>
      </c>
      <c r="W517" s="424">
        <f>IF(OR(W$503&lt;$C517,W$503&lt;$H$2),0,MIN($E517-SUM($G517:V517),$F517))</f>
        <v>2.2694591874880752</v>
      </c>
      <c r="X517" s="424">
        <f>IF(OR(X$503&lt;$C517,X$503&lt;$H$2),0,MIN($E517-SUM($G517:W517),$F517))</f>
        <v>2.2694591874880752</v>
      </c>
      <c r="Y517" s="424">
        <f>IF(OR(Y$503&lt;$C517,Y$503&lt;$H$2),0,MIN($E517-SUM($G517:X517),$F517))</f>
        <v>2.2694591874880752</v>
      </c>
      <c r="Z517" s="424">
        <f>IF(OR(Z$503&lt;$C517,Z$503&lt;$H$2),0,MIN($E517-SUM($G517:Y517),$F517))</f>
        <v>2.2694591874880752</v>
      </c>
      <c r="AA517" s="424">
        <f>IF(OR(AA$503&lt;$C517,AA$503&lt;$H$2),0,MIN($E517-SUM($G517:Z517),$F517))</f>
        <v>2.2694591874880752</v>
      </c>
      <c r="AB517" s="424">
        <f>IF(OR(AB$503&lt;$C517,AB$503&lt;$H$2),0,MIN($E517-SUM($G517:AA517),$F517))</f>
        <v>2.2694591874880752</v>
      </c>
      <c r="AC517" s="424">
        <f>IF(OR(AC$503&lt;$C517,AC$503&lt;$H$2),0,MIN($E517-SUM($G517:AB517),$F517))</f>
        <v>2.2694591874880752</v>
      </c>
      <c r="AD517" s="424">
        <f>IF(OR(AD$503&lt;$C517,AD$503&lt;$H$2),0,MIN($E517-SUM($G517:AC517),$F517))</f>
        <v>2.2694591874880752</v>
      </c>
    </row>
    <row r="518" spans="3:30">
      <c r="C518" s="201">
        <v>50415</v>
      </c>
      <c r="D518" s="94" t="s">
        <v>134</v>
      </c>
      <c r="E518" s="424">
        <f t="shared" si="169"/>
        <v>45.952436671759543</v>
      </c>
      <c r="F518" s="209">
        <f t="shared" si="170"/>
        <v>1.9979320292069367</v>
      </c>
      <c r="H518" s="424">
        <f>IF(OR(H$503&lt;$C518,H$503&lt;$H$2),0,MIN($E518-SUM($G518:G518),$F518))</f>
        <v>0</v>
      </c>
      <c r="I518" s="424">
        <f>IF(OR(I$503&lt;$C518,I$503&lt;$H$2),0,MIN($E518-SUM($G518:H518),$F518))</f>
        <v>0</v>
      </c>
      <c r="J518" s="424">
        <f>IF(OR(J$503&lt;$C518,J$503&lt;$H$2),0,MIN($E518-SUM($G518:I518),$F518))</f>
        <v>0</v>
      </c>
      <c r="K518" s="424">
        <f>IF(OR(K$503&lt;$C518,K$503&lt;$H$2),0,MIN($E518-SUM($G518:J518),$F518))</f>
        <v>0</v>
      </c>
      <c r="L518" s="424">
        <f>IF(OR(L$503&lt;$C518,L$503&lt;$H$2),0,MIN($E518-SUM($G518:K518),$F518))</f>
        <v>0</v>
      </c>
      <c r="M518" s="424">
        <f>IF(OR(M$503&lt;$C518,M$503&lt;$H$2),0,MIN($E518-SUM($G518:L518),$F518))</f>
        <v>0</v>
      </c>
      <c r="N518" s="424">
        <f>IF(OR(N$503&lt;$C518,N$503&lt;$H$2),0,MIN($E518-SUM($G518:M518),$F518))</f>
        <v>0</v>
      </c>
      <c r="O518" s="424">
        <f>IF(OR(O$503&lt;$C518,O$503&lt;$H$2),0,MIN($E518-SUM($G518:N518),$F518))</f>
        <v>0</v>
      </c>
      <c r="P518" s="424">
        <f>IF(OR(P$503&lt;$C518,P$503&lt;$H$2),0,MIN($E518-SUM($G518:O518),$F518))</f>
        <v>0</v>
      </c>
      <c r="Q518" s="424">
        <f>IF(OR(Q$503&lt;$C518,Q$503&lt;$H$2),0,MIN($E518-SUM($G518:P518),$F518))</f>
        <v>0</v>
      </c>
      <c r="R518" s="424">
        <f>IF(OR(R$503&lt;$C518,R$503&lt;$H$2),0,MIN($E518-SUM($G518:Q518),$F518))</f>
        <v>0</v>
      </c>
      <c r="S518" s="424">
        <f>IF(OR(S$503&lt;$C518,S$503&lt;$H$2),0,MIN($E518-SUM($G518:R518),$F518))</f>
        <v>0</v>
      </c>
      <c r="T518" s="424">
        <f>IF(OR(T$503&lt;$C518,T$503&lt;$H$2),0,MIN($E518-SUM($G518:S518),$F518))</f>
        <v>1.9979320292069367</v>
      </c>
      <c r="U518" s="424">
        <f>IF(OR(U$503&lt;$C518,U$503&lt;$H$2),0,MIN($E518-SUM($G518:T518),$F518))</f>
        <v>1.9979320292069367</v>
      </c>
      <c r="V518" s="424">
        <f>IF(OR(V$503&lt;$C518,V$503&lt;$H$2),0,MIN($E518-SUM($G518:U518),$F518))</f>
        <v>1.9979320292069367</v>
      </c>
      <c r="W518" s="424">
        <f>IF(OR(W$503&lt;$C518,W$503&lt;$H$2),0,MIN($E518-SUM($G518:V518),$F518))</f>
        <v>1.9979320292069367</v>
      </c>
      <c r="X518" s="424">
        <f>IF(OR(X$503&lt;$C518,X$503&lt;$H$2),0,MIN($E518-SUM($G518:W518),$F518))</f>
        <v>1.9979320292069367</v>
      </c>
      <c r="Y518" s="424">
        <f>IF(OR(Y$503&lt;$C518,Y$503&lt;$H$2),0,MIN($E518-SUM($G518:X518),$F518))</f>
        <v>1.9979320292069367</v>
      </c>
      <c r="Z518" s="424">
        <f>IF(OR(Z$503&lt;$C518,Z$503&lt;$H$2),0,MIN($E518-SUM($G518:Y518),$F518))</f>
        <v>1.9979320292069367</v>
      </c>
      <c r="AA518" s="424">
        <f>IF(OR(AA$503&lt;$C518,AA$503&lt;$H$2),0,MIN($E518-SUM($G518:Z518),$F518))</f>
        <v>1.9979320292069367</v>
      </c>
      <c r="AB518" s="424">
        <f>IF(OR(AB$503&lt;$C518,AB$503&lt;$H$2),0,MIN($E518-SUM($G518:AA518),$F518))</f>
        <v>1.9979320292069367</v>
      </c>
      <c r="AC518" s="424">
        <f>IF(OR(AC$503&lt;$C518,AC$503&lt;$H$2),0,MIN($E518-SUM($G518:AB518),$F518))</f>
        <v>1.9979320292069367</v>
      </c>
      <c r="AD518" s="424">
        <f>IF(OR(AD$503&lt;$C518,AD$503&lt;$H$2),0,MIN($E518-SUM($G518:AC518),$F518))</f>
        <v>1.9979320292069367</v>
      </c>
    </row>
    <row r="519" spans="3:30">
      <c r="C519" s="201">
        <v>50781</v>
      </c>
      <c r="D519" s="94" t="s">
        <v>134</v>
      </c>
      <c r="E519" s="424">
        <f t="shared" si="169"/>
        <v>15.62280671787995</v>
      </c>
      <c r="F519" s="209">
        <f t="shared" si="170"/>
        <v>0.6792524659947804</v>
      </c>
      <c r="H519" s="424">
        <f>IF(OR(H$503&lt;$C519,H$503&lt;$H$2),0,MIN($E519-SUM($G519:G519),$F519))</f>
        <v>0</v>
      </c>
      <c r="I519" s="424">
        <f>IF(OR(I$503&lt;$C519,I$503&lt;$H$2),0,MIN($E519-SUM($G519:H519),$F519))</f>
        <v>0</v>
      </c>
      <c r="J519" s="424">
        <f>IF(OR(J$503&lt;$C519,J$503&lt;$H$2),0,MIN($E519-SUM($G519:I519),$F519))</f>
        <v>0</v>
      </c>
      <c r="K519" s="424">
        <f>IF(OR(K$503&lt;$C519,K$503&lt;$H$2),0,MIN($E519-SUM($G519:J519),$F519))</f>
        <v>0</v>
      </c>
      <c r="L519" s="424">
        <f>IF(OR(L$503&lt;$C519,L$503&lt;$H$2),0,MIN($E519-SUM($G519:K519),$F519))</f>
        <v>0</v>
      </c>
      <c r="M519" s="424">
        <f>IF(OR(M$503&lt;$C519,M$503&lt;$H$2),0,MIN($E519-SUM($G519:L519),$F519))</f>
        <v>0</v>
      </c>
      <c r="N519" s="424">
        <f>IF(OR(N$503&lt;$C519,N$503&lt;$H$2),0,MIN($E519-SUM($G519:M519),$F519))</f>
        <v>0</v>
      </c>
      <c r="O519" s="424">
        <f>IF(OR(O$503&lt;$C519,O$503&lt;$H$2),0,MIN($E519-SUM($G519:N519),$F519))</f>
        <v>0</v>
      </c>
      <c r="P519" s="424">
        <f>IF(OR(P$503&lt;$C519,P$503&lt;$H$2),0,MIN($E519-SUM($G519:O519),$F519))</f>
        <v>0</v>
      </c>
      <c r="Q519" s="424">
        <f>IF(OR(Q$503&lt;$C519,Q$503&lt;$H$2),0,MIN($E519-SUM($G519:P519),$F519))</f>
        <v>0</v>
      </c>
      <c r="R519" s="424">
        <f>IF(OR(R$503&lt;$C519,R$503&lt;$H$2),0,MIN($E519-SUM($G519:Q519),$F519))</f>
        <v>0</v>
      </c>
      <c r="S519" s="424">
        <f>IF(OR(S$503&lt;$C519,S$503&lt;$H$2),0,MIN($E519-SUM($G519:R519),$F519))</f>
        <v>0</v>
      </c>
      <c r="T519" s="424">
        <f>IF(OR(T$503&lt;$C519,T$503&lt;$H$2),0,MIN($E519-SUM($G519:S519),$F519))</f>
        <v>0</v>
      </c>
      <c r="U519" s="424">
        <f>IF(OR(U$503&lt;$C519,U$503&lt;$H$2),0,MIN($E519-SUM($G519:T519),$F519))</f>
        <v>0.6792524659947804</v>
      </c>
      <c r="V519" s="424">
        <f>IF(OR(V$503&lt;$C519,V$503&lt;$H$2),0,MIN($E519-SUM($G519:U519),$F519))</f>
        <v>0.6792524659947804</v>
      </c>
      <c r="W519" s="424">
        <f>IF(OR(W$503&lt;$C519,W$503&lt;$H$2),0,MIN($E519-SUM($G519:V519),$F519))</f>
        <v>0.6792524659947804</v>
      </c>
      <c r="X519" s="424">
        <f>IF(OR(X$503&lt;$C519,X$503&lt;$H$2),0,MIN($E519-SUM($G519:W519),$F519))</f>
        <v>0.6792524659947804</v>
      </c>
      <c r="Y519" s="424">
        <f>IF(OR(Y$503&lt;$C519,Y$503&lt;$H$2),0,MIN($E519-SUM($G519:X519),$F519))</f>
        <v>0.6792524659947804</v>
      </c>
      <c r="Z519" s="424">
        <f>IF(OR(Z$503&lt;$C519,Z$503&lt;$H$2),0,MIN($E519-SUM($G519:Y519),$F519))</f>
        <v>0.6792524659947804</v>
      </c>
      <c r="AA519" s="424">
        <f>IF(OR(AA$503&lt;$C519,AA$503&lt;$H$2),0,MIN($E519-SUM($G519:Z519),$F519))</f>
        <v>0.6792524659947804</v>
      </c>
      <c r="AB519" s="424">
        <f>IF(OR(AB$503&lt;$C519,AB$503&lt;$H$2),0,MIN($E519-SUM($G519:AA519),$F519))</f>
        <v>0.6792524659947804</v>
      </c>
      <c r="AC519" s="424">
        <f>IF(OR(AC$503&lt;$C519,AC$503&lt;$H$2),0,MIN($E519-SUM($G519:AB519),$F519))</f>
        <v>0.6792524659947804</v>
      </c>
      <c r="AD519" s="424">
        <f>IF(OR(AD$503&lt;$C519,AD$503&lt;$H$2),0,MIN($E519-SUM($G519:AC519),$F519))</f>
        <v>0.6792524659947804</v>
      </c>
    </row>
    <row r="520" spans="3:30">
      <c r="C520" s="201">
        <v>51147</v>
      </c>
      <c r="D520" s="94" t="s">
        <v>134</v>
      </c>
      <c r="E520" s="424">
        <f t="shared" si="169"/>
        <v>18.552060672690992</v>
      </c>
      <c r="F520" s="209">
        <f t="shared" si="170"/>
        <v>0.80661133359526049</v>
      </c>
      <c r="H520" s="424">
        <f>IF(OR(H$503&lt;$C520,H$503&lt;$H$2),0,MIN($E520-SUM($G520:G520),$F520))</f>
        <v>0</v>
      </c>
      <c r="I520" s="424">
        <f>IF(OR(I$503&lt;$C520,I$503&lt;$H$2),0,MIN($E520-SUM($G520:H520),$F520))</f>
        <v>0</v>
      </c>
      <c r="J520" s="424">
        <f>IF(OR(J$503&lt;$C520,J$503&lt;$H$2),0,MIN($E520-SUM($G520:I520),$F520))</f>
        <v>0</v>
      </c>
      <c r="K520" s="424">
        <f>IF(OR(K$503&lt;$C520,K$503&lt;$H$2),0,MIN($E520-SUM($G520:J520),$F520))</f>
        <v>0</v>
      </c>
      <c r="L520" s="424">
        <f>IF(OR(L$503&lt;$C520,L$503&lt;$H$2),0,MIN($E520-SUM($G520:K520),$F520))</f>
        <v>0</v>
      </c>
      <c r="M520" s="424">
        <f>IF(OR(M$503&lt;$C520,M$503&lt;$H$2),0,MIN($E520-SUM($G520:L520),$F520))</f>
        <v>0</v>
      </c>
      <c r="N520" s="424">
        <f>IF(OR(N$503&lt;$C520,N$503&lt;$H$2),0,MIN($E520-SUM($G520:M520),$F520))</f>
        <v>0</v>
      </c>
      <c r="O520" s="424">
        <f>IF(OR(O$503&lt;$C520,O$503&lt;$H$2),0,MIN($E520-SUM($G520:N520),$F520))</f>
        <v>0</v>
      </c>
      <c r="P520" s="424">
        <f>IF(OR(P$503&lt;$C520,P$503&lt;$H$2),0,MIN($E520-SUM($G520:O520),$F520))</f>
        <v>0</v>
      </c>
      <c r="Q520" s="424">
        <f>IF(OR(Q$503&lt;$C520,Q$503&lt;$H$2),0,MIN($E520-SUM($G520:P520),$F520))</f>
        <v>0</v>
      </c>
      <c r="R520" s="424">
        <f>IF(OR(R$503&lt;$C520,R$503&lt;$H$2),0,MIN($E520-SUM($G520:Q520),$F520))</f>
        <v>0</v>
      </c>
      <c r="S520" s="424">
        <f>IF(OR(S$503&lt;$C520,S$503&lt;$H$2),0,MIN($E520-SUM($G520:R520),$F520))</f>
        <v>0</v>
      </c>
      <c r="T520" s="424">
        <f>IF(OR(T$503&lt;$C520,T$503&lt;$H$2),0,MIN($E520-SUM($G520:S520),$F520))</f>
        <v>0</v>
      </c>
      <c r="U520" s="424">
        <f>IF(OR(U$503&lt;$C520,U$503&lt;$H$2),0,MIN($E520-SUM($G520:T520),$F520))</f>
        <v>0</v>
      </c>
      <c r="V520" s="424">
        <f>IF(OR(V$503&lt;$C520,V$503&lt;$H$2),0,MIN($E520-SUM($G520:U520),$F520))</f>
        <v>0.80661133359526049</v>
      </c>
      <c r="W520" s="424">
        <f>IF(OR(W$503&lt;$C520,W$503&lt;$H$2),0,MIN($E520-SUM($G520:V520),$F520))</f>
        <v>0.80661133359526049</v>
      </c>
      <c r="X520" s="424">
        <f>IF(OR(X$503&lt;$C520,X$503&lt;$H$2),0,MIN($E520-SUM($G520:W520),$F520))</f>
        <v>0.80661133359526049</v>
      </c>
      <c r="Y520" s="424">
        <f>IF(OR(Y$503&lt;$C520,Y$503&lt;$H$2),0,MIN($E520-SUM($G520:X520),$F520))</f>
        <v>0.80661133359526049</v>
      </c>
      <c r="Z520" s="424">
        <f>IF(OR(Z$503&lt;$C520,Z$503&lt;$H$2),0,MIN($E520-SUM($G520:Y520),$F520))</f>
        <v>0.80661133359526049</v>
      </c>
      <c r="AA520" s="424">
        <f>IF(OR(AA$503&lt;$C520,AA$503&lt;$H$2),0,MIN($E520-SUM($G520:Z520),$F520))</f>
        <v>0.80661133359526049</v>
      </c>
      <c r="AB520" s="424">
        <f>IF(OR(AB$503&lt;$C520,AB$503&lt;$H$2),0,MIN($E520-SUM($G520:AA520),$F520))</f>
        <v>0.80661133359526049</v>
      </c>
      <c r="AC520" s="424">
        <f>IF(OR(AC$503&lt;$C520,AC$503&lt;$H$2),0,MIN($E520-SUM($G520:AB520),$F520))</f>
        <v>0.80661133359526049</v>
      </c>
      <c r="AD520" s="424">
        <f>IF(OR(AD$503&lt;$C520,AD$503&lt;$H$2),0,MIN($E520-SUM($G520:AC520),$F520))</f>
        <v>0.80661133359526049</v>
      </c>
    </row>
    <row r="521" spans="3:30">
      <c r="C521" s="201">
        <v>51513</v>
      </c>
      <c r="D521" s="94" t="s">
        <v>134</v>
      </c>
      <c r="E521" s="424">
        <f t="shared" si="169"/>
        <v>3.9838282200000004</v>
      </c>
      <c r="F521" s="209">
        <f t="shared" si="170"/>
        <v>0.17320992260869567</v>
      </c>
      <c r="H521" s="424">
        <f>IF(OR(H$503&lt;$C521,H$503&lt;$H$2),0,MIN($E521-SUM($G521:G521),$F521))</f>
        <v>0</v>
      </c>
      <c r="I521" s="424">
        <f>IF(OR(I$503&lt;$C521,I$503&lt;$H$2),0,MIN($E521-SUM($G521:H521),$F521))</f>
        <v>0</v>
      </c>
      <c r="J521" s="424">
        <f>IF(OR(J$503&lt;$C521,J$503&lt;$H$2),0,MIN($E521-SUM($G521:I521),$F521))</f>
        <v>0</v>
      </c>
      <c r="K521" s="424">
        <f>IF(OR(K$503&lt;$C521,K$503&lt;$H$2),0,MIN($E521-SUM($G521:J521),$F521))</f>
        <v>0</v>
      </c>
      <c r="L521" s="424">
        <f>IF(OR(L$503&lt;$C521,L$503&lt;$H$2),0,MIN($E521-SUM($G521:K521),$F521))</f>
        <v>0</v>
      </c>
      <c r="M521" s="424">
        <f>IF(OR(M$503&lt;$C521,M$503&lt;$H$2),0,MIN($E521-SUM($G521:L521),$F521))</f>
        <v>0</v>
      </c>
      <c r="N521" s="424">
        <f>IF(OR(N$503&lt;$C521,N$503&lt;$H$2),0,MIN($E521-SUM($G521:M521),$F521))</f>
        <v>0</v>
      </c>
      <c r="O521" s="424">
        <f>IF(OR(O$503&lt;$C521,O$503&lt;$H$2),0,MIN($E521-SUM($G521:N521),$F521))</f>
        <v>0</v>
      </c>
      <c r="P521" s="424">
        <f>IF(OR(P$503&lt;$C521,P$503&lt;$H$2),0,MIN($E521-SUM($G521:O521),$F521))</f>
        <v>0</v>
      </c>
      <c r="Q521" s="424">
        <f>IF(OR(Q$503&lt;$C521,Q$503&lt;$H$2),0,MIN($E521-SUM($G521:P521),$F521))</f>
        <v>0</v>
      </c>
      <c r="R521" s="424">
        <f>IF(OR(R$503&lt;$C521,R$503&lt;$H$2),0,MIN($E521-SUM($G521:Q521),$F521))</f>
        <v>0</v>
      </c>
      <c r="S521" s="424">
        <f>IF(OR(S$503&lt;$C521,S$503&lt;$H$2),0,MIN($E521-SUM($G521:R521),$F521))</f>
        <v>0</v>
      </c>
      <c r="T521" s="424">
        <f>IF(OR(T$503&lt;$C521,T$503&lt;$H$2),0,MIN($E521-SUM($G521:S521),$F521))</f>
        <v>0</v>
      </c>
      <c r="U521" s="424">
        <f>IF(OR(U$503&lt;$C521,U$503&lt;$H$2),0,MIN($E521-SUM($G521:T521),$F521))</f>
        <v>0</v>
      </c>
      <c r="V521" s="424">
        <f>IF(OR(V$503&lt;$C521,V$503&lt;$H$2),0,MIN($E521-SUM($G521:U521),$F521))</f>
        <v>0</v>
      </c>
      <c r="W521" s="424">
        <f>IF(OR(W$503&lt;$C521,W$503&lt;$H$2),0,MIN($E521-SUM($G521:V521),$F521))</f>
        <v>0.17320992260869567</v>
      </c>
      <c r="X521" s="424">
        <f>IF(OR(X$503&lt;$C521,X$503&lt;$H$2),0,MIN($E521-SUM($G521:W521),$F521))</f>
        <v>0.17320992260869567</v>
      </c>
      <c r="Y521" s="424">
        <f>IF(OR(Y$503&lt;$C521,Y$503&lt;$H$2),0,MIN($E521-SUM($G521:X521),$F521))</f>
        <v>0.17320992260869567</v>
      </c>
      <c r="Z521" s="424">
        <f>IF(OR(Z$503&lt;$C521,Z$503&lt;$H$2),0,MIN($E521-SUM($G521:Y521),$F521))</f>
        <v>0.17320992260869567</v>
      </c>
      <c r="AA521" s="424">
        <f>IF(OR(AA$503&lt;$C521,AA$503&lt;$H$2),0,MIN($E521-SUM($G521:Z521),$F521))</f>
        <v>0.17320992260869567</v>
      </c>
      <c r="AB521" s="424">
        <f>IF(OR(AB$503&lt;$C521,AB$503&lt;$H$2),0,MIN($E521-SUM($G521:AA521),$F521))</f>
        <v>0.17320992260869567</v>
      </c>
      <c r="AC521" s="424">
        <f>IF(OR(AC$503&lt;$C521,AC$503&lt;$H$2),0,MIN($E521-SUM($G521:AB521),$F521))</f>
        <v>0.17320992260869567</v>
      </c>
      <c r="AD521" s="424">
        <f>IF(OR(AD$503&lt;$C521,AD$503&lt;$H$2),0,MIN($E521-SUM($G521:AC521),$F521))</f>
        <v>0.17320992260869567</v>
      </c>
    </row>
    <row r="522" spans="3:30">
      <c r="C522" s="201">
        <v>51879</v>
      </c>
      <c r="D522" s="94" t="s">
        <v>134</v>
      </c>
      <c r="E522" s="424">
        <f t="shared" si="169"/>
        <v>12.569520000000001</v>
      </c>
      <c r="F522" s="209">
        <f t="shared" si="170"/>
        <v>0.54650086956521737</v>
      </c>
      <c r="H522" s="424">
        <f>IF(OR(H$503&lt;$C522,H$503&lt;$H$2),0,MIN($E522-SUM($G522:G522),$F522))</f>
        <v>0</v>
      </c>
      <c r="I522" s="424">
        <f>IF(OR(I$503&lt;$C522,I$503&lt;$H$2),0,MIN($E522-SUM($G522:H522),$F522))</f>
        <v>0</v>
      </c>
      <c r="J522" s="424">
        <f>IF(OR(J$503&lt;$C522,J$503&lt;$H$2),0,MIN($E522-SUM($G522:I522),$F522))</f>
        <v>0</v>
      </c>
      <c r="K522" s="424">
        <f>IF(OR(K$503&lt;$C522,K$503&lt;$H$2),0,MIN($E522-SUM($G522:J522),$F522))</f>
        <v>0</v>
      </c>
      <c r="L522" s="424">
        <f>IF(OR(L$503&lt;$C522,L$503&lt;$H$2),0,MIN($E522-SUM($G522:K522),$F522))</f>
        <v>0</v>
      </c>
      <c r="M522" s="424">
        <f>IF(OR(M$503&lt;$C522,M$503&lt;$H$2),0,MIN($E522-SUM($G522:L522),$F522))</f>
        <v>0</v>
      </c>
      <c r="N522" s="424">
        <f>IF(OR(N$503&lt;$C522,N$503&lt;$H$2),0,MIN($E522-SUM($G522:M522),$F522))</f>
        <v>0</v>
      </c>
      <c r="O522" s="424">
        <f>IF(OR(O$503&lt;$C522,O$503&lt;$H$2),0,MIN($E522-SUM($G522:N522),$F522))</f>
        <v>0</v>
      </c>
      <c r="P522" s="424">
        <f>IF(OR(P$503&lt;$C522,P$503&lt;$H$2),0,MIN($E522-SUM($G522:O522),$F522))</f>
        <v>0</v>
      </c>
      <c r="Q522" s="424">
        <f>IF(OR(Q$503&lt;$C522,Q$503&lt;$H$2),0,MIN($E522-SUM($G522:P522),$F522))</f>
        <v>0</v>
      </c>
      <c r="R522" s="424">
        <f>IF(OR(R$503&lt;$C522,R$503&lt;$H$2),0,MIN($E522-SUM($G522:Q522),$F522))</f>
        <v>0</v>
      </c>
      <c r="S522" s="424">
        <f>IF(OR(S$503&lt;$C522,S$503&lt;$H$2),0,MIN($E522-SUM($G522:R522),$F522))</f>
        <v>0</v>
      </c>
      <c r="T522" s="424">
        <f>IF(OR(T$503&lt;$C522,T$503&lt;$H$2),0,MIN($E522-SUM($G522:S522),$F522))</f>
        <v>0</v>
      </c>
      <c r="U522" s="424">
        <f>IF(OR(U$503&lt;$C522,U$503&lt;$H$2),0,MIN($E522-SUM($G522:T522),$F522))</f>
        <v>0</v>
      </c>
      <c r="V522" s="424">
        <f>IF(OR(V$503&lt;$C522,V$503&lt;$H$2),0,MIN($E522-SUM($G522:U522),$F522))</f>
        <v>0</v>
      </c>
      <c r="W522" s="424">
        <f>IF(OR(W$503&lt;$C522,W$503&lt;$H$2),0,MIN($E522-SUM($G522:V522),$F522))</f>
        <v>0</v>
      </c>
      <c r="X522" s="424">
        <f>IF(OR(X$503&lt;$C522,X$503&lt;$H$2),0,MIN($E522-SUM($G522:W522),$F522))</f>
        <v>0.54650086956521737</v>
      </c>
      <c r="Y522" s="424">
        <f>IF(OR(Y$503&lt;$C522,Y$503&lt;$H$2),0,MIN($E522-SUM($G522:X522),$F522))</f>
        <v>0.54650086956521737</v>
      </c>
      <c r="Z522" s="424">
        <f>IF(OR(Z$503&lt;$C522,Z$503&lt;$H$2),0,MIN($E522-SUM($G522:Y522),$F522))</f>
        <v>0.54650086956521737</v>
      </c>
      <c r="AA522" s="424">
        <f>IF(OR(AA$503&lt;$C522,AA$503&lt;$H$2),0,MIN($E522-SUM($G522:Z522),$F522))</f>
        <v>0.54650086956521737</v>
      </c>
      <c r="AB522" s="424">
        <f>IF(OR(AB$503&lt;$C522,AB$503&lt;$H$2),0,MIN($E522-SUM($G522:AA522),$F522))</f>
        <v>0.54650086956521737</v>
      </c>
      <c r="AC522" s="424">
        <f>IF(OR(AC$503&lt;$C522,AC$503&lt;$H$2),0,MIN($E522-SUM($G522:AB522),$F522))</f>
        <v>0.54650086956521737</v>
      </c>
      <c r="AD522" s="424">
        <f>IF(OR(AD$503&lt;$C522,AD$503&lt;$H$2),0,MIN($E522-SUM($G522:AC522),$F522))</f>
        <v>0.54650086956521737</v>
      </c>
    </row>
    <row r="523" spans="3:30">
      <c r="C523" s="201">
        <v>52245</v>
      </c>
      <c r="D523" s="94" t="s">
        <v>134</v>
      </c>
      <c r="E523" s="424">
        <f t="shared" si="169"/>
        <v>35.134317419999995</v>
      </c>
      <c r="F523" s="209">
        <f t="shared" si="170"/>
        <v>1.5275790182608693</v>
      </c>
      <c r="H523" s="424">
        <f>IF(OR(H$503&lt;$C523,H$503&lt;$H$2),0,MIN($E523-SUM($G523:G523),$F523))</f>
        <v>0</v>
      </c>
      <c r="I523" s="424">
        <f>IF(OR(I$503&lt;$C523,I$503&lt;$H$2),0,MIN($E523-SUM($G523:H523),$F523))</f>
        <v>0</v>
      </c>
      <c r="J523" s="424">
        <f>IF(OR(J$503&lt;$C523,J$503&lt;$H$2),0,MIN($E523-SUM($G523:I523),$F523))</f>
        <v>0</v>
      </c>
      <c r="K523" s="424">
        <f>IF(OR(K$503&lt;$C523,K$503&lt;$H$2),0,MIN($E523-SUM($G523:J523),$F523))</f>
        <v>0</v>
      </c>
      <c r="L523" s="424">
        <f>IF(OR(L$503&lt;$C523,L$503&lt;$H$2),0,MIN($E523-SUM($G523:K523),$F523))</f>
        <v>0</v>
      </c>
      <c r="M523" s="424">
        <f>IF(OR(M$503&lt;$C523,M$503&lt;$H$2),0,MIN($E523-SUM($G523:L523),$F523))</f>
        <v>0</v>
      </c>
      <c r="N523" s="424">
        <f>IF(OR(N$503&lt;$C523,N$503&lt;$H$2),0,MIN($E523-SUM($G523:M523),$F523))</f>
        <v>0</v>
      </c>
      <c r="O523" s="424">
        <f>IF(OR(O$503&lt;$C523,O$503&lt;$H$2),0,MIN($E523-SUM($G523:N523),$F523))</f>
        <v>0</v>
      </c>
      <c r="P523" s="424">
        <f>IF(OR(P$503&lt;$C523,P$503&lt;$H$2),0,MIN($E523-SUM($G523:O523),$F523))</f>
        <v>0</v>
      </c>
      <c r="Q523" s="424">
        <f>IF(OR(Q$503&lt;$C523,Q$503&lt;$H$2),0,MIN($E523-SUM($G523:P523),$F523))</f>
        <v>0</v>
      </c>
      <c r="R523" s="424">
        <f>IF(OR(R$503&lt;$C523,R$503&lt;$H$2),0,MIN($E523-SUM($G523:Q523),$F523))</f>
        <v>0</v>
      </c>
      <c r="S523" s="424">
        <f>IF(OR(S$503&lt;$C523,S$503&lt;$H$2),0,MIN($E523-SUM($G523:R523),$F523))</f>
        <v>0</v>
      </c>
      <c r="T523" s="424">
        <f>IF(OR(T$503&lt;$C523,T$503&lt;$H$2),0,MIN($E523-SUM($G523:S523),$F523))</f>
        <v>0</v>
      </c>
      <c r="U523" s="424">
        <f>IF(OR(U$503&lt;$C523,U$503&lt;$H$2),0,MIN($E523-SUM($G523:T523),$F523))</f>
        <v>0</v>
      </c>
      <c r="V523" s="424">
        <f>IF(OR(V$503&lt;$C523,V$503&lt;$H$2),0,MIN($E523-SUM($G523:U523),$F523))</f>
        <v>0</v>
      </c>
      <c r="W523" s="424">
        <f>IF(OR(W$503&lt;$C523,W$503&lt;$H$2),0,MIN($E523-SUM($G523:V523),$F523))</f>
        <v>0</v>
      </c>
      <c r="X523" s="424">
        <f>IF(OR(X$503&lt;$C523,X$503&lt;$H$2),0,MIN($E523-SUM($G523:W523),$F523))</f>
        <v>0</v>
      </c>
      <c r="Y523" s="424">
        <f>IF(OR(Y$503&lt;$C523,Y$503&lt;$H$2),0,MIN($E523-SUM($G523:X523),$F523))</f>
        <v>1.5275790182608693</v>
      </c>
      <c r="Z523" s="424">
        <f>IF(OR(Z$503&lt;$C523,Z$503&lt;$H$2),0,MIN($E523-SUM($G523:Y523),$F523))</f>
        <v>1.5275790182608693</v>
      </c>
      <c r="AA523" s="424">
        <f>IF(OR(AA$503&lt;$C523,AA$503&lt;$H$2),0,MIN($E523-SUM($G523:Z523),$F523))</f>
        <v>1.5275790182608693</v>
      </c>
      <c r="AB523" s="424">
        <f>IF(OR(AB$503&lt;$C523,AB$503&lt;$H$2),0,MIN($E523-SUM($G523:AA523),$F523))</f>
        <v>1.5275790182608693</v>
      </c>
      <c r="AC523" s="424">
        <f>IF(OR(AC$503&lt;$C523,AC$503&lt;$H$2),0,MIN($E523-SUM($G523:AB523),$F523))</f>
        <v>1.5275790182608693</v>
      </c>
      <c r="AD523" s="424">
        <f>IF(OR(AD$503&lt;$C523,AD$503&lt;$H$2),0,MIN($E523-SUM($G523:AC523),$F523))</f>
        <v>1.5275790182608693</v>
      </c>
    </row>
    <row r="524" spans="3:30">
      <c r="C524" s="201">
        <v>52611</v>
      </c>
      <c r="D524" s="94" t="s">
        <v>134</v>
      </c>
      <c r="E524" s="424">
        <f t="shared" si="169"/>
        <v>7.3968158330332097</v>
      </c>
      <c r="F524" s="209">
        <f t="shared" si="170"/>
        <v>0.32160068839274825</v>
      </c>
      <c r="H524" s="424">
        <f>IF(OR(H$503&lt;$C524,H$503&lt;$H$2),0,MIN($E524-SUM($G524:G524),$F524))</f>
        <v>0</v>
      </c>
      <c r="I524" s="424">
        <f>IF(OR(I$503&lt;$C524,I$503&lt;$H$2),0,MIN($E524-SUM($G524:H524),$F524))</f>
        <v>0</v>
      </c>
      <c r="J524" s="424">
        <f>IF(OR(J$503&lt;$C524,J$503&lt;$H$2),0,MIN($E524-SUM($G524:I524),$F524))</f>
        <v>0</v>
      </c>
      <c r="K524" s="424">
        <f>IF(OR(K$503&lt;$C524,K$503&lt;$H$2),0,MIN($E524-SUM($G524:J524),$F524))</f>
        <v>0</v>
      </c>
      <c r="L524" s="424">
        <f>IF(OR(L$503&lt;$C524,L$503&lt;$H$2),0,MIN($E524-SUM($G524:K524),$F524))</f>
        <v>0</v>
      </c>
      <c r="M524" s="424">
        <f>IF(OR(M$503&lt;$C524,M$503&lt;$H$2),0,MIN($E524-SUM($G524:L524),$F524))</f>
        <v>0</v>
      </c>
      <c r="N524" s="424">
        <f>IF(OR(N$503&lt;$C524,N$503&lt;$H$2),0,MIN($E524-SUM($G524:M524),$F524))</f>
        <v>0</v>
      </c>
      <c r="O524" s="424">
        <f>IF(OR(O$503&lt;$C524,O$503&lt;$H$2),0,MIN($E524-SUM($G524:N524),$F524))</f>
        <v>0</v>
      </c>
      <c r="P524" s="424">
        <f>IF(OR(P$503&lt;$C524,P$503&lt;$H$2),0,MIN($E524-SUM($G524:O524),$F524))</f>
        <v>0</v>
      </c>
      <c r="Q524" s="424">
        <f>IF(OR(Q$503&lt;$C524,Q$503&lt;$H$2),0,MIN($E524-SUM($G524:P524),$F524))</f>
        <v>0</v>
      </c>
      <c r="R524" s="424">
        <f>IF(OR(R$503&lt;$C524,R$503&lt;$H$2),0,MIN($E524-SUM($G524:Q524),$F524))</f>
        <v>0</v>
      </c>
      <c r="S524" s="424">
        <f>IF(OR(S$503&lt;$C524,S$503&lt;$H$2),0,MIN($E524-SUM($G524:R524),$F524))</f>
        <v>0</v>
      </c>
      <c r="T524" s="424">
        <f>IF(OR(T$503&lt;$C524,T$503&lt;$H$2),0,MIN($E524-SUM($G524:S524),$F524))</f>
        <v>0</v>
      </c>
      <c r="U524" s="424">
        <f>IF(OR(U$503&lt;$C524,U$503&lt;$H$2),0,MIN($E524-SUM($G524:T524),$F524))</f>
        <v>0</v>
      </c>
      <c r="V524" s="424">
        <f>IF(OR(V$503&lt;$C524,V$503&lt;$H$2),0,MIN($E524-SUM($G524:U524),$F524))</f>
        <v>0</v>
      </c>
      <c r="W524" s="424">
        <f>IF(OR(W$503&lt;$C524,W$503&lt;$H$2),0,MIN($E524-SUM($G524:V524),$F524))</f>
        <v>0</v>
      </c>
      <c r="X524" s="424">
        <f>IF(OR(X$503&lt;$C524,X$503&lt;$H$2),0,MIN($E524-SUM($G524:W524),$F524))</f>
        <v>0</v>
      </c>
      <c r="Y524" s="424">
        <f>IF(OR(Y$503&lt;$C524,Y$503&lt;$H$2),0,MIN($E524-SUM($G524:X524),$F524))</f>
        <v>0</v>
      </c>
      <c r="Z524" s="424">
        <f>IF(OR(Z$503&lt;$C524,Z$503&lt;$H$2),0,MIN($E524-SUM($G524:Y524),$F524))</f>
        <v>0.32160068839274825</v>
      </c>
      <c r="AA524" s="424">
        <f>IF(OR(AA$503&lt;$C524,AA$503&lt;$H$2),0,MIN($E524-SUM($G524:Z524),$F524))</f>
        <v>0.32160068839274825</v>
      </c>
      <c r="AB524" s="424">
        <f>IF(OR(AB$503&lt;$C524,AB$503&lt;$H$2),0,MIN($E524-SUM($G524:AA524),$F524))</f>
        <v>0.32160068839274825</v>
      </c>
      <c r="AC524" s="424">
        <f>IF(OR(AC$503&lt;$C524,AC$503&lt;$H$2),0,MIN($E524-SUM($G524:AB524),$F524))</f>
        <v>0.32160068839274825</v>
      </c>
      <c r="AD524" s="424">
        <f>IF(OR(AD$503&lt;$C524,AD$503&lt;$H$2),0,MIN($E524-SUM($G524:AC524),$F524))</f>
        <v>0.32160068839274825</v>
      </c>
    </row>
    <row r="525" spans="3:30">
      <c r="C525" s="201">
        <v>52977</v>
      </c>
      <c r="D525" s="94" t="s">
        <v>134</v>
      </c>
      <c r="E525" s="424">
        <f t="shared" si="169"/>
        <v>31.961556992027454</v>
      </c>
      <c r="F525" s="209">
        <f t="shared" si="170"/>
        <v>1.3896329126968459</v>
      </c>
      <c r="H525" s="424">
        <f>IF(OR(H$503&lt;$C525,H$503&lt;$H$2),0,MIN($E525-SUM($G525:G525),$F525))</f>
        <v>0</v>
      </c>
      <c r="I525" s="424">
        <f>IF(OR(I$503&lt;$C525,I$503&lt;$H$2),0,MIN($E525-SUM($G525:H525),$F525))</f>
        <v>0</v>
      </c>
      <c r="J525" s="424">
        <f>IF(OR(J$503&lt;$C525,J$503&lt;$H$2),0,MIN($E525-SUM($G525:I525),$F525))</f>
        <v>0</v>
      </c>
      <c r="K525" s="424">
        <f>IF(OR(K$503&lt;$C525,K$503&lt;$H$2),0,MIN($E525-SUM($G525:J525),$F525))</f>
        <v>0</v>
      </c>
      <c r="L525" s="424">
        <f>IF(OR(L$503&lt;$C525,L$503&lt;$H$2),0,MIN($E525-SUM($G525:K525),$F525))</f>
        <v>0</v>
      </c>
      <c r="M525" s="424">
        <f>IF(OR(M$503&lt;$C525,M$503&lt;$H$2),0,MIN($E525-SUM($G525:L525),$F525))</f>
        <v>0</v>
      </c>
      <c r="N525" s="424">
        <f>IF(OR(N$503&lt;$C525,N$503&lt;$H$2),0,MIN($E525-SUM($G525:M525),$F525))</f>
        <v>0</v>
      </c>
      <c r="O525" s="424">
        <f>IF(OR(O$503&lt;$C525,O$503&lt;$H$2),0,MIN($E525-SUM($G525:N525),$F525))</f>
        <v>0</v>
      </c>
      <c r="P525" s="424">
        <f>IF(OR(P$503&lt;$C525,P$503&lt;$H$2),0,MIN($E525-SUM($G525:O525),$F525))</f>
        <v>0</v>
      </c>
      <c r="Q525" s="424">
        <f>IF(OR(Q$503&lt;$C525,Q$503&lt;$H$2),0,MIN($E525-SUM($G525:P525),$F525))</f>
        <v>0</v>
      </c>
      <c r="R525" s="424">
        <f>IF(OR(R$503&lt;$C525,R$503&lt;$H$2),0,MIN($E525-SUM($G525:Q525),$F525))</f>
        <v>0</v>
      </c>
      <c r="S525" s="424">
        <f>IF(OR(S$503&lt;$C525,S$503&lt;$H$2),0,MIN($E525-SUM($G525:R525),$F525))</f>
        <v>0</v>
      </c>
      <c r="T525" s="424">
        <f>IF(OR(T$503&lt;$C525,T$503&lt;$H$2),0,MIN($E525-SUM($G525:S525),$F525))</f>
        <v>0</v>
      </c>
      <c r="U525" s="424">
        <f>IF(OR(U$503&lt;$C525,U$503&lt;$H$2),0,MIN($E525-SUM($G525:T525),$F525))</f>
        <v>0</v>
      </c>
      <c r="V525" s="424">
        <f>IF(OR(V$503&lt;$C525,V$503&lt;$H$2),0,MIN($E525-SUM($G525:U525),$F525))</f>
        <v>0</v>
      </c>
      <c r="W525" s="424">
        <f>IF(OR(W$503&lt;$C525,W$503&lt;$H$2),0,MIN($E525-SUM($G525:V525),$F525))</f>
        <v>0</v>
      </c>
      <c r="X525" s="424">
        <f>IF(OR(X$503&lt;$C525,X$503&lt;$H$2),0,MIN($E525-SUM($G525:W525),$F525))</f>
        <v>0</v>
      </c>
      <c r="Y525" s="424">
        <f>IF(OR(Y$503&lt;$C525,Y$503&lt;$H$2),0,MIN($E525-SUM($G525:X525),$F525))</f>
        <v>0</v>
      </c>
      <c r="Z525" s="424">
        <f>IF(OR(Z$503&lt;$C525,Z$503&lt;$H$2),0,MIN($E525-SUM($G525:Y525),$F525))</f>
        <v>0</v>
      </c>
      <c r="AA525" s="424">
        <f>IF(OR(AA$503&lt;$C525,AA$503&lt;$H$2),0,MIN($E525-SUM($G525:Z525),$F525))</f>
        <v>1.3896329126968459</v>
      </c>
      <c r="AB525" s="424">
        <f>IF(OR(AB$503&lt;$C525,AB$503&lt;$H$2),0,MIN($E525-SUM($G525:AA525),$F525))</f>
        <v>1.3896329126968459</v>
      </c>
      <c r="AC525" s="424">
        <f>IF(OR(AC$503&lt;$C525,AC$503&lt;$H$2),0,MIN($E525-SUM($G525:AB525),$F525))</f>
        <v>1.3896329126968459</v>
      </c>
      <c r="AD525" s="424">
        <f>IF(OR(AD$503&lt;$C525,AD$503&lt;$H$2),0,MIN($E525-SUM($G525:AC525),$F525))</f>
        <v>1.3896329126968459</v>
      </c>
    </row>
    <row r="526" spans="3:30">
      <c r="C526" s="201">
        <v>53343</v>
      </c>
      <c r="D526" s="94" t="s">
        <v>134</v>
      </c>
      <c r="E526" s="424">
        <f t="shared" si="169"/>
        <v>4.2135391745940476</v>
      </c>
      <c r="F526" s="209">
        <f t="shared" si="170"/>
        <v>0.1831973554171325</v>
      </c>
      <c r="H526" s="424">
        <f>IF(OR(H$503&lt;$C526,H$503&lt;$H$2),0,MIN($E526-SUM($G526:G526),$F526))</f>
        <v>0</v>
      </c>
      <c r="I526" s="424">
        <f>IF(OR(I$503&lt;$C526,I$503&lt;$H$2),0,MIN($E526-SUM($G526:H526),$F526))</f>
        <v>0</v>
      </c>
      <c r="J526" s="424">
        <f>IF(OR(J$503&lt;$C526,J$503&lt;$H$2),0,MIN($E526-SUM($G526:I526),$F526))</f>
        <v>0</v>
      </c>
      <c r="K526" s="424">
        <f>IF(OR(K$503&lt;$C526,K$503&lt;$H$2),0,MIN($E526-SUM($G526:J526),$F526))</f>
        <v>0</v>
      </c>
      <c r="L526" s="424">
        <f>IF(OR(L$503&lt;$C526,L$503&lt;$H$2),0,MIN($E526-SUM($G526:K526),$F526))</f>
        <v>0</v>
      </c>
      <c r="M526" s="424">
        <f>IF(OR(M$503&lt;$C526,M$503&lt;$H$2),0,MIN($E526-SUM($G526:L526),$F526))</f>
        <v>0</v>
      </c>
      <c r="N526" s="424">
        <f>IF(OR(N$503&lt;$C526,N$503&lt;$H$2),0,MIN($E526-SUM($G526:M526),$F526))</f>
        <v>0</v>
      </c>
      <c r="O526" s="424">
        <f>IF(OR(O$503&lt;$C526,O$503&lt;$H$2),0,MIN($E526-SUM($G526:N526),$F526))</f>
        <v>0</v>
      </c>
      <c r="P526" s="424">
        <f>IF(OR(P$503&lt;$C526,P$503&lt;$H$2),0,MIN($E526-SUM($G526:O526),$F526))</f>
        <v>0</v>
      </c>
      <c r="Q526" s="424">
        <f>IF(OR(Q$503&lt;$C526,Q$503&lt;$H$2),0,MIN($E526-SUM($G526:P526),$F526))</f>
        <v>0</v>
      </c>
      <c r="R526" s="424">
        <f>IF(OR(R$503&lt;$C526,R$503&lt;$H$2),0,MIN($E526-SUM($G526:Q526),$F526))</f>
        <v>0</v>
      </c>
      <c r="S526" s="424">
        <f>IF(OR(S$503&lt;$C526,S$503&lt;$H$2),0,MIN($E526-SUM($G526:R526),$F526))</f>
        <v>0</v>
      </c>
      <c r="T526" s="424">
        <f>IF(OR(T$503&lt;$C526,T$503&lt;$H$2),0,MIN($E526-SUM($G526:S526),$F526))</f>
        <v>0</v>
      </c>
      <c r="U526" s="424">
        <f>IF(OR(U$503&lt;$C526,U$503&lt;$H$2),0,MIN($E526-SUM($G526:T526),$F526))</f>
        <v>0</v>
      </c>
      <c r="V526" s="424">
        <f>IF(OR(V$503&lt;$C526,V$503&lt;$H$2),0,MIN($E526-SUM($G526:U526),$F526))</f>
        <v>0</v>
      </c>
      <c r="W526" s="424">
        <f>IF(OR(W$503&lt;$C526,W$503&lt;$H$2),0,MIN($E526-SUM($G526:V526),$F526))</f>
        <v>0</v>
      </c>
      <c r="X526" s="424">
        <f>IF(OR(X$503&lt;$C526,X$503&lt;$H$2),0,MIN($E526-SUM($G526:W526),$F526))</f>
        <v>0</v>
      </c>
      <c r="Y526" s="424">
        <f>IF(OR(Y$503&lt;$C526,Y$503&lt;$H$2),0,MIN($E526-SUM($G526:X526),$F526))</f>
        <v>0</v>
      </c>
      <c r="Z526" s="424">
        <f>IF(OR(Z$503&lt;$C526,Z$503&lt;$H$2),0,MIN($E526-SUM($G526:Y526),$F526))</f>
        <v>0</v>
      </c>
      <c r="AA526" s="424">
        <f>IF(OR(AA$503&lt;$C526,AA$503&lt;$H$2),0,MIN($E526-SUM($G526:Z526),$F526))</f>
        <v>0</v>
      </c>
      <c r="AB526" s="424">
        <f>IF(OR(AB$503&lt;$C526,AB$503&lt;$H$2),0,MIN($E526-SUM($G526:AA526),$F526))</f>
        <v>0.1831973554171325</v>
      </c>
      <c r="AC526" s="424">
        <f>IF(OR(AC$503&lt;$C526,AC$503&lt;$H$2),0,MIN($E526-SUM($G526:AB526),$F526))</f>
        <v>0.1831973554171325</v>
      </c>
      <c r="AD526" s="424">
        <f>IF(OR(AD$503&lt;$C526,AD$503&lt;$H$2),0,MIN($E526-SUM($G526:AC526),$F526))</f>
        <v>0.1831973554171325</v>
      </c>
    </row>
    <row r="527" spans="3:30">
      <c r="C527" s="201">
        <v>53709</v>
      </c>
      <c r="D527" s="94" t="s">
        <v>134</v>
      </c>
      <c r="E527" s="424">
        <f t="shared" si="169"/>
        <v>14.002824392027462</v>
      </c>
      <c r="F527" s="209">
        <f t="shared" si="170"/>
        <v>0.60881845182728089</v>
      </c>
      <c r="H527" s="424">
        <f>IF(OR(H$503&lt;$C527,H$503&lt;$H$2),0,MIN($E527-SUM($G527:G527),$F527))</f>
        <v>0</v>
      </c>
      <c r="I527" s="424">
        <f>IF(OR(I$503&lt;$C527,I$503&lt;$H$2),0,MIN($E527-SUM($G527:H527),$F527))</f>
        <v>0</v>
      </c>
      <c r="J527" s="424">
        <f>IF(OR(J$503&lt;$C527,J$503&lt;$H$2),0,MIN($E527-SUM($G527:I527),$F527))</f>
        <v>0</v>
      </c>
      <c r="K527" s="424">
        <f>IF(OR(K$503&lt;$C527,K$503&lt;$H$2),0,MIN($E527-SUM($G527:J527),$F527))</f>
        <v>0</v>
      </c>
      <c r="L527" s="424">
        <f>IF(OR(L$503&lt;$C527,L$503&lt;$H$2),0,MIN($E527-SUM($G527:K527),$F527))</f>
        <v>0</v>
      </c>
      <c r="M527" s="424">
        <f>IF(OR(M$503&lt;$C527,M$503&lt;$H$2),0,MIN($E527-SUM($G527:L527),$F527))</f>
        <v>0</v>
      </c>
      <c r="N527" s="424">
        <f>IF(OR(N$503&lt;$C527,N$503&lt;$H$2),0,MIN($E527-SUM($G527:M527),$F527))</f>
        <v>0</v>
      </c>
      <c r="O527" s="424">
        <f>IF(OR(O$503&lt;$C527,O$503&lt;$H$2),0,MIN($E527-SUM($G527:N527),$F527))</f>
        <v>0</v>
      </c>
      <c r="P527" s="424">
        <f>IF(OR(P$503&lt;$C527,P$503&lt;$H$2),0,MIN($E527-SUM($G527:O527),$F527))</f>
        <v>0</v>
      </c>
      <c r="Q527" s="424">
        <f>IF(OR(Q$503&lt;$C527,Q$503&lt;$H$2),0,MIN($E527-SUM($G527:P527),$F527))</f>
        <v>0</v>
      </c>
      <c r="R527" s="424">
        <f>IF(OR(R$503&lt;$C527,R$503&lt;$H$2),0,MIN($E527-SUM($G527:Q527),$F527))</f>
        <v>0</v>
      </c>
      <c r="S527" s="424">
        <f>IF(OR(S$503&lt;$C527,S$503&lt;$H$2),0,MIN($E527-SUM($G527:R527),$F527))</f>
        <v>0</v>
      </c>
      <c r="T527" s="424">
        <f>IF(OR(T$503&lt;$C527,T$503&lt;$H$2),0,MIN($E527-SUM($G527:S527),$F527))</f>
        <v>0</v>
      </c>
      <c r="U527" s="424">
        <f>IF(OR(U$503&lt;$C527,U$503&lt;$H$2),0,MIN($E527-SUM($G527:T527),$F527))</f>
        <v>0</v>
      </c>
      <c r="V527" s="424">
        <f>IF(OR(V$503&lt;$C527,V$503&lt;$H$2),0,MIN($E527-SUM($G527:U527),$F527))</f>
        <v>0</v>
      </c>
      <c r="W527" s="424">
        <f>IF(OR(W$503&lt;$C527,W$503&lt;$H$2),0,MIN($E527-SUM($G527:V527),$F527))</f>
        <v>0</v>
      </c>
      <c r="X527" s="424">
        <f>IF(OR(X$503&lt;$C527,X$503&lt;$H$2),0,MIN($E527-SUM($G527:W527),$F527))</f>
        <v>0</v>
      </c>
      <c r="Y527" s="424">
        <f>IF(OR(Y$503&lt;$C527,Y$503&lt;$H$2),0,MIN($E527-SUM($G527:X527),$F527))</f>
        <v>0</v>
      </c>
      <c r="Z527" s="424">
        <f>IF(OR(Z$503&lt;$C527,Z$503&lt;$H$2),0,MIN($E527-SUM($G527:Y527),$F527))</f>
        <v>0</v>
      </c>
      <c r="AA527" s="424">
        <f>IF(OR(AA$503&lt;$C527,AA$503&lt;$H$2),0,MIN($E527-SUM($G527:Z527),$F527))</f>
        <v>0</v>
      </c>
      <c r="AB527" s="424">
        <f>IF(OR(AB$503&lt;$C527,AB$503&lt;$H$2),0,MIN($E527-SUM($G527:AA527),$F527))</f>
        <v>0</v>
      </c>
      <c r="AC527" s="424">
        <f>IF(OR(AC$503&lt;$C527,AC$503&lt;$H$2),0,MIN($E527-SUM($G527:AB527),$F527))</f>
        <v>0.60881845182728089</v>
      </c>
      <c r="AD527" s="424">
        <f>IF(OR(AD$503&lt;$C527,AD$503&lt;$H$2),0,MIN($E527-SUM($G527:AC527),$F527))</f>
        <v>0.60881845182728089</v>
      </c>
    </row>
    <row r="528" spans="3:30">
      <c r="C528" s="201">
        <v>54075</v>
      </c>
      <c r="D528" s="94" t="s">
        <v>134</v>
      </c>
      <c r="E528" s="424">
        <f t="shared" si="169"/>
        <v>23.553839999999997</v>
      </c>
      <c r="F528" s="209">
        <f t="shared" si="170"/>
        <v>1.0240799999999999</v>
      </c>
      <c r="H528" s="424">
        <f>IF(OR(H$503&lt;$C528,H$503&lt;$H$2),0,MIN($E528-SUM($G528:G528),$F528))</f>
        <v>0</v>
      </c>
      <c r="I528" s="424">
        <f>IF(OR(I$503&lt;$C528,I$503&lt;$H$2),0,MIN($E528-SUM($G528:H528),$F528))</f>
        <v>0</v>
      </c>
      <c r="J528" s="424">
        <f>IF(OR(J$503&lt;$C528,J$503&lt;$H$2),0,MIN($E528-SUM($G528:I528),$F528))</f>
        <v>0</v>
      </c>
      <c r="K528" s="424">
        <f>IF(OR(K$503&lt;$C528,K$503&lt;$H$2),0,MIN($E528-SUM($G528:J528),$F528))</f>
        <v>0</v>
      </c>
      <c r="L528" s="424">
        <f>IF(OR(L$503&lt;$C528,L$503&lt;$H$2),0,MIN($E528-SUM($G528:K528),$F528))</f>
        <v>0</v>
      </c>
      <c r="M528" s="424">
        <f>IF(OR(M$503&lt;$C528,M$503&lt;$H$2),0,MIN($E528-SUM($G528:L528),$F528))</f>
        <v>0</v>
      </c>
      <c r="N528" s="424">
        <f>IF(OR(N$503&lt;$C528,N$503&lt;$H$2),0,MIN($E528-SUM($G528:M528),$F528))</f>
        <v>0</v>
      </c>
      <c r="O528" s="424">
        <f>IF(OR(O$503&lt;$C528,O$503&lt;$H$2),0,MIN($E528-SUM($G528:N528),$F528))</f>
        <v>0</v>
      </c>
      <c r="P528" s="424">
        <f>IF(OR(P$503&lt;$C528,P$503&lt;$H$2),0,MIN($E528-SUM($G528:O528),$F528))</f>
        <v>0</v>
      </c>
      <c r="Q528" s="424">
        <f>IF(OR(Q$503&lt;$C528,Q$503&lt;$H$2),0,MIN($E528-SUM($G528:P528),$F528))</f>
        <v>0</v>
      </c>
      <c r="R528" s="424">
        <f>IF(OR(R$503&lt;$C528,R$503&lt;$H$2),0,MIN($E528-SUM($G528:Q528),$F528))</f>
        <v>0</v>
      </c>
      <c r="S528" s="424">
        <f>IF(OR(S$503&lt;$C528,S$503&lt;$H$2),0,MIN($E528-SUM($G528:R528),$F528))</f>
        <v>0</v>
      </c>
      <c r="T528" s="424">
        <f>IF(OR(T$503&lt;$C528,T$503&lt;$H$2),0,MIN($E528-SUM($G528:S528),$F528))</f>
        <v>0</v>
      </c>
      <c r="U528" s="424">
        <f>IF(OR(U$503&lt;$C528,U$503&lt;$H$2),0,MIN($E528-SUM($G528:T528),$F528))</f>
        <v>0</v>
      </c>
      <c r="V528" s="424">
        <f>IF(OR(V$503&lt;$C528,V$503&lt;$H$2),0,MIN($E528-SUM($G528:U528),$F528))</f>
        <v>0</v>
      </c>
      <c r="W528" s="424">
        <f>IF(OR(W$503&lt;$C528,W$503&lt;$H$2),0,MIN($E528-SUM($G528:V528),$F528))</f>
        <v>0</v>
      </c>
      <c r="X528" s="424">
        <f>IF(OR(X$503&lt;$C528,X$503&lt;$H$2),0,MIN($E528-SUM($G528:W528),$F528))</f>
        <v>0</v>
      </c>
      <c r="Y528" s="424">
        <f>IF(OR(Y$503&lt;$C528,Y$503&lt;$H$2),0,MIN($E528-SUM($G528:X528),$F528))</f>
        <v>0</v>
      </c>
      <c r="Z528" s="424">
        <f>IF(OR(Z$503&lt;$C528,Z$503&lt;$H$2),0,MIN($E528-SUM($G528:Y528),$F528))</f>
        <v>0</v>
      </c>
      <c r="AA528" s="424">
        <f>IF(OR(AA$503&lt;$C528,AA$503&lt;$H$2),0,MIN($E528-SUM($G528:Z528),$F528))</f>
        <v>0</v>
      </c>
      <c r="AB528" s="424">
        <f>IF(OR(AB$503&lt;$C528,AB$503&lt;$H$2),0,MIN($E528-SUM($G528:AA528),$F528))</f>
        <v>0</v>
      </c>
      <c r="AC528" s="424">
        <f>IF(OR(AC$503&lt;$C528,AC$503&lt;$H$2),0,MIN($E528-SUM($G528:AB528),$F528))</f>
        <v>0</v>
      </c>
      <c r="AD528" s="424">
        <f>IF(OR(AD$503&lt;$C528,AD$503&lt;$H$2),0,MIN($E528-SUM($G528:AC528),$F528))</f>
        <v>1.0240799999999999</v>
      </c>
    </row>
    <row r="529" spans="3:30" ht="14" thickBot="1">
      <c r="C529" s="240" t="s">
        <v>543</v>
      </c>
      <c r="D529" s="348" t="s">
        <v>134</v>
      </c>
      <c r="E529" s="427">
        <f ca="1">SUM(E506:E528)</f>
        <v>826.25941280949087</v>
      </c>
      <c r="F529" s="427">
        <f ca="1">SUM(F506:F528)</f>
        <v>35.924322296064823</v>
      </c>
      <c r="G529" s="348"/>
      <c r="H529" s="427">
        <f t="shared" ref="H529:AD529" ca="1" si="171">SUM(H506:H528)</f>
        <v>0.74419734782608671</v>
      </c>
      <c r="I529" s="427">
        <f t="shared" ca="1" si="171"/>
        <v>2.6920290083178253</v>
      </c>
      <c r="J529" s="427">
        <f t="shared" ca="1" si="171"/>
        <v>6.5353970573413029</v>
      </c>
      <c r="K529" s="427">
        <f t="shared" ca="1" si="171"/>
        <v>9.4695368454952149</v>
      </c>
      <c r="L529" s="427">
        <f t="shared" ca="1" si="171"/>
        <v>12.092419804920061</v>
      </c>
      <c r="M529" s="427">
        <f t="shared" ca="1" si="171"/>
        <v>13.14617977008656</v>
      </c>
      <c r="N529" s="427">
        <f t="shared" ca="1" si="171"/>
        <v>14.359952735361738</v>
      </c>
      <c r="O529" s="427">
        <f t="shared" ca="1" si="171"/>
        <v>17.693218048893002</v>
      </c>
      <c r="P529" s="427">
        <f t="shared" ca="1" si="171"/>
        <v>19.553286240347358</v>
      </c>
      <c r="Q529" s="427">
        <f t="shared" ca="1" si="171"/>
        <v>22.533107750679171</v>
      </c>
      <c r="R529" s="427">
        <f t="shared" ca="1" si="171"/>
        <v>24.396448061010982</v>
      </c>
      <c r="S529" s="427">
        <f t="shared" ca="1" si="171"/>
        <v>26.665907248499057</v>
      </c>
      <c r="T529" s="427">
        <f t="shared" ca="1" si="171"/>
        <v>28.663839277705993</v>
      </c>
      <c r="U529" s="427">
        <f t="shared" ca="1" si="171"/>
        <v>29.343091743700771</v>
      </c>
      <c r="V529" s="427">
        <f t="shared" ca="1" si="171"/>
        <v>30.149703077296031</v>
      </c>
      <c r="W529" s="427">
        <f t="shared" ca="1" si="171"/>
        <v>30.322912999904727</v>
      </c>
      <c r="X529" s="427">
        <f t="shared" ca="1" si="171"/>
        <v>30.869413869469945</v>
      </c>
      <c r="Y529" s="427">
        <f t="shared" ca="1" si="171"/>
        <v>32.396992887730811</v>
      </c>
      <c r="Z529" s="427">
        <f t="shared" ca="1" si="171"/>
        <v>32.71859357612356</v>
      </c>
      <c r="AA529" s="427">
        <f t="shared" ca="1" si="171"/>
        <v>34.108226488820407</v>
      </c>
      <c r="AB529" s="427">
        <f t="shared" ca="1" si="171"/>
        <v>34.291423844237542</v>
      </c>
      <c r="AC529" s="427">
        <f t="shared" ca="1" si="171"/>
        <v>34.900242296064825</v>
      </c>
      <c r="AD529" s="427">
        <f t="shared" ca="1" si="171"/>
        <v>35.924322296064823</v>
      </c>
    </row>
    <row r="530" spans="3:30" ht="14" thickTop="1"/>
    <row r="535" spans="3:30">
      <c r="C535" t="s">
        <v>557</v>
      </c>
      <c r="D535" s="438" t="s">
        <v>558</v>
      </c>
    </row>
    <row r="536" spans="3:30">
      <c r="D536" s="438" t="s">
        <v>559</v>
      </c>
    </row>
    <row r="537" spans="3:30">
      <c r="D537" s="438" t="s">
        <v>560</v>
      </c>
    </row>
  </sheetData>
  <dataValidations count="1">
    <dataValidation type="list" allowBlank="1" showInputMessage="1" showErrorMessage="1" sqref="B9:B22 B25:B32" xr:uid="{986A37C2-AF18-46E7-B7B3-132085DA148A}">
      <formula1>"Yes,No"</formula1>
    </dataValidation>
  </dataValidations>
  <hyperlinks>
    <hyperlink ref="D535" r:id="rId1" xr:uid="{0B682E70-6CC2-4C3B-A1AB-6F9561262FC8}"/>
    <hyperlink ref="D536" r:id="rId2" xr:uid="{23CF3D6D-24C4-44A9-86E6-8DD38129DEEF}"/>
    <hyperlink ref="D537" r:id="rId3" xr:uid="{04276143-5123-424A-802E-29F9096C167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4434-5178-4429-A024-3A9ED3CEEF2C}">
  <sheetPr codeName="Sheet48">
    <tabColor rgb="FF0070C0"/>
  </sheetPr>
  <dimension ref="B2:AK621"/>
  <sheetViews>
    <sheetView showGridLines="0" workbookViewId="0"/>
  </sheetViews>
  <sheetFormatPr baseColWidth="10" defaultColWidth="8.83203125" defaultRowHeight="13" outlineLevelRow="1"/>
  <cols>
    <col min="3" max="3" width="49.5" bestFit="1" customWidth="1"/>
    <col min="5" max="5" width="9.6640625" bestFit="1" customWidth="1"/>
    <col min="6" max="6" width="12.6640625" customWidth="1"/>
    <col min="11" max="11" width="9.33203125" bestFit="1" customWidth="1"/>
  </cols>
  <sheetData>
    <row r="2" spans="2:37">
      <c r="C2" s="140" t="s">
        <v>538</v>
      </c>
      <c r="H2" s="201">
        <f>'Production Schedule'!E1</f>
        <v>46023</v>
      </c>
      <c r="I2" s="201">
        <f>'Production Schedule'!F1</f>
        <v>46389</v>
      </c>
      <c r="J2" s="201">
        <f>'Production Schedule'!G1</f>
        <v>46755</v>
      </c>
      <c r="K2" s="201">
        <f>'Production Schedule'!H1</f>
        <v>47121</v>
      </c>
      <c r="L2" s="201">
        <f>'Production Schedule'!I1</f>
        <v>47487</v>
      </c>
      <c r="M2" s="201">
        <f>'Production Schedule'!J1</f>
        <v>47853</v>
      </c>
      <c r="N2" s="201">
        <f>'Production Schedule'!K1</f>
        <v>48219</v>
      </c>
      <c r="O2" s="201">
        <f>'Production Schedule'!L1</f>
        <v>48585</v>
      </c>
      <c r="P2" s="201">
        <f>'Production Schedule'!M1</f>
        <v>48951</v>
      </c>
      <c r="Q2" s="201">
        <f>'Production Schedule'!N1</f>
        <v>49317</v>
      </c>
      <c r="R2" s="201">
        <f>'Production Schedule'!O1</f>
        <v>49683</v>
      </c>
      <c r="S2" s="201">
        <f>'Production Schedule'!P1</f>
        <v>50049</v>
      </c>
      <c r="T2" s="201">
        <f>'Production Schedule'!Q1</f>
        <v>50415</v>
      </c>
      <c r="U2" s="201">
        <f>'Production Schedule'!R1</f>
        <v>50781</v>
      </c>
      <c r="V2" s="201">
        <f>'Production Schedule'!S1</f>
        <v>51147</v>
      </c>
      <c r="W2" s="201">
        <f>'Production Schedule'!T1</f>
        <v>51513</v>
      </c>
      <c r="X2" s="201">
        <f>'Production Schedule'!U1</f>
        <v>51879</v>
      </c>
      <c r="Y2" s="201">
        <f>'Production Schedule'!V1</f>
        <v>52245</v>
      </c>
      <c r="Z2" s="201">
        <f>'Production Schedule'!W1</f>
        <v>52611</v>
      </c>
      <c r="AA2" s="201">
        <f>'Production Schedule'!X1</f>
        <v>52977</v>
      </c>
      <c r="AB2" s="201">
        <f>'Production Schedule'!Y1</f>
        <v>53343</v>
      </c>
      <c r="AC2" s="201">
        <f>'Production Schedule'!Z1</f>
        <v>53709</v>
      </c>
      <c r="AD2" s="201">
        <f>'Production Schedule'!AA1</f>
        <v>54075</v>
      </c>
      <c r="AE2" s="201">
        <f>'Production Schedule'!AB1</f>
        <v>0</v>
      </c>
      <c r="AF2" s="201">
        <f>'Production Schedule'!AC1</f>
        <v>0</v>
      </c>
      <c r="AG2" s="201">
        <f>'Production Schedule'!AD1</f>
        <v>0</v>
      </c>
      <c r="AH2" s="201">
        <f>'Production Schedule'!AE1</f>
        <v>0</v>
      </c>
      <c r="AI2" s="201">
        <f>'Production Schedule'!AF1</f>
        <v>0</v>
      </c>
      <c r="AJ2" s="201">
        <f>'Production Schedule'!AG1</f>
        <v>0</v>
      </c>
      <c r="AK2" s="201">
        <f>'Production Schedule'!AH1</f>
        <v>0</v>
      </c>
    </row>
    <row r="3" spans="2:37">
      <c r="C3" s="140"/>
      <c r="D3" s="144" t="s">
        <v>88</v>
      </c>
      <c r="E3" s="144" t="s">
        <v>267</v>
      </c>
      <c r="F3" s="144"/>
      <c r="G3" s="144"/>
      <c r="H3" s="1141">
        <f>'Production Schedule'!E3</f>
        <v>-4</v>
      </c>
      <c r="I3" s="1141">
        <f>'Production Schedule'!F3</f>
        <v>-3</v>
      </c>
      <c r="J3" s="1141">
        <f>'Production Schedule'!G3</f>
        <v>-2</v>
      </c>
      <c r="K3" s="1141">
        <f>'Production Schedule'!H3</f>
        <v>-1</v>
      </c>
      <c r="L3" s="1141">
        <f>'Production Schedule'!I3</f>
        <v>1</v>
      </c>
      <c r="M3" s="1141">
        <f>'Production Schedule'!J3</f>
        <v>2</v>
      </c>
      <c r="N3" s="1141">
        <f>'Production Schedule'!K3</f>
        <v>3</v>
      </c>
      <c r="O3" s="1141">
        <f>'Production Schedule'!L3</f>
        <v>4</v>
      </c>
      <c r="P3" s="1141">
        <f>'Production Schedule'!M3</f>
        <v>5</v>
      </c>
      <c r="Q3" s="1141">
        <f>'Production Schedule'!N3</f>
        <v>6</v>
      </c>
      <c r="R3" s="1141">
        <f>'Production Schedule'!O3</f>
        <v>7</v>
      </c>
      <c r="S3" s="1141">
        <f>'Production Schedule'!P3</f>
        <v>8</v>
      </c>
      <c r="T3" s="1141">
        <f>'Production Schedule'!Q3</f>
        <v>9</v>
      </c>
      <c r="U3" s="1141">
        <f>'Production Schedule'!R3</f>
        <v>10</v>
      </c>
      <c r="V3" s="1141">
        <f>'Production Schedule'!S3</f>
        <v>11</v>
      </c>
      <c r="W3" s="1141">
        <f>'Production Schedule'!T3</f>
        <v>12</v>
      </c>
      <c r="X3" s="1141">
        <f>'Production Schedule'!U3</f>
        <v>13</v>
      </c>
      <c r="Y3" s="1141">
        <f>'Production Schedule'!V3</f>
        <v>14</v>
      </c>
      <c r="Z3" s="1141">
        <f>'Production Schedule'!W3</f>
        <v>15</v>
      </c>
      <c r="AA3" s="1141">
        <f>'Production Schedule'!X3</f>
        <v>16</v>
      </c>
      <c r="AB3" s="1141">
        <f>'Production Schedule'!Y3</f>
        <v>17</v>
      </c>
      <c r="AC3" s="1141">
        <f>'Production Schedule'!Z3</f>
        <v>18</v>
      </c>
      <c r="AD3" s="1141">
        <f>'Production Schedule'!AA3</f>
        <v>19</v>
      </c>
      <c r="AE3" s="1141">
        <f>'Production Schedule'!AB3</f>
        <v>0</v>
      </c>
      <c r="AF3" s="1141">
        <f>'Production Schedule'!AC3</f>
        <v>0</v>
      </c>
      <c r="AG3" s="1141">
        <f>'Production Schedule'!AD3</f>
        <v>0</v>
      </c>
      <c r="AH3" s="1141">
        <f>'Production Schedule'!AE3</f>
        <v>0</v>
      </c>
      <c r="AI3" s="1141">
        <f>'Production Schedule'!AF3</f>
        <v>0</v>
      </c>
      <c r="AJ3" s="1141">
        <f>'Production Schedule'!AG3</f>
        <v>0</v>
      </c>
      <c r="AK3" s="1141">
        <f>'Production Schedule'!AH3</f>
        <v>0</v>
      </c>
    </row>
    <row r="4" spans="2:37">
      <c r="C4" t="s">
        <v>509</v>
      </c>
      <c r="D4" s="141" t="s">
        <v>113</v>
      </c>
      <c r="E4" s="418">
        <f>SUM(H4:BE4)</f>
        <v>225.70440651000001</v>
      </c>
      <c r="F4" s="141"/>
      <c r="G4" s="141"/>
      <c r="H4" s="181">
        <f>'Production Schedule'!E5</f>
        <v>0</v>
      </c>
      <c r="I4" s="181">
        <f>'Production Schedule'!F5</f>
        <v>0</v>
      </c>
      <c r="J4" s="181">
        <f>'Production Schedule'!G5</f>
        <v>0</v>
      </c>
      <c r="K4" s="181">
        <f>'Production Schedule'!H5</f>
        <v>0</v>
      </c>
      <c r="L4" s="181">
        <f>'Production Schedule'!I5</f>
        <v>1.9999997549999999</v>
      </c>
      <c r="M4" s="181">
        <f>'Production Schedule'!J5</f>
        <v>3.9999986549999997</v>
      </c>
      <c r="N4" s="181">
        <f>'Production Schedule'!K5</f>
        <v>8.00000073</v>
      </c>
      <c r="O4" s="181">
        <f>'Production Schedule'!L5</f>
        <v>11.999998529999999</v>
      </c>
      <c r="P4" s="181">
        <f>'Production Schedule'!M5</f>
        <v>14.99999517</v>
      </c>
      <c r="Q4" s="181">
        <f>'Production Schedule'!N5</f>
        <v>15.000007140000001</v>
      </c>
      <c r="R4" s="181">
        <f>'Production Schedule'!O5</f>
        <v>14.999998590000001</v>
      </c>
      <c r="S4" s="181">
        <f>'Production Schedule'!P5</f>
        <v>14.999996879999999</v>
      </c>
      <c r="T4" s="181">
        <f>'Production Schedule'!Q5</f>
        <v>15.000003719999999</v>
      </c>
      <c r="U4" s="181">
        <f>'Production Schedule'!R5</f>
        <v>14.99999517</v>
      </c>
      <c r="V4" s="181">
        <f>'Production Schedule'!S5</f>
        <v>14.999996879999999</v>
      </c>
      <c r="W4" s="181">
        <f>'Production Schedule'!T5</f>
        <v>15.000002009999999</v>
      </c>
      <c r="X4" s="181">
        <f>'Production Schedule'!U5</f>
        <v>15.00001569</v>
      </c>
      <c r="Y4" s="181">
        <f>'Production Schedule'!V5</f>
        <v>15.000002009999999</v>
      </c>
      <c r="Z4" s="181">
        <f>'Production Schedule'!W5</f>
        <v>15.000002009999999</v>
      </c>
      <c r="AA4" s="181">
        <f>'Production Schedule'!X5</f>
        <v>15.000000299999998</v>
      </c>
      <c r="AB4" s="181">
        <f>'Production Schedule'!Y5</f>
        <v>9.9999996299999996</v>
      </c>
      <c r="AC4" s="181">
        <f>'Production Schedule'!Z5</f>
        <v>7.5000027149999999</v>
      </c>
      <c r="AD4" s="181">
        <f>'Production Schedule'!AA5</f>
        <v>2.2043909249999998</v>
      </c>
      <c r="AE4" s="181">
        <f>'Production Schedule'!AB5</f>
        <v>0</v>
      </c>
      <c r="AF4" s="181">
        <f>'Production Schedule'!AC5</f>
        <v>0</v>
      </c>
      <c r="AG4" s="181">
        <f>'Production Schedule'!AD5</f>
        <v>0</v>
      </c>
      <c r="AH4" s="181">
        <f>'Production Schedule'!AE5</f>
        <v>0</v>
      </c>
      <c r="AI4" s="181">
        <f>'Production Schedule'!AF5</f>
        <v>0</v>
      </c>
      <c r="AJ4" s="181">
        <f>'Production Schedule'!AG5</f>
        <v>0</v>
      </c>
      <c r="AK4" s="181">
        <f>'Production Schedule'!AH5</f>
        <v>0</v>
      </c>
    </row>
    <row r="5" spans="2:37">
      <c r="C5" t="s">
        <v>539</v>
      </c>
      <c r="D5" s="141" t="s">
        <v>118</v>
      </c>
      <c r="E5" s="418">
        <f t="shared" ref="E5:E7" si="0">SUM(H5:BE5)</f>
        <v>535.39467341478871</v>
      </c>
      <c r="F5" s="141"/>
      <c r="G5" s="141"/>
      <c r="H5" s="181">
        <f>'Production Schedule'!E8</f>
        <v>0</v>
      </c>
      <c r="I5" s="181">
        <f>'Production Schedule'!F8</f>
        <v>0</v>
      </c>
      <c r="J5" s="181">
        <f>'Production Schedule'!G8</f>
        <v>0</v>
      </c>
      <c r="K5" s="181">
        <f>'Production Schedule'!H8</f>
        <v>0</v>
      </c>
      <c r="L5" s="181">
        <f>'Production Schedule'!I8</f>
        <v>11.466045729050279</v>
      </c>
      <c r="M5" s="181">
        <f>'Production Schedule'!J8</f>
        <v>9.5178188259668506</v>
      </c>
      <c r="N5" s="181">
        <f>'Production Schedule'!K8</f>
        <v>17.240514972375692</v>
      </c>
      <c r="O5" s="181">
        <f>'Production Schedule'!L8</f>
        <v>36.817196150000001</v>
      </c>
      <c r="P5" s="181">
        <f>'Production Schedule'!M8</f>
        <v>35.420574905555554</v>
      </c>
      <c r="Q5" s="181">
        <f>'Production Schedule'!N8</f>
        <v>47.463611318435753</v>
      </c>
      <c r="R5" s="181">
        <f>'Production Schedule'!O8</f>
        <v>43.447467227777778</v>
      </c>
      <c r="S5" s="181">
        <f>'Production Schedule'!P8</f>
        <v>36.33747506666667</v>
      </c>
      <c r="T5" s="181">
        <f>'Production Schedule'!Q8</f>
        <v>37.865191711111116</v>
      </c>
      <c r="U5" s="181">
        <f>'Production Schedule'!R8</f>
        <v>33.778948184357539</v>
      </c>
      <c r="V5" s="181">
        <f>'Production Schedule'!S8</f>
        <v>38.053482346368718</v>
      </c>
      <c r="W5" s="181">
        <f>'Production Schedule'!T8</f>
        <v>28.983164832402235</v>
      </c>
      <c r="X5" s="181">
        <f>'Production Schedule'!U8</f>
        <v>25.4498801284916</v>
      </c>
      <c r="Y5" s="181">
        <f>'Production Schedule'!V8</f>
        <v>31.615550832402231</v>
      </c>
      <c r="Z5" s="181">
        <f>'Production Schedule'!W8</f>
        <v>31.515274825842699</v>
      </c>
      <c r="AA5" s="181">
        <f>'Production Schedule'!X8</f>
        <v>40.123366662921349</v>
      </c>
      <c r="AB5" s="181">
        <f>'Production Schedule'!Y8</f>
        <v>24.726595192090397</v>
      </c>
      <c r="AC5" s="181">
        <f>'Production Schedule'!Z8</f>
        <v>4.2960406619318183</v>
      </c>
      <c r="AD5" s="181">
        <f>'Production Schedule'!AA8</f>
        <v>1.2764738410404626</v>
      </c>
      <c r="AE5" s="181">
        <f>'Production Schedule'!AB8</f>
        <v>0</v>
      </c>
      <c r="AF5" s="181">
        <f>'Production Schedule'!AC8</f>
        <v>0</v>
      </c>
      <c r="AG5" s="181">
        <f>'Production Schedule'!AD8</f>
        <v>0</v>
      </c>
      <c r="AH5" s="181">
        <f>'Production Schedule'!AE8</f>
        <v>0</v>
      </c>
      <c r="AI5" s="181">
        <f>'Production Schedule'!AF8</f>
        <v>0</v>
      </c>
      <c r="AJ5" s="181">
        <f>'Production Schedule'!AG8</f>
        <v>0</v>
      </c>
      <c r="AK5" s="181">
        <f>'Production Schedule'!AH8</f>
        <v>0</v>
      </c>
    </row>
    <row r="6" spans="2:37">
      <c r="C6" t="s">
        <v>540</v>
      </c>
      <c r="D6" s="141" t="s">
        <v>118</v>
      </c>
      <c r="E6" s="418">
        <f t="shared" si="0"/>
        <v>75.64</v>
      </c>
      <c r="F6" s="141"/>
      <c r="G6" s="141"/>
      <c r="H6" s="181">
        <f>'Production Schedule'!E13</f>
        <v>0</v>
      </c>
      <c r="I6" s="181">
        <f>'Production Schedule'!F13</f>
        <v>0</v>
      </c>
      <c r="J6" s="181">
        <f>'Production Schedule'!G13</f>
        <v>0</v>
      </c>
      <c r="K6" s="181">
        <f>'Production Schedule'!H13</f>
        <v>0</v>
      </c>
      <c r="L6" s="181">
        <f>'Production Schedule'!I13</f>
        <v>0</v>
      </c>
      <c r="M6" s="181">
        <f>'Production Schedule'!J13</f>
        <v>0</v>
      </c>
      <c r="N6" s="181">
        <f>'Production Schedule'!K13</f>
        <v>0</v>
      </c>
      <c r="O6" s="181">
        <f>'Production Schedule'!L13</f>
        <v>0</v>
      </c>
      <c r="P6" s="181">
        <f>'Production Schedule'!M13</f>
        <v>0</v>
      </c>
      <c r="Q6" s="181">
        <f>'Production Schedule'!N13</f>
        <v>0</v>
      </c>
      <c r="R6" s="181">
        <f>'Production Schedule'!O13</f>
        <v>11.85</v>
      </c>
      <c r="S6" s="181">
        <f>'Production Schedule'!P13</f>
        <v>11.85</v>
      </c>
      <c r="T6" s="181">
        <f>'Production Schedule'!Q13</f>
        <v>11.85</v>
      </c>
      <c r="U6" s="181">
        <f>'Production Schedule'!R13</f>
        <v>11.85</v>
      </c>
      <c r="V6" s="181">
        <f>'Production Schedule'!S13</f>
        <v>7.06</v>
      </c>
      <c r="W6" s="181">
        <f>'Production Schedule'!T13</f>
        <v>7.06</v>
      </c>
      <c r="X6" s="181">
        <f>'Production Schedule'!U13</f>
        <v>7.06</v>
      </c>
      <c r="Y6" s="181">
        <f>'Production Schedule'!V13</f>
        <v>7.06</v>
      </c>
      <c r="Z6" s="181">
        <f>'Production Schedule'!W13</f>
        <v>0</v>
      </c>
      <c r="AA6" s="181">
        <f>'Production Schedule'!X13</f>
        <v>0</v>
      </c>
      <c r="AB6" s="181">
        <f>'Production Schedule'!Y13</f>
        <v>0</v>
      </c>
      <c r="AC6" s="181">
        <f>'Production Schedule'!Z13</f>
        <v>0</v>
      </c>
      <c r="AD6" s="181">
        <f>'Production Schedule'!AA13</f>
        <v>0</v>
      </c>
      <c r="AE6" s="181">
        <f>'Production Schedule'!AB13</f>
        <v>0</v>
      </c>
      <c r="AF6" s="181">
        <f>'Production Schedule'!AC13</f>
        <v>0</v>
      </c>
      <c r="AG6" s="181">
        <f>'Production Schedule'!AD13</f>
        <v>0</v>
      </c>
      <c r="AH6" s="181">
        <f>'Production Schedule'!AE13</f>
        <v>0</v>
      </c>
      <c r="AI6" s="181">
        <f>'Production Schedule'!AF13</f>
        <v>0</v>
      </c>
      <c r="AJ6" s="181">
        <f>'Production Schedule'!AG13</f>
        <v>0</v>
      </c>
      <c r="AK6" s="181">
        <f>'Production Schedule'!AH13</f>
        <v>0</v>
      </c>
    </row>
    <row r="7" spans="2:37">
      <c r="C7" s="94" t="s">
        <v>541</v>
      </c>
      <c r="D7" s="141" t="s">
        <v>118</v>
      </c>
      <c r="E7" s="418">
        <f t="shared" si="0"/>
        <v>742.25816557176563</v>
      </c>
      <c r="H7" s="209">
        <f>(H4/Assumptions_Dashboard!$D$32)+H5+H6</f>
        <v>0</v>
      </c>
      <c r="I7" s="209">
        <f>(I4/Assumptions_Dashboard!$D$32)+I5+I6</f>
        <v>0</v>
      </c>
      <c r="J7" s="209">
        <f>(J4/Assumptions_Dashboard!$D$32)+J5+J6</f>
        <v>0</v>
      </c>
      <c r="K7" s="209">
        <f>(K4/Assumptions_Dashboard!$D$32)+K5+K6</f>
        <v>0</v>
      </c>
      <c r="L7" s="370">
        <f>(L4/Assumptions_Dashboard!$D$32)+L5+L6</f>
        <v>12.628836284282837</v>
      </c>
      <c r="M7" s="370">
        <f>(M4/Assumptions_Dashboard!$D$32)+M5+M6</f>
        <v>11.843399439338944</v>
      </c>
      <c r="N7" s="370">
        <f>(N4/Assumptions_Dashboard!$D$32)+N5+N6</f>
        <v>21.891678187491969</v>
      </c>
      <c r="O7" s="370">
        <f>(O4/Assumptions_Dashboard!$D$32)+O5+O6</f>
        <v>43.793939481395348</v>
      </c>
      <c r="P7" s="370">
        <f>(P4/Assumptions_Dashboard!$D$32)+P5+P6</f>
        <v>44.141502329974159</v>
      </c>
      <c r="Q7" s="370">
        <f>(Q4/Assumptions_Dashboard!$D$32)+Q5+Q6</f>
        <v>56.184545702156683</v>
      </c>
      <c r="R7" s="370">
        <f>(R4/Assumptions_Dashboard!$D$32)+R5+R6</f>
        <v>64.018396640568469</v>
      </c>
      <c r="S7" s="370">
        <f>(S4/Assumptions_Dashboard!$D$32)+S5+S6</f>
        <v>56.908403485271322</v>
      </c>
      <c r="T7" s="370">
        <f>(T4/Assumptions_Dashboard!$D$32)+T5+T6</f>
        <v>58.43612410645995</v>
      </c>
      <c r="U7" s="370">
        <f>(U4/Assumptions_Dashboard!$D$32)+U5+U6</f>
        <v>54.349875608776145</v>
      </c>
      <c r="V7" s="370">
        <f>(V4/Assumptions_Dashboard!$D$32)+V5+V6</f>
        <v>53.83441076497337</v>
      </c>
      <c r="W7" s="370">
        <f>(W4/Assumptions_Dashboard!$D$32)+W5+W6</f>
        <v>44.764096233565027</v>
      </c>
      <c r="X7" s="370">
        <f>(X4/Assumptions_Dashboard!$D$32)+X5+X6</f>
        <v>41.230819483142767</v>
      </c>
      <c r="Y7" s="370">
        <f>(Y4/Assumptions_Dashboard!$D$32)+Y5+Y6</f>
        <v>47.396482233565024</v>
      </c>
      <c r="Z7" s="370">
        <f>(Z4/Assumptions_Dashboard!$D$32)+Z5+Z6</f>
        <v>40.236206227005489</v>
      </c>
      <c r="AA7" s="370">
        <f>(AA4/Assumptions_Dashboard!$D$32)+AA5+AA6</f>
        <v>48.84429706989809</v>
      </c>
      <c r="AB7" s="370">
        <f>(AB4/Assumptions_Dashboard!$D$32)+AB5+AB6</f>
        <v>30.540548465346212</v>
      </c>
      <c r="AC7" s="370">
        <f>(AC4/Assumptions_Dashboard!$D$32)+AC5+AC6</f>
        <v>8.6565073566992599</v>
      </c>
      <c r="AD7" s="370">
        <f>(AD4/Assumptions_Dashboard!$D$32)+AD5+AD6</f>
        <v>2.5580964718544159</v>
      </c>
      <c r="AE7" s="370">
        <f>(AE4/Assumptions_Dashboard!$D$32)+AE5+AE6</f>
        <v>0</v>
      </c>
      <c r="AF7" s="370">
        <f>(AF4/Assumptions_Dashboard!$D$32)+AF5+AF6</f>
        <v>0</v>
      </c>
      <c r="AG7" s="370">
        <f>(AG4/Assumptions_Dashboard!$D$32)+AG5+AG6</f>
        <v>0</v>
      </c>
      <c r="AH7" s="370">
        <f>(AH4/Assumptions_Dashboard!$D$32)+AH5+AH6</f>
        <v>0</v>
      </c>
      <c r="AI7" s="370">
        <f>(AI4/Assumptions_Dashboard!$D$32)+AI5+AI6</f>
        <v>0</v>
      </c>
      <c r="AJ7" s="370">
        <f>(AJ4/Assumptions_Dashboard!$D$32)+AJ5+AJ6</f>
        <v>0</v>
      </c>
      <c r="AK7" s="370">
        <f>(AK4/Assumptions_Dashboard!$D$32)+AK5+AK6</f>
        <v>0</v>
      </c>
    </row>
    <row r="8" spans="2:37">
      <c r="C8" s="191" t="s">
        <v>542</v>
      </c>
    </row>
    <row r="9" spans="2:37">
      <c r="B9" s="416" t="s">
        <v>453</v>
      </c>
      <c r="C9" t="str">
        <f>'Owner CAPEX'!B11</f>
        <v xml:space="preserve">Pre-operative costs </v>
      </c>
      <c r="E9" s="418">
        <f t="shared" ref="E9:E22" si="1">SUM(H9:BE9)</f>
        <v>0</v>
      </c>
      <c r="H9" s="419">
        <f>IF($B9="Yes",'Owner CAPEX'!E11,0)</f>
        <v>0</v>
      </c>
      <c r="I9" s="419">
        <f>IF($B9="Yes",'Owner CAPEX'!F11,0)</f>
        <v>0</v>
      </c>
      <c r="J9" s="419">
        <f>IF($B9="Yes",'Owner CAPEX'!G11,0)</f>
        <v>0</v>
      </c>
      <c r="K9" s="419">
        <f>IF($B9="Yes",'Owner CAPEX'!H11,0)</f>
        <v>0</v>
      </c>
      <c r="L9" s="419">
        <f>IF($B9="Yes",'Owner CAPEX'!I11,0)</f>
        <v>0</v>
      </c>
      <c r="M9" s="419">
        <f>IF($B9="Yes",'Owner CAPEX'!J11,0)</f>
        <v>0</v>
      </c>
      <c r="N9" s="419">
        <f>IF($B9="Yes",'Owner CAPEX'!K11,0)</f>
        <v>0</v>
      </c>
      <c r="O9" s="419">
        <f>IF($B9="Yes",'Owner CAPEX'!L11,0)</f>
        <v>0</v>
      </c>
      <c r="P9" s="419">
        <f>IF($B9="Yes",'Owner CAPEX'!M11,0)</f>
        <v>0</v>
      </c>
      <c r="Q9" s="419">
        <f>IF($B9="Yes",'Owner CAPEX'!N11,0)</f>
        <v>0</v>
      </c>
      <c r="R9" s="419">
        <f>IF($B9="Yes",'Owner CAPEX'!O11,0)</f>
        <v>0</v>
      </c>
      <c r="S9" s="419">
        <f>IF($B9="Yes",'Owner CAPEX'!P11,0)</f>
        <v>0</v>
      </c>
      <c r="T9" s="419">
        <f>IF($B9="Yes",'Owner CAPEX'!Q11,0)</f>
        <v>0</v>
      </c>
      <c r="U9" s="419">
        <f>IF($B9="Yes",'Owner CAPEX'!R11,0)</f>
        <v>0</v>
      </c>
      <c r="V9" s="419">
        <f>IF($B9="Yes",'Owner CAPEX'!S11,0)</f>
        <v>0</v>
      </c>
      <c r="W9" s="419">
        <f>IF($B9="Yes",'Owner CAPEX'!T11,0)</f>
        <v>0</v>
      </c>
      <c r="X9" s="419">
        <f>IF($B9="Yes",'Owner CAPEX'!U11,0)</f>
        <v>0</v>
      </c>
      <c r="Y9" s="419">
        <f>IF($B9="Yes",'Owner CAPEX'!V11,0)</f>
        <v>0</v>
      </c>
      <c r="Z9" s="419">
        <f>IF($B9="Yes",'Owner CAPEX'!W11,0)</f>
        <v>0</v>
      </c>
      <c r="AA9" s="419">
        <f>IF($B9="Yes",'Owner CAPEX'!X11,0)</f>
        <v>0</v>
      </c>
      <c r="AB9" s="419">
        <f>IF($B9="Yes",'Owner CAPEX'!Y11,0)</f>
        <v>0</v>
      </c>
      <c r="AC9" s="419">
        <f>IF($B9="Yes",'Owner CAPEX'!Z11,0)</f>
        <v>0</v>
      </c>
      <c r="AD9" s="419">
        <f>IF($B9="Yes",'Owner CAPEX'!AA11,0)</f>
        <v>0</v>
      </c>
      <c r="AE9" s="419">
        <f>IF($B9="Yes",'Owner CAPEX'!AB11,0)</f>
        <v>0</v>
      </c>
      <c r="AF9" s="419">
        <f>IF($B9="Yes",'Owner CAPEX'!AC11,0)</f>
        <v>0</v>
      </c>
      <c r="AG9" s="419">
        <f>IF($B9="Yes",'Owner CAPEX'!AD11,0)</f>
        <v>0</v>
      </c>
      <c r="AH9" s="419">
        <f>IF($B9="Yes",'Owner CAPEX'!AE11,0)</f>
        <v>0</v>
      </c>
      <c r="AI9" s="419">
        <f>IF($B9="Yes",'Owner CAPEX'!AF11,0)</f>
        <v>0</v>
      </c>
      <c r="AJ9" s="419">
        <f>IF($B9="Yes",'Owner CAPEX'!AG11,0)</f>
        <v>0</v>
      </c>
      <c r="AK9" s="419">
        <f>IF($B9="Yes",'Owner CAPEX'!AH11,0)</f>
        <v>0</v>
      </c>
    </row>
    <row r="10" spans="2:37">
      <c r="B10" s="416" t="s">
        <v>453</v>
      </c>
      <c r="C10" t="str">
        <f>'Owner CAPEX'!B12</f>
        <v>Upfront Amount</v>
      </c>
      <c r="E10" s="418">
        <f t="shared" si="1"/>
        <v>0</v>
      </c>
      <c r="H10" s="419">
        <f>IF($B10="Yes",'Owner CAPEX'!E12,0)</f>
        <v>0</v>
      </c>
      <c r="I10" s="419">
        <f>IF($B10="Yes",'Owner CAPEX'!I12,0)</f>
        <v>0</v>
      </c>
      <c r="J10" s="419">
        <f>IF($B10="Yes",'Owner CAPEX'!G12,0)</f>
        <v>0</v>
      </c>
      <c r="K10" s="419">
        <f>IF($B10="Yes",'Owner CAPEX'!H12,0)</f>
        <v>0</v>
      </c>
      <c r="L10" s="419">
        <f>IF($B10="Yes",'Owner CAPEX'!#REF!,0)</f>
        <v>0</v>
      </c>
      <c r="M10" s="419">
        <f>IF($B10="Yes",'Owner CAPEX'!J12,0)</f>
        <v>0</v>
      </c>
      <c r="N10" s="419">
        <f>IF($B10="Yes",'Owner CAPEX'!K12,0)</f>
        <v>0</v>
      </c>
      <c r="O10" s="419">
        <f>IF($B10="Yes",'Owner CAPEX'!L12,0)</f>
        <v>0</v>
      </c>
      <c r="P10" s="419">
        <f>IF($B10="Yes",'Owner CAPEX'!M12,0)</f>
        <v>0</v>
      </c>
      <c r="Q10" s="419">
        <f>IF($B10="Yes",'Owner CAPEX'!N12,0)</f>
        <v>0</v>
      </c>
      <c r="R10" s="419">
        <f>IF($B10="Yes",'Owner CAPEX'!O12,0)</f>
        <v>0</v>
      </c>
      <c r="S10" s="419">
        <f>IF($B10="Yes",'Owner CAPEX'!P12,0)</f>
        <v>0</v>
      </c>
      <c r="T10" s="419">
        <f>IF($B10="Yes",'Owner CAPEX'!Q12,0)</f>
        <v>0</v>
      </c>
      <c r="U10" s="419">
        <f>IF($B10="Yes",'Owner CAPEX'!R12,0)</f>
        <v>0</v>
      </c>
      <c r="V10" s="419">
        <f>IF($B10="Yes",'Owner CAPEX'!S12,0)</f>
        <v>0</v>
      </c>
      <c r="W10" s="419">
        <f>IF($B10="Yes",'Owner CAPEX'!T12,0)</f>
        <v>0</v>
      </c>
      <c r="X10" s="419">
        <f>IF($B10="Yes",'Owner CAPEX'!U12,0)</f>
        <v>0</v>
      </c>
      <c r="Y10" s="419">
        <f>IF($B10="Yes",'Owner CAPEX'!V12,0)</f>
        <v>0</v>
      </c>
      <c r="Z10" s="419">
        <f>IF($B10="Yes",'Owner CAPEX'!W12,0)</f>
        <v>0</v>
      </c>
      <c r="AA10" s="419">
        <f>IF($B10="Yes",'Owner CAPEX'!X12,0)</f>
        <v>0</v>
      </c>
      <c r="AB10" s="419">
        <f>IF($B10="Yes",'Owner CAPEX'!Y12,0)</f>
        <v>0</v>
      </c>
      <c r="AC10" s="419">
        <f>IF($B10="Yes",'Owner CAPEX'!Z12,0)</f>
        <v>0</v>
      </c>
      <c r="AD10" s="419">
        <f>IF($B10="Yes",'Owner CAPEX'!AA12,0)</f>
        <v>0</v>
      </c>
      <c r="AE10" s="419">
        <f>IF($B10="Yes",'Owner CAPEX'!AB12,0)</f>
        <v>0</v>
      </c>
      <c r="AF10" s="419">
        <f>IF($B10="Yes",'Owner CAPEX'!AC12,0)</f>
        <v>0</v>
      </c>
      <c r="AG10" s="419">
        <f>IF($B10="Yes",'Owner CAPEX'!AD12,0)</f>
        <v>0</v>
      </c>
      <c r="AH10" s="419">
        <f>IF($B10="Yes",'Owner CAPEX'!AE12,0)</f>
        <v>0</v>
      </c>
      <c r="AI10" s="419">
        <f>IF($B10="Yes",'Owner CAPEX'!AF12,0)</f>
        <v>0</v>
      </c>
      <c r="AJ10" s="419">
        <f>IF($B10="Yes",'Owner CAPEX'!AG12,0)</f>
        <v>0</v>
      </c>
      <c r="AK10" s="419">
        <f>IF($B10="Yes",'Owner CAPEX'!AH12,0)</f>
        <v>0</v>
      </c>
    </row>
    <row r="11" spans="2:37">
      <c r="B11" s="416" t="s">
        <v>453</v>
      </c>
      <c r="C11" t="str">
        <f>'Owner CAPEX'!B13</f>
        <v>Land Cost</v>
      </c>
      <c r="E11" s="418">
        <f t="shared" si="1"/>
        <v>0</v>
      </c>
      <c r="H11" s="419">
        <f>IF($B11="Yes",'Owner CAPEX'!E13,0)</f>
        <v>0</v>
      </c>
      <c r="I11" s="419">
        <f>IF($B11="Yes",'Owner CAPEX'!F13,0)</f>
        <v>0</v>
      </c>
      <c r="J11" s="419">
        <f>IF($B11="Yes",'Owner CAPEX'!G13,0)</f>
        <v>0</v>
      </c>
      <c r="K11" s="419">
        <f>IF($B11="Yes",'Owner CAPEX'!H13,0)</f>
        <v>0</v>
      </c>
      <c r="L11" s="419">
        <f>IF($B11="Yes",'Owner CAPEX'!I13,0)</f>
        <v>0</v>
      </c>
      <c r="M11" s="419">
        <f>IF($B11="Yes",'Owner CAPEX'!J13,0)</f>
        <v>0</v>
      </c>
      <c r="N11" s="419">
        <f>IF($B11="Yes",'Owner CAPEX'!K13,0)</f>
        <v>0</v>
      </c>
      <c r="O11" s="419">
        <f>IF($B11="Yes",'Owner CAPEX'!L13,0)</f>
        <v>0</v>
      </c>
      <c r="P11" s="419">
        <f>IF($B11="Yes",'Owner CAPEX'!M13,0)</f>
        <v>0</v>
      </c>
      <c r="Q11" s="419">
        <f>IF($B11="Yes",'Owner CAPEX'!N13,0)</f>
        <v>0</v>
      </c>
      <c r="R11" s="419">
        <f>IF($B11="Yes",'Owner CAPEX'!O13,0)</f>
        <v>0</v>
      </c>
      <c r="S11" s="419">
        <f>IF($B11="Yes",'Owner CAPEX'!P13,0)</f>
        <v>0</v>
      </c>
      <c r="T11" s="419">
        <f>IF($B11="Yes",'Owner CAPEX'!Q13,0)</f>
        <v>0</v>
      </c>
      <c r="U11" s="419">
        <f>IF($B11="Yes",'Owner CAPEX'!R13,0)</f>
        <v>0</v>
      </c>
      <c r="V11" s="419">
        <f>IF($B11="Yes",'Owner CAPEX'!S13,0)</f>
        <v>0</v>
      </c>
      <c r="W11" s="419">
        <f>IF($B11="Yes",'Owner CAPEX'!T13,0)</f>
        <v>0</v>
      </c>
      <c r="X11" s="419">
        <f>IF($B11="Yes",'Owner CAPEX'!U13,0)</f>
        <v>0</v>
      </c>
      <c r="Y11" s="419">
        <f>IF($B11="Yes",'Owner CAPEX'!V13,0)</f>
        <v>0</v>
      </c>
      <c r="Z11" s="419">
        <f>IF($B11="Yes",'Owner CAPEX'!W13,0)</f>
        <v>0</v>
      </c>
      <c r="AA11" s="419">
        <f>IF($B11="Yes",'Owner CAPEX'!X13,0)</f>
        <v>0</v>
      </c>
      <c r="AB11" s="419">
        <f>IF($B11="Yes",'Owner CAPEX'!Y13,0)</f>
        <v>0</v>
      </c>
      <c r="AC11" s="419">
        <f>IF($B11="Yes",'Owner CAPEX'!Z13,0)</f>
        <v>0</v>
      </c>
      <c r="AD11" s="419">
        <f>IF($B11="Yes",'Owner CAPEX'!AA13,0)</f>
        <v>0</v>
      </c>
      <c r="AE11" s="419">
        <f>IF($B11="Yes",'Owner CAPEX'!AB13,0)</f>
        <v>0</v>
      </c>
      <c r="AF11" s="419">
        <f>IF($B11="Yes",'Owner CAPEX'!AC13,0)</f>
        <v>0</v>
      </c>
      <c r="AG11" s="419">
        <f>IF($B11="Yes",'Owner CAPEX'!AD13,0)</f>
        <v>0</v>
      </c>
      <c r="AH11" s="419">
        <f>IF($B11="Yes",'Owner CAPEX'!AE13,0)</f>
        <v>0</v>
      </c>
      <c r="AI11" s="419">
        <f>IF($B11="Yes",'Owner CAPEX'!AF13,0)</f>
        <v>0</v>
      </c>
      <c r="AJ11" s="419">
        <f>IF($B11="Yes",'Owner CAPEX'!AG13,0)</f>
        <v>0</v>
      </c>
      <c r="AK11" s="419">
        <f>IF($B11="Yes",'Owner CAPEX'!AH13,0)</f>
        <v>0</v>
      </c>
    </row>
    <row r="12" spans="2:37">
      <c r="B12" s="416" t="s">
        <v>453</v>
      </c>
      <c r="C12" t="str">
        <f>'Owner CAPEX'!B14</f>
        <v>R&amp;R Cost</v>
      </c>
      <c r="E12" s="418">
        <f t="shared" si="1"/>
        <v>0</v>
      </c>
      <c r="H12" s="419">
        <f>IF($B12="Yes",'Owner CAPEX'!E14,0)</f>
        <v>0</v>
      </c>
      <c r="I12" s="419">
        <f>IF($B12="Yes",'Owner CAPEX'!F14,0)</f>
        <v>0</v>
      </c>
      <c r="J12" s="419">
        <f>IF($B12="Yes",'Owner CAPEX'!G14,0)</f>
        <v>0</v>
      </c>
      <c r="K12" s="419">
        <f>IF($B12="Yes",'Owner CAPEX'!H14,0)</f>
        <v>0</v>
      </c>
      <c r="L12" s="419">
        <f>IF($B12="Yes",'Owner CAPEX'!I14,0)</f>
        <v>0</v>
      </c>
      <c r="M12" s="419">
        <f>IF($B12="Yes",'Owner CAPEX'!J14,0)</f>
        <v>0</v>
      </c>
      <c r="N12" s="419">
        <f>IF($B12="Yes",'Owner CAPEX'!K14,0)</f>
        <v>0</v>
      </c>
      <c r="O12" s="419">
        <f>IF($B12="Yes",'Owner CAPEX'!L14,0)</f>
        <v>0</v>
      </c>
      <c r="P12" s="419">
        <f>IF($B12="Yes",'Owner CAPEX'!M14,0)</f>
        <v>0</v>
      </c>
      <c r="Q12" s="419">
        <f>IF($B12="Yes",'Owner CAPEX'!N14,0)</f>
        <v>0</v>
      </c>
      <c r="R12" s="419">
        <f>IF($B12="Yes",'Owner CAPEX'!O14,0)</f>
        <v>0</v>
      </c>
      <c r="S12" s="419">
        <f>IF($B12="Yes",'Owner CAPEX'!P14,0)</f>
        <v>0</v>
      </c>
      <c r="T12" s="419">
        <f>IF($B12="Yes",'Owner CAPEX'!Q14,0)</f>
        <v>0</v>
      </c>
      <c r="U12" s="419">
        <f>IF($B12="Yes",'Owner CAPEX'!R14,0)</f>
        <v>0</v>
      </c>
      <c r="V12" s="419">
        <f>IF($B12="Yes",'Owner CAPEX'!S14,0)</f>
        <v>0</v>
      </c>
      <c r="W12" s="419">
        <f>IF($B12="Yes",'Owner CAPEX'!T14,0)</f>
        <v>0</v>
      </c>
      <c r="X12" s="419">
        <f>IF($B12="Yes",'Owner CAPEX'!U14,0)</f>
        <v>0</v>
      </c>
      <c r="Y12" s="419">
        <f>IF($B12="Yes",'Owner CAPEX'!V14,0)</f>
        <v>0</v>
      </c>
      <c r="Z12" s="419">
        <f>IF($B12="Yes",'Owner CAPEX'!W14,0)</f>
        <v>0</v>
      </c>
      <c r="AA12" s="419">
        <f>IF($B12="Yes",'Owner CAPEX'!X14,0)</f>
        <v>0</v>
      </c>
      <c r="AB12" s="419">
        <f>IF($B12="Yes",'Owner CAPEX'!Y14,0)</f>
        <v>0</v>
      </c>
      <c r="AC12" s="419">
        <f>IF($B12="Yes",'Owner CAPEX'!Z14,0)</f>
        <v>0</v>
      </c>
      <c r="AD12" s="419">
        <f>IF($B12="Yes",'Owner CAPEX'!AA14,0)</f>
        <v>0</v>
      </c>
      <c r="AE12" s="419">
        <f>IF($B12="Yes",'Owner CAPEX'!AB14,0)</f>
        <v>0</v>
      </c>
      <c r="AF12" s="419">
        <f>IF($B12="Yes",'Owner CAPEX'!AC14,0)</f>
        <v>0</v>
      </c>
      <c r="AG12" s="419">
        <f>IF($B12="Yes",'Owner CAPEX'!AD14,0)</f>
        <v>0</v>
      </c>
      <c r="AH12" s="419">
        <f>IF($B12="Yes",'Owner CAPEX'!AE14,0)</f>
        <v>0</v>
      </c>
      <c r="AI12" s="419">
        <f>IF($B12="Yes",'Owner CAPEX'!AF14,0)</f>
        <v>0</v>
      </c>
      <c r="AJ12" s="419">
        <f>IF($B12="Yes",'Owner CAPEX'!AG14,0)</f>
        <v>0</v>
      </c>
      <c r="AK12" s="419">
        <f>IF($B12="Yes",'Owner CAPEX'!AH14,0)</f>
        <v>0</v>
      </c>
    </row>
    <row r="13" spans="2:37">
      <c r="B13" s="416" t="s">
        <v>107</v>
      </c>
      <c r="C13" t="str">
        <f>'Owner CAPEX'!B15</f>
        <v xml:space="preserve">HEMM Equipment </v>
      </c>
      <c r="E13" s="418">
        <f t="shared" si="1"/>
        <v>0</v>
      </c>
      <c r="H13" s="419">
        <f>IF($B13="Yes",'MDO CAPEX'!E11,0)</f>
        <v>0</v>
      </c>
      <c r="I13" s="419">
        <f>IF($B13="Yes",'MDO CAPEX'!F11,0)</f>
        <v>0</v>
      </c>
      <c r="J13" s="419">
        <f>IF($B13="Yes",'MDO CAPEX'!G11,0)</f>
        <v>0</v>
      </c>
      <c r="K13" s="419">
        <f>IF($B13="Yes",'MDO CAPEX'!H11,0)</f>
        <v>0</v>
      </c>
      <c r="L13" s="419">
        <f>IF($B13="Yes",'MDO CAPEX'!I11,0)</f>
        <v>0</v>
      </c>
      <c r="M13" s="419">
        <f>IF($B13="Yes",'MDO CAPEX'!J11,0)</f>
        <v>0</v>
      </c>
      <c r="N13" s="419">
        <f>IF($B13="Yes",'MDO CAPEX'!K11,0)</f>
        <v>0</v>
      </c>
      <c r="O13" s="419">
        <f>IF($B13="Yes",'MDO CAPEX'!L11,0)</f>
        <v>0</v>
      </c>
      <c r="P13" s="419">
        <f>IF($B13="Yes",'MDO CAPEX'!M11,0)</f>
        <v>0</v>
      </c>
      <c r="Q13" s="419">
        <f>IF($B13="Yes",'MDO CAPEX'!N11,0)</f>
        <v>0</v>
      </c>
      <c r="R13" s="419">
        <f>IF($B13="Yes",'MDO CAPEX'!O11,0)</f>
        <v>0</v>
      </c>
      <c r="S13" s="419">
        <f>IF($B13="Yes",'MDO CAPEX'!P11,0)</f>
        <v>0</v>
      </c>
      <c r="T13" s="419">
        <f>IF($B13="Yes",'MDO CAPEX'!Q11,0)</f>
        <v>0</v>
      </c>
      <c r="U13" s="419">
        <f>IF($B13="Yes",'MDO CAPEX'!R11,0)</f>
        <v>0</v>
      </c>
      <c r="V13" s="419">
        <f>IF($B13="Yes",'MDO CAPEX'!S11,0)</f>
        <v>0</v>
      </c>
      <c r="W13" s="419">
        <f>IF($B13="Yes",'MDO CAPEX'!T11,0)</f>
        <v>0</v>
      </c>
      <c r="X13" s="419">
        <f>IF($B13="Yes",'MDO CAPEX'!U11,0)</f>
        <v>0</v>
      </c>
      <c r="Y13" s="419">
        <f>IF($B13="Yes",'MDO CAPEX'!V11,0)</f>
        <v>0</v>
      </c>
      <c r="Z13" s="419">
        <f>IF($B13="Yes",'MDO CAPEX'!W11,0)</f>
        <v>0</v>
      </c>
      <c r="AA13" s="419">
        <f>IF($B13="Yes",'MDO CAPEX'!X11,0)</f>
        <v>0</v>
      </c>
      <c r="AB13" s="419">
        <f>IF($B13="Yes",'MDO CAPEX'!Y11,0)</f>
        <v>0</v>
      </c>
      <c r="AC13" s="419">
        <f>IF($B13="Yes",'MDO CAPEX'!Z11,0)</f>
        <v>0</v>
      </c>
      <c r="AD13" s="419">
        <f>IF($B13="Yes",'MDO CAPEX'!AA11,0)</f>
        <v>0</v>
      </c>
      <c r="AE13" s="419">
        <f>IF($B13="Yes",'MDO CAPEX'!AB11,0)</f>
        <v>0</v>
      </c>
      <c r="AF13" s="419">
        <f>IF($B13="Yes",'MDO CAPEX'!AC11,0)</f>
        <v>0</v>
      </c>
      <c r="AG13" s="419">
        <f>IF($B13="Yes",'MDO CAPEX'!AD11,0)</f>
        <v>0</v>
      </c>
      <c r="AH13" s="419">
        <f>IF($B13="Yes",'MDO CAPEX'!AE11,0)</f>
        <v>0</v>
      </c>
      <c r="AI13" s="419">
        <f>IF($B13="Yes",'MDO CAPEX'!AF11,0)</f>
        <v>0</v>
      </c>
      <c r="AJ13" s="419">
        <f>IF($B13="Yes",'MDO CAPEX'!AG11,0)</f>
        <v>0</v>
      </c>
      <c r="AK13" s="419">
        <f>IF($B13="Yes",'MDO CAPEX'!AH11,0)</f>
        <v>0</v>
      </c>
    </row>
    <row r="14" spans="2:37">
      <c r="B14" s="416" t="s">
        <v>453</v>
      </c>
      <c r="C14" t="str">
        <f>'Owner CAPEX'!B16</f>
        <v>CHP</v>
      </c>
      <c r="E14" s="418">
        <f t="shared" si="1"/>
        <v>0</v>
      </c>
      <c r="H14" s="419">
        <f>IF($B14="Yes",'Owner CAPEX'!E16,0)</f>
        <v>0</v>
      </c>
      <c r="I14" s="419">
        <f>IF($B14="Yes",'Owner CAPEX'!F16,0)</f>
        <v>0</v>
      </c>
      <c r="J14" s="419">
        <f>IF($B14="Yes",'Owner CAPEX'!G16,0)</f>
        <v>0</v>
      </c>
      <c r="K14" s="419">
        <f>IF($B14="Yes",'Owner CAPEX'!H16,0)</f>
        <v>0</v>
      </c>
      <c r="L14" s="419">
        <f>IF($B14="Yes",'Owner CAPEX'!I16,0)</f>
        <v>0</v>
      </c>
      <c r="M14" s="419">
        <f>IF($B14="Yes",'Owner CAPEX'!J16,0)</f>
        <v>0</v>
      </c>
      <c r="N14" s="419">
        <f>IF($B14="Yes",'Owner CAPEX'!K16,0)</f>
        <v>0</v>
      </c>
      <c r="O14" s="419">
        <f>IF($B14="Yes",'Owner CAPEX'!L16,0)</f>
        <v>0</v>
      </c>
      <c r="P14" s="419">
        <f>IF($B14="Yes",'Owner CAPEX'!M16,0)</f>
        <v>0</v>
      </c>
      <c r="Q14" s="419">
        <f>IF($B14="Yes",'Owner CAPEX'!N16,0)</f>
        <v>0</v>
      </c>
      <c r="R14" s="419">
        <f>IF($B14="Yes",'Owner CAPEX'!O16,0)</f>
        <v>0</v>
      </c>
      <c r="S14" s="419">
        <f>IF($B14="Yes",'Owner CAPEX'!P16,0)</f>
        <v>0</v>
      </c>
      <c r="T14" s="419">
        <f>IF($B14="Yes",'Owner CAPEX'!Q16,0)</f>
        <v>0</v>
      </c>
      <c r="U14" s="419">
        <f>IF($B14="Yes",'Owner CAPEX'!R16,0)</f>
        <v>0</v>
      </c>
      <c r="V14" s="419">
        <f>IF($B14="Yes",'Owner CAPEX'!S16,0)</f>
        <v>0</v>
      </c>
      <c r="W14" s="419">
        <f>IF($B14="Yes",'Owner CAPEX'!T16,0)</f>
        <v>0</v>
      </c>
      <c r="X14" s="419">
        <f>IF($B14="Yes",'Owner CAPEX'!U16,0)</f>
        <v>0</v>
      </c>
      <c r="Y14" s="419">
        <f>IF($B14="Yes",'Owner CAPEX'!V16,0)</f>
        <v>0</v>
      </c>
      <c r="Z14" s="419">
        <f>IF($B14="Yes",'Owner CAPEX'!W16,0)</f>
        <v>0</v>
      </c>
      <c r="AA14" s="419">
        <f>IF($B14="Yes",'Owner CAPEX'!X16,0)</f>
        <v>0</v>
      </c>
      <c r="AB14" s="419">
        <f>IF($B14="Yes",'Owner CAPEX'!Y16,0)</f>
        <v>0</v>
      </c>
      <c r="AC14" s="419">
        <f>IF($B14="Yes",'Owner CAPEX'!Z16,0)</f>
        <v>0</v>
      </c>
      <c r="AD14" s="419">
        <f>IF($B14="Yes",'Owner CAPEX'!AA16,0)</f>
        <v>0</v>
      </c>
      <c r="AE14" s="419">
        <f>IF($B14="Yes",'Owner CAPEX'!AB16,0)</f>
        <v>0</v>
      </c>
      <c r="AF14" s="419">
        <f>IF($B14="Yes",'Owner CAPEX'!AC16,0)</f>
        <v>0</v>
      </c>
      <c r="AG14" s="419">
        <f>IF($B14="Yes",'Owner CAPEX'!AD16,0)</f>
        <v>0</v>
      </c>
      <c r="AH14" s="419">
        <f>IF($B14="Yes",'Owner CAPEX'!AE16,0)</f>
        <v>0</v>
      </c>
      <c r="AI14" s="419">
        <f>IF($B14="Yes",'Owner CAPEX'!AF16,0)</f>
        <v>0</v>
      </c>
      <c r="AJ14" s="419">
        <f>IF($B14="Yes",'Owner CAPEX'!AG16,0)</f>
        <v>0</v>
      </c>
      <c r="AK14" s="419">
        <f>IF($B14="Yes",'Owner CAPEX'!AH16,0)</f>
        <v>0</v>
      </c>
    </row>
    <row r="15" spans="2:37">
      <c r="B15" s="416" t="s">
        <v>453</v>
      </c>
      <c r="C15" t="str">
        <f>'Owner CAPEX'!B17</f>
        <v>Railway Siding</v>
      </c>
      <c r="E15" s="418">
        <f t="shared" si="1"/>
        <v>0</v>
      </c>
      <c r="H15" s="419">
        <f>IF($B15="Yes",'Owner CAPEX'!E17,0)</f>
        <v>0</v>
      </c>
      <c r="I15" s="419">
        <f>IF($B15="Yes",'Owner CAPEX'!F17,0)</f>
        <v>0</v>
      </c>
      <c r="J15" s="419">
        <f>IF($B15="Yes",'Owner CAPEX'!G17,0)</f>
        <v>0</v>
      </c>
      <c r="K15" s="419">
        <f>IF($B15="Yes",'Owner CAPEX'!H17,0)</f>
        <v>0</v>
      </c>
      <c r="L15" s="419">
        <f>IF($B15="Yes",'Owner CAPEX'!I17,0)</f>
        <v>0</v>
      </c>
      <c r="M15" s="419">
        <f>IF($B15="Yes",'Owner CAPEX'!J17,0)</f>
        <v>0</v>
      </c>
      <c r="N15" s="419">
        <f>IF($B15="Yes",'Owner CAPEX'!K17,0)</f>
        <v>0</v>
      </c>
      <c r="O15" s="419">
        <f>IF($B15="Yes",'Owner CAPEX'!L17,0)</f>
        <v>0</v>
      </c>
      <c r="P15" s="419">
        <f>IF($B15="Yes",'Owner CAPEX'!M17,0)</f>
        <v>0</v>
      </c>
      <c r="Q15" s="419">
        <f>IF($B15="Yes",'Owner CAPEX'!N17,0)</f>
        <v>0</v>
      </c>
      <c r="R15" s="419">
        <f>IF($B15="Yes",'Owner CAPEX'!O17,0)</f>
        <v>0</v>
      </c>
      <c r="S15" s="419">
        <f>IF($B15="Yes",'Owner CAPEX'!P17,0)</f>
        <v>0</v>
      </c>
      <c r="T15" s="419">
        <f>IF($B15="Yes",'Owner CAPEX'!Q17,0)</f>
        <v>0</v>
      </c>
      <c r="U15" s="419">
        <f>IF($B15="Yes",'Owner CAPEX'!R17,0)</f>
        <v>0</v>
      </c>
      <c r="V15" s="419">
        <f>IF($B15="Yes",'Owner CAPEX'!S17,0)</f>
        <v>0</v>
      </c>
      <c r="W15" s="419">
        <f>IF($B15="Yes",'Owner CAPEX'!T17,0)</f>
        <v>0</v>
      </c>
      <c r="X15" s="419">
        <f>IF($B15="Yes",'Owner CAPEX'!U17,0)</f>
        <v>0</v>
      </c>
      <c r="Y15" s="419">
        <f>IF($B15="Yes",'Owner CAPEX'!V17,0)</f>
        <v>0</v>
      </c>
      <c r="Z15" s="419">
        <f>IF($B15="Yes",'Owner CAPEX'!W17,0)</f>
        <v>0</v>
      </c>
      <c r="AA15" s="419">
        <f>IF($B15="Yes",'Owner CAPEX'!X17,0)</f>
        <v>0</v>
      </c>
      <c r="AB15" s="419">
        <f>IF($B15="Yes",'Owner CAPEX'!Y17,0)</f>
        <v>0</v>
      </c>
      <c r="AC15" s="419">
        <f>IF($B15="Yes",'Owner CAPEX'!Z17,0)</f>
        <v>0</v>
      </c>
      <c r="AD15" s="419">
        <f>IF($B15="Yes",'Owner CAPEX'!AA17,0)</f>
        <v>0</v>
      </c>
      <c r="AE15" s="419">
        <f>IF($B15="Yes",'Owner CAPEX'!AB17,0)</f>
        <v>0</v>
      </c>
      <c r="AF15" s="419">
        <f>IF($B15="Yes",'Owner CAPEX'!AC17,0)</f>
        <v>0</v>
      </c>
      <c r="AG15" s="419">
        <f>IF($B15="Yes",'Owner CAPEX'!AD17,0)</f>
        <v>0</v>
      </c>
      <c r="AH15" s="419">
        <f>IF($B15="Yes",'Owner CAPEX'!AE17,0)</f>
        <v>0</v>
      </c>
      <c r="AI15" s="419">
        <f>IF($B15="Yes",'Owner CAPEX'!AF17,0)</f>
        <v>0</v>
      </c>
      <c r="AJ15" s="419">
        <f>IF($B15="Yes",'Owner CAPEX'!AG17,0)</f>
        <v>0</v>
      </c>
      <c r="AK15" s="419">
        <f>IF($B15="Yes",'Owner CAPEX'!AH17,0)</f>
        <v>0</v>
      </c>
    </row>
    <row r="16" spans="2:37">
      <c r="B16" s="416" t="s">
        <v>107</v>
      </c>
      <c r="C16" t="str">
        <f>'Owner CAPEX'!B18</f>
        <v>Civil Infrastructure</v>
      </c>
      <c r="E16" s="418">
        <f t="shared" si="1"/>
        <v>0</v>
      </c>
      <c r="H16" s="419">
        <f>IF($B16="Yes",'MDO CAPEX'!E12,0)</f>
        <v>0</v>
      </c>
      <c r="I16" s="419">
        <f>IF($B16="Yes",'MDO CAPEX'!F12,0)</f>
        <v>0</v>
      </c>
      <c r="J16" s="419">
        <f>IF($B16="Yes",'MDO CAPEX'!G12,0)</f>
        <v>0</v>
      </c>
      <c r="K16" s="419">
        <f>IF($B16="Yes",'MDO CAPEX'!H12,0)</f>
        <v>0</v>
      </c>
      <c r="L16" s="419">
        <f>IF($B16="Yes",'MDO CAPEX'!I12,0)</f>
        <v>0</v>
      </c>
      <c r="M16" s="419">
        <f>IF($B16="Yes",'MDO CAPEX'!J12,0)</f>
        <v>0</v>
      </c>
      <c r="N16" s="419">
        <f>IF($B16="Yes",'MDO CAPEX'!K12,0)</f>
        <v>0</v>
      </c>
      <c r="O16" s="419">
        <f>IF($B16="Yes",'MDO CAPEX'!L12,0)</f>
        <v>0</v>
      </c>
      <c r="P16" s="419">
        <f>IF($B16="Yes",'MDO CAPEX'!M12,0)</f>
        <v>0</v>
      </c>
      <c r="Q16" s="419">
        <f>IF($B16="Yes",'MDO CAPEX'!N12,0)</f>
        <v>0</v>
      </c>
      <c r="R16" s="419">
        <f>IF($B16="Yes",'MDO CAPEX'!O12,0)</f>
        <v>0</v>
      </c>
      <c r="S16" s="419">
        <f>IF($B16="Yes",'MDO CAPEX'!P12,0)</f>
        <v>0</v>
      </c>
      <c r="T16" s="419">
        <f>IF($B16="Yes",'MDO CAPEX'!Q12,0)</f>
        <v>0</v>
      </c>
      <c r="U16" s="419">
        <f>IF($B16="Yes",'MDO CAPEX'!R12,0)</f>
        <v>0</v>
      </c>
      <c r="V16" s="419">
        <f>IF($B16="Yes",'MDO CAPEX'!S12,0)</f>
        <v>0</v>
      </c>
      <c r="W16" s="419">
        <f>IF($B16="Yes",'MDO CAPEX'!T12,0)</f>
        <v>0</v>
      </c>
      <c r="X16" s="419">
        <f>IF($B16="Yes",'MDO CAPEX'!U12,0)</f>
        <v>0</v>
      </c>
      <c r="Y16" s="419">
        <f>IF($B16="Yes",'MDO CAPEX'!V12,0)</f>
        <v>0</v>
      </c>
      <c r="Z16" s="419">
        <f>IF($B16="Yes",'MDO CAPEX'!W12,0)</f>
        <v>0</v>
      </c>
      <c r="AA16" s="419">
        <f>IF($B16="Yes",'MDO CAPEX'!X12,0)</f>
        <v>0</v>
      </c>
      <c r="AB16" s="419">
        <f>IF($B16="Yes",'MDO CAPEX'!Y12,0)</f>
        <v>0</v>
      </c>
      <c r="AC16" s="419">
        <f>IF($B16="Yes",'MDO CAPEX'!Z12,0)</f>
        <v>0</v>
      </c>
      <c r="AD16" s="419">
        <f>IF($B16="Yes",'MDO CAPEX'!AA12,0)</f>
        <v>0</v>
      </c>
      <c r="AE16" s="419">
        <f>IF($B16="Yes",'MDO CAPEX'!AB12,0)</f>
        <v>0</v>
      </c>
      <c r="AF16" s="419">
        <f>IF($B16="Yes",'MDO CAPEX'!AC12,0)</f>
        <v>0</v>
      </c>
      <c r="AG16" s="419">
        <f>IF($B16="Yes",'MDO CAPEX'!AD12,0)</f>
        <v>0</v>
      </c>
      <c r="AH16" s="419">
        <f>IF($B16="Yes",'MDO CAPEX'!AE12,0)</f>
        <v>0</v>
      </c>
      <c r="AI16" s="419">
        <f>IF($B16="Yes",'MDO CAPEX'!AF12,0)</f>
        <v>0</v>
      </c>
      <c r="AJ16" s="419">
        <f>IF($B16="Yes",'MDO CAPEX'!AG12,0)</f>
        <v>0</v>
      </c>
      <c r="AK16" s="419">
        <f>IF($B16="Yes",'MDO CAPEX'!AH12,0)</f>
        <v>0</v>
      </c>
    </row>
    <row r="17" spans="2:37">
      <c r="B17" s="416" t="s">
        <v>107</v>
      </c>
      <c r="C17" t="str">
        <f>'Owner CAPEX'!B19</f>
        <v>Fire Fighting &amp; Dust Suppression</v>
      </c>
      <c r="E17" s="418">
        <f t="shared" si="1"/>
        <v>0</v>
      </c>
      <c r="H17" s="419">
        <f>IF($B17="Yes",'MDO CAPEX'!E13,0)</f>
        <v>0</v>
      </c>
      <c r="I17" s="419">
        <f>IF($B17="Yes",'MDO CAPEX'!F13,0)</f>
        <v>0</v>
      </c>
      <c r="J17" s="419">
        <f>IF($B17="Yes",'MDO CAPEX'!G13,0)</f>
        <v>0</v>
      </c>
      <c r="K17" s="419">
        <f>IF($B17="Yes",'MDO CAPEX'!H13,0)</f>
        <v>0</v>
      </c>
      <c r="L17" s="419">
        <f>IF($B17="Yes",'MDO CAPEX'!I13,0)</f>
        <v>0</v>
      </c>
      <c r="M17" s="419">
        <f>IF($B17="Yes",'MDO CAPEX'!J13,0)</f>
        <v>0</v>
      </c>
      <c r="N17" s="419">
        <f>IF($B17="Yes",'MDO CAPEX'!K13,0)</f>
        <v>0</v>
      </c>
      <c r="O17" s="419">
        <f>IF($B17="Yes",'MDO CAPEX'!L13,0)</f>
        <v>0</v>
      </c>
      <c r="P17" s="419">
        <f>IF($B17="Yes",'MDO CAPEX'!M13,0)</f>
        <v>0</v>
      </c>
      <c r="Q17" s="419">
        <f>IF($B17="Yes",'MDO CAPEX'!N13,0)</f>
        <v>0</v>
      </c>
      <c r="R17" s="419">
        <f>IF($B17="Yes",'MDO CAPEX'!O13,0)</f>
        <v>0</v>
      </c>
      <c r="S17" s="419">
        <f>IF($B17="Yes",'MDO CAPEX'!P13,0)</f>
        <v>0</v>
      </c>
      <c r="T17" s="419">
        <f>IF($B17="Yes",'MDO CAPEX'!Q13,0)</f>
        <v>0</v>
      </c>
      <c r="U17" s="419">
        <f>IF($B17="Yes",'MDO CAPEX'!R13,0)</f>
        <v>0</v>
      </c>
      <c r="V17" s="419">
        <f>IF($B17="Yes",'MDO CAPEX'!S13,0)</f>
        <v>0</v>
      </c>
      <c r="W17" s="419">
        <f>IF($B17="Yes",'MDO CAPEX'!T13,0)</f>
        <v>0</v>
      </c>
      <c r="X17" s="419">
        <f>IF($B17="Yes",'MDO CAPEX'!U13,0)</f>
        <v>0</v>
      </c>
      <c r="Y17" s="419">
        <f>IF($B17="Yes",'MDO CAPEX'!V13,0)</f>
        <v>0</v>
      </c>
      <c r="Z17" s="419">
        <f>IF($B17="Yes",'MDO CAPEX'!W13,0)</f>
        <v>0</v>
      </c>
      <c r="AA17" s="419">
        <f>IF($B17="Yes",'MDO CAPEX'!X13,0)</f>
        <v>0</v>
      </c>
      <c r="AB17" s="419">
        <f>IF($B17="Yes",'MDO CAPEX'!Y13,0)</f>
        <v>0</v>
      </c>
      <c r="AC17" s="419">
        <f>IF($B17="Yes",'MDO CAPEX'!Z13,0)</f>
        <v>0</v>
      </c>
      <c r="AD17" s="419">
        <f>IF($B17="Yes",'MDO CAPEX'!AA13,0)</f>
        <v>0</v>
      </c>
      <c r="AE17" s="419">
        <f>IF($B17="Yes",'MDO CAPEX'!AB13,0)</f>
        <v>0</v>
      </c>
      <c r="AF17" s="419">
        <f>IF($B17="Yes",'MDO CAPEX'!AC13,0)</f>
        <v>0</v>
      </c>
      <c r="AG17" s="419">
        <f>IF($B17="Yes",'MDO CAPEX'!AD13,0)</f>
        <v>0</v>
      </c>
      <c r="AH17" s="419">
        <f>IF($B17="Yes",'MDO CAPEX'!AE13,0)</f>
        <v>0</v>
      </c>
      <c r="AI17" s="419">
        <f>IF($B17="Yes",'MDO CAPEX'!AF13,0)</f>
        <v>0</v>
      </c>
      <c r="AJ17" s="419">
        <f>IF($B17="Yes",'MDO CAPEX'!AG13,0)</f>
        <v>0</v>
      </c>
      <c r="AK17" s="419">
        <f>IF($B17="Yes",'MDO CAPEX'!AH13,0)</f>
        <v>0</v>
      </c>
    </row>
    <row r="18" spans="2:37">
      <c r="B18" s="416" t="s">
        <v>107</v>
      </c>
      <c r="C18" t="str">
        <f>'Owner CAPEX'!B20</f>
        <v>Workshop and Store</v>
      </c>
      <c r="E18" s="418">
        <f t="shared" si="1"/>
        <v>0</v>
      </c>
      <c r="H18" s="419">
        <f>IF($B18="Yes",'MDO CAPEX'!E14,0)</f>
        <v>0</v>
      </c>
      <c r="I18" s="419">
        <f>IF($B18="Yes",'MDO CAPEX'!F14,0)</f>
        <v>0</v>
      </c>
      <c r="J18" s="419">
        <f>IF($B18="Yes",'MDO CAPEX'!G14,0)</f>
        <v>0</v>
      </c>
      <c r="K18" s="419">
        <f>IF($B18="Yes",'MDO CAPEX'!H14,0)</f>
        <v>0</v>
      </c>
      <c r="L18" s="419">
        <f>IF($B18="Yes",'MDO CAPEX'!I14,0)</f>
        <v>0</v>
      </c>
      <c r="M18" s="419">
        <f>IF($B18="Yes",'MDO CAPEX'!J14,0)</f>
        <v>0</v>
      </c>
      <c r="N18" s="419">
        <f>IF($B18="Yes",'MDO CAPEX'!K14,0)</f>
        <v>0</v>
      </c>
      <c r="O18" s="419">
        <f>IF($B18="Yes",'MDO CAPEX'!L14,0)</f>
        <v>0</v>
      </c>
      <c r="P18" s="419">
        <f>IF($B18="Yes",'MDO CAPEX'!M14,0)</f>
        <v>0</v>
      </c>
      <c r="Q18" s="419">
        <f>IF($B18="Yes",'MDO CAPEX'!N14,0)</f>
        <v>0</v>
      </c>
      <c r="R18" s="419">
        <f>IF($B18="Yes",'MDO CAPEX'!O14,0)</f>
        <v>0</v>
      </c>
      <c r="S18" s="419">
        <f>IF($B18="Yes",'MDO CAPEX'!P14,0)</f>
        <v>0</v>
      </c>
      <c r="T18" s="419">
        <f>IF($B18="Yes",'MDO CAPEX'!Q14,0)</f>
        <v>0</v>
      </c>
      <c r="U18" s="419">
        <f>IF($B18="Yes",'MDO CAPEX'!R14,0)</f>
        <v>0</v>
      </c>
      <c r="V18" s="419">
        <f>IF($B18="Yes",'MDO CAPEX'!S14,0)</f>
        <v>0</v>
      </c>
      <c r="W18" s="419">
        <f>IF($B18="Yes",'MDO CAPEX'!T14,0)</f>
        <v>0</v>
      </c>
      <c r="X18" s="419">
        <f>IF($B18="Yes",'MDO CAPEX'!U14,0)</f>
        <v>0</v>
      </c>
      <c r="Y18" s="419">
        <f>IF($B18="Yes",'MDO CAPEX'!V14,0)</f>
        <v>0</v>
      </c>
      <c r="Z18" s="419">
        <f>IF($B18="Yes",'MDO CAPEX'!W14,0)</f>
        <v>0</v>
      </c>
      <c r="AA18" s="419">
        <f>IF($B18="Yes",'MDO CAPEX'!X14,0)</f>
        <v>0</v>
      </c>
      <c r="AB18" s="419">
        <f>IF($B18="Yes",'MDO CAPEX'!Y14,0)</f>
        <v>0</v>
      </c>
      <c r="AC18" s="419">
        <f>IF($B18="Yes",'MDO CAPEX'!Z14,0)</f>
        <v>0</v>
      </c>
      <c r="AD18" s="419">
        <f>IF($B18="Yes",'MDO CAPEX'!AA14,0)</f>
        <v>0</v>
      </c>
      <c r="AE18" s="419">
        <f>IF($B18="Yes",'MDO CAPEX'!AB14,0)</f>
        <v>0</v>
      </c>
      <c r="AF18" s="419">
        <f>IF($B18="Yes",'MDO CAPEX'!AC14,0)</f>
        <v>0</v>
      </c>
      <c r="AG18" s="419">
        <f>IF($B18="Yes",'MDO CAPEX'!AD14,0)</f>
        <v>0</v>
      </c>
      <c r="AH18" s="419">
        <f>IF($B18="Yes",'MDO CAPEX'!AE14,0)</f>
        <v>0</v>
      </c>
      <c r="AI18" s="419">
        <f>IF($B18="Yes",'MDO CAPEX'!AF14,0)</f>
        <v>0</v>
      </c>
      <c r="AJ18" s="419">
        <f>IF($B18="Yes",'MDO CAPEX'!AG14,0)</f>
        <v>0</v>
      </c>
      <c r="AK18" s="419">
        <f>IF($B18="Yes",'MDO CAPEX'!AH14,0)</f>
        <v>0</v>
      </c>
    </row>
    <row r="19" spans="2:37">
      <c r="B19" s="416" t="s">
        <v>107</v>
      </c>
      <c r="C19" t="str">
        <f>'Owner CAPEX'!B21</f>
        <v xml:space="preserve">Electrical </v>
      </c>
      <c r="E19" s="418">
        <f t="shared" si="1"/>
        <v>0</v>
      </c>
      <c r="H19" s="419">
        <f>IF($B19="Yes",'MDO CAPEX'!E15,0)</f>
        <v>0</v>
      </c>
      <c r="I19" s="419">
        <f>IF($B19="Yes",'MDO CAPEX'!F15,0)</f>
        <v>0</v>
      </c>
      <c r="J19" s="419">
        <f>IF($B19="Yes",'MDO CAPEX'!G15,0)</f>
        <v>0</v>
      </c>
      <c r="K19" s="419">
        <f>IF($B19="Yes",'MDO CAPEX'!H15,0)</f>
        <v>0</v>
      </c>
      <c r="L19" s="419">
        <f>IF($B19="Yes",'MDO CAPEX'!I15,0)</f>
        <v>0</v>
      </c>
      <c r="M19" s="419">
        <f>IF($B19="Yes",'MDO CAPEX'!J15,0)</f>
        <v>0</v>
      </c>
      <c r="N19" s="419">
        <f>IF($B19="Yes",'MDO CAPEX'!K15,0)</f>
        <v>0</v>
      </c>
      <c r="O19" s="419">
        <f>IF($B19="Yes",'MDO CAPEX'!L15,0)</f>
        <v>0</v>
      </c>
      <c r="P19" s="419">
        <f>IF($B19="Yes",'MDO CAPEX'!M15,0)</f>
        <v>0</v>
      </c>
      <c r="Q19" s="419">
        <f>IF($B19="Yes",'MDO CAPEX'!N15,0)</f>
        <v>0</v>
      </c>
      <c r="R19" s="419">
        <f>IF($B19="Yes",'MDO CAPEX'!O15,0)</f>
        <v>0</v>
      </c>
      <c r="S19" s="419">
        <f>IF($B19="Yes",'MDO CAPEX'!P15,0)</f>
        <v>0</v>
      </c>
      <c r="T19" s="419">
        <f>IF($B19="Yes",'MDO CAPEX'!Q15,0)</f>
        <v>0</v>
      </c>
      <c r="U19" s="419">
        <f>IF($B19="Yes",'MDO CAPEX'!R15,0)</f>
        <v>0</v>
      </c>
      <c r="V19" s="419">
        <f>IF($B19="Yes",'MDO CAPEX'!S15,0)</f>
        <v>0</v>
      </c>
      <c r="W19" s="419">
        <f>IF($B19="Yes",'MDO CAPEX'!T15,0)</f>
        <v>0</v>
      </c>
      <c r="X19" s="419">
        <f>IF($B19="Yes",'MDO CAPEX'!U15,0)</f>
        <v>0</v>
      </c>
      <c r="Y19" s="419">
        <f>IF($B19="Yes",'MDO CAPEX'!V15,0)</f>
        <v>0</v>
      </c>
      <c r="Z19" s="419">
        <f>IF($B19="Yes",'MDO CAPEX'!W15,0)</f>
        <v>0</v>
      </c>
      <c r="AA19" s="419">
        <f>IF($B19="Yes",'MDO CAPEX'!X15,0)</f>
        <v>0</v>
      </c>
      <c r="AB19" s="419">
        <f>IF($B19="Yes",'MDO CAPEX'!Y15,0)</f>
        <v>0</v>
      </c>
      <c r="AC19" s="419">
        <f>IF($B19="Yes",'MDO CAPEX'!Z15,0)</f>
        <v>0</v>
      </c>
      <c r="AD19" s="419">
        <f>IF($B19="Yes",'MDO CAPEX'!AA15,0)</f>
        <v>0</v>
      </c>
      <c r="AE19" s="419">
        <f>IF($B19="Yes",'MDO CAPEX'!AB15,0)</f>
        <v>0</v>
      </c>
      <c r="AF19" s="419">
        <f>IF($B19="Yes",'MDO CAPEX'!AC15,0)</f>
        <v>0</v>
      </c>
      <c r="AG19" s="419">
        <f>IF($B19="Yes",'MDO CAPEX'!AD15,0)</f>
        <v>0</v>
      </c>
      <c r="AH19" s="419">
        <f>IF($B19="Yes",'MDO CAPEX'!AE15,0)</f>
        <v>0</v>
      </c>
      <c r="AI19" s="419">
        <f>IF($B19="Yes",'MDO CAPEX'!AF15,0)</f>
        <v>0</v>
      </c>
      <c r="AJ19" s="419">
        <f>IF($B19="Yes",'MDO CAPEX'!AG15,0)</f>
        <v>0</v>
      </c>
      <c r="AK19" s="419">
        <f>IF($B19="Yes",'MDO CAPEX'!AH15,0)</f>
        <v>0</v>
      </c>
    </row>
    <row r="20" spans="2:37">
      <c r="B20" s="416" t="s">
        <v>107</v>
      </c>
      <c r="C20" t="str">
        <f>'Owner CAPEX'!B22</f>
        <v>Mine Dewatering System</v>
      </c>
      <c r="E20" s="418">
        <f t="shared" si="1"/>
        <v>0</v>
      </c>
      <c r="H20" s="419">
        <f>IF($B20="Yes",'MDO CAPEX'!E16,0)</f>
        <v>0</v>
      </c>
      <c r="I20" s="419">
        <f>IF($B20="Yes",'MDO CAPEX'!F16,0)</f>
        <v>0</v>
      </c>
      <c r="J20" s="419">
        <f>IF($B20="Yes",'MDO CAPEX'!G16,0)</f>
        <v>0</v>
      </c>
      <c r="K20" s="419">
        <f>IF($B20="Yes",'MDO CAPEX'!H16,0)</f>
        <v>0</v>
      </c>
      <c r="L20" s="419">
        <f>IF($B20="Yes",'MDO CAPEX'!I16,0)</f>
        <v>0</v>
      </c>
      <c r="M20" s="419">
        <f>IF($B20="Yes",'MDO CAPEX'!J16,0)</f>
        <v>0</v>
      </c>
      <c r="N20" s="419">
        <f>IF($B20="Yes",'MDO CAPEX'!K16,0)</f>
        <v>0</v>
      </c>
      <c r="O20" s="419">
        <f>IF($B20="Yes",'MDO CAPEX'!L16,0)</f>
        <v>0</v>
      </c>
      <c r="P20" s="419">
        <f>IF($B20="Yes",'MDO CAPEX'!M16,0)</f>
        <v>0</v>
      </c>
      <c r="Q20" s="419">
        <f>IF($B20="Yes",'MDO CAPEX'!N16,0)</f>
        <v>0</v>
      </c>
      <c r="R20" s="419">
        <f>IF($B20="Yes",'MDO CAPEX'!O16,0)</f>
        <v>0</v>
      </c>
      <c r="S20" s="419">
        <f>IF($B20="Yes",'MDO CAPEX'!P16,0)</f>
        <v>0</v>
      </c>
      <c r="T20" s="419">
        <f>IF($B20="Yes",'MDO CAPEX'!Q16,0)</f>
        <v>0</v>
      </c>
      <c r="U20" s="419">
        <f>IF($B20="Yes",'MDO CAPEX'!R16,0)</f>
        <v>0</v>
      </c>
      <c r="V20" s="419">
        <f>IF($B20="Yes",'MDO CAPEX'!S16,0)</f>
        <v>0</v>
      </c>
      <c r="W20" s="419">
        <f>IF($B20="Yes",'MDO CAPEX'!T16,0)</f>
        <v>0</v>
      </c>
      <c r="X20" s="419">
        <f>IF($B20="Yes",'MDO CAPEX'!U16,0)</f>
        <v>0</v>
      </c>
      <c r="Y20" s="419">
        <f>IF($B20="Yes",'MDO CAPEX'!V16,0)</f>
        <v>0</v>
      </c>
      <c r="Z20" s="419">
        <f>IF($B20="Yes",'MDO CAPEX'!W16,0)</f>
        <v>0</v>
      </c>
      <c r="AA20" s="419">
        <f>IF($B20="Yes",'MDO CAPEX'!X16,0)</f>
        <v>0</v>
      </c>
      <c r="AB20" s="419">
        <f>IF($B20="Yes",'MDO CAPEX'!Y16,0)</f>
        <v>0</v>
      </c>
      <c r="AC20" s="419">
        <f>IF($B20="Yes",'MDO CAPEX'!Z16,0)</f>
        <v>0</v>
      </c>
      <c r="AD20" s="419">
        <f>IF($B20="Yes",'MDO CAPEX'!AA16,0)</f>
        <v>0</v>
      </c>
      <c r="AE20" s="419">
        <f>IF($B20="Yes",'MDO CAPEX'!AB16,0)</f>
        <v>0</v>
      </c>
      <c r="AF20" s="419">
        <f>IF($B20="Yes",'MDO CAPEX'!AC16,0)</f>
        <v>0</v>
      </c>
      <c r="AG20" s="419">
        <f>IF($B20="Yes",'MDO CAPEX'!AD16,0)</f>
        <v>0</v>
      </c>
      <c r="AH20" s="419">
        <f>IF($B20="Yes",'MDO CAPEX'!AE16,0)</f>
        <v>0</v>
      </c>
      <c r="AI20" s="419">
        <f>IF($B20="Yes",'MDO CAPEX'!AF16,0)</f>
        <v>0</v>
      </c>
      <c r="AJ20" s="419">
        <f>IF($B20="Yes",'MDO CAPEX'!AG16,0)</f>
        <v>0</v>
      </c>
      <c r="AK20" s="419">
        <f>IF($B20="Yes",'MDO CAPEX'!AH16,0)</f>
        <v>0</v>
      </c>
    </row>
    <row r="21" spans="2:37">
      <c r="B21" s="416" t="s">
        <v>107</v>
      </c>
      <c r="C21" t="str">
        <f>'Owner CAPEX'!B23</f>
        <v>Digitalisation</v>
      </c>
      <c r="E21" s="418">
        <f t="shared" si="1"/>
        <v>0</v>
      </c>
      <c r="H21" s="419">
        <f>IF($B21="Yes",'MDO CAPEX'!E17,0)</f>
        <v>0</v>
      </c>
      <c r="I21" s="419">
        <f>IF($B21="Yes",'MDO CAPEX'!F17,0)</f>
        <v>0</v>
      </c>
      <c r="J21" s="419">
        <f>IF($B21="Yes",'MDO CAPEX'!G17,0)</f>
        <v>0</v>
      </c>
      <c r="K21" s="419">
        <f>IF($B21="Yes",'MDO CAPEX'!H17,0)</f>
        <v>0</v>
      </c>
      <c r="L21" s="419">
        <f>IF($B21="Yes",'MDO CAPEX'!I17,0)</f>
        <v>0</v>
      </c>
      <c r="M21" s="419">
        <f>IF($B21="Yes",'MDO CAPEX'!J17,0)</f>
        <v>0</v>
      </c>
      <c r="N21" s="419">
        <f>IF($B21="Yes",'MDO CAPEX'!K17,0)</f>
        <v>0</v>
      </c>
      <c r="O21" s="419">
        <f>IF($B21="Yes",'MDO CAPEX'!L17,0)</f>
        <v>0</v>
      </c>
      <c r="P21" s="419">
        <f>IF($B21="Yes",'MDO CAPEX'!M17,0)</f>
        <v>0</v>
      </c>
      <c r="Q21" s="419">
        <f>IF($B21="Yes",'MDO CAPEX'!N17,0)</f>
        <v>0</v>
      </c>
      <c r="R21" s="419">
        <f>IF($B21="Yes",'MDO CAPEX'!O17,0)</f>
        <v>0</v>
      </c>
      <c r="S21" s="419">
        <f>IF($B21="Yes",'MDO CAPEX'!P17,0)</f>
        <v>0</v>
      </c>
      <c r="T21" s="419">
        <f>IF($B21="Yes",'MDO CAPEX'!Q17,0)</f>
        <v>0</v>
      </c>
      <c r="U21" s="419">
        <f>IF($B21="Yes",'MDO CAPEX'!R17,0)</f>
        <v>0</v>
      </c>
      <c r="V21" s="419">
        <f>IF($B21="Yes",'MDO CAPEX'!S17,0)</f>
        <v>0</v>
      </c>
      <c r="W21" s="419">
        <f>IF($B21="Yes",'MDO CAPEX'!T17,0)</f>
        <v>0</v>
      </c>
      <c r="X21" s="419">
        <f>IF($B21="Yes",'MDO CAPEX'!U17,0)</f>
        <v>0</v>
      </c>
      <c r="Y21" s="419">
        <f>IF($B21="Yes",'MDO CAPEX'!V17,0)</f>
        <v>0</v>
      </c>
      <c r="Z21" s="419">
        <f>IF($B21="Yes",'MDO CAPEX'!W17,0)</f>
        <v>0</v>
      </c>
      <c r="AA21" s="419">
        <f>IF($B21="Yes",'MDO CAPEX'!X17,0)</f>
        <v>0</v>
      </c>
      <c r="AB21" s="419">
        <f>IF($B21="Yes",'MDO CAPEX'!Y17,0)</f>
        <v>0</v>
      </c>
      <c r="AC21" s="419">
        <f>IF($B21="Yes",'MDO CAPEX'!Z17,0)</f>
        <v>0</v>
      </c>
      <c r="AD21" s="419">
        <f>IF($B21="Yes",'MDO CAPEX'!AA17,0)</f>
        <v>0</v>
      </c>
      <c r="AE21" s="419">
        <f>IF($B21="Yes",'MDO CAPEX'!AB17,0)</f>
        <v>0</v>
      </c>
      <c r="AF21" s="419">
        <f>IF($B21="Yes",'MDO CAPEX'!AC17,0)</f>
        <v>0</v>
      </c>
      <c r="AG21" s="419">
        <f>IF($B21="Yes",'MDO CAPEX'!AD17,0)</f>
        <v>0</v>
      </c>
      <c r="AH21" s="419">
        <f>IF($B21="Yes",'MDO CAPEX'!AE17,0)</f>
        <v>0</v>
      </c>
      <c r="AI21" s="419">
        <f>IF($B21="Yes",'MDO CAPEX'!AF17,0)</f>
        <v>0</v>
      </c>
      <c r="AJ21" s="419">
        <f>IF($B21="Yes",'MDO CAPEX'!AG17,0)</f>
        <v>0</v>
      </c>
      <c r="AK21" s="419">
        <f>IF($B21="Yes",'MDO CAPEX'!AH17,0)</f>
        <v>0</v>
      </c>
    </row>
    <row r="22" spans="2:37">
      <c r="B22" s="416" t="s">
        <v>107</v>
      </c>
      <c r="C22" t="str">
        <f>'Owner CAPEX'!B24</f>
        <v>Contingency</v>
      </c>
      <c r="E22" s="418">
        <f t="shared" si="1"/>
        <v>0</v>
      </c>
      <c r="H22" s="419">
        <f>IF($B22="Yes",'MDO CAPEX'!E18,0)</f>
        <v>0</v>
      </c>
      <c r="I22" s="419">
        <f>IF($B22="Yes",'MDO CAPEX'!F18,0)</f>
        <v>0</v>
      </c>
      <c r="J22" s="419">
        <f>IF($B22="Yes",'MDO CAPEX'!G18,0)</f>
        <v>0</v>
      </c>
      <c r="K22" s="419">
        <f>IF($B22="Yes",'MDO CAPEX'!H18,0)</f>
        <v>0</v>
      </c>
      <c r="L22" s="419">
        <f>IF($B22="Yes",'MDO CAPEX'!I18,0)</f>
        <v>0</v>
      </c>
      <c r="M22" s="419">
        <f>IF($B22="Yes",'MDO CAPEX'!J18,0)</f>
        <v>0</v>
      </c>
      <c r="N22" s="419">
        <f>IF($B22="Yes",'MDO CAPEX'!K18,0)</f>
        <v>0</v>
      </c>
      <c r="O22" s="419">
        <f>IF($B22="Yes",'MDO CAPEX'!L18,0)</f>
        <v>0</v>
      </c>
      <c r="P22" s="419">
        <f>IF($B22="Yes",'MDO CAPEX'!M18,0)</f>
        <v>0</v>
      </c>
      <c r="Q22" s="419">
        <f>IF($B22="Yes",'MDO CAPEX'!N18,0)</f>
        <v>0</v>
      </c>
      <c r="R22" s="419">
        <f>IF($B22="Yes",'MDO CAPEX'!O18,0)</f>
        <v>0</v>
      </c>
      <c r="S22" s="419">
        <f>IF($B22="Yes",'MDO CAPEX'!P18,0)</f>
        <v>0</v>
      </c>
      <c r="T22" s="419">
        <f>IF($B22="Yes",'MDO CAPEX'!Q18,0)</f>
        <v>0</v>
      </c>
      <c r="U22" s="419">
        <f>IF($B22="Yes",'MDO CAPEX'!R18,0)</f>
        <v>0</v>
      </c>
      <c r="V22" s="419">
        <f>IF($B22="Yes",'MDO CAPEX'!S18,0)</f>
        <v>0</v>
      </c>
      <c r="W22" s="419">
        <f>IF($B22="Yes",'MDO CAPEX'!T18,0)</f>
        <v>0</v>
      </c>
      <c r="X22" s="419">
        <f>IF($B22="Yes",'MDO CAPEX'!U18,0)</f>
        <v>0</v>
      </c>
      <c r="Y22" s="419">
        <f>IF($B22="Yes",'MDO CAPEX'!V18,0)</f>
        <v>0</v>
      </c>
      <c r="Z22" s="419">
        <f>IF($B22="Yes",'MDO CAPEX'!W18,0)</f>
        <v>0</v>
      </c>
      <c r="AA22" s="419">
        <f>IF($B22="Yes",'MDO CAPEX'!X18,0)</f>
        <v>0</v>
      </c>
      <c r="AB22" s="419">
        <f>IF($B22="Yes",'MDO CAPEX'!Y18,0)</f>
        <v>0</v>
      </c>
      <c r="AC22" s="419">
        <f>IF($B22="Yes",'MDO CAPEX'!Z18,0)</f>
        <v>0</v>
      </c>
      <c r="AD22" s="419">
        <f>IF($B22="Yes",'MDO CAPEX'!AA18,0)</f>
        <v>0</v>
      </c>
      <c r="AE22" s="419">
        <f>IF($B22="Yes",'MDO CAPEX'!AB18,0)</f>
        <v>0</v>
      </c>
      <c r="AF22" s="419">
        <f>IF($B22="Yes",'MDO CAPEX'!AC18,0)</f>
        <v>0</v>
      </c>
      <c r="AG22" s="419">
        <f>IF($B22="Yes",'MDO CAPEX'!AD18,0)</f>
        <v>0</v>
      </c>
      <c r="AH22" s="419">
        <f>IF($B22="Yes",'MDO CAPEX'!AE18,0)</f>
        <v>0</v>
      </c>
      <c r="AI22" s="419">
        <f>IF($B22="Yes",'MDO CAPEX'!AF18,0)</f>
        <v>0</v>
      </c>
      <c r="AJ22" s="419">
        <f>IF($B22="Yes",'MDO CAPEX'!AG18,0)</f>
        <v>0</v>
      </c>
      <c r="AK22" s="419">
        <f>IF($B22="Yes",'MDO CAPEX'!AH18,0)</f>
        <v>0</v>
      </c>
    </row>
    <row r="23" spans="2:37">
      <c r="B23" s="417"/>
      <c r="C23" s="191" t="s">
        <v>543</v>
      </c>
      <c r="E23" s="418">
        <f>SUM(H23:BE23)</f>
        <v>0</v>
      </c>
      <c r="H23" s="420">
        <f>SUM(H9:H22)</f>
        <v>0</v>
      </c>
      <c r="I23" s="420">
        <f t="shared" ref="I23:AK23" si="2">SUM(I9:I22)</f>
        <v>0</v>
      </c>
      <c r="J23" s="420">
        <f t="shared" si="2"/>
        <v>0</v>
      </c>
      <c r="K23" s="420">
        <f t="shared" si="2"/>
        <v>0</v>
      </c>
      <c r="L23" s="420">
        <f t="shared" si="2"/>
        <v>0</v>
      </c>
      <c r="M23" s="420">
        <f t="shared" si="2"/>
        <v>0</v>
      </c>
      <c r="N23" s="420">
        <f t="shared" si="2"/>
        <v>0</v>
      </c>
      <c r="O23" s="420">
        <f t="shared" si="2"/>
        <v>0</v>
      </c>
      <c r="P23" s="420">
        <f t="shared" si="2"/>
        <v>0</v>
      </c>
      <c r="Q23" s="420">
        <f t="shared" si="2"/>
        <v>0</v>
      </c>
      <c r="R23" s="420">
        <f t="shared" si="2"/>
        <v>0</v>
      </c>
      <c r="S23" s="420">
        <f t="shared" si="2"/>
        <v>0</v>
      </c>
      <c r="T23" s="420">
        <f t="shared" si="2"/>
        <v>0</v>
      </c>
      <c r="U23" s="420">
        <f t="shared" si="2"/>
        <v>0</v>
      </c>
      <c r="V23" s="420">
        <f t="shared" si="2"/>
        <v>0</v>
      </c>
      <c r="W23" s="420">
        <f t="shared" si="2"/>
        <v>0</v>
      </c>
      <c r="X23" s="420">
        <f t="shared" si="2"/>
        <v>0</v>
      </c>
      <c r="Y23" s="420">
        <f t="shared" si="2"/>
        <v>0</v>
      </c>
      <c r="Z23" s="420">
        <f t="shared" si="2"/>
        <v>0</v>
      </c>
      <c r="AA23" s="420">
        <f t="shared" si="2"/>
        <v>0</v>
      </c>
      <c r="AB23" s="420">
        <f t="shared" si="2"/>
        <v>0</v>
      </c>
      <c r="AC23" s="420">
        <f t="shared" si="2"/>
        <v>0</v>
      </c>
      <c r="AD23" s="420">
        <f t="shared" si="2"/>
        <v>0</v>
      </c>
      <c r="AE23" s="420">
        <f t="shared" si="2"/>
        <v>0</v>
      </c>
      <c r="AF23" s="420">
        <f t="shared" si="2"/>
        <v>0</v>
      </c>
      <c r="AG23" s="420">
        <f t="shared" si="2"/>
        <v>0</v>
      </c>
      <c r="AH23" s="420">
        <f t="shared" si="2"/>
        <v>0</v>
      </c>
      <c r="AI23" s="420">
        <f t="shared" si="2"/>
        <v>0</v>
      </c>
      <c r="AJ23" s="420">
        <f t="shared" si="2"/>
        <v>0</v>
      </c>
      <c r="AK23" s="420">
        <f t="shared" si="2"/>
        <v>0</v>
      </c>
    </row>
    <row r="24" spans="2:37">
      <c r="B24" s="417"/>
      <c r="C24" s="191" t="s">
        <v>544</v>
      </c>
    </row>
    <row r="25" spans="2:37">
      <c r="B25" s="416" t="s">
        <v>107</v>
      </c>
      <c r="C25" t="str">
        <f>'Owner CAPEX'!B31</f>
        <v>Mining Equipment Replacement</v>
      </c>
      <c r="E25" s="418">
        <f t="shared" ref="E25:E35" si="3">SUM(H25:BE25)</f>
        <v>0</v>
      </c>
      <c r="H25" s="419">
        <f>IF($B25="Yes",'MDO CAPEX'!E25,0)</f>
        <v>0</v>
      </c>
      <c r="I25" s="419">
        <f>IF($B25="Yes",'MDO CAPEX'!F25,0)</f>
        <v>0</v>
      </c>
      <c r="J25" s="419">
        <f>IF($B25="Yes",'MDO CAPEX'!G25,0)</f>
        <v>0</v>
      </c>
      <c r="K25" s="419">
        <f>IF($B25="Yes",'MDO CAPEX'!H25,0)</f>
        <v>0</v>
      </c>
      <c r="L25" s="419">
        <f>IF($B25="Yes",'MDO CAPEX'!I25,0)</f>
        <v>0</v>
      </c>
      <c r="M25" s="419">
        <f>IF($B25="Yes",'MDO CAPEX'!J25,0)</f>
        <v>0</v>
      </c>
      <c r="N25" s="419">
        <f>IF($B25="Yes",'MDO CAPEX'!K25,0)</f>
        <v>0</v>
      </c>
      <c r="O25" s="419">
        <f>IF($B25="Yes",'MDO CAPEX'!L25,0)</f>
        <v>0</v>
      </c>
      <c r="P25" s="419">
        <f>IF($B25="Yes",'MDO CAPEX'!M25,0)</f>
        <v>0</v>
      </c>
      <c r="Q25" s="419">
        <f>IF($B25="Yes",'MDO CAPEX'!N25,0)</f>
        <v>0</v>
      </c>
      <c r="R25" s="419">
        <f>IF($B25="Yes",'MDO CAPEX'!O25,0)</f>
        <v>0</v>
      </c>
      <c r="S25" s="419">
        <f>IF($B25="Yes",'MDO CAPEX'!P25,0)</f>
        <v>0</v>
      </c>
      <c r="T25" s="419">
        <f>IF($B25="Yes",'MDO CAPEX'!Q25,0)</f>
        <v>0</v>
      </c>
      <c r="U25" s="419">
        <f>IF($B25="Yes",'MDO CAPEX'!R25,0)</f>
        <v>0</v>
      </c>
      <c r="V25" s="419">
        <f>IF($B25="Yes",'MDO CAPEX'!S25,0)</f>
        <v>0</v>
      </c>
      <c r="W25" s="419">
        <f>IF($B25="Yes",'MDO CAPEX'!T25,0)</f>
        <v>0</v>
      </c>
      <c r="X25" s="419">
        <f>IF($B25="Yes",'MDO CAPEX'!U25,0)</f>
        <v>0</v>
      </c>
      <c r="Y25" s="419">
        <f>IF($B25="Yes",'MDO CAPEX'!V25,0)</f>
        <v>0</v>
      </c>
      <c r="Z25" s="419">
        <f>IF($B25="Yes",'MDO CAPEX'!W25,0)</f>
        <v>0</v>
      </c>
      <c r="AA25" s="419">
        <f>IF($B25="Yes",'MDO CAPEX'!X25,0)</f>
        <v>0</v>
      </c>
      <c r="AB25" s="419">
        <f>IF($B25="Yes",'MDO CAPEX'!Y25,0)</f>
        <v>0</v>
      </c>
      <c r="AC25" s="419">
        <f>IF($B25="Yes",'MDO CAPEX'!Z25,0)</f>
        <v>0</v>
      </c>
      <c r="AD25" s="419">
        <f>IF($B25="Yes",'MDO CAPEX'!AA25,0)</f>
        <v>0</v>
      </c>
      <c r="AE25" s="419">
        <f>IF($B25="Yes",'MDO CAPEX'!AB25,0)</f>
        <v>0</v>
      </c>
      <c r="AF25" s="419">
        <f>IF($B25="Yes",'MDO CAPEX'!AC25,0)</f>
        <v>0</v>
      </c>
      <c r="AG25" s="419">
        <f>IF($B25="Yes",'MDO CAPEX'!AD25,0)</f>
        <v>0</v>
      </c>
      <c r="AH25" s="419">
        <f>IF($B25="Yes",'MDO CAPEX'!AE25,0)</f>
        <v>0</v>
      </c>
      <c r="AI25" s="419">
        <f>IF($B25="Yes",'MDO CAPEX'!AF25,0)</f>
        <v>0</v>
      </c>
      <c r="AJ25" s="419">
        <f>IF($B25="Yes",'MDO CAPEX'!AG25,0)</f>
        <v>0</v>
      </c>
      <c r="AK25" s="419">
        <f>IF($B25="Yes",'MDO CAPEX'!AH25,0)</f>
        <v>0</v>
      </c>
    </row>
    <row r="26" spans="2:37">
      <c r="B26" s="416" t="s">
        <v>453</v>
      </c>
      <c r="C26" t="str">
        <f>'Owner CAPEX'!B32</f>
        <v>CHP</v>
      </c>
      <c r="E26" s="418">
        <f t="shared" si="3"/>
        <v>0</v>
      </c>
      <c r="H26" s="419">
        <f>IF($B26="Yes",'Owner CAPEX'!E32,0)</f>
        <v>0</v>
      </c>
      <c r="I26" s="419">
        <f>IF($B26="Yes",'Owner CAPEX'!F32,0)</f>
        <v>0</v>
      </c>
      <c r="J26" s="419">
        <f>IF($B26="Yes",'Owner CAPEX'!G32,0)</f>
        <v>0</v>
      </c>
      <c r="K26" s="419">
        <f>IF($B26="Yes",'Owner CAPEX'!H32,0)</f>
        <v>0</v>
      </c>
      <c r="L26" s="419">
        <f>IF($B26="Yes",'Owner CAPEX'!I32,0)</f>
        <v>0</v>
      </c>
      <c r="M26" s="419">
        <f>IF($B26="Yes",'Owner CAPEX'!J32,0)</f>
        <v>0</v>
      </c>
      <c r="N26" s="419">
        <f>IF($B26="Yes",'Owner CAPEX'!K32,0)</f>
        <v>0</v>
      </c>
      <c r="O26" s="419">
        <f>IF($B26="Yes",'Owner CAPEX'!L32,0)</f>
        <v>0</v>
      </c>
      <c r="P26" s="419">
        <f>IF($B26="Yes",'Owner CAPEX'!M32,0)</f>
        <v>0</v>
      </c>
      <c r="Q26" s="419">
        <f>IF($B26="Yes",'Owner CAPEX'!N32,0)</f>
        <v>0</v>
      </c>
      <c r="R26" s="419">
        <f>IF($B26="Yes",'Owner CAPEX'!O32,0)</f>
        <v>0</v>
      </c>
      <c r="S26" s="419">
        <f>IF($B26="Yes",'Owner CAPEX'!P32,0)</f>
        <v>0</v>
      </c>
      <c r="T26" s="419">
        <f>IF($B26="Yes",'Owner CAPEX'!Q32,0)</f>
        <v>0</v>
      </c>
      <c r="U26" s="419">
        <f>IF($B26="Yes",'Owner CAPEX'!R32,0)</f>
        <v>0</v>
      </c>
      <c r="V26" s="419">
        <f>IF($B26="Yes",'Owner CAPEX'!S32,0)</f>
        <v>0</v>
      </c>
      <c r="W26" s="419">
        <f>IF($B26="Yes",'Owner CAPEX'!T32,0)</f>
        <v>0</v>
      </c>
      <c r="X26" s="419">
        <f>IF($B26="Yes",'Owner CAPEX'!U32,0)</f>
        <v>0</v>
      </c>
      <c r="Y26" s="419">
        <f>IF($B26="Yes",'Owner CAPEX'!V32,0)</f>
        <v>0</v>
      </c>
      <c r="Z26" s="419">
        <f>IF($B26="Yes",'Owner CAPEX'!W32,0)</f>
        <v>0</v>
      </c>
      <c r="AA26" s="419">
        <f>IF($B26="Yes",'Owner CAPEX'!X32,0)</f>
        <v>0</v>
      </c>
      <c r="AB26" s="419">
        <f>IF($B26="Yes",'Owner CAPEX'!Y32,0)</f>
        <v>0</v>
      </c>
      <c r="AC26" s="419">
        <f>IF($B26="Yes",'Owner CAPEX'!Z32,0)</f>
        <v>0</v>
      </c>
      <c r="AD26" s="419">
        <f>IF($B26="Yes",'Owner CAPEX'!AA32,0)</f>
        <v>0</v>
      </c>
      <c r="AE26" s="419">
        <f>IF($B26="Yes",'Owner CAPEX'!AB32,0)</f>
        <v>0</v>
      </c>
      <c r="AF26" s="419">
        <f>IF($B26="Yes",'Owner CAPEX'!AC32,0)</f>
        <v>0</v>
      </c>
      <c r="AG26" s="419">
        <f>IF($B26="Yes",'Owner CAPEX'!AD32,0)</f>
        <v>0</v>
      </c>
      <c r="AH26" s="419">
        <f>IF($B26="Yes",'Owner CAPEX'!AE32,0)</f>
        <v>0</v>
      </c>
      <c r="AI26" s="419">
        <f>IF($B26="Yes",'Owner CAPEX'!AF32,0)</f>
        <v>0</v>
      </c>
      <c r="AJ26" s="419">
        <f>IF($B26="Yes",'Owner CAPEX'!AG32,0)</f>
        <v>0</v>
      </c>
      <c r="AK26" s="419">
        <f>IF($B26="Yes",'Owner CAPEX'!AH32,0)</f>
        <v>0</v>
      </c>
    </row>
    <row r="27" spans="2:37">
      <c r="B27" s="416" t="s">
        <v>107</v>
      </c>
      <c r="C27" t="str">
        <f>'Owner CAPEX'!B33</f>
        <v>Civil Infrastructure</v>
      </c>
      <c r="E27" s="418">
        <f t="shared" si="3"/>
        <v>0</v>
      </c>
      <c r="H27" s="419">
        <f>IF($B27="Yes",'MDO CAPEX'!E26,0)</f>
        <v>0</v>
      </c>
      <c r="I27" s="419">
        <f>IF($B27="Yes",'MDO CAPEX'!F26,0)</f>
        <v>0</v>
      </c>
      <c r="J27" s="419">
        <f>IF($B27="Yes",'MDO CAPEX'!G26,0)</f>
        <v>0</v>
      </c>
      <c r="K27" s="419">
        <f>IF($B27="Yes",'MDO CAPEX'!H26,0)</f>
        <v>0</v>
      </c>
      <c r="L27" s="419">
        <f>IF($B27="Yes",'MDO CAPEX'!I26,0)</f>
        <v>0</v>
      </c>
      <c r="M27" s="419">
        <f>IF($B27="Yes",'MDO CAPEX'!J26,0)</f>
        <v>0</v>
      </c>
      <c r="N27" s="419">
        <f>IF($B27="Yes",'MDO CAPEX'!K26,0)</f>
        <v>0</v>
      </c>
      <c r="O27" s="419">
        <f>IF($B27="Yes",'MDO CAPEX'!L26,0)</f>
        <v>0</v>
      </c>
      <c r="P27" s="419">
        <f>IF($B27="Yes",'MDO CAPEX'!M26,0)</f>
        <v>0</v>
      </c>
      <c r="Q27" s="419">
        <f>IF($B27="Yes",'MDO CAPEX'!N26,0)</f>
        <v>0</v>
      </c>
      <c r="R27" s="419">
        <f>IF($B27="Yes",'MDO CAPEX'!O26,0)</f>
        <v>0</v>
      </c>
      <c r="S27" s="419">
        <f>IF($B27="Yes",'MDO CAPEX'!P26,0)</f>
        <v>0</v>
      </c>
      <c r="T27" s="419">
        <f>IF($B27="Yes",'MDO CAPEX'!Q26,0)</f>
        <v>0</v>
      </c>
      <c r="U27" s="419">
        <f>IF($B27="Yes",'MDO CAPEX'!R26,0)</f>
        <v>0</v>
      </c>
      <c r="V27" s="419">
        <f>IF($B27="Yes",'MDO CAPEX'!S26,0)</f>
        <v>0</v>
      </c>
      <c r="W27" s="419">
        <f>IF($B27="Yes",'MDO CAPEX'!T26,0)</f>
        <v>0</v>
      </c>
      <c r="X27" s="419">
        <f>IF($B27="Yes",'MDO CAPEX'!U26,0)</f>
        <v>0</v>
      </c>
      <c r="Y27" s="419">
        <f>IF($B27="Yes",'MDO CAPEX'!V26,0)</f>
        <v>0</v>
      </c>
      <c r="Z27" s="419">
        <f>IF($B27="Yes",'MDO CAPEX'!W26,0)</f>
        <v>0</v>
      </c>
      <c r="AA27" s="419">
        <f>IF($B27="Yes",'MDO CAPEX'!X26,0)</f>
        <v>0</v>
      </c>
      <c r="AB27" s="419">
        <f>IF($B27="Yes",'MDO CAPEX'!Y26,0)</f>
        <v>0</v>
      </c>
      <c r="AC27" s="419">
        <f>IF($B27="Yes",'MDO CAPEX'!Z26,0)</f>
        <v>0</v>
      </c>
      <c r="AD27" s="419">
        <f>IF($B27="Yes",'MDO CAPEX'!AA26,0)</f>
        <v>0</v>
      </c>
      <c r="AE27" s="419">
        <f>IF($B27="Yes",'MDO CAPEX'!AB26,0)</f>
        <v>0</v>
      </c>
      <c r="AF27" s="419">
        <f>IF($B27="Yes",'MDO CAPEX'!AC26,0)</f>
        <v>0</v>
      </c>
      <c r="AG27" s="419">
        <f>IF($B27="Yes",'MDO CAPEX'!AD26,0)</f>
        <v>0</v>
      </c>
      <c r="AH27" s="419">
        <f>IF($B27="Yes",'MDO CAPEX'!AE26,0)</f>
        <v>0</v>
      </c>
      <c r="AI27" s="419">
        <f>IF($B27="Yes",'MDO CAPEX'!AF26,0)</f>
        <v>0</v>
      </c>
      <c r="AJ27" s="419">
        <f>IF($B27="Yes",'MDO CAPEX'!AG26,0)</f>
        <v>0</v>
      </c>
      <c r="AK27" s="419">
        <f>IF($B27="Yes",'MDO CAPEX'!AH26,0)</f>
        <v>0</v>
      </c>
    </row>
    <row r="28" spans="2:37">
      <c r="B28" s="416" t="s">
        <v>107</v>
      </c>
      <c r="C28" t="str">
        <f>'Owner CAPEX'!B34</f>
        <v>Workshop and Store</v>
      </c>
      <c r="E28" s="418">
        <f t="shared" si="3"/>
        <v>0</v>
      </c>
      <c r="H28" s="419">
        <f>IF($B28="Yes",'MDO CAPEX'!E27,0)</f>
        <v>0</v>
      </c>
      <c r="I28" s="419">
        <f>IF($B28="Yes",'MDO CAPEX'!F27,0)</f>
        <v>0</v>
      </c>
      <c r="J28" s="419">
        <f>IF($B28="Yes",'MDO CAPEX'!G27,0)</f>
        <v>0</v>
      </c>
      <c r="K28" s="419">
        <f>IF($B28="Yes",'MDO CAPEX'!H27,0)</f>
        <v>0</v>
      </c>
      <c r="L28" s="419">
        <f>IF($B28="Yes",'MDO CAPEX'!I27,0)</f>
        <v>0</v>
      </c>
      <c r="M28" s="419">
        <f>IF($B28="Yes",'MDO CAPEX'!J27,0)</f>
        <v>0</v>
      </c>
      <c r="N28" s="419">
        <f>IF($B28="Yes",'MDO CAPEX'!K27,0)</f>
        <v>0</v>
      </c>
      <c r="O28" s="419">
        <f>IF($B28="Yes",'MDO CAPEX'!L27,0)</f>
        <v>0</v>
      </c>
      <c r="P28" s="419">
        <f>IF($B28="Yes",'MDO CAPEX'!M27,0)</f>
        <v>0</v>
      </c>
      <c r="Q28" s="419">
        <f>IF($B28="Yes",'MDO CAPEX'!N27,0)</f>
        <v>0</v>
      </c>
      <c r="R28" s="419">
        <f>IF($B28="Yes",'MDO CAPEX'!O27,0)</f>
        <v>0</v>
      </c>
      <c r="S28" s="419">
        <f>IF($B28="Yes",'MDO CAPEX'!P27,0)</f>
        <v>0</v>
      </c>
      <c r="T28" s="419">
        <f>IF($B28="Yes",'MDO CAPEX'!Q27,0)</f>
        <v>0</v>
      </c>
      <c r="U28" s="419">
        <f>IF($B28="Yes",'MDO CAPEX'!R27,0)</f>
        <v>0</v>
      </c>
      <c r="V28" s="419">
        <f>IF($B28="Yes",'MDO CAPEX'!S27,0)</f>
        <v>0</v>
      </c>
      <c r="W28" s="419">
        <f>IF($B28="Yes",'MDO CAPEX'!T27,0)</f>
        <v>0</v>
      </c>
      <c r="X28" s="419">
        <f>IF($B28="Yes",'MDO CAPEX'!U27,0)</f>
        <v>0</v>
      </c>
      <c r="Y28" s="419">
        <f>IF($B28="Yes",'MDO CAPEX'!V27,0)</f>
        <v>0</v>
      </c>
      <c r="Z28" s="419">
        <f>IF($B28="Yes",'MDO CAPEX'!W27,0)</f>
        <v>0</v>
      </c>
      <c r="AA28" s="419">
        <f>IF($B28="Yes",'MDO CAPEX'!X27,0)</f>
        <v>0</v>
      </c>
      <c r="AB28" s="419">
        <f>IF($B28="Yes",'MDO CAPEX'!Y27,0)</f>
        <v>0</v>
      </c>
      <c r="AC28" s="419">
        <f>IF($B28="Yes",'MDO CAPEX'!Z27,0)</f>
        <v>0</v>
      </c>
      <c r="AD28" s="419">
        <f>IF($B28="Yes",'MDO CAPEX'!AA27,0)</f>
        <v>0</v>
      </c>
      <c r="AE28" s="419">
        <f>IF($B28="Yes",'MDO CAPEX'!AB27,0)</f>
        <v>0</v>
      </c>
      <c r="AF28" s="419">
        <f>IF($B28="Yes",'MDO CAPEX'!AC27,0)</f>
        <v>0</v>
      </c>
      <c r="AG28" s="419">
        <f>IF($B28="Yes",'MDO CAPEX'!AD27,0)</f>
        <v>0</v>
      </c>
      <c r="AH28" s="419">
        <f>IF($B28="Yes",'MDO CAPEX'!AE27,0)</f>
        <v>0</v>
      </c>
      <c r="AI28" s="419">
        <f>IF($B28="Yes",'MDO CAPEX'!AF27,0)</f>
        <v>0</v>
      </c>
      <c r="AJ28" s="419">
        <f>IF($B28="Yes",'MDO CAPEX'!AG27,0)</f>
        <v>0</v>
      </c>
      <c r="AK28" s="419">
        <f>IF($B28="Yes",'MDO CAPEX'!AH27,0)</f>
        <v>0</v>
      </c>
    </row>
    <row r="29" spans="2:37">
      <c r="B29" s="416" t="s">
        <v>107</v>
      </c>
      <c r="C29" t="str">
        <f>'Owner CAPEX'!B35</f>
        <v xml:space="preserve">Electrical </v>
      </c>
      <c r="E29" s="418">
        <f t="shared" si="3"/>
        <v>0</v>
      </c>
      <c r="H29" s="419">
        <f>IF($B29="Yes",'MDO CAPEX'!E28,0)</f>
        <v>0</v>
      </c>
      <c r="I29" s="419">
        <f>IF($B29="Yes",'MDO CAPEX'!F28,0)</f>
        <v>0</v>
      </c>
      <c r="J29" s="419">
        <f>IF($B29="Yes",'MDO CAPEX'!G28,0)</f>
        <v>0</v>
      </c>
      <c r="K29" s="419">
        <f>IF($B29="Yes",'MDO CAPEX'!H28,0)</f>
        <v>0</v>
      </c>
      <c r="L29" s="419">
        <f>IF($B29="Yes",'MDO CAPEX'!I28,0)</f>
        <v>0</v>
      </c>
      <c r="M29" s="419">
        <f>IF($B29="Yes",'MDO CAPEX'!J28,0)</f>
        <v>0</v>
      </c>
      <c r="N29" s="419">
        <f>IF($B29="Yes",'MDO CAPEX'!K28,0)</f>
        <v>0</v>
      </c>
      <c r="O29" s="419">
        <f>IF($B29="Yes",'MDO CAPEX'!L28,0)</f>
        <v>0</v>
      </c>
      <c r="P29" s="419">
        <f>IF($B29="Yes",'MDO CAPEX'!M28,0)</f>
        <v>0</v>
      </c>
      <c r="Q29" s="419">
        <f>IF($B29="Yes",'MDO CAPEX'!N28,0)</f>
        <v>0</v>
      </c>
      <c r="R29" s="419">
        <f>IF($B29="Yes",'MDO CAPEX'!O28,0)</f>
        <v>0</v>
      </c>
      <c r="S29" s="419">
        <f>IF($B29="Yes",'MDO CAPEX'!P28,0)</f>
        <v>0</v>
      </c>
      <c r="T29" s="419">
        <f>IF($B29="Yes",'MDO CAPEX'!Q28,0)</f>
        <v>0</v>
      </c>
      <c r="U29" s="419">
        <f>IF($B29="Yes",'MDO CAPEX'!R28,0)</f>
        <v>0</v>
      </c>
      <c r="V29" s="419">
        <f>IF($B29="Yes",'MDO CAPEX'!S28,0)</f>
        <v>0</v>
      </c>
      <c r="W29" s="419">
        <f>IF($B29="Yes",'MDO CAPEX'!T28,0)</f>
        <v>0</v>
      </c>
      <c r="X29" s="419">
        <f>IF($B29="Yes",'MDO CAPEX'!U28,0)</f>
        <v>0</v>
      </c>
      <c r="Y29" s="419">
        <f>IF($B29="Yes",'MDO CAPEX'!V28,0)</f>
        <v>0</v>
      </c>
      <c r="Z29" s="419">
        <f>IF($B29="Yes",'MDO CAPEX'!W28,0)</f>
        <v>0</v>
      </c>
      <c r="AA29" s="419">
        <f>IF($B29="Yes",'MDO CAPEX'!X28,0)</f>
        <v>0</v>
      </c>
      <c r="AB29" s="419">
        <f>IF($B29="Yes",'MDO CAPEX'!Y28,0)</f>
        <v>0</v>
      </c>
      <c r="AC29" s="419">
        <f>IF($B29="Yes",'MDO CAPEX'!Z28,0)</f>
        <v>0</v>
      </c>
      <c r="AD29" s="419">
        <f>IF($B29="Yes",'MDO CAPEX'!AA28,0)</f>
        <v>0</v>
      </c>
      <c r="AE29" s="419">
        <f>IF($B29="Yes",'MDO CAPEX'!AB28,0)</f>
        <v>0</v>
      </c>
      <c r="AF29" s="419">
        <f>IF($B29="Yes",'MDO CAPEX'!AC28,0)</f>
        <v>0</v>
      </c>
      <c r="AG29" s="419">
        <f>IF($B29="Yes",'MDO CAPEX'!AD28,0)</f>
        <v>0</v>
      </c>
      <c r="AH29" s="419">
        <f>IF($B29="Yes",'MDO CAPEX'!AE28,0)</f>
        <v>0</v>
      </c>
      <c r="AI29" s="419">
        <f>IF($B29="Yes",'MDO CAPEX'!AF28,0)</f>
        <v>0</v>
      </c>
      <c r="AJ29" s="419">
        <f>IF($B29="Yes",'MDO CAPEX'!AG28,0)</f>
        <v>0</v>
      </c>
      <c r="AK29" s="419">
        <f>IF($B29="Yes",'MDO CAPEX'!AH28,0)</f>
        <v>0</v>
      </c>
    </row>
    <row r="30" spans="2:37">
      <c r="B30" s="416" t="s">
        <v>107</v>
      </c>
      <c r="C30" t="str">
        <f>'Owner CAPEX'!B36</f>
        <v>Mine Dewatering System</v>
      </c>
      <c r="E30" s="418">
        <f t="shared" si="3"/>
        <v>0</v>
      </c>
      <c r="H30" s="419">
        <f>IF($B30="Yes",'MDO CAPEX'!E29,0)</f>
        <v>0</v>
      </c>
      <c r="I30" s="419">
        <f>IF($B30="Yes",'MDO CAPEX'!F29,0)</f>
        <v>0</v>
      </c>
      <c r="J30" s="419">
        <f>IF($B30="Yes",'MDO CAPEX'!G29,0)</f>
        <v>0</v>
      </c>
      <c r="K30" s="419">
        <f>IF($B30="Yes",'MDO CAPEX'!H29,0)</f>
        <v>0</v>
      </c>
      <c r="L30" s="419">
        <f>IF($B30="Yes",'MDO CAPEX'!I29,0)</f>
        <v>0</v>
      </c>
      <c r="M30" s="419">
        <f>IF($B30="Yes",'MDO CAPEX'!J29,0)</f>
        <v>0</v>
      </c>
      <c r="N30" s="419">
        <f>IF($B30="Yes",'MDO CAPEX'!K29,0)</f>
        <v>0</v>
      </c>
      <c r="O30" s="419">
        <f>IF($B30="Yes",'MDO CAPEX'!L29,0)</f>
        <v>0</v>
      </c>
      <c r="P30" s="419">
        <f>IF($B30="Yes",'MDO CAPEX'!M29,0)</f>
        <v>0</v>
      </c>
      <c r="Q30" s="419">
        <f>IF($B30="Yes",'MDO CAPEX'!N29,0)</f>
        <v>0</v>
      </c>
      <c r="R30" s="419">
        <f>IF($B30="Yes",'MDO CAPEX'!O29,0)</f>
        <v>0</v>
      </c>
      <c r="S30" s="419">
        <f>IF($B30="Yes",'MDO CAPEX'!P29,0)</f>
        <v>0</v>
      </c>
      <c r="T30" s="419">
        <f>IF($B30="Yes",'MDO CAPEX'!Q29,0)</f>
        <v>0</v>
      </c>
      <c r="U30" s="419">
        <f>IF($B30="Yes",'MDO CAPEX'!R29,0)</f>
        <v>0</v>
      </c>
      <c r="V30" s="419">
        <f>IF($B30="Yes",'MDO CAPEX'!S29,0)</f>
        <v>0</v>
      </c>
      <c r="W30" s="419">
        <f>IF($B30="Yes",'MDO CAPEX'!T29,0)</f>
        <v>0</v>
      </c>
      <c r="X30" s="419">
        <f>IF($B30="Yes",'MDO CAPEX'!U29,0)</f>
        <v>0</v>
      </c>
      <c r="Y30" s="419">
        <f>IF($B30="Yes",'MDO CAPEX'!V29,0)</f>
        <v>0</v>
      </c>
      <c r="Z30" s="419">
        <f>IF($B30="Yes",'MDO CAPEX'!W29,0)</f>
        <v>0</v>
      </c>
      <c r="AA30" s="419">
        <f>IF($B30="Yes",'MDO CAPEX'!X29,0)</f>
        <v>0</v>
      </c>
      <c r="AB30" s="419">
        <f>IF($B30="Yes",'MDO CAPEX'!Y29,0)</f>
        <v>0</v>
      </c>
      <c r="AC30" s="419">
        <f>IF($B30="Yes",'MDO CAPEX'!Z29,0)</f>
        <v>0</v>
      </c>
      <c r="AD30" s="419">
        <f>IF($B30="Yes",'MDO CAPEX'!AA29,0)</f>
        <v>0</v>
      </c>
      <c r="AE30" s="419">
        <f>IF($B30="Yes",'MDO CAPEX'!AB29,0)</f>
        <v>0</v>
      </c>
      <c r="AF30" s="419">
        <f>IF($B30="Yes",'MDO CAPEX'!AC29,0)</f>
        <v>0</v>
      </c>
      <c r="AG30" s="419">
        <f>IF($B30="Yes",'MDO CAPEX'!AD29,0)</f>
        <v>0</v>
      </c>
      <c r="AH30" s="419">
        <f>IF($B30="Yes",'MDO CAPEX'!AE29,0)</f>
        <v>0</v>
      </c>
      <c r="AI30" s="419">
        <f>IF($B30="Yes",'MDO CAPEX'!AF29,0)</f>
        <v>0</v>
      </c>
      <c r="AJ30" s="419">
        <f>IF($B30="Yes",'MDO CAPEX'!AG29,0)</f>
        <v>0</v>
      </c>
      <c r="AK30" s="419">
        <f>IF($B30="Yes",'MDO CAPEX'!AH29,0)</f>
        <v>0</v>
      </c>
    </row>
    <row r="31" spans="2:37">
      <c r="B31" s="416" t="s">
        <v>107</v>
      </c>
      <c r="C31" t="str">
        <f>'Owner CAPEX'!B37</f>
        <v>Digitalisation</v>
      </c>
      <c r="E31" s="418">
        <f t="shared" si="3"/>
        <v>0</v>
      </c>
      <c r="H31" s="419">
        <f>IF($B31="Yes",'MDO CAPEX'!E30,0)</f>
        <v>0</v>
      </c>
      <c r="I31" s="419">
        <f>IF($B31="Yes",'MDO CAPEX'!F30,0)</f>
        <v>0</v>
      </c>
      <c r="J31" s="419">
        <f>IF($B31="Yes",'MDO CAPEX'!G30,0)</f>
        <v>0</v>
      </c>
      <c r="K31" s="419">
        <f>IF($B31="Yes",'MDO CAPEX'!H30,0)</f>
        <v>0</v>
      </c>
      <c r="L31" s="419">
        <f>IF($B31="Yes",'MDO CAPEX'!I30,0)</f>
        <v>0</v>
      </c>
      <c r="M31" s="419">
        <f>IF($B31="Yes",'MDO CAPEX'!J30,0)</f>
        <v>0</v>
      </c>
      <c r="N31" s="419">
        <f>IF($B31="Yes",'MDO CAPEX'!K30,0)</f>
        <v>0</v>
      </c>
      <c r="O31" s="419">
        <f>IF($B31="Yes",'MDO CAPEX'!L30,0)</f>
        <v>0</v>
      </c>
      <c r="P31" s="419">
        <f>IF($B31="Yes",'MDO CAPEX'!M30,0)</f>
        <v>0</v>
      </c>
      <c r="Q31" s="419">
        <f>IF($B31="Yes",'MDO CAPEX'!N30,0)</f>
        <v>0</v>
      </c>
      <c r="R31" s="419">
        <f>IF($B31="Yes",'MDO CAPEX'!O30,0)</f>
        <v>0</v>
      </c>
      <c r="S31" s="419">
        <f>IF($B31="Yes",'MDO CAPEX'!P30,0)</f>
        <v>0</v>
      </c>
      <c r="T31" s="419">
        <f>IF($B31="Yes",'MDO CAPEX'!Q30,0)</f>
        <v>0</v>
      </c>
      <c r="U31" s="419">
        <f>IF($B31="Yes",'MDO CAPEX'!R30,0)</f>
        <v>0</v>
      </c>
      <c r="V31" s="419">
        <f>IF($B31="Yes",'MDO CAPEX'!S30,0)</f>
        <v>0</v>
      </c>
      <c r="W31" s="419">
        <f>IF($B31="Yes",'MDO CAPEX'!T30,0)</f>
        <v>0</v>
      </c>
      <c r="X31" s="419">
        <f>IF($B31="Yes",'MDO CAPEX'!U30,0)</f>
        <v>0</v>
      </c>
      <c r="Y31" s="419">
        <f>IF($B31="Yes",'MDO CAPEX'!V30,0)</f>
        <v>0</v>
      </c>
      <c r="Z31" s="419">
        <f>IF($B31="Yes",'MDO CAPEX'!W30,0)</f>
        <v>0</v>
      </c>
      <c r="AA31" s="419">
        <f>IF($B31="Yes",'MDO CAPEX'!X30,0)</f>
        <v>0</v>
      </c>
      <c r="AB31" s="419">
        <f>IF($B31="Yes",'MDO CAPEX'!Y30,0)</f>
        <v>0</v>
      </c>
      <c r="AC31" s="419">
        <f>IF($B31="Yes",'MDO CAPEX'!Z30,0)</f>
        <v>0</v>
      </c>
      <c r="AD31" s="419">
        <f>IF($B31="Yes",'MDO CAPEX'!AA30,0)</f>
        <v>0</v>
      </c>
      <c r="AE31" s="419">
        <f>IF($B31="Yes",'MDO CAPEX'!AB30,0)</f>
        <v>0</v>
      </c>
      <c r="AF31" s="419">
        <f>IF($B31="Yes",'MDO CAPEX'!AC30,0)</f>
        <v>0</v>
      </c>
      <c r="AG31" s="419">
        <f>IF($B31="Yes",'MDO CAPEX'!AD30,0)</f>
        <v>0</v>
      </c>
      <c r="AH31" s="419">
        <f>IF($B31="Yes",'MDO CAPEX'!AE30,0)</f>
        <v>0</v>
      </c>
      <c r="AI31" s="419">
        <f>IF($B31="Yes",'MDO CAPEX'!AF30,0)</f>
        <v>0</v>
      </c>
      <c r="AJ31" s="419">
        <f>IF($B31="Yes",'MDO CAPEX'!AG30,0)</f>
        <v>0</v>
      </c>
      <c r="AK31" s="419">
        <f>IF($B31="Yes",'MDO CAPEX'!AH30,0)</f>
        <v>0</v>
      </c>
    </row>
    <row r="32" spans="2:37">
      <c r="B32" s="416" t="s">
        <v>107</v>
      </c>
      <c r="C32" t="str">
        <f>'Owner CAPEX'!B38</f>
        <v xml:space="preserve">Contingency </v>
      </c>
      <c r="E32" s="418">
        <f t="shared" si="3"/>
        <v>0</v>
      </c>
      <c r="H32" s="419">
        <f>IF($B32="Yes",'MDO CAPEX'!E31,0)</f>
        <v>0</v>
      </c>
      <c r="I32" s="419">
        <f>IF($B32="Yes",'MDO CAPEX'!F31,0)</f>
        <v>0</v>
      </c>
      <c r="J32" s="419">
        <f>IF($B32="Yes",'MDO CAPEX'!G31,0)</f>
        <v>0</v>
      </c>
      <c r="K32" s="419">
        <f>IF($B32="Yes",'MDO CAPEX'!H31,0)</f>
        <v>0</v>
      </c>
      <c r="L32" s="419">
        <f>IF($B32="Yes",'MDO CAPEX'!I31,0)</f>
        <v>0</v>
      </c>
      <c r="M32" s="419">
        <f>IF($B32="Yes",'MDO CAPEX'!J31,0)</f>
        <v>0</v>
      </c>
      <c r="N32" s="419">
        <f>IF($B32="Yes",'MDO CAPEX'!K31,0)</f>
        <v>0</v>
      </c>
      <c r="O32" s="419">
        <f>IF($B32="Yes",'MDO CAPEX'!L31,0)</f>
        <v>0</v>
      </c>
      <c r="P32" s="419">
        <f>IF($B32="Yes",'MDO CAPEX'!M31,0)</f>
        <v>0</v>
      </c>
      <c r="Q32" s="419">
        <f>IF($B32="Yes",'MDO CAPEX'!N31,0)</f>
        <v>0</v>
      </c>
      <c r="R32" s="419">
        <f>IF($B32="Yes",'MDO CAPEX'!O31,0)</f>
        <v>0</v>
      </c>
      <c r="S32" s="419">
        <f>IF($B32="Yes",'MDO CAPEX'!P31,0)</f>
        <v>0</v>
      </c>
      <c r="T32" s="419">
        <f>IF($B32="Yes",'MDO CAPEX'!Q31,0)</f>
        <v>0</v>
      </c>
      <c r="U32" s="419">
        <f>IF($B32="Yes",'MDO CAPEX'!R31,0)</f>
        <v>0</v>
      </c>
      <c r="V32" s="419">
        <f>IF($B32="Yes",'MDO CAPEX'!S31,0)</f>
        <v>0</v>
      </c>
      <c r="W32" s="419">
        <f>IF($B32="Yes",'MDO CAPEX'!T31,0)</f>
        <v>0</v>
      </c>
      <c r="X32" s="419">
        <f>IF($B32="Yes",'MDO CAPEX'!U31,0)</f>
        <v>0</v>
      </c>
      <c r="Y32" s="419">
        <f>IF($B32="Yes",'MDO CAPEX'!V31,0)</f>
        <v>0</v>
      </c>
      <c r="Z32" s="419">
        <f>IF($B32="Yes",'MDO CAPEX'!W31,0)</f>
        <v>0</v>
      </c>
      <c r="AA32" s="419">
        <f>IF($B32="Yes",'MDO CAPEX'!X31,0)</f>
        <v>0</v>
      </c>
      <c r="AB32" s="419">
        <f>IF($B32="Yes",'MDO CAPEX'!Y31,0)</f>
        <v>0</v>
      </c>
      <c r="AC32" s="419">
        <f>IF($B32="Yes",'MDO CAPEX'!Z31,0)</f>
        <v>0</v>
      </c>
      <c r="AD32" s="419">
        <f>IF($B32="Yes",'MDO CAPEX'!AA31,0)</f>
        <v>0</v>
      </c>
      <c r="AE32" s="419">
        <f>IF($B32="Yes",'MDO CAPEX'!AB31,0)</f>
        <v>0</v>
      </c>
      <c r="AF32" s="419">
        <f>IF($B32="Yes",'MDO CAPEX'!AC31,0)</f>
        <v>0</v>
      </c>
      <c r="AG32" s="419">
        <f>IF($B32="Yes",'MDO CAPEX'!AD31,0)</f>
        <v>0</v>
      </c>
      <c r="AH32" s="419">
        <f>IF($B32="Yes",'MDO CAPEX'!AE31,0)</f>
        <v>0</v>
      </c>
      <c r="AI32" s="419">
        <f>IF($B32="Yes",'MDO CAPEX'!AF31,0)</f>
        <v>0</v>
      </c>
      <c r="AJ32" s="419">
        <f>IF($B32="Yes",'MDO CAPEX'!AG31,0)</f>
        <v>0</v>
      </c>
      <c r="AK32" s="419">
        <f>IF($B32="Yes",'MDO CAPEX'!AH31,0)</f>
        <v>0</v>
      </c>
    </row>
    <row r="33" spans="2:37">
      <c r="C33" s="191" t="s">
        <v>543</v>
      </c>
      <c r="E33" s="418">
        <f t="shared" si="3"/>
        <v>0</v>
      </c>
      <c r="H33" s="421">
        <f>SUM(H25:H32)</f>
        <v>0</v>
      </c>
      <c r="I33" s="421">
        <f t="shared" ref="I33:AK33" si="4">SUM(I25:I32)</f>
        <v>0</v>
      </c>
      <c r="J33" s="421">
        <f t="shared" si="4"/>
        <v>0</v>
      </c>
      <c r="K33" s="421">
        <f t="shared" si="4"/>
        <v>0</v>
      </c>
      <c r="L33" s="421">
        <f t="shared" si="4"/>
        <v>0</v>
      </c>
      <c r="M33" s="421">
        <f t="shared" si="4"/>
        <v>0</v>
      </c>
      <c r="N33" s="421">
        <f t="shared" si="4"/>
        <v>0</v>
      </c>
      <c r="O33" s="421">
        <f t="shared" si="4"/>
        <v>0</v>
      </c>
      <c r="P33" s="421">
        <f t="shared" si="4"/>
        <v>0</v>
      </c>
      <c r="Q33" s="421">
        <f t="shared" si="4"/>
        <v>0</v>
      </c>
      <c r="R33" s="421">
        <f t="shared" si="4"/>
        <v>0</v>
      </c>
      <c r="S33" s="421">
        <f t="shared" si="4"/>
        <v>0</v>
      </c>
      <c r="T33" s="421">
        <f t="shared" si="4"/>
        <v>0</v>
      </c>
      <c r="U33" s="421">
        <f t="shared" si="4"/>
        <v>0</v>
      </c>
      <c r="V33" s="421">
        <f t="shared" si="4"/>
        <v>0</v>
      </c>
      <c r="W33" s="421">
        <f t="shared" si="4"/>
        <v>0</v>
      </c>
      <c r="X33" s="421">
        <f t="shared" si="4"/>
        <v>0</v>
      </c>
      <c r="Y33" s="421">
        <f t="shared" si="4"/>
        <v>0</v>
      </c>
      <c r="Z33" s="421">
        <f t="shared" si="4"/>
        <v>0</v>
      </c>
      <c r="AA33" s="421">
        <f t="shared" si="4"/>
        <v>0</v>
      </c>
      <c r="AB33" s="421">
        <f t="shared" si="4"/>
        <v>0</v>
      </c>
      <c r="AC33" s="421">
        <f t="shared" si="4"/>
        <v>0</v>
      </c>
      <c r="AD33" s="421">
        <f t="shared" si="4"/>
        <v>0</v>
      </c>
      <c r="AE33" s="421">
        <f t="shared" si="4"/>
        <v>0</v>
      </c>
      <c r="AF33" s="421">
        <f t="shared" si="4"/>
        <v>0</v>
      </c>
      <c r="AG33" s="421">
        <f t="shared" si="4"/>
        <v>0</v>
      </c>
      <c r="AH33" s="421">
        <f t="shared" si="4"/>
        <v>0</v>
      </c>
      <c r="AI33" s="421">
        <f t="shared" si="4"/>
        <v>0</v>
      </c>
      <c r="AJ33" s="421">
        <f t="shared" si="4"/>
        <v>0</v>
      </c>
      <c r="AK33" s="421">
        <f t="shared" si="4"/>
        <v>0</v>
      </c>
    </row>
    <row r="35" spans="2:37">
      <c r="C35" s="191" t="s">
        <v>545</v>
      </c>
      <c r="E35" s="418">
        <f t="shared" si="3"/>
        <v>0</v>
      </c>
      <c r="F35" t="b">
        <f>E35='MDO CAPEX'!D34-'MDO CAPEX'!D19</f>
        <v>1</v>
      </c>
      <c r="H35" s="420">
        <f>H23+H33</f>
        <v>0</v>
      </c>
      <c r="I35" s="420">
        <f t="shared" ref="I35:AK35" si="5">I23+I33</f>
        <v>0</v>
      </c>
      <c r="J35" s="420">
        <f t="shared" si="5"/>
        <v>0</v>
      </c>
      <c r="K35" s="420">
        <f t="shared" si="5"/>
        <v>0</v>
      </c>
      <c r="L35" s="420">
        <f t="shared" si="5"/>
        <v>0</v>
      </c>
      <c r="M35" s="420">
        <f t="shared" si="5"/>
        <v>0</v>
      </c>
      <c r="N35" s="420">
        <f t="shared" si="5"/>
        <v>0</v>
      </c>
      <c r="O35" s="420">
        <f t="shared" si="5"/>
        <v>0</v>
      </c>
      <c r="P35" s="420">
        <f t="shared" si="5"/>
        <v>0</v>
      </c>
      <c r="Q35" s="420">
        <f t="shared" si="5"/>
        <v>0</v>
      </c>
      <c r="R35" s="420">
        <f t="shared" si="5"/>
        <v>0</v>
      </c>
      <c r="S35" s="420">
        <f t="shared" si="5"/>
        <v>0</v>
      </c>
      <c r="T35" s="420">
        <f t="shared" si="5"/>
        <v>0</v>
      </c>
      <c r="U35" s="420">
        <f t="shared" si="5"/>
        <v>0</v>
      </c>
      <c r="V35" s="420">
        <f t="shared" si="5"/>
        <v>0</v>
      </c>
      <c r="W35" s="420">
        <f t="shared" si="5"/>
        <v>0</v>
      </c>
      <c r="X35" s="420">
        <f t="shared" si="5"/>
        <v>0</v>
      </c>
      <c r="Y35" s="420">
        <f t="shared" si="5"/>
        <v>0</v>
      </c>
      <c r="Z35" s="420">
        <f t="shared" si="5"/>
        <v>0</v>
      </c>
      <c r="AA35" s="420">
        <f t="shared" si="5"/>
        <v>0</v>
      </c>
      <c r="AB35" s="420">
        <f t="shared" si="5"/>
        <v>0</v>
      </c>
      <c r="AC35" s="420">
        <f t="shared" si="5"/>
        <v>0</v>
      </c>
      <c r="AD35" s="420">
        <f t="shared" si="5"/>
        <v>0</v>
      </c>
      <c r="AE35" s="420">
        <f t="shared" si="5"/>
        <v>0</v>
      </c>
      <c r="AF35" s="420">
        <f t="shared" si="5"/>
        <v>0</v>
      </c>
      <c r="AG35" s="420">
        <f t="shared" si="5"/>
        <v>0</v>
      </c>
      <c r="AH35" s="420">
        <f t="shared" si="5"/>
        <v>0</v>
      </c>
      <c r="AI35" s="420">
        <f t="shared" si="5"/>
        <v>0</v>
      </c>
      <c r="AJ35" s="420">
        <f t="shared" si="5"/>
        <v>0</v>
      </c>
      <c r="AK35" s="420">
        <f t="shared" si="5"/>
        <v>0</v>
      </c>
    </row>
    <row r="38" spans="2:37">
      <c r="C38" s="94" t="s">
        <v>546</v>
      </c>
    </row>
    <row r="39" spans="2:37">
      <c r="B39" s="431">
        <v>1</v>
      </c>
      <c r="C39" s="191" t="s">
        <v>166</v>
      </c>
      <c r="H39" s="201">
        <f>H2</f>
        <v>46023</v>
      </c>
      <c r="I39" s="201">
        <f t="shared" ref="I39:AK40" si="6">I2</f>
        <v>46389</v>
      </c>
      <c r="J39" s="201">
        <f t="shared" si="6"/>
        <v>46755</v>
      </c>
      <c r="K39" s="201">
        <f t="shared" si="6"/>
        <v>47121</v>
      </c>
      <c r="L39" s="201">
        <f t="shared" si="6"/>
        <v>47487</v>
      </c>
      <c r="M39" s="201">
        <f t="shared" si="6"/>
        <v>47853</v>
      </c>
      <c r="N39" s="201">
        <f t="shared" si="6"/>
        <v>48219</v>
      </c>
      <c r="O39" s="201">
        <f t="shared" si="6"/>
        <v>48585</v>
      </c>
      <c r="P39" s="201">
        <f t="shared" si="6"/>
        <v>48951</v>
      </c>
      <c r="Q39" s="201">
        <f t="shared" si="6"/>
        <v>49317</v>
      </c>
      <c r="R39" s="201">
        <f t="shared" si="6"/>
        <v>49683</v>
      </c>
      <c r="S39" s="201">
        <f t="shared" si="6"/>
        <v>50049</v>
      </c>
      <c r="T39" s="201">
        <f t="shared" si="6"/>
        <v>50415</v>
      </c>
      <c r="U39" s="201">
        <f t="shared" si="6"/>
        <v>50781</v>
      </c>
      <c r="V39" s="201">
        <f t="shared" si="6"/>
        <v>51147</v>
      </c>
      <c r="W39" s="201">
        <f t="shared" si="6"/>
        <v>51513</v>
      </c>
      <c r="X39" s="201">
        <f t="shared" si="6"/>
        <v>51879</v>
      </c>
      <c r="Y39" s="201">
        <f t="shared" si="6"/>
        <v>52245</v>
      </c>
      <c r="Z39" s="201">
        <f t="shared" si="6"/>
        <v>52611</v>
      </c>
      <c r="AA39" s="201">
        <f t="shared" si="6"/>
        <v>52977</v>
      </c>
      <c r="AB39" s="201">
        <f t="shared" si="6"/>
        <v>53343</v>
      </c>
      <c r="AC39" s="201">
        <f t="shared" si="6"/>
        <v>53709</v>
      </c>
      <c r="AD39" s="201">
        <f t="shared" si="6"/>
        <v>54075</v>
      </c>
      <c r="AE39" s="201">
        <f t="shared" si="6"/>
        <v>0</v>
      </c>
      <c r="AF39" s="201">
        <f t="shared" si="6"/>
        <v>0</v>
      </c>
      <c r="AG39" s="201">
        <f t="shared" si="6"/>
        <v>0</v>
      </c>
      <c r="AH39" s="201">
        <f t="shared" si="6"/>
        <v>0</v>
      </c>
      <c r="AI39" s="201">
        <f t="shared" si="6"/>
        <v>0</v>
      </c>
      <c r="AJ39" s="201">
        <f t="shared" si="6"/>
        <v>0</v>
      </c>
      <c r="AK39" s="201">
        <f t="shared" si="6"/>
        <v>0</v>
      </c>
    </row>
    <row r="40" spans="2:37">
      <c r="B40" s="431">
        <v>2</v>
      </c>
      <c r="H40" s="1141">
        <f>H3</f>
        <v>-4</v>
      </c>
      <c r="I40" s="1141">
        <f t="shared" si="6"/>
        <v>-3</v>
      </c>
      <c r="J40" s="1141">
        <f t="shared" si="6"/>
        <v>-2</v>
      </c>
      <c r="K40" s="1141">
        <f t="shared" si="6"/>
        <v>-1</v>
      </c>
      <c r="L40" s="1141">
        <f t="shared" si="6"/>
        <v>1</v>
      </c>
      <c r="M40" s="1141">
        <f t="shared" si="6"/>
        <v>2</v>
      </c>
      <c r="N40" s="1141">
        <f t="shared" si="6"/>
        <v>3</v>
      </c>
      <c r="O40" s="1141">
        <f t="shared" si="6"/>
        <v>4</v>
      </c>
      <c r="P40" s="1141">
        <f t="shared" si="6"/>
        <v>5</v>
      </c>
      <c r="Q40" s="1141">
        <f t="shared" si="6"/>
        <v>6</v>
      </c>
      <c r="R40" s="1141">
        <f t="shared" si="6"/>
        <v>7</v>
      </c>
      <c r="S40" s="1141">
        <f t="shared" si="6"/>
        <v>8</v>
      </c>
      <c r="T40" s="1141">
        <f t="shared" si="6"/>
        <v>9</v>
      </c>
      <c r="U40" s="1141">
        <f t="shared" si="6"/>
        <v>10</v>
      </c>
      <c r="V40" s="1141">
        <f t="shared" si="6"/>
        <v>11</v>
      </c>
      <c r="W40" s="1141">
        <f t="shared" si="6"/>
        <v>12</v>
      </c>
      <c r="X40" s="1141">
        <f t="shared" si="6"/>
        <v>13</v>
      </c>
      <c r="Y40" s="1141">
        <f t="shared" si="6"/>
        <v>14</v>
      </c>
      <c r="Z40" s="1141">
        <f t="shared" si="6"/>
        <v>15</v>
      </c>
      <c r="AA40" s="1141">
        <f t="shared" si="6"/>
        <v>16</v>
      </c>
      <c r="AB40" s="1141">
        <f t="shared" si="6"/>
        <v>17</v>
      </c>
      <c r="AC40" s="1141">
        <f t="shared" si="6"/>
        <v>18</v>
      </c>
      <c r="AD40" s="1141">
        <f t="shared" si="6"/>
        <v>19</v>
      </c>
      <c r="AE40" s="1141">
        <f t="shared" si="6"/>
        <v>0</v>
      </c>
      <c r="AF40" s="1141">
        <f t="shared" si="6"/>
        <v>0</v>
      </c>
      <c r="AG40" s="1141">
        <f t="shared" si="6"/>
        <v>0</v>
      </c>
      <c r="AH40" s="1141">
        <f t="shared" si="6"/>
        <v>0</v>
      </c>
      <c r="AI40" s="1141">
        <f t="shared" si="6"/>
        <v>0</v>
      </c>
      <c r="AJ40" s="1141">
        <f t="shared" si="6"/>
        <v>0</v>
      </c>
      <c r="AK40" s="1141">
        <f t="shared" si="6"/>
        <v>0</v>
      </c>
    </row>
    <row r="41" spans="2:37">
      <c r="B41" s="431">
        <v>3</v>
      </c>
      <c r="C41" s="191" t="str">
        <f>C9</f>
        <v xml:space="preserve">Pre-operative costs </v>
      </c>
      <c r="F41" s="423">
        <v>0.1</v>
      </c>
      <c r="H41" s="424"/>
      <c r="I41" s="424"/>
      <c r="J41" s="424"/>
      <c r="K41" s="424"/>
      <c r="L41" s="424"/>
      <c r="M41" s="424"/>
    </row>
    <row r="42" spans="2:37">
      <c r="B42" s="431">
        <v>4</v>
      </c>
      <c r="C42" s="422" t="s">
        <v>547</v>
      </c>
      <c r="D42" s="422" t="s">
        <v>134</v>
      </c>
      <c r="H42" s="424">
        <f>G46</f>
        <v>0</v>
      </c>
      <c r="I42" s="424">
        <f>H46</f>
        <v>0</v>
      </c>
      <c r="J42" s="424">
        <f t="shared" ref="J42:AK42" si="7">I46</f>
        <v>0</v>
      </c>
      <c r="K42" s="424">
        <f t="shared" si="7"/>
        <v>0</v>
      </c>
      <c r="L42" s="424">
        <f t="shared" si="7"/>
        <v>0</v>
      </c>
      <c r="M42" s="424">
        <f t="shared" si="7"/>
        <v>0</v>
      </c>
      <c r="N42" s="424">
        <f t="shared" si="7"/>
        <v>0</v>
      </c>
      <c r="O42" s="424">
        <f t="shared" si="7"/>
        <v>0</v>
      </c>
      <c r="P42" s="424">
        <f t="shared" si="7"/>
        <v>0</v>
      </c>
      <c r="Q42" s="424">
        <f t="shared" si="7"/>
        <v>0</v>
      </c>
      <c r="R42" s="424">
        <f t="shared" si="7"/>
        <v>0</v>
      </c>
      <c r="S42" s="424">
        <f t="shared" si="7"/>
        <v>0</v>
      </c>
      <c r="T42" s="424">
        <f t="shared" si="7"/>
        <v>0</v>
      </c>
      <c r="U42" s="424">
        <f t="shared" si="7"/>
        <v>0</v>
      </c>
      <c r="V42" s="424">
        <f t="shared" si="7"/>
        <v>0</v>
      </c>
      <c r="W42" s="424">
        <f t="shared" si="7"/>
        <v>0</v>
      </c>
      <c r="X42" s="424">
        <f t="shared" si="7"/>
        <v>0</v>
      </c>
      <c r="Y42" s="424">
        <f t="shared" si="7"/>
        <v>0</v>
      </c>
      <c r="Z42" s="424">
        <f t="shared" si="7"/>
        <v>0</v>
      </c>
      <c r="AA42" s="424">
        <f t="shared" si="7"/>
        <v>0</v>
      </c>
      <c r="AB42" s="424">
        <f t="shared" si="7"/>
        <v>0</v>
      </c>
      <c r="AC42" s="424">
        <f t="shared" si="7"/>
        <v>0</v>
      </c>
      <c r="AD42" s="424">
        <f t="shared" si="7"/>
        <v>0</v>
      </c>
      <c r="AE42" s="424">
        <f t="shared" si="7"/>
        <v>0</v>
      </c>
      <c r="AF42" s="424">
        <f t="shared" si="7"/>
        <v>0</v>
      </c>
      <c r="AG42" s="424">
        <f t="shared" si="7"/>
        <v>0</v>
      </c>
      <c r="AH42" s="424">
        <f t="shared" si="7"/>
        <v>0</v>
      </c>
      <c r="AI42" s="424">
        <f t="shared" si="7"/>
        <v>0</v>
      </c>
      <c r="AJ42" s="424">
        <f t="shared" si="7"/>
        <v>0</v>
      </c>
      <c r="AK42" s="424">
        <f t="shared" si="7"/>
        <v>0</v>
      </c>
    </row>
    <row r="43" spans="2:37">
      <c r="B43" s="431">
        <v>5</v>
      </c>
      <c r="C43" s="422" t="s">
        <v>548</v>
      </c>
      <c r="D43" s="422" t="s">
        <v>134</v>
      </c>
      <c r="E43" s="424">
        <f>SUM(H43:AP43)</f>
        <v>0</v>
      </c>
      <c r="H43" s="424">
        <f>H9</f>
        <v>0</v>
      </c>
      <c r="I43" s="424">
        <f>I9</f>
        <v>0</v>
      </c>
      <c r="J43" s="424">
        <f t="shared" ref="J43:AK43" si="8">J9</f>
        <v>0</v>
      </c>
      <c r="K43" s="424">
        <f t="shared" si="8"/>
        <v>0</v>
      </c>
      <c r="L43" s="424">
        <f t="shared" si="8"/>
        <v>0</v>
      </c>
      <c r="M43" s="424">
        <f t="shared" si="8"/>
        <v>0</v>
      </c>
      <c r="N43" s="424">
        <f t="shared" si="8"/>
        <v>0</v>
      </c>
      <c r="O43" s="424">
        <f t="shared" si="8"/>
        <v>0</v>
      </c>
      <c r="P43" s="424">
        <f t="shared" si="8"/>
        <v>0</v>
      </c>
      <c r="Q43" s="424">
        <f t="shared" si="8"/>
        <v>0</v>
      </c>
      <c r="R43" s="424">
        <f t="shared" si="8"/>
        <v>0</v>
      </c>
      <c r="S43" s="424">
        <f t="shared" si="8"/>
        <v>0</v>
      </c>
      <c r="T43" s="424">
        <f t="shared" si="8"/>
        <v>0</v>
      </c>
      <c r="U43" s="424">
        <f t="shared" si="8"/>
        <v>0</v>
      </c>
      <c r="V43" s="424">
        <f t="shared" si="8"/>
        <v>0</v>
      </c>
      <c r="W43" s="424">
        <f t="shared" si="8"/>
        <v>0</v>
      </c>
      <c r="X43" s="424">
        <f t="shared" si="8"/>
        <v>0</v>
      </c>
      <c r="Y43" s="424">
        <f t="shared" si="8"/>
        <v>0</v>
      </c>
      <c r="Z43" s="424">
        <f t="shared" si="8"/>
        <v>0</v>
      </c>
      <c r="AA43" s="424">
        <f t="shared" si="8"/>
        <v>0</v>
      </c>
      <c r="AB43" s="424">
        <f t="shared" si="8"/>
        <v>0</v>
      </c>
      <c r="AC43" s="424">
        <f t="shared" si="8"/>
        <v>0</v>
      </c>
      <c r="AD43" s="424">
        <f t="shared" si="8"/>
        <v>0</v>
      </c>
      <c r="AE43" s="424">
        <f t="shared" si="8"/>
        <v>0</v>
      </c>
      <c r="AF43" s="424">
        <f t="shared" si="8"/>
        <v>0</v>
      </c>
      <c r="AG43" s="424">
        <f t="shared" si="8"/>
        <v>0</v>
      </c>
      <c r="AH43" s="424">
        <f t="shared" si="8"/>
        <v>0</v>
      </c>
      <c r="AI43" s="424">
        <f t="shared" si="8"/>
        <v>0</v>
      </c>
      <c r="AJ43" s="424">
        <f t="shared" si="8"/>
        <v>0</v>
      </c>
      <c r="AK43" s="424">
        <f t="shared" si="8"/>
        <v>0</v>
      </c>
    </row>
    <row r="44" spans="2:37">
      <c r="B44" s="431">
        <v>6</v>
      </c>
      <c r="C44" s="422" t="s">
        <v>549</v>
      </c>
      <c r="D44" s="422" t="s">
        <v>134</v>
      </c>
      <c r="E44" s="424">
        <f>SUM(H44:AP44)</f>
        <v>0</v>
      </c>
      <c r="H44" s="424">
        <f>H228</f>
        <v>0</v>
      </c>
      <c r="I44" s="424">
        <f>I228</f>
        <v>0</v>
      </c>
      <c r="J44" s="424">
        <f t="shared" ref="J44:AK44" si="9">J228</f>
        <v>0</v>
      </c>
      <c r="K44" s="424">
        <f t="shared" si="9"/>
        <v>0</v>
      </c>
      <c r="L44" s="424">
        <f t="shared" si="9"/>
        <v>0</v>
      </c>
      <c r="M44" s="424">
        <f t="shared" si="9"/>
        <v>0</v>
      </c>
      <c r="N44" s="424">
        <f t="shared" si="9"/>
        <v>0</v>
      </c>
      <c r="O44" s="424">
        <f t="shared" si="9"/>
        <v>0</v>
      </c>
      <c r="P44" s="424">
        <f t="shared" si="9"/>
        <v>0</v>
      </c>
      <c r="Q44" s="424">
        <f t="shared" si="9"/>
        <v>0</v>
      </c>
      <c r="R44" s="424">
        <f t="shared" si="9"/>
        <v>0</v>
      </c>
      <c r="S44" s="424">
        <f t="shared" si="9"/>
        <v>0</v>
      </c>
      <c r="T44" s="424">
        <f t="shared" si="9"/>
        <v>0</v>
      </c>
      <c r="U44" s="424">
        <f t="shared" si="9"/>
        <v>0</v>
      </c>
      <c r="V44" s="424">
        <f t="shared" si="9"/>
        <v>0</v>
      </c>
      <c r="W44" s="424">
        <f t="shared" si="9"/>
        <v>0</v>
      </c>
      <c r="X44" s="424">
        <f t="shared" si="9"/>
        <v>0</v>
      </c>
      <c r="Y44" s="424">
        <f t="shared" si="9"/>
        <v>0</v>
      </c>
      <c r="Z44" s="424">
        <f t="shared" si="9"/>
        <v>0</v>
      </c>
      <c r="AA44" s="424">
        <f t="shared" si="9"/>
        <v>0</v>
      </c>
      <c r="AB44" s="424">
        <f t="shared" si="9"/>
        <v>0</v>
      </c>
      <c r="AC44" s="424">
        <f t="shared" si="9"/>
        <v>0</v>
      </c>
      <c r="AD44" s="424">
        <f t="shared" si="9"/>
        <v>0</v>
      </c>
      <c r="AE44" s="424">
        <f t="shared" si="9"/>
        <v>0</v>
      </c>
      <c r="AF44" s="424">
        <f t="shared" si="9"/>
        <v>0</v>
      </c>
      <c r="AG44" s="424">
        <f t="shared" si="9"/>
        <v>0</v>
      </c>
      <c r="AH44" s="424">
        <f t="shared" si="9"/>
        <v>0</v>
      </c>
      <c r="AI44" s="424">
        <f t="shared" si="9"/>
        <v>0</v>
      </c>
      <c r="AJ44" s="424">
        <f t="shared" si="9"/>
        <v>0</v>
      </c>
      <c r="AK44" s="424">
        <f t="shared" si="9"/>
        <v>0</v>
      </c>
    </row>
    <row r="45" spans="2:37">
      <c r="B45" s="431">
        <v>7</v>
      </c>
      <c r="C45" s="422" t="s">
        <v>550</v>
      </c>
      <c r="D45" s="422" t="s">
        <v>134</v>
      </c>
      <c r="H45" s="424">
        <f>SUM($H44:H44)</f>
        <v>0</v>
      </c>
      <c r="I45" s="424">
        <f>SUM($H44:I44)</f>
        <v>0</v>
      </c>
      <c r="J45" s="424">
        <f>SUM($H44:J44)</f>
        <v>0</v>
      </c>
      <c r="K45" s="424">
        <f>SUM($H44:K44)</f>
        <v>0</v>
      </c>
      <c r="L45" s="424">
        <f>SUM($H44:L44)</f>
        <v>0</v>
      </c>
      <c r="M45" s="424">
        <f>SUM($H44:M44)</f>
        <v>0</v>
      </c>
      <c r="N45" s="424">
        <f>SUM($H44:N44)</f>
        <v>0</v>
      </c>
      <c r="O45" s="424">
        <f>SUM($H44:O44)</f>
        <v>0</v>
      </c>
      <c r="P45" s="424">
        <f>SUM($H44:P44)</f>
        <v>0</v>
      </c>
      <c r="Q45" s="424">
        <f>SUM($H44:Q44)</f>
        <v>0</v>
      </c>
      <c r="R45" s="424">
        <f>SUM($H44:R44)</f>
        <v>0</v>
      </c>
      <c r="S45" s="424">
        <f>SUM($H44:S44)</f>
        <v>0</v>
      </c>
      <c r="T45" s="424">
        <f>SUM($H44:T44)</f>
        <v>0</v>
      </c>
      <c r="U45" s="424">
        <f>SUM($H44:U44)</f>
        <v>0</v>
      </c>
      <c r="V45" s="424">
        <f>SUM($H44:V44)</f>
        <v>0</v>
      </c>
      <c r="W45" s="424">
        <f>SUM($H44:W44)</f>
        <v>0</v>
      </c>
      <c r="X45" s="424">
        <f>SUM($H44:X44)</f>
        <v>0</v>
      </c>
      <c r="Y45" s="424">
        <f>SUM($H44:Y44)</f>
        <v>0</v>
      </c>
      <c r="Z45" s="424">
        <f>SUM($H44:Z44)</f>
        <v>0</v>
      </c>
      <c r="AA45" s="424">
        <f>SUM($H44:AA44)</f>
        <v>0</v>
      </c>
      <c r="AB45" s="424">
        <f>SUM($H44:AB44)</f>
        <v>0</v>
      </c>
      <c r="AC45" s="424">
        <f>SUM($H44:AC44)</f>
        <v>0</v>
      </c>
      <c r="AD45" s="424">
        <f>SUM($H44:AD44)</f>
        <v>0</v>
      </c>
      <c r="AE45" s="424">
        <f>SUM($H44:AE44)</f>
        <v>0</v>
      </c>
      <c r="AF45" s="424">
        <f>SUM($H44:AF44)</f>
        <v>0</v>
      </c>
      <c r="AG45" s="424">
        <f>SUM($H44:AG44)</f>
        <v>0</v>
      </c>
      <c r="AH45" s="424">
        <f>SUM($H44:AH44)</f>
        <v>0</v>
      </c>
      <c r="AI45" s="424">
        <f>SUM($H44:AI44)</f>
        <v>0</v>
      </c>
      <c r="AJ45" s="424">
        <f>SUM($H44:AJ44)</f>
        <v>0</v>
      </c>
      <c r="AK45" s="424">
        <f>SUM($H44:AK44)</f>
        <v>0</v>
      </c>
    </row>
    <row r="46" spans="2:37">
      <c r="B46" s="431">
        <v>8</v>
      </c>
      <c r="C46" s="422" t="s">
        <v>551</v>
      </c>
      <c r="D46" s="422" t="s">
        <v>134</v>
      </c>
      <c r="H46" s="424">
        <f>H42+H43-H44</f>
        <v>0</v>
      </c>
      <c r="I46" s="424">
        <f>I42+I43-I44</f>
        <v>0</v>
      </c>
      <c r="J46" s="424">
        <f t="shared" ref="J46:AK46" si="10">J42+J43-J44</f>
        <v>0</v>
      </c>
      <c r="K46" s="424">
        <f t="shared" si="10"/>
        <v>0</v>
      </c>
      <c r="L46" s="424">
        <f t="shared" si="10"/>
        <v>0</v>
      </c>
      <c r="M46" s="424">
        <f t="shared" si="10"/>
        <v>0</v>
      </c>
      <c r="N46" s="424">
        <f t="shared" si="10"/>
        <v>0</v>
      </c>
      <c r="O46" s="424">
        <f t="shared" si="10"/>
        <v>0</v>
      </c>
      <c r="P46" s="424">
        <f t="shared" si="10"/>
        <v>0</v>
      </c>
      <c r="Q46" s="424">
        <f t="shared" si="10"/>
        <v>0</v>
      </c>
      <c r="R46" s="424">
        <f t="shared" si="10"/>
        <v>0</v>
      </c>
      <c r="S46" s="424">
        <f t="shared" si="10"/>
        <v>0</v>
      </c>
      <c r="T46" s="424">
        <f t="shared" si="10"/>
        <v>0</v>
      </c>
      <c r="U46" s="424">
        <f t="shared" si="10"/>
        <v>0</v>
      </c>
      <c r="V46" s="424">
        <f t="shared" si="10"/>
        <v>0</v>
      </c>
      <c r="W46" s="424">
        <f t="shared" si="10"/>
        <v>0</v>
      </c>
      <c r="X46" s="424">
        <f t="shared" si="10"/>
        <v>0</v>
      </c>
      <c r="Y46" s="424">
        <f t="shared" si="10"/>
        <v>0</v>
      </c>
      <c r="Z46" s="424">
        <f t="shared" si="10"/>
        <v>0</v>
      </c>
      <c r="AA46" s="424">
        <f t="shared" si="10"/>
        <v>0</v>
      </c>
      <c r="AB46" s="424">
        <f t="shared" si="10"/>
        <v>0</v>
      </c>
      <c r="AC46" s="424">
        <f t="shared" si="10"/>
        <v>0</v>
      </c>
      <c r="AD46" s="424">
        <f t="shared" si="10"/>
        <v>0</v>
      </c>
      <c r="AE46" s="424">
        <f t="shared" si="10"/>
        <v>0</v>
      </c>
      <c r="AF46" s="424">
        <f t="shared" si="10"/>
        <v>0</v>
      </c>
      <c r="AG46" s="424">
        <f t="shared" si="10"/>
        <v>0</v>
      </c>
      <c r="AH46" s="424">
        <f t="shared" si="10"/>
        <v>0</v>
      </c>
      <c r="AI46" s="424">
        <f t="shared" si="10"/>
        <v>0</v>
      </c>
      <c r="AJ46" s="424">
        <f t="shared" si="10"/>
        <v>0</v>
      </c>
      <c r="AK46" s="424">
        <f t="shared" si="10"/>
        <v>0</v>
      </c>
    </row>
    <row r="47" spans="2:37">
      <c r="B47" s="431">
        <v>9</v>
      </c>
      <c r="C47" s="191" t="str">
        <f>C11</f>
        <v>Land Cost</v>
      </c>
      <c r="F47" s="423">
        <v>0</v>
      </c>
    </row>
    <row r="48" spans="2:37">
      <c r="B48" s="431">
        <v>10</v>
      </c>
      <c r="C48" s="422" t="s">
        <v>547</v>
      </c>
      <c r="D48" s="422" t="s">
        <v>134</v>
      </c>
      <c r="H48" s="424">
        <f>G52</f>
        <v>0</v>
      </c>
      <c r="I48" s="424">
        <f>H52</f>
        <v>0</v>
      </c>
      <c r="J48" s="424">
        <f t="shared" ref="J48:AK48" si="11">I52</f>
        <v>0</v>
      </c>
      <c r="K48" s="424">
        <f t="shared" si="11"/>
        <v>0</v>
      </c>
      <c r="L48" s="424">
        <f t="shared" si="11"/>
        <v>0</v>
      </c>
      <c r="M48" s="424">
        <f t="shared" si="11"/>
        <v>0</v>
      </c>
      <c r="N48" s="424">
        <f t="shared" si="11"/>
        <v>0</v>
      </c>
      <c r="O48" s="424">
        <f t="shared" si="11"/>
        <v>0</v>
      </c>
      <c r="P48" s="424">
        <f t="shared" si="11"/>
        <v>0</v>
      </c>
      <c r="Q48" s="424">
        <f t="shared" si="11"/>
        <v>0</v>
      </c>
      <c r="R48" s="424">
        <f t="shared" si="11"/>
        <v>0</v>
      </c>
      <c r="S48" s="424">
        <f t="shared" si="11"/>
        <v>0</v>
      </c>
      <c r="T48" s="424">
        <f t="shared" si="11"/>
        <v>0</v>
      </c>
      <c r="U48" s="424">
        <f t="shared" si="11"/>
        <v>0</v>
      </c>
      <c r="V48" s="424">
        <f t="shared" si="11"/>
        <v>0</v>
      </c>
      <c r="W48" s="424">
        <f t="shared" si="11"/>
        <v>0</v>
      </c>
      <c r="X48" s="424">
        <f t="shared" si="11"/>
        <v>0</v>
      </c>
      <c r="Y48" s="424">
        <f t="shared" si="11"/>
        <v>0</v>
      </c>
      <c r="Z48" s="424">
        <f t="shared" si="11"/>
        <v>0</v>
      </c>
      <c r="AA48" s="424">
        <f t="shared" si="11"/>
        <v>0</v>
      </c>
      <c r="AB48" s="424">
        <f t="shared" si="11"/>
        <v>0</v>
      </c>
      <c r="AC48" s="424">
        <f t="shared" si="11"/>
        <v>0</v>
      </c>
      <c r="AD48" s="424">
        <f t="shared" si="11"/>
        <v>0</v>
      </c>
      <c r="AE48" s="424">
        <f t="shared" si="11"/>
        <v>0</v>
      </c>
      <c r="AF48" s="424">
        <f t="shared" si="11"/>
        <v>0</v>
      </c>
      <c r="AG48" s="424">
        <f t="shared" si="11"/>
        <v>0</v>
      </c>
      <c r="AH48" s="424">
        <f t="shared" si="11"/>
        <v>0</v>
      </c>
      <c r="AI48" s="424">
        <f t="shared" si="11"/>
        <v>0</v>
      </c>
      <c r="AJ48" s="424">
        <f t="shared" si="11"/>
        <v>0</v>
      </c>
      <c r="AK48" s="424">
        <f t="shared" si="11"/>
        <v>0</v>
      </c>
    </row>
    <row r="49" spans="2:37">
      <c r="B49" s="431">
        <v>11</v>
      </c>
      <c r="C49" s="422" t="s">
        <v>548</v>
      </c>
      <c r="D49" s="422" t="s">
        <v>134</v>
      </c>
      <c r="E49" s="424">
        <f>SUM(H49:AP49)</f>
        <v>0</v>
      </c>
      <c r="H49" s="424">
        <f>H11</f>
        <v>0</v>
      </c>
      <c r="I49" s="424">
        <f t="shared" ref="I49:AK49" si="12">I11</f>
        <v>0</v>
      </c>
      <c r="J49" s="424">
        <f t="shared" si="12"/>
        <v>0</v>
      </c>
      <c r="K49" s="424">
        <f t="shared" si="12"/>
        <v>0</v>
      </c>
      <c r="L49" s="424">
        <f t="shared" si="12"/>
        <v>0</v>
      </c>
      <c r="M49" s="424">
        <f t="shared" si="12"/>
        <v>0</v>
      </c>
      <c r="N49" s="424">
        <f t="shared" si="12"/>
        <v>0</v>
      </c>
      <c r="O49" s="424">
        <f t="shared" si="12"/>
        <v>0</v>
      </c>
      <c r="P49" s="424">
        <f t="shared" si="12"/>
        <v>0</v>
      </c>
      <c r="Q49" s="424">
        <f t="shared" si="12"/>
        <v>0</v>
      </c>
      <c r="R49" s="424">
        <f t="shared" si="12"/>
        <v>0</v>
      </c>
      <c r="S49" s="424">
        <f t="shared" si="12"/>
        <v>0</v>
      </c>
      <c r="T49" s="424">
        <f t="shared" si="12"/>
        <v>0</v>
      </c>
      <c r="U49" s="424">
        <f t="shared" si="12"/>
        <v>0</v>
      </c>
      <c r="V49" s="424">
        <f t="shared" si="12"/>
        <v>0</v>
      </c>
      <c r="W49" s="424">
        <f t="shared" si="12"/>
        <v>0</v>
      </c>
      <c r="X49" s="424">
        <f t="shared" si="12"/>
        <v>0</v>
      </c>
      <c r="Y49" s="424">
        <f t="shared" si="12"/>
        <v>0</v>
      </c>
      <c r="Z49" s="424">
        <f t="shared" si="12"/>
        <v>0</v>
      </c>
      <c r="AA49" s="424">
        <f t="shared" si="12"/>
        <v>0</v>
      </c>
      <c r="AB49" s="424">
        <f t="shared" si="12"/>
        <v>0</v>
      </c>
      <c r="AC49" s="424">
        <f t="shared" si="12"/>
        <v>0</v>
      </c>
      <c r="AD49" s="424">
        <f t="shared" si="12"/>
        <v>0</v>
      </c>
      <c r="AE49" s="424">
        <f t="shared" si="12"/>
        <v>0</v>
      </c>
      <c r="AF49" s="424">
        <f t="shared" si="12"/>
        <v>0</v>
      </c>
      <c r="AG49" s="424">
        <f t="shared" si="12"/>
        <v>0</v>
      </c>
      <c r="AH49" s="424">
        <f t="shared" si="12"/>
        <v>0</v>
      </c>
      <c r="AI49" s="424">
        <f t="shared" si="12"/>
        <v>0</v>
      </c>
      <c r="AJ49" s="424">
        <f t="shared" si="12"/>
        <v>0</v>
      </c>
      <c r="AK49" s="424">
        <f t="shared" si="12"/>
        <v>0</v>
      </c>
    </row>
    <row r="50" spans="2:37">
      <c r="B50" s="431">
        <v>12</v>
      </c>
      <c r="C50" s="422" t="s">
        <v>549</v>
      </c>
      <c r="D50" s="422" t="s">
        <v>134</v>
      </c>
      <c r="E50" s="424">
        <f>SUM(H50:AP50)</f>
        <v>0</v>
      </c>
      <c r="H50" s="424">
        <f>H263</f>
        <v>0</v>
      </c>
      <c r="I50" s="424">
        <f>I263</f>
        <v>0</v>
      </c>
      <c r="J50" s="424">
        <f t="shared" ref="J50:AK50" si="13">J263</f>
        <v>0</v>
      </c>
      <c r="K50" s="424">
        <f t="shared" si="13"/>
        <v>0</v>
      </c>
      <c r="L50" s="424">
        <f t="shared" si="13"/>
        <v>0</v>
      </c>
      <c r="M50" s="424">
        <f t="shared" si="13"/>
        <v>0</v>
      </c>
      <c r="N50" s="424">
        <f t="shared" si="13"/>
        <v>0</v>
      </c>
      <c r="O50" s="424">
        <f t="shared" si="13"/>
        <v>0</v>
      </c>
      <c r="P50" s="424">
        <f t="shared" si="13"/>
        <v>0</v>
      </c>
      <c r="Q50" s="424">
        <f t="shared" si="13"/>
        <v>0</v>
      </c>
      <c r="R50" s="424">
        <f t="shared" si="13"/>
        <v>0</v>
      </c>
      <c r="S50" s="424">
        <f t="shared" si="13"/>
        <v>0</v>
      </c>
      <c r="T50" s="424">
        <f t="shared" si="13"/>
        <v>0</v>
      </c>
      <c r="U50" s="424">
        <f t="shared" si="13"/>
        <v>0</v>
      </c>
      <c r="V50" s="424">
        <f t="shared" si="13"/>
        <v>0</v>
      </c>
      <c r="W50" s="424">
        <f t="shared" si="13"/>
        <v>0</v>
      </c>
      <c r="X50" s="424">
        <f t="shared" si="13"/>
        <v>0</v>
      </c>
      <c r="Y50" s="424">
        <f t="shared" si="13"/>
        <v>0</v>
      </c>
      <c r="Z50" s="424">
        <f t="shared" si="13"/>
        <v>0</v>
      </c>
      <c r="AA50" s="424">
        <f t="shared" si="13"/>
        <v>0</v>
      </c>
      <c r="AB50" s="424">
        <f t="shared" si="13"/>
        <v>0</v>
      </c>
      <c r="AC50" s="424">
        <f t="shared" si="13"/>
        <v>0</v>
      </c>
      <c r="AD50" s="424">
        <f t="shared" si="13"/>
        <v>0</v>
      </c>
      <c r="AE50" s="424">
        <f t="shared" si="13"/>
        <v>0</v>
      </c>
      <c r="AF50" s="424">
        <f t="shared" si="13"/>
        <v>0</v>
      </c>
      <c r="AG50" s="424">
        <f t="shared" si="13"/>
        <v>0</v>
      </c>
      <c r="AH50" s="424">
        <f t="shared" si="13"/>
        <v>0</v>
      </c>
      <c r="AI50" s="424">
        <f t="shared" si="13"/>
        <v>0</v>
      </c>
      <c r="AJ50" s="424">
        <f t="shared" si="13"/>
        <v>0</v>
      </c>
      <c r="AK50" s="424">
        <f t="shared" si="13"/>
        <v>0</v>
      </c>
    </row>
    <row r="51" spans="2:37">
      <c r="B51" s="431">
        <v>13</v>
      </c>
      <c r="C51" s="422" t="s">
        <v>550</v>
      </c>
      <c r="D51" s="422" t="s">
        <v>134</v>
      </c>
      <c r="H51" s="424">
        <f>SUM($H50:H50)</f>
        <v>0</v>
      </c>
      <c r="I51" s="424">
        <f>SUM($H50:I50)</f>
        <v>0</v>
      </c>
      <c r="J51" s="424">
        <f>SUM($H50:J50)</f>
        <v>0</v>
      </c>
      <c r="K51" s="424">
        <f>SUM($H50:K50)</f>
        <v>0</v>
      </c>
      <c r="L51" s="424">
        <f>SUM($H50:L50)</f>
        <v>0</v>
      </c>
      <c r="M51" s="424">
        <f>SUM($H50:M50)</f>
        <v>0</v>
      </c>
      <c r="N51" s="424">
        <f>SUM($H50:N50)</f>
        <v>0</v>
      </c>
      <c r="O51" s="424">
        <f>SUM($H50:O50)</f>
        <v>0</v>
      </c>
      <c r="P51" s="424">
        <f>SUM($H50:P50)</f>
        <v>0</v>
      </c>
      <c r="Q51" s="424">
        <f>SUM($H50:Q50)</f>
        <v>0</v>
      </c>
      <c r="R51" s="424">
        <f>SUM($H50:R50)</f>
        <v>0</v>
      </c>
      <c r="S51" s="424">
        <f>SUM($H50:S50)</f>
        <v>0</v>
      </c>
      <c r="T51" s="424">
        <f>SUM($H50:T50)</f>
        <v>0</v>
      </c>
      <c r="U51" s="424">
        <f>SUM($H50:U50)</f>
        <v>0</v>
      </c>
      <c r="V51" s="424">
        <f>SUM($H50:V50)</f>
        <v>0</v>
      </c>
      <c r="W51" s="424">
        <f>SUM($H50:W50)</f>
        <v>0</v>
      </c>
      <c r="X51" s="424">
        <f>SUM($H50:X50)</f>
        <v>0</v>
      </c>
      <c r="Y51" s="424">
        <f>SUM($H50:Y50)</f>
        <v>0</v>
      </c>
      <c r="Z51" s="424">
        <f>SUM($H50:Z50)</f>
        <v>0</v>
      </c>
      <c r="AA51" s="424">
        <f>SUM($H50:AA50)</f>
        <v>0</v>
      </c>
      <c r="AB51" s="424">
        <f>SUM($H50:AB50)</f>
        <v>0</v>
      </c>
      <c r="AC51" s="424">
        <f>SUM($H50:AC50)</f>
        <v>0</v>
      </c>
      <c r="AD51" s="424">
        <f>SUM($H50:AD50)</f>
        <v>0</v>
      </c>
      <c r="AE51" s="424">
        <f>SUM($H50:AE50)</f>
        <v>0</v>
      </c>
      <c r="AF51" s="424">
        <f>SUM($H50:AF50)</f>
        <v>0</v>
      </c>
      <c r="AG51" s="424">
        <f>SUM($H50:AG50)</f>
        <v>0</v>
      </c>
      <c r="AH51" s="424">
        <f>SUM($H50:AH50)</f>
        <v>0</v>
      </c>
      <c r="AI51" s="424">
        <f>SUM($H50:AI50)</f>
        <v>0</v>
      </c>
      <c r="AJ51" s="424">
        <f>SUM($H50:AJ50)</f>
        <v>0</v>
      </c>
      <c r="AK51" s="424">
        <f>SUM($H50:AK50)</f>
        <v>0</v>
      </c>
    </row>
    <row r="52" spans="2:37">
      <c r="B52" s="431">
        <v>14</v>
      </c>
      <c r="C52" s="422" t="s">
        <v>551</v>
      </c>
      <c r="D52" s="422" t="s">
        <v>134</v>
      </c>
      <c r="H52" s="424">
        <f>H48+H49-H50</f>
        <v>0</v>
      </c>
      <c r="I52" s="424">
        <f>I48+I49-I50</f>
        <v>0</v>
      </c>
      <c r="J52" s="424">
        <f t="shared" ref="J52:AK52" si="14">J48+J49-J50</f>
        <v>0</v>
      </c>
      <c r="K52" s="424">
        <f t="shared" si="14"/>
        <v>0</v>
      </c>
      <c r="L52" s="424">
        <f t="shared" si="14"/>
        <v>0</v>
      </c>
      <c r="M52" s="424">
        <f t="shared" si="14"/>
        <v>0</v>
      </c>
      <c r="N52" s="424">
        <f t="shared" si="14"/>
        <v>0</v>
      </c>
      <c r="O52" s="424">
        <f t="shared" si="14"/>
        <v>0</v>
      </c>
      <c r="P52" s="424">
        <f t="shared" si="14"/>
        <v>0</v>
      </c>
      <c r="Q52" s="424">
        <f t="shared" si="14"/>
        <v>0</v>
      </c>
      <c r="R52" s="424">
        <f t="shared" si="14"/>
        <v>0</v>
      </c>
      <c r="S52" s="424">
        <f t="shared" si="14"/>
        <v>0</v>
      </c>
      <c r="T52" s="424">
        <f t="shared" si="14"/>
        <v>0</v>
      </c>
      <c r="U52" s="424">
        <f t="shared" si="14"/>
        <v>0</v>
      </c>
      <c r="V52" s="424">
        <f t="shared" si="14"/>
        <v>0</v>
      </c>
      <c r="W52" s="424">
        <f t="shared" si="14"/>
        <v>0</v>
      </c>
      <c r="X52" s="424">
        <f t="shared" si="14"/>
        <v>0</v>
      </c>
      <c r="Y52" s="424">
        <f t="shared" si="14"/>
        <v>0</v>
      </c>
      <c r="Z52" s="424">
        <f t="shared" si="14"/>
        <v>0</v>
      </c>
      <c r="AA52" s="424">
        <f t="shared" si="14"/>
        <v>0</v>
      </c>
      <c r="AB52" s="424">
        <f t="shared" si="14"/>
        <v>0</v>
      </c>
      <c r="AC52" s="424">
        <f t="shared" si="14"/>
        <v>0</v>
      </c>
      <c r="AD52" s="424">
        <f t="shared" si="14"/>
        <v>0</v>
      </c>
      <c r="AE52" s="424">
        <f t="shared" si="14"/>
        <v>0</v>
      </c>
      <c r="AF52" s="424">
        <f t="shared" si="14"/>
        <v>0</v>
      </c>
      <c r="AG52" s="424">
        <f t="shared" si="14"/>
        <v>0</v>
      </c>
      <c r="AH52" s="424">
        <f t="shared" si="14"/>
        <v>0</v>
      </c>
      <c r="AI52" s="424">
        <f t="shared" si="14"/>
        <v>0</v>
      </c>
      <c r="AJ52" s="424">
        <f t="shared" si="14"/>
        <v>0</v>
      </c>
      <c r="AK52" s="424">
        <f t="shared" si="14"/>
        <v>0</v>
      </c>
    </row>
    <row r="53" spans="2:37">
      <c r="B53" s="431">
        <v>15</v>
      </c>
      <c r="C53" s="191" t="str">
        <f>C13</f>
        <v xml:space="preserve">HEMM Equipment </v>
      </c>
      <c r="F53" s="423">
        <v>0.1188</v>
      </c>
    </row>
    <row r="54" spans="2:37">
      <c r="B54" s="431">
        <v>16</v>
      </c>
      <c r="C54" s="422" t="s">
        <v>547</v>
      </c>
      <c r="D54" s="422" t="s">
        <v>134</v>
      </c>
      <c r="H54" s="424">
        <f>G58</f>
        <v>0</v>
      </c>
      <c r="I54" s="424">
        <f t="shared" ref="I54:AK54" si="15">H58</f>
        <v>0</v>
      </c>
      <c r="J54" s="424">
        <f t="shared" si="15"/>
        <v>0</v>
      </c>
      <c r="K54" s="424">
        <f t="shared" si="15"/>
        <v>0</v>
      </c>
      <c r="L54" s="424">
        <f t="shared" si="15"/>
        <v>0</v>
      </c>
      <c r="M54" s="424">
        <f t="shared" si="15"/>
        <v>0</v>
      </c>
      <c r="N54" s="424">
        <f t="shared" si="15"/>
        <v>0</v>
      </c>
      <c r="O54" s="424">
        <f t="shared" si="15"/>
        <v>0</v>
      </c>
      <c r="P54" s="424">
        <f t="shared" si="15"/>
        <v>0</v>
      </c>
      <c r="Q54" s="424">
        <f t="shared" si="15"/>
        <v>0</v>
      </c>
      <c r="R54" s="424">
        <f t="shared" si="15"/>
        <v>0</v>
      </c>
      <c r="S54" s="424">
        <f t="shared" si="15"/>
        <v>0</v>
      </c>
      <c r="T54" s="424">
        <f t="shared" si="15"/>
        <v>0</v>
      </c>
      <c r="U54" s="424">
        <f t="shared" si="15"/>
        <v>0</v>
      </c>
      <c r="V54" s="424">
        <f t="shared" si="15"/>
        <v>0</v>
      </c>
      <c r="W54" s="424">
        <f t="shared" si="15"/>
        <v>0</v>
      </c>
      <c r="X54" s="424">
        <f t="shared" si="15"/>
        <v>0</v>
      </c>
      <c r="Y54" s="424">
        <f t="shared" si="15"/>
        <v>0</v>
      </c>
      <c r="Z54" s="424">
        <f t="shared" si="15"/>
        <v>0</v>
      </c>
      <c r="AA54" s="424">
        <f t="shared" si="15"/>
        <v>0</v>
      </c>
      <c r="AB54" s="424">
        <f t="shared" si="15"/>
        <v>0</v>
      </c>
      <c r="AC54" s="424">
        <f t="shared" si="15"/>
        <v>0</v>
      </c>
      <c r="AD54" s="424">
        <f t="shared" si="15"/>
        <v>0</v>
      </c>
      <c r="AE54" s="424">
        <f t="shared" si="15"/>
        <v>0</v>
      </c>
      <c r="AF54" s="424">
        <f t="shared" si="15"/>
        <v>0</v>
      </c>
      <c r="AG54" s="424">
        <f t="shared" si="15"/>
        <v>0</v>
      </c>
      <c r="AH54" s="424">
        <f t="shared" si="15"/>
        <v>0</v>
      </c>
      <c r="AI54" s="424">
        <f t="shared" si="15"/>
        <v>0</v>
      </c>
      <c r="AJ54" s="424">
        <f t="shared" si="15"/>
        <v>0</v>
      </c>
      <c r="AK54" s="424">
        <f t="shared" si="15"/>
        <v>0</v>
      </c>
    </row>
    <row r="55" spans="2:37">
      <c r="B55" s="431">
        <v>17</v>
      </c>
      <c r="C55" s="422" t="s">
        <v>548</v>
      </c>
      <c r="D55" s="422" t="s">
        <v>134</v>
      </c>
      <c r="E55" s="424">
        <f>SUM(H55:AP55)</f>
        <v>0</v>
      </c>
      <c r="H55" s="424">
        <f>H13+H25</f>
        <v>0</v>
      </c>
      <c r="I55" s="424">
        <f t="shared" ref="I55:AK55" si="16">I13+I25</f>
        <v>0</v>
      </c>
      <c r="J55" s="424">
        <f t="shared" si="16"/>
        <v>0</v>
      </c>
      <c r="K55" s="424">
        <f t="shared" si="16"/>
        <v>0</v>
      </c>
      <c r="L55" s="424">
        <f t="shared" si="16"/>
        <v>0</v>
      </c>
      <c r="M55" s="424">
        <f t="shared" si="16"/>
        <v>0</v>
      </c>
      <c r="N55" s="424">
        <f t="shared" si="16"/>
        <v>0</v>
      </c>
      <c r="O55" s="424">
        <f t="shared" si="16"/>
        <v>0</v>
      </c>
      <c r="P55" s="424">
        <f t="shared" si="16"/>
        <v>0</v>
      </c>
      <c r="Q55" s="424">
        <f t="shared" si="16"/>
        <v>0</v>
      </c>
      <c r="R55" s="424">
        <f t="shared" si="16"/>
        <v>0</v>
      </c>
      <c r="S55" s="424">
        <f t="shared" si="16"/>
        <v>0</v>
      </c>
      <c r="T55" s="424">
        <f t="shared" si="16"/>
        <v>0</v>
      </c>
      <c r="U55" s="424">
        <f t="shared" si="16"/>
        <v>0</v>
      </c>
      <c r="V55" s="424">
        <f t="shared" si="16"/>
        <v>0</v>
      </c>
      <c r="W55" s="424">
        <f t="shared" si="16"/>
        <v>0</v>
      </c>
      <c r="X55" s="424">
        <f t="shared" si="16"/>
        <v>0</v>
      </c>
      <c r="Y55" s="424">
        <f t="shared" si="16"/>
        <v>0</v>
      </c>
      <c r="Z55" s="424">
        <f t="shared" si="16"/>
        <v>0</v>
      </c>
      <c r="AA55" s="424">
        <f t="shared" si="16"/>
        <v>0</v>
      </c>
      <c r="AB55" s="424">
        <f t="shared" si="16"/>
        <v>0</v>
      </c>
      <c r="AC55" s="424">
        <f t="shared" si="16"/>
        <v>0</v>
      </c>
      <c r="AD55" s="424">
        <f t="shared" si="16"/>
        <v>0</v>
      </c>
      <c r="AE55" s="424">
        <f t="shared" si="16"/>
        <v>0</v>
      </c>
      <c r="AF55" s="424">
        <f t="shared" si="16"/>
        <v>0</v>
      </c>
      <c r="AG55" s="424">
        <f t="shared" si="16"/>
        <v>0</v>
      </c>
      <c r="AH55" s="424">
        <f t="shared" si="16"/>
        <v>0</v>
      </c>
      <c r="AI55" s="424">
        <f t="shared" si="16"/>
        <v>0</v>
      </c>
      <c r="AJ55" s="424">
        <f t="shared" si="16"/>
        <v>0</v>
      </c>
      <c r="AK55" s="424">
        <f t="shared" si="16"/>
        <v>0</v>
      </c>
    </row>
    <row r="56" spans="2:37">
      <c r="B56" s="431">
        <v>18</v>
      </c>
      <c r="C56" s="422" t="s">
        <v>549</v>
      </c>
      <c r="D56" s="422" t="s">
        <v>134</v>
      </c>
      <c r="E56" s="424">
        <f>SUM(H56:AP56)</f>
        <v>0</v>
      </c>
      <c r="H56" s="424">
        <f>H298</f>
        <v>0</v>
      </c>
      <c r="I56" s="424">
        <f t="shared" ref="I56:AK56" si="17">I298</f>
        <v>0</v>
      </c>
      <c r="J56" s="424">
        <f t="shared" si="17"/>
        <v>0</v>
      </c>
      <c r="K56" s="424">
        <f t="shared" si="17"/>
        <v>0</v>
      </c>
      <c r="L56" s="424">
        <f t="shared" si="17"/>
        <v>0</v>
      </c>
      <c r="M56" s="424">
        <f t="shared" si="17"/>
        <v>0</v>
      </c>
      <c r="N56" s="424">
        <f t="shared" si="17"/>
        <v>0</v>
      </c>
      <c r="O56" s="424">
        <f t="shared" si="17"/>
        <v>0</v>
      </c>
      <c r="P56" s="424">
        <f t="shared" si="17"/>
        <v>0</v>
      </c>
      <c r="Q56" s="424">
        <f t="shared" si="17"/>
        <v>0</v>
      </c>
      <c r="R56" s="424">
        <f t="shared" si="17"/>
        <v>0</v>
      </c>
      <c r="S56" s="424">
        <f t="shared" si="17"/>
        <v>0</v>
      </c>
      <c r="T56" s="424">
        <f t="shared" si="17"/>
        <v>0</v>
      </c>
      <c r="U56" s="424">
        <f t="shared" si="17"/>
        <v>0</v>
      </c>
      <c r="V56" s="424">
        <f t="shared" si="17"/>
        <v>0</v>
      </c>
      <c r="W56" s="424">
        <f t="shared" si="17"/>
        <v>0</v>
      </c>
      <c r="X56" s="424">
        <f t="shared" si="17"/>
        <v>0</v>
      </c>
      <c r="Y56" s="424">
        <f t="shared" si="17"/>
        <v>0</v>
      </c>
      <c r="Z56" s="424">
        <f t="shared" si="17"/>
        <v>0</v>
      </c>
      <c r="AA56" s="424">
        <f t="shared" si="17"/>
        <v>0</v>
      </c>
      <c r="AB56" s="424">
        <f t="shared" si="17"/>
        <v>0</v>
      </c>
      <c r="AC56" s="424">
        <f t="shared" si="17"/>
        <v>0</v>
      </c>
      <c r="AD56" s="424">
        <f t="shared" si="17"/>
        <v>0</v>
      </c>
      <c r="AE56" s="424">
        <f t="shared" si="17"/>
        <v>0</v>
      </c>
      <c r="AF56" s="424">
        <f t="shared" si="17"/>
        <v>0</v>
      </c>
      <c r="AG56" s="424">
        <f t="shared" si="17"/>
        <v>0</v>
      </c>
      <c r="AH56" s="424">
        <f t="shared" si="17"/>
        <v>0</v>
      </c>
      <c r="AI56" s="424">
        <f t="shared" si="17"/>
        <v>0</v>
      </c>
      <c r="AJ56" s="424">
        <f t="shared" si="17"/>
        <v>0</v>
      </c>
      <c r="AK56" s="424">
        <f t="shared" si="17"/>
        <v>0</v>
      </c>
    </row>
    <row r="57" spans="2:37">
      <c r="B57" s="431">
        <v>19</v>
      </c>
      <c r="C57" s="422" t="s">
        <v>550</v>
      </c>
      <c r="D57" s="422" t="s">
        <v>134</v>
      </c>
      <c r="H57" s="424">
        <f>SUM($H56:H56)</f>
        <v>0</v>
      </c>
      <c r="I57" s="424">
        <f>SUM($H56:I56)</f>
        <v>0</v>
      </c>
      <c r="J57" s="424">
        <f>SUM($H56:J56)</f>
        <v>0</v>
      </c>
      <c r="K57" s="424">
        <f>SUM($H56:K56)</f>
        <v>0</v>
      </c>
      <c r="L57" s="424">
        <f>SUM($H56:L56)</f>
        <v>0</v>
      </c>
      <c r="M57" s="424">
        <f>SUM($H56:M56)</f>
        <v>0</v>
      </c>
      <c r="N57" s="424">
        <f>SUM($H56:N56)</f>
        <v>0</v>
      </c>
      <c r="O57" s="424">
        <f>SUM($H56:O56)</f>
        <v>0</v>
      </c>
      <c r="P57" s="424">
        <f>SUM($H56:P56)</f>
        <v>0</v>
      </c>
      <c r="Q57" s="424">
        <f>SUM($H56:Q56)</f>
        <v>0</v>
      </c>
      <c r="R57" s="424">
        <f>SUM($H56:R56)</f>
        <v>0</v>
      </c>
      <c r="S57" s="424">
        <f>SUM($H56:S56)</f>
        <v>0</v>
      </c>
      <c r="T57" s="424">
        <f>SUM($H56:T56)</f>
        <v>0</v>
      </c>
      <c r="U57" s="424">
        <f>SUM($H56:U56)</f>
        <v>0</v>
      </c>
      <c r="V57" s="424">
        <f>SUM($H56:V56)</f>
        <v>0</v>
      </c>
      <c r="W57" s="424">
        <f>SUM($H56:W56)</f>
        <v>0</v>
      </c>
      <c r="X57" s="424">
        <f>SUM($H56:X56)</f>
        <v>0</v>
      </c>
      <c r="Y57" s="424">
        <f>SUM($H56:Y56)</f>
        <v>0</v>
      </c>
      <c r="Z57" s="424">
        <f>SUM($H56:Z56)</f>
        <v>0</v>
      </c>
      <c r="AA57" s="424">
        <f>SUM($H56:AA56)</f>
        <v>0</v>
      </c>
      <c r="AB57" s="424">
        <f>SUM($H56:AB56)</f>
        <v>0</v>
      </c>
      <c r="AC57" s="424">
        <f>SUM($H56:AC56)</f>
        <v>0</v>
      </c>
      <c r="AD57" s="424">
        <f>SUM($H56:AD56)</f>
        <v>0</v>
      </c>
      <c r="AE57" s="424">
        <f>SUM($H56:AE56)</f>
        <v>0</v>
      </c>
      <c r="AF57" s="424">
        <f>SUM($H56:AF56)</f>
        <v>0</v>
      </c>
      <c r="AG57" s="424">
        <f>SUM($H56:AG56)</f>
        <v>0</v>
      </c>
      <c r="AH57" s="424">
        <f>SUM($H56:AH56)</f>
        <v>0</v>
      </c>
      <c r="AI57" s="424">
        <f>SUM($H56:AI56)</f>
        <v>0</v>
      </c>
      <c r="AJ57" s="424">
        <f>SUM($H56:AJ56)</f>
        <v>0</v>
      </c>
      <c r="AK57" s="424">
        <f>SUM($H56:AK56)</f>
        <v>0</v>
      </c>
    </row>
    <row r="58" spans="2:37">
      <c r="B58" s="431">
        <v>20</v>
      </c>
      <c r="C58" s="422" t="s">
        <v>551</v>
      </c>
      <c r="D58" s="422" t="s">
        <v>134</v>
      </c>
      <c r="H58" s="424">
        <f>H54+H55-H56</f>
        <v>0</v>
      </c>
      <c r="I58" s="424">
        <f t="shared" ref="I58:AK58" si="18">I54+I55-I56</f>
        <v>0</v>
      </c>
      <c r="J58" s="424">
        <f t="shared" si="18"/>
        <v>0</v>
      </c>
      <c r="K58" s="424">
        <f t="shared" si="18"/>
        <v>0</v>
      </c>
      <c r="L58" s="424">
        <f t="shared" si="18"/>
        <v>0</v>
      </c>
      <c r="M58" s="424">
        <f t="shared" si="18"/>
        <v>0</v>
      </c>
      <c r="N58" s="424">
        <f t="shared" si="18"/>
        <v>0</v>
      </c>
      <c r="O58" s="424">
        <f t="shared" si="18"/>
        <v>0</v>
      </c>
      <c r="P58" s="424">
        <f t="shared" si="18"/>
        <v>0</v>
      </c>
      <c r="Q58" s="424">
        <f t="shared" si="18"/>
        <v>0</v>
      </c>
      <c r="R58" s="424">
        <f t="shared" si="18"/>
        <v>0</v>
      </c>
      <c r="S58" s="424">
        <f t="shared" si="18"/>
        <v>0</v>
      </c>
      <c r="T58" s="424">
        <f t="shared" si="18"/>
        <v>0</v>
      </c>
      <c r="U58" s="424">
        <f t="shared" si="18"/>
        <v>0</v>
      </c>
      <c r="V58" s="424">
        <f t="shared" si="18"/>
        <v>0</v>
      </c>
      <c r="W58" s="424">
        <f t="shared" si="18"/>
        <v>0</v>
      </c>
      <c r="X58" s="424">
        <f t="shared" si="18"/>
        <v>0</v>
      </c>
      <c r="Y58" s="424">
        <f t="shared" si="18"/>
        <v>0</v>
      </c>
      <c r="Z58" s="424">
        <f t="shared" si="18"/>
        <v>0</v>
      </c>
      <c r="AA58" s="424">
        <f t="shared" si="18"/>
        <v>0</v>
      </c>
      <c r="AB58" s="424">
        <f t="shared" si="18"/>
        <v>0</v>
      </c>
      <c r="AC58" s="424">
        <f t="shared" si="18"/>
        <v>0</v>
      </c>
      <c r="AD58" s="424">
        <f t="shared" si="18"/>
        <v>0</v>
      </c>
      <c r="AE58" s="424">
        <f t="shared" si="18"/>
        <v>0</v>
      </c>
      <c r="AF58" s="424">
        <f t="shared" si="18"/>
        <v>0</v>
      </c>
      <c r="AG58" s="424">
        <f t="shared" si="18"/>
        <v>0</v>
      </c>
      <c r="AH58" s="424">
        <f t="shared" si="18"/>
        <v>0</v>
      </c>
      <c r="AI58" s="424">
        <f t="shared" si="18"/>
        <v>0</v>
      </c>
      <c r="AJ58" s="424">
        <f t="shared" si="18"/>
        <v>0</v>
      </c>
      <c r="AK58" s="424">
        <f t="shared" si="18"/>
        <v>0</v>
      </c>
    </row>
    <row r="59" spans="2:37">
      <c r="B59" s="431">
        <v>21</v>
      </c>
      <c r="C59" s="191" t="str">
        <f>C14</f>
        <v>CHP</v>
      </c>
      <c r="F59" s="423">
        <v>6.6699999999999995E-2</v>
      </c>
    </row>
    <row r="60" spans="2:37">
      <c r="B60" s="431">
        <v>22</v>
      </c>
      <c r="C60" s="422" t="s">
        <v>547</v>
      </c>
      <c r="D60" s="422" t="s">
        <v>134</v>
      </c>
      <c r="H60" s="424">
        <f>G64</f>
        <v>0</v>
      </c>
      <c r="I60" s="424">
        <f t="shared" ref="I60:AK60" si="19">H64</f>
        <v>0</v>
      </c>
      <c r="J60" s="424">
        <f t="shared" si="19"/>
        <v>0</v>
      </c>
      <c r="K60" s="424">
        <f t="shared" si="19"/>
        <v>0</v>
      </c>
      <c r="L60" s="424">
        <f t="shared" si="19"/>
        <v>0</v>
      </c>
      <c r="M60" s="424">
        <f t="shared" si="19"/>
        <v>0</v>
      </c>
      <c r="N60" s="424">
        <f t="shared" si="19"/>
        <v>0</v>
      </c>
      <c r="O60" s="424">
        <f t="shared" si="19"/>
        <v>0</v>
      </c>
      <c r="P60" s="424">
        <f t="shared" si="19"/>
        <v>0</v>
      </c>
      <c r="Q60" s="424">
        <f t="shared" si="19"/>
        <v>0</v>
      </c>
      <c r="R60" s="424">
        <f t="shared" si="19"/>
        <v>0</v>
      </c>
      <c r="S60" s="424">
        <f t="shared" si="19"/>
        <v>0</v>
      </c>
      <c r="T60" s="424">
        <f t="shared" si="19"/>
        <v>0</v>
      </c>
      <c r="U60" s="424">
        <f t="shared" si="19"/>
        <v>0</v>
      </c>
      <c r="V60" s="424">
        <f t="shared" si="19"/>
        <v>0</v>
      </c>
      <c r="W60" s="424">
        <f t="shared" si="19"/>
        <v>0</v>
      </c>
      <c r="X60" s="424">
        <f t="shared" si="19"/>
        <v>0</v>
      </c>
      <c r="Y60" s="424">
        <f t="shared" si="19"/>
        <v>0</v>
      </c>
      <c r="Z60" s="424">
        <f t="shared" si="19"/>
        <v>0</v>
      </c>
      <c r="AA60" s="424">
        <f t="shared" si="19"/>
        <v>0</v>
      </c>
      <c r="AB60" s="424">
        <f t="shared" si="19"/>
        <v>0</v>
      </c>
      <c r="AC60" s="424">
        <f t="shared" si="19"/>
        <v>0</v>
      </c>
      <c r="AD60" s="424">
        <f t="shared" si="19"/>
        <v>0</v>
      </c>
      <c r="AE60" s="424">
        <f t="shared" si="19"/>
        <v>0</v>
      </c>
      <c r="AF60" s="424">
        <f t="shared" si="19"/>
        <v>0</v>
      </c>
      <c r="AG60" s="424">
        <f t="shared" si="19"/>
        <v>0</v>
      </c>
      <c r="AH60" s="424">
        <f t="shared" si="19"/>
        <v>0</v>
      </c>
      <c r="AI60" s="424">
        <f t="shared" si="19"/>
        <v>0</v>
      </c>
      <c r="AJ60" s="424">
        <f t="shared" si="19"/>
        <v>0</v>
      </c>
      <c r="AK60" s="424">
        <f t="shared" si="19"/>
        <v>0</v>
      </c>
    </row>
    <row r="61" spans="2:37">
      <c r="B61" s="431">
        <v>23</v>
      </c>
      <c r="C61" s="422" t="s">
        <v>548</v>
      </c>
      <c r="D61" s="422" t="s">
        <v>134</v>
      </c>
      <c r="E61" s="424">
        <f>SUM(H61:AP61)</f>
        <v>0</v>
      </c>
      <c r="H61" s="424">
        <f>H14+H26</f>
        <v>0</v>
      </c>
      <c r="I61" s="424">
        <f t="shared" ref="I61:AK61" si="20">I14+I26</f>
        <v>0</v>
      </c>
      <c r="J61" s="424">
        <f t="shared" si="20"/>
        <v>0</v>
      </c>
      <c r="K61" s="424">
        <f t="shared" si="20"/>
        <v>0</v>
      </c>
      <c r="L61" s="424">
        <f t="shared" si="20"/>
        <v>0</v>
      </c>
      <c r="M61" s="424">
        <f t="shared" si="20"/>
        <v>0</v>
      </c>
      <c r="N61" s="424">
        <f t="shared" si="20"/>
        <v>0</v>
      </c>
      <c r="O61" s="424">
        <f t="shared" si="20"/>
        <v>0</v>
      </c>
      <c r="P61" s="424">
        <f t="shared" si="20"/>
        <v>0</v>
      </c>
      <c r="Q61" s="424">
        <f t="shared" si="20"/>
        <v>0</v>
      </c>
      <c r="R61" s="424">
        <f t="shared" si="20"/>
        <v>0</v>
      </c>
      <c r="S61" s="424">
        <f t="shared" si="20"/>
        <v>0</v>
      </c>
      <c r="T61" s="424">
        <f t="shared" si="20"/>
        <v>0</v>
      </c>
      <c r="U61" s="424">
        <f t="shared" si="20"/>
        <v>0</v>
      </c>
      <c r="V61" s="424">
        <f t="shared" si="20"/>
        <v>0</v>
      </c>
      <c r="W61" s="424">
        <f t="shared" si="20"/>
        <v>0</v>
      </c>
      <c r="X61" s="424">
        <f t="shared" si="20"/>
        <v>0</v>
      </c>
      <c r="Y61" s="424">
        <f t="shared" si="20"/>
        <v>0</v>
      </c>
      <c r="Z61" s="424">
        <f t="shared" si="20"/>
        <v>0</v>
      </c>
      <c r="AA61" s="424">
        <f t="shared" si="20"/>
        <v>0</v>
      </c>
      <c r="AB61" s="424">
        <f t="shared" si="20"/>
        <v>0</v>
      </c>
      <c r="AC61" s="424">
        <f t="shared" si="20"/>
        <v>0</v>
      </c>
      <c r="AD61" s="424">
        <f t="shared" si="20"/>
        <v>0</v>
      </c>
      <c r="AE61" s="424">
        <f t="shared" si="20"/>
        <v>0</v>
      </c>
      <c r="AF61" s="424">
        <f t="shared" si="20"/>
        <v>0</v>
      </c>
      <c r="AG61" s="424">
        <f t="shared" si="20"/>
        <v>0</v>
      </c>
      <c r="AH61" s="424">
        <f t="shared" si="20"/>
        <v>0</v>
      </c>
      <c r="AI61" s="424">
        <f t="shared" si="20"/>
        <v>0</v>
      </c>
      <c r="AJ61" s="424">
        <f t="shared" si="20"/>
        <v>0</v>
      </c>
      <c r="AK61" s="424">
        <f t="shared" si="20"/>
        <v>0</v>
      </c>
    </row>
    <row r="62" spans="2:37">
      <c r="B62" s="431">
        <v>24</v>
      </c>
      <c r="C62" s="422" t="s">
        <v>549</v>
      </c>
      <c r="D62" s="422" t="s">
        <v>134</v>
      </c>
      <c r="E62" s="424">
        <f>SUM(H62:AP62)</f>
        <v>0</v>
      </c>
      <c r="H62" s="424">
        <f>H333</f>
        <v>0</v>
      </c>
      <c r="I62" s="424">
        <f t="shared" ref="I62:AK62" si="21">I333</f>
        <v>0</v>
      </c>
      <c r="J62" s="424">
        <f t="shared" si="21"/>
        <v>0</v>
      </c>
      <c r="K62" s="424">
        <f t="shared" si="21"/>
        <v>0</v>
      </c>
      <c r="L62" s="424">
        <f t="shared" si="21"/>
        <v>0</v>
      </c>
      <c r="M62" s="424">
        <f t="shared" si="21"/>
        <v>0</v>
      </c>
      <c r="N62" s="424">
        <f t="shared" si="21"/>
        <v>0</v>
      </c>
      <c r="O62" s="424">
        <f t="shared" si="21"/>
        <v>0</v>
      </c>
      <c r="P62" s="424">
        <f t="shared" si="21"/>
        <v>0</v>
      </c>
      <c r="Q62" s="424">
        <f t="shared" si="21"/>
        <v>0</v>
      </c>
      <c r="R62" s="424">
        <f t="shared" si="21"/>
        <v>0</v>
      </c>
      <c r="S62" s="424">
        <f t="shared" si="21"/>
        <v>0</v>
      </c>
      <c r="T62" s="424">
        <f t="shared" si="21"/>
        <v>0</v>
      </c>
      <c r="U62" s="424">
        <f t="shared" si="21"/>
        <v>0</v>
      </c>
      <c r="V62" s="424">
        <f t="shared" si="21"/>
        <v>0</v>
      </c>
      <c r="W62" s="424">
        <f t="shared" si="21"/>
        <v>0</v>
      </c>
      <c r="X62" s="424">
        <f t="shared" si="21"/>
        <v>0</v>
      </c>
      <c r="Y62" s="424">
        <f t="shared" si="21"/>
        <v>0</v>
      </c>
      <c r="Z62" s="424">
        <f t="shared" si="21"/>
        <v>0</v>
      </c>
      <c r="AA62" s="424">
        <f t="shared" si="21"/>
        <v>0</v>
      </c>
      <c r="AB62" s="424">
        <f t="shared" si="21"/>
        <v>0</v>
      </c>
      <c r="AC62" s="424">
        <f t="shared" si="21"/>
        <v>0</v>
      </c>
      <c r="AD62" s="424">
        <f t="shared" si="21"/>
        <v>0</v>
      </c>
      <c r="AE62" s="424">
        <f t="shared" si="21"/>
        <v>0</v>
      </c>
      <c r="AF62" s="424">
        <f t="shared" si="21"/>
        <v>0</v>
      </c>
      <c r="AG62" s="424">
        <f t="shared" si="21"/>
        <v>0</v>
      </c>
      <c r="AH62" s="424">
        <f t="shared" si="21"/>
        <v>0</v>
      </c>
      <c r="AI62" s="424">
        <f t="shared" si="21"/>
        <v>0</v>
      </c>
      <c r="AJ62" s="424">
        <f t="shared" si="21"/>
        <v>0</v>
      </c>
      <c r="AK62" s="424">
        <f t="shared" si="21"/>
        <v>0</v>
      </c>
    </row>
    <row r="63" spans="2:37">
      <c r="B63" s="431">
        <v>25</v>
      </c>
      <c r="C63" s="422" t="s">
        <v>550</v>
      </c>
      <c r="D63" s="422" t="s">
        <v>134</v>
      </c>
      <c r="H63" s="424">
        <f>SUM($H62:H62)</f>
        <v>0</v>
      </c>
      <c r="I63" s="424">
        <f>SUM($H62:I62)</f>
        <v>0</v>
      </c>
      <c r="J63" s="424">
        <f>SUM($H62:J62)</f>
        <v>0</v>
      </c>
      <c r="K63" s="424">
        <f>SUM($H62:K62)</f>
        <v>0</v>
      </c>
      <c r="L63" s="424">
        <f>SUM($H62:L62)</f>
        <v>0</v>
      </c>
      <c r="M63" s="424">
        <f>SUM($H62:M62)</f>
        <v>0</v>
      </c>
      <c r="N63" s="424">
        <f>SUM($H62:N62)</f>
        <v>0</v>
      </c>
      <c r="O63" s="424">
        <f>SUM($H62:O62)</f>
        <v>0</v>
      </c>
      <c r="P63" s="424">
        <f>SUM($H62:P62)</f>
        <v>0</v>
      </c>
      <c r="Q63" s="424">
        <f>SUM($H62:Q62)</f>
        <v>0</v>
      </c>
      <c r="R63" s="424">
        <f>SUM($H62:R62)</f>
        <v>0</v>
      </c>
      <c r="S63" s="424">
        <f>SUM($H62:S62)</f>
        <v>0</v>
      </c>
      <c r="T63" s="424">
        <f>SUM($H62:T62)</f>
        <v>0</v>
      </c>
      <c r="U63" s="424">
        <f>SUM($H62:U62)</f>
        <v>0</v>
      </c>
      <c r="V63" s="424">
        <f>SUM($H62:V62)</f>
        <v>0</v>
      </c>
      <c r="W63" s="424">
        <f>SUM($H62:W62)</f>
        <v>0</v>
      </c>
      <c r="X63" s="424">
        <f>SUM($H62:X62)</f>
        <v>0</v>
      </c>
      <c r="Y63" s="424">
        <f>SUM($H62:Y62)</f>
        <v>0</v>
      </c>
      <c r="Z63" s="424">
        <f>SUM($H62:Z62)</f>
        <v>0</v>
      </c>
      <c r="AA63" s="424">
        <f>SUM($H62:AA62)</f>
        <v>0</v>
      </c>
      <c r="AB63" s="424">
        <f>SUM($H62:AB62)</f>
        <v>0</v>
      </c>
      <c r="AC63" s="424">
        <f>SUM($H62:AC62)</f>
        <v>0</v>
      </c>
      <c r="AD63" s="424">
        <f>SUM($H62:AD62)</f>
        <v>0</v>
      </c>
      <c r="AE63" s="424">
        <f>SUM($H62:AE62)</f>
        <v>0</v>
      </c>
      <c r="AF63" s="424">
        <f>SUM($H62:AF62)</f>
        <v>0</v>
      </c>
      <c r="AG63" s="424">
        <f>SUM($H62:AG62)</f>
        <v>0</v>
      </c>
      <c r="AH63" s="424">
        <f>SUM($H62:AH62)</f>
        <v>0</v>
      </c>
      <c r="AI63" s="424">
        <f>SUM($H62:AI62)</f>
        <v>0</v>
      </c>
      <c r="AJ63" s="424">
        <f>SUM($H62:AJ62)</f>
        <v>0</v>
      </c>
      <c r="AK63" s="424">
        <f>SUM($H62:AK62)</f>
        <v>0</v>
      </c>
    </row>
    <row r="64" spans="2:37">
      <c r="B64" s="431">
        <v>26</v>
      </c>
      <c r="C64" s="422" t="s">
        <v>551</v>
      </c>
      <c r="D64" s="422" t="s">
        <v>134</v>
      </c>
      <c r="H64" s="424">
        <f>H60+H61-H62</f>
        <v>0</v>
      </c>
      <c r="I64" s="424">
        <f t="shared" ref="I64:AK64" si="22">I60+I61-I62</f>
        <v>0</v>
      </c>
      <c r="J64" s="424">
        <f t="shared" si="22"/>
        <v>0</v>
      </c>
      <c r="K64" s="424">
        <f t="shared" si="22"/>
        <v>0</v>
      </c>
      <c r="L64" s="424">
        <f t="shared" si="22"/>
        <v>0</v>
      </c>
      <c r="M64" s="424">
        <f t="shared" si="22"/>
        <v>0</v>
      </c>
      <c r="N64" s="424">
        <f t="shared" si="22"/>
        <v>0</v>
      </c>
      <c r="O64" s="424">
        <f t="shared" si="22"/>
        <v>0</v>
      </c>
      <c r="P64" s="424">
        <f t="shared" si="22"/>
        <v>0</v>
      </c>
      <c r="Q64" s="424">
        <f t="shared" si="22"/>
        <v>0</v>
      </c>
      <c r="R64" s="424">
        <f t="shared" si="22"/>
        <v>0</v>
      </c>
      <c r="S64" s="424">
        <f t="shared" si="22"/>
        <v>0</v>
      </c>
      <c r="T64" s="424">
        <f t="shared" si="22"/>
        <v>0</v>
      </c>
      <c r="U64" s="424">
        <f t="shared" si="22"/>
        <v>0</v>
      </c>
      <c r="V64" s="424">
        <f t="shared" si="22"/>
        <v>0</v>
      </c>
      <c r="W64" s="424">
        <f t="shared" si="22"/>
        <v>0</v>
      </c>
      <c r="X64" s="424">
        <f t="shared" si="22"/>
        <v>0</v>
      </c>
      <c r="Y64" s="424">
        <f t="shared" si="22"/>
        <v>0</v>
      </c>
      <c r="Z64" s="424">
        <f t="shared" si="22"/>
        <v>0</v>
      </c>
      <c r="AA64" s="424">
        <f t="shared" si="22"/>
        <v>0</v>
      </c>
      <c r="AB64" s="424">
        <f t="shared" si="22"/>
        <v>0</v>
      </c>
      <c r="AC64" s="424">
        <f t="shared" si="22"/>
        <v>0</v>
      </c>
      <c r="AD64" s="424">
        <f t="shared" si="22"/>
        <v>0</v>
      </c>
      <c r="AE64" s="424">
        <f t="shared" si="22"/>
        <v>0</v>
      </c>
      <c r="AF64" s="424">
        <f t="shared" si="22"/>
        <v>0</v>
      </c>
      <c r="AG64" s="424">
        <f t="shared" si="22"/>
        <v>0</v>
      </c>
      <c r="AH64" s="424">
        <f t="shared" si="22"/>
        <v>0</v>
      </c>
      <c r="AI64" s="424">
        <f t="shared" si="22"/>
        <v>0</v>
      </c>
      <c r="AJ64" s="424">
        <f t="shared" si="22"/>
        <v>0</v>
      </c>
      <c r="AK64" s="424">
        <f t="shared" si="22"/>
        <v>0</v>
      </c>
    </row>
    <row r="65" spans="2:37">
      <c r="B65" s="431">
        <v>27</v>
      </c>
      <c r="C65" s="191" t="str">
        <f>C15</f>
        <v>Railway Siding</v>
      </c>
      <c r="F65" s="423">
        <v>0.05</v>
      </c>
    </row>
    <row r="66" spans="2:37">
      <c r="B66" s="431">
        <v>28</v>
      </c>
      <c r="C66" s="422" t="s">
        <v>547</v>
      </c>
      <c r="D66" s="422" t="s">
        <v>134</v>
      </c>
      <c r="H66" s="424">
        <f>G70</f>
        <v>0</v>
      </c>
      <c r="I66" s="424">
        <f t="shared" ref="I66:AK66" si="23">H70</f>
        <v>0</v>
      </c>
      <c r="J66" s="424">
        <f t="shared" si="23"/>
        <v>0</v>
      </c>
      <c r="K66" s="424">
        <f t="shared" si="23"/>
        <v>0</v>
      </c>
      <c r="L66" s="424">
        <f t="shared" si="23"/>
        <v>0</v>
      </c>
      <c r="M66" s="424">
        <f t="shared" si="23"/>
        <v>0</v>
      </c>
      <c r="N66" s="424">
        <f t="shared" si="23"/>
        <v>0</v>
      </c>
      <c r="O66" s="424">
        <f t="shared" si="23"/>
        <v>0</v>
      </c>
      <c r="P66" s="424">
        <f t="shared" si="23"/>
        <v>0</v>
      </c>
      <c r="Q66" s="424">
        <f t="shared" si="23"/>
        <v>0</v>
      </c>
      <c r="R66" s="424">
        <f t="shared" si="23"/>
        <v>0</v>
      </c>
      <c r="S66" s="424">
        <f t="shared" si="23"/>
        <v>0</v>
      </c>
      <c r="T66" s="424">
        <f t="shared" si="23"/>
        <v>0</v>
      </c>
      <c r="U66" s="424">
        <f t="shared" si="23"/>
        <v>0</v>
      </c>
      <c r="V66" s="424">
        <f t="shared" si="23"/>
        <v>0</v>
      </c>
      <c r="W66" s="424">
        <f t="shared" si="23"/>
        <v>0</v>
      </c>
      <c r="X66" s="424">
        <f t="shared" si="23"/>
        <v>0</v>
      </c>
      <c r="Y66" s="424">
        <f t="shared" si="23"/>
        <v>0</v>
      </c>
      <c r="Z66" s="424">
        <f t="shared" si="23"/>
        <v>0</v>
      </c>
      <c r="AA66" s="424">
        <f t="shared" si="23"/>
        <v>0</v>
      </c>
      <c r="AB66" s="424">
        <f t="shared" si="23"/>
        <v>0</v>
      </c>
      <c r="AC66" s="424">
        <f t="shared" si="23"/>
        <v>0</v>
      </c>
      <c r="AD66" s="424">
        <f t="shared" si="23"/>
        <v>0</v>
      </c>
      <c r="AE66" s="424">
        <f t="shared" si="23"/>
        <v>0</v>
      </c>
      <c r="AF66" s="424">
        <f t="shared" si="23"/>
        <v>0</v>
      </c>
      <c r="AG66" s="424">
        <f t="shared" si="23"/>
        <v>0</v>
      </c>
      <c r="AH66" s="424">
        <f t="shared" si="23"/>
        <v>0</v>
      </c>
      <c r="AI66" s="424">
        <f t="shared" si="23"/>
        <v>0</v>
      </c>
      <c r="AJ66" s="424">
        <f t="shared" si="23"/>
        <v>0</v>
      </c>
      <c r="AK66" s="424">
        <f t="shared" si="23"/>
        <v>0</v>
      </c>
    </row>
    <row r="67" spans="2:37">
      <c r="B67" s="431">
        <v>29</v>
      </c>
      <c r="C67" s="422" t="s">
        <v>548</v>
      </c>
      <c r="D67" s="422" t="s">
        <v>134</v>
      </c>
      <c r="E67" s="424">
        <f>SUM(H67:AP67)</f>
        <v>0</v>
      </c>
      <c r="H67" s="424">
        <f>H15</f>
        <v>0</v>
      </c>
      <c r="I67" s="424">
        <f t="shared" ref="I67:AK67" si="24">I15</f>
        <v>0</v>
      </c>
      <c r="J67" s="424">
        <f t="shared" si="24"/>
        <v>0</v>
      </c>
      <c r="K67" s="424">
        <f t="shared" si="24"/>
        <v>0</v>
      </c>
      <c r="L67" s="424">
        <f t="shared" si="24"/>
        <v>0</v>
      </c>
      <c r="M67" s="424">
        <f t="shared" si="24"/>
        <v>0</v>
      </c>
      <c r="N67" s="424">
        <f t="shared" si="24"/>
        <v>0</v>
      </c>
      <c r="O67" s="424">
        <f t="shared" si="24"/>
        <v>0</v>
      </c>
      <c r="P67" s="424">
        <f t="shared" si="24"/>
        <v>0</v>
      </c>
      <c r="Q67" s="424">
        <f t="shared" si="24"/>
        <v>0</v>
      </c>
      <c r="R67" s="424">
        <f t="shared" si="24"/>
        <v>0</v>
      </c>
      <c r="S67" s="424">
        <f t="shared" si="24"/>
        <v>0</v>
      </c>
      <c r="T67" s="424">
        <f t="shared" si="24"/>
        <v>0</v>
      </c>
      <c r="U67" s="424">
        <f t="shared" si="24"/>
        <v>0</v>
      </c>
      <c r="V67" s="424">
        <f t="shared" si="24"/>
        <v>0</v>
      </c>
      <c r="W67" s="424">
        <f t="shared" si="24"/>
        <v>0</v>
      </c>
      <c r="X67" s="424">
        <f t="shared" si="24"/>
        <v>0</v>
      </c>
      <c r="Y67" s="424">
        <f t="shared" si="24"/>
        <v>0</v>
      </c>
      <c r="Z67" s="424">
        <f t="shared" si="24"/>
        <v>0</v>
      </c>
      <c r="AA67" s="424">
        <f t="shared" si="24"/>
        <v>0</v>
      </c>
      <c r="AB67" s="424">
        <f t="shared" si="24"/>
        <v>0</v>
      </c>
      <c r="AC67" s="424">
        <f t="shared" si="24"/>
        <v>0</v>
      </c>
      <c r="AD67" s="424">
        <f t="shared" si="24"/>
        <v>0</v>
      </c>
      <c r="AE67" s="424">
        <f t="shared" si="24"/>
        <v>0</v>
      </c>
      <c r="AF67" s="424">
        <f t="shared" si="24"/>
        <v>0</v>
      </c>
      <c r="AG67" s="424">
        <f t="shared" si="24"/>
        <v>0</v>
      </c>
      <c r="AH67" s="424">
        <f t="shared" si="24"/>
        <v>0</v>
      </c>
      <c r="AI67" s="424">
        <f t="shared" si="24"/>
        <v>0</v>
      </c>
      <c r="AJ67" s="424">
        <f t="shared" si="24"/>
        <v>0</v>
      </c>
      <c r="AK67" s="424">
        <f t="shared" si="24"/>
        <v>0</v>
      </c>
    </row>
    <row r="68" spans="2:37">
      <c r="B68" s="431">
        <v>30</v>
      </c>
      <c r="C68" s="422" t="s">
        <v>549</v>
      </c>
      <c r="D68" s="422" t="s">
        <v>134</v>
      </c>
      <c r="E68" s="424">
        <f>SUM(H68:AP68)</f>
        <v>0</v>
      </c>
      <c r="H68" s="424">
        <f>H368</f>
        <v>0</v>
      </c>
      <c r="I68" s="424">
        <f t="shared" ref="I68:AK68" si="25">I368</f>
        <v>0</v>
      </c>
      <c r="J68" s="424">
        <f t="shared" si="25"/>
        <v>0</v>
      </c>
      <c r="K68" s="424">
        <f t="shared" si="25"/>
        <v>0</v>
      </c>
      <c r="L68" s="424">
        <f t="shared" si="25"/>
        <v>0</v>
      </c>
      <c r="M68" s="424">
        <f t="shared" si="25"/>
        <v>0</v>
      </c>
      <c r="N68" s="424">
        <f t="shared" si="25"/>
        <v>0</v>
      </c>
      <c r="O68" s="424">
        <f t="shared" si="25"/>
        <v>0</v>
      </c>
      <c r="P68" s="424">
        <f t="shared" si="25"/>
        <v>0</v>
      </c>
      <c r="Q68" s="424">
        <f t="shared" si="25"/>
        <v>0</v>
      </c>
      <c r="R68" s="424">
        <f t="shared" si="25"/>
        <v>0</v>
      </c>
      <c r="S68" s="424">
        <f t="shared" si="25"/>
        <v>0</v>
      </c>
      <c r="T68" s="424">
        <f t="shared" si="25"/>
        <v>0</v>
      </c>
      <c r="U68" s="424">
        <f t="shared" si="25"/>
        <v>0</v>
      </c>
      <c r="V68" s="424">
        <f t="shared" si="25"/>
        <v>0</v>
      </c>
      <c r="W68" s="424">
        <f t="shared" si="25"/>
        <v>0</v>
      </c>
      <c r="X68" s="424">
        <f t="shared" si="25"/>
        <v>0</v>
      </c>
      <c r="Y68" s="424">
        <f t="shared" si="25"/>
        <v>0</v>
      </c>
      <c r="Z68" s="424">
        <f t="shared" si="25"/>
        <v>0</v>
      </c>
      <c r="AA68" s="424">
        <f t="shared" si="25"/>
        <v>0</v>
      </c>
      <c r="AB68" s="424">
        <f t="shared" si="25"/>
        <v>0</v>
      </c>
      <c r="AC68" s="424">
        <f t="shared" si="25"/>
        <v>0</v>
      </c>
      <c r="AD68" s="424">
        <f t="shared" si="25"/>
        <v>0</v>
      </c>
      <c r="AE68" s="424">
        <f t="shared" si="25"/>
        <v>0</v>
      </c>
      <c r="AF68" s="424">
        <f t="shared" si="25"/>
        <v>0</v>
      </c>
      <c r="AG68" s="424">
        <f t="shared" si="25"/>
        <v>0</v>
      </c>
      <c r="AH68" s="424">
        <f t="shared" si="25"/>
        <v>0</v>
      </c>
      <c r="AI68" s="424">
        <f t="shared" si="25"/>
        <v>0</v>
      </c>
      <c r="AJ68" s="424">
        <f t="shared" si="25"/>
        <v>0</v>
      </c>
      <c r="AK68" s="424">
        <f t="shared" si="25"/>
        <v>0</v>
      </c>
    </row>
    <row r="69" spans="2:37">
      <c r="B69" s="431">
        <v>31</v>
      </c>
      <c r="C69" s="422" t="s">
        <v>550</v>
      </c>
      <c r="D69" s="422" t="s">
        <v>134</v>
      </c>
      <c r="H69" s="424">
        <f>SUM($H68:H68)</f>
        <v>0</v>
      </c>
      <c r="I69" s="424">
        <f>SUM($H68:I68)</f>
        <v>0</v>
      </c>
      <c r="J69" s="424">
        <f>SUM($H68:J68)</f>
        <v>0</v>
      </c>
      <c r="K69" s="424">
        <f>SUM($H68:K68)</f>
        <v>0</v>
      </c>
      <c r="L69" s="424">
        <f>SUM($H68:L68)</f>
        <v>0</v>
      </c>
      <c r="M69" s="424">
        <f>SUM($H68:M68)</f>
        <v>0</v>
      </c>
      <c r="N69" s="424">
        <f>SUM($H68:N68)</f>
        <v>0</v>
      </c>
      <c r="O69" s="424">
        <f>SUM($H68:O68)</f>
        <v>0</v>
      </c>
      <c r="P69" s="424">
        <f>SUM($H68:P68)</f>
        <v>0</v>
      </c>
      <c r="Q69" s="424">
        <f>SUM($H68:Q68)</f>
        <v>0</v>
      </c>
      <c r="R69" s="424">
        <f>SUM($H68:R68)</f>
        <v>0</v>
      </c>
      <c r="S69" s="424">
        <f>SUM($H68:S68)</f>
        <v>0</v>
      </c>
      <c r="T69" s="424">
        <f>SUM($H68:T68)</f>
        <v>0</v>
      </c>
      <c r="U69" s="424">
        <f>SUM($H68:U68)</f>
        <v>0</v>
      </c>
      <c r="V69" s="424">
        <f>SUM($H68:V68)</f>
        <v>0</v>
      </c>
      <c r="W69" s="424">
        <f>SUM($H68:W68)</f>
        <v>0</v>
      </c>
      <c r="X69" s="424">
        <f>SUM($H68:X68)</f>
        <v>0</v>
      </c>
      <c r="Y69" s="424">
        <f>SUM($H68:Y68)</f>
        <v>0</v>
      </c>
      <c r="Z69" s="424">
        <f>SUM($H68:Z68)</f>
        <v>0</v>
      </c>
      <c r="AA69" s="424">
        <f>SUM($H68:AA68)</f>
        <v>0</v>
      </c>
      <c r="AB69" s="424">
        <f>SUM($H68:AB68)</f>
        <v>0</v>
      </c>
      <c r="AC69" s="424">
        <f>SUM($H68:AC68)</f>
        <v>0</v>
      </c>
      <c r="AD69" s="424">
        <f>SUM($H68:AD68)</f>
        <v>0</v>
      </c>
      <c r="AE69" s="424">
        <f>SUM($H68:AE68)</f>
        <v>0</v>
      </c>
      <c r="AF69" s="424">
        <f>SUM($H68:AF68)</f>
        <v>0</v>
      </c>
      <c r="AG69" s="424">
        <f>SUM($H68:AG68)</f>
        <v>0</v>
      </c>
      <c r="AH69" s="424">
        <f>SUM($H68:AH68)</f>
        <v>0</v>
      </c>
      <c r="AI69" s="424">
        <f>SUM($H68:AI68)</f>
        <v>0</v>
      </c>
      <c r="AJ69" s="424">
        <f>SUM($H68:AJ68)</f>
        <v>0</v>
      </c>
      <c r="AK69" s="424">
        <f>SUM($H68:AK68)</f>
        <v>0</v>
      </c>
    </row>
    <row r="70" spans="2:37">
      <c r="B70" s="431">
        <v>32</v>
      </c>
      <c r="C70" s="422" t="s">
        <v>551</v>
      </c>
      <c r="D70" s="422" t="s">
        <v>134</v>
      </c>
      <c r="H70" s="424">
        <f>H66+H67-H68</f>
        <v>0</v>
      </c>
      <c r="I70" s="424">
        <f t="shared" ref="I70:AK70" si="26">I66+I67-I68</f>
        <v>0</v>
      </c>
      <c r="J70" s="424">
        <f t="shared" si="26"/>
        <v>0</v>
      </c>
      <c r="K70" s="424">
        <f t="shared" si="26"/>
        <v>0</v>
      </c>
      <c r="L70" s="424">
        <f t="shared" si="26"/>
        <v>0</v>
      </c>
      <c r="M70" s="424">
        <f t="shared" si="26"/>
        <v>0</v>
      </c>
      <c r="N70" s="424">
        <f t="shared" si="26"/>
        <v>0</v>
      </c>
      <c r="O70" s="424">
        <f t="shared" si="26"/>
        <v>0</v>
      </c>
      <c r="P70" s="424">
        <f t="shared" si="26"/>
        <v>0</v>
      </c>
      <c r="Q70" s="424">
        <f t="shared" si="26"/>
        <v>0</v>
      </c>
      <c r="R70" s="424">
        <f t="shared" si="26"/>
        <v>0</v>
      </c>
      <c r="S70" s="424">
        <f t="shared" si="26"/>
        <v>0</v>
      </c>
      <c r="T70" s="424">
        <f t="shared" si="26"/>
        <v>0</v>
      </c>
      <c r="U70" s="424">
        <f t="shared" si="26"/>
        <v>0</v>
      </c>
      <c r="V70" s="424">
        <f t="shared" si="26"/>
        <v>0</v>
      </c>
      <c r="W70" s="424">
        <f t="shared" si="26"/>
        <v>0</v>
      </c>
      <c r="X70" s="424">
        <f t="shared" si="26"/>
        <v>0</v>
      </c>
      <c r="Y70" s="424">
        <f t="shared" si="26"/>
        <v>0</v>
      </c>
      <c r="Z70" s="424">
        <f t="shared" si="26"/>
        <v>0</v>
      </c>
      <c r="AA70" s="424">
        <f t="shared" si="26"/>
        <v>0</v>
      </c>
      <c r="AB70" s="424">
        <f t="shared" si="26"/>
        <v>0</v>
      </c>
      <c r="AC70" s="424">
        <f t="shared" si="26"/>
        <v>0</v>
      </c>
      <c r="AD70" s="424">
        <f t="shared" si="26"/>
        <v>0</v>
      </c>
      <c r="AE70" s="424">
        <f t="shared" si="26"/>
        <v>0</v>
      </c>
      <c r="AF70" s="424">
        <f t="shared" si="26"/>
        <v>0</v>
      </c>
      <c r="AG70" s="424">
        <f t="shared" si="26"/>
        <v>0</v>
      </c>
      <c r="AH70" s="424">
        <f t="shared" si="26"/>
        <v>0</v>
      </c>
      <c r="AI70" s="424">
        <f t="shared" si="26"/>
        <v>0</v>
      </c>
      <c r="AJ70" s="424">
        <f t="shared" si="26"/>
        <v>0</v>
      </c>
      <c r="AK70" s="424">
        <f t="shared" si="26"/>
        <v>0</v>
      </c>
    </row>
    <row r="71" spans="2:37">
      <c r="B71" s="431">
        <v>33</v>
      </c>
      <c r="C71" s="191" t="str">
        <f>C16</f>
        <v>Civil Infrastructure</v>
      </c>
      <c r="F71" s="423">
        <v>3.1699999999999999E-2</v>
      </c>
    </row>
    <row r="72" spans="2:37">
      <c r="B72" s="431">
        <v>34</v>
      </c>
      <c r="C72" s="422" t="s">
        <v>547</v>
      </c>
      <c r="D72" s="422" t="s">
        <v>134</v>
      </c>
      <c r="H72" s="424">
        <f>G76</f>
        <v>0</v>
      </c>
      <c r="I72" s="424">
        <f t="shared" ref="I72:AK72" si="27">H76</f>
        <v>0</v>
      </c>
      <c r="J72" s="424">
        <f t="shared" si="27"/>
        <v>0</v>
      </c>
      <c r="K72" s="424">
        <f t="shared" si="27"/>
        <v>0</v>
      </c>
      <c r="L72" s="424">
        <f t="shared" si="27"/>
        <v>0</v>
      </c>
      <c r="M72" s="424">
        <f t="shared" si="27"/>
        <v>0</v>
      </c>
      <c r="N72" s="424">
        <f t="shared" si="27"/>
        <v>0</v>
      </c>
      <c r="O72" s="424">
        <f t="shared" si="27"/>
        <v>0</v>
      </c>
      <c r="P72" s="424">
        <f t="shared" si="27"/>
        <v>0</v>
      </c>
      <c r="Q72" s="424">
        <f t="shared" si="27"/>
        <v>0</v>
      </c>
      <c r="R72" s="424">
        <f t="shared" si="27"/>
        <v>0</v>
      </c>
      <c r="S72" s="424">
        <f t="shared" si="27"/>
        <v>0</v>
      </c>
      <c r="T72" s="424">
        <f t="shared" si="27"/>
        <v>0</v>
      </c>
      <c r="U72" s="424">
        <f t="shared" si="27"/>
        <v>0</v>
      </c>
      <c r="V72" s="424">
        <f t="shared" si="27"/>
        <v>0</v>
      </c>
      <c r="W72" s="424">
        <f t="shared" si="27"/>
        <v>0</v>
      </c>
      <c r="X72" s="424">
        <f t="shared" si="27"/>
        <v>0</v>
      </c>
      <c r="Y72" s="424">
        <f t="shared" si="27"/>
        <v>0</v>
      </c>
      <c r="Z72" s="424">
        <f t="shared" si="27"/>
        <v>0</v>
      </c>
      <c r="AA72" s="424">
        <f t="shared" si="27"/>
        <v>0</v>
      </c>
      <c r="AB72" s="424">
        <f t="shared" si="27"/>
        <v>0</v>
      </c>
      <c r="AC72" s="424">
        <f t="shared" si="27"/>
        <v>0</v>
      </c>
      <c r="AD72" s="424">
        <f t="shared" si="27"/>
        <v>0</v>
      </c>
      <c r="AE72" s="424">
        <f t="shared" si="27"/>
        <v>0</v>
      </c>
      <c r="AF72" s="424">
        <f t="shared" si="27"/>
        <v>0</v>
      </c>
      <c r="AG72" s="424">
        <f t="shared" si="27"/>
        <v>0</v>
      </c>
      <c r="AH72" s="424">
        <f t="shared" si="27"/>
        <v>0</v>
      </c>
      <c r="AI72" s="424">
        <f t="shared" si="27"/>
        <v>0</v>
      </c>
      <c r="AJ72" s="424">
        <f t="shared" si="27"/>
        <v>0</v>
      </c>
      <c r="AK72" s="424">
        <f t="shared" si="27"/>
        <v>0</v>
      </c>
    </row>
    <row r="73" spans="2:37">
      <c r="B73" s="431">
        <v>35</v>
      </c>
      <c r="C73" s="422" t="s">
        <v>548</v>
      </c>
      <c r="D73" s="422" t="s">
        <v>134</v>
      </c>
      <c r="E73" s="424">
        <f>SUM(H73:AP73)</f>
        <v>0</v>
      </c>
      <c r="H73" s="424">
        <f>H16+H27</f>
        <v>0</v>
      </c>
      <c r="I73" s="424">
        <f t="shared" ref="I73:AK73" si="28">I16+I27</f>
        <v>0</v>
      </c>
      <c r="J73" s="424">
        <f t="shared" si="28"/>
        <v>0</v>
      </c>
      <c r="K73" s="424">
        <f t="shared" si="28"/>
        <v>0</v>
      </c>
      <c r="L73" s="424">
        <f t="shared" si="28"/>
        <v>0</v>
      </c>
      <c r="M73" s="424">
        <f t="shared" si="28"/>
        <v>0</v>
      </c>
      <c r="N73" s="424">
        <f t="shared" si="28"/>
        <v>0</v>
      </c>
      <c r="O73" s="424">
        <f t="shared" si="28"/>
        <v>0</v>
      </c>
      <c r="P73" s="424">
        <f t="shared" si="28"/>
        <v>0</v>
      </c>
      <c r="Q73" s="424">
        <f t="shared" si="28"/>
        <v>0</v>
      </c>
      <c r="R73" s="424">
        <f t="shared" si="28"/>
        <v>0</v>
      </c>
      <c r="S73" s="424">
        <f t="shared" si="28"/>
        <v>0</v>
      </c>
      <c r="T73" s="424">
        <f t="shared" si="28"/>
        <v>0</v>
      </c>
      <c r="U73" s="424">
        <f t="shared" si="28"/>
        <v>0</v>
      </c>
      <c r="V73" s="424">
        <f t="shared" si="28"/>
        <v>0</v>
      </c>
      <c r="W73" s="424">
        <f t="shared" si="28"/>
        <v>0</v>
      </c>
      <c r="X73" s="424">
        <f t="shared" si="28"/>
        <v>0</v>
      </c>
      <c r="Y73" s="424">
        <f t="shared" si="28"/>
        <v>0</v>
      </c>
      <c r="Z73" s="424">
        <f t="shared" si="28"/>
        <v>0</v>
      </c>
      <c r="AA73" s="424">
        <f t="shared" si="28"/>
        <v>0</v>
      </c>
      <c r="AB73" s="424">
        <f t="shared" si="28"/>
        <v>0</v>
      </c>
      <c r="AC73" s="424">
        <f t="shared" si="28"/>
        <v>0</v>
      </c>
      <c r="AD73" s="424">
        <f t="shared" si="28"/>
        <v>0</v>
      </c>
      <c r="AE73" s="424">
        <f t="shared" si="28"/>
        <v>0</v>
      </c>
      <c r="AF73" s="424">
        <f t="shared" si="28"/>
        <v>0</v>
      </c>
      <c r="AG73" s="424">
        <f t="shared" si="28"/>
        <v>0</v>
      </c>
      <c r="AH73" s="424">
        <f t="shared" si="28"/>
        <v>0</v>
      </c>
      <c r="AI73" s="424">
        <f t="shared" si="28"/>
        <v>0</v>
      </c>
      <c r="AJ73" s="424">
        <f t="shared" si="28"/>
        <v>0</v>
      </c>
      <c r="AK73" s="424">
        <f t="shared" si="28"/>
        <v>0</v>
      </c>
    </row>
    <row r="74" spans="2:37">
      <c r="B74" s="431">
        <v>36</v>
      </c>
      <c r="C74" s="422" t="s">
        <v>549</v>
      </c>
      <c r="D74" s="422" t="s">
        <v>134</v>
      </c>
      <c r="E74" s="424">
        <f>SUM(H74:AP74)</f>
        <v>0</v>
      </c>
      <c r="H74" s="424">
        <f>H403</f>
        <v>0</v>
      </c>
      <c r="I74" s="424">
        <f t="shared" ref="I74:AK74" si="29">I403</f>
        <v>0</v>
      </c>
      <c r="J74" s="424">
        <f t="shared" si="29"/>
        <v>0</v>
      </c>
      <c r="K74" s="424">
        <f t="shared" si="29"/>
        <v>0</v>
      </c>
      <c r="L74" s="424">
        <f t="shared" si="29"/>
        <v>0</v>
      </c>
      <c r="M74" s="424">
        <f t="shared" si="29"/>
        <v>0</v>
      </c>
      <c r="N74" s="424">
        <f t="shared" si="29"/>
        <v>0</v>
      </c>
      <c r="O74" s="424">
        <f t="shared" si="29"/>
        <v>0</v>
      </c>
      <c r="P74" s="424">
        <f t="shared" si="29"/>
        <v>0</v>
      </c>
      <c r="Q74" s="424">
        <f t="shared" si="29"/>
        <v>0</v>
      </c>
      <c r="R74" s="424">
        <f t="shared" si="29"/>
        <v>0</v>
      </c>
      <c r="S74" s="424">
        <f t="shared" si="29"/>
        <v>0</v>
      </c>
      <c r="T74" s="424">
        <f t="shared" si="29"/>
        <v>0</v>
      </c>
      <c r="U74" s="424">
        <f t="shared" si="29"/>
        <v>0</v>
      </c>
      <c r="V74" s="424">
        <f t="shared" si="29"/>
        <v>0</v>
      </c>
      <c r="W74" s="424">
        <f t="shared" si="29"/>
        <v>0</v>
      </c>
      <c r="X74" s="424">
        <f t="shared" si="29"/>
        <v>0</v>
      </c>
      <c r="Y74" s="424">
        <f t="shared" si="29"/>
        <v>0</v>
      </c>
      <c r="Z74" s="424">
        <f t="shared" si="29"/>
        <v>0</v>
      </c>
      <c r="AA74" s="424">
        <f t="shared" si="29"/>
        <v>0</v>
      </c>
      <c r="AB74" s="424">
        <f t="shared" si="29"/>
        <v>0</v>
      </c>
      <c r="AC74" s="424">
        <f t="shared" si="29"/>
        <v>0</v>
      </c>
      <c r="AD74" s="424">
        <f t="shared" si="29"/>
        <v>0</v>
      </c>
      <c r="AE74" s="424">
        <f t="shared" si="29"/>
        <v>0</v>
      </c>
      <c r="AF74" s="424">
        <f t="shared" si="29"/>
        <v>0</v>
      </c>
      <c r="AG74" s="424">
        <f t="shared" si="29"/>
        <v>0</v>
      </c>
      <c r="AH74" s="424">
        <f t="shared" si="29"/>
        <v>0</v>
      </c>
      <c r="AI74" s="424">
        <f t="shared" si="29"/>
        <v>0</v>
      </c>
      <c r="AJ74" s="424">
        <f t="shared" si="29"/>
        <v>0</v>
      </c>
      <c r="AK74" s="424">
        <f t="shared" si="29"/>
        <v>0</v>
      </c>
    </row>
    <row r="75" spans="2:37">
      <c r="B75" s="431">
        <v>37</v>
      </c>
      <c r="C75" s="422" t="s">
        <v>550</v>
      </c>
      <c r="D75" s="422" t="s">
        <v>134</v>
      </c>
      <c r="H75" s="424">
        <f>SUM($H74:H74)</f>
        <v>0</v>
      </c>
      <c r="I75" s="424">
        <f>SUM($H74:I74)</f>
        <v>0</v>
      </c>
      <c r="J75" s="424">
        <f>SUM($H74:J74)</f>
        <v>0</v>
      </c>
      <c r="K75" s="424">
        <f>SUM($H74:K74)</f>
        <v>0</v>
      </c>
      <c r="L75" s="424">
        <f>SUM($H74:L74)</f>
        <v>0</v>
      </c>
      <c r="M75" s="424">
        <f>SUM($H74:M74)</f>
        <v>0</v>
      </c>
      <c r="N75" s="424">
        <f>SUM($H74:N74)</f>
        <v>0</v>
      </c>
      <c r="O75" s="424">
        <f>SUM($H74:O74)</f>
        <v>0</v>
      </c>
      <c r="P75" s="424">
        <f>SUM($H74:P74)</f>
        <v>0</v>
      </c>
      <c r="Q75" s="424">
        <f>SUM($H74:Q74)</f>
        <v>0</v>
      </c>
      <c r="R75" s="424">
        <f>SUM($H74:R74)</f>
        <v>0</v>
      </c>
      <c r="S75" s="424">
        <f>SUM($H74:S74)</f>
        <v>0</v>
      </c>
      <c r="T75" s="424">
        <f>SUM($H74:T74)</f>
        <v>0</v>
      </c>
      <c r="U75" s="424">
        <f>SUM($H74:U74)</f>
        <v>0</v>
      </c>
      <c r="V75" s="424">
        <f>SUM($H74:V74)</f>
        <v>0</v>
      </c>
      <c r="W75" s="424">
        <f>SUM($H74:W74)</f>
        <v>0</v>
      </c>
      <c r="X75" s="424">
        <f>SUM($H74:X74)</f>
        <v>0</v>
      </c>
      <c r="Y75" s="424">
        <f>SUM($H74:Y74)</f>
        <v>0</v>
      </c>
      <c r="Z75" s="424">
        <f>SUM($H74:Z74)</f>
        <v>0</v>
      </c>
      <c r="AA75" s="424">
        <f>SUM($H74:AA74)</f>
        <v>0</v>
      </c>
      <c r="AB75" s="424">
        <f>SUM($H74:AB74)</f>
        <v>0</v>
      </c>
      <c r="AC75" s="424">
        <f>SUM($H74:AC74)</f>
        <v>0</v>
      </c>
      <c r="AD75" s="424">
        <f>SUM($H74:AD74)</f>
        <v>0</v>
      </c>
      <c r="AE75" s="424">
        <f>SUM($H74:AE74)</f>
        <v>0</v>
      </c>
      <c r="AF75" s="424">
        <f>SUM($H74:AF74)</f>
        <v>0</v>
      </c>
      <c r="AG75" s="424">
        <f>SUM($H74:AG74)</f>
        <v>0</v>
      </c>
      <c r="AH75" s="424">
        <f>SUM($H74:AH74)</f>
        <v>0</v>
      </c>
      <c r="AI75" s="424">
        <f>SUM($H74:AI74)</f>
        <v>0</v>
      </c>
      <c r="AJ75" s="424">
        <f>SUM($H74:AJ74)</f>
        <v>0</v>
      </c>
      <c r="AK75" s="424">
        <f>SUM($H74:AK74)</f>
        <v>0</v>
      </c>
    </row>
    <row r="76" spans="2:37">
      <c r="B76" s="431">
        <v>38</v>
      </c>
      <c r="C76" s="422" t="s">
        <v>551</v>
      </c>
      <c r="D76" s="422" t="s">
        <v>134</v>
      </c>
      <c r="H76" s="424">
        <f>H72+H73-H74</f>
        <v>0</v>
      </c>
      <c r="I76" s="424">
        <f t="shared" ref="I76:AK76" si="30">I72+I73-I74</f>
        <v>0</v>
      </c>
      <c r="J76" s="424">
        <f t="shared" si="30"/>
        <v>0</v>
      </c>
      <c r="K76" s="424">
        <f t="shared" si="30"/>
        <v>0</v>
      </c>
      <c r="L76" s="424">
        <f t="shared" si="30"/>
        <v>0</v>
      </c>
      <c r="M76" s="424">
        <f t="shared" si="30"/>
        <v>0</v>
      </c>
      <c r="N76" s="424">
        <f t="shared" si="30"/>
        <v>0</v>
      </c>
      <c r="O76" s="424">
        <f t="shared" si="30"/>
        <v>0</v>
      </c>
      <c r="P76" s="424">
        <f t="shared" si="30"/>
        <v>0</v>
      </c>
      <c r="Q76" s="424">
        <f t="shared" si="30"/>
        <v>0</v>
      </c>
      <c r="R76" s="424">
        <f t="shared" si="30"/>
        <v>0</v>
      </c>
      <c r="S76" s="424">
        <f t="shared" si="30"/>
        <v>0</v>
      </c>
      <c r="T76" s="424">
        <f t="shared" si="30"/>
        <v>0</v>
      </c>
      <c r="U76" s="424">
        <f t="shared" si="30"/>
        <v>0</v>
      </c>
      <c r="V76" s="424">
        <f t="shared" si="30"/>
        <v>0</v>
      </c>
      <c r="W76" s="424">
        <f t="shared" si="30"/>
        <v>0</v>
      </c>
      <c r="X76" s="424">
        <f t="shared" si="30"/>
        <v>0</v>
      </c>
      <c r="Y76" s="424">
        <f t="shared" si="30"/>
        <v>0</v>
      </c>
      <c r="Z76" s="424">
        <f t="shared" si="30"/>
        <v>0</v>
      </c>
      <c r="AA76" s="424">
        <f t="shared" si="30"/>
        <v>0</v>
      </c>
      <c r="AB76" s="424">
        <f t="shared" si="30"/>
        <v>0</v>
      </c>
      <c r="AC76" s="424">
        <f t="shared" si="30"/>
        <v>0</v>
      </c>
      <c r="AD76" s="424">
        <f t="shared" si="30"/>
        <v>0</v>
      </c>
      <c r="AE76" s="424">
        <f t="shared" si="30"/>
        <v>0</v>
      </c>
      <c r="AF76" s="424">
        <f t="shared" si="30"/>
        <v>0</v>
      </c>
      <c r="AG76" s="424">
        <f t="shared" si="30"/>
        <v>0</v>
      </c>
      <c r="AH76" s="424">
        <f t="shared" si="30"/>
        <v>0</v>
      </c>
      <c r="AI76" s="424">
        <f t="shared" si="30"/>
        <v>0</v>
      </c>
      <c r="AJ76" s="424">
        <f t="shared" si="30"/>
        <v>0</v>
      </c>
      <c r="AK76" s="424">
        <f t="shared" si="30"/>
        <v>0</v>
      </c>
    </row>
    <row r="77" spans="2:37">
      <c r="B77" s="431">
        <v>39</v>
      </c>
      <c r="C77" s="191" t="str">
        <f>C17</f>
        <v>Fire Fighting &amp; Dust Suppression</v>
      </c>
      <c r="F77" s="423">
        <v>6.6699999999999995E-2</v>
      </c>
    </row>
    <row r="78" spans="2:37">
      <c r="B78" s="431">
        <v>40</v>
      </c>
      <c r="C78" s="422" t="s">
        <v>547</v>
      </c>
      <c r="D78" s="422" t="s">
        <v>134</v>
      </c>
      <c r="H78" s="424">
        <f>G82</f>
        <v>0</v>
      </c>
      <c r="I78" s="424">
        <f t="shared" ref="I78:AK78" si="31">H82</f>
        <v>0</v>
      </c>
      <c r="J78" s="424">
        <f t="shared" si="31"/>
        <v>0</v>
      </c>
      <c r="K78" s="424">
        <f t="shared" si="31"/>
        <v>0</v>
      </c>
      <c r="L78" s="424">
        <f t="shared" si="31"/>
        <v>0</v>
      </c>
      <c r="M78" s="424">
        <f t="shared" si="31"/>
        <v>0</v>
      </c>
      <c r="N78" s="424">
        <f t="shared" si="31"/>
        <v>0</v>
      </c>
      <c r="O78" s="424">
        <f t="shared" si="31"/>
        <v>0</v>
      </c>
      <c r="P78" s="424">
        <f t="shared" si="31"/>
        <v>0</v>
      </c>
      <c r="Q78" s="424">
        <f t="shared" si="31"/>
        <v>0</v>
      </c>
      <c r="R78" s="424">
        <f t="shared" si="31"/>
        <v>0</v>
      </c>
      <c r="S78" s="424">
        <f t="shared" si="31"/>
        <v>0</v>
      </c>
      <c r="T78" s="424">
        <f t="shared" si="31"/>
        <v>0</v>
      </c>
      <c r="U78" s="424">
        <f t="shared" si="31"/>
        <v>0</v>
      </c>
      <c r="V78" s="424">
        <f t="shared" si="31"/>
        <v>0</v>
      </c>
      <c r="W78" s="424">
        <f t="shared" si="31"/>
        <v>0</v>
      </c>
      <c r="X78" s="424">
        <f t="shared" si="31"/>
        <v>0</v>
      </c>
      <c r="Y78" s="424">
        <f t="shared" si="31"/>
        <v>0</v>
      </c>
      <c r="Z78" s="424">
        <f t="shared" si="31"/>
        <v>0</v>
      </c>
      <c r="AA78" s="424">
        <f t="shared" si="31"/>
        <v>0</v>
      </c>
      <c r="AB78" s="424">
        <f t="shared" si="31"/>
        <v>0</v>
      </c>
      <c r="AC78" s="424">
        <f t="shared" si="31"/>
        <v>0</v>
      </c>
      <c r="AD78" s="424">
        <f t="shared" si="31"/>
        <v>0</v>
      </c>
      <c r="AE78" s="424">
        <f t="shared" si="31"/>
        <v>0</v>
      </c>
      <c r="AF78" s="424">
        <f t="shared" si="31"/>
        <v>0</v>
      </c>
      <c r="AG78" s="424">
        <f t="shared" si="31"/>
        <v>0</v>
      </c>
      <c r="AH78" s="424">
        <f t="shared" si="31"/>
        <v>0</v>
      </c>
      <c r="AI78" s="424">
        <f t="shared" si="31"/>
        <v>0</v>
      </c>
      <c r="AJ78" s="424">
        <f t="shared" si="31"/>
        <v>0</v>
      </c>
      <c r="AK78" s="424">
        <f t="shared" si="31"/>
        <v>0</v>
      </c>
    </row>
    <row r="79" spans="2:37">
      <c r="B79" s="431">
        <v>41</v>
      </c>
      <c r="C79" s="422" t="s">
        <v>548</v>
      </c>
      <c r="D79" s="422" t="s">
        <v>134</v>
      </c>
      <c r="E79" s="424">
        <f>SUM(H79:AP79)</f>
        <v>0</v>
      </c>
      <c r="H79" s="424">
        <f>H17</f>
        <v>0</v>
      </c>
      <c r="I79" s="424">
        <f t="shared" ref="I79:AK79" si="32">I17</f>
        <v>0</v>
      </c>
      <c r="J79" s="424">
        <f t="shared" si="32"/>
        <v>0</v>
      </c>
      <c r="K79" s="424">
        <f t="shared" si="32"/>
        <v>0</v>
      </c>
      <c r="L79" s="424">
        <f t="shared" si="32"/>
        <v>0</v>
      </c>
      <c r="M79" s="424">
        <f t="shared" si="32"/>
        <v>0</v>
      </c>
      <c r="N79" s="424">
        <f t="shared" si="32"/>
        <v>0</v>
      </c>
      <c r="O79" s="424">
        <f t="shared" si="32"/>
        <v>0</v>
      </c>
      <c r="P79" s="424">
        <f t="shared" si="32"/>
        <v>0</v>
      </c>
      <c r="Q79" s="424">
        <f t="shared" si="32"/>
        <v>0</v>
      </c>
      <c r="R79" s="424">
        <f t="shared" si="32"/>
        <v>0</v>
      </c>
      <c r="S79" s="424">
        <f t="shared" si="32"/>
        <v>0</v>
      </c>
      <c r="T79" s="424">
        <f t="shared" si="32"/>
        <v>0</v>
      </c>
      <c r="U79" s="424">
        <f t="shared" si="32"/>
        <v>0</v>
      </c>
      <c r="V79" s="424">
        <f t="shared" si="32"/>
        <v>0</v>
      </c>
      <c r="W79" s="424">
        <f t="shared" si="32"/>
        <v>0</v>
      </c>
      <c r="X79" s="424">
        <f t="shared" si="32"/>
        <v>0</v>
      </c>
      <c r="Y79" s="424">
        <f t="shared" si="32"/>
        <v>0</v>
      </c>
      <c r="Z79" s="424">
        <f t="shared" si="32"/>
        <v>0</v>
      </c>
      <c r="AA79" s="424">
        <f t="shared" si="32"/>
        <v>0</v>
      </c>
      <c r="AB79" s="424">
        <f t="shared" si="32"/>
        <v>0</v>
      </c>
      <c r="AC79" s="424">
        <f t="shared" si="32"/>
        <v>0</v>
      </c>
      <c r="AD79" s="424">
        <f t="shared" si="32"/>
        <v>0</v>
      </c>
      <c r="AE79" s="424">
        <f t="shared" si="32"/>
        <v>0</v>
      </c>
      <c r="AF79" s="424">
        <f t="shared" si="32"/>
        <v>0</v>
      </c>
      <c r="AG79" s="424">
        <f t="shared" si="32"/>
        <v>0</v>
      </c>
      <c r="AH79" s="424">
        <f t="shared" si="32"/>
        <v>0</v>
      </c>
      <c r="AI79" s="424">
        <f t="shared" si="32"/>
        <v>0</v>
      </c>
      <c r="AJ79" s="424">
        <f t="shared" si="32"/>
        <v>0</v>
      </c>
      <c r="AK79" s="424">
        <f t="shared" si="32"/>
        <v>0</v>
      </c>
    </row>
    <row r="80" spans="2:37">
      <c r="B80" s="431">
        <v>42</v>
      </c>
      <c r="C80" s="422" t="s">
        <v>549</v>
      </c>
      <c r="D80" s="422" t="s">
        <v>134</v>
      </c>
      <c r="E80" s="424">
        <f>SUM(H80:AP80)</f>
        <v>0</v>
      </c>
      <c r="H80" s="424">
        <f>H438</f>
        <v>0</v>
      </c>
      <c r="I80" s="424">
        <f t="shared" ref="I80:AK80" si="33">I438</f>
        <v>0</v>
      </c>
      <c r="J80" s="424">
        <f t="shared" si="33"/>
        <v>0</v>
      </c>
      <c r="K80" s="424">
        <f t="shared" si="33"/>
        <v>0</v>
      </c>
      <c r="L80" s="424">
        <f t="shared" si="33"/>
        <v>0</v>
      </c>
      <c r="M80" s="424">
        <f t="shared" si="33"/>
        <v>0</v>
      </c>
      <c r="N80" s="424">
        <f t="shared" si="33"/>
        <v>0</v>
      </c>
      <c r="O80" s="424">
        <f t="shared" si="33"/>
        <v>0</v>
      </c>
      <c r="P80" s="424">
        <f t="shared" si="33"/>
        <v>0</v>
      </c>
      <c r="Q80" s="424">
        <f t="shared" si="33"/>
        <v>0</v>
      </c>
      <c r="R80" s="424">
        <f t="shared" si="33"/>
        <v>0</v>
      </c>
      <c r="S80" s="424">
        <f t="shared" si="33"/>
        <v>0</v>
      </c>
      <c r="T80" s="424">
        <f t="shared" si="33"/>
        <v>0</v>
      </c>
      <c r="U80" s="424">
        <f t="shared" si="33"/>
        <v>0</v>
      </c>
      <c r="V80" s="424">
        <f t="shared" si="33"/>
        <v>0</v>
      </c>
      <c r="W80" s="424">
        <f t="shared" si="33"/>
        <v>0</v>
      </c>
      <c r="X80" s="424">
        <f t="shared" si="33"/>
        <v>0</v>
      </c>
      <c r="Y80" s="424">
        <f t="shared" si="33"/>
        <v>0</v>
      </c>
      <c r="Z80" s="424">
        <f t="shared" si="33"/>
        <v>0</v>
      </c>
      <c r="AA80" s="424">
        <f t="shared" si="33"/>
        <v>0</v>
      </c>
      <c r="AB80" s="424">
        <f t="shared" si="33"/>
        <v>0</v>
      </c>
      <c r="AC80" s="424">
        <f t="shared" si="33"/>
        <v>0</v>
      </c>
      <c r="AD80" s="424">
        <f t="shared" si="33"/>
        <v>0</v>
      </c>
      <c r="AE80" s="424">
        <f t="shared" si="33"/>
        <v>0</v>
      </c>
      <c r="AF80" s="424">
        <f t="shared" si="33"/>
        <v>0</v>
      </c>
      <c r="AG80" s="424">
        <f t="shared" si="33"/>
        <v>0</v>
      </c>
      <c r="AH80" s="424">
        <f t="shared" si="33"/>
        <v>0</v>
      </c>
      <c r="AI80" s="424">
        <f t="shared" si="33"/>
        <v>0</v>
      </c>
      <c r="AJ80" s="424">
        <f t="shared" si="33"/>
        <v>0</v>
      </c>
      <c r="AK80" s="424">
        <f t="shared" si="33"/>
        <v>0</v>
      </c>
    </row>
    <row r="81" spans="2:37">
      <c r="B81" s="431">
        <v>43</v>
      </c>
      <c r="C81" s="422" t="s">
        <v>550</v>
      </c>
      <c r="D81" s="422" t="s">
        <v>134</v>
      </c>
      <c r="H81" s="424">
        <f>SUM($H80:H80)</f>
        <v>0</v>
      </c>
      <c r="I81" s="424">
        <f>SUM($H80:I80)</f>
        <v>0</v>
      </c>
      <c r="J81" s="424">
        <f>SUM($H80:J80)</f>
        <v>0</v>
      </c>
      <c r="K81" s="424">
        <f>SUM($H80:K80)</f>
        <v>0</v>
      </c>
      <c r="L81" s="424">
        <f>SUM($H80:L80)</f>
        <v>0</v>
      </c>
      <c r="M81" s="424">
        <f>SUM($H80:M80)</f>
        <v>0</v>
      </c>
      <c r="N81" s="424">
        <f>SUM($H80:N80)</f>
        <v>0</v>
      </c>
      <c r="O81" s="424">
        <f>SUM($H80:O80)</f>
        <v>0</v>
      </c>
      <c r="P81" s="424">
        <f>SUM($H80:P80)</f>
        <v>0</v>
      </c>
      <c r="Q81" s="424">
        <f>SUM($H80:Q80)</f>
        <v>0</v>
      </c>
      <c r="R81" s="424">
        <f>SUM($H80:R80)</f>
        <v>0</v>
      </c>
      <c r="S81" s="424">
        <f>SUM($H80:S80)</f>
        <v>0</v>
      </c>
      <c r="T81" s="424">
        <f>SUM($H80:T80)</f>
        <v>0</v>
      </c>
      <c r="U81" s="424">
        <f>SUM($H80:U80)</f>
        <v>0</v>
      </c>
      <c r="V81" s="424">
        <f>SUM($H80:V80)</f>
        <v>0</v>
      </c>
      <c r="W81" s="424">
        <f>SUM($H80:W80)</f>
        <v>0</v>
      </c>
      <c r="X81" s="424">
        <f>SUM($H80:X80)</f>
        <v>0</v>
      </c>
      <c r="Y81" s="424">
        <f>SUM($H80:Y80)</f>
        <v>0</v>
      </c>
      <c r="Z81" s="424">
        <f>SUM($H80:Z80)</f>
        <v>0</v>
      </c>
      <c r="AA81" s="424">
        <f>SUM($H80:AA80)</f>
        <v>0</v>
      </c>
      <c r="AB81" s="424">
        <f>SUM($H80:AB80)</f>
        <v>0</v>
      </c>
      <c r="AC81" s="424">
        <f>SUM($H80:AC80)</f>
        <v>0</v>
      </c>
      <c r="AD81" s="424">
        <f>SUM($H80:AD80)</f>
        <v>0</v>
      </c>
      <c r="AE81" s="424">
        <f>SUM($H80:AE80)</f>
        <v>0</v>
      </c>
      <c r="AF81" s="424">
        <f>SUM($H80:AF80)</f>
        <v>0</v>
      </c>
      <c r="AG81" s="424">
        <f>SUM($H80:AG80)</f>
        <v>0</v>
      </c>
      <c r="AH81" s="424">
        <f>SUM($H80:AH80)</f>
        <v>0</v>
      </c>
      <c r="AI81" s="424">
        <f>SUM($H80:AI80)</f>
        <v>0</v>
      </c>
      <c r="AJ81" s="424">
        <f>SUM($H80:AJ80)</f>
        <v>0</v>
      </c>
      <c r="AK81" s="424">
        <f>SUM($H80:AK80)</f>
        <v>0</v>
      </c>
    </row>
    <row r="82" spans="2:37">
      <c r="B82" s="431">
        <v>44</v>
      </c>
      <c r="C82" s="422" t="s">
        <v>551</v>
      </c>
      <c r="D82" s="422" t="s">
        <v>134</v>
      </c>
      <c r="H82" s="424">
        <f>H78+H79-H80</f>
        <v>0</v>
      </c>
      <c r="I82" s="424">
        <f t="shared" ref="I82:AK82" si="34">I78+I79-I80</f>
        <v>0</v>
      </c>
      <c r="J82" s="424">
        <f t="shared" si="34"/>
        <v>0</v>
      </c>
      <c r="K82" s="424">
        <f t="shared" si="34"/>
        <v>0</v>
      </c>
      <c r="L82" s="424">
        <f t="shared" si="34"/>
        <v>0</v>
      </c>
      <c r="M82" s="424">
        <f t="shared" si="34"/>
        <v>0</v>
      </c>
      <c r="N82" s="424">
        <f t="shared" si="34"/>
        <v>0</v>
      </c>
      <c r="O82" s="424">
        <f t="shared" si="34"/>
        <v>0</v>
      </c>
      <c r="P82" s="424">
        <f t="shared" si="34"/>
        <v>0</v>
      </c>
      <c r="Q82" s="424">
        <f t="shared" si="34"/>
        <v>0</v>
      </c>
      <c r="R82" s="424">
        <f t="shared" si="34"/>
        <v>0</v>
      </c>
      <c r="S82" s="424">
        <f t="shared" si="34"/>
        <v>0</v>
      </c>
      <c r="T82" s="424">
        <f t="shared" si="34"/>
        <v>0</v>
      </c>
      <c r="U82" s="424">
        <f t="shared" si="34"/>
        <v>0</v>
      </c>
      <c r="V82" s="424">
        <f t="shared" si="34"/>
        <v>0</v>
      </c>
      <c r="W82" s="424">
        <f t="shared" si="34"/>
        <v>0</v>
      </c>
      <c r="X82" s="424">
        <f t="shared" si="34"/>
        <v>0</v>
      </c>
      <c r="Y82" s="424">
        <f t="shared" si="34"/>
        <v>0</v>
      </c>
      <c r="Z82" s="424">
        <f t="shared" si="34"/>
        <v>0</v>
      </c>
      <c r="AA82" s="424">
        <f t="shared" si="34"/>
        <v>0</v>
      </c>
      <c r="AB82" s="424">
        <f t="shared" si="34"/>
        <v>0</v>
      </c>
      <c r="AC82" s="424">
        <f t="shared" si="34"/>
        <v>0</v>
      </c>
      <c r="AD82" s="424">
        <f t="shared" si="34"/>
        <v>0</v>
      </c>
      <c r="AE82" s="424">
        <f t="shared" si="34"/>
        <v>0</v>
      </c>
      <c r="AF82" s="424">
        <f t="shared" si="34"/>
        <v>0</v>
      </c>
      <c r="AG82" s="424">
        <f t="shared" si="34"/>
        <v>0</v>
      </c>
      <c r="AH82" s="424">
        <f t="shared" si="34"/>
        <v>0</v>
      </c>
      <c r="AI82" s="424">
        <f t="shared" si="34"/>
        <v>0</v>
      </c>
      <c r="AJ82" s="424">
        <f t="shared" si="34"/>
        <v>0</v>
      </c>
      <c r="AK82" s="424">
        <f t="shared" si="34"/>
        <v>0</v>
      </c>
    </row>
    <row r="83" spans="2:37">
      <c r="B83" s="431">
        <v>45</v>
      </c>
      <c r="C83" s="191" t="str">
        <f>C18</f>
        <v>Workshop and Store</v>
      </c>
      <c r="F83" s="423">
        <v>6.6699999999999995E-2</v>
      </c>
    </row>
    <row r="84" spans="2:37">
      <c r="B84" s="431">
        <v>46</v>
      </c>
      <c r="C84" s="422" t="s">
        <v>547</v>
      </c>
      <c r="D84" s="422" t="s">
        <v>134</v>
      </c>
      <c r="H84" s="424">
        <f>G88</f>
        <v>0</v>
      </c>
      <c r="I84" s="424">
        <f t="shared" ref="I84:AK84" si="35">H88</f>
        <v>0</v>
      </c>
      <c r="J84" s="424">
        <f t="shared" si="35"/>
        <v>0</v>
      </c>
      <c r="K84" s="424">
        <f t="shared" si="35"/>
        <v>0</v>
      </c>
      <c r="L84" s="424">
        <f t="shared" si="35"/>
        <v>0</v>
      </c>
      <c r="M84" s="424">
        <f t="shared" si="35"/>
        <v>0</v>
      </c>
      <c r="N84" s="424">
        <f t="shared" si="35"/>
        <v>0</v>
      </c>
      <c r="O84" s="424">
        <f t="shared" si="35"/>
        <v>0</v>
      </c>
      <c r="P84" s="424">
        <f t="shared" si="35"/>
        <v>0</v>
      </c>
      <c r="Q84" s="424">
        <f t="shared" si="35"/>
        <v>0</v>
      </c>
      <c r="R84" s="424">
        <f t="shared" si="35"/>
        <v>0</v>
      </c>
      <c r="S84" s="424">
        <f t="shared" si="35"/>
        <v>0</v>
      </c>
      <c r="T84" s="424">
        <f t="shared" si="35"/>
        <v>0</v>
      </c>
      <c r="U84" s="424">
        <f t="shared" si="35"/>
        <v>0</v>
      </c>
      <c r="V84" s="424">
        <f t="shared" si="35"/>
        <v>0</v>
      </c>
      <c r="W84" s="424">
        <f t="shared" si="35"/>
        <v>0</v>
      </c>
      <c r="X84" s="424">
        <f t="shared" si="35"/>
        <v>0</v>
      </c>
      <c r="Y84" s="424">
        <f t="shared" si="35"/>
        <v>0</v>
      </c>
      <c r="Z84" s="424">
        <f t="shared" si="35"/>
        <v>0</v>
      </c>
      <c r="AA84" s="424">
        <f t="shared" si="35"/>
        <v>0</v>
      </c>
      <c r="AB84" s="424">
        <f t="shared" si="35"/>
        <v>0</v>
      </c>
      <c r="AC84" s="424">
        <f t="shared" si="35"/>
        <v>0</v>
      </c>
      <c r="AD84" s="424">
        <f t="shared" si="35"/>
        <v>0</v>
      </c>
      <c r="AE84" s="424">
        <f t="shared" si="35"/>
        <v>0</v>
      </c>
      <c r="AF84" s="424">
        <f t="shared" si="35"/>
        <v>0</v>
      </c>
      <c r="AG84" s="424">
        <f t="shared" si="35"/>
        <v>0</v>
      </c>
      <c r="AH84" s="424">
        <f t="shared" si="35"/>
        <v>0</v>
      </c>
      <c r="AI84" s="424">
        <f t="shared" si="35"/>
        <v>0</v>
      </c>
      <c r="AJ84" s="424">
        <f t="shared" si="35"/>
        <v>0</v>
      </c>
      <c r="AK84" s="424">
        <f t="shared" si="35"/>
        <v>0</v>
      </c>
    </row>
    <row r="85" spans="2:37">
      <c r="B85" s="431">
        <v>47</v>
      </c>
      <c r="C85" s="422" t="s">
        <v>548</v>
      </c>
      <c r="D85" s="422" t="s">
        <v>134</v>
      </c>
      <c r="E85" s="424">
        <f>SUM(H85:AP85)</f>
        <v>0</v>
      </c>
      <c r="H85" s="424">
        <f>H18+H28</f>
        <v>0</v>
      </c>
      <c r="I85" s="424">
        <f t="shared" ref="I85:AK85" si="36">I18+I28</f>
        <v>0</v>
      </c>
      <c r="J85" s="424">
        <f t="shared" si="36"/>
        <v>0</v>
      </c>
      <c r="K85" s="424">
        <f t="shared" si="36"/>
        <v>0</v>
      </c>
      <c r="L85" s="424">
        <f t="shared" si="36"/>
        <v>0</v>
      </c>
      <c r="M85" s="424">
        <f t="shared" si="36"/>
        <v>0</v>
      </c>
      <c r="N85" s="424">
        <f t="shared" si="36"/>
        <v>0</v>
      </c>
      <c r="O85" s="424">
        <f t="shared" si="36"/>
        <v>0</v>
      </c>
      <c r="P85" s="424">
        <f t="shared" si="36"/>
        <v>0</v>
      </c>
      <c r="Q85" s="424">
        <f t="shared" si="36"/>
        <v>0</v>
      </c>
      <c r="R85" s="424">
        <f t="shared" si="36"/>
        <v>0</v>
      </c>
      <c r="S85" s="424">
        <f t="shared" si="36"/>
        <v>0</v>
      </c>
      <c r="T85" s="424">
        <f t="shared" si="36"/>
        <v>0</v>
      </c>
      <c r="U85" s="424">
        <f t="shared" si="36"/>
        <v>0</v>
      </c>
      <c r="V85" s="424">
        <f t="shared" si="36"/>
        <v>0</v>
      </c>
      <c r="W85" s="424">
        <f t="shared" si="36"/>
        <v>0</v>
      </c>
      <c r="X85" s="424">
        <f t="shared" si="36"/>
        <v>0</v>
      </c>
      <c r="Y85" s="424">
        <f t="shared" si="36"/>
        <v>0</v>
      </c>
      <c r="Z85" s="424">
        <f t="shared" si="36"/>
        <v>0</v>
      </c>
      <c r="AA85" s="424">
        <f t="shared" si="36"/>
        <v>0</v>
      </c>
      <c r="AB85" s="424">
        <f t="shared" si="36"/>
        <v>0</v>
      </c>
      <c r="AC85" s="424">
        <f t="shared" si="36"/>
        <v>0</v>
      </c>
      <c r="AD85" s="424">
        <f t="shared" si="36"/>
        <v>0</v>
      </c>
      <c r="AE85" s="424">
        <f t="shared" si="36"/>
        <v>0</v>
      </c>
      <c r="AF85" s="424">
        <f t="shared" si="36"/>
        <v>0</v>
      </c>
      <c r="AG85" s="424">
        <f t="shared" si="36"/>
        <v>0</v>
      </c>
      <c r="AH85" s="424">
        <f t="shared" si="36"/>
        <v>0</v>
      </c>
      <c r="AI85" s="424">
        <f t="shared" si="36"/>
        <v>0</v>
      </c>
      <c r="AJ85" s="424">
        <f t="shared" si="36"/>
        <v>0</v>
      </c>
      <c r="AK85" s="424">
        <f t="shared" si="36"/>
        <v>0</v>
      </c>
    </row>
    <row r="86" spans="2:37">
      <c r="B86" s="431">
        <v>48</v>
      </c>
      <c r="C86" s="422" t="s">
        <v>549</v>
      </c>
      <c r="D86" s="422" t="s">
        <v>134</v>
      </c>
      <c r="E86" s="424">
        <f>SUM(H86:AP86)</f>
        <v>0</v>
      </c>
      <c r="H86" s="424">
        <f>H473</f>
        <v>0</v>
      </c>
      <c r="I86" s="424">
        <f t="shared" ref="I86:AK86" si="37">I473</f>
        <v>0</v>
      </c>
      <c r="J86" s="424">
        <f t="shared" si="37"/>
        <v>0</v>
      </c>
      <c r="K86" s="424">
        <f t="shared" si="37"/>
        <v>0</v>
      </c>
      <c r="L86" s="424">
        <f t="shared" si="37"/>
        <v>0</v>
      </c>
      <c r="M86" s="424">
        <f t="shared" si="37"/>
        <v>0</v>
      </c>
      <c r="N86" s="424">
        <f t="shared" si="37"/>
        <v>0</v>
      </c>
      <c r="O86" s="424">
        <f t="shared" si="37"/>
        <v>0</v>
      </c>
      <c r="P86" s="424">
        <f t="shared" si="37"/>
        <v>0</v>
      </c>
      <c r="Q86" s="424">
        <f t="shared" si="37"/>
        <v>0</v>
      </c>
      <c r="R86" s="424">
        <f t="shared" si="37"/>
        <v>0</v>
      </c>
      <c r="S86" s="424">
        <f t="shared" si="37"/>
        <v>0</v>
      </c>
      <c r="T86" s="424">
        <f t="shared" si="37"/>
        <v>0</v>
      </c>
      <c r="U86" s="424">
        <f t="shared" si="37"/>
        <v>0</v>
      </c>
      <c r="V86" s="424">
        <f t="shared" si="37"/>
        <v>0</v>
      </c>
      <c r="W86" s="424">
        <f t="shared" si="37"/>
        <v>0</v>
      </c>
      <c r="X86" s="424">
        <f t="shared" si="37"/>
        <v>0</v>
      </c>
      <c r="Y86" s="424">
        <f t="shared" si="37"/>
        <v>0</v>
      </c>
      <c r="Z86" s="424">
        <f t="shared" si="37"/>
        <v>0</v>
      </c>
      <c r="AA86" s="424">
        <f t="shared" si="37"/>
        <v>0</v>
      </c>
      <c r="AB86" s="424">
        <f t="shared" si="37"/>
        <v>0</v>
      </c>
      <c r="AC86" s="424">
        <f t="shared" si="37"/>
        <v>0</v>
      </c>
      <c r="AD86" s="424">
        <f t="shared" si="37"/>
        <v>0</v>
      </c>
      <c r="AE86" s="424">
        <f t="shared" si="37"/>
        <v>0</v>
      </c>
      <c r="AF86" s="424">
        <f t="shared" si="37"/>
        <v>0</v>
      </c>
      <c r="AG86" s="424">
        <f t="shared" si="37"/>
        <v>0</v>
      </c>
      <c r="AH86" s="424">
        <f t="shared" si="37"/>
        <v>0</v>
      </c>
      <c r="AI86" s="424">
        <f t="shared" si="37"/>
        <v>0</v>
      </c>
      <c r="AJ86" s="424">
        <f t="shared" si="37"/>
        <v>0</v>
      </c>
      <c r="AK86" s="424">
        <f t="shared" si="37"/>
        <v>0</v>
      </c>
    </row>
    <row r="87" spans="2:37">
      <c r="B87" s="431">
        <v>49</v>
      </c>
      <c r="C87" s="422" t="s">
        <v>550</v>
      </c>
      <c r="D87" s="422" t="s">
        <v>134</v>
      </c>
      <c r="H87" s="424">
        <f>SUM($H86:H86)</f>
        <v>0</v>
      </c>
      <c r="I87" s="424">
        <f>SUM($H86:I86)</f>
        <v>0</v>
      </c>
      <c r="J87" s="424">
        <f>SUM($H86:J86)</f>
        <v>0</v>
      </c>
      <c r="K87" s="424">
        <f>SUM($H86:K86)</f>
        <v>0</v>
      </c>
      <c r="L87" s="424">
        <f>SUM($H86:L86)</f>
        <v>0</v>
      </c>
      <c r="M87" s="424">
        <f>SUM($H86:M86)</f>
        <v>0</v>
      </c>
      <c r="N87" s="424">
        <f>SUM($H86:N86)</f>
        <v>0</v>
      </c>
      <c r="O87" s="424">
        <f>SUM($H86:O86)</f>
        <v>0</v>
      </c>
      <c r="P87" s="424">
        <f>SUM($H86:P86)</f>
        <v>0</v>
      </c>
      <c r="Q87" s="424">
        <f>SUM($H86:Q86)</f>
        <v>0</v>
      </c>
      <c r="R87" s="424">
        <f>SUM($H86:R86)</f>
        <v>0</v>
      </c>
      <c r="S87" s="424">
        <f>SUM($H86:S86)</f>
        <v>0</v>
      </c>
      <c r="T87" s="424">
        <f>SUM($H86:T86)</f>
        <v>0</v>
      </c>
      <c r="U87" s="424">
        <f>SUM($H86:U86)</f>
        <v>0</v>
      </c>
      <c r="V87" s="424">
        <f>SUM($H86:V86)</f>
        <v>0</v>
      </c>
      <c r="W87" s="424">
        <f>SUM($H86:W86)</f>
        <v>0</v>
      </c>
      <c r="X87" s="424">
        <f>SUM($H86:X86)</f>
        <v>0</v>
      </c>
      <c r="Y87" s="424">
        <f>SUM($H86:Y86)</f>
        <v>0</v>
      </c>
      <c r="Z87" s="424">
        <f>SUM($H86:Z86)</f>
        <v>0</v>
      </c>
      <c r="AA87" s="424">
        <f>SUM($H86:AA86)</f>
        <v>0</v>
      </c>
      <c r="AB87" s="424">
        <f>SUM($H86:AB86)</f>
        <v>0</v>
      </c>
      <c r="AC87" s="424">
        <f>SUM($H86:AC86)</f>
        <v>0</v>
      </c>
      <c r="AD87" s="424">
        <f>SUM($H86:AD86)</f>
        <v>0</v>
      </c>
      <c r="AE87" s="424">
        <f>SUM($H86:AE86)</f>
        <v>0</v>
      </c>
      <c r="AF87" s="424">
        <f>SUM($H86:AF86)</f>
        <v>0</v>
      </c>
      <c r="AG87" s="424">
        <f>SUM($H86:AG86)</f>
        <v>0</v>
      </c>
      <c r="AH87" s="424">
        <f>SUM($H86:AH86)</f>
        <v>0</v>
      </c>
      <c r="AI87" s="424">
        <f>SUM($H86:AI86)</f>
        <v>0</v>
      </c>
      <c r="AJ87" s="424">
        <f>SUM($H86:AJ86)</f>
        <v>0</v>
      </c>
      <c r="AK87" s="424">
        <f>SUM($H86:AK86)</f>
        <v>0</v>
      </c>
    </row>
    <row r="88" spans="2:37">
      <c r="B88" s="431">
        <v>50</v>
      </c>
      <c r="C88" s="422" t="s">
        <v>551</v>
      </c>
      <c r="D88" s="422" t="s">
        <v>134</v>
      </c>
      <c r="H88" s="424">
        <f>H84+H85-H86</f>
        <v>0</v>
      </c>
      <c r="I88" s="424">
        <f t="shared" ref="I88:AK88" si="38">I84+I85-I86</f>
        <v>0</v>
      </c>
      <c r="J88" s="424">
        <f t="shared" si="38"/>
        <v>0</v>
      </c>
      <c r="K88" s="424">
        <f t="shared" si="38"/>
        <v>0</v>
      </c>
      <c r="L88" s="424">
        <f t="shared" si="38"/>
        <v>0</v>
      </c>
      <c r="M88" s="424">
        <f t="shared" si="38"/>
        <v>0</v>
      </c>
      <c r="N88" s="424">
        <f t="shared" si="38"/>
        <v>0</v>
      </c>
      <c r="O88" s="424">
        <f t="shared" si="38"/>
        <v>0</v>
      </c>
      <c r="P88" s="424">
        <f t="shared" si="38"/>
        <v>0</v>
      </c>
      <c r="Q88" s="424">
        <f t="shared" si="38"/>
        <v>0</v>
      </c>
      <c r="R88" s="424">
        <f t="shared" si="38"/>
        <v>0</v>
      </c>
      <c r="S88" s="424">
        <f t="shared" si="38"/>
        <v>0</v>
      </c>
      <c r="T88" s="424">
        <f t="shared" si="38"/>
        <v>0</v>
      </c>
      <c r="U88" s="424">
        <f t="shared" si="38"/>
        <v>0</v>
      </c>
      <c r="V88" s="424">
        <f t="shared" si="38"/>
        <v>0</v>
      </c>
      <c r="W88" s="424">
        <f t="shared" si="38"/>
        <v>0</v>
      </c>
      <c r="X88" s="424">
        <f t="shared" si="38"/>
        <v>0</v>
      </c>
      <c r="Y88" s="424">
        <f t="shared" si="38"/>
        <v>0</v>
      </c>
      <c r="Z88" s="424">
        <f t="shared" si="38"/>
        <v>0</v>
      </c>
      <c r="AA88" s="424">
        <f t="shared" si="38"/>
        <v>0</v>
      </c>
      <c r="AB88" s="424">
        <f t="shared" si="38"/>
        <v>0</v>
      </c>
      <c r="AC88" s="424">
        <f t="shared" si="38"/>
        <v>0</v>
      </c>
      <c r="AD88" s="424">
        <f t="shared" si="38"/>
        <v>0</v>
      </c>
      <c r="AE88" s="424">
        <f t="shared" si="38"/>
        <v>0</v>
      </c>
      <c r="AF88" s="424">
        <f t="shared" si="38"/>
        <v>0</v>
      </c>
      <c r="AG88" s="424">
        <f t="shared" si="38"/>
        <v>0</v>
      </c>
      <c r="AH88" s="424">
        <f t="shared" si="38"/>
        <v>0</v>
      </c>
      <c r="AI88" s="424">
        <f t="shared" si="38"/>
        <v>0</v>
      </c>
      <c r="AJ88" s="424">
        <f t="shared" si="38"/>
        <v>0</v>
      </c>
      <c r="AK88" s="424">
        <f t="shared" si="38"/>
        <v>0</v>
      </c>
    </row>
    <row r="89" spans="2:37">
      <c r="B89" s="431">
        <v>51</v>
      </c>
      <c r="C89" s="191" t="str">
        <f>C19</f>
        <v xml:space="preserve">Electrical </v>
      </c>
      <c r="F89" s="423">
        <v>0.05</v>
      </c>
    </row>
    <row r="90" spans="2:37">
      <c r="B90" s="431">
        <v>52</v>
      </c>
      <c r="C90" s="422" t="s">
        <v>547</v>
      </c>
      <c r="D90" s="422" t="s">
        <v>134</v>
      </c>
      <c r="H90" s="424">
        <f>G94</f>
        <v>0</v>
      </c>
      <c r="I90" s="424">
        <f t="shared" ref="I90:AK90" si="39">H94</f>
        <v>0</v>
      </c>
      <c r="J90" s="424">
        <f t="shared" si="39"/>
        <v>0</v>
      </c>
      <c r="K90" s="424">
        <f t="shared" si="39"/>
        <v>0</v>
      </c>
      <c r="L90" s="424">
        <f t="shared" si="39"/>
        <v>0</v>
      </c>
      <c r="M90" s="424">
        <f t="shared" si="39"/>
        <v>0</v>
      </c>
      <c r="N90" s="424">
        <f t="shared" si="39"/>
        <v>0</v>
      </c>
      <c r="O90" s="424">
        <f t="shared" si="39"/>
        <v>0</v>
      </c>
      <c r="P90" s="424">
        <f t="shared" si="39"/>
        <v>0</v>
      </c>
      <c r="Q90" s="424">
        <f t="shared" si="39"/>
        <v>0</v>
      </c>
      <c r="R90" s="424">
        <f t="shared" si="39"/>
        <v>0</v>
      </c>
      <c r="S90" s="424">
        <f t="shared" si="39"/>
        <v>0</v>
      </c>
      <c r="T90" s="424">
        <f t="shared" si="39"/>
        <v>0</v>
      </c>
      <c r="U90" s="424">
        <f t="shared" si="39"/>
        <v>0</v>
      </c>
      <c r="V90" s="424">
        <f t="shared" si="39"/>
        <v>0</v>
      </c>
      <c r="W90" s="424">
        <f t="shared" si="39"/>
        <v>0</v>
      </c>
      <c r="X90" s="424">
        <f t="shared" si="39"/>
        <v>0</v>
      </c>
      <c r="Y90" s="424">
        <f t="shared" si="39"/>
        <v>0</v>
      </c>
      <c r="Z90" s="424">
        <f t="shared" si="39"/>
        <v>0</v>
      </c>
      <c r="AA90" s="424">
        <f t="shared" si="39"/>
        <v>0</v>
      </c>
      <c r="AB90" s="424">
        <f t="shared" si="39"/>
        <v>0</v>
      </c>
      <c r="AC90" s="424">
        <f t="shared" si="39"/>
        <v>0</v>
      </c>
      <c r="AD90" s="424">
        <f t="shared" si="39"/>
        <v>0</v>
      </c>
      <c r="AE90" s="424">
        <f t="shared" si="39"/>
        <v>0</v>
      </c>
      <c r="AF90" s="424">
        <f t="shared" si="39"/>
        <v>0</v>
      </c>
      <c r="AG90" s="424">
        <f t="shared" si="39"/>
        <v>0</v>
      </c>
      <c r="AH90" s="424">
        <f t="shared" si="39"/>
        <v>0</v>
      </c>
      <c r="AI90" s="424">
        <f t="shared" si="39"/>
        <v>0</v>
      </c>
      <c r="AJ90" s="424">
        <f t="shared" si="39"/>
        <v>0</v>
      </c>
      <c r="AK90" s="424">
        <f t="shared" si="39"/>
        <v>0</v>
      </c>
    </row>
    <row r="91" spans="2:37">
      <c r="B91" s="431">
        <v>53</v>
      </c>
      <c r="C91" s="422" t="s">
        <v>548</v>
      </c>
      <c r="D91" s="422" t="s">
        <v>134</v>
      </c>
      <c r="E91" s="424">
        <f>SUM(H91:AP91)</f>
        <v>0</v>
      </c>
      <c r="H91" s="424">
        <f>H19+H29</f>
        <v>0</v>
      </c>
      <c r="I91" s="424">
        <f t="shared" ref="I91:AK91" si="40">I19+I29</f>
        <v>0</v>
      </c>
      <c r="J91" s="424">
        <f t="shared" si="40"/>
        <v>0</v>
      </c>
      <c r="K91" s="424">
        <f t="shared" si="40"/>
        <v>0</v>
      </c>
      <c r="L91" s="424">
        <f t="shared" si="40"/>
        <v>0</v>
      </c>
      <c r="M91" s="424">
        <f t="shared" si="40"/>
        <v>0</v>
      </c>
      <c r="N91" s="424">
        <f t="shared" si="40"/>
        <v>0</v>
      </c>
      <c r="O91" s="424">
        <f t="shared" si="40"/>
        <v>0</v>
      </c>
      <c r="P91" s="424">
        <f t="shared" si="40"/>
        <v>0</v>
      </c>
      <c r="Q91" s="424">
        <f t="shared" si="40"/>
        <v>0</v>
      </c>
      <c r="R91" s="424">
        <f t="shared" si="40"/>
        <v>0</v>
      </c>
      <c r="S91" s="424">
        <f t="shared" si="40"/>
        <v>0</v>
      </c>
      <c r="T91" s="424">
        <f t="shared" si="40"/>
        <v>0</v>
      </c>
      <c r="U91" s="424">
        <f t="shared" si="40"/>
        <v>0</v>
      </c>
      <c r="V91" s="424">
        <f t="shared" si="40"/>
        <v>0</v>
      </c>
      <c r="W91" s="424">
        <f t="shared" si="40"/>
        <v>0</v>
      </c>
      <c r="X91" s="424">
        <f t="shared" si="40"/>
        <v>0</v>
      </c>
      <c r="Y91" s="424">
        <f t="shared" si="40"/>
        <v>0</v>
      </c>
      <c r="Z91" s="424">
        <f t="shared" si="40"/>
        <v>0</v>
      </c>
      <c r="AA91" s="424">
        <f t="shared" si="40"/>
        <v>0</v>
      </c>
      <c r="AB91" s="424">
        <f t="shared" si="40"/>
        <v>0</v>
      </c>
      <c r="AC91" s="424">
        <f t="shared" si="40"/>
        <v>0</v>
      </c>
      <c r="AD91" s="424">
        <f t="shared" si="40"/>
        <v>0</v>
      </c>
      <c r="AE91" s="424">
        <f t="shared" si="40"/>
        <v>0</v>
      </c>
      <c r="AF91" s="424">
        <f t="shared" si="40"/>
        <v>0</v>
      </c>
      <c r="AG91" s="424">
        <f t="shared" si="40"/>
        <v>0</v>
      </c>
      <c r="AH91" s="424">
        <f t="shared" si="40"/>
        <v>0</v>
      </c>
      <c r="AI91" s="424">
        <f t="shared" si="40"/>
        <v>0</v>
      </c>
      <c r="AJ91" s="424">
        <f t="shared" si="40"/>
        <v>0</v>
      </c>
      <c r="AK91" s="424">
        <f t="shared" si="40"/>
        <v>0</v>
      </c>
    </row>
    <row r="92" spans="2:37">
      <c r="B92" s="431">
        <v>54</v>
      </c>
      <c r="C92" s="422" t="s">
        <v>549</v>
      </c>
      <c r="D92" s="422" t="s">
        <v>134</v>
      </c>
      <c r="E92" s="424">
        <f>SUM(H92:AP92)</f>
        <v>0</v>
      </c>
      <c r="H92" s="424">
        <f>H508</f>
        <v>0</v>
      </c>
      <c r="I92" s="424">
        <f t="shared" ref="I92:AK92" si="41">I508</f>
        <v>0</v>
      </c>
      <c r="J92" s="424">
        <f t="shared" si="41"/>
        <v>0</v>
      </c>
      <c r="K92" s="424">
        <f t="shared" si="41"/>
        <v>0</v>
      </c>
      <c r="L92" s="424">
        <f t="shared" si="41"/>
        <v>0</v>
      </c>
      <c r="M92" s="424">
        <f t="shared" si="41"/>
        <v>0</v>
      </c>
      <c r="N92" s="424">
        <f t="shared" si="41"/>
        <v>0</v>
      </c>
      <c r="O92" s="424">
        <f t="shared" si="41"/>
        <v>0</v>
      </c>
      <c r="P92" s="424">
        <f t="shared" si="41"/>
        <v>0</v>
      </c>
      <c r="Q92" s="424">
        <f t="shared" si="41"/>
        <v>0</v>
      </c>
      <c r="R92" s="424">
        <f t="shared" si="41"/>
        <v>0</v>
      </c>
      <c r="S92" s="424">
        <f t="shared" si="41"/>
        <v>0</v>
      </c>
      <c r="T92" s="424">
        <f t="shared" si="41"/>
        <v>0</v>
      </c>
      <c r="U92" s="424">
        <f t="shared" si="41"/>
        <v>0</v>
      </c>
      <c r="V92" s="424">
        <f t="shared" si="41"/>
        <v>0</v>
      </c>
      <c r="W92" s="424">
        <f t="shared" si="41"/>
        <v>0</v>
      </c>
      <c r="X92" s="424">
        <f t="shared" si="41"/>
        <v>0</v>
      </c>
      <c r="Y92" s="424">
        <f t="shared" si="41"/>
        <v>0</v>
      </c>
      <c r="Z92" s="424">
        <f t="shared" si="41"/>
        <v>0</v>
      </c>
      <c r="AA92" s="424">
        <f t="shared" si="41"/>
        <v>0</v>
      </c>
      <c r="AB92" s="424">
        <f t="shared" si="41"/>
        <v>0</v>
      </c>
      <c r="AC92" s="424">
        <f t="shared" si="41"/>
        <v>0</v>
      </c>
      <c r="AD92" s="424">
        <f t="shared" si="41"/>
        <v>0</v>
      </c>
      <c r="AE92" s="424">
        <f t="shared" si="41"/>
        <v>0</v>
      </c>
      <c r="AF92" s="424">
        <f t="shared" si="41"/>
        <v>0</v>
      </c>
      <c r="AG92" s="424">
        <f t="shared" si="41"/>
        <v>0</v>
      </c>
      <c r="AH92" s="424">
        <f t="shared" si="41"/>
        <v>0</v>
      </c>
      <c r="AI92" s="424">
        <f t="shared" si="41"/>
        <v>0</v>
      </c>
      <c r="AJ92" s="424">
        <f t="shared" si="41"/>
        <v>0</v>
      </c>
      <c r="AK92" s="424">
        <f t="shared" si="41"/>
        <v>0</v>
      </c>
    </row>
    <row r="93" spans="2:37">
      <c r="B93" s="431">
        <v>55</v>
      </c>
      <c r="C93" s="422" t="s">
        <v>550</v>
      </c>
      <c r="D93" s="422" t="s">
        <v>134</v>
      </c>
      <c r="H93" s="424">
        <f>SUM($H92:H92)</f>
        <v>0</v>
      </c>
      <c r="I93" s="424">
        <f>SUM($H92:I92)</f>
        <v>0</v>
      </c>
      <c r="J93" s="424">
        <f>SUM($H92:J92)</f>
        <v>0</v>
      </c>
      <c r="K93" s="424">
        <f>SUM($H92:K92)</f>
        <v>0</v>
      </c>
      <c r="L93" s="424">
        <f>SUM($H92:L92)</f>
        <v>0</v>
      </c>
      <c r="M93" s="424">
        <f>SUM($H92:M92)</f>
        <v>0</v>
      </c>
      <c r="N93" s="424">
        <f>SUM($H92:N92)</f>
        <v>0</v>
      </c>
      <c r="O93" s="424">
        <f>SUM($H92:O92)</f>
        <v>0</v>
      </c>
      <c r="P93" s="424">
        <f>SUM($H92:P92)</f>
        <v>0</v>
      </c>
      <c r="Q93" s="424">
        <f>SUM($H92:Q92)</f>
        <v>0</v>
      </c>
      <c r="R93" s="424">
        <f>SUM($H92:R92)</f>
        <v>0</v>
      </c>
      <c r="S93" s="424">
        <f>SUM($H92:S92)</f>
        <v>0</v>
      </c>
      <c r="T93" s="424">
        <f>SUM($H92:T92)</f>
        <v>0</v>
      </c>
      <c r="U93" s="424">
        <f>SUM($H92:U92)</f>
        <v>0</v>
      </c>
      <c r="V93" s="424">
        <f>SUM($H92:V92)</f>
        <v>0</v>
      </c>
      <c r="W93" s="424">
        <f>SUM($H92:W92)</f>
        <v>0</v>
      </c>
      <c r="X93" s="424">
        <f>SUM($H92:X92)</f>
        <v>0</v>
      </c>
      <c r="Y93" s="424">
        <f>SUM($H92:Y92)</f>
        <v>0</v>
      </c>
      <c r="Z93" s="424">
        <f>SUM($H92:Z92)</f>
        <v>0</v>
      </c>
      <c r="AA93" s="424">
        <f>SUM($H92:AA92)</f>
        <v>0</v>
      </c>
      <c r="AB93" s="424">
        <f>SUM($H92:AB92)</f>
        <v>0</v>
      </c>
      <c r="AC93" s="424">
        <f>SUM($H92:AC92)</f>
        <v>0</v>
      </c>
      <c r="AD93" s="424">
        <f>SUM($H92:AD92)</f>
        <v>0</v>
      </c>
      <c r="AE93" s="424">
        <f>SUM($H92:AE92)</f>
        <v>0</v>
      </c>
      <c r="AF93" s="424">
        <f>SUM($H92:AF92)</f>
        <v>0</v>
      </c>
      <c r="AG93" s="424">
        <f>SUM($H92:AG92)</f>
        <v>0</v>
      </c>
      <c r="AH93" s="424">
        <f>SUM($H92:AH92)</f>
        <v>0</v>
      </c>
      <c r="AI93" s="424">
        <f>SUM($H92:AI92)</f>
        <v>0</v>
      </c>
      <c r="AJ93" s="424">
        <f>SUM($H92:AJ92)</f>
        <v>0</v>
      </c>
      <c r="AK93" s="424">
        <f>SUM($H92:AK92)</f>
        <v>0</v>
      </c>
    </row>
    <row r="94" spans="2:37">
      <c r="B94" s="431">
        <v>56</v>
      </c>
      <c r="C94" s="422" t="s">
        <v>551</v>
      </c>
      <c r="D94" s="422" t="s">
        <v>134</v>
      </c>
      <c r="H94" s="424">
        <f>H90+H91-H92</f>
        <v>0</v>
      </c>
      <c r="I94" s="424">
        <f t="shared" ref="I94:AK94" si="42">I90+I91-I92</f>
        <v>0</v>
      </c>
      <c r="J94" s="424">
        <f t="shared" si="42"/>
        <v>0</v>
      </c>
      <c r="K94" s="424">
        <f t="shared" si="42"/>
        <v>0</v>
      </c>
      <c r="L94" s="424">
        <f t="shared" si="42"/>
        <v>0</v>
      </c>
      <c r="M94" s="424">
        <f t="shared" si="42"/>
        <v>0</v>
      </c>
      <c r="N94" s="424">
        <f t="shared" si="42"/>
        <v>0</v>
      </c>
      <c r="O94" s="424">
        <f t="shared" si="42"/>
        <v>0</v>
      </c>
      <c r="P94" s="424">
        <f t="shared" si="42"/>
        <v>0</v>
      </c>
      <c r="Q94" s="424">
        <f t="shared" si="42"/>
        <v>0</v>
      </c>
      <c r="R94" s="424">
        <f t="shared" si="42"/>
        <v>0</v>
      </c>
      <c r="S94" s="424">
        <f t="shared" si="42"/>
        <v>0</v>
      </c>
      <c r="T94" s="424">
        <f t="shared" si="42"/>
        <v>0</v>
      </c>
      <c r="U94" s="424">
        <f t="shared" si="42"/>
        <v>0</v>
      </c>
      <c r="V94" s="424">
        <f t="shared" si="42"/>
        <v>0</v>
      </c>
      <c r="W94" s="424">
        <f t="shared" si="42"/>
        <v>0</v>
      </c>
      <c r="X94" s="424">
        <f t="shared" si="42"/>
        <v>0</v>
      </c>
      <c r="Y94" s="424">
        <f t="shared" si="42"/>
        <v>0</v>
      </c>
      <c r="Z94" s="424">
        <f t="shared" si="42"/>
        <v>0</v>
      </c>
      <c r="AA94" s="424">
        <f t="shared" si="42"/>
        <v>0</v>
      </c>
      <c r="AB94" s="424">
        <f t="shared" si="42"/>
        <v>0</v>
      </c>
      <c r="AC94" s="424">
        <f t="shared" si="42"/>
        <v>0</v>
      </c>
      <c r="AD94" s="424">
        <f t="shared" si="42"/>
        <v>0</v>
      </c>
      <c r="AE94" s="424">
        <f t="shared" si="42"/>
        <v>0</v>
      </c>
      <c r="AF94" s="424">
        <f t="shared" si="42"/>
        <v>0</v>
      </c>
      <c r="AG94" s="424">
        <f t="shared" si="42"/>
        <v>0</v>
      </c>
      <c r="AH94" s="424">
        <f t="shared" si="42"/>
        <v>0</v>
      </c>
      <c r="AI94" s="424">
        <f t="shared" si="42"/>
        <v>0</v>
      </c>
      <c r="AJ94" s="424">
        <f t="shared" si="42"/>
        <v>0</v>
      </c>
      <c r="AK94" s="424">
        <f t="shared" si="42"/>
        <v>0</v>
      </c>
    </row>
    <row r="95" spans="2:37">
      <c r="B95" s="431">
        <v>57</v>
      </c>
      <c r="C95" s="191" t="str">
        <f>C20</f>
        <v>Mine Dewatering System</v>
      </c>
      <c r="F95" s="423">
        <v>6.6699999999999995E-2</v>
      </c>
    </row>
    <row r="96" spans="2:37">
      <c r="B96" s="431">
        <v>58</v>
      </c>
      <c r="C96" s="422" t="s">
        <v>547</v>
      </c>
      <c r="D96" s="422" t="s">
        <v>134</v>
      </c>
      <c r="H96" s="424">
        <f>G100</f>
        <v>0</v>
      </c>
      <c r="I96" s="424">
        <f t="shared" ref="I96:AK96" si="43">H100</f>
        <v>0</v>
      </c>
      <c r="J96" s="424">
        <f t="shared" si="43"/>
        <v>0</v>
      </c>
      <c r="K96" s="424">
        <f t="shared" si="43"/>
        <v>0</v>
      </c>
      <c r="L96" s="424">
        <f t="shared" si="43"/>
        <v>0</v>
      </c>
      <c r="M96" s="424">
        <f t="shared" si="43"/>
        <v>0</v>
      </c>
      <c r="N96" s="424">
        <f t="shared" si="43"/>
        <v>0</v>
      </c>
      <c r="O96" s="424">
        <f t="shared" si="43"/>
        <v>0</v>
      </c>
      <c r="P96" s="424">
        <f t="shared" si="43"/>
        <v>0</v>
      </c>
      <c r="Q96" s="424">
        <f t="shared" si="43"/>
        <v>0</v>
      </c>
      <c r="R96" s="424">
        <f t="shared" si="43"/>
        <v>0</v>
      </c>
      <c r="S96" s="424">
        <f t="shared" si="43"/>
        <v>0</v>
      </c>
      <c r="T96" s="424">
        <f t="shared" si="43"/>
        <v>0</v>
      </c>
      <c r="U96" s="424">
        <f t="shared" si="43"/>
        <v>0</v>
      </c>
      <c r="V96" s="424">
        <f t="shared" si="43"/>
        <v>0</v>
      </c>
      <c r="W96" s="424">
        <f t="shared" si="43"/>
        <v>0</v>
      </c>
      <c r="X96" s="424">
        <f t="shared" si="43"/>
        <v>0</v>
      </c>
      <c r="Y96" s="424">
        <f t="shared" si="43"/>
        <v>0</v>
      </c>
      <c r="Z96" s="424">
        <f t="shared" si="43"/>
        <v>0</v>
      </c>
      <c r="AA96" s="424">
        <f t="shared" si="43"/>
        <v>0</v>
      </c>
      <c r="AB96" s="424">
        <f t="shared" si="43"/>
        <v>0</v>
      </c>
      <c r="AC96" s="424">
        <f t="shared" si="43"/>
        <v>0</v>
      </c>
      <c r="AD96" s="424">
        <f t="shared" si="43"/>
        <v>0</v>
      </c>
      <c r="AE96" s="424">
        <f t="shared" si="43"/>
        <v>0</v>
      </c>
      <c r="AF96" s="424">
        <f t="shared" si="43"/>
        <v>0</v>
      </c>
      <c r="AG96" s="424">
        <f t="shared" si="43"/>
        <v>0</v>
      </c>
      <c r="AH96" s="424">
        <f t="shared" si="43"/>
        <v>0</v>
      </c>
      <c r="AI96" s="424">
        <f t="shared" si="43"/>
        <v>0</v>
      </c>
      <c r="AJ96" s="424">
        <f t="shared" si="43"/>
        <v>0</v>
      </c>
      <c r="AK96" s="424">
        <f t="shared" si="43"/>
        <v>0</v>
      </c>
    </row>
    <row r="97" spans="2:37">
      <c r="B97" s="431">
        <v>59</v>
      </c>
      <c r="C97" s="422" t="s">
        <v>548</v>
      </c>
      <c r="D97" s="422" t="s">
        <v>134</v>
      </c>
      <c r="E97" s="424">
        <f>SUM(H97:AP97)</f>
        <v>0</v>
      </c>
      <c r="H97" s="424">
        <f>H20+H30</f>
        <v>0</v>
      </c>
      <c r="I97" s="424">
        <f t="shared" ref="I97:AK97" si="44">I20+I30</f>
        <v>0</v>
      </c>
      <c r="J97" s="424">
        <f t="shared" si="44"/>
        <v>0</v>
      </c>
      <c r="K97" s="424">
        <f t="shared" si="44"/>
        <v>0</v>
      </c>
      <c r="L97" s="424">
        <f t="shared" si="44"/>
        <v>0</v>
      </c>
      <c r="M97" s="424">
        <f t="shared" si="44"/>
        <v>0</v>
      </c>
      <c r="N97" s="424">
        <f t="shared" si="44"/>
        <v>0</v>
      </c>
      <c r="O97" s="424">
        <f t="shared" si="44"/>
        <v>0</v>
      </c>
      <c r="P97" s="424">
        <f t="shared" si="44"/>
        <v>0</v>
      </c>
      <c r="Q97" s="424">
        <f t="shared" si="44"/>
        <v>0</v>
      </c>
      <c r="R97" s="424">
        <f t="shared" si="44"/>
        <v>0</v>
      </c>
      <c r="S97" s="424">
        <f t="shared" si="44"/>
        <v>0</v>
      </c>
      <c r="T97" s="424">
        <f t="shared" si="44"/>
        <v>0</v>
      </c>
      <c r="U97" s="424">
        <f t="shared" si="44"/>
        <v>0</v>
      </c>
      <c r="V97" s="424">
        <f t="shared" si="44"/>
        <v>0</v>
      </c>
      <c r="W97" s="424">
        <f t="shared" si="44"/>
        <v>0</v>
      </c>
      <c r="X97" s="424">
        <f t="shared" si="44"/>
        <v>0</v>
      </c>
      <c r="Y97" s="424">
        <f t="shared" si="44"/>
        <v>0</v>
      </c>
      <c r="Z97" s="424">
        <f t="shared" si="44"/>
        <v>0</v>
      </c>
      <c r="AA97" s="424">
        <f t="shared" si="44"/>
        <v>0</v>
      </c>
      <c r="AB97" s="424">
        <f t="shared" si="44"/>
        <v>0</v>
      </c>
      <c r="AC97" s="424">
        <f t="shared" si="44"/>
        <v>0</v>
      </c>
      <c r="AD97" s="424">
        <f t="shared" si="44"/>
        <v>0</v>
      </c>
      <c r="AE97" s="424">
        <f t="shared" si="44"/>
        <v>0</v>
      </c>
      <c r="AF97" s="424">
        <f t="shared" si="44"/>
        <v>0</v>
      </c>
      <c r="AG97" s="424">
        <f t="shared" si="44"/>
        <v>0</v>
      </c>
      <c r="AH97" s="424">
        <f t="shared" si="44"/>
        <v>0</v>
      </c>
      <c r="AI97" s="424">
        <f t="shared" si="44"/>
        <v>0</v>
      </c>
      <c r="AJ97" s="424">
        <f t="shared" si="44"/>
        <v>0</v>
      </c>
      <c r="AK97" s="424">
        <f t="shared" si="44"/>
        <v>0</v>
      </c>
    </row>
    <row r="98" spans="2:37">
      <c r="B98" s="431">
        <v>60</v>
      </c>
      <c r="C98" s="422" t="s">
        <v>549</v>
      </c>
      <c r="D98" s="422" t="s">
        <v>134</v>
      </c>
      <c r="E98" s="424">
        <f>SUM(H98:AP98)</f>
        <v>0</v>
      </c>
      <c r="H98" s="424">
        <f>H543</f>
        <v>0</v>
      </c>
      <c r="I98" s="424">
        <f t="shared" ref="I98:AK98" si="45">I543</f>
        <v>0</v>
      </c>
      <c r="J98" s="424">
        <f t="shared" si="45"/>
        <v>0</v>
      </c>
      <c r="K98" s="424">
        <f t="shared" si="45"/>
        <v>0</v>
      </c>
      <c r="L98" s="424">
        <f t="shared" si="45"/>
        <v>0</v>
      </c>
      <c r="M98" s="424">
        <f t="shared" si="45"/>
        <v>0</v>
      </c>
      <c r="N98" s="424">
        <f t="shared" si="45"/>
        <v>0</v>
      </c>
      <c r="O98" s="424">
        <f t="shared" si="45"/>
        <v>0</v>
      </c>
      <c r="P98" s="424">
        <f t="shared" si="45"/>
        <v>0</v>
      </c>
      <c r="Q98" s="424">
        <f t="shared" si="45"/>
        <v>0</v>
      </c>
      <c r="R98" s="424">
        <f t="shared" si="45"/>
        <v>0</v>
      </c>
      <c r="S98" s="424">
        <f t="shared" si="45"/>
        <v>0</v>
      </c>
      <c r="T98" s="424">
        <f t="shared" si="45"/>
        <v>0</v>
      </c>
      <c r="U98" s="424">
        <f t="shared" si="45"/>
        <v>0</v>
      </c>
      <c r="V98" s="424">
        <f t="shared" si="45"/>
        <v>0</v>
      </c>
      <c r="W98" s="424">
        <f t="shared" si="45"/>
        <v>0</v>
      </c>
      <c r="X98" s="424">
        <f t="shared" si="45"/>
        <v>0</v>
      </c>
      <c r="Y98" s="424">
        <f t="shared" si="45"/>
        <v>0</v>
      </c>
      <c r="Z98" s="424">
        <f t="shared" si="45"/>
        <v>0</v>
      </c>
      <c r="AA98" s="424">
        <f t="shared" si="45"/>
        <v>0</v>
      </c>
      <c r="AB98" s="424">
        <f t="shared" si="45"/>
        <v>0</v>
      </c>
      <c r="AC98" s="424">
        <f t="shared" si="45"/>
        <v>0</v>
      </c>
      <c r="AD98" s="424">
        <f t="shared" si="45"/>
        <v>0</v>
      </c>
      <c r="AE98" s="424">
        <f t="shared" si="45"/>
        <v>0</v>
      </c>
      <c r="AF98" s="424">
        <f t="shared" si="45"/>
        <v>0</v>
      </c>
      <c r="AG98" s="424">
        <f t="shared" si="45"/>
        <v>0</v>
      </c>
      <c r="AH98" s="424">
        <f t="shared" si="45"/>
        <v>0</v>
      </c>
      <c r="AI98" s="424">
        <f t="shared" si="45"/>
        <v>0</v>
      </c>
      <c r="AJ98" s="424">
        <f t="shared" si="45"/>
        <v>0</v>
      </c>
      <c r="AK98" s="424">
        <f t="shared" si="45"/>
        <v>0</v>
      </c>
    </row>
    <row r="99" spans="2:37">
      <c r="B99" s="431">
        <v>61</v>
      </c>
      <c r="C99" s="422" t="s">
        <v>550</v>
      </c>
      <c r="D99" s="422" t="s">
        <v>134</v>
      </c>
      <c r="H99" s="424">
        <f>SUM($H98:H98)</f>
        <v>0</v>
      </c>
      <c r="I99" s="424">
        <f>SUM($H98:I98)</f>
        <v>0</v>
      </c>
      <c r="J99" s="424">
        <f>SUM($H98:J98)</f>
        <v>0</v>
      </c>
      <c r="K99" s="424">
        <f>SUM($H98:K98)</f>
        <v>0</v>
      </c>
      <c r="L99" s="424">
        <f>SUM($H98:L98)</f>
        <v>0</v>
      </c>
      <c r="M99" s="424">
        <f>SUM($H98:M98)</f>
        <v>0</v>
      </c>
      <c r="N99" s="424">
        <f>SUM($H98:N98)</f>
        <v>0</v>
      </c>
      <c r="O99" s="424">
        <f>SUM($H98:O98)</f>
        <v>0</v>
      </c>
      <c r="P99" s="424">
        <f>SUM($H98:P98)</f>
        <v>0</v>
      </c>
      <c r="Q99" s="424">
        <f>SUM($H98:Q98)</f>
        <v>0</v>
      </c>
      <c r="R99" s="424">
        <f>SUM($H98:R98)</f>
        <v>0</v>
      </c>
      <c r="S99" s="424">
        <f>SUM($H98:S98)</f>
        <v>0</v>
      </c>
      <c r="T99" s="424">
        <f>SUM($H98:T98)</f>
        <v>0</v>
      </c>
      <c r="U99" s="424">
        <f>SUM($H98:U98)</f>
        <v>0</v>
      </c>
      <c r="V99" s="424">
        <f>SUM($H98:V98)</f>
        <v>0</v>
      </c>
      <c r="W99" s="424">
        <f>SUM($H98:W98)</f>
        <v>0</v>
      </c>
      <c r="X99" s="424">
        <f>SUM($H98:X98)</f>
        <v>0</v>
      </c>
      <c r="Y99" s="424">
        <f>SUM($H98:Y98)</f>
        <v>0</v>
      </c>
      <c r="Z99" s="424">
        <f>SUM($H98:Z98)</f>
        <v>0</v>
      </c>
      <c r="AA99" s="424">
        <f>SUM($H98:AA98)</f>
        <v>0</v>
      </c>
      <c r="AB99" s="424">
        <f>SUM($H98:AB98)</f>
        <v>0</v>
      </c>
      <c r="AC99" s="424">
        <f>SUM($H98:AC98)</f>
        <v>0</v>
      </c>
      <c r="AD99" s="424">
        <f>SUM($H98:AD98)</f>
        <v>0</v>
      </c>
      <c r="AE99" s="424">
        <f>SUM($H98:AE98)</f>
        <v>0</v>
      </c>
      <c r="AF99" s="424">
        <f>SUM($H98:AF98)</f>
        <v>0</v>
      </c>
      <c r="AG99" s="424">
        <f>SUM($H98:AG98)</f>
        <v>0</v>
      </c>
      <c r="AH99" s="424">
        <f>SUM($H98:AH98)</f>
        <v>0</v>
      </c>
      <c r="AI99" s="424">
        <f>SUM($H98:AI98)</f>
        <v>0</v>
      </c>
      <c r="AJ99" s="424">
        <f>SUM($H98:AJ98)</f>
        <v>0</v>
      </c>
      <c r="AK99" s="424">
        <f>SUM($H98:AK98)</f>
        <v>0</v>
      </c>
    </row>
    <row r="100" spans="2:37">
      <c r="B100" s="431">
        <v>62</v>
      </c>
      <c r="C100" s="422" t="s">
        <v>551</v>
      </c>
      <c r="D100" s="422" t="s">
        <v>134</v>
      </c>
      <c r="H100" s="424">
        <f>H96+H97-H98</f>
        <v>0</v>
      </c>
      <c r="I100" s="424">
        <f t="shared" ref="I100:AK100" si="46">I96+I97-I98</f>
        <v>0</v>
      </c>
      <c r="J100" s="424">
        <f t="shared" si="46"/>
        <v>0</v>
      </c>
      <c r="K100" s="424">
        <f t="shared" si="46"/>
        <v>0</v>
      </c>
      <c r="L100" s="424">
        <f t="shared" si="46"/>
        <v>0</v>
      </c>
      <c r="M100" s="424">
        <f t="shared" si="46"/>
        <v>0</v>
      </c>
      <c r="N100" s="424">
        <f t="shared" si="46"/>
        <v>0</v>
      </c>
      <c r="O100" s="424">
        <f t="shared" si="46"/>
        <v>0</v>
      </c>
      <c r="P100" s="424">
        <f t="shared" si="46"/>
        <v>0</v>
      </c>
      <c r="Q100" s="424">
        <f t="shared" si="46"/>
        <v>0</v>
      </c>
      <c r="R100" s="424">
        <f t="shared" si="46"/>
        <v>0</v>
      </c>
      <c r="S100" s="424">
        <f t="shared" si="46"/>
        <v>0</v>
      </c>
      <c r="T100" s="424">
        <f t="shared" si="46"/>
        <v>0</v>
      </c>
      <c r="U100" s="424">
        <f t="shared" si="46"/>
        <v>0</v>
      </c>
      <c r="V100" s="424">
        <f t="shared" si="46"/>
        <v>0</v>
      </c>
      <c r="W100" s="424">
        <f t="shared" si="46"/>
        <v>0</v>
      </c>
      <c r="X100" s="424">
        <f t="shared" si="46"/>
        <v>0</v>
      </c>
      <c r="Y100" s="424">
        <f t="shared" si="46"/>
        <v>0</v>
      </c>
      <c r="Z100" s="424">
        <f t="shared" si="46"/>
        <v>0</v>
      </c>
      <c r="AA100" s="424">
        <f t="shared" si="46"/>
        <v>0</v>
      </c>
      <c r="AB100" s="424">
        <f t="shared" si="46"/>
        <v>0</v>
      </c>
      <c r="AC100" s="424">
        <f t="shared" si="46"/>
        <v>0</v>
      </c>
      <c r="AD100" s="424">
        <f t="shared" si="46"/>
        <v>0</v>
      </c>
      <c r="AE100" s="424">
        <f t="shared" si="46"/>
        <v>0</v>
      </c>
      <c r="AF100" s="424">
        <f t="shared" si="46"/>
        <v>0</v>
      </c>
      <c r="AG100" s="424">
        <f t="shared" si="46"/>
        <v>0</v>
      </c>
      <c r="AH100" s="424">
        <f t="shared" si="46"/>
        <v>0</v>
      </c>
      <c r="AI100" s="424">
        <f t="shared" si="46"/>
        <v>0</v>
      </c>
      <c r="AJ100" s="424">
        <f t="shared" si="46"/>
        <v>0</v>
      </c>
      <c r="AK100" s="424">
        <f t="shared" si="46"/>
        <v>0</v>
      </c>
    </row>
    <row r="101" spans="2:37">
      <c r="B101" s="431">
        <v>63</v>
      </c>
      <c r="C101" s="191" t="str">
        <f>C21</f>
        <v>Digitalisation</v>
      </c>
      <c r="F101" s="423">
        <v>0.33329999999999999</v>
      </c>
    </row>
    <row r="102" spans="2:37">
      <c r="B102" s="431">
        <v>64</v>
      </c>
      <c r="C102" s="422" t="s">
        <v>547</v>
      </c>
      <c r="D102" s="422" t="s">
        <v>134</v>
      </c>
      <c r="H102" s="424">
        <f>G106</f>
        <v>0</v>
      </c>
      <c r="I102" s="424">
        <f t="shared" ref="I102:AK102" si="47">H106</f>
        <v>0</v>
      </c>
      <c r="J102" s="424">
        <f t="shared" si="47"/>
        <v>0</v>
      </c>
      <c r="K102" s="424">
        <f t="shared" si="47"/>
        <v>0</v>
      </c>
      <c r="L102" s="424">
        <f t="shared" si="47"/>
        <v>0</v>
      </c>
      <c r="M102" s="424">
        <f t="shared" si="47"/>
        <v>0</v>
      </c>
      <c r="N102" s="424">
        <f t="shared" si="47"/>
        <v>0</v>
      </c>
      <c r="O102" s="424">
        <f t="shared" si="47"/>
        <v>0</v>
      </c>
      <c r="P102" s="424">
        <f t="shared" si="47"/>
        <v>0</v>
      </c>
      <c r="Q102" s="424">
        <f t="shared" si="47"/>
        <v>0</v>
      </c>
      <c r="R102" s="424">
        <f t="shared" si="47"/>
        <v>0</v>
      </c>
      <c r="S102" s="424">
        <f t="shared" si="47"/>
        <v>0</v>
      </c>
      <c r="T102" s="424">
        <f t="shared" si="47"/>
        <v>0</v>
      </c>
      <c r="U102" s="424">
        <f t="shared" si="47"/>
        <v>0</v>
      </c>
      <c r="V102" s="424">
        <f t="shared" si="47"/>
        <v>0</v>
      </c>
      <c r="W102" s="424">
        <f t="shared" si="47"/>
        <v>0</v>
      </c>
      <c r="X102" s="424">
        <f t="shared" si="47"/>
        <v>0</v>
      </c>
      <c r="Y102" s="424">
        <f t="shared" si="47"/>
        <v>0</v>
      </c>
      <c r="Z102" s="424">
        <f t="shared" si="47"/>
        <v>0</v>
      </c>
      <c r="AA102" s="424">
        <f t="shared" si="47"/>
        <v>0</v>
      </c>
      <c r="AB102" s="424">
        <f t="shared" si="47"/>
        <v>0</v>
      </c>
      <c r="AC102" s="424">
        <f t="shared" si="47"/>
        <v>0</v>
      </c>
      <c r="AD102" s="424">
        <f t="shared" si="47"/>
        <v>0</v>
      </c>
      <c r="AE102" s="424">
        <f t="shared" si="47"/>
        <v>0</v>
      </c>
      <c r="AF102" s="424">
        <f t="shared" si="47"/>
        <v>0</v>
      </c>
      <c r="AG102" s="424">
        <f t="shared" si="47"/>
        <v>0</v>
      </c>
      <c r="AH102" s="424">
        <f t="shared" si="47"/>
        <v>0</v>
      </c>
      <c r="AI102" s="424">
        <f t="shared" si="47"/>
        <v>0</v>
      </c>
      <c r="AJ102" s="424">
        <f t="shared" si="47"/>
        <v>0</v>
      </c>
      <c r="AK102" s="424">
        <f t="shared" si="47"/>
        <v>0</v>
      </c>
    </row>
    <row r="103" spans="2:37">
      <c r="B103" s="431">
        <v>65</v>
      </c>
      <c r="C103" s="422" t="s">
        <v>548</v>
      </c>
      <c r="D103" s="422" t="s">
        <v>134</v>
      </c>
      <c r="E103" s="424">
        <f>SUM(H103:AP103)</f>
        <v>0</v>
      </c>
      <c r="H103" s="424">
        <f>H21+H31</f>
        <v>0</v>
      </c>
      <c r="I103" s="424">
        <f t="shared" ref="I103:AK103" si="48">I21+I31</f>
        <v>0</v>
      </c>
      <c r="J103" s="424">
        <f t="shared" si="48"/>
        <v>0</v>
      </c>
      <c r="K103" s="424">
        <f t="shared" si="48"/>
        <v>0</v>
      </c>
      <c r="L103" s="424">
        <f t="shared" si="48"/>
        <v>0</v>
      </c>
      <c r="M103" s="424">
        <f t="shared" si="48"/>
        <v>0</v>
      </c>
      <c r="N103" s="424">
        <f t="shared" si="48"/>
        <v>0</v>
      </c>
      <c r="O103" s="424">
        <f t="shared" si="48"/>
        <v>0</v>
      </c>
      <c r="P103" s="424">
        <f t="shared" si="48"/>
        <v>0</v>
      </c>
      <c r="Q103" s="424">
        <f t="shared" si="48"/>
        <v>0</v>
      </c>
      <c r="R103" s="424">
        <f t="shared" si="48"/>
        <v>0</v>
      </c>
      <c r="S103" s="424">
        <f t="shared" si="48"/>
        <v>0</v>
      </c>
      <c r="T103" s="424">
        <f t="shared" si="48"/>
        <v>0</v>
      </c>
      <c r="U103" s="424">
        <f t="shared" si="48"/>
        <v>0</v>
      </c>
      <c r="V103" s="424">
        <f t="shared" si="48"/>
        <v>0</v>
      </c>
      <c r="W103" s="424">
        <f t="shared" si="48"/>
        <v>0</v>
      </c>
      <c r="X103" s="424">
        <f t="shared" si="48"/>
        <v>0</v>
      </c>
      <c r="Y103" s="424">
        <f t="shared" si="48"/>
        <v>0</v>
      </c>
      <c r="Z103" s="424">
        <f t="shared" si="48"/>
        <v>0</v>
      </c>
      <c r="AA103" s="424">
        <f t="shared" si="48"/>
        <v>0</v>
      </c>
      <c r="AB103" s="424">
        <f t="shared" si="48"/>
        <v>0</v>
      </c>
      <c r="AC103" s="424">
        <f t="shared" si="48"/>
        <v>0</v>
      </c>
      <c r="AD103" s="424">
        <f t="shared" si="48"/>
        <v>0</v>
      </c>
      <c r="AE103" s="424">
        <f t="shared" si="48"/>
        <v>0</v>
      </c>
      <c r="AF103" s="424">
        <f t="shared" si="48"/>
        <v>0</v>
      </c>
      <c r="AG103" s="424">
        <f t="shared" si="48"/>
        <v>0</v>
      </c>
      <c r="AH103" s="424">
        <f t="shared" si="48"/>
        <v>0</v>
      </c>
      <c r="AI103" s="424">
        <f t="shared" si="48"/>
        <v>0</v>
      </c>
      <c r="AJ103" s="424">
        <f t="shared" si="48"/>
        <v>0</v>
      </c>
      <c r="AK103" s="424">
        <f t="shared" si="48"/>
        <v>0</v>
      </c>
    </row>
    <row r="104" spans="2:37">
      <c r="B104" s="431">
        <v>66</v>
      </c>
      <c r="C104" s="422" t="s">
        <v>549</v>
      </c>
      <c r="D104" s="422" t="s">
        <v>134</v>
      </c>
      <c r="E104" s="424">
        <f>SUM(H104:AP104)</f>
        <v>0</v>
      </c>
      <c r="H104" s="424">
        <f>H578</f>
        <v>0</v>
      </c>
      <c r="I104" s="424">
        <f t="shared" ref="I104:AK104" si="49">I578</f>
        <v>0</v>
      </c>
      <c r="J104" s="424">
        <f t="shared" si="49"/>
        <v>0</v>
      </c>
      <c r="K104" s="424">
        <f t="shared" si="49"/>
        <v>0</v>
      </c>
      <c r="L104" s="424">
        <f t="shared" si="49"/>
        <v>0</v>
      </c>
      <c r="M104" s="424">
        <f t="shared" si="49"/>
        <v>0</v>
      </c>
      <c r="N104" s="424">
        <f t="shared" si="49"/>
        <v>0</v>
      </c>
      <c r="O104" s="424">
        <f t="shared" si="49"/>
        <v>0</v>
      </c>
      <c r="P104" s="424">
        <f t="shared" si="49"/>
        <v>0</v>
      </c>
      <c r="Q104" s="424">
        <f t="shared" si="49"/>
        <v>0</v>
      </c>
      <c r="R104" s="424">
        <f t="shared" si="49"/>
        <v>0</v>
      </c>
      <c r="S104" s="424">
        <f t="shared" si="49"/>
        <v>0</v>
      </c>
      <c r="T104" s="424">
        <f t="shared" si="49"/>
        <v>0</v>
      </c>
      <c r="U104" s="424">
        <f t="shared" si="49"/>
        <v>0</v>
      </c>
      <c r="V104" s="424">
        <f t="shared" si="49"/>
        <v>0</v>
      </c>
      <c r="W104" s="424">
        <f t="shared" si="49"/>
        <v>0</v>
      </c>
      <c r="X104" s="424">
        <f t="shared" si="49"/>
        <v>0</v>
      </c>
      <c r="Y104" s="424">
        <f t="shared" si="49"/>
        <v>0</v>
      </c>
      <c r="Z104" s="424">
        <f t="shared" si="49"/>
        <v>0</v>
      </c>
      <c r="AA104" s="424">
        <f t="shared" si="49"/>
        <v>0</v>
      </c>
      <c r="AB104" s="424">
        <f t="shared" si="49"/>
        <v>0</v>
      </c>
      <c r="AC104" s="424">
        <f t="shared" si="49"/>
        <v>0</v>
      </c>
      <c r="AD104" s="424">
        <f t="shared" si="49"/>
        <v>0</v>
      </c>
      <c r="AE104" s="424">
        <f t="shared" si="49"/>
        <v>0</v>
      </c>
      <c r="AF104" s="424">
        <f t="shared" si="49"/>
        <v>0</v>
      </c>
      <c r="AG104" s="424">
        <f t="shared" si="49"/>
        <v>0</v>
      </c>
      <c r="AH104" s="424">
        <f t="shared" si="49"/>
        <v>0</v>
      </c>
      <c r="AI104" s="424">
        <f t="shared" si="49"/>
        <v>0</v>
      </c>
      <c r="AJ104" s="424">
        <f t="shared" si="49"/>
        <v>0</v>
      </c>
      <c r="AK104" s="424">
        <f t="shared" si="49"/>
        <v>0</v>
      </c>
    </row>
    <row r="105" spans="2:37">
      <c r="B105" s="431">
        <v>67</v>
      </c>
      <c r="C105" s="422" t="s">
        <v>550</v>
      </c>
      <c r="D105" s="422" t="s">
        <v>134</v>
      </c>
      <c r="H105" s="424">
        <f>SUM($H104:H104)</f>
        <v>0</v>
      </c>
      <c r="I105" s="424">
        <f>SUM($H104:I104)</f>
        <v>0</v>
      </c>
      <c r="J105" s="424">
        <f>SUM($H104:J104)</f>
        <v>0</v>
      </c>
      <c r="K105" s="424">
        <f>SUM($H104:K104)</f>
        <v>0</v>
      </c>
      <c r="L105" s="424">
        <f>SUM($H104:L104)</f>
        <v>0</v>
      </c>
      <c r="M105" s="424">
        <f>SUM($H104:M104)</f>
        <v>0</v>
      </c>
      <c r="N105" s="424">
        <f>SUM($H104:N104)</f>
        <v>0</v>
      </c>
      <c r="O105" s="424">
        <f>SUM($H104:O104)</f>
        <v>0</v>
      </c>
      <c r="P105" s="424">
        <f>SUM($H104:P104)</f>
        <v>0</v>
      </c>
      <c r="Q105" s="424">
        <f>SUM($H104:Q104)</f>
        <v>0</v>
      </c>
      <c r="R105" s="424">
        <f>SUM($H104:R104)</f>
        <v>0</v>
      </c>
      <c r="S105" s="424">
        <f>SUM($H104:S104)</f>
        <v>0</v>
      </c>
      <c r="T105" s="424">
        <f>SUM($H104:T104)</f>
        <v>0</v>
      </c>
      <c r="U105" s="424">
        <f>SUM($H104:U104)</f>
        <v>0</v>
      </c>
      <c r="V105" s="424">
        <f>SUM($H104:V104)</f>
        <v>0</v>
      </c>
      <c r="W105" s="424">
        <f>SUM($H104:W104)</f>
        <v>0</v>
      </c>
      <c r="X105" s="424">
        <f>SUM($H104:X104)</f>
        <v>0</v>
      </c>
      <c r="Y105" s="424">
        <f>SUM($H104:Y104)</f>
        <v>0</v>
      </c>
      <c r="Z105" s="424">
        <f>SUM($H104:Z104)</f>
        <v>0</v>
      </c>
      <c r="AA105" s="424">
        <f>SUM($H104:AA104)</f>
        <v>0</v>
      </c>
      <c r="AB105" s="424">
        <f>SUM($H104:AB104)</f>
        <v>0</v>
      </c>
      <c r="AC105" s="424">
        <f>SUM($H104:AC104)</f>
        <v>0</v>
      </c>
      <c r="AD105" s="424">
        <f>SUM($H104:AD104)</f>
        <v>0</v>
      </c>
      <c r="AE105" s="424">
        <f>SUM($H104:AE104)</f>
        <v>0</v>
      </c>
      <c r="AF105" s="424">
        <f>SUM($H104:AF104)</f>
        <v>0</v>
      </c>
      <c r="AG105" s="424">
        <f>SUM($H104:AG104)</f>
        <v>0</v>
      </c>
      <c r="AH105" s="424">
        <f>SUM($H104:AH104)</f>
        <v>0</v>
      </c>
      <c r="AI105" s="424">
        <f>SUM($H104:AI104)</f>
        <v>0</v>
      </c>
      <c r="AJ105" s="424">
        <f>SUM($H104:AJ104)</f>
        <v>0</v>
      </c>
      <c r="AK105" s="424">
        <f>SUM($H104:AK104)</f>
        <v>0</v>
      </c>
    </row>
    <row r="106" spans="2:37">
      <c r="B106" s="431">
        <v>68</v>
      </c>
      <c r="C106" s="422" t="s">
        <v>551</v>
      </c>
      <c r="D106" s="422" t="s">
        <v>134</v>
      </c>
      <c r="H106" s="424">
        <f>H102+H103-H104</f>
        <v>0</v>
      </c>
      <c r="I106" s="424">
        <f t="shared" ref="I106:AK106" si="50">I102+I103-I104</f>
        <v>0</v>
      </c>
      <c r="J106" s="424">
        <f t="shared" si="50"/>
        <v>0</v>
      </c>
      <c r="K106" s="424">
        <f t="shared" si="50"/>
        <v>0</v>
      </c>
      <c r="L106" s="424">
        <f t="shared" si="50"/>
        <v>0</v>
      </c>
      <c r="M106" s="424">
        <f t="shared" si="50"/>
        <v>0</v>
      </c>
      <c r="N106" s="424">
        <f t="shared" si="50"/>
        <v>0</v>
      </c>
      <c r="O106" s="424">
        <f t="shared" si="50"/>
        <v>0</v>
      </c>
      <c r="P106" s="424">
        <f t="shared" si="50"/>
        <v>0</v>
      </c>
      <c r="Q106" s="424">
        <f t="shared" si="50"/>
        <v>0</v>
      </c>
      <c r="R106" s="424">
        <f t="shared" si="50"/>
        <v>0</v>
      </c>
      <c r="S106" s="424">
        <f t="shared" si="50"/>
        <v>0</v>
      </c>
      <c r="T106" s="424">
        <f t="shared" si="50"/>
        <v>0</v>
      </c>
      <c r="U106" s="424">
        <f t="shared" si="50"/>
        <v>0</v>
      </c>
      <c r="V106" s="424">
        <f t="shared" si="50"/>
        <v>0</v>
      </c>
      <c r="W106" s="424">
        <f t="shared" si="50"/>
        <v>0</v>
      </c>
      <c r="X106" s="424">
        <f t="shared" si="50"/>
        <v>0</v>
      </c>
      <c r="Y106" s="424">
        <f t="shared" si="50"/>
        <v>0</v>
      </c>
      <c r="Z106" s="424">
        <f t="shared" si="50"/>
        <v>0</v>
      </c>
      <c r="AA106" s="424">
        <f t="shared" si="50"/>
        <v>0</v>
      </c>
      <c r="AB106" s="424">
        <f t="shared" si="50"/>
        <v>0</v>
      </c>
      <c r="AC106" s="424">
        <f t="shared" si="50"/>
        <v>0</v>
      </c>
      <c r="AD106" s="424">
        <f t="shared" si="50"/>
        <v>0</v>
      </c>
      <c r="AE106" s="424">
        <f t="shared" si="50"/>
        <v>0</v>
      </c>
      <c r="AF106" s="424">
        <f t="shared" si="50"/>
        <v>0</v>
      </c>
      <c r="AG106" s="424">
        <f t="shared" si="50"/>
        <v>0</v>
      </c>
      <c r="AH106" s="424">
        <f t="shared" si="50"/>
        <v>0</v>
      </c>
      <c r="AI106" s="424">
        <f t="shared" si="50"/>
        <v>0</v>
      </c>
      <c r="AJ106" s="424">
        <f t="shared" si="50"/>
        <v>0</v>
      </c>
      <c r="AK106" s="424">
        <f t="shared" si="50"/>
        <v>0</v>
      </c>
    </row>
    <row r="107" spans="2:37">
      <c r="B107" s="431">
        <v>69</v>
      </c>
      <c r="C107" s="191" t="str">
        <f>C22</f>
        <v>Contingency</v>
      </c>
      <c r="F107" s="423">
        <v>0</v>
      </c>
    </row>
    <row r="108" spans="2:37">
      <c r="B108" s="431">
        <v>70</v>
      </c>
      <c r="C108" s="422" t="s">
        <v>547</v>
      </c>
      <c r="D108" s="422" t="s">
        <v>134</v>
      </c>
      <c r="H108" s="424">
        <f>G112</f>
        <v>0</v>
      </c>
    </row>
    <row r="109" spans="2:37">
      <c r="B109" s="431">
        <v>71</v>
      </c>
      <c r="C109" s="422" t="s">
        <v>548</v>
      </c>
      <c r="D109" s="422" t="s">
        <v>134</v>
      </c>
      <c r="E109" s="424">
        <f>SUM(H109:AP109)</f>
        <v>0</v>
      </c>
      <c r="H109" s="424">
        <f>H22+H32</f>
        <v>0</v>
      </c>
      <c r="I109" s="424">
        <f t="shared" ref="I109:AK109" si="51">I22+I32</f>
        <v>0</v>
      </c>
      <c r="J109" s="424">
        <f t="shared" si="51"/>
        <v>0</v>
      </c>
      <c r="K109" s="424">
        <f t="shared" si="51"/>
        <v>0</v>
      </c>
      <c r="L109" s="424">
        <f t="shared" si="51"/>
        <v>0</v>
      </c>
      <c r="M109" s="424">
        <f t="shared" si="51"/>
        <v>0</v>
      </c>
      <c r="N109" s="424">
        <f t="shared" si="51"/>
        <v>0</v>
      </c>
      <c r="O109" s="424">
        <f t="shared" si="51"/>
        <v>0</v>
      </c>
      <c r="P109" s="424">
        <f t="shared" si="51"/>
        <v>0</v>
      </c>
      <c r="Q109" s="424">
        <f t="shared" si="51"/>
        <v>0</v>
      </c>
      <c r="R109" s="424">
        <f t="shared" si="51"/>
        <v>0</v>
      </c>
      <c r="S109" s="424">
        <f t="shared" si="51"/>
        <v>0</v>
      </c>
      <c r="T109" s="424">
        <f t="shared" si="51"/>
        <v>0</v>
      </c>
      <c r="U109" s="424">
        <f t="shared" si="51"/>
        <v>0</v>
      </c>
      <c r="V109" s="424">
        <f t="shared" si="51"/>
        <v>0</v>
      </c>
      <c r="W109" s="424">
        <f t="shared" si="51"/>
        <v>0</v>
      </c>
      <c r="X109" s="424">
        <f t="shared" si="51"/>
        <v>0</v>
      </c>
      <c r="Y109" s="424">
        <f t="shared" si="51"/>
        <v>0</v>
      </c>
      <c r="Z109" s="424">
        <f t="shared" si="51"/>
        <v>0</v>
      </c>
      <c r="AA109" s="424">
        <f t="shared" si="51"/>
        <v>0</v>
      </c>
      <c r="AB109" s="424">
        <f t="shared" si="51"/>
        <v>0</v>
      </c>
      <c r="AC109" s="424">
        <f t="shared" si="51"/>
        <v>0</v>
      </c>
      <c r="AD109" s="424">
        <f t="shared" si="51"/>
        <v>0</v>
      </c>
      <c r="AE109" s="424">
        <f t="shared" si="51"/>
        <v>0</v>
      </c>
      <c r="AF109" s="424">
        <f t="shared" si="51"/>
        <v>0</v>
      </c>
      <c r="AG109" s="424">
        <f t="shared" si="51"/>
        <v>0</v>
      </c>
      <c r="AH109" s="424">
        <f t="shared" si="51"/>
        <v>0</v>
      </c>
      <c r="AI109" s="424">
        <f t="shared" si="51"/>
        <v>0</v>
      </c>
      <c r="AJ109" s="424">
        <f t="shared" si="51"/>
        <v>0</v>
      </c>
      <c r="AK109" s="424">
        <f t="shared" si="51"/>
        <v>0</v>
      </c>
    </row>
    <row r="110" spans="2:37">
      <c r="B110" s="431">
        <v>72</v>
      </c>
      <c r="C110" s="422" t="s">
        <v>549</v>
      </c>
      <c r="D110" s="422" t="s">
        <v>134</v>
      </c>
      <c r="E110" s="424">
        <f>SUM(H110:AP110)</f>
        <v>0</v>
      </c>
      <c r="H110" s="424">
        <f>H613</f>
        <v>0</v>
      </c>
      <c r="I110" s="424">
        <f t="shared" ref="I110:AK110" si="52">I613</f>
        <v>0</v>
      </c>
      <c r="J110" s="424">
        <f t="shared" si="52"/>
        <v>0</v>
      </c>
      <c r="K110" s="424">
        <f t="shared" si="52"/>
        <v>0</v>
      </c>
      <c r="L110" s="424">
        <f t="shared" si="52"/>
        <v>0</v>
      </c>
      <c r="M110" s="424">
        <f t="shared" si="52"/>
        <v>0</v>
      </c>
      <c r="N110" s="424">
        <f t="shared" si="52"/>
        <v>0</v>
      </c>
      <c r="O110" s="424">
        <f t="shared" si="52"/>
        <v>0</v>
      </c>
      <c r="P110" s="424">
        <f t="shared" si="52"/>
        <v>0</v>
      </c>
      <c r="Q110" s="424">
        <f t="shared" si="52"/>
        <v>0</v>
      </c>
      <c r="R110" s="424">
        <f t="shared" si="52"/>
        <v>0</v>
      </c>
      <c r="S110" s="424">
        <f t="shared" si="52"/>
        <v>0</v>
      </c>
      <c r="T110" s="424">
        <f t="shared" si="52"/>
        <v>0</v>
      </c>
      <c r="U110" s="424">
        <f t="shared" si="52"/>
        <v>0</v>
      </c>
      <c r="V110" s="424">
        <f t="shared" si="52"/>
        <v>0</v>
      </c>
      <c r="W110" s="424">
        <f t="shared" si="52"/>
        <v>0</v>
      </c>
      <c r="X110" s="424">
        <f t="shared" si="52"/>
        <v>0</v>
      </c>
      <c r="Y110" s="424">
        <f t="shared" si="52"/>
        <v>0</v>
      </c>
      <c r="Z110" s="424">
        <f t="shared" si="52"/>
        <v>0</v>
      </c>
      <c r="AA110" s="424">
        <f t="shared" si="52"/>
        <v>0</v>
      </c>
      <c r="AB110" s="424">
        <f t="shared" si="52"/>
        <v>0</v>
      </c>
      <c r="AC110" s="424">
        <f t="shared" si="52"/>
        <v>0</v>
      </c>
      <c r="AD110" s="424">
        <f t="shared" si="52"/>
        <v>0</v>
      </c>
      <c r="AE110" s="424">
        <f t="shared" si="52"/>
        <v>0</v>
      </c>
      <c r="AF110" s="424">
        <f t="shared" si="52"/>
        <v>0</v>
      </c>
      <c r="AG110" s="424">
        <f t="shared" si="52"/>
        <v>0</v>
      </c>
      <c r="AH110" s="424">
        <f t="shared" si="52"/>
        <v>0</v>
      </c>
      <c r="AI110" s="424">
        <f t="shared" si="52"/>
        <v>0</v>
      </c>
      <c r="AJ110" s="424">
        <f t="shared" si="52"/>
        <v>0</v>
      </c>
      <c r="AK110" s="424">
        <f t="shared" si="52"/>
        <v>0</v>
      </c>
    </row>
    <row r="111" spans="2:37">
      <c r="B111" s="431">
        <v>73</v>
      </c>
      <c r="C111" s="422" t="s">
        <v>550</v>
      </c>
      <c r="D111" s="422" t="s">
        <v>134</v>
      </c>
      <c r="H111" s="424">
        <f>SUM($H110:H110)</f>
        <v>0</v>
      </c>
      <c r="I111" s="424">
        <f>SUM($H110:I110)</f>
        <v>0</v>
      </c>
      <c r="J111" s="424">
        <f>SUM($H110:J110)</f>
        <v>0</v>
      </c>
      <c r="K111" s="424">
        <f>SUM($H110:K110)</f>
        <v>0</v>
      </c>
      <c r="L111" s="424">
        <f>SUM($H110:L110)</f>
        <v>0</v>
      </c>
      <c r="M111" s="424">
        <f>SUM($H110:M110)</f>
        <v>0</v>
      </c>
      <c r="N111" s="424">
        <f>SUM($H110:N110)</f>
        <v>0</v>
      </c>
      <c r="O111" s="424">
        <f>SUM($H110:O110)</f>
        <v>0</v>
      </c>
      <c r="P111" s="424">
        <f>SUM($H110:P110)</f>
        <v>0</v>
      </c>
      <c r="Q111" s="424">
        <f>SUM($H110:Q110)</f>
        <v>0</v>
      </c>
      <c r="R111" s="424">
        <f>SUM($H110:R110)</f>
        <v>0</v>
      </c>
      <c r="S111" s="424">
        <f>SUM($H110:S110)</f>
        <v>0</v>
      </c>
      <c r="T111" s="424">
        <f>SUM($H110:T110)</f>
        <v>0</v>
      </c>
      <c r="U111" s="424">
        <f>SUM($H110:U110)</f>
        <v>0</v>
      </c>
      <c r="V111" s="424">
        <f>SUM($H110:V110)</f>
        <v>0</v>
      </c>
      <c r="W111" s="424">
        <f>SUM($H110:W110)</f>
        <v>0</v>
      </c>
      <c r="X111" s="424">
        <f>SUM($H110:X110)</f>
        <v>0</v>
      </c>
      <c r="Y111" s="424">
        <f>SUM($H110:Y110)</f>
        <v>0</v>
      </c>
      <c r="Z111" s="424">
        <f>SUM($H110:Z110)</f>
        <v>0</v>
      </c>
      <c r="AA111" s="424">
        <f>SUM($H110:AA110)</f>
        <v>0</v>
      </c>
      <c r="AB111" s="424">
        <f>SUM($H110:AB110)</f>
        <v>0</v>
      </c>
      <c r="AC111" s="424">
        <f>SUM($H110:AC110)</f>
        <v>0</v>
      </c>
      <c r="AD111" s="424">
        <f>SUM($H110:AD110)</f>
        <v>0</v>
      </c>
      <c r="AE111" s="424">
        <f>SUM($H110:AE110)</f>
        <v>0</v>
      </c>
      <c r="AF111" s="424">
        <f>SUM($H110:AF110)</f>
        <v>0</v>
      </c>
      <c r="AG111" s="424">
        <f>SUM($H110:AG110)</f>
        <v>0</v>
      </c>
      <c r="AH111" s="424">
        <f>SUM($H110:AH110)</f>
        <v>0</v>
      </c>
      <c r="AI111" s="424">
        <f>SUM($H110:AI110)</f>
        <v>0</v>
      </c>
      <c r="AJ111" s="424">
        <f>SUM($H110:AJ110)</f>
        <v>0</v>
      </c>
      <c r="AK111" s="424">
        <f>SUM($H110:AK110)</f>
        <v>0</v>
      </c>
    </row>
    <row r="112" spans="2:37">
      <c r="B112" s="431">
        <v>74</v>
      </c>
      <c r="C112" s="422" t="s">
        <v>551</v>
      </c>
      <c r="D112" s="422" t="s">
        <v>134</v>
      </c>
      <c r="H112" s="424">
        <f>H108+H109-H110</f>
        <v>0</v>
      </c>
      <c r="I112" s="424">
        <f t="shared" ref="I112:AK112" si="53">I108+I109-I110</f>
        <v>0</v>
      </c>
      <c r="J112" s="424">
        <f t="shared" si="53"/>
        <v>0</v>
      </c>
      <c r="K112" s="424">
        <f t="shared" si="53"/>
        <v>0</v>
      </c>
      <c r="L112" s="424">
        <f t="shared" si="53"/>
        <v>0</v>
      </c>
      <c r="M112" s="424">
        <f t="shared" si="53"/>
        <v>0</v>
      </c>
      <c r="N112" s="424">
        <f t="shared" si="53"/>
        <v>0</v>
      </c>
      <c r="O112" s="424">
        <f t="shared" si="53"/>
        <v>0</v>
      </c>
      <c r="P112" s="424">
        <f t="shared" si="53"/>
        <v>0</v>
      </c>
      <c r="Q112" s="424">
        <f t="shared" si="53"/>
        <v>0</v>
      </c>
      <c r="R112" s="424">
        <f t="shared" si="53"/>
        <v>0</v>
      </c>
      <c r="S112" s="424">
        <f t="shared" si="53"/>
        <v>0</v>
      </c>
      <c r="T112" s="424">
        <f t="shared" si="53"/>
        <v>0</v>
      </c>
      <c r="U112" s="424">
        <f t="shared" si="53"/>
        <v>0</v>
      </c>
      <c r="V112" s="424">
        <f t="shared" si="53"/>
        <v>0</v>
      </c>
      <c r="W112" s="424">
        <f t="shared" si="53"/>
        <v>0</v>
      </c>
      <c r="X112" s="424">
        <f t="shared" si="53"/>
        <v>0</v>
      </c>
      <c r="Y112" s="424">
        <f t="shared" si="53"/>
        <v>0</v>
      </c>
      <c r="Z112" s="424">
        <f t="shared" si="53"/>
        <v>0</v>
      </c>
      <c r="AA112" s="424">
        <f t="shared" si="53"/>
        <v>0</v>
      </c>
      <c r="AB112" s="424">
        <f t="shared" si="53"/>
        <v>0</v>
      </c>
      <c r="AC112" s="424">
        <f t="shared" si="53"/>
        <v>0</v>
      </c>
      <c r="AD112" s="424">
        <f t="shared" si="53"/>
        <v>0</v>
      </c>
      <c r="AE112" s="424">
        <f t="shared" si="53"/>
        <v>0</v>
      </c>
      <c r="AF112" s="424">
        <f t="shared" si="53"/>
        <v>0</v>
      </c>
      <c r="AG112" s="424">
        <f t="shared" si="53"/>
        <v>0</v>
      </c>
      <c r="AH112" s="424">
        <f t="shared" si="53"/>
        <v>0</v>
      </c>
      <c r="AI112" s="424">
        <f t="shared" si="53"/>
        <v>0</v>
      </c>
      <c r="AJ112" s="424">
        <f t="shared" si="53"/>
        <v>0</v>
      </c>
      <c r="AK112" s="424">
        <f t="shared" si="53"/>
        <v>0</v>
      </c>
    </row>
    <row r="114" spans="3:37" ht="14" thickBot="1">
      <c r="C114" s="425" t="s">
        <v>552</v>
      </c>
      <c r="D114" s="425" t="s">
        <v>134</v>
      </c>
      <c r="E114" s="433">
        <f>SUM(H114:AP114)</f>
        <v>0</v>
      </c>
      <c r="F114" s="432">
        <f>E43+E49+E55+E61+E67+E73+E79+E85+E91+E97+E103+E109</f>
        <v>0</v>
      </c>
      <c r="G114" s="242" t="b">
        <f>F114=E35</f>
        <v>1</v>
      </c>
      <c r="H114" s="432">
        <f>H44+H50+H56+H62+H68+H74+H80+H86+H92+H98+H104+H110</f>
        <v>0</v>
      </c>
      <c r="I114" s="432">
        <f t="shared" ref="I114:AK114" si="54">I44+I50+I56+I62+I68+I74+I80+I86+I92+I98+I104+I110</f>
        <v>0</v>
      </c>
      <c r="J114" s="432">
        <f t="shared" si="54"/>
        <v>0</v>
      </c>
      <c r="K114" s="432">
        <f t="shared" si="54"/>
        <v>0</v>
      </c>
      <c r="L114" s="432">
        <f t="shared" si="54"/>
        <v>0</v>
      </c>
      <c r="M114" s="432">
        <f t="shared" si="54"/>
        <v>0</v>
      </c>
      <c r="N114" s="432">
        <f t="shared" si="54"/>
        <v>0</v>
      </c>
      <c r="O114" s="432">
        <f t="shared" si="54"/>
        <v>0</v>
      </c>
      <c r="P114" s="432">
        <f t="shared" si="54"/>
        <v>0</v>
      </c>
      <c r="Q114" s="432">
        <f t="shared" si="54"/>
        <v>0</v>
      </c>
      <c r="R114" s="432">
        <f t="shared" si="54"/>
        <v>0</v>
      </c>
      <c r="S114" s="432">
        <f t="shared" si="54"/>
        <v>0</v>
      </c>
      <c r="T114" s="432">
        <f t="shared" si="54"/>
        <v>0</v>
      </c>
      <c r="U114" s="432">
        <f t="shared" si="54"/>
        <v>0</v>
      </c>
      <c r="V114" s="432">
        <f t="shared" si="54"/>
        <v>0</v>
      </c>
      <c r="W114" s="432">
        <f t="shared" si="54"/>
        <v>0</v>
      </c>
      <c r="X114" s="432">
        <f t="shared" si="54"/>
        <v>0</v>
      </c>
      <c r="Y114" s="432">
        <f t="shared" si="54"/>
        <v>0</v>
      </c>
      <c r="Z114" s="432">
        <f t="shared" si="54"/>
        <v>0</v>
      </c>
      <c r="AA114" s="432">
        <f t="shared" si="54"/>
        <v>0</v>
      </c>
      <c r="AB114" s="432">
        <f t="shared" si="54"/>
        <v>0</v>
      </c>
      <c r="AC114" s="432">
        <f t="shared" si="54"/>
        <v>0</v>
      </c>
      <c r="AD114" s="432">
        <f t="shared" si="54"/>
        <v>0</v>
      </c>
      <c r="AE114" s="432">
        <f t="shared" si="54"/>
        <v>0</v>
      </c>
      <c r="AF114" s="432">
        <f t="shared" si="54"/>
        <v>0</v>
      </c>
      <c r="AG114" s="432">
        <f t="shared" si="54"/>
        <v>0</v>
      </c>
      <c r="AH114" s="432">
        <f t="shared" si="54"/>
        <v>0</v>
      </c>
      <c r="AI114" s="432">
        <f t="shared" si="54"/>
        <v>0</v>
      </c>
      <c r="AJ114" s="432">
        <f t="shared" si="54"/>
        <v>0</v>
      </c>
      <c r="AK114" s="432">
        <f t="shared" si="54"/>
        <v>0</v>
      </c>
    </row>
    <row r="115" spans="3:37" ht="14" thickTop="1">
      <c r="D115" s="422" t="s">
        <v>275</v>
      </c>
      <c r="E115" s="441">
        <f>E114/($E$4/10)</f>
        <v>0</v>
      </c>
    </row>
    <row r="116" spans="3:37">
      <c r="C116" s="191" t="s">
        <v>553</v>
      </c>
    </row>
    <row r="117" spans="3:37" outlineLevel="1">
      <c r="C117" s="191" t="s">
        <v>166</v>
      </c>
      <c r="H117" s="201">
        <f>H39</f>
        <v>46023</v>
      </c>
      <c r="I117" s="201">
        <f t="shared" ref="I117:AK118" si="55">I39</f>
        <v>46389</v>
      </c>
      <c r="J117" s="201">
        <f t="shared" si="55"/>
        <v>46755</v>
      </c>
      <c r="K117" s="201">
        <f t="shared" si="55"/>
        <v>47121</v>
      </c>
      <c r="L117" s="201">
        <f t="shared" si="55"/>
        <v>47487</v>
      </c>
      <c r="M117" s="201">
        <f t="shared" si="55"/>
        <v>47853</v>
      </c>
      <c r="N117" s="201">
        <f t="shared" si="55"/>
        <v>48219</v>
      </c>
      <c r="O117" s="201">
        <f t="shared" si="55"/>
        <v>48585</v>
      </c>
      <c r="P117" s="201">
        <f t="shared" si="55"/>
        <v>48951</v>
      </c>
      <c r="Q117" s="201">
        <f t="shared" si="55"/>
        <v>49317</v>
      </c>
      <c r="R117" s="201">
        <f t="shared" si="55"/>
        <v>49683</v>
      </c>
      <c r="S117" s="201">
        <f t="shared" si="55"/>
        <v>50049</v>
      </c>
      <c r="T117" s="201">
        <f t="shared" si="55"/>
        <v>50415</v>
      </c>
      <c r="U117" s="201">
        <f t="shared" si="55"/>
        <v>50781</v>
      </c>
      <c r="V117" s="201">
        <f t="shared" si="55"/>
        <v>51147</v>
      </c>
      <c r="W117" s="201">
        <f t="shared" si="55"/>
        <v>51513</v>
      </c>
      <c r="X117" s="201">
        <f t="shared" si="55"/>
        <v>51879</v>
      </c>
      <c r="Y117" s="201">
        <f t="shared" si="55"/>
        <v>52245</v>
      </c>
      <c r="Z117" s="201">
        <f t="shared" si="55"/>
        <v>52611</v>
      </c>
      <c r="AA117" s="201">
        <f t="shared" si="55"/>
        <v>52977</v>
      </c>
      <c r="AB117" s="201">
        <f t="shared" si="55"/>
        <v>53343</v>
      </c>
      <c r="AC117" s="201">
        <f t="shared" si="55"/>
        <v>53709</v>
      </c>
      <c r="AD117" s="201">
        <f t="shared" si="55"/>
        <v>54075</v>
      </c>
      <c r="AE117" s="201">
        <f t="shared" si="55"/>
        <v>0</v>
      </c>
      <c r="AF117" s="201">
        <f t="shared" si="55"/>
        <v>0</v>
      </c>
      <c r="AG117" s="201">
        <f t="shared" si="55"/>
        <v>0</v>
      </c>
      <c r="AH117" s="201">
        <f t="shared" si="55"/>
        <v>0</v>
      </c>
      <c r="AI117" s="201">
        <f t="shared" si="55"/>
        <v>0</v>
      </c>
      <c r="AJ117" s="201">
        <f t="shared" si="55"/>
        <v>0</v>
      </c>
      <c r="AK117" s="201">
        <f t="shared" si="55"/>
        <v>0</v>
      </c>
    </row>
    <row r="118" spans="3:37" outlineLevel="1">
      <c r="H118" s="1141">
        <f>H40</f>
        <v>-4</v>
      </c>
      <c r="I118" s="1141">
        <f t="shared" si="55"/>
        <v>-3</v>
      </c>
      <c r="J118" s="1141">
        <f t="shared" si="55"/>
        <v>-2</v>
      </c>
      <c r="K118" s="1141">
        <f t="shared" si="55"/>
        <v>-1</v>
      </c>
      <c r="L118" s="1141">
        <f t="shared" si="55"/>
        <v>1</v>
      </c>
      <c r="M118" s="1141">
        <f t="shared" si="55"/>
        <v>2</v>
      </c>
      <c r="N118" s="1141">
        <f t="shared" si="55"/>
        <v>3</v>
      </c>
      <c r="O118" s="1141">
        <f t="shared" si="55"/>
        <v>4</v>
      </c>
      <c r="P118" s="1141">
        <f t="shared" si="55"/>
        <v>5</v>
      </c>
      <c r="Q118" s="1141">
        <f t="shared" si="55"/>
        <v>6</v>
      </c>
      <c r="R118" s="1141">
        <f t="shared" si="55"/>
        <v>7</v>
      </c>
      <c r="S118" s="1141">
        <f t="shared" si="55"/>
        <v>8</v>
      </c>
      <c r="T118" s="1141">
        <f t="shared" si="55"/>
        <v>9</v>
      </c>
      <c r="U118" s="1141">
        <f t="shared" si="55"/>
        <v>10</v>
      </c>
      <c r="V118" s="1141">
        <f t="shared" si="55"/>
        <v>11</v>
      </c>
      <c r="W118" s="1141">
        <f t="shared" si="55"/>
        <v>12</v>
      </c>
      <c r="X118" s="1141">
        <f t="shared" si="55"/>
        <v>13</v>
      </c>
      <c r="Y118" s="1141">
        <f t="shared" si="55"/>
        <v>14</v>
      </c>
      <c r="Z118" s="1141">
        <f t="shared" si="55"/>
        <v>15</v>
      </c>
      <c r="AA118" s="1141">
        <f t="shared" si="55"/>
        <v>16</v>
      </c>
      <c r="AB118" s="1141">
        <f t="shared" si="55"/>
        <v>17</v>
      </c>
      <c r="AC118" s="1141">
        <f t="shared" si="55"/>
        <v>18</v>
      </c>
      <c r="AD118" s="1141">
        <f t="shared" si="55"/>
        <v>19</v>
      </c>
      <c r="AE118" s="1141">
        <f t="shared" si="55"/>
        <v>0</v>
      </c>
      <c r="AF118" s="1141">
        <f t="shared" si="55"/>
        <v>0</v>
      </c>
      <c r="AG118" s="1141">
        <f t="shared" si="55"/>
        <v>0</v>
      </c>
      <c r="AH118" s="1141">
        <f t="shared" si="55"/>
        <v>0</v>
      </c>
      <c r="AI118" s="1141">
        <f t="shared" si="55"/>
        <v>0</v>
      </c>
      <c r="AJ118" s="1141">
        <f t="shared" si="55"/>
        <v>0</v>
      </c>
      <c r="AK118" s="1141">
        <f t="shared" si="55"/>
        <v>0</v>
      </c>
    </row>
    <row r="119" spans="3:37" outlineLevel="1">
      <c r="C119" s="191" t="str">
        <f>C41</f>
        <v xml:space="preserve">Pre-operative costs </v>
      </c>
      <c r="F119" s="423">
        <v>0</v>
      </c>
    </row>
    <row r="120" spans="3:37" outlineLevel="1">
      <c r="C120" s="422" t="s">
        <v>547</v>
      </c>
      <c r="D120" s="422" t="s">
        <v>134</v>
      </c>
      <c r="H120" s="424">
        <f>G124</f>
        <v>0</v>
      </c>
      <c r="I120" s="424">
        <f t="shared" ref="I120:AK120" si="56">H124</f>
        <v>0</v>
      </c>
      <c r="J120" s="424">
        <f t="shared" si="56"/>
        <v>0</v>
      </c>
      <c r="K120" s="424">
        <f t="shared" si="56"/>
        <v>0</v>
      </c>
      <c r="L120" s="424">
        <f t="shared" si="56"/>
        <v>0</v>
      </c>
      <c r="M120" s="424">
        <f t="shared" si="56"/>
        <v>0</v>
      </c>
      <c r="N120" s="424">
        <f t="shared" si="56"/>
        <v>0</v>
      </c>
      <c r="O120" s="424">
        <f t="shared" si="56"/>
        <v>0</v>
      </c>
      <c r="P120" s="424">
        <f t="shared" si="56"/>
        <v>0</v>
      </c>
      <c r="Q120" s="424">
        <f t="shared" si="56"/>
        <v>0</v>
      </c>
      <c r="R120" s="424">
        <f t="shared" si="56"/>
        <v>0</v>
      </c>
      <c r="S120" s="424">
        <f t="shared" si="56"/>
        <v>0</v>
      </c>
      <c r="T120" s="424">
        <f t="shared" si="56"/>
        <v>0</v>
      </c>
      <c r="U120" s="424">
        <f t="shared" si="56"/>
        <v>0</v>
      </c>
      <c r="V120" s="424">
        <f t="shared" si="56"/>
        <v>0</v>
      </c>
      <c r="W120" s="424">
        <f t="shared" si="56"/>
        <v>0</v>
      </c>
      <c r="X120" s="424">
        <f t="shared" si="56"/>
        <v>0</v>
      </c>
      <c r="Y120" s="424">
        <f t="shared" si="56"/>
        <v>0</v>
      </c>
      <c r="Z120" s="424">
        <f t="shared" si="56"/>
        <v>0</v>
      </c>
      <c r="AA120" s="424">
        <f t="shared" si="56"/>
        <v>0</v>
      </c>
      <c r="AB120" s="424">
        <f t="shared" si="56"/>
        <v>0</v>
      </c>
      <c r="AC120" s="424">
        <f t="shared" si="56"/>
        <v>0</v>
      </c>
      <c r="AD120" s="424">
        <f t="shared" si="56"/>
        <v>0</v>
      </c>
      <c r="AE120" s="424">
        <f t="shared" si="56"/>
        <v>0</v>
      </c>
      <c r="AF120" s="424">
        <f t="shared" si="56"/>
        <v>0</v>
      </c>
      <c r="AG120" s="424">
        <f t="shared" si="56"/>
        <v>0</v>
      </c>
      <c r="AH120" s="424">
        <f t="shared" si="56"/>
        <v>0</v>
      </c>
      <c r="AI120" s="424">
        <f t="shared" si="56"/>
        <v>0</v>
      </c>
      <c r="AJ120" s="424">
        <f t="shared" si="56"/>
        <v>0</v>
      </c>
      <c r="AK120" s="424">
        <f t="shared" si="56"/>
        <v>0</v>
      </c>
    </row>
    <row r="121" spans="3:37" outlineLevel="1">
      <c r="C121" s="422" t="s">
        <v>548</v>
      </c>
      <c r="D121" s="422" t="s">
        <v>134</v>
      </c>
      <c r="E121" s="424">
        <f>SUM(H121:AP121)</f>
        <v>0</v>
      </c>
      <c r="H121" s="424">
        <f>H43</f>
        <v>0</v>
      </c>
      <c r="I121" s="424">
        <f t="shared" ref="I121:AK121" si="57">I43</f>
        <v>0</v>
      </c>
      <c r="J121" s="424">
        <f t="shared" si="57"/>
        <v>0</v>
      </c>
      <c r="K121" s="424">
        <f t="shared" si="57"/>
        <v>0</v>
      </c>
      <c r="L121" s="424">
        <f t="shared" si="57"/>
        <v>0</v>
      </c>
      <c r="M121" s="424">
        <f t="shared" si="57"/>
        <v>0</v>
      </c>
      <c r="N121" s="424">
        <f t="shared" si="57"/>
        <v>0</v>
      </c>
      <c r="O121" s="424">
        <f t="shared" si="57"/>
        <v>0</v>
      </c>
      <c r="P121" s="424">
        <f t="shared" si="57"/>
        <v>0</v>
      </c>
      <c r="Q121" s="424">
        <f t="shared" si="57"/>
        <v>0</v>
      </c>
      <c r="R121" s="424">
        <f t="shared" si="57"/>
        <v>0</v>
      </c>
      <c r="S121" s="424">
        <f t="shared" si="57"/>
        <v>0</v>
      </c>
      <c r="T121" s="424">
        <f t="shared" si="57"/>
        <v>0</v>
      </c>
      <c r="U121" s="424">
        <f t="shared" si="57"/>
        <v>0</v>
      </c>
      <c r="V121" s="424">
        <f t="shared" si="57"/>
        <v>0</v>
      </c>
      <c r="W121" s="424">
        <f t="shared" si="57"/>
        <v>0</v>
      </c>
      <c r="X121" s="424">
        <f t="shared" si="57"/>
        <v>0</v>
      </c>
      <c r="Y121" s="424">
        <f t="shared" si="57"/>
        <v>0</v>
      </c>
      <c r="Z121" s="424">
        <f t="shared" si="57"/>
        <v>0</v>
      </c>
      <c r="AA121" s="424">
        <f t="shared" si="57"/>
        <v>0</v>
      </c>
      <c r="AB121" s="424">
        <f t="shared" si="57"/>
        <v>0</v>
      </c>
      <c r="AC121" s="424">
        <f t="shared" si="57"/>
        <v>0</v>
      </c>
      <c r="AD121" s="424">
        <f t="shared" si="57"/>
        <v>0</v>
      </c>
      <c r="AE121" s="424">
        <f t="shared" si="57"/>
        <v>0</v>
      </c>
      <c r="AF121" s="424">
        <f t="shared" si="57"/>
        <v>0</v>
      </c>
      <c r="AG121" s="424">
        <f t="shared" si="57"/>
        <v>0</v>
      </c>
      <c r="AH121" s="424">
        <f t="shared" si="57"/>
        <v>0</v>
      </c>
      <c r="AI121" s="424">
        <f t="shared" si="57"/>
        <v>0</v>
      </c>
      <c r="AJ121" s="424">
        <f t="shared" si="57"/>
        <v>0</v>
      </c>
      <c r="AK121" s="424">
        <f t="shared" si="57"/>
        <v>0</v>
      </c>
    </row>
    <row r="122" spans="3:37" outlineLevel="1">
      <c r="C122" s="422" t="s">
        <v>549</v>
      </c>
      <c r="D122" s="422" t="s">
        <v>134</v>
      </c>
      <c r="E122" s="424">
        <f>SUM(H122:AP122)</f>
        <v>0</v>
      </c>
      <c r="H122" s="439">
        <f>IF(H$117&lt;Assumptions_Dashboard!$D$5,0,$F$119)*(H120+H121)</f>
        <v>0</v>
      </c>
      <c r="I122" s="439">
        <f>IF(I$117&lt;Assumptions_Dashboard!$D$5,0,$F$119)*(I120+I121)</f>
        <v>0</v>
      </c>
      <c r="J122" s="439">
        <f>IF(J$117&lt;Assumptions_Dashboard!$D$5,0,$F$119)*(J120+J121)</f>
        <v>0</v>
      </c>
      <c r="K122" s="439">
        <f>IF(K$117&lt;Assumptions_Dashboard!$D$5,0,$F$119)*(K120+K121)</f>
        <v>0</v>
      </c>
      <c r="L122" s="439">
        <f>IF(L$117&lt;Assumptions_Dashboard!$D$5,0,$F$119)*(L120+L121)</f>
        <v>0</v>
      </c>
      <c r="M122" s="439">
        <f>IF(M$117&lt;Assumptions_Dashboard!$D$5,0,$F$119)*(M120+M121)</f>
        <v>0</v>
      </c>
      <c r="N122" s="439">
        <f>IF(N$117&lt;Assumptions_Dashboard!$D$5,0,$F$119)*(N120+N121)</f>
        <v>0</v>
      </c>
      <c r="O122" s="439">
        <f>IF(O$117&lt;Assumptions_Dashboard!$D$5,0,$F$119)*(O120+O121)</f>
        <v>0</v>
      </c>
      <c r="P122" s="439">
        <f>IF(P$117&lt;Assumptions_Dashboard!$D$5,0,$F$119)*(P120+P121)</f>
        <v>0</v>
      </c>
      <c r="Q122" s="439">
        <f>IF(Q$117&lt;Assumptions_Dashboard!$D$5,0,$F$119)*(Q120+Q121)</f>
        <v>0</v>
      </c>
      <c r="R122" s="439">
        <f>IF(R$117&lt;Assumptions_Dashboard!$D$5,0,$F$119)*(R120+R121)</f>
        <v>0</v>
      </c>
      <c r="S122" s="439">
        <f>IF(S$117&lt;Assumptions_Dashboard!$D$5,0,$F$119)*(S120+S121)</f>
        <v>0</v>
      </c>
      <c r="T122" s="439">
        <f>IF(T$117&lt;Assumptions_Dashboard!$D$5,0,$F$119)*(T120+T121)</f>
        <v>0</v>
      </c>
      <c r="U122" s="439">
        <f>IF(U$117&lt;Assumptions_Dashboard!$D$5,0,$F$119)*(U120+U121)</f>
        <v>0</v>
      </c>
      <c r="V122" s="439">
        <f>IF(V$117&lt;Assumptions_Dashboard!$D$5,0,$F$119)*(V120+V121)</f>
        <v>0</v>
      </c>
      <c r="W122" s="439">
        <f>IF(W$117&lt;Assumptions_Dashboard!$D$5,0,$F$119)*(W120+W121)</f>
        <v>0</v>
      </c>
      <c r="X122" s="439">
        <f>IF(X$117&lt;Assumptions_Dashboard!$D$5,0,$F$119)*(X120+X121)</f>
        <v>0</v>
      </c>
      <c r="Y122" s="439">
        <f>IF(Y$117&lt;Assumptions_Dashboard!$D$5,0,$F$119)*(Y120+Y121)</f>
        <v>0</v>
      </c>
      <c r="Z122" s="439">
        <f>IF(Z$117&lt;Assumptions_Dashboard!$D$5,0,$F$119)*(Z120+Z121)</f>
        <v>0</v>
      </c>
      <c r="AA122" s="439">
        <f>IF(AA$117&lt;Assumptions_Dashboard!$D$5,0,$F$119)*(AA120+AA121)</f>
        <v>0</v>
      </c>
      <c r="AB122" s="439">
        <f>IF(AB$117&lt;Assumptions_Dashboard!$D$5,0,$F$119)*(AB120+AB121)</f>
        <v>0</v>
      </c>
      <c r="AC122" s="439">
        <f>IF(AC$117&lt;Assumptions_Dashboard!$D$5,0,$F$119)*(AC120+AC121)</f>
        <v>0</v>
      </c>
      <c r="AD122" s="439">
        <f>IF(AD$117&lt;Assumptions_Dashboard!$D$5,0,$F$119)*(AD120+AD121)</f>
        <v>0</v>
      </c>
      <c r="AE122" s="439">
        <f>IF(AE$117&lt;Assumptions_Dashboard!$D$5,0,$F$119)*(AE120+AE121)</f>
        <v>0</v>
      </c>
      <c r="AF122" s="439">
        <f>IF(AF$117&lt;Assumptions_Dashboard!$D$5,0,$F$119)*(AF120+AF121)</f>
        <v>0</v>
      </c>
      <c r="AG122" s="439">
        <f>IF(AG$117&lt;Assumptions_Dashboard!$D$5,0,$F$119)*(AG120+AG121)</f>
        <v>0</v>
      </c>
      <c r="AH122" s="439">
        <f>IF(AH$117&lt;Assumptions_Dashboard!$D$5,0,$F$119)*(AH120+AH121)</f>
        <v>0</v>
      </c>
      <c r="AI122" s="439">
        <f>IF(AI$117&lt;Assumptions_Dashboard!$D$5,0,$F$119)*(AI120+AI121)</f>
        <v>0</v>
      </c>
      <c r="AJ122" s="439">
        <f>IF(AJ$117&lt;Assumptions_Dashboard!$D$5,0,$F$119)*(AJ120+AJ121)</f>
        <v>0</v>
      </c>
      <c r="AK122" s="439">
        <f>IF(AK$117&lt;Assumptions_Dashboard!$D$5,0,$F$119)*(AK120+AK121)</f>
        <v>0</v>
      </c>
    </row>
    <row r="123" spans="3:37" outlineLevel="1">
      <c r="C123" s="422" t="s">
        <v>550</v>
      </c>
      <c r="D123" s="422" t="s">
        <v>134</v>
      </c>
      <c r="H123" s="424">
        <f>SUM($H122:H122)</f>
        <v>0</v>
      </c>
      <c r="I123" s="424">
        <f>SUM($H122:I122)</f>
        <v>0</v>
      </c>
      <c r="J123" s="424">
        <f>SUM($H122:J122)</f>
        <v>0</v>
      </c>
      <c r="K123" s="424">
        <f>SUM($H122:K122)</f>
        <v>0</v>
      </c>
      <c r="L123" s="424">
        <f>SUM($H122:L122)</f>
        <v>0</v>
      </c>
      <c r="M123" s="424">
        <f>SUM($H122:M122)</f>
        <v>0</v>
      </c>
      <c r="N123" s="424">
        <f>SUM($H122:N122)</f>
        <v>0</v>
      </c>
      <c r="O123" s="424">
        <f>SUM($H122:O122)</f>
        <v>0</v>
      </c>
      <c r="P123" s="424">
        <f>SUM($H122:P122)</f>
        <v>0</v>
      </c>
      <c r="Q123" s="424">
        <f>SUM($H122:Q122)</f>
        <v>0</v>
      </c>
      <c r="R123" s="424">
        <f>SUM($H122:R122)</f>
        <v>0</v>
      </c>
      <c r="S123" s="424">
        <f>SUM($H122:S122)</f>
        <v>0</v>
      </c>
      <c r="T123" s="424">
        <f>SUM($H122:T122)</f>
        <v>0</v>
      </c>
      <c r="U123" s="424">
        <f>SUM($H122:U122)</f>
        <v>0</v>
      </c>
      <c r="V123" s="424">
        <f>SUM($H122:V122)</f>
        <v>0</v>
      </c>
      <c r="W123" s="424">
        <f>SUM($H122:W122)</f>
        <v>0</v>
      </c>
      <c r="X123" s="424">
        <f>SUM($H122:X122)</f>
        <v>0</v>
      </c>
      <c r="Y123" s="424">
        <f>SUM($H122:Y122)</f>
        <v>0</v>
      </c>
      <c r="Z123" s="424">
        <f>SUM($H122:Z122)</f>
        <v>0</v>
      </c>
      <c r="AA123" s="424">
        <f>SUM($H122:AA122)</f>
        <v>0</v>
      </c>
      <c r="AB123" s="424">
        <f>SUM($H122:AB122)</f>
        <v>0</v>
      </c>
      <c r="AC123" s="424">
        <f>SUM($H122:AC122)</f>
        <v>0</v>
      </c>
      <c r="AD123" s="424">
        <f>SUM($H122:AD122)</f>
        <v>0</v>
      </c>
      <c r="AE123" s="424">
        <f>SUM($H122:AE122)</f>
        <v>0</v>
      </c>
      <c r="AF123" s="424">
        <f>SUM($H122:AF122)</f>
        <v>0</v>
      </c>
      <c r="AG123" s="424">
        <f>SUM($H122:AG122)</f>
        <v>0</v>
      </c>
      <c r="AH123" s="424">
        <f>SUM($H122:AH122)</f>
        <v>0</v>
      </c>
      <c r="AI123" s="424">
        <f>SUM($H122:AI122)</f>
        <v>0</v>
      </c>
      <c r="AJ123" s="424">
        <f>SUM($H122:AJ122)</f>
        <v>0</v>
      </c>
      <c r="AK123" s="424">
        <f>SUM($H122:AK122)</f>
        <v>0</v>
      </c>
    </row>
    <row r="124" spans="3:37" outlineLevel="1">
      <c r="C124" s="422" t="s">
        <v>551</v>
      </c>
      <c r="D124" s="422" t="s">
        <v>134</v>
      </c>
      <c r="H124" s="424">
        <f>H120+H121-H122</f>
        <v>0</v>
      </c>
      <c r="I124" s="424">
        <f t="shared" ref="I124:AK124" si="58">I120+I121-I122</f>
        <v>0</v>
      </c>
      <c r="J124" s="424">
        <f t="shared" si="58"/>
        <v>0</v>
      </c>
      <c r="K124" s="424">
        <f t="shared" si="58"/>
        <v>0</v>
      </c>
      <c r="L124" s="424">
        <f t="shared" si="58"/>
        <v>0</v>
      </c>
      <c r="M124" s="424">
        <f t="shared" si="58"/>
        <v>0</v>
      </c>
      <c r="N124" s="424">
        <f t="shared" si="58"/>
        <v>0</v>
      </c>
      <c r="O124" s="424">
        <f t="shared" si="58"/>
        <v>0</v>
      </c>
      <c r="P124" s="424">
        <f t="shared" si="58"/>
        <v>0</v>
      </c>
      <c r="Q124" s="424">
        <f t="shared" si="58"/>
        <v>0</v>
      </c>
      <c r="R124" s="424">
        <f t="shared" si="58"/>
        <v>0</v>
      </c>
      <c r="S124" s="424">
        <f t="shared" si="58"/>
        <v>0</v>
      </c>
      <c r="T124" s="424">
        <f t="shared" si="58"/>
        <v>0</v>
      </c>
      <c r="U124" s="424">
        <f t="shared" si="58"/>
        <v>0</v>
      </c>
      <c r="V124" s="424">
        <f t="shared" si="58"/>
        <v>0</v>
      </c>
      <c r="W124" s="424">
        <f t="shared" si="58"/>
        <v>0</v>
      </c>
      <c r="X124" s="424">
        <f t="shared" si="58"/>
        <v>0</v>
      </c>
      <c r="Y124" s="424">
        <f t="shared" si="58"/>
        <v>0</v>
      </c>
      <c r="Z124" s="424">
        <f t="shared" si="58"/>
        <v>0</v>
      </c>
      <c r="AA124" s="424">
        <f t="shared" si="58"/>
        <v>0</v>
      </c>
      <c r="AB124" s="424">
        <f t="shared" si="58"/>
        <v>0</v>
      </c>
      <c r="AC124" s="424">
        <f t="shared" si="58"/>
        <v>0</v>
      </c>
      <c r="AD124" s="424">
        <f t="shared" si="58"/>
        <v>0</v>
      </c>
      <c r="AE124" s="424">
        <f t="shared" si="58"/>
        <v>0</v>
      </c>
      <c r="AF124" s="424">
        <f t="shared" si="58"/>
        <v>0</v>
      </c>
      <c r="AG124" s="424">
        <f t="shared" si="58"/>
        <v>0</v>
      </c>
      <c r="AH124" s="424">
        <f t="shared" si="58"/>
        <v>0</v>
      </c>
      <c r="AI124" s="424">
        <f t="shared" si="58"/>
        <v>0</v>
      </c>
      <c r="AJ124" s="424">
        <f t="shared" si="58"/>
        <v>0</v>
      </c>
      <c r="AK124" s="424">
        <f t="shared" si="58"/>
        <v>0</v>
      </c>
    </row>
    <row r="125" spans="3:37" outlineLevel="1">
      <c r="C125" s="191" t="str">
        <f>C47</f>
        <v>Land Cost</v>
      </c>
      <c r="F125" s="423">
        <v>0</v>
      </c>
    </row>
    <row r="126" spans="3:37" outlineLevel="1">
      <c r="C126" s="422" t="s">
        <v>547</v>
      </c>
      <c r="D126" s="422" t="s">
        <v>134</v>
      </c>
      <c r="H126" s="424">
        <f>G130</f>
        <v>0</v>
      </c>
      <c r="I126" s="424">
        <f t="shared" ref="I126:AK126" si="59">H130</f>
        <v>0</v>
      </c>
      <c r="J126" s="424">
        <f t="shared" si="59"/>
        <v>0</v>
      </c>
      <c r="K126" s="424">
        <f t="shared" si="59"/>
        <v>0</v>
      </c>
      <c r="L126" s="424">
        <f t="shared" si="59"/>
        <v>0</v>
      </c>
      <c r="M126" s="424">
        <f t="shared" si="59"/>
        <v>0</v>
      </c>
      <c r="N126" s="424">
        <f t="shared" si="59"/>
        <v>0</v>
      </c>
      <c r="O126" s="424">
        <f t="shared" si="59"/>
        <v>0</v>
      </c>
      <c r="P126" s="424">
        <f t="shared" si="59"/>
        <v>0</v>
      </c>
      <c r="Q126" s="424">
        <f t="shared" si="59"/>
        <v>0</v>
      </c>
      <c r="R126" s="424">
        <f t="shared" si="59"/>
        <v>0</v>
      </c>
      <c r="S126" s="424">
        <f t="shared" si="59"/>
        <v>0</v>
      </c>
      <c r="T126" s="424">
        <f t="shared" si="59"/>
        <v>0</v>
      </c>
      <c r="U126" s="424">
        <f t="shared" si="59"/>
        <v>0</v>
      </c>
      <c r="V126" s="424">
        <f t="shared" si="59"/>
        <v>0</v>
      </c>
      <c r="W126" s="424">
        <f t="shared" si="59"/>
        <v>0</v>
      </c>
      <c r="X126" s="424">
        <f t="shared" si="59"/>
        <v>0</v>
      </c>
      <c r="Y126" s="424">
        <f t="shared" si="59"/>
        <v>0</v>
      </c>
      <c r="Z126" s="424">
        <f t="shared" si="59"/>
        <v>0</v>
      </c>
      <c r="AA126" s="424">
        <f t="shared" si="59"/>
        <v>0</v>
      </c>
      <c r="AB126" s="424">
        <f t="shared" si="59"/>
        <v>0</v>
      </c>
      <c r="AC126" s="424">
        <f t="shared" si="59"/>
        <v>0</v>
      </c>
      <c r="AD126" s="424">
        <f t="shared" si="59"/>
        <v>0</v>
      </c>
      <c r="AE126" s="424">
        <f t="shared" si="59"/>
        <v>0</v>
      </c>
      <c r="AF126" s="424">
        <f t="shared" si="59"/>
        <v>0</v>
      </c>
      <c r="AG126" s="424">
        <f t="shared" si="59"/>
        <v>0</v>
      </c>
      <c r="AH126" s="424">
        <f t="shared" si="59"/>
        <v>0</v>
      </c>
      <c r="AI126" s="424">
        <f t="shared" si="59"/>
        <v>0</v>
      </c>
      <c r="AJ126" s="424">
        <f t="shared" si="59"/>
        <v>0</v>
      </c>
      <c r="AK126" s="424">
        <f t="shared" si="59"/>
        <v>0</v>
      </c>
    </row>
    <row r="127" spans="3:37" outlineLevel="1">
      <c r="C127" s="422" t="s">
        <v>548</v>
      </c>
      <c r="D127" s="422" t="s">
        <v>134</v>
      </c>
      <c r="E127" s="424">
        <f>SUM(H127:AP127)</f>
        <v>0</v>
      </c>
      <c r="H127" s="424">
        <f>H49</f>
        <v>0</v>
      </c>
      <c r="I127" s="424">
        <f t="shared" ref="I127:AK127" si="60">I49</f>
        <v>0</v>
      </c>
      <c r="J127" s="424">
        <f t="shared" si="60"/>
        <v>0</v>
      </c>
      <c r="K127" s="424">
        <f t="shared" si="60"/>
        <v>0</v>
      </c>
      <c r="L127" s="424">
        <f t="shared" si="60"/>
        <v>0</v>
      </c>
      <c r="M127" s="424">
        <f t="shared" si="60"/>
        <v>0</v>
      </c>
      <c r="N127" s="424">
        <f t="shared" si="60"/>
        <v>0</v>
      </c>
      <c r="O127" s="424">
        <f t="shared" si="60"/>
        <v>0</v>
      </c>
      <c r="P127" s="424">
        <f t="shared" si="60"/>
        <v>0</v>
      </c>
      <c r="Q127" s="424">
        <f t="shared" si="60"/>
        <v>0</v>
      </c>
      <c r="R127" s="424">
        <f t="shared" si="60"/>
        <v>0</v>
      </c>
      <c r="S127" s="424">
        <f t="shared" si="60"/>
        <v>0</v>
      </c>
      <c r="T127" s="424">
        <f t="shared" si="60"/>
        <v>0</v>
      </c>
      <c r="U127" s="424">
        <f t="shared" si="60"/>
        <v>0</v>
      </c>
      <c r="V127" s="424">
        <f t="shared" si="60"/>
        <v>0</v>
      </c>
      <c r="W127" s="424">
        <f t="shared" si="60"/>
        <v>0</v>
      </c>
      <c r="X127" s="424">
        <f t="shared" si="60"/>
        <v>0</v>
      </c>
      <c r="Y127" s="424">
        <f t="shared" si="60"/>
        <v>0</v>
      </c>
      <c r="Z127" s="424">
        <f t="shared" si="60"/>
        <v>0</v>
      </c>
      <c r="AA127" s="424">
        <f t="shared" si="60"/>
        <v>0</v>
      </c>
      <c r="AB127" s="424">
        <f t="shared" si="60"/>
        <v>0</v>
      </c>
      <c r="AC127" s="424">
        <f t="shared" si="60"/>
        <v>0</v>
      </c>
      <c r="AD127" s="424">
        <f t="shared" si="60"/>
        <v>0</v>
      </c>
      <c r="AE127" s="424">
        <f t="shared" si="60"/>
        <v>0</v>
      </c>
      <c r="AF127" s="424">
        <f t="shared" si="60"/>
        <v>0</v>
      </c>
      <c r="AG127" s="424">
        <f t="shared" si="60"/>
        <v>0</v>
      </c>
      <c r="AH127" s="424">
        <f t="shared" si="60"/>
        <v>0</v>
      </c>
      <c r="AI127" s="424">
        <f t="shared" si="60"/>
        <v>0</v>
      </c>
      <c r="AJ127" s="424">
        <f t="shared" si="60"/>
        <v>0</v>
      </c>
      <c r="AK127" s="424">
        <f t="shared" si="60"/>
        <v>0</v>
      </c>
    </row>
    <row r="128" spans="3:37" outlineLevel="1">
      <c r="C128" s="422" t="s">
        <v>549</v>
      </c>
      <c r="D128" s="422" t="s">
        <v>134</v>
      </c>
      <c r="E128" s="424">
        <f>SUM(H128:AP128)</f>
        <v>0</v>
      </c>
      <c r="H128" s="439">
        <f>IF(H$117&lt;Assumptions_Dashboard!$D$5,0,$F$125)*(H126+H127)</f>
        <v>0</v>
      </c>
      <c r="I128" s="439">
        <f>IF(I$117&lt;Assumptions_Dashboard!$D$5,0,$F$125)*(I126+I127)</f>
        <v>0</v>
      </c>
      <c r="J128" s="439">
        <f>IF(J$117&lt;Assumptions_Dashboard!$D$5,0,$F$125)*(J126+J127)</f>
        <v>0</v>
      </c>
      <c r="K128" s="439">
        <f>IF(K$117&lt;Assumptions_Dashboard!$D$5,0,$F$125)*(K126+K127)</f>
        <v>0</v>
      </c>
      <c r="L128" s="439">
        <f>IF(L$117&lt;Assumptions_Dashboard!$D$5,0,$F$125)*(L126+L127)</f>
        <v>0</v>
      </c>
      <c r="M128" s="439">
        <f>IF(M$117&lt;Assumptions_Dashboard!$D$5,0,$F$125)*(M126+M127)</f>
        <v>0</v>
      </c>
      <c r="N128" s="439">
        <f>IF(N$117&lt;Assumptions_Dashboard!$D$5,0,$F$125)*(N126+N127)</f>
        <v>0</v>
      </c>
      <c r="O128" s="439">
        <f>IF(O$117&lt;Assumptions_Dashboard!$D$5,0,$F$125)*(O126+O127)</f>
        <v>0</v>
      </c>
      <c r="P128" s="439">
        <f>IF(P$117&lt;Assumptions_Dashboard!$D$5,0,$F$125)*(P126+P127)</f>
        <v>0</v>
      </c>
      <c r="Q128" s="439">
        <f>IF(Q$117&lt;Assumptions_Dashboard!$D$5,0,$F$125)*(Q126+Q127)</f>
        <v>0</v>
      </c>
      <c r="R128" s="439">
        <f>IF(R$117&lt;Assumptions_Dashboard!$D$5,0,$F$125)*(R126+R127)</f>
        <v>0</v>
      </c>
      <c r="S128" s="439">
        <f>IF(S$117&lt;Assumptions_Dashboard!$D$5,0,$F$125)*(S126+S127)</f>
        <v>0</v>
      </c>
      <c r="T128" s="439">
        <f>IF(T$117&lt;Assumptions_Dashboard!$D$5,0,$F$125)*(T126+T127)</f>
        <v>0</v>
      </c>
      <c r="U128" s="439">
        <f>IF(U$117&lt;Assumptions_Dashboard!$D$5,0,$F$125)*(U126+U127)</f>
        <v>0</v>
      </c>
      <c r="V128" s="439">
        <f>IF(V$117&lt;Assumptions_Dashboard!$D$5,0,$F$125)*(V126+V127)</f>
        <v>0</v>
      </c>
      <c r="W128" s="439">
        <f>IF(W$117&lt;Assumptions_Dashboard!$D$5,0,$F$125)*(W126+W127)</f>
        <v>0</v>
      </c>
      <c r="X128" s="439">
        <f>IF(X$117&lt;Assumptions_Dashboard!$D$5,0,$F$125)*(X126+X127)</f>
        <v>0</v>
      </c>
      <c r="Y128" s="439">
        <f>IF(Y$117&lt;Assumptions_Dashboard!$D$5,0,$F$125)*(Y126+Y127)</f>
        <v>0</v>
      </c>
      <c r="Z128" s="439">
        <f>IF(Z$117&lt;Assumptions_Dashboard!$D$5,0,$F$125)*(Z126+Z127)</f>
        <v>0</v>
      </c>
      <c r="AA128" s="439">
        <f>IF(AA$117&lt;Assumptions_Dashboard!$D$5,0,$F$125)*(AA126+AA127)</f>
        <v>0</v>
      </c>
      <c r="AB128" s="439">
        <f>IF(AB$117&lt;Assumptions_Dashboard!$D$5,0,$F$125)*(AB126+AB127)</f>
        <v>0</v>
      </c>
      <c r="AC128" s="439">
        <f>IF(AC$117&lt;Assumptions_Dashboard!$D$5,0,$F$125)*(AC126+AC127)</f>
        <v>0</v>
      </c>
      <c r="AD128" s="439">
        <f>IF(AD$117&lt;Assumptions_Dashboard!$D$5,0,$F$125)*(AD126+AD127)</f>
        <v>0</v>
      </c>
      <c r="AE128" s="439">
        <f>IF(AE$117&lt;Assumptions_Dashboard!$D$5,0,$F$125)*(AE126+AE127)</f>
        <v>0</v>
      </c>
      <c r="AF128" s="439">
        <f>IF(AF$117&lt;Assumptions_Dashboard!$D$5,0,$F$125)*(AF126+AF127)</f>
        <v>0</v>
      </c>
      <c r="AG128" s="439">
        <f>IF(AG$117&lt;Assumptions_Dashboard!$D$5,0,$F$125)*(AG126+AG127)</f>
        <v>0</v>
      </c>
      <c r="AH128" s="439">
        <f>IF(AH$117&lt;Assumptions_Dashboard!$D$5,0,$F$125)*(AH126+AH127)</f>
        <v>0</v>
      </c>
      <c r="AI128" s="439">
        <f>IF(AI$117&lt;Assumptions_Dashboard!$D$5,0,$F$125)*(AI126+AI127)</f>
        <v>0</v>
      </c>
      <c r="AJ128" s="439">
        <f>IF(AJ$117&lt;Assumptions_Dashboard!$D$5,0,$F$125)*(AJ126+AJ127)</f>
        <v>0</v>
      </c>
      <c r="AK128" s="439">
        <f>IF(AK$117&lt;Assumptions_Dashboard!$D$5,0,$F$125)*(AK126+AK127)</f>
        <v>0</v>
      </c>
    </row>
    <row r="129" spans="3:37" outlineLevel="1">
      <c r="C129" s="422" t="s">
        <v>550</v>
      </c>
      <c r="D129" s="422" t="s">
        <v>134</v>
      </c>
      <c r="H129" s="424">
        <f>SUM($H128:H128)</f>
        <v>0</v>
      </c>
      <c r="I129" s="424">
        <f>SUM($H128:I128)</f>
        <v>0</v>
      </c>
      <c r="J129" s="424">
        <f>SUM($H128:J128)</f>
        <v>0</v>
      </c>
      <c r="K129" s="424">
        <f>SUM($H128:K128)</f>
        <v>0</v>
      </c>
      <c r="L129" s="424">
        <f>SUM($H128:L128)</f>
        <v>0</v>
      </c>
      <c r="M129" s="424">
        <f>SUM($H128:M128)</f>
        <v>0</v>
      </c>
      <c r="N129" s="424">
        <f>SUM($H128:N128)</f>
        <v>0</v>
      </c>
      <c r="O129" s="424">
        <f>SUM($H128:O128)</f>
        <v>0</v>
      </c>
      <c r="P129" s="424">
        <f>SUM($H128:P128)</f>
        <v>0</v>
      </c>
      <c r="Q129" s="424">
        <f>SUM($H128:Q128)</f>
        <v>0</v>
      </c>
      <c r="R129" s="424">
        <f>SUM($H128:R128)</f>
        <v>0</v>
      </c>
      <c r="S129" s="424">
        <f>SUM($H128:S128)</f>
        <v>0</v>
      </c>
      <c r="T129" s="424">
        <f>SUM($H128:T128)</f>
        <v>0</v>
      </c>
      <c r="U129" s="424">
        <f>SUM($H128:U128)</f>
        <v>0</v>
      </c>
      <c r="V129" s="424">
        <f>SUM($H128:V128)</f>
        <v>0</v>
      </c>
      <c r="W129" s="424">
        <f>SUM($H128:W128)</f>
        <v>0</v>
      </c>
      <c r="X129" s="424">
        <f>SUM($H128:X128)</f>
        <v>0</v>
      </c>
      <c r="Y129" s="424">
        <f>SUM($H128:Y128)</f>
        <v>0</v>
      </c>
      <c r="Z129" s="424">
        <f>SUM($H128:Z128)</f>
        <v>0</v>
      </c>
      <c r="AA129" s="424">
        <f>SUM($H128:AA128)</f>
        <v>0</v>
      </c>
      <c r="AB129" s="424">
        <f>SUM($H128:AB128)</f>
        <v>0</v>
      </c>
      <c r="AC129" s="424">
        <f>SUM($H128:AC128)</f>
        <v>0</v>
      </c>
      <c r="AD129" s="424">
        <f>SUM($H128:AD128)</f>
        <v>0</v>
      </c>
      <c r="AE129" s="424">
        <f>SUM($H128:AE128)</f>
        <v>0</v>
      </c>
      <c r="AF129" s="424">
        <f>SUM($H128:AF128)</f>
        <v>0</v>
      </c>
      <c r="AG129" s="424">
        <f>SUM($H128:AG128)</f>
        <v>0</v>
      </c>
      <c r="AH129" s="424">
        <f>SUM($H128:AH128)</f>
        <v>0</v>
      </c>
      <c r="AI129" s="424">
        <f>SUM($H128:AI128)</f>
        <v>0</v>
      </c>
      <c r="AJ129" s="424">
        <f>SUM($H128:AJ128)</f>
        <v>0</v>
      </c>
      <c r="AK129" s="424">
        <f>SUM($H128:AK128)</f>
        <v>0</v>
      </c>
    </row>
    <row r="130" spans="3:37" outlineLevel="1">
      <c r="C130" s="422" t="s">
        <v>551</v>
      </c>
      <c r="D130" s="422" t="s">
        <v>134</v>
      </c>
      <c r="H130" s="424">
        <f>H126+H127-H128</f>
        <v>0</v>
      </c>
      <c r="I130" s="424">
        <f t="shared" ref="I130:AK130" si="61">I126+I127-I128</f>
        <v>0</v>
      </c>
      <c r="J130" s="424">
        <f t="shared" si="61"/>
        <v>0</v>
      </c>
      <c r="K130" s="424">
        <f t="shared" si="61"/>
        <v>0</v>
      </c>
      <c r="L130" s="424">
        <f t="shared" si="61"/>
        <v>0</v>
      </c>
      <c r="M130" s="424">
        <f t="shared" si="61"/>
        <v>0</v>
      </c>
      <c r="N130" s="424">
        <f t="shared" si="61"/>
        <v>0</v>
      </c>
      <c r="O130" s="424">
        <f t="shared" si="61"/>
        <v>0</v>
      </c>
      <c r="P130" s="424">
        <f t="shared" si="61"/>
        <v>0</v>
      </c>
      <c r="Q130" s="424">
        <f t="shared" si="61"/>
        <v>0</v>
      </c>
      <c r="R130" s="424">
        <f t="shared" si="61"/>
        <v>0</v>
      </c>
      <c r="S130" s="424">
        <f t="shared" si="61"/>
        <v>0</v>
      </c>
      <c r="T130" s="424">
        <f t="shared" si="61"/>
        <v>0</v>
      </c>
      <c r="U130" s="424">
        <f t="shared" si="61"/>
        <v>0</v>
      </c>
      <c r="V130" s="424">
        <f t="shared" si="61"/>
        <v>0</v>
      </c>
      <c r="W130" s="424">
        <f t="shared" si="61"/>
        <v>0</v>
      </c>
      <c r="X130" s="424">
        <f t="shared" si="61"/>
        <v>0</v>
      </c>
      <c r="Y130" s="424">
        <f t="shared" si="61"/>
        <v>0</v>
      </c>
      <c r="Z130" s="424">
        <f t="shared" si="61"/>
        <v>0</v>
      </c>
      <c r="AA130" s="424">
        <f t="shared" si="61"/>
        <v>0</v>
      </c>
      <c r="AB130" s="424">
        <f t="shared" si="61"/>
        <v>0</v>
      </c>
      <c r="AC130" s="424">
        <f t="shared" si="61"/>
        <v>0</v>
      </c>
      <c r="AD130" s="424">
        <f t="shared" si="61"/>
        <v>0</v>
      </c>
      <c r="AE130" s="424">
        <f t="shared" si="61"/>
        <v>0</v>
      </c>
      <c r="AF130" s="424">
        <f t="shared" si="61"/>
        <v>0</v>
      </c>
      <c r="AG130" s="424">
        <f t="shared" si="61"/>
        <v>0</v>
      </c>
      <c r="AH130" s="424">
        <f t="shared" si="61"/>
        <v>0</v>
      </c>
      <c r="AI130" s="424">
        <f t="shared" si="61"/>
        <v>0</v>
      </c>
      <c r="AJ130" s="424">
        <f t="shared" si="61"/>
        <v>0</v>
      </c>
      <c r="AK130" s="424">
        <f t="shared" si="61"/>
        <v>0</v>
      </c>
    </row>
    <row r="131" spans="3:37" outlineLevel="1">
      <c r="C131" s="191" t="str">
        <f>C53</f>
        <v xml:space="preserve">HEMM Equipment </v>
      </c>
      <c r="F131" s="423">
        <v>0.4</v>
      </c>
    </row>
    <row r="132" spans="3:37" outlineLevel="1">
      <c r="C132" s="422" t="s">
        <v>547</v>
      </c>
      <c r="D132" s="422" t="s">
        <v>134</v>
      </c>
      <c r="H132" s="424">
        <f>G136</f>
        <v>0</v>
      </c>
      <c r="I132" s="424">
        <f t="shared" ref="I132:AK132" si="62">H136</f>
        <v>0</v>
      </c>
      <c r="J132" s="424">
        <f t="shared" si="62"/>
        <v>0</v>
      </c>
      <c r="K132" s="424">
        <f t="shared" si="62"/>
        <v>0</v>
      </c>
      <c r="L132" s="424">
        <f t="shared" si="62"/>
        <v>0</v>
      </c>
      <c r="M132" s="424">
        <f t="shared" si="62"/>
        <v>0</v>
      </c>
      <c r="N132" s="424">
        <f t="shared" si="62"/>
        <v>0</v>
      </c>
      <c r="O132" s="424">
        <f t="shared" si="62"/>
        <v>0</v>
      </c>
      <c r="P132" s="424">
        <f t="shared" si="62"/>
        <v>0</v>
      </c>
      <c r="Q132" s="424">
        <f t="shared" si="62"/>
        <v>0</v>
      </c>
      <c r="R132" s="424">
        <f t="shared" si="62"/>
        <v>0</v>
      </c>
      <c r="S132" s="424">
        <f t="shared" si="62"/>
        <v>0</v>
      </c>
      <c r="T132" s="424">
        <f t="shared" si="62"/>
        <v>0</v>
      </c>
      <c r="U132" s="424">
        <f t="shared" si="62"/>
        <v>0</v>
      </c>
      <c r="V132" s="424">
        <f t="shared" si="62"/>
        <v>0</v>
      </c>
      <c r="W132" s="424">
        <f t="shared" si="62"/>
        <v>0</v>
      </c>
      <c r="X132" s="424">
        <f t="shared" si="62"/>
        <v>0</v>
      </c>
      <c r="Y132" s="424">
        <f t="shared" si="62"/>
        <v>0</v>
      </c>
      <c r="Z132" s="424">
        <f t="shared" si="62"/>
        <v>0</v>
      </c>
      <c r="AA132" s="424">
        <f t="shared" si="62"/>
        <v>0</v>
      </c>
      <c r="AB132" s="424">
        <f t="shared" si="62"/>
        <v>0</v>
      </c>
      <c r="AC132" s="424">
        <f t="shared" si="62"/>
        <v>0</v>
      </c>
      <c r="AD132" s="424">
        <f t="shared" si="62"/>
        <v>0</v>
      </c>
      <c r="AE132" s="424">
        <f t="shared" si="62"/>
        <v>0</v>
      </c>
      <c r="AF132" s="424">
        <f t="shared" si="62"/>
        <v>0</v>
      </c>
      <c r="AG132" s="424">
        <f t="shared" si="62"/>
        <v>0</v>
      </c>
      <c r="AH132" s="424">
        <f t="shared" si="62"/>
        <v>0</v>
      </c>
      <c r="AI132" s="424">
        <f t="shared" si="62"/>
        <v>0</v>
      </c>
      <c r="AJ132" s="424">
        <f t="shared" si="62"/>
        <v>0</v>
      </c>
      <c r="AK132" s="424">
        <f t="shared" si="62"/>
        <v>0</v>
      </c>
    </row>
    <row r="133" spans="3:37" outlineLevel="1">
      <c r="C133" s="422" t="s">
        <v>548</v>
      </c>
      <c r="D133" s="422" t="s">
        <v>134</v>
      </c>
      <c r="E133" s="424">
        <f>SUM(H133:AP133)</f>
        <v>0</v>
      </c>
      <c r="H133" s="424">
        <f>H55</f>
        <v>0</v>
      </c>
      <c r="I133" s="424">
        <f t="shared" ref="I133:AK133" si="63">I55</f>
        <v>0</v>
      </c>
      <c r="J133" s="424">
        <f t="shared" si="63"/>
        <v>0</v>
      </c>
      <c r="K133" s="424">
        <f t="shared" si="63"/>
        <v>0</v>
      </c>
      <c r="L133" s="424">
        <f t="shared" si="63"/>
        <v>0</v>
      </c>
      <c r="M133" s="424">
        <f t="shared" si="63"/>
        <v>0</v>
      </c>
      <c r="N133" s="424">
        <f t="shared" si="63"/>
        <v>0</v>
      </c>
      <c r="O133" s="424">
        <f t="shared" si="63"/>
        <v>0</v>
      </c>
      <c r="P133" s="424">
        <f t="shared" si="63"/>
        <v>0</v>
      </c>
      <c r="Q133" s="424">
        <f t="shared" si="63"/>
        <v>0</v>
      </c>
      <c r="R133" s="424">
        <f t="shared" si="63"/>
        <v>0</v>
      </c>
      <c r="S133" s="424">
        <f t="shared" si="63"/>
        <v>0</v>
      </c>
      <c r="T133" s="424">
        <f t="shared" si="63"/>
        <v>0</v>
      </c>
      <c r="U133" s="424">
        <f t="shared" si="63"/>
        <v>0</v>
      </c>
      <c r="V133" s="424">
        <f t="shared" si="63"/>
        <v>0</v>
      </c>
      <c r="W133" s="424">
        <f t="shared" si="63"/>
        <v>0</v>
      </c>
      <c r="X133" s="424">
        <f t="shared" si="63"/>
        <v>0</v>
      </c>
      <c r="Y133" s="424">
        <f t="shared" si="63"/>
        <v>0</v>
      </c>
      <c r="Z133" s="424">
        <f t="shared" si="63"/>
        <v>0</v>
      </c>
      <c r="AA133" s="424">
        <f t="shared" si="63"/>
        <v>0</v>
      </c>
      <c r="AB133" s="424">
        <f t="shared" si="63"/>
        <v>0</v>
      </c>
      <c r="AC133" s="424">
        <f t="shared" si="63"/>
        <v>0</v>
      </c>
      <c r="AD133" s="424">
        <f t="shared" si="63"/>
        <v>0</v>
      </c>
      <c r="AE133" s="424">
        <f t="shared" si="63"/>
        <v>0</v>
      </c>
      <c r="AF133" s="424">
        <f t="shared" si="63"/>
        <v>0</v>
      </c>
      <c r="AG133" s="424">
        <f t="shared" si="63"/>
        <v>0</v>
      </c>
      <c r="AH133" s="424">
        <f t="shared" si="63"/>
        <v>0</v>
      </c>
      <c r="AI133" s="424">
        <f t="shared" si="63"/>
        <v>0</v>
      </c>
      <c r="AJ133" s="424">
        <f t="shared" si="63"/>
        <v>0</v>
      </c>
      <c r="AK133" s="424">
        <f t="shared" si="63"/>
        <v>0</v>
      </c>
    </row>
    <row r="134" spans="3:37" outlineLevel="1">
      <c r="C134" s="422" t="s">
        <v>549</v>
      </c>
      <c r="D134" s="422" t="s">
        <v>134</v>
      </c>
      <c r="E134" s="424">
        <f>SUM(H134:AP134)</f>
        <v>0</v>
      </c>
      <c r="H134" s="439">
        <f>IF(H$117&lt;Assumptions_Dashboard!$D$5,0,$F$131)*(H132+H133)</f>
        <v>0</v>
      </c>
      <c r="I134" s="439">
        <f>IF(I$117&lt;Assumptions_Dashboard!$D$5,0,$F$131)*(I132+I133)</f>
        <v>0</v>
      </c>
      <c r="J134" s="439">
        <f>IF(J$117&lt;Assumptions_Dashboard!$D$5,0,$F$131)*(J132+J133)</f>
        <v>0</v>
      </c>
      <c r="K134" s="439">
        <f>IF(K$117&lt;Assumptions_Dashboard!$D$5,0,$F$131)*(K132+K133)</f>
        <v>0</v>
      </c>
      <c r="L134" s="439">
        <f>IF(L$117&lt;Assumptions_Dashboard!$D$5,0,$F$131)*(L132+L133)</f>
        <v>0</v>
      </c>
      <c r="M134" s="439">
        <f>IF(M$117&lt;Assumptions_Dashboard!$D$5,0,$F$131)*(M132+M133)</f>
        <v>0</v>
      </c>
      <c r="N134" s="439">
        <f>IF(N$117&lt;Assumptions_Dashboard!$D$5,0,$F$131)*(N132+N133)</f>
        <v>0</v>
      </c>
      <c r="O134" s="439">
        <f>IF(O$117&lt;Assumptions_Dashboard!$D$5,0,$F$131)*(O132+O133)</f>
        <v>0</v>
      </c>
      <c r="P134" s="439">
        <f>IF(P$117&lt;Assumptions_Dashboard!$D$5,0,$F$131)*(P132+P133)</f>
        <v>0</v>
      </c>
      <c r="Q134" s="439">
        <f>IF(Q$117&lt;Assumptions_Dashboard!$D$5,0,$F$131)*(Q132+Q133)</f>
        <v>0</v>
      </c>
      <c r="R134" s="439">
        <f>IF(R$117&lt;Assumptions_Dashboard!$D$5,0,$F$131)*(R132+R133)</f>
        <v>0</v>
      </c>
      <c r="S134" s="439">
        <f>IF(S$117&lt;Assumptions_Dashboard!$D$5,0,$F$131)*(S132+S133)</f>
        <v>0</v>
      </c>
      <c r="T134" s="439">
        <f>IF(T$117&lt;Assumptions_Dashboard!$D$5,0,$F$131)*(T132+T133)</f>
        <v>0</v>
      </c>
      <c r="U134" s="439">
        <f>IF(U$117&lt;Assumptions_Dashboard!$D$5,0,$F$131)*(U132+U133)</f>
        <v>0</v>
      </c>
      <c r="V134" s="439">
        <f>IF(V$117&lt;Assumptions_Dashboard!$D$5,0,$F$131)*(V132+V133)</f>
        <v>0</v>
      </c>
      <c r="W134" s="439">
        <f>IF(W$117&lt;Assumptions_Dashboard!$D$5,0,$F$131)*(W132+W133)</f>
        <v>0</v>
      </c>
      <c r="X134" s="439">
        <f>IF(X$117&lt;Assumptions_Dashboard!$D$5,0,$F$131)*(X132+X133)</f>
        <v>0</v>
      </c>
      <c r="Y134" s="439">
        <f>IF(Y$117&lt;Assumptions_Dashboard!$D$5,0,$F$131)*(Y132+Y133)</f>
        <v>0</v>
      </c>
      <c r="Z134" s="439">
        <f>IF(Z$117&lt;Assumptions_Dashboard!$D$5,0,$F$131)*(Z132+Z133)</f>
        <v>0</v>
      </c>
      <c r="AA134" s="439">
        <f>IF(AA$117&lt;Assumptions_Dashboard!$D$5,0,$F$131)*(AA132+AA133)</f>
        <v>0</v>
      </c>
      <c r="AB134" s="439">
        <f>IF(AB$117&lt;Assumptions_Dashboard!$D$5,0,$F$131)*(AB132+AB133)</f>
        <v>0</v>
      </c>
      <c r="AC134" s="439">
        <f>IF(AC$117&lt;Assumptions_Dashboard!$D$5,0,$F$131)*(AC132+AC133)</f>
        <v>0</v>
      </c>
      <c r="AD134" s="439">
        <f>IF(AD$117&lt;Assumptions_Dashboard!$D$5,0,$F$131)*(AD132+AD133)</f>
        <v>0</v>
      </c>
      <c r="AE134" s="439">
        <f>IF(AE$117&lt;Assumptions_Dashboard!$D$5,0,$F$131)*(AE132+AE133)</f>
        <v>0</v>
      </c>
      <c r="AF134" s="439">
        <f>IF(AF$117&lt;Assumptions_Dashboard!$D$5,0,$F$131)*(AF132+AF133)</f>
        <v>0</v>
      </c>
      <c r="AG134" s="439">
        <f>IF(AG$117&lt;Assumptions_Dashboard!$D$5,0,$F$131)*(AG132+AG133)</f>
        <v>0</v>
      </c>
      <c r="AH134" s="439">
        <f>IF(AH$117&lt;Assumptions_Dashboard!$D$5,0,$F$131)*(AH132+AH133)</f>
        <v>0</v>
      </c>
      <c r="AI134" s="439">
        <f>IF(AI$117&lt;Assumptions_Dashboard!$D$5,0,$F$131)*(AI132+AI133)</f>
        <v>0</v>
      </c>
      <c r="AJ134" s="439">
        <f>IF(AJ$117&lt;Assumptions_Dashboard!$D$5,0,$F$131)*(AJ132+AJ133)</f>
        <v>0</v>
      </c>
      <c r="AK134" s="439">
        <f>IF(AK$117&lt;Assumptions_Dashboard!$D$5,0,$F$131)*(AK132+AK133)</f>
        <v>0</v>
      </c>
    </row>
    <row r="135" spans="3:37" outlineLevel="1">
      <c r="C135" s="422" t="s">
        <v>550</v>
      </c>
      <c r="D135" s="422" t="s">
        <v>134</v>
      </c>
      <c r="H135" s="424">
        <f>SUM($H134:H134)</f>
        <v>0</v>
      </c>
      <c r="I135" s="424">
        <f>SUM($H134:I134)</f>
        <v>0</v>
      </c>
      <c r="J135" s="424">
        <f>SUM($H134:J134)</f>
        <v>0</v>
      </c>
      <c r="K135" s="424">
        <f>SUM($H134:K134)</f>
        <v>0</v>
      </c>
      <c r="L135" s="424">
        <f>SUM($H134:L134)</f>
        <v>0</v>
      </c>
      <c r="M135" s="424">
        <f>SUM($H134:M134)</f>
        <v>0</v>
      </c>
      <c r="N135" s="424">
        <f>SUM($H134:N134)</f>
        <v>0</v>
      </c>
      <c r="O135" s="424">
        <f>SUM($H134:O134)</f>
        <v>0</v>
      </c>
      <c r="P135" s="424">
        <f>SUM($H134:P134)</f>
        <v>0</v>
      </c>
      <c r="Q135" s="424">
        <f>SUM($H134:Q134)</f>
        <v>0</v>
      </c>
      <c r="R135" s="424">
        <f>SUM($H134:R134)</f>
        <v>0</v>
      </c>
      <c r="S135" s="424">
        <f>SUM($H134:S134)</f>
        <v>0</v>
      </c>
      <c r="T135" s="424">
        <f>SUM($H134:T134)</f>
        <v>0</v>
      </c>
      <c r="U135" s="424">
        <f>SUM($H134:U134)</f>
        <v>0</v>
      </c>
      <c r="V135" s="424">
        <f>SUM($H134:V134)</f>
        <v>0</v>
      </c>
      <c r="W135" s="424">
        <f>SUM($H134:W134)</f>
        <v>0</v>
      </c>
      <c r="X135" s="424">
        <f>SUM($H134:X134)</f>
        <v>0</v>
      </c>
      <c r="Y135" s="424">
        <f>SUM($H134:Y134)</f>
        <v>0</v>
      </c>
      <c r="Z135" s="424">
        <f>SUM($H134:Z134)</f>
        <v>0</v>
      </c>
      <c r="AA135" s="424">
        <f>SUM($H134:AA134)</f>
        <v>0</v>
      </c>
      <c r="AB135" s="424">
        <f>SUM($H134:AB134)</f>
        <v>0</v>
      </c>
      <c r="AC135" s="424">
        <f>SUM($H134:AC134)</f>
        <v>0</v>
      </c>
      <c r="AD135" s="424">
        <f>SUM($H134:AD134)</f>
        <v>0</v>
      </c>
      <c r="AE135" s="424">
        <f>SUM($H134:AE134)</f>
        <v>0</v>
      </c>
      <c r="AF135" s="424">
        <f>SUM($H134:AF134)</f>
        <v>0</v>
      </c>
      <c r="AG135" s="424">
        <f>SUM($H134:AG134)</f>
        <v>0</v>
      </c>
      <c r="AH135" s="424">
        <f>SUM($H134:AH134)</f>
        <v>0</v>
      </c>
      <c r="AI135" s="424">
        <f>SUM($H134:AI134)</f>
        <v>0</v>
      </c>
      <c r="AJ135" s="424">
        <f>SUM($H134:AJ134)</f>
        <v>0</v>
      </c>
      <c r="AK135" s="424">
        <f>SUM($H134:AK134)</f>
        <v>0</v>
      </c>
    </row>
    <row r="136" spans="3:37" outlineLevel="1">
      <c r="C136" s="422" t="s">
        <v>551</v>
      </c>
      <c r="D136" s="422" t="s">
        <v>134</v>
      </c>
      <c r="H136" s="424">
        <f>H132+H133-H134</f>
        <v>0</v>
      </c>
      <c r="I136" s="424">
        <f t="shared" ref="I136:AK136" si="64">I132+I133-I134</f>
        <v>0</v>
      </c>
      <c r="J136" s="424">
        <f t="shared" si="64"/>
        <v>0</v>
      </c>
      <c r="K136" s="424">
        <f t="shared" si="64"/>
        <v>0</v>
      </c>
      <c r="L136" s="424">
        <f t="shared" si="64"/>
        <v>0</v>
      </c>
      <c r="M136" s="424">
        <f t="shared" si="64"/>
        <v>0</v>
      </c>
      <c r="N136" s="424">
        <f t="shared" si="64"/>
        <v>0</v>
      </c>
      <c r="O136" s="424">
        <f t="shared" si="64"/>
        <v>0</v>
      </c>
      <c r="P136" s="424">
        <f t="shared" si="64"/>
        <v>0</v>
      </c>
      <c r="Q136" s="424">
        <f t="shared" si="64"/>
        <v>0</v>
      </c>
      <c r="R136" s="424">
        <f t="shared" si="64"/>
        <v>0</v>
      </c>
      <c r="S136" s="424">
        <f t="shared" si="64"/>
        <v>0</v>
      </c>
      <c r="T136" s="424">
        <f t="shared" si="64"/>
        <v>0</v>
      </c>
      <c r="U136" s="424">
        <f t="shared" si="64"/>
        <v>0</v>
      </c>
      <c r="V136" s="424">
        <f t="shared" si="64"/>
        <v>0</v>
      </c>
      <c r="W136" s="424">
        <f t="shared" si="64"/>
        <v>0</v>
      </c>
      <c r="X136" s="424">
        <f t="shared" si="64"/>
        <v>0</v>
      </c>
      <c r="Y136" s="424">
        <f t="shared" si="64"/>
        <v>0</v>
      </c>
      <c r="Z136" s="424">
        <f t="shared" si="64"/>
        <v>0</v>
      </c>
      <c r="AA136" s="424">
        <f t="shared" si="64"/>
        <v>0</v>
      </c>
      <c r="AB136" s="424">
        <f t="shared" si="64"/>
        <v>0</v>
      </c>
      <c r="AC136" s="424">
        <f t="shared" si="64"/>
        <v>0</v>
      </c>
      <c r="AD136" s="424">
        <f t="shared" si="64"/>
        <v>0</v>
      </c>
      <c r="AE136" s="424">
        <f t="shared" si="64"/>
        <v>0</v>
      </c>
      <c r="AF136" s="424">
        <f t="shared" si="64"/>
        <v>0</v>
      </c>
      <c r="AG136" s="424">
        <f t="shared" si="64"/>
        <v>0</v>
      </c>
      <c r="AH136" s="424">
        <f t="shared" si="64"/>
        <v>0</v>
      </c>
      <c r="AI136" s="424">
        <f t="shared" si="64"/>
        <v>0</v>
      </c>
      <c r="AJ136" s="424">
        <f t="shared" si="64"/>
        <v>0</v>
      </c>
      <c r="AK136" s="424">
        <f t="shared" si="64"/>
        <v>0</v>
      </c>
    </row>
    <row r="137" spans="3:37" outlineLevel="1">
      <c r="C137" s="191" t="str">
        <f>C59</f>
        <v>CHP</v>
      </c>
      <c r="F137" s="423">
        <v>0.15</v>
      </c>
    </row>
    <row r="138" spans="3:37" outlineLevel="1">
      <c r="C138" s="422" t="s">
        <v>547</v>
      </c>
      <c r="D138" s="422" t="s">
        <v>134</v>
      </c>
      <c r="H138" s="424">
        <f>G142</f>
        <v>0</v>
      </c>
      <c r="I138" s="424">
        <f t="shared" ref="I138:AK138" si="65">H142</f>
        <v>0</v>
      </c>
      <c r="J138" s="424">
        <f t="shared" si="65"/>
        <v>0</v>
      </c>
      <c r="K138" s="424">
        <f t="shared" si="65"/>
        <v>0</v>
      </c>
      <c r="L138" s="424">
        <f t="shared" si="65"/>
        <v>0</v>
      </c>
      <c r="M138" s="424">
        <f t="shared" si="65"/>
        <v>0</v>
      </c>
      <c r="N138" s="424">
        <f t="shared" si="65"/>
        <v>0</v>
      </c>
      <c r="O138" s="424">
        <f t="shared" si="65"/>
        <v>0</v>
      </c>
      <c r="P138" s="424">
        <f t="shared" si="65"/>
        <v>0</v>
      </c>
      <c r="Q138" s="424">
        <f t="shared" si="65"/>
        <v>0</v>
      </c>
      <c r="R138" s="424">
        <f t="shared" si="65"/>
        <v>0</v>
      </c>
      <c r="S138" s="424">
        <f t="shared" si="65"/>
        <v>0</v>
      </c>
      <c r="T138" s="424">
        <f t="shared" si="65"/>
        <v>0</v>
      </c>
      <c r="U138" s="424">
        <f t="shared" si="65"/>
        <v>0</v>
      </c>
      <c r="V138" s="424">
        <f t="shared" si="65"/>
        <v>0</v>
      </c>
      <c r="W138" s="424">
        <f t="shared" si="65"/>
        <v>0</v>
      </c>
      <c r="X138" s="424">
        <f t="shared" si="65"/>
        <v>0</v>
      </c>
      <c r="Y138" s="424">
        <f t="shared" si="65"/>
        <v>0</v>
      </c>
      <c r="Z138" s="424">
        <f t="shared" si="65"/>
        <v>0</v>
      </c>
      <c r="AA138" s="424">
        <f t="shared" si="65"/>
        <v>0</v>
      </c>
      <c r="AB138" s="424">
        <f t="shared" si="65"/>
        <v>0</v>
      </c>
      <c r="AC138" s="424">
        <f t="shared" si="65"/>
        <v>0</v>
      </c>
      <c r="AD138" s="424">
        <f t="shared" si="65"/>
        <v>0</v>
      </c>
      <c r="AE138" s="424">
        <f t="shared" si="65"/>
        <v>0</v>
      </c>
      <c r="AF138" s="424">
        <f t="shared" si="65"/>
        <v>0</v>
      </c>
      <c r="AG138" s="424">
        <f t="shared" si="65"/>
        <v>0</v>
      </c>
      <c r="AH138" s="424">
        <f t="shared" si="65"/>
        <v>0</v>
      </c>
      <c r="AI138" s="424">
        <f t="shared" si="65"/>
        <v>0</v>
      </c>
      <c r="AJ138" s="424">
        <f t="shared" si="65"/>
        <v>0</v>
      </c>
      <c r="AK138" s="424">
        <f t="shared" si="65"/>
        <v>0</v>
      </c>
    </row>
    <row r="139" spans="3:37" outlineLevel="1">
      <c r="C139" s="422" t="s">
        <v>548</v>
      </c>
      <c r="D139" s="422" t="s">
        <v>134</v>
      </c>
      <c r="E139" s="424">
        <f>SUM(H139:AP139)</f>
        <v>0</v>
      </c>
      <c r="H139" s="424">
        <f>H61</f>
        <v>0</v>
      </c>
      <c r="I139" s="424">
        <f t="shared" ref="I139:AK139" si="66">I61</f>
        <v>0</v>
      </c>
      <c r="J139" s="424">
        <f t="shared" si="66"/>
        <v>0</v>
      </c>
      <c r="K139" s="424">
        <f t="shared" si="66"/>
        <v>0</v>
      </c>
      <c r="L139" s="424">
        <f t="shared" si="66"/>
        <v>0</v>
      </c>
      <c r="M139" s="424">
        <f t="shared" si="66"/>
        <v>0</v>
      </c>
      <c r="N139" s="424">
        <f t="shared" si="66"/>
        <v>0</v>
      </c>
      <c r="O139" s="424">
        <f t="shared" si="66"/>
        <v>0</v>
      </c>
      <c r="P139" s="424">
        <f t="shared" si="66"/>
        <v>0</v>
      </c>
      <c r="Q139" s="424">
        <f t="shared" si="66"/>
        <v>0</v>
      </c>
      <c r="R139" s="424">
        <f t="shared" si="66"/>
        <v>0</v>
      </c>
      <c r="S139" s="424">
        <f t="shared" si="66"/>
        <v>0</v>
      </c>
      <c r="T139" s="424">
        <f t="shared" si="66"/>
        <v>0</v>
      </c>
      <c r="U139" s="424">
        <f t="shared" si="66"/>
        <v>0</v>
      </c>
      <c r="V139" s="424">
        <f t="shared" si="66"/>
        <v>0</v>
      </c>
      <c r="W139" s="424">
        <f t="shared" si="66"/>
        <v>0</v>
      </c>
      <c r="X139" s="424">
        <f t="shared" si="66"/>
        <v>0</v>
      </c>
      <c r="Y139" s="424">
        <f t="shared" si="66"/>
        <v>0</v>
      </c>
      <c r="Z139" s="424">
        <f t="shared" si="66"/>
        <v>0</v>
      </c>
      <c r="AA139" s="424">
        <f t="shared" si="66"/>
        <v>0</v>
      </c>
      <c r="AB139" s="424">
        <f t="shared" si="66"/>
        <v>0</v>
      </c>
      <c r="AC139" s="424">
        <f t="shared" si="66"/>
        <v>0</v>
      </c>
      <c r="AD139" s="424">
        <f t="shared" si="66"/>
        <v>0</v>
      </c>
      <c r="AE139" s="424">
        <f t="shared" si="66"/>
        <v>0</v>
      </c>
      <c r="AF139" s="424">
        <f t="shared" si="66"/>
        <v>0</v>
      </c>
      <c r="AG139" s="424">
        <f t="shared" si="66"/>
        <v>0</v>
      </c>
      <c r="AH139" s="424">
        <f t="shared" si="66"/>
        <v>0</v>
      </c>
      <c r="AI139" s="424">
        <f t="shared" si="66"/>
        <v>0</v>
      </c>
      <c r="AJ139" s="424">
        <f t="shared" si="66"/>
        <v>0</v>
      </c>
      <c r="AK139" s="424">
        <f t="shared" si="66"/>
        <v>0</v>
      </c>
    </row>
    <row r="140" spans="3:37" outlineLevel="1">
      <c r="C140" s="422" t="s">
        <v>549</v>
      </c>
      <c r="D140" s="422" t="s">
        <v>134</v>
      </c>
      <c r="E140" s="424">
        <f>SUM(H140:AP140)</f>
        <v>0</v>
      </c>
      <c r="H140" s="439">
        <f>IF(H$117&lt;Assumptions_Dashboard!$D$5,0,$F$137)*(H138+H139)</f>
        <v>0</v>
      </c>
      <c r="I140" s="439">
        <f>IF(I$117&lt;Assumptions_Dashboard!$D$5,0,$F$137)*(I138+I139)</f>
        <v>0</v>
      </c>
      <c r="J140" s="439">
        <f>IF(J$117&lt;Assumptions_Dashboard!$D$5,0,$F$137)*(J138+J139)</f>
        <v>0</v>
      </c>
      <c r="K140" s="439">
        <f>IF(K$117&lt;Assumptions_Dashboard!$D$5,0,$F$137)*(K138+K139)</f>
        <v>0</v>
      </c>
      <c r="L140" s="439">
        <f>IF(L$117&lt;Assumptions_Dashboard!$D$5,0,$F$137)*(L138+L139)</f>
        <v>0</v>
      </c>
      <c r="M140" s="439">
        <f>IF(M$117&lt;Assumptions_Dashboard!$D$5,0,$F$137)*(M138+M139)</f>
        <v>0</v>
      </c>
      <c r="N140" s="439">
        <f>IF(N$117&lt;Assumptions_Dashboard!$D$5,0,$F$137)*(N138+N139)</f>
        <v>0</v>
      </c>
      <c r="O140" s="439">
        <f>IF(O$117&lt;Assumptions_Dashboard!$D$5,0,$F$137)*(O138+O139)</f>
        <v>0</v>
      </c>
      <c r="P140" s="439">
        <f>IF(P$117&lt;Assumptions_Dashboard!$D$5,0,$F$137)*(P138+P139)</f>
        <v>0</v>
      </c>
      <c r="Q140" s="439">
        <f>IF(Q$117&lt;Assumptions_Dashboard!$D$5,0,$F$137)*(Q138+Q139)</f>
        <v>0</v>
      </c>
      <c r="R140" s="439">
        <f>IF(R$117&lt;Assumptions_Dashboard!$D$5,0,$F$137)*(R138+R139)</f>
        <v>0</v>
      </c>
      <c r="S140" s="439">
        <f>IF(S$117&lt;Assumptions_Dashboard!$D$5,0,$F$137)*(S138+S139)</f>
        <v>0</v>
      </c>
      <c r="T140" s="439">
        <f>IF(T$117&lt;Assumptions_Dashboard!$D$5,0,$F$137)*(T138+T139)</f>
        <v>0</v>
      </c>
      <c r="U140" s="439">
        <f>IF(U$117&lt;Assumptions_Dashboard!$D$5,0,$F$137)*(U138+U139)</f>
        <v>0</v>
      </c>
      <c r="V140" s="439">
        <f>IF(V$117&lt;Assumptions_Dashboard!$D$5,0,$F$137)*(V138+V139)</f>
        <v>0</v>
      </c>
      <c r="W140" s="439">
        <f>IF(W$117&lt;Assumptions_Dashboard!$D$5,0,$F$137)*(W138+W139)</f>
        <v>0</v>
      </c>
      <c r="X140" s="439">
        <f>IF(X$117&lt;Assumptions_Dashboard!$D$5,0,$F$137)*(X138+X139)</f>
        <v>0</v>
      </c>
      <c r="Y140" s="439">
        <f>IF(Y$117&lt;Assumptions_Dashboard!$D$5,0,$F$137)*(Y138+Y139)</f>
        <v>0</v>
      </c>
      <c r="Z140" s="439">
        <f>IF(Z$117&lt;Assumptions_Dashboard!$D$5,0,$F$137)*(Z138+Z139)</f>
        <v>0</v>
      </c>
      <c r="AA140" s="439">
        <f>IF(AA$117&lt;Assumptions_Dashboard!$D$5,0,$F$137)*(AA138+AA139)</f>
        <v>0</v>
      </c>
      <c r="AB140" s="439">
        <f>IF(AB$117&lt;Assumptions_Dashboard!$D$5,0,$F$137)*(AB138+AB139)</f>
        <v>0</v>
      </c>
      <c r="AC140" s="439">
        <f>IF(AC$117&lt;Assumptions_Dashboard!$D$5,0,$F$137)*(AC138+AC139)</f>
        <v>0</v>
      </c>
      <c r="AD140" s="439">
        <f>IF(AD$117&lt;Assumptions_Dashboard!$D$5,0,$F$137)*(AD138+AD139)</f>
        <v>0</v>
      </c>
      <c r="AE140" s="439">
        <f>IF(AE$117&lt;Assumptions_Dashboard!$D$5,0,$F$137)*(AE138+AE139)</f>
        <v>0</v>
      </c>
      <c r="AF140" s="439">
        <f>IF(AF$117&lt;Assumptions_Dashboard!$D$5,0,$F$137)*(AF138+AF139)</f>
        <v>0</v>
      </c>
      <c r="AG140" s="439">
        <f>IF(AG$117&lt;Assumptions_Dashboard!$D$5,0,$F$137)*(AG138+AG139)</f>
        <v>0</v>
      </c>
      <c r="AH140" s="439">
        <f>IF(AH$117&lt;Assumptions_Dashboard!$D$5,0,$F$137)*(AH138+AH139)</f>
        <v>0</v>
      </c>
      <c r="AI140" s="439">
        <f>IF(AI$117&lt;Assumptions_Dashboard!$D$5,0,$F$137)*(AI138+AI139)</f>
        <v>0</v>
      </c>
      <c r="AJ140" s="439">
        <f>IF(AJ$117&lt;Assumptions_Dashboard!$D$5,0,$F$137)*(AJ138+AJ139)</f>
        <v>0</v>
      </c>
      <c r="AK140" s="439">
        <f>IF(AK$117&lt;Assumptions_Dashboard!$D$5,0,$F$137)*(AK138+AK139)</f>
        <v>0</v>
      </c>
    </row>
    <row r="141" spans="3:37" outlineLevel="1">
      <c r="C141" s="422" t="s">
        <v>550</v>
      </c>
      <c r="D141" s="422" t="s">
        <v>134</v>
      </c>
      <c r="H141" s="424">
        <f>SUM($H140:H140)</f>
        <v>0</v>
      </c>
      <c r="I141" s="424">
        <f>SUM($H140:I140)</f>
        <v>0</v>
      </c>
      <c r="J141" s="424">
        <f>SUM($H140:J140)</f>
        <v>0</v>
      </c>
      <c r="K141" s="424">
        <f>SUM($H140:K140)</f>
        <v>0</v>
      </c>
      <c r="L141" s="424">
        <f>SUM($H140:L140)</f>
        <v>0</v>
      </c>
      <c r="M141" s="424">
        <f>SUM($H140:M140)</f>
        <v>0</v>
      </c>
      <c r="N141" s="424">
        <f>SUM($H140:N140)</f>
        <v>0</v>
      </c>
      <c r="O141" s="424">
        <f>SUM($H140:O140)</f>
        <v>0</v>
      </c>
      <c r="P141" s="424">
        <f>SUM($H140:P140)</f>
        <v>0</v>
      </c>
      <c r="Q141" s="424">
        <f>SUM($H140:Q140)</f>
        <v>0</v>
      </c>
      <c r="R141" s="424">
        <f>SUM($H140:R140)</f>
        <v>0</v>
      </c>
      <c r="S141" s="424">
        <f>SUM($H140:S140)</f>
        <v>0</v>
      </c>
      <c r="T141" s="424">
        <f>SUM($H140:T140)</f>
        <v>0</v>
      </c>
      <c r="U141" s="424">
        <f>SUM($H140:U140)</f>
        <v>0</v>
      </c>
      <c r="V141" s="424">
        <f>SUM($H140:V140)</f>
        <v>0</v>
      </c>
      <c r="W141" s="424">
        <f>SUM($H140:W140)</f>
        <v>0</v>
      </c>
      <c r="X141" s="424">
        <f>SUM($H140:X140)</f>
        <v>0</v>
      </c>
      <c r="Y141" s="424">
        <f>SUM($H140:Y140)</f>
        <v>0</v>
      </c>
      <c r="Z141" s="424">
        <f>SUM($H140:Z140)</f>
        <v>0</v>
      </c>
      <c r="AA141" s="424">
        <f>SUM($H140:AA140)</f>
        <v>0</v>
      </c>
      <c r="AB141" s="424">
        <f>SUM($H140:AB140)</f>
        <v>0</v>
      </c>
      <c r="AC141" s="424">
        <f>SUM($H140:AC140)</f>
        <v>0</v>
      </c>
      <c r="AD141" s="424">
        <f>SUM($H140:AD140)</f>
        <v>0</v>
      </c>
      <c r="AE141" s="424">
        <f>SUM($H140:AE140)</f>
        <v>0</v>
      </c>
      <c r="AF141" s="424">
        <f>SUM($H140:AF140)</f>
        <v>0</v>
      </c>
      <c r="AG141" s="424">
        <f>SUM($H140:AG140)</f>
        <v>0</v>
      </c>
      <c r="AH141" s="424">
        <f>SUM($H140:AH140)</f>
        <v>0</v>
      </c>
      <c r="AI141" s="424">
        <f>SUM($H140:AI140)</f>
        <v>0</v>
      </c>
      <c r="AJ141" s="424">
        <f>SUM($H140:AJ140)</f>
        <v>0</v>
      </c>
      <c r="AK141" s="424">
        <f>SUM($H140:AK140)</f>
        <v>0</v>
      </c>
    </row>
    <row r="142" spans="3:37" outlineLevel="1">
      <c r="C142" s="422" t="s">
        <v>551</v>
      </c>
      <c r="D142" s="422" t="s">
        <v>134</v>
      </c>
      <c r="H142" s="424">
        <f>H138+H139-H140</f>
        <v>0</v>
      </c>
      <c r="I142" s="424">
        <f t="shared" ref="I142:AK142" si="67">I138+I139-I140</f>
        <v>0</v>
      </c>
      <c r="J142" s="424">
        <f t="shared" si="67"/>
        <v>0</v>
      </c>
      <c r="K142" s="424">
        <f t="shared" si="67"/>
        <v>0</v>
      </c>
      <c r="L142" s="424">
        <f t="shared" si="67"/>
        <v>0</v>
      </c>
      <c r="M142" s="424">
        <f t="shared" si="67"/>
        <v>0</v>
      </c>
      <c r="N142" s="424">
        <f t="shared" si="67"/>
        <v>0</v>
      </c>
      <c r="O142" s="424">
        <f t="shared" si="67"/>
        <v>0</v>
      </c>
      <c r="P142" s="424">
        <f t="shared" si="67"/>
        <v>0</v>
      </c>
      <c r="Q142" s="424">
        <f t="shared" si="67"/>
        <v>0</v>
      </c>
      <c r="R142" s="424">
        <f t="shared" si="67"/>
        <v>0</v>
      </c>
      <c r="S142" s="424">
        <f t="shared" si="67"/>
        <v>0</v>
      </c>
      <c r="T142" s="424">
        <f t="shared" si="67"/>
        <v>0</v>
      </c>
      <c r="U142" s="424">
        <f t="shared" si="67"/>
        <v>0</v>
      </c>
      <c r="V142" s="424">
        <f t="shared" si="67"/>
        <v>0</v>
      </c>
      <c r="W142" s="424">
        <f t="shared" si="67"/>
        <v>0</v>
      </c>
      <c r="X142" s="424">
        <f t="shared" si="67"/>
        <v>0</v>
      </c>
      <c r="Y142" s="424">
        <f t="shared" si="67"/>
        <v>0</v>
      </c>
      <c r="Z142" s="424">
        <f t="shared" si="67"/>
        <v>0</v>
      </c>
      <c r="AA142" s="424">
        <f t="shared" si="67"/>
        <v>0</v>
      </c>
      <c r="AB142" s="424">
        <f t="shared" si="67"/>
        <v>0</v>
      </c>
      <c r="AC142" s="424">
        <f t="shared" si="67"/>
        <v>0</v>
      </c>
      <c r="AD142" s="424">
        <f t="shared" si="67"/>
        <v>0</v>
      </c>
      <c r="AE142" s="424">
        <f t="shared" si="67"/>
        <v>0</v>
      </c>
      <c r="AF142" s="424">
        <f t="shared" si="67"/>
        <v>0</v>
      </c>
      <c r="AG142" s="424">
        <f t="shared" si="67"/>
        <v>0</v>
      </c>
      <c r="AH142" s="424">
        <f t="shared" si="67"/>
        <v>0</v>
      </c>
      <c r="AI142" s="424">
        <f t="shared" si="67"/>
        <v>0</v>
      </c>
      <c r="AJ142" s="424">
        <f t="shared" si="67"/>
        <v>0</v>
      </c>
      <c r="AK142" s="424">
        <f t="shared" si="67"/>
        <v>0</v>
      </c>
    </row>
    <row r="143" spans="3:37" outlineLevel="1">
      <c r="C143" s="191" t="str">
        <f>C65</f>
        <v>Railway Siding</v>
      </c>
      <c r="F143" s="423">
        <v>0.15</v>
      </c>
    </row>
    <row r="144" spans="3:37" outlineLevel="1">
      <c r="C144" s="422" t="s">
        <v>547</v>
      </c>
      <c r="D144" s="422" t="s">
        <v>134</v>
      </c>
      <c r="H144" s="424">
        <f>G148</f>
        <v>0</v>
      </c>
      <c r="I144" s="424">
        <f t="shared" ref="I144:AK144" si="68">H148</f>
        <v>0</v>
      </c>
      <c r="J144" s="424">
        <f t="shared" si="68"/>
        <v>0</v>
      </c>
      <c r="K144" s="424">
        <f t="shared" si="68"/>
        <v>0</v>
      </c>
      <c r="L144" s="424">
        <f t="shared" si="68"/>
        <v>0</v>
      </c>
      <c r="M144" s="424">
        <f t="shared" si="68"/>
        <v>0</v>
      </c>
      <c r="N144" s="424">
        <f t="shared" si="68"/>
        <v>0</v>
      </c>
      <c r="O144" s="424">
        <f t="shared" si="68"/>
        <v>0</v>
      </c>
      <c r="P144" s="424">
        <f t="shared" si="68"/>
        <v>0</v>
      </c>
      <c r="Q144" s="424">
        <f t="shared" si="68"/>
        <v>0</v>
      </c>
      <c r="R144" s="424">
        <f t="shared" si="68"/>
        <v>0</v>
      </c>
      <c r="S144" s="424">
        <f t="shared" si="68"/>
        <v>0</v>
      </c>
      <c r="T144" s="424">
        <f t="shared" si="68"/>
        <v>0</v>
      </c>
      <c r="U144" s="424">
        <f t="shared" si="68"/>
        <v>0</v>
      </c>
      <c r="V144" s="424">
        <f t="shared" si="68"/>
        <v>0</v>
      </c>
      <c r="W144" s="424">
        <f t="shared" si="68"/>
        <v>0</v>
      </c>
      <c r="X144" s="424">
        <f t="shared" si="68"/>
        <v>0</v>
      </c>
      <c r="Y144" s="424">
        <f t="shared" si="68"/>
        <v>0</v>
      </c>
      <c r="Z144" s="424">
        <f t="shared" si="68"/>
        <v>0</v>
      </c>
      <c r="AA144" s="424">
        <f t="shared" si="68"/>
        <v>0</v>
      </c>
      <c r="AB144" s="424">
        <f t="shared" si="68"/>
        <v>0</v>
      </c>
      <c r="AC144" s="424">
        <f t="shared" si="68"/>
        <v>0</v>
      </c>
      <c r="AD144" s="424">
        <f t="shared" si="68"/>
        <v>0</v>
      </c>
      <c r="AE144" s="424">
        <f t="shared" si="68"/>
        <v>0</v>
      </c>
      <c r="AF144" s="424">
        <f t="shared" si="68"/>
        <v>0</v>
      </c>
      <c r="AG144" s="424">
        <f t="shared" si="68"/>
        <v>0</v>
      </c>
      <c r="AH144" s="424">
        <f t="shared" si="68"/>
        <v>0</v>
      </c>
      <c r="AI144" s="424">
        <f t="shared" si="68"/>
        <v>0</v>
      </c>
      <c r="AJ144" s="424">
        <f t="shared" si="68"/>
        <v>0</v>
      </c>
      <c r="AK144" s="424">
        <f t="shared" si="68"/>
        <v>0</v>
      </c>
    </row>
    <row r="145" spans="3:37" outlineLevel="1">
      <c r="C145" s="422" t="s">
        <v>548</v>
      </c>
      <c r="D145" s="422" t="s">
        <v>134</v>
      </c>
      <c r="E145" s="424">
        <f>SUM(H145:AP145)</f>
        <v>0</v>
      </c>
      <c r="H145" s="424">
        <f>H67</f>
        <v>0</v>
      </c>
      <c r="I145" s="424">
        <f t="shared" ref="I145:AK145" si="69">I67</f>
        <v>0</v>
      </c>
      <c r="J145" s="424">
        <f t="shared" si="69"/>
        <v>0</v>
      </c>
      <c r="K145" s="424">
        <f t="shared" si="69"/>
        <v>0</v>
      </c>
      <c r="L145" s="424">
        <f t="shared" si="69"/>
        <v>0</v>
      </c>
      <c r="M145" s="424">
        <f t="shared" si="69"/>
        <v>0</v>
      </c>
      <c r="N145" s="424">
        <f t="shared" si="69"/>
        <v>0</v>
      </c>
      <c r="O145" s="424">
        <f t="shared" si="69"/>
        <v>0</v>
      </c>
      <c r="P145" s="424">
        <f t="shared" si="69"/>
        <v>0</v>
      </c>
      <c r="Q145" s="424">
        <f t="shared" si="69"/>
        <v>0</v>
      </c>
      <c r="R145" s="424">
        <f t="shared" si="69"/>
        <v>0</v>
      </c>
      <c r="S145" s="424">
        <f t="shared" si="69"/>
        <v>0</v>
      </c>
      <c r="T145" s="424">
        <f t="shared" si="69"/>
        <v>0</v>
      </c>
      <c r="U145" s="424">
        <f t="shared" si="69"/>
        <v>0</v>
      </c>
      <c r="V145" s="424">
        <f t="shared" si="69"/>
        <v>0</v>
      </c>
      <c r="W145" s="424">
        <f t="shared" si="69"/>
        <v>0</v>
      </c>
      <c r="X145" s="424">
        <f t="shared" si="69"/>
        <v>0</v>
      </c>
      <c r="Y145" s="424">
        <f t="shared" si="69"/>
        <v>0</v>
      </c>
      <c r="Z145" s="424">
        <f t="shared" si="69"/>
        <v>0</v>
      </c>
      <c r="AA145" s="424">
        <f t="shared" si="69"/>
        <v>0</v>
      </c>
      <c r="AB145" s="424">
        <f t="shared" si="69"/>
        <v>0</v>
      </c>
      <c r="AC145" s="424">
        <f t="shared" si="69"/>
        <v>0</v>
      </c>
      <c r="AD145" s="424">
        <f t="shared" si="69"/>
        <v>0</v>
      </c>
      <c r="AE145" s="424">
        <f t="shared" si="69"/>
        <v>0</v>
      </c>
      <c r="AF145" s="424">
        <f t="shared" si="69"/>
        <v>0</v>
      </c>
      <c r="AG145" s="424">
        <f t="shared" si="69"/>
        <v>0</v>
      </c>
      <c r="AH145" s="424">
        <f t="shared" si="69"/>
        <v>0</v>
      </c>
      <c r="AI145" s="424">
        <f t="shared" si="69"/>
        <v>0</v>
      </c>
      <c r="AJ145" s="424">
        <f t="shared" si="69"/>
        <v>0</v>
      </c>
      <c r="AK145" s="424">
        <f t="shared" si="69"/>
        <v>0</v>
      </c>
    </row>
    <row r="146" spans="3:37" outlineLevel="1">
      <c r="C146" s="422" t="s">
        <v>549</v>
      </c>
      <c r="D146" s="422" t="s">
        <v>134</v>
      </c>
      <c r="E146" s="424">
        <f>SUM(H146:AP146)</f>
        <v>0</v>
      </c>
      <c r="H146" s="439">
        <f>IF(H$117&lt;Assumptions_Dashboard!$D$5,0,$F$143)*(H144+H145)</f>
        <v>0</v>
      </c>
      <c r="I146" s="439">
        <f>IF(I$117&lt;Assumptions_Dashboard!$D$5,0,$F$143)*(I144+I145)</f>
        <v>0</v>
      </c>
      <c r="J146" s="439">
        <f>IF(J$117&lt;Assumptions_Dashboard!$D$5,0,$F$143)*(J144+J145)</f>
        <v>0</v>
      </c>
      <c r="K146" s="439">
        <f>IF(K$117&lt;Assumptions_Dashboard!$D$5,0,$F$143)*(K144+K145)</f>
        <v>0</v>
      </c>
      <c r="L146" s="439">
        <f>IF(L$117&lt;Assumptions_Dashboard!$D$5,0,$F$143)*(L144+L145)</f>
        <v>0</v>
      </c>
      <c r="M146" s="439">
        <f>IF(M$117&lt;Assumptions_Dashboard!$D$5,0,$F$143)*(M144+M145)</f>
        <v>0</v>
      </c>
      <c r="N146" s="439">
        <f>IF(N$117&lt;Assumptions_Dashboard!$D$5,0,$F$143)*(N144+N145)</f>
        <v>0</v>
      </c>
      <c r="O146" s="439">
        <f>IF(O$117&lt;Assumptions_Dashboard!$D$5,0,$F$143)*(O144+O145)</f>
        <v>0</v>
      </c>
      <c r="P146" s="439">
        <f>IF(P$117&lt;Assumptions_Dashboard!$D$5,0,$F$143)*(P144+P145)</f>
        <v>0</v>
      </c>
      <c r="Q146" s="439">
        <f>IF(Q$117&lt;Assumptions_Dashboard!$D$5,0,$F$143)*(Q144+Q145)</f>
        <v>0</v>
      </c>
      <c r="R146" s="439">
        <f>IF(R$117&lt;Assumptions_Dashboard!$D$5,0,$F$143)*(R144+R145)</f>
        <v>0</v>
      </c>
      <c r="S146" s="439">
        <f>IF(S$117&lt;Assumptions_Dashboard!$D$5,0,$F$143)*(S144+S145)</f>
        <v>0</v>
      </c>
      <c r="T146" s="439">
        <f>IF(T$117&lt;Assumptions_Dashboard!$D$5,0,$F$143)*(T144+T145)</f>
        <v>0</v>
      </c>
      <c r="U146" s="439">
        <f>IF(U$117&lt;Assumptions_Dashboard!$D$5,0,$F$143)*(U144+U145)</f>
        <v>0</v>
      </c>
      <c r="V146" s="439">
        <f>IF(V$117&lt;Assumptions_Dashboard!$D$5,0,$F$143)*(V144+V145)</f>
        <v>0</v>
      </c>
      <c r="W146" s="439">
        <f>IF(W$117&lt;Assumptions_Dashboard!$D$5,0,$F$143)*(W144+W145)</f>
        <v>0</v>
      </c>
      <c r="X146" s="439">
        <f>IF(X$117&lt;Assumptions_Dashboard!$D$5,0,$F$143)*(X144+X145)</f>
        <v>0</v>
      </c>
      <c r="Y146" s="439">
        <f>IF(Y$117&lt;Assumptions_Dashboard!$D$5,0,$F$143)*(Y144+Y145)</f>
        <v>0</v>
      </c>
      <c r="Z146" s="439">
        <f>IF(Z$117&lt;Assumptions_Dashboard!$D$5,0,$F$143)*(Z144+Z145)</f>
        <v>0</v>
      </c>
      <c r="AA146" s="439">
        <f>IF(AA$117&lt;Assumptions_Dashboard!$D$5,0,$F$143)*(AA144+AA145)</f>
        <v>0</v>
      </c>
      <c r="AB146" s="439">
        <f>IF(AB$117&lt;Assumptions_Dashboard!$D$5,0,$F$143)*(AB144+AB145)</f>
        <v>0</v>
      </c>
      <c r="AC146" s="439">
        <f>IF(AC$117&lt;Assumptions_Dashboard!$D$5,0,$F$143)*(AC144+AC145)</f>
        <v>0</v>
      </c>
      <c r="AD146" s="439">
        <f>IF(AD$117&lt;Assumptions_Dashboard!$D$5,0,$F$143)*(AD144+AD145)</f>
        <v>0</v>
      </c>
      <c r="AE146" s="439">
        <f>IF(AE$117&lt;Assumptions_Dashboard!$D$5,0,$F$143)*(AE144+AE145)</f>
        <v>0</v>
      </c>
      <c r="AF146" s="439">
        <f>IF(AF$117&lt;Assumptions_Dashboard!$D$5,0,$F$143)*(AF144+AF145)</f>
        <v>0</v>
      </c>
      <c r="AG146" s="439">
        <f>IF(AG$117&lt;Assumptions_Dashboard!$D$5,0,$F$143)*(AG144+AG145)</f>
        <v>0</v>
      </c>
      <c r="AH146" s="439">
        <f>IF(AH$117&lt;Assumptions_Dashboard!$D$5,0,$F$143)*(AH144+AH145)</f>
        <v>0</v>
      </c>
      <c r="AI146" s="439">
        <f>IF(AI$117&lt;Assumptions_Dashboard!$D$5,0,$F$143)*(AI144+AI145)</f>
        <v>0</v>
      </c>
      <c r="AJ146" s="439">
        <f>IF(AJ$117&lt;Assumptions_Dashboard!$D$5,0,$F$143)*(AJ144+AJ145)</f>
        <v>0</v>
      </c>
      <c r="AK146" s="439">
        <f>IF(AK$117&lt;Assumptions_Dashboard!$D$5,0,$F$143)*(AK144+AK145)</f>
        <v>0</v>
      </c>
    </row>
    <row r="147" spans="3:37" outlineLevel="1">
      <c r="C147" s="422" t="s">
        <v>550</v>
      </c>
      <c r="D147" s="422" t="s">
        <v>134</v>
      </c>
      <c r="H147" s="424">
        <f>SUM($H146:H146)</f>
        <v>0</v>
      </c>
      <c r="I147" s="424">
        <f>SUM($H146:I146)</f>
        <v>0</v>
      </c>
      <c r="J147" s="424">
        <f>SUM($H146:J146)</f>
        <v>0</v>
      </c>
      <c r="K147" s="424">
        <f>SUM($H146:K146)</f>
        <v>0</v>
      </c>
      <c r="L147" s="424">
        <f>SUM($H146:L146)</f>
        <v>0</v>
      </c>
      <c r="M147" s="424">
        <f>SUM($H146:M146)</f>
        <v>0</v>
      </c>
      <c r="N147" s="424">
        <f>SUM($H146:N146)</f>
        <v>0</v>
      </c>
      <c r="O147" s="424">
        <f>SUM($H146:O146)</f>
        <v>0</v>
      </c>
      <c r="P147" s="424">
        <f>SUM($H146:P146)</f>
        <v>0</v>
      </c>
      <c r="Q147" s="424">
        <f>SUM($H146:Q146)</f>
        <v>0</v>
      </c>
      <c r="R147" s="424">
        <f>SUM($H146:R146)</f>
        <v>0</v>
      </c>
      <c r="S147" s="424">
        <f>SUM($H146:S146)</f>
        <v>0</v>
      </c>
      <c r="T147" s="424">
        <f>SUM($H146:T146)</f>
        <v>0</v>
      </c>
      <c r="U147" s="424">
        <f>SUM($H146:U146)</f>
        <v>0</v>
      </c>
      <c r="V147" s="424">
        <f>SUM($H146:V146)</f>
        <v>0</v>
      </c>
      <c r="W147" s="424">
        <f>SUM($H146:W146)</f>
        <v>0</v>
      </c>
      <c r="X147" s="424">
        <f>SUM($H146:X146)</f>
        <v>0</v>
      </c>
      <c r="Y147" s="424">
        <f>SUM($H146:Y146)</f>
        <v>0</v>
      </c>
      <c r="Z147" s="424">
        <f>SUM($H146:Z146)</f>
        <v>0</v>
      </c>
      <c r="AA147" s="424">
        <f>SUM($H146:AA146)</f>
        <v>0</v>
      </c>
      <c r="AB147" s="424">
        <f>SUM($H146:AB146)</f>
        <v>0</v>
      </c>
      <c r="AC147" s="424">
        <f>SUM($H146:AC146)</f>
        <v>0</v>
      </c>
      <c r="AD147" s="424">
        <f>SUM($H146:AD146)</f>
        <v>0</v>
      </c>
      <c r="AE147" s="424">
        <f>SUM($H146:AE146)</f>
        <v>0</v>
      </c>
      <c r="AF147" s="424">
        <f>SUM($H146:AF146)</f>
        <v>0</v>
      </c>
      <c r="AG147" s="424">
        <f>SUM($H146:AG146)</f>
        <v>0</v>
      </c>
      <c r="AH147" s="424">
        <f>SUM($H146:AH146)</f>
        <v>0</v>
      </c>
      <c r="AI147" s="424">
        <f>SUM($H146:AI146)</f>
        <v>0</v>
      </c>
      <c r="AJ147" s="424">
        <f>SUM($H146:AJ146)</f>
        <v>0</v>
      </c>
      <c r="AK147" s="424">
        <f>SUM($H146:AK146)</f>
        <v>0</v>
      </c>
    </row>
    <row r="148" spans="3:37" outlineLevel="1">
      <c r="C148" s="422" t="s">
        <v>551</v>
      </c>
      <c r="D148" s="422" t="s">
        <v>134</v>
      </c>
      <c r="H148" s="424">
        <f>H144+H145-H146</f>
        <v>0</v>
      </c>
      <c r="I148" s="424">
        <f t="shared" ref="I148:AK148" si="70">I144+I145-I146</f>
        <v>0</v>
      </c>
      <c r="J148" s="424">
        <f t="shared" si="70"/>
        <v>0</v>
      </c>
      <c r="K148" s="424">
        <f t="shared" si="70"/>
        <v>0</v>
      </c>
      <c r="L148" s="424">
        <f t="shared" si="70"/>
        <v>0</v>
      </c>
      <c r="M148" s="424">
        <f t="shared" si="70"/>
        <v>0</v>
      </c>
      <c r="N148" s="424">
        <f t="shared" si="70"/>
        <v>0</v>
      </c>
      <c r="O148" s="424">
        <f t="shared" si="70"/>
        <v>0</v>
      </c>
      <c r="P148" s="424">
        <f t="shared" si="70"/>
        <v>0</v>
      </c>
      <c r="Q148" s="424">
        <f t="shared" si="70"/>
        <v>0</v>
      </c>
      <c r="R148" s="424">
        <f t="shared" si="70"/>
        <v>0</v>
      </c>
      <c r="S148" s="424">
        <f t="shared" si="70"/>
        <v>0</v>
      </c>
      <c r="T148" s="424">
        <f t="shared" si="70"/>
        <v>0</v>
      </c>
      <c r="U148" s="424">
        <f t="shared" si="70"/>
        <v>0</v>
      </c>
      <c r="V148" s="424">
        <f t="shared" si="70"/>
        <v>0</v>
      </c>
      <c r="W148" s="424">
        <f t="shared" si="70"/>
        <v>0</v>
      </c>
      <c r="X148" s="424">
        <f t="shared" si="70"/>
        <v>0</v>
      </c>
      <c r="Y148" s="424">
        <f t="shared" si="70"/>
        <v>0</v>
      </c>
      <c r="Z148" s="424">
        <f t="shared" si="70"/>
        <v>0</v>
      </c>
      <c r="AA148" s="424">
        <f t="shared" si="70"/>
        <v>0</v>
      </c>
      <c r="AB148" s="424">
        <f t="shared" si="70"/>
        <v>0</v>
      </c>
      <c r="AC148" s="424">
        <f t="shared" si="70"/>
        <v>0</v>
      </c>
      <c r="AD148" s="424">
        <f t="shared" si="70"/>
        <v>0</v>
      </c>
      <c r="AE148" s="424">
        <f t="shared" si="70"/>
        <v>0</v>
      </c>
      <c r="AF148" s="424">
        <f t="shared" si="70"/>
        <v>0</v>
      </c>
      <c r="AG148" s="424">
        <f t="shared" si="70"/>
        <v>0</v>
      </c>
      <c r="AH148" s="424">
        <f t="shared" si="70"/>
        <v>0</v>
      </c>
      <c r="AI148" s="424">
        <f t="shared" si="70"/>
        <v>0</v>
      </c>
      <c r="AJ148" s="424">
        <f t="shared" si="70"/>
        <v>0</v>
      </c>
      <c r="AK148" s="424">
        <f t="shared" si="70"/>
        <v>0</v>
      </c>
    </row>
    <row r="149" spans="3:37" outlineLevel="1">
      <c r="C149" s="191" t="str">
        <f>C71</f>
        <v>Civil Infrastructure</v>
      </c>
      <c r="F149" s="423">
        <v>0.1</v>
      </c>
    </row>
    <row r="150" spans="3:37" outlineLevel="1">
      <c r="C150" s="422" t="s">
        <v>547</v>
      </c>
      <c r="D150" s="422" t="s">
        <v>134</v>
      </c>
      <c r="H150" s="424">
        <f>G154</f>
        <v>0</v>
      </c>
      <c r="I150" s="424">
        <f t="shared" ref="I150:AK150" si="71">H154</f>
        <v>0</v>
      </c>
      <c r="J150" s="424">
        <f t="shared" si="71"/>
        <v>0</v>
      </c>
      <c r="K150" s="424">
        <f t="shared" si="71"/>
        <v>0</v>
      </c>
      <c r="L150" s="424">
        <f t="shared" si="71"/>
        <v>0</v>
      </c>
      <c r="M150" s="424">
        <f t="shared" si="71"/>
        <v>0</v>
      </c>
      <c r="N150" s="424">
        <f t="shared" si="71"/>
        <v>0</v>
      </c>
      <c r="O150" s="424">
        <f t="shared" si="71"/>
        <v>0</v>
      </c>
      <c r="P150" s="424">
        <f t="shared" si="71"/>
        <v>0</v>
      </c>
      <c r="Q150" s="424">
        <f t="shared" si="71"/>
        <v>0</v>
      </c>
      <c r="R150" s="424">
        <f t="shared" si="71"/>
        <v>0</v>
      </c>
      <c r="S150" s="424">
        <f t="shared" si="71"/>
        <v>0</v>
      </c>
      <c r="T150" s="424">
        <f t="shared" si="71"/>
        <v>0</v>
      </c>
      <c r="U150" s="424">
        <f t="shared" si="71"/>
        <v>0</v>
      </c>
      <c r="V150" s="424">
        <f t="shared" si="71"/>
        <v>0</v>
      </c>
      <c r="W150" s="424">
        <f t="shared" si="71"/>
        <v>0</v>
      </c>
      <c r="X150" s="424">
        <f t="shared" si="71"/>
        <v>0</v>
      </c>
      <c r="Y150" s="424">
        <f t="shared" si="71"/>
        <v>0</v>
      </c>
      <c r="Z150" s="424">
        <f t="shared" si="71"/>
        <v>0</v>
      </c>
      <c r="AA150" s="424">
        <f t="shared" si="71"/>
        <v>0</v>
      </c>
      <c r="AB150" s="424">
        <f t="shared" si="71"/>
        <v>0</v>
      </c>
      <c r="AC150" s="424">
        <f t="shared" si="71"/>
        <v>0</v>
      </c>
      <c r="AD150" s="424">
        <f t="shared" si="71"/>
        <v>0</v>
      </c>
      <c r="AE150" s="424">
        <f t="shared" si="71"/>
        <v>0</v>
      </c>
      <c r="AF150" s="424">
        <f t="shared" si="71"/>
        <v>0</v>
      </c>
      <c r="AG150" s="424">
        <f t="shared" si="71"/>
        <v>0</v>
      </c>
      <c r="AH150" s="424">
        <f t="shared" si="71"/>
        <v>0</v>
      </c>
      <c r="AI150" s="424">
        <f t="shared" si="71"/>
        <v>0</v>
      </c>
      <c r="AJ150" s="424">
        <f t="shared" si="71"/>
        <v>0</v>
      </c>
      <c r="AK150" s="424">
        <f t="shared" si="71"/>
        <v>0</v>
      </c>
    </row>
    <row r="151" spans="3:37" outlineLevel="1">
      <c r="C151" s="422" t="s">
        <v>548</v>
      </c>
      <c r="D151" s="422" t="s">
        <v>134</v>
      </c>
      <c r="E151" s="424">
        <f>SUM(H151:AP151)</f>
        <v>0</v>
      </c>
      <c r="H151" s="424">
        <f>H73</f>
        <v>0</v>
      </c>
      <c r="I151" s="424">
        <f t="shared" ref="I151:AK151" si="72">I73</f>
        <v>0</v>
      </c>
      <c r="J151" s="424">
        <f t="shared" si="72"/>
        <v>0</v>
      </c>
      <c r="K151" s="424">
        <f t="shared" si="72"/>
        <v>0</v>
      </c>
      <c r="L151" s="424">
        <f t="shared" si="72"/>
        <v>0</v>
      </c>
      <c r="M151" s="424">
        <f t="shared" si="72"/>
        <v>0</v>
      </c>
      <c r="N151" s="424">
        <f t="shared" si="72"/>
        <v>0</v>
      </c>
      <c r="O151" s="424">
        <f t="shared" si="72"/>
        <v>0</v>
      </c>
      <c r="P151" s="424">
        <f t="shared" si="72"/>
        <v>0</v>
      </c>
      <c r="Q151" s="424">
        <f t="shared" si="72"/>
        <v>0</v>
      </c>
      <c r="R151" s="424">
        <f t="shared" si="72"/>
        <v>0</v>
      </c>
      <c r="S151" s="424">
        <f t="shared" si="72"/>
        <v>0</v>
      </c>
      <c r="T151" s="424">
        <f t="shared" si="72"/>
        <v>0</v>
      </c>
      <c r="U151" s="424">
        <f t="shared" si="72"/>
        <v>0</v>
      </c>
      <c r="V151" s="424">
        <f t="shared" si="72"/>
        <v>0</v>
      </c>
      <c r="W151" s="424">
        <f t="shared" si="72"/>
        <v>0</v>
      </c>
      <c r="X151" s="424">
        <f t="shared" si="72"/>
        <v>0</v>
      </c>
      <c r="Y151" s="424">
        <f t="shared" si="72"/>
        <v>0</v>
      </c>
      <c r="Z151" s="424">
        <f t="shared" si="72"/>
        <v>0</v>
      </c>
      <c r="AA151" s="424">
        <f t="shared" si="72"/>
        <v>0</v>
      </c>
      <c r="AB151" s="424">
        <f t="shared" si="72"/>
        <v>0</v>
      </c>
      <c r="AC151" s="424">
        <f t="shared" si="72"/>
        <v>0</v>
      </c>
      <c r="AD151" s="424">
        <f t="shared" si="72"/>
        <v>0</v>
      </c>
      <c r="AE151" s="424">
        <f t="shared" si="72"/>
        <v>0</v>
      </c>
      <c r="AF151" s="424">
        <f t="shared" si="72"/>
        <v>0</v>
      </c>
      <c r="AG151" s="424">
        <f t="shared" si="72"/>
        <v>0</v>
      </c>
      <c r="AH151" s="424">
        <f t="shared" si="72"/>
        <v>0</v>
      </c>
      <c r="AI151" s="424">
        <f t="shared" si="72"/>
        <v>0</v>
      </c>
      <c r="AJ151" s="424">
        <f t="shared" si="72"/>
        <v>0</v>
      </c>
      <c r="AK151" s="424">
        <f t="shared" si="72"/>
        <v>0</v>
      </c>
    </row>
    <row r="152" spans="3:37" outlineLevel="1">
      <c r="C152" s="422" t="s">
        <v>549</v>
      </c>
      <c r="D152" s="422" t="s">
        <v>134</v>
      </c>
      <c r="E152" s="424">
        <f>SUM(H152:AP152)</f>
        <v>0</v>
      </c>
      <c r="H152" s="439">
        <f>IF(H$117&lt;Assumptions_Dashboard!$D$5,0,$F$149)*(H150+H151)</f>
        <v>0</v>
      </c>
      <c r="I152" s="439">
        <f>IF(I$117&lt;Assumptions_Dashboard!$D$5,0,$F$149)*(I150+I151)</f>
        <v>0</v>
      </c>
      <c r="J152" s="439">
        <f>IF(J$117&lt;Assumptions_Dashboard!$D$5,0,$F$149)*(J150+J151)</f>
        <v>0</v>
      </c>
      <c r="K152" s="439">
        <f>IF(K$117&lt;Assumptions_Dashboard!$D$5,0,$F$149)*(K150+K151)</f>
        <v>0</v>
      </c>
      <c r="L152" s="439">
        <f>IF(L$117&lt;Assumptions_Dashboard!$D$5,0,$F$149)*(L150+L151)</f>
        <v>0</v>
      </c>
      <c r="M152" s="439">
        <f>IF(M$117&lt;Assumptions_Dashboard!$D$5,0,$F$149)*(M150+M151)</f>
        <v>0</v>
      </c>
      <c r="N152" s="439">
        <f>IF(N$117&lt;Assumptions_Dashboard!$D$5,0,$F$149)*(N150+N151)</f>
        <v>0</v>
      </c>
      <c r="O152" s="439">
        <f>IF(O$117&lt;Assumptions_Dashboard!$D$5,0,$F$149)*(O150+O151)</f>
        <v>0</v>
      </c>
      <c r="P152" s="439">
        <f>IF(P$117&lt;Assumptions_Dashboard!$D$5,0,$F$149)*(P150+P151)</f>
        <v>0</v>
      </c>
      <c r="Q152" s="439">
        <f>IF(Q$117&lt;Assumptions_Dashboard!$D$5,0,$F$149)*(Q150+Q151)</f>
        <v>0</v>
      </c>
      <c r="R152" s="439">
        <f>IF(R$117&lt;Assumptions_Dashboard!$D$5,0,$F$149)*(R150+R151)</f>
        <v>0</v>
      </c>
      <c r="S152" s="439">
        <f>IF(S$117&lt;Assumptions_Dashboard!$D$5,0,$F$149)*(S150+S151)</f>
        <v>0</v>
      </c>
      <c r="T152" s="439">
        <f>IF(T$117&lt;Assumptions_Dashboard!$D$5,0,$F$149)*(T150+T151)</f>
        <v>0</v>
      </c>
      <c r="U152" s="439">
        <f>IF(U$117&lt;Assumptions_Dashboard!$D$5,0,$F$149)*(U150+U151)</f>
        <v>0</v>
      </c>
      <c r="V152" s="439">
        <f>IF(V$117&lt;Assumptions_Dashboard!$D$5,0,$F$149)*(V150+V151)</f>
        <v>0</v>
      </c>
      <c r="W152" s="439">
        <f>IF(W$117&lt;Assumptions_Dashboard!$D$5,0,$F$149)*(W150+W151)</f>
        <v>0</v>
      </c>
      <c r="X152" s="439">
        <f>IF(X$117&lt;Assumptions_Dashboard!$D$5,0,$F$149)*(X150+X151)</f>
        <v>0</v>
      </c>
      <c r="Y152" s="439">
        <f>IF(Y$117&lt;Assumptions_Dashboard!$D$5,0,$F$149)*(Y150+Y151)</f>
        <v>0</v>
      </c>
      <c r="Z152" s="439">
        <f>IF(Z$117&lt;Assumptions_Dashboard!$D$5,0,$F$149)*(Z150+Z151)</f>
        <v>0</v>
      </c>
      <c r="AA152" s="439">
        <f>IF(AA$117&lt;Assumptions_Dashboard!$D$5,0,$F$149)*(AA150+AA151)</f>
        <v>0</v>
      </c>
      <c r="AB152" s="439">
        <f>IF(AB$117&lt;Assumptions_Dashboard!$D$5,0,$F$149)*(AB150+AB151)</f>
        <v>0</v>
      </c>
      <c r="AC152" s="439">
        <f>IF(AC$117&lt;Assumptions_Dashboard!$D$5,0,$F$149)*(AC150+AC151)</f>
        <v>0</v>
      </c>
      <c r="AD152" s="439">
        <f>IF(AD$117&lt;Assumptions_Dashboard!$D$5,0,$F$149)*(AD150+AD151)</f>
        <v>0</v>
      </c>
      <c r="AE152" s="439">
        <f>IF(AE$117&lt;Assumptions_Dashboard!$D$5,0,$F$149)*(AE150+AE151)</f>
        <v>0</v>
      </c>
      <c r="AF152" s="439">
        <f>IF(AF$117&lt;Assumptions_Dashboard!$D$5,0,$F$149)*(AF150+AF151)</f>
        <v>0</v>
      </c>
      <c r="AG152" s="439">
        <f>IF(AG$117&lt;Assumptions_Dashboard!$D$5,0,$F$149)*(AG150+AG151)</f>
        <v>0</v>
      </c>
      <c r="AH152" s="439">
        <f>IF(AH$117&lt;Assumptions_Dashboard!$D$5,0,$F$149)*(AH150+AH151)</f>
        <v>0</v>
      </c>
      <c r="AI152" s="439">
        <f>IF(AI$117&lt;Assumptions_Dashboard!$D$5,0,$F$149)*(AI150+AI151)</f>
        <v>0</v>
      </c>
      <c r="AJ152" s="439">
        <f>IF(AJ$117&lt;Assumptions_Dashboard!$D$5,0,$F$149)*(AJ150+AJ151)</f>
        <v>0</v>
      </c>
      <c r="AK152" s="439">
        <f>IF(AK$117&lt;Assumptions_Dashboard!$D$5,0,$F$149)*(AK150+AK151)</f>
        <v>0</v>
      </c>
    </row>
    <row r="153" spans="3:37" outlineLevel="1">
      <c r="C153" s="422" t="s">
        <v>550</v>
      </c>
      <c r="D153" s="422" t="s">
        <v>134</v>
      </c>
      <c r="H153" s="424">
        <f>SUM($H152:H152)</f>
        <v>0</v>
      </c>
      <c r="I153" s="424">
        <f>SUM($H152:I152)</f>
        <v>0</v>
      </c>
      <c r="J153" s="424">
        <f>SUM($H152:J152)</f>
        <v>0</v>
      </c>
      <c r="K153" s="424">
        <f>SUM($H152:K152)</f>
        <v>0</v>
      </c>
      <c r="L153" s="424">
        <f>SUM($H152:L152)</f>
        <v>0</v>
      </c>
      <c r="M153" s="424">
        <f>SUM($H152:M152)</f>
        <v>0</v>
      </c>
      <c r="N153" s="424">
        <f>SUM($H152:N152)</f>
        <v>0</v>
      </c>
      <c r="O153" s="424">
        <f>SUM($H152:O152)</f>
        <v>0</v>
      </c>
      <c r="P153" s="424">
        <f>SUM($H152:P152)</f>
        <v>0</v>
      </c>
      <c r="Q153" s="424">
        <f>SUM($H152:Q152)</f>
        <v>0</v>
      </c>
      <c r="R153" s="424">
        <f>SUM($H152:R152)</f>
        <v>0</v>
      </c>
      <c r="S153" s="424">
        <f>SUM($H152:S152)</f>
        <v>0</v>
      </c>
      <c r="T153" s="424">
        <f>SUM($H152:T152)</f>
        <v>0</v>
      </c>
      <c r="U153" s="424">
        <f>SUM($H152:U152)</f>
        <v>0</v>
      </c>
      <c r="V153" s="424">
        <f>SUM($H152:V152)</f>
        <v>0</v>
      </c>
      <c r="W153" s="424">
        <f>SUM($H152:W152)</f>
        <v>0</v>
      </c>
      <c r="X153" s="424">
        <f>SUM($H152:X152)</f>
        <v>0</v>
      </c>
      <c r="Y153" s="424">
        <f>SUM($H152:Y152)</f>
        <v>0</v>
      </c>
      <c r="Z153" s="424">
        <f>SUM($H152:Z152)</f>
        <v>0</v>
      </c>
      <c r="AA153" s="424">
        <f>SUM($H152:AA152)</f>
        <v>0</v>
      </c>
      <c r="AB153" s="424">
        <f>SUM($H152:AB152)</f>
        <v>0</v>
      </c>
      <c r="AC153" s="424">
        <f>SUM($H152:AC152)</f>
        <v>0</v>
      </c>
      <c r="AD153" s="424">
        <f>SUM($H152:AD152)</f>
        <v>0</v>
      </c>
      <c r="AE153" s="424">
        <f>SUM($H152:AE152)</f>
        <v>0</v>
      </c>
      <c r="AF153" s="424">
        <f>SUM($H152:AF152)</f>
        <v>0</v>
      </c>
      <c r="AG153" s="424">
        <f>SUM($H152:AG152)</f>
        <v>0</v>
      </c>
      <c r="AH153" s="424">
        <f>SUM($H152:AH152)</f>
        <v>0</v>
      </c>
      <c r="AI153" s="424">
        <f>SUM($H152:AI152)</f>
        <v>0</v>
      </c>
      <c r="AJ153" s="424">
        <f>SUM($H152:AJ152)</f>
        <v>0</v>
      </c>
      <c r="AK153" s="424">
        <f>SUM($H152:AK152)</f>
        <v>0</v>
      </c>
    </row>
    <row r="154" spans="3:37" outlineLevel="1">
      <c r="C154" s="422" t="s">
        <v>551</v>
      </c>
      <c r="D154" s="422" t="s">
        <v>134</v>
      </c>
      <c r="H154" s="424">
        <f>H150+H151-H152</f>
        <v>0</v>
      </c>
      <c r="I154" s="424">
        <f t="shared" ref="I154:AK154" si="73">I150+I151-I152</f>
        <v>0</v>
      </c>
      <c r="J154" s="424">
        <f t="shared" si="73"/>
        <v>0</v>
      </c>
      <c r="K154" s="424">
        <f t="shared" si="73"/>
        <v>0</v>
      </c>
      <c r="L154" s="424">
        <f t="shared" si="73"/>
        <v>0</v>
      </c>
      <c r="M154" s="424">
        <f t="shared" si="73"/>
        <v>0</v>
      </c>
      <c r="N154" s="424">
        <f t="shared" si="73"/>
        <v>0</v>
      </c>
      <c r="O154" s="424">
        <f t="shared" si="73"/>
        <v>0</v>
      </c>
      <c r="P154" s="424">
        <f t="shared" si="73"/>
        <v>0</v>
      </c>
      <c r="Q154" s="424">
        <f t="shared" si="73"/>
        <v>0</v>
      </c>
      <c r="R154" s="424">
        <f t="shared" si="73"/>
        <v>0</v>
      </c>
      <c r="S154" s="424">
        <f t="shared" si="73"/>
        <v>0</v>
      </c>
      <c r="T154" s="424">
        <f t="shared" si="73"/>
        <v>0</v>
      </c>
      <c r="U154" s="424">
        <f t="shared" si="73"/>
        <v>0</v>
      </c>
      <c r="V154" s="424">
        <f t="shared" si="73"/>
        <v>0</v>
      </c>
      <c r="W154" s="424">
        <f t="shared" si="73"/>
        <v>0</v>
      </c>
      <c r="X154" s="424">
        <f t="shared" si="73"/>
        <v>0</v>
      </c>
      <c r="Y154" s="424">
        <f t="shared" si="73"/>
        <v>0</v>
      </c>
      <c r="Z154" s="424">
        <f t="shared" si="73"/>
        <v>0</v>
      </c>
      <c r="AA154" s="424">
        <f t="shared" si="73"/>
        <v>0</v>
      </c>
      <c r="AB154" s="424">
        <f t="shared" si="73"/>
        <v>0</v>
      </c>
      <c r="AC154" s="424">
        <f t="shared" si="73"/>
        <v>0</v>
      </c>
      <c r="AD154" s="424">
        <f t="shared" si="73"/>
        <v>0</v>
      </c>
      <c r="AE154" s="424">
        <f t="shared" si="73"/>
        <v>0</v>
      </c>
      <c r="AF154" s="424">
        <f t="shared" si="73"/>
        <v>0</v>
      </c>
      <c r="AG154" s="424">
        <f t="shared" si="73"/>
        <v>0</v>
      </c>
      <c r="AH154" s="424">
        <f t="shared" si="73"/>
        <v>0</v>
      </c>
      <c r="AI154" s="424">
        <f t="shared" si="73"/>
        <v>0</v>
      </c>
      <c r="AJ154" s="424">
        <f t="shared" si="73"/>
        <v>0</v>
      </c>
      <c r="AK154" s="424">
        <f t="shared" si="73"/>
        <v>0</v>
      </c>
    </row>
    <row r="155" spans="3:37" outlineLevel="1">
      <c r="C155" s="191" t="str">
        <f>C77</f>
        <v>Fire Fighting &amp; Dust Suppression</v>
      </c>
      <c r="F155" s="423">
        <v>0.15</v>
      </c>
    </row>
    <row r="156" spans="3:37" outlineLevel="1">
      <c r="C156" s="422" t="s">
        <v>547</v>
      </c>
      <c r="D156" s="422" t="s">
        <v>134</v>
      </c>
      <c r="H156" s="424">
        <f>G160</f>
        <v>0</v>
      </c>
      <c r="I156" s="424">
        <f t="shared" ref="I156:Z156" si="74">H160</f>
        <v>0</v>
      </c>
      <c r="J156" s="424">
        <f t="shared" si="74"/>
        <v>0</v>
      </c>
      <c r="K156" s="424">
        <f t="shared" si="74"/>
        <v>0</v>
      </c>
      <c r="L156" s="424">
        <f t="shared" si="74"/>
        <v>0</v>
      </c>
      <c r="M156" s="424">
        <f t="shared" si="74"/>
        <v>0</v>
      </c>
      <c r="N156" s="424">
        <f t="shared" si="74"/>
        <v>0</v>
      </c>
      <c r="O156" s="424">
        <f t="shared" si="74"/>
        <v>0</v>
      </c>
      <c r="P156" s="424">
        <f t="shared" si="74"/>
        <v>0</v>
      </c>
      <c r="Q156" s="424">
        <f t="shared" si="74"/>
        <v>0</v>
      </c>
      <c r="R156" s="424">
        <f t="shared" si="74"/>
        <v>0</v>
      </c>
      <c r="S156" s="424">
        <f t="shared" si="74"/>
        <v>0</v>
      </c>
      <c r="T156" s="424">
        <f t="shared" si="74"/>
        <v>0</v>
      </c>
      <c r="U156" s="424">
        <f t="shared" si="74"/>
        <v>0</v>
      </c>
      <c r="V156" s="424">
        <f t="shared" si="74"/>
        <v>0</v>
      </c>
      <c r="W156" s="424">
        <f t="shared" si="74"/>
        <v>0</v>
      </c>
      <c r="X156" s="424">
        <f t="shared" si="74"/>
        <v>0</v>
      </c>
      <c r="Y156" s="424">
        <f t="shared" si="74"/>
        <v>0</v>
      </c>
      <c r="Z156" s="424">
        <f t="shared" si="74"/>
        <v>0</v>
      </c>
      <c r="AA156" s="424">
        <f>Z160</f>
        <v>0</v>
      </c>
      <c r="AB156" s="424">
        <f t="shared" ref="AB156:AK156" si="75">AA160</f>
        <v>0</v>
      </c>
      <c r="AC156" s="424">
        <f t="shared" si="75"/>
        <v>0</v>
      </c>
      <c r="AD156" s="424">
        <f t="shared" si="75"/>
        <v>0</v>
      </c>
      <c r="AE156" s="424">
        <f t="shared" si="75"/>
        <v>0</v>
      </c>
      <c r="AF156" s="424">
        <f t="shared" si="75"/>
        <v>0</v>
      </c>
      <c r="AG156" s="424">
        <f t="shared" si="75"/>
        <v>0</v>
      </c>
      <c r="AH156" s="424">
        <f t="shared" si="75"/>
        <v>0</v>
      </c>
      <c r="AI156" s="424">
        <f t="shared" si="75"/>
        <v>0</v>
      </c>
      <c r="AJ156" s="424">
        <f t="shared" si="75"/>
        <v>0</v>
      </c>
      <c r="AK156" s="424">
        <f t="shared" si="75"/>
        <v>0</v>
      </c>
    </row>
    <row r="157" spans="3:37" outlineLevel="1">
      <c r="C157" s="422" t="s">
        <v>548</v>
      </c>
      <c r="D157" s="422" t="s">
        <v>134</v>
      </c>
      <c r="E157" s="424">
        <f>SUM(H157:AP157)</f>
        <v>0</v>
      </c>
      <c r="H157" s="424">
        <f>H79</f>
        <v>0</v>
      </c>
      <c r="I157" s="424">
        <f t="shared" ref="I157:AK157" si="76">I79</f>
        <v>0</v>
      </c>
      <c r="J157" s="424">
        <f t="shared" si="76"/>
        <v>0</v>
      </c>
      <c r="K157" s="424">
        <f t="shared" si="76"/>
        <v>0</v>
      </c>
      <c r="L157" s="424">
        <f t="shared" si="76"/>
        <v>0</v>
      </c>
      <c r="M157" s="424">
        <f t="shared" si="76"/>
        <v>0</v>
      </c>
      <c r="N157" s="424">
        <f t="shared" si="76"/>
        <v>0</v>
      </c>
      <c r="O157" s="424">
        <f t="shared" si="76"/>
        <v>0</v>
      </c>
      <c r="P157" s="424">
        <f t="shared" si="76"/>
        <v>0</v>
      </c>
      <c r="Q157" s="424">
        <f t="shared" si="76"/>
        <v>0</v>
      </c>
      <c r="R157" s="424">
        <f t="shared" si="76"/>
        <v>0</v>
      </c>
      <c r="S157" s="424">
        <f t="shared" si="76"/>
        <v>0</v>
      </c>
      <c r="T157" s="424">
        <f t="shared" si="76"/>
        <v>0</v>
      </c>
      <c r="U157" s="424">
        <f t="shared" si="76"/>
        <v>0</v>
      </c>
      <c r="V157" s="424">
        <f t="shared" si="76"/>
        <v>0</v>
      </c>
      <c r="W157" s="424">
        <f t="shared" si="76"/>
        <v>0</v>
      </c>
      <c r="X157" s="424">
        <f t="shared" si="76"/>
        <v>0</v>
      </c>
      <c r="Y157" s="424">
        <f t="shared" si="76"/>
        <v>0</v>
      </c>
      <c r="Z157" s="424">
        <f t="shared" si="76"/>
        <v>0</v>
      </c>
      <c r="AA157" s="424">
        <f t="shared" si="76"/>
        <v>0</v>
      </c>
      <c r="AB157" s="424">
        <f t="shared" si="76"/>
        <v>0</v>
      </c>
      <c r="AC157" s="424">
        <f t="shared" si="76"/>
        <v>0</v>
      </c>
      <c r="AD157" s="424">
        <f t="shared" si="76"/>
        <v>0</v>
      </c>
      <c r="AE157" s="424">
        <f t="shared" si="76"/>
        <v>0</v>
      </c>
      <c r="AF157" s="424">
        <f t="shared" si="76"/>
        <v>0</v>
      </c>
      <c r="AG157" s="424">
        <f t="shared" si="76"/>
        <v>0</v>
      </c>
      <c r="AH157" s="424">
        <f t="shared" si="76"/>
        <v>0</v>
      </c>
      <c r="AI157" s="424">
        <f t="shared" si="76"/>
        <v>0</v>
      </c>
      <c r="AJ157" s="424">
        <f t="shared" si="76"/>
        <v>0</v>
      </c>
      <c r="AK157" s="424">
        <f t="shared" si="76"/>
        <v>0</v>
      </c>
    </row>
    <row r="158" spans="3:37" outlineLevel="1">
      <c r="C158" s="422" t="s">
        <v>549</v>
      </c>
      <c r="D158" s="422" t="s">
        <v>134</v>
      </c>
      <c r="E158" s="424">
        <f>SUM(H158:AP158)</f>
        <v>0</v>
      </c>
      <c r="H158" s="439">
        <f>IF(H$117&lt;Assumptions_Dashboard!$D$5,0,$F$155)*(H156+H157)</f>
        <v>0</v>
      </c>
      <c r="I158" s="439">
        <f>IF(I$117&lt;Assumptions_Dashboard!$D$5,0,$F$155)*(I156+I157)</f>
        <v>0</v>
      </c>
      <c r="J158" s="439">
        <f>IF(J$117&lt;Assumptions_Dashboard!$D$5,0,$F$155)*(J156+J157)</f>
        <v>0</v>
      </c>
      <c r="K158" s="439">
        <f>IF(K$117&lt;Assumptions_Dashboard!$D$5,0,$F$155)*(K156+K157)</f>
        <v>0</v>
      </c>
      <c r="L158" s="439">
        <f>IF(L$117&lt;Assumptions_Dashboard!$D$5,0,$F$155)*(L156+L157)</f>
        <v>0</v>
      </c>
      <c r="M158" s="439">
        <f>IF(M$117&lt;Assumptions_Dashboard!$D$5,0,$F$155)*(M156+M157)</f>
        <v>0</v>
      </c>
      <c r="N158" s="439">
        <f>IF(N$117&lt;Assumptions_Dashboard!$D$5,0,$F$155)*(N156+N157)</f>
        <v>0</v>
      </c>
      <c r="O158" s="439">
        <f>IF(O$117&lt;Assumptions_Dashboard!$D$5,0,$F$155)*(O156+O157)</f>
        <v>0</v>
      </c>
      <c r="P158" s="439">
        <f>IF(P$117&lt;Assumptions_Dashboard!$D$5,0,$F$155)*(P156+P157)</f>
        <v>0</v>
      </c>
      <c r="Q158" s="439">
        <f>IF(Q$117&lt;Assumptions_Dashboard!$D$5,0,$F$155)*(Q156+Q157)</f>
        <v>0</v>
      </c>
      <c r="R158" s="439">
        <f>IF(R$117&lt;Assumptions_Dashboard!$D$5,0,$F$155)*(R156+R157)</f>
        <v>0</v>
      </c>
      <c r="S158" s="439">
        <f>IF(S$117&lt;Assumptions_Dashboard!$D$5,0,$F$155)*(S156+S157)</f>
        <v>0</v>
      </c>
      <c r="T158" s="439">
        <f>IF(T$117&lt;Assumptions_Dashboard!$D$5,0,$F$155)*(T156+T157)</f>
        <v>0</v>
      </c>
      <c r="U158" s="439">
        <f>IF(U$117&lt;Assumptions_Dashboard!$D$5,0,$F$155)*(U156+U157)</f>
        <v>0</v>
      </c>
      <c r="V158" s="439">
        <f>IF(V$117&lt;Assumptions_Dashboard!$D$5,0,$F$155)*(V156+V157)</f>
        <v>0</v>
      </c>
      <c r="W158" s="439">
        <f>IF(W$117&lt;Assumptions_Dashboard!$D$5,0,$F$155)*(W156+W157)</f>
        <v>0</v>
      </c>
      <c r="X158" s="439">
        <f>IF(X$117&lt;Assumptions_Dashboard!$D$5,0,$F$155)*(X156+X157)</f>
        <v>0</v>
      </c>
      <c r="Y158" s="439">
        <f>IF(Y$117&lt;Assumptions_Dashboard!$D$5,0,$F$155)*(Y156+Y157)</f>
        <v>0</v>
      </c>
      <c r="Z158" s="439">
        <f>IF(Z$117&lt;Assumptions_Dashboard!$D$5,0,$F$155)*(Z156+Z157)</f>
        <v>0</v>
      </c>
      <c r="AA158" s="439">
        <f>IF(AA$117&lt;Assumptions_Dashboard!$D$5,0,$F$155)*(AA156+AA157)</f>
        <v>0</v>
      </c>
      <c r="AB158" s="439">
        <f>IF(AB$117&lt;Assumptions_Dashboard!$D$5,0,$F$155)*(AB156+AB157)</f>
        <v>0</v>
      </c>
      <c r="AC158" s="439">
        <f>IF(AC$117&lt;Assumptions_Dashboard!$D$5,0,$F$155)*(AC156+AC157)</f>
        <v>0</v>
      </c>
      <c r="AD158" s="439">
        <f>IF(AD$117&lt;Assumptions_Dashboard!$D$5,0,$F$155)*(AD156+AD157)</f>
        <v>0</v>
      </c>
      <c r="AE158" s="439">
        <f>IF(AE$117&lt;Assumptions_Dashboard!$D$5,0,$F$155)*(AE156+AE157)</f>
        <v>0</v>
      </c>
      <c r="AF158" s="439">
        <f>IF(AF$117&lt;Assumptions_Dashboard!$D$5,0,$F$155)*(AF156+AF157)</f>
        <v>0</v>
      </c>
      <c r="AG158" s="439">
        <f>IF(AG$117&lt;Assumptions_Dashboard!$D$5,0,$F$155)*(AG156+AG157)</f>
        <v>0</v>
      </c>
      <c r="AH158" s="439">
        <f>IF(AH$117&lt;Assumptions_Dashboard!$D$5,0,$F$155)*(AH156+AH157)</f>
        <v>0</v>
      </c>
      <c r="AI158" s="439">
        <f>IF(AI$117&lt;Assumptions_Dashboard!$D$5,0,$F$155)*(AI156+AI157)</f>
        <v>0</v>
      </c>
      <c r="AJ158" s="439">
        <f>IF(AJ$117&lt;Assumptions_Dashboard!$D$5,0,$F$155)*(AJ156+AJ157)</f>
        <v>0</v>
      </c>
      <c r="AK158" s="439">
        <f>IF(AK$117&lt;Assumptions_Dashboard!$D$5,0,$F$155)*(AK156+AK157)</f>
        <v>0</v>
      </c>
    </row>
    <row r="159" spans="3:37" outlineLevel="1">
      <c r="C159" s="422" t="s">
        <v>550</v>
      </c>
      <c r="D159" s="422" t="s">
        <v>134</v>
      </c>
      <c r="H159" s="424">
        <f>SUM($H158:H158)</f>
        <v>0</v>
      </c>
      <c r="I159" s="424">
        <f>SUM($H158:I158)</f>
        <v>0</v>
      </c>
      <c r="J159" s="424">
        <f>SUM($H158:J158)</f>
        <v>0</v>
      </c>
      <c r="K159" s="424">
        <f>SUM($H158:K158)</f>
        <v>0</v>
      </c>
      <c r="L159" s="424">
        <f>SUM($H158:L158)</f>
        <v>0</v>
      </c>
      <c r="M159" s="424">
        <f>SUM($H158:M158)</f>
        <v>0</v>
      </c>
      <c r="N159" s="424">
        <f>SUM($H158:N158)</f>
        <v>0</v>
      </c>
      <c r="O159" s="424">
        <f>SUM($H158:O158)</f>
        <v>0</v>
      </c>
      <c r="P159" s="424">
        <f>SUM($H158:P158)</f>
        <v>0</v>
      </c>
      <c r="Q159" s="424">
        <f>SUM($H158:Q158)</f>
        <v>0</v>
      </c>
      <c r="R159" s="424">
        <f>SUM($H158:R158)</f>
        <v>0</v>
      </c>
      <c r="S159" s="424">
        <f>SUM($H158:S158)</f>
        <v>0</v>
      </c>
      <c r="T159" s="424">
        <f>SUM($H158:T158)</f>
        <v>0</v>
      </c>
      <c r="U159" s="424">
        <f>SUM($H158:U158)</f>
        <v>0</v>
      </c>
      <c r="V159" s="424">
        <f>SUM($H158:V158)</f>
        <v>0</v>
      </c>
      <c r="W159" s="424">
        <f>SUM($H158:W158)</f>
        <v>0</v>
      </c>
      <c r="X159" s="424">
        <f>SUM($H158:X158)</f>
        <v>0</v>
      </c>
      <c r="Y159" s="424">
        <f>SUM($H158:Y158)</f>
        <v>0</v>
      </c>
      <c r="Z159" s="424">
        <f>SUM($H158:Z158)</f>
        <v>0</v>
      </c>
      <c r="AA159" s="424">
        <f>SUM($H158:AA158)</f>
        <v>0</v>
      </c>
      <c r="AB159" s="424">
        <f>SUM($H158:AB158)</f>
        <v>0</v>
      </c>
      <c r="AC159" s="424">
        <f>SUM($H158:AC158)</f>
        <v>0</v>
      </c>
      <c r="AD159" s="424">
        <f>SUM($H158:AD158)</f>
        <v>0</v>
      </c>
      <c r="AE159" s="424">
        <f>SUM($H158:AE158)</f>
        <v>0</v>
      </c>
      <c r="AF159" s="424">
        <f>SUM($H158:AF158)</f>
        <v>0</v>
      </c>
      <c r="AG159" s="424">
        <f>SUM($H158:AG158)</f>
        <v>0</v>
      </c>
      <c r="AH159" s="424">
        <f>SUM($H158:AH158)</f>
        <v>0</v>
      </c>
      <c r="AI159" s="424">
        <f>SUM($H158:AI158)</f>
        <v>0</v>
      </c>
      <c r="AJ159" s="424">
        <f>SUM($H158:AJ158)</f>
        <v>0</v>
      </c>
      <c r="AK159" s="424">
        <f>SUM($H158:AK158)</f>
        <v>0</v>
      </c>
    </row>
    <row r="160" spans="3:37" outlineLevel="1">
      <c r="C160" s="422" t="s">
        <v>551</v>
      </c>
      <c r="D160" s="422" t="s">
        <v>134</v>
      </c>
      <c r="H160" s="424">
        <f>H156+H157-H158</f>
        <v>0</v>
      </c>
      <c r="I160" s="424">
        <f t="shared" ref="I160:Z160" si="77">I156+I157-I158</f>
        <v>0</v>
      </c>
      <c r="J160" s="424">
        <f t="shared" si="77"/>
        <v>0</v>
      </c>
      <c r="K160" s="424">
        <f t="shared" si="77"/>
        <v>0</v>
      </c>
      <c r="L160" s="424">
        <f t="shared" si="77"/>
        <v>0</v>
      </c>
      <c r="M160" s="424">
        <f t="shared" si="77"/>
        <v>0</v>
      </c>
      <c r="N160" s="424">
        <f t="shared" si="77"/>
        <v>0</v>
      </c>
      <c r="O160" s="424">
        <f t="shared" si="77"/>
        <v>0</v>
      </c>
      <c r="P160" s="424">
        <f t="shared" si="77"/>
        <v>0</v>
      </c>
      <c r="Q160" s="424">
        <f t="shared" si="77"/>
        <v>0</v>
      </c>
      <c r="R160" s="424">
        <f t="shared" si="77"/>
        <v>0</v>
      </c>
      <c r="S160" s="424">
        <f t="shared" si="77"/>
        <v>0</v>
      </c>
      <c r="T160" s="424">
        <f t="shared" si="77"/>
        <v>0</v>
      </c>
      <c r="U160" s="424">
        <f t="shared" si="77"/>
        <v>0</v>
      </c>
      <c r="V160" s="424">
        <f t="shared" si="77"/>
        <v>0</v>
      </c>
      <c r="W160" s="424">
        <f t="shared" si="77"/>
        <v>0</v>
      </c>
      <c r="X160" s="424">
        <f t="shared" si="77"/>
        <v>0</v>
      </c>
      <c r="Y160" s="424">
        <f t="shared" si="77"/>
        <v>0</v>
      </c>
      <c r="Z160" s="424">
        <f t="shared" si="77"/>
        <v>0</v>
      </c>
      <c r="AA160" s="424">
        <f>AA156+AA157-AA158</f>
        <v>0</v>
      </c>
      <c r="AB160" s="424">
        <f t="shared" ref="AB160:AK160" si="78">AB156+AB157-AB158</f>
        <v>0</v>
      </c>
      <c r="AC160" s="424">
        <f t="shared" si="78"/>
        <v>0</v>
      </c>
      <c r="AD160" s="424">
        <f t="shared" si="78"/>
        <v>0</v>
      </c>
      <c r="AE160" s="424">
        <f t="shared" si="78"/>
        <v>0</v>
      </c>
      <c r="AF160" s="424">
        <f t="shared" si="78"/>
        <v>0</v>
      </c>
      <c r="AG160" s="424">
        <f t="shared" si="78"/>
        <v>0</v>
      </c>
      <c r="AH160" s="424">
        <f t="shared" si="78"/>
        <v>0</v>
      </c>
      <c r="AI160" s="424">
        <f t="shared" si="78"/>
        <v>0</v>
      </c>
      <c r="AJ160" s="424">
        <f t="shared" si="78"/>
        <v>0</v>
      </c>
      <c r="AK160" s="424">
        <f t="shared" si="78"/>
        <v>0</v>
      </c>
    </row>
    <row r="161" spans="3:37" outlineLevel="1">
      <c r="C161" s="191" t="str">
        <f>C83</f>
        <v>Workshop and Store</v>
      </c>
      <c r="F161" s="423">
        <v>6.6699999999999995E-2</v>
      </c>
    </row>
    <row r="162" spans="3:37" outlineLevel="1">
      <c r="C162" s="422" t="s">
        <v>547</v>
      </c>
      <c r="D162" s="422" t="s">
        <v>134</v>
      </c>
      <c r="H162" s="424">
        <f>G166</f>
        <v>0</v>
      </c>
      <c r="I162" s="424">
        <f t="shared" ref="I162:Z162" si="79">H166</f>
        <v>0</v>
      </c>
      <c r="J162" s="424">
        <f t="shared" si="79"/>
        <v>0</v>
      </c>
      <c r="K162" s="424">
        <f t="shared" si="79"/>
        <v>0</v>
      </c>
      <c r="L162" s="424">
        <f t="shared" si="79"/>
        <v>0</v>
      </c>
      <c r="M162" s="424">
        <f t="shared" si="79"/>
        <v>0</v>
      </c>
      <c r="N162" s="424">
        <f t="shared" si="79"/>
        <v>0</v>
      </c>
      <c r="O162" s="424">
        <f t="shared" si="79"/>
        <v>0</v>
      </c>
      <c r="P162" s="424">
        <f t="shared" si="79"/>
        <v>0</v>
      </c>
      <c r="Q162" s="424">
        <f t="shared" si="79"/>
        <v>0</v>
      </c>
      <c r="R162" s="424">
        <f t="shared" si="79"/>
        <v>0</v>
      </c>
      <c r="S162" s="424">
        <f t="shared" si="79"/>
        <v>0</v>
      </c>
      <c r="T162" s="424">
        <f t="shared" si="79"/>
        <v>0</v>
      </c>
      <c r="U162" s="424">
        <f t="shared" si="79"/>
        <v>0</v>
      </c>
      <c r="V162" s="424">
        <f t="shared" si="79"/>
        <v>0</v>
      </c>
      <c r="W162" s="424">
        <f t="shared" si="79"/>
        <v>0</v>
      </c>
      <c r="X162" s="424">
        <f t="shared" si="79"/>
        <v>0</v>
      </c>
      <c r="Y162" s="424">
        <f t="shared" si="79"/>
        <v>0</v>
      </c>
      <c r="Z162" s="424">
        <f t="shared" si="79"/>
        <v>0</v>
      </c>
      <c r="AA162" s="424">
        <f>Z166</f>
        <v>0</v>
      </c>
      <c r="AB162" s="424">
        <f t="shared" ref="AB162:AK162" si="80">AA166</f>
        <v>0</v>
      </c>
      <c r="AC162" s="424">
        <f t="shared" si="80"/>
        <v>0</v>
      </c>
      <c r="AD162" s="424">
        <f t="shared" si="80"/>
        <v>0</v>
      </c>
      <c r="AE162" s="424">
        <f t="shared" si="80"/>
        <v>0</v>
      </c>
      <c r="AF162" s="424">
        <f t="shared" si="80"/>
        <v>0</v>
      </c>
      <c r="AG162" s="424">
        <f t="shared" si="80"/>
        <v>0</v>
      </c>
      <c r="AH162" s="424">
        <f t="shared" si="80"/>
        <v>0</v>
      </c>
      <c r="AI162" s="424">
        <f t="shared" si="80"/>
        <v>0</v>
      </c>
      <c r="AJ162" s="424">
        <f t="shared" si="80"/>
        <v>0</v>
      </c>
      <c r="AK162" s="424">
        <f t="shared" si="80"/>
        <v>0</v>
      </c>
    </row>
    <row r="163" spans="3:37" outlineLevel="1">
      <c r="C163" s="422" t="s">
        <v>548</v>
      </c>
      <c r="D163" s="422" t="s">
        <v>134</v>
      </c>
      <c r="E163" s="424">
        <f>SUM(H163:AP163)</f>
        <v>0</v>
      </c>
      <c r="H163" s="424">
        <f>H85</f>
        <v>0</v>
      </c>
      <c r="I163" s="424">
        <f t="shared" ref="I163:AK163" si="81">I85</f>
        <v>0</v>
      </c>
      <c r="J163" s="424">
        <f t="shared" si="81"/>
        <v>0</v>
      </c>
      <c r="K163" s="424">
        <f t="shared" si="81"/>
        <v>0</v>
      </c>
      <c r="L163" s="424">
        <f t="shared" si="81"/>
        <v>0</v>
      </c>
      <c r="M163" s="424">
        <f t="shared" si="81"/>
        <v>0</v>
      </c>
      <c r="N163" s="424">
        <f t="shared" si="81"/>
        <v>0</v>
      </c>
      <c r="O163" s="424">
        <f t="shared" si="81"/>
        <v>0</v>
      </c>
      <c r="P163" s="424">
        <f t="shared" si="81"/>
        <v>0</v>
      </c>
      <c r="Q163" s="424">
        <f t="shared" si="81"/>
        <v>0</v>
      </c>
      <c r="R163" s="424">
        <f t="shared" si="81"/>
        <v>0</v>
      </c>
      <c r="S163" s="424">
        <f t="shared" si="81"/>
        <v>0</v>
      </c>
      <c r="T163" s="424">
        <f t="shared" si="81"/>
        <v>0</v>
      </c>
      <c r="U163" s="424">
        <f t="shared" si="81"/>
        <v>0</v>
      </c>
      <c r="V163" s="424">
        <f t="shared" si="81"/>
        <v>0</v>
      </c>
      <c r="W163" s="424">
        <f t="shared" si="81"/>
        <v>0</v>
      </c>
      <c r="X163" s="424">
        <f t="shared" si="81"/>
        <v>0</v>
      </c>
      <c r="Y163" s="424">
        <f t="shared" si="81"/>
        <v>0</v>
      </c>
      <c r="Z163" s="424">
        <f t="shared" si="81"/>
        <v>0</v>
      </c>
      <c r="AA163" s="424">
        <f t="shared" si="81"/>
        <v>0</v>
      </c>
      <c r="AB163" s="424">
        <f t="shared" si="81"/>
        <v>0</v>
      </c>
      <c r="AC163" s="424">
        <f t="shared" si="81"/>
        <v>0</v>
      </c>
      <c r="AD163" s="424">
        <f t="shared" si="81"/>
        <v>0</v>
      </c>
      <c r="AE163" s="424">
        <f t="shared" si="81"/>
        <v>0</v>
      </c>
      <c r="AF163" s="424">
        <f t="shared" si="81"/>
        <v>0</v>
      </c>
      <c r="AG163" s="424">
        <f t="shared" si="81"/>
        <v>0</v>
      </c>
      <c r="AH163" s="424">
        <f t="shared" si="81"/>
        <v>0</v>
      </c>
      <c r="AI163" s="424">
        <f t="shared" si="81"/>
        <v>0</v>
      </c>
      <c r="AJ163" s="424">
        <f t="shared" si="81"/>
        <v>0</v>
      </c>
      <c r="AK163" s="424">
        <f t="shared" si="81"/>
        <v>0</v>
      </c>
    </row>
    <row r="164" spans="3:37" outlineLevel="1">
      <c r="C164" s="422" t="s">
        <v>549</v>
      </c>
      <c r="D164" s="422" t="s">
        <v>134</v>
      </c>
      <c r="E164" s="424">
        <f>SUM(H164:AP164)</f>
        <v>0</v>
      </c>
      <c r="H164" s="439">
        <f>IF(H$117&lt;Assumptions_Dashboard!$D$5,0,$F$161)*(H162+H163)</f>
        <v>0</v>
      </c>
      <c r="I164" s="439">
        <f>IF(I$117&lt;Assumptions_Dashboard!$D$5,0,$F$161)*(I162+I163)</f>
        <v>0</v>
      </c>
      <c r="J164" s="439">
        <f>IF(J$117&lt;Assumptions_Dashboard!$D$5,0,$F$161)*(J162+J163)</f>
        <v>0</v>
      </c>
      <c r="K164" s="439">
        <f>IF(K$117&lt;Assumptions_Dashboard!$D$5,0,$F$161)*(K162+K163)</f>
        <v>0</v>
      </c>
      <c r="L164" s="439">
        <f>IF(L$117&lt;Assumptions_Dashboard!$D$5,0,$F$161)*(L162+L163)</f>
        <v>0</v>
      </c>
      <c r="M164" s="439">
        <f>IF(M$117&lt;Assumptions_Dashboard!$D$5,0,$F$161)*(M162+M163)</f>
        <v>0</v>
      </c>
      <c r="N164" s="439">
        <f>IF(N$117&lt;Assumptions_Dashboard!$D$5,0,$F$161)*(N162+N163)</f>
        <v>0</v>
      </c>
      <c r="O164" s="439">
        <f>IF(O$117&lt;Assumptions_Dashboard!$D$5,0,$F$161)*(O162+O163)</f>
        <v>0</v>
      </c>
      <c r="P164" s="439">
        <f>IF(P$117&lt;Assumptions_Dashboard!$D$5,0,$F$161)*(P162+P163)</f>
        <v>0</v>
      </c>
      <c r="Q164" s="439">
        <f>IF(Q$117&lt;Assumptions_Dashboard!$D$5,0,$F$161)*(Q162+Q163)</f>
        <v>0</v>
      </c>
      <c r="R164" s="439">
        <f>IF(R$117&lt;Assumptions_Dashboard!$D$5,0,$F$161)*(R162+R163)</f>
        <v>0</v>
      </c>
      <c r="S164" s="439">
        <f>IF(S$117&lt;Assumptions_Dashboard!$D$5,0,$F$161)*(S162+S163)</f>
        <v>0</v>
      </c>
      <c r="T164" s="439">
        <f>IF(T$117&lt;Assumptions_Dashboard!$D$5,0,$F$161)*(T162+T163)</f>
        <v>0</v>
      </c>
      <c r="U164" s="439">
        <f>IF(U$117&lt;Assumptions_Dashboard!$D$5,0,$F$161)*(U162+U163)</f>
        <v>0</v>
      </c>
      <c r="V164" s="439">
        <f>IF(V$117&lt;Assumptions_Dashboard!$D$5,0,$F$161)*(V162+V163)</f>
        <v>0</v>
      </c>
      <c r="W164" s="439">
        <f>IF(W$117&lt;Assumptions_Dashboard!$D$5,0,$F$161)*(W162+W163)</f>
        <v>0</v>
      </c>
      <c r="X164" s="439">
        <f>IF(X$117&lt;Assumptions_Dashboard!$D$5,0,$F$161)*(X162+X163)</f>
        <v>0</v>
      </c>
      <c r="Y164" s="439">
        <f>IF(Y$117&lt;Assumptions_Dashboard!$D$5,0,$F$161)*(Y162+Y163)</f>
        <v>0</v>
      </c>
      <c r="Z164" s="439">
        <f>IF(Z$117&lt;Assumptions_Dashboard!$D$5,0,$F$161)*(Z162+Z163)</f>
        <v>0</v>
      </c>
      <c r="AA164" s="439">
        <f>IF(AA$117&lt;Assumptions_Dashboard!$D$5,0,$F$161)*(AA162+AA163)</f>
        <v>0</v>
      </c>
      <c r="AB164" s="439">
        <f>IF(AB$117&lt;Assumptions_Dashboard!$D$5,0,$F$161)*(AB162+AB163)</f>
        <v>0</v>
      </c>
      <c r="AC164" s="439">
        <f>IF(AC$117&lt;Assumptions_Dashboard!$D$5,0,$F$161)*(AC162+AC163)</f>
        <v>0</v>
      </c>
      <c r="AD164" s="439">
        <f>IF(AD$117&lt;Assumptions_Dashboard!$D$5,0,$F$161)*(AD162+AD163)</f>
        <v>0</v>
      </c>
      <c r="AE164" s="439">
        <f>IF(AE$117&lt;Assumptions_Dashboard!$D$5,0,$F$161)*(AE162+AE163)</f>
        <v>0</v>
      </c>
      <c r="AF164" s="439">
        <f>IF(AF$117&lt;Assumptions_Dashboard!$D$5,0,$F$161)*(AF162+AF163)</f>
        <v>0</v>
      </c>
      <c r="AG164" s="439">
        <f>IF(AG$117&lt;Assumptions_Dashboard!$D$5,0,$F$161)*(AG162+AG163)</f>
        <v>0</v>
      </c>
      <c r="AH164" s="439">
        <f>IF(AH$117&lt;Assumptions_Dashboard!$D$5,0,$F$161)*(AH162+AH163)</f>
        <v>0</v>
      </c>
      <c r="AI164" s="439">
        <f>IF(AI$117&lt;Assumptions_Dashboard!$D$5,0,$F$161)*(AI162+AI163)</f>
        <v>0</v>
      </c>
      <c r="AJ164" s="439">
        <f>IF(AJ$117&lt;Assumptions_Dashboard!$D$5,0,$F$161)*(AJ162+AJ163)</f>
        <v>0</v>
      </c>
      <c r="AK164" s="439">
        <f>IF(AK$117&lt;Assumptions_Dashboard!$D$5,0,$F$161)*(AK162+AK163)</f>
        <v>0</v>
      </c>
    </row>
    <row r="165" spans="3:37" outlineLevel="1">
      <c r="C165" s="422" t="s">
        <v>550</v>
      </c>
      <c r="D165" s="422" t="s">
        <v>134</v>
      </c>
      <c r="H165" s="424">
        <f>SUM($H164:H164)</f>
        <v>0</v>
      </c>
      <c r="I165" s="424">
        <f>SUM($H164:I164)</f>
        <v>0</v>
      </c>
      <c r="J165" s="424">
        <f>SUM($H164:J164)</f>
        <v>0</v>
      </c>
      <c r="K165" s="424">
        <f>SUM($H164:K164)</f>
        <v>0</v>
      </c>
      <c r="L165" s="424">
        <f>SUM($H164:L164)</f>
        <v>0</v>
      </c>
      <c r="M165" s="424">
        <f>SUM($H164:M164)</f>
        <v>0</v>
      </c>
      <c r="N165" s="424">
        <f>SUM($H164:N164)</f>
        <v>0</v>
      </c>
      <c r="O165" s="424">
        <f>SUM($H164:O164)</f>
        <v>0</v>
      </c>
      <c r="P165" s="424">
        <f>SUM($H164:P164)</f>
        <v>0</v>
      </c>
      <c r="Q165" s="424">
        <f>SUM($H164:Q164)</f>
        <v>0</v>
      </c>
      <c r="R165" s="424">
        <f>SUM($H164:R164)</f>
        <v>0</v>
      </c>
      <c r="S165" s="424">
        <f>SUM($H164:S164)</f>
        <v>0</v>
      </c>
      <c r="T165" s="424">
        <f>SUM($H164:T164)</f>
        <v>0</v>
      </c>
      <c r="U165" s="424">
        <f>SUM($H164:U164)</f>
        <v>0</v>
      </c>
      <c r="V165" s="424">
        <f>SUM($H164:V164)</f>
        <v>0</v>
      </c>
      <c r="W165" s="424">
        <f>SUM($H164:W164)</f>
        <v>0</v>
      </c>
      <c r="X165" s="424">
        <f>SUM($H164:X164)</f>
        <v>0</v>
      </c>
      <c r="Y165" s="424">
        <f>SUM($H164:Y164)</f>
        <v>0</v>
      </c>
      <c r="Z165" s="424">
        <f>SUM($H164:Z164)</f>
        <v>0</v>
      </c>
      <c r="AA165" s="424">
        <f>SUM($H164:AA164)</f>
        <v>0</v>
      </c>
      <c r="AB165" s="424">
        <f>SUM($H164:AB164)</f>
        <v>0</v>
      </c>
      <c r="AC165" s="424">
        <f>SUM($H164:AC164)</f>
        <v>0</v>
      </c>
      <c r="AD165" s="424">
        <f>SUM($H164:AD164)</f>
        <v>0</v>
      </c>
      <c r="AE165" s="424">
        <f>SUM($H164:AE164)</f>
        <v>0</v>
      </c>
      <c r="AF165" s="424">
        <f>SUM($H164:AF164)</f>
        <v>0</v>
      </c>
      <c r="AG165" s="424">
        <f>SUM($H164:AG164)</f>
        <v>0</v>
      </c>
      <c r="AH165" s="424">
        <f>SUM($H164:AH164)</f>
        <v>0</v>
      </c>
      <c r="AI165" s="424">
        <f>SUM($H164:AI164)</f>
        <v>0</v>
      </c>
      <c r="AJ165" s="424">
        <f>SUM($H164:AJ164)</f>
        <v>0</v>
      </c>
      <c r="AK165" s="424">
        <f>SUM($H164:AK164)</f>
        <v>0</v>
      </c>
    </row>
    <row r="166" spans="3:37" outlineLevel="1">
      <c r="C166" s="422" t="s">
        <v>551</v>
      </c>
      <c r="D166" s="422" t="s">
        <v>134</v>
      </c>
      <c r="H166" s="424">
        <f>H162+H163-H164</f>
        <v>0</v>
      </c>
      <c r="I166" s="424">
        <f t="shared" ref="I166:Z166" si="82">I162+I163-I164</f>
        <v>0</v>
      </c>
      <c r="J166" s="424">
        <f t="shared" si="82"/>
        <v>0</v>
      </c>
      <c r="K166" s="424">
        <f t="shared" si="82"/>
        <v>0</v>
      </c>
      <c r="L166" s="424">
        <f t="shared" si="82"/>
        <v>0</v>
      </c>
      <c r="M166" s="424">
        <f t="shared" si="82"/>
        <v>0</v>
      </c>
      <c r="N166" s="424">
        <f t="shared" si="82"/>
        <v>0</v>
      </c>
      <c r="O166" s="424">
        <f t="shared" si="82"/>
        <v>0</v>
      </c>
      <c r="P166" s="424">
        <f t="shared" si="82"/>
        <v>0</v>
      </c>
      <c r="Q166" s="424">
        <f t="shared" si="82"/>
        <v>0</v>
      </c>
      <c r="R166" s="424">
        <f t="shared" si="82"/>
        <v>0</v>
      </c>
      <c r="S166" s="424">
        <f t="shared" si="82"/>
        <v>0</v>
      </c>
      <c r="T166" s="424">
        <f t="shared" si="82"/>
        <v>0</v>
      </c>
      <c r="U166" s="424">
        <f t="shared" si="82"/>
        <v>0</v>
      </c>
      <c r="V166" s="424">
        <f t="shared" si="82"/>
        <v>0</v>
      </c>
      <c r="W166" s="424">
        <f t="shared" si="82"/>
        <v>0</v>
      </c>
      <c r="X166" s="424">
        <f t="shared" si="82"/>
        <v>0</v>
      </c>
      <c r="Y166" s="424">
        <f t="shared" si="82"/>
        <v>0</v>
      </c>
      <c r="Z166" s="424">
        <f t="shared" si="82"/>
        <v>0</v>
      </c>
      <c r="AA166" s="424">
        <f>AA162+AA163-AA164</f>
        <v>0</v>
      </c>
      <c r="AB166" s="424">
        <f t="shared" ref="AB166:AK166" si="83">AB162+AB163-AB164</f>
        <v>0</v>
      </c>
      <c r="AC166" s="424">
        <f t="shared" si="83"/>
        <v>0</v>
      </c>
      <c r="AD166" s="424">
        <f t="shared" si="83"/>
        <v>0</v>
      </c>
      <c r="AE166" s="424">
        <f t="shared" si="83"/>
        <v>0</v>
      </c>
      <c r="AF166" s="424">
        <f t="shared" si="83"/>
        <v>0</v>
      </c>
      <c r="AG166" s="424">
        <f t="shared" si="83"/>
        <v>0</v>
      </c>
      <c r="AH166" s="424">
        <f t="shared" si="83"/>
        <v>0</v>
      </c>
      <c r="AI166" s="424">
        <f t="shared" si="83"/>
        <v>0</v>
      </c>
      <c r="AJ166" s="424">
        <f t="shared" si="83"/>
        <v>0</v>
      </c>
      <c r="AK166" s="424">
        <f t="shared" si="83"/>
        <v>0</v>
      </c>
    </row>
    <row r="167" spans="3:37" outlineLevel="1">
      <c r="C167" s="191" t="str">
        <f>C89</f>
        <v xml:space="preserve">Electrical </v>
      </c>
      <c r="F167" s="423">
        <v>0.05</v>
      </c>
    </row>
    <row r="168" spans="3:37" outlineLevel="1">
      <c r="C168" s="422" t="s">
        <v>547</v>
      </c>
      <c r="D168" s="422" t="s">
        <v>134</v>
      </c>
      <c r="H168" s="424">
        <f>G172</f>
        <v>0</v>
      </c>
      <c r="I168" s="424">
        <f t="shared" ref="I168:Z168" si="84">H172</f>
        <v>0</v>
      </c>
      <c r="J168" s="424">
        <f t="shared" si="84"/>
        <v>0</v>
      </c>
      <c r="K168" s="424">
        <f t="shared" si="84"/>
        <v>0</v>
      </c>
      <c r="L168" s="424">
        <f t="shared" si="84"/>
        <v>0</v>
      </c>
      <c r="M168" s="424">
        <f t="shared" si="84"/>
        <v>0</v>
      </c>
      <c r="N168" s="424">
        <f t="shared" si="84"/>
        <v>0</v>
      </c>
      <c r="O168" s="424">
        <f t="shared" si="84"/>
        <v>0</v>
      </c>
      <c r="P168" s="424">
        <f t="shared" si="84"/>
        <v>0</v>
      </c>
      <c r="Q168" s="424">
        <f t="shared" si="84"/>
        <v>0</v>
      </c>
      <c r="R168" s="424">
        <f t="shared" si="84"/>
        <v>0</v>
      </c>
      <c r="S168" s="424">
        <f t="shared" si="84"/>
        <v>0</v>
      </c>
      <c r="T168" s="424">
        <f t="shared" si="84"/>
        <v>0</v>
      </c>
      <c r="U168" s="424">
        <f t="shared" si="84"/>
        <v>0</v>
      </c>
      <c r="V168" s="424">
        <f t="shared" si="84"/>
        <v>0</v>
      </c>
      <c r="W168" s="424">
        <f t="shared" si="84"/>
        <v>0</v>
      </c>
      <c r="X168" s="424">
        <f t="shared" si="84"/>
        <v>0</v>
      </c>
      <c r="Y168" s="424">
        <f t="shared" si="84"/>
        <v>0</v>
      </c>
      <c r="Z168" s="424">
        <f t="shared" si="84"/>
        <v>0</v>
      </c>
      <c r="AA168" s="424">
        <f>Z172</f>
        <v>0</v>
      </c>
      <c r="AB168" s="424">
        <f t="shared" ref="AB168:AK168" si="85">AA172</f>
        <v>0</v>
      </c>
      <c r="AC168" s="424">
        <f t="shared" si="85"/>
        <v>0</v>
      </c>
      <c r="AD168" s="424">
        <f t="shared" si="85"/>
        <v>0</v>
      </c>
      <c r="AE168" s="424">
        <f t="shared" si="85"/>
        <v>0</v>
      </c>
      <c r="AF168" s="424">
        <f t="shared" si="85"/>
        <v>0</v>
      </c>
      <c r="AG168" s="424">
        <f t="shared" si="85"/>
        <v>0</v>
      </c>
      <c r="AH168" s="424">
        <f t="shared" si="85"/>
        <v>0</v>
      </c>
      <c r="AI168" s="424">
        <f t="shared" si="85"/>
        <v>0</v>
      </c>
      <c r="AJ168" s="424">
        <f t="shared" si="85"/>
        <v>0</v>
      </c>
      <c r="AK168" s="424">
        <f t="shared" si="85"/>
        <v>0</v>
      </c>
    </row>
    <row r="169" spans="3:37" outlineLevel="1">
      <c r="C169" s="422" t="s">
        <v>548</v>
      </c>
      <c r="D169" s="422" t="s">
        <v>134</v>
      </c>
      <c r="E169" s="424">
        <f>SUM(H169:AP169)</f>
        <v>0</v>
      </c>
      <c r="H169" s="424">
        <f>H91</f>
        <v>0</v>
      </c>
      <c r="I169" s="424">
        <f t="shared" ref="I169:AK169" si="86">I91</f>
        <v>0</v>
      </c>
      <c r="J169" s="424">
        <f t="shared" si="86"/>
        <v>0</v>
      </c>
      <c r="K169" s="424">
        <f t="shared" si="86"/>
        <v>0</v>
      </c>
      <c r="L169" s="424">
        <f t="shared" si="86"/>
        <v>0</v>
      </c>
      <c r="M169" s="424">
        <f t="shared" si="86"/>
        <v>0</v>
      </c>
      <c r="N169" s="424">
        <f t="shared" si="86"/>
        <v>0</v>
      </c>
      <c r="O169" s="424">
        <f t="shared" si="86"/>
        <v>0</v>
      </c>
      <c r="P169" s="424">
        <f t="shared" si="86"/>
        <v>0</v>
      </c>
      <c r="Q169" s="424">
        <f t="shared" si="86"/>
        <v>0</v>
      </c>
      <c r="R169" s="424">
        <f t="shared" si="86"/>
        <v>0</v>
      </c>
      <c r="S169" s="424">
        <f t="shared" si="86"/>
        <v>0</v>
      </c>
      <c r="T169" s="424">
        <f t="shared" si="86"/>
        <v>0</v>
      </c>
      <c r="U169" s="424">
        <f t="shared" si="86"/>
        <v>0</v>
      </c>
      <c r="V169" s="424">
        <f t="shared" si="86"/>
        <v>0</v>
      </c>
      <c r="W169" s="424">
        <f t="shared" si="86"/>
        <v>0</v>
      </c>
      <c r="X169" s="424">
        <f t="shared" si="86"/>
        <v>0</v>
      </c>
      <c r="Y169" s="424">
        <f t="shared" si="86"/>
        <v>0</v>
      </c>
      <c r="Z169" s="424">
        <f t="shared" si="86"/>
        <v>0</v>
      </c>
      <c r="AA169" s="424">
        <f t="shared" si="86"/>
        <v>0</v>
      </c>
      <c r="AB169" s="424">
        <f t="shared" si="86"/>
        <v>0</v>
      </c>
      <c r="AC169" s="424">
        <f t="shared" si="86"/>
        <v>0</v>
      </c>
      <c r="AD169" s="424">
        <f t="shared" si="86"/>
        <v>0</v>
      </c>
      <c r="AE169" s="424">
        <f t="shared" si="86"/>
        <v>0</v>
      </c>
      <c r="AF169" s="424">
        <f t="shared" si="86"/>
        <v>0</v>
      </c>
      <c r="AG169" s="424">
        <f t="shared" si="86"/>
        <v>0</v>
      </c>
      <c r="AH169" s="424">
        <f t="shared" si="86"/>
        <v>0</v>
      </c>
      <c r="AI169" s="424">
        <f t="shared" si="86"/>
        <v>0</v>
      </c>
      <c r="AJ169" s="424">
        <f t="shared" si="86"/>
        <v>0</v>
      </c>
      <c r="AK169" s="424">
        <f t="shared" si="86"/>
        <v>0</v>
      </c>
    </row>
    <row r="170" spans="3:37" outlineLevel="1">
      <c r="C170" s="422" t="s">
        <v>549</v>
      </c>
      <c r="D170" s="422" t="s">
        <v>134</v>
      </c>
      <c r="E170" s="424">
        <f>SUM(H170:AP170)</f>
        <v>0</v>
      </c>
      <c r="H170" s="439">
        <f>IF(H$117&lt;Assumptions_Dashboard!$D$5,0,$F$167)*(H168+H169)</f>
        <v>0</v>
      </c>
      <c r="I170" s="439">
        <f>IF(I$117&lt;Assumptions_Dashboard!$D$5,0,$F$167)*(I168+I169)</f>
        <v>0</v>
      </c>
      <c r="J170" s="439">
        <f>IF(J$117&lt;Assumptions_Dashboard!$D$5,0,$F$167)*(J168+J169)</f>
        <v>0</v>
      </c>
      <c r="K170" s="439">
        <f>IF(K$117&lt;Assumptions_Dashboard!$D$5,0,$F$167)*(K168+K169)</f>
        <v>0</v>
      </c>
      <c r="L170" s="439">
        <f>IF(L$117&lt;Assumptions_Dashboard!$D$5,0,$F$167)*(L168+L169)</f>
        <v>0</v>
      </c>
      <c r="M170" s="439">
        <f>IF(M$117&lt;Assumptions_Dashboard!$D$5,0,$F$167)*(M168+M169)</f>
        <v>0</v>
      </c>
      <c r="N170" s="439">
        <f>IF(N$117&lt;Assumptions_Dashboard!$D$5,0,$F$167)*(N168+N169)</f>
        <v>0</v>
      </c>
      <c r="O170" s="439">
        <f>IF(O$117&lt;Assumptions_Dashboard!$D$5,0,$F$167)*(O168+O169)</f>
        <v>0</v>
      </c>
      <c r="P170" s="439">
        <f>IF(P$117&lt;Assumptions_Dashboard!$D$5,0,$F$167)*(P168+P169)</f>
        <v>0</v>
      </c>
      <c r="Q170" s="439">
        <f>IF(Q$117&lt;Assumptions_Dashboard!$D$5,0,$F$167)*(Q168+Q169)</f>
        <v>0</v>
      </c>
      <c r="R170" s="439">
        <f>IF(R$117&lt;Assumptions_Dashboard!$D$5,0,$F$167)*(R168+R169)</f>
        <v>0</v>
      </c>
      <c r="S170" s="439">
        <f>IF(S$117&lt;Assumptions_Dashboard!$D$5,0,$F$167)*(S168+S169)</f>
        <v>0</v>
      </c>
      <c r="T170" s="439">
        <f>IF(T$117&lt;Assumptions_Dashboard!$D$5,0,$F$167)*(T168+T169)</f>
        <v>0</v>
      </c>
      <c r="U170" s="439">
        <f>IF(U$117&lt;Assumptions_Dashboard!$D$5,0,$F$167)*(U168+U169)</f>
        <v>0</v>
      </c>
      <c r="V170" s="439">
        <f>IF(V$117&lt;Assumptions_Dashboard!$D$5,0,$F$167)*(V168+V169)</f>
        <v>0</v>
      </c>
      <c r="W170" s="439">
        <f>IF(W$117&lt;Assumptions_Dashboard!$D$5,0,$F$167)*(W168+W169)</f>
        <v>0</v>
      </c>
      <c r="X170" s="439">
        <f>IF(X$117&lt;Assumptions_Dashboard!$D$5,0,$F$167)*(X168+X169)</f>
        <v>0</v>
      </c>
      <c r="Y170" s="439">
        <f>IF(Y$117&lt;Assumptions_Dashboard!$D$5,0,$F$167)*(Y168+Y169)</f>
        <v>0</v>
      </c>
      <c r="Z170" s="439">
        <f>IF(Z$117&lt;Assumptions_Dashboard!$D$5,0,$F$167)*(Z168+Z169)</f>
        <v>0</v>
      </c>
      <c r="AA170" s="439">
        <f>IF(AA$117&lt;Assumptions_Dashboard!$D$5,0,$F$167)*(AA168+AA169)</f>
        <v>0</v>
      </c>
      <c r="AB170" s="439">
        <f>IF(AB$117&lt;Assumptions_Dashboard!$D$5,0,$F$167)*(AB168+AB169)</f>
        <v>0</v>
      </c>
      <c r="AC170" s="439">
        <f>IF(AC$117&lt;Assumptions_Dashboard!$D$5,0,$F$167)*(AC168+AC169)</f>
        <v>0</v>
      </c>
      <c r="AD170" s="439">
        <f>IF(AD$117&lt;Assumptions_Dashboard!$D$5,0,$F$167)*(AD168+AD169)</f>
        <v>0</v>
      </c>
      <c r="AE170" s="439">
        <f>IF(AE$117&lt;Assumptions_Dashboard!$D$5,0,$F$167)*(AE168+AE169)</f>
        <v>0</v>
      </c>
      <c r="AF170" s="439">
        <f>IF(AF$117&lt;Assumptions_Dashboard!$D$5,0,$F$167)*(AF168+AF169)</f>
        <v>0</v>
      </c>
      <c r="AG170" s="439">
        <f>IF(AG$117&lt;Assumptions_Dashboard!$D$5,0,$F$167)*(AG168+AG169)</f>
        <v>0</v>
      </c>
      <c r="AH170" s="439">
        <f>IF(AH$117&lt;Assumptions_Dashboard!$D$5,0,$F$167)*(AH168+AH169)</f>
        <v>0</v>
      </c>
      <c r="AI170" s="439">
        <f>IF(AI$117&lt;Assumptions_Dashboard!$D$5,0,$F$167)*(AI168+AI169)</f>
        <v>0</v>
      </c>
      <c r="AJ170" s="439">
        <f>IF(AJ$117&lt;Assumptions_Dashboard!$D$5,0,$F$167)*(AJ168+AJ169)</f>
        <v>0</v>
      </c>
      <c r="AK170" s="439">
        <f>IF(AK$117&lt;Assumptions_Dashboard!$D$5,0,$F$167)*(AK168+AK169)</f>
        <v>0</v>
      </c>
    </row>
    <row r="171" spans="3:37" outlineLevel="1">
      <c r="C171" s="422" t="s">
        <v>550</v>
      </c>
      <c r="D171" s="422" t="s">
        <v>134</v>
      </c>
      <c r="H171" s="424">
        <f>SUM($H170:H170)</f>
        <v>0</v>
      </c>
      <c r="I171" s="424">
        <f>SUM($H170:I170)</f>
        <v>0</v>
      </c>
      <c r="J171" s="424">
        <f>SUM($H170:J170)</f>
        <v>0</v>
      </c>
      <c r="K171" s="424">
        <f>SUM($H170:K170)</f>
        <v>0</v>
      </c>
      <c r="L171" s="424">
        <f>SUM($H170:L170)</f>
        <v>0</v>
      </c>
      <c r="M171" s="424">
        <f>SUM($H170:M170)</f>
        <v>0</v>
      </c>
      <c r="N171" s="424">
        <f>SUM($H170:N170)</f>
        <v>0</v>
      </c>
      <c r="O171" s="424">
        <f>SUM($H170:O170)</f>
        <v>0</v>
      </c>
      <c r="P171" s="424">
        <f>SUM($H170:P170)</f>
        <v>0</v>
      </c>
      <c r="Q171" s="424">
        <f>SUM($H170:Q170)</f>
        <v>0</v>
      </c>
      <c r="R171" s="424">
        <f>SUM($H170:R170)</f>
        <v>0</v>
      </c>
      <c r="S171" s="424">
        <f>SUM($H170:S170)</f>
        <v>0</v>
      </c>
      <c r="T171" s="424">
        <f>SUM($H170:T170)</f>
        <v>0</v>
      </c>
      <c r="U171" s="424">
        <f>SUM($H170:U170)</f>
        <v>0</v>
      </c>
      <c r="V171" s="424">
        <f>SUM($H170:V170)</f>
        <v>0</v>
      </c>
      <c r="W171" s="424">
        <f>SUM($H170:W170)</f>
        <v>0</v>
      </c>
      <c r="X171" s="424">
        <f>SUM($H170:X170)</f>
        <v>0</v>
      </c>
      <c r="Y171" s="424">
        <f>SUM($H170:Y170)</f>
        <v>0</v>
      </c>
      <c r="Z171" s="424">
        <f>SUM($H170:Z170)</f>
        <v>0</v>
      </c>
      <c r="AA171" s="424">
        <f>SUM($H170:AA170)</f>
        <v>0</v>
      </c>
      <c r="AB171" s="424">
        <f>SUM($H170:AB170)</f>
        <v>0</v>
      </c>
      <c r="AC171" s="424">
        <f>SUM($H170:AC170)</f>
        <v>0</v>
      </c>
      <c r="AD171" s="424">
        <f>SUM($H170:AD170)</f>
        <v>0</v>
      </c>
      <c r="AE171" s="424">
        <f>SUM($H170:AE170)</f>
        <v>0</v>
      </c>
      <c r="AF171" s="424">
        <f>SUM($H170:AF170)</f>
        <v>0</v>
      </c>
      <c r="AG171" s="424">
        <f>SUM($H170:AG170)</f>
        <v>0</v>
      </c>
      <c r="AH171" s="424">
        <f>SUM($H170:AH170)</f>
        <v>0</v>
      </c>
      <c r="AI171" s="424">
        <f>SUM($H170:AI170)</f>
        <v>0</v>
      </c>
      <c r="AJ171" s="424">
        <f>SUM($H170:AJ170)</f>
        <v>0</v>
      </c>
      <c r="AK171" s="424">
        <f>SUM($H170:AK170)</f>
        <v>0</v>
      </c>
    </row>
    <row r="172" spans="3:37" outlineLevel="1">
      <c r="C172" s="422" t="s">
        <v>551</v>
      </c>
      <c r="D172" s="422" t="s">
        <v>134</v>
      </c>
      <c r="H172" s="424">
        <f>H168+H169-H170</f>
        <v>0</v>
      </c>
      <c r="I172" s="424">
        <f t="shared" ref="I172:Z172" si="87">I168+I169-I170</f>
        <v>0</v>
      </c>
      <c r="J172" s="424">
        <f t="shared" si="87"/>
        <v>0</v>
      </c>
      <c r="K172" s="424">
        <f t="shared" si="87"/>
        <v>0</v>
      </c>
      <c r="L172" s="424">
        <f t="shared" si="87"/>
        <v>0</v>
      </c>
      <c r="M172" s="424">
        <f t="shared" si="87"/>
        <v>0</v>
      </c>
      <c r="N172" s="424">
        <f t="shared" si="87"/>
        <v>0</v>
      </c>
      <c r="O172" s="424">
        <f t="shared" si="87"/>
        <v>0</v>
      </c>
      <c r="P172" s="424">
        <f t="shared" si="87"/>
        <v>0</v>
      </c>
      <c r="Q172" s="424">
        <f t="shared" si="87"/>
        <v>0</v>
      </c>
      <c r="R172" s="424">
        <f t="shared" si="87"/>
        <v>0</v>
      </c>
      <c r="S172" s="424">
        <f t="shared" si="87"/>
        <v>0</v>
      </c>
      <c r="T172" s="424">
        <f t="shared" si="87"/>
        <v>0</v>
      </c>
      <c r="U172" s="424">
        <f t="shared" si="87"/>
        <v>0</v>
      </c>
      <c r="V172" s="424">
        <f t="shared" si="87"/>
        <v>0</v>
      </c>
      <c r="W172" s="424">
        <f t="shared" si="87"/>
        <v>0</v>
      </c>
      <c r="X172" s="424">
        <f t="shared" si="87"/>
        <v>0</v>
      </c>
      <c r="Y172" s="424">
        <f t="shared" si="87"/>
        <v>0</v>
      </c>
      <c r="Z172" s="424">
        <f t="shared" si="87"/>
        <v>0</v>
      </c>
      <c r="AA172" s="424">
        <f>AA168+AA169-AA170</f>
        <v>0</v>
      </c>
      <c r="AB172" s="424">
        <f t="shared" ref="AB172:AK172" si="88">AB168+AB169-AB170</f>
        <v>0</v>
      </c>
      <c r="AC172" s="424">
        <f t="shared" si="88"/>
        <v>0</v>
      </c>
      <c r="AD172" s="424">
        <f t="shared" si="88"/>
        <v>0</v>
      </c>
      <c r="AE172" s="424">
        <f t="shared" si="88"/>
        <v>0</v>
      </c>
      <c r="AF172" s="424">
        <f t="shared" si="88"/>
        <v>0</v>
      </c>
      <c r="AG172" s="424">
        <f t="shared" si="88"/>
        <v>0</v>
      </c>
      <c r="AH172" s="424">
        <f t="shared" si="88"/>
        <v>0</v>
      </c>
      <c r="AI172" s="424">
        <f t="shared" si="88"/>
        <v>0</v>
      </c>
      <c r="AJ172" s="424">
        <f t="shared" si="88"/>
        <v>0</v>
      </c>
      <c r="AK172" s="424">
        <f t="shared" si="88"/>
        <v>0</v>
      </c>
    </row>
    <row r="173" spans="3:37" outlineLevel="1">
      <c r="C173" s="191" t="str">
        <f>C95</f>
        <v>Mine Dewatering System</v>
      </c>
      <c r="F173" s="423">
        <v>6.6699999999999995E-2</v>
      </c>
    </row>
    <row r="174" spans="3:37" outlineLevel="1">
      <c r="C174" s="422" t="s">
        <v>547</v>
      </c>
      <c r="D174" s="422" t="s">
        <v>134</v>
      </c>
      <c r="H174" s="424">
        <f>G178</f>
        <v>0</v>
      </c>
      <c r="I174" s="424">
        <f t="shared" ref="I174:Z174" si="89">H178</f>
        <v>0</v>
      </c>
      <c r="J174" s="424">
        <f t="shared" si="89"/>
        <v>0</v>
      </c>
      <c r="K174" s="424">
        <f t="shared" si="89"/>
        <v>0</v>
      </c>
      <c r="L174" s="424">
        <f t="shared" si="89"/>
        <v>0</v>
      </c>
      <c r="M174" s="424">
        <f t="shared" si="89"/>
        <v>0</v>
      </c>
      <c r="N174" s="424">
        <f t="shared" si="89"/>
        <v>0</v>
      </c>
      <c r="O174" s="424">
        <f t="shared" si="89"/>
        <v>0</v>
      </c>
      <c r="P174" s="424">
        <f t="shared" si="89"/>
        <v>0</v>
      </c>
      <c r="Q174" s="424">
        <f t="shared" si="89"/>
        <v>0</v>
      </c>
      <c r="R174" s="424">
        <f t="shared" si="89"/>
        <v>0</v>
      </c>
      <c r="S174" s="424">
        <f t="shared" si="89"/>
        <v>0</v>
      </c>
      <c r="T174" s="424">
        <f t="shared" si="89"/>
        <v>0</v>
      </c>
      <c r="U174" s="424">
        <f t="shared" si="89"/>
        <v>0</v>
      </c>
      <c r="V174" s="424">
        <f t="shared" si="89"/>
        <v>0</v>
      </c>
      <c r="W174" s="424">
        <f t="shared" si="89"/>
        <v>0</v>
      </c>
      <c r="X174" s="424">
        <f t="shared" si="89"/>
        <v>0</v>
      </c>
      <c r="Y174" s="424">
        <f t="shared" si="89"/>
        <v>0</v>
      </c>
      <c r="Z174" s="424">
        <f t="shared" si="89"/>
        <v>0</v>
      </c>
      <c r="AA174" s="424">
        <f>Z178</f>
        <v>0</v>
      </c>
      <c r="AB174" s="424">
        <f t="shared" ref="AB174:AK174" si="90">AA178</f>
        <v>0</v>
      </c>
      <c r="AC174" s="424">
        <f t="shared" si="90"/>
        <v>0</v>
      </c>
      <c r="AD174" s="424">
        <f t="shared" si="90"/>
        <v>0</v>
      </c>
      <c r="AE174" s="424">
        <f t="shared" si="90"/>
        <v>0</v>
      </c>
      <c r="AF174" s="424">
        <f t="shared" si="90"/>
        <v>0</v>
      </c>
      <c r="AG174" s="424">
        <f t="shared" si="90"/>
        <v>0</v>
      </c>
      <c r="AH174" s="424">
        <f t="shared" si="90"/>
        <v>0</v>
      </c>
      <c r="AI174" s="424">
        <f t="shared" si="90"/>
        <v>0</v>
      </c>
      <c r="AJ174" s="424">
        <f t="shared" si="90"/>
        <v>0</v>
      </c>
      <c r="AK174" s="424">
        <f t="shared" si="90"/>
        <v>0</v>
      </c>
    </row>
    <row r="175" spans="3:37" outlineLevel="1">
      <c r="C175" s="422" t="s">
        <v>548</v>
      </c>
      <c r="D175" s="422" t="s">
        <v>134</v>
      </c>
      <c r="E175" s="424">
        <f>SUM(H175:AP175)</f>
        <v>0</v>
      </c>
      <c r="H175" s="424">
        <f>H97</f>
        <v>0</v>
      </c>
      <c r="I175" s="424">
        <f t="shared" ref="I175:AK175" si="91">I97</f>
        <v>0</v>
      </c>
      <c r="J175" s="424">
        <f t="shared" si="91"/>
        <v>0</v>
      </c>
      <c r="K175" s="424">
        <f t="shared" si="91"/>
        <v>0</v>
      </c>
      <c r="L175" s="424">
        <f t="shared" si="91"/>
        <v>0</v>
      </c>
      <c r="M175" s="424">
        <f t="shared" si="91"/>
        <v>0</v>
      </c>
      <c r="N175" s="424">
        <f t="shared" si="91"/>
        <v>0</v>
      </c>
      <c r="O175" s="424">
        <f t="shared" si="91"/>
        <v>0</v>
      </c>
      <c r="P175" s="424">
        <f t="shared" si="91"/>
        <v>0</v>
      </c>
      <c r="Q175" s="424">
        <f t="shared" si="91"/>
        <v>0</v>
      </c>
      <c r="R175" s="424">
        <f t="shared" si="91"/>
        <v>0</v>
      </c>
      <c r="S175" s="424">
        <f t="shared" si="91"/>
        <v>0</v>
      </c>
      <c r="T175" s="424">
        <f t="shared" si="91"/>
        <v>0</v>
      </c>
      <c r="U175" s="424">
        <f t="shared" si="91"/>
        <v>0</v>
      </c>
      <c r="V175" s="424">
        <f t="shared" si="91"/>
        <v>0</v>
      </c>
      <c r="W175" s="424">
        <f t="shared" si="91"/>
        <v>0</v>
      </c>
      <c r="X175" s="424">
        <f t="shared" si="91"/>
        <v>0</v>
      </c>
      <c r="Y175" s="424">
        <f t="shared" si="91"/>
        <v>0</v>
      </c>
      <c r="Z175" s="424">
        <f t="shared" si="91"/>
        <v>0</v>
      </c>
      <c r="AA175" s="424">
        <f t="shared" si="91"/>
        <v>0</v>
      </c>
      <c r="AB175" s="424">
        <f t="shared" si="91"/>
        <v>0</v>
      </c>
      <c r="AC175" s="424">
        <f t="shared" si="91"/>
        <v>0</v>
      </c>
      <c r="AD175" s="424">
        <f t="shared" si="91"/>
        <v>0</v>
      </c>
      <c r="AE175" s="424">
        <f t="shared" si="91"/>
        <v>0</v>
      </c>
      <c r="AF175" s="424">
        <f t="shared" si="91"/>
        <v>0</v>
      </c>
      <c r="AG175" s="424">
        <f t="shared" si="91"/>
        <v>0</v>
      </c>
      <c r="AH175" s="424">
        <f t="shared" si="91"/>
        <v>0</v>
      </c>
      <c r="AI175" s="424">
        <f t="shared" si="91"/>
        <v>0</v>
      </c>
      <c r="AJ175" s="424">
        <f t="shared" si="91"/>
        <v>0</v>
      </c>
      <c r="AK175" s="424">
        <f t="shared" si="91"/>
        <v>0</v>
      </c>
    </row>
    <row r="176" spans="3:37" outlineLevel="1">
      <c r="C176" s="422" t="s">
        <v>549</v>
      </c>
      <c r="D176" s="422" t="s">
        <v>134</v>
      </c>
      <c r="E176" s="424">
        <f>SUM(H176:AP176)</f>
        <v>0</v>
      </c>
      <c r="H176" s="439">
        <f>IF(H$117&lt;Assumptions_Dashboard!$D$5,0,$F$173)*(H174+H175)</f>
        <v>0</v>
      </c>
      <c r="I176" s="439">
        <f>IF(I$117&lt;Assumptions_Dashboard!$D$5,0,$F$173)*(I174+I175)</f>
        <v>0</v>
      </c>
      <c r="J176" s="439">
        <f>IF(J$117&lt;Assumptions_Dashboard!$D$5,0,$F$173)*(J174+J175)</f>
        <v>0</v>
      </c>
      <c r="K176" s="439">
        <f>IF(K$117&lt;Assumptions_Dashboard!$D$5,0,$F$173)*(K174+K175)</f>
        <v>0</v>
      </c>
      <c r="L176" s="439">
        <f>IF(L$117&lt;Assumptions_Dashboard!$D$5,0,$F$173)*(L174+L175)</f>
        <v>0</v>
      </c>
      <c r="M176" s="439">
        <f>IF(M$117&lt;Assumptions_Dashboard!$D$5,0,$F$173)*(M174+M175)</f>
        <v>0</v>
      </c>
      <c r="N176" s="439">
        <f>IF(N$117&lt;Assumptions_Dashboard!$D$5,0,$F$173)*(N174+N175)</f>
        <v>0</v>
      </c>
      <c r="O176" s="439">
        <f>IF(O$117&lt;Assumptions_Dashboard!$D$5,0,$F$173)*(O174+O175)</f>
        <v>0</v>
      </c>
      <c r="P176" s="439">
        <f>IF(P$117&lt;Assumptions_Dashboard!$D$5,0,$F$173)*(P174+P175)</f>
        <v>0</v>
      </c>
      <c r="Q176" s="439">
        <f>IF(Q$117&lt;Assumptions_Dashboard!$D$5,0,$F$173)*(Q174+Q175)</f>
        <v>0</v>
      </c>
      <c r="R176" s="439">
        <f>IF(R$117&lt;Assumptions_Dashboard!$D$5,0,$F$173)*(R174+R175)</f>
        <v>0</v>
      </c>
      <c r="S176" s="439">
        <f>IF(S$117&lt;Assumptions_Dashboard!$D$5,0,$F$173)*(S174+S175)</f>
        <v>0</v>
      </c>
      <c r="T176" s="439">
        <f>IF(T$117&lt;Assumptions_Dashboard!$D$5,0,$F$173)*(T174+T175)</f>
        <v>0</v>
      </c>
      <c r="U176" s="439">
        <f>IF(U$117&lt;Assumptions_Dashboard!$D$5,0,$F$173)*(U174+U175)</f>
        <v>0</v>
      </c>
      <c r="V176" s="439">
        <f>IF(V$117&lt;Assumptions_Dashboard!$D$5,0,$F$173)*(V174+V175)</f>
        <v>0</v>
      </c>
      <c r="W176" s="439">
        <f>IF(W$117&lt;Assumptions_Dashboard!$D$5,0,$F$173)*(W174+W175)</f>
        <v>0</v>
      </c>
      <c r="X176" s="439">
        <f>IF(X$117&lt;Assumptions_Dashboard!$D$5,0,$F$173)*(X174+X175)</f>
        <v>0</v>
      </c>
      <c r="Y176" s="439">
        <f>IF(Y$117&lt;Assumptions_Dashboard!$D$5,0,$F$173)*(Y174+Y175)</f>
        <v>0</v>
      </c>
      <c r="Z176" s="439">
        <f>IF(Z$117&lt;Assumptions_Dashboard!$D$5,0,$F$173)*(Z174+Z175)</f>
        <v>0</v>
      </c>
      <c r="AA176" s="439">
        <f>IF(AA$117&lt;Assumptions_Dashboard!$D$5,0,$F$173)*(AA174+AA175)</f>
        <v>0</v>
      </c>
      <c r="AB176" s="439">
        <f>IF(AB$117&lt;Assumptions_Dashboard!$D$5,0,$F$173)*(AB174+AB175)</f>
        <v>0</v>
      </c>
      <c r="AC176" s="439">
        <f>IF(AC$117&lt;Assumptions_Dashboard!$D$5,0,$F$173)*(AC174+AC175)</f>
        <v>0</v>
      </c>
      <c r="AD176" s="439">
        <f>IF(AD$117&lt;Assumptions_Dashboard!$D$5,0,$F$173)*(AD174+AD175)</f>
        <v>0</v>
      </c>
      <c r="AE176" s="439">
        <f>IF(AE$117&lt;Assumptions_Dashboard!$D$5,0,$F$173)*(AE174+AE175)</f>
        <v>0</v>
      </c>
      <c r="AF176" s="439">
        <f>IF(AF$117&lt;Assumptions_Dashboard!$D$5,0,$F$173)*(AF174+AF175)</f>
        <v>0</v>
      </c>
      <c r="AG176" s="439">
        <f>IF(AG$117&lt;Assumptions_Dashboard!$D$5,0,$F$173)*(AG174+AG175)</f>
        <v>0</v>
      </c>
      <c r="AH176" s="439">
        <f>IF(AH$117&lt;Assumptions_Dashboard!$D$5,0,$F$173)*(AH174+AH175)</f>
        <v>0</v>
      </c>
      <c r="AI176" s="439">
        <f>IF(AI$117&lt;Assumptions_Dashboard!$D$5,0,$F$173)*(AI174+AI175)</f>
        <v>0</v>
      </c>
      <c r="AJ176" s="439">
        <f>IF(AJ$117&lt;Assumptions_Dashboard!$D$5,0,$F$173)*(AJ174+AJ175)</f>
        <v>0</v>
      </c>
      <c r="AK176" s="439">
        <f>IF(AK$117&lt;Assumptions_Dashboard!$D$5,0,$F$173)*(AK174+AK175)</f>
        <v>0</v>
      </c>
    </row>
    <row r="177" spans="3:37" outlineLevel="1">
      <c r="C177" s="422" t="s">
        <v>550</v>
      </c>
      <c r="D177" s="422" t="s">
        <v>134</v>
      </c>
      <c r="H177" s="424">
        <f>SUM($H176:H176)</f>
        <v>0</v>
      </c>
      <c r="I177" s="424">
        <f>SUM($H176:I176)</f>
        <v>0</v>
      </c>
      <c r="J177" s="424">
        <f>SUM($H176:J176)</f>
        <v>0</v>
      </c>
      <c r="K177" s="424">
        <f>SUM($H176:K176)</f>
        <v>0</v>
      </c>
      <c r="L177" s="424">
        <f>SUM($H176:L176)</f>
        <v>0</v>
      </c>
      <c r="M177" s="424">
        <f>SUM($H176:M176)</f>
        <v>0</v>
      </c>
      <c r="N177" s="424">
        <f>SUM($H176:N176)</f>
        <v>0</v>
      </c>
      <c r="O177" s="424">
        <f>SUM($H176:O176)</f>
        <v>0</v>
      </c>
      <c r="P177" s="424">
        <f>SUM($H176:P176)</f>
        <v>0</v>
      </c>
      <c r="Q177" s="424">
        <f>SUM($H176:Q176)</f>
        <v>0</v>
      </c>
      <c r="R177" s="424">
        <f>SUM($H176:R176)</f>
        <v>0</v>
      </c>
      <c r="S177" s="424">
        <f>SUM($H176:S176)</f>
        <v>0</v>
      </c>
      <c r="T177" s="424">
        <f>SUM($H176:T176)</f>
        <v>0</v>
      </c>
      <c r="U177" s="424">
        <f>SUM($H176:U176)</f>
        <v>0</v>
      </c>
      <c r="V177" s="424">
        <f>SUM($H176:V176)</f>
        <v>0</v>
      </c>
      <c r="W177" s="424">
        <f>SUM($H176:W176)</f>
        <v>0</v>
      </c>
      <c r="X177" s="424">
        <f>SUM($H176:X176)</f>
        <v>0</v>
      </c>
      <c r="Y177" s="424">
        <f>SUM($H176:Y176)</f>
        <v>0</v>
      </c>
      <c r="Z177" s="424">
        <f>SUM($H176:Z176)</f>
        <v>0</v>
      </c>
      <c r="AA177" s="424">
        <f>SUM($H176:AA176)</f>
        <v>0</v>
      </c>
      <c r="AB177" s="424">
        <f>SUM($H176:AB176)</f>
        <v>0</v>
      </c>
      <c r="AC177" s="424">
        <f>SUM($H176:AC176)</f>
        <v>0</v>
      </c>
      <c r="AD177" s="424">
        <f>SUM($H176:AD176)</f>
        <v>0</v>
      </c>
      <c r="AE177" s="424">
        <f>SUM($H176:AE176)</f>
        <v>0</v>
      </c>
      <c r="AF177" s="424">
        <f>SUM($H176:AF176)</f>
        <v>0</v>
      </c>
      <c r="AG177" s="424">
        <f>SUM($H176:AG176)</f>
        <v>0</v>
      </c>
      <c r="AH177" s="424">
        <f>SUM($H176:AH176)</f>
        <v>0</v>
      </c>
      <c r="AI177" s="424">
        <f>SUM($H176:AI176)</f>
        <v>0</v>
      </c>
      <c r="AJ177" s="424">
        <f>SUM($H176:AJ176)</f>
        <v>0</v>
      </c>
      <c r="AK177" s="424">
        <f>SUM($H176:AK176)</f>
        <v>0</v>
      </c>
    </row>
    <row r="178" spans="3:37" outlineLevel="1">
      <c r="C178" s="422" t="s">
        <v>551</v>
      </c>
      <c r="D178" s="422" t="s">
        <v>134</v>
      </c>
      <c r="H178" s="424">
        <f>H174+H175-H176</f>
        <v>0</v>
      </c>
      <c r="I178" s="424">
        <f t="shared" ref="I178:Z178" si="92">I174+I175-I176</f>
        <v>0</v>
      </c>
      <c r="J178" s="424">
        <f t="shared" si="92"/>
        <v>0</v>
      </c>
      <c r="K178" s="424">
        <f t="shared" si="92"/>
        <v>0</v>
      </c>
      <c r="L178" s="424">
        <f t="shared" si="92"/>
        <v>0</v>
      </c>
      <c r="M178" s="424">
        <f t="shared" si="92"/>
        <v>0</v>
      </c>
      <c r="N178" s="424">
        <f t="shared" si="92"/>
        <v>0</v>
      </c>
      <c r="O178" s="424">
        <f t="shared" si="92"/>
        <v>0</v>
      </c>
      <c r="P178" s="424">
        <f t="shared" si="92"/>
        <v>0</v>
      </c>
      <c r="Q178" s="424">
        <f t="shared" si="92"/>
        <v>0</v>
      </c>
      <c r="R178" s="424">
        <f t="shared" si="92"/>
        <v>0</v>
      </c>
      <c r="S178" s="424">
        <f t="shared" si="92"/>
        <v>0</v>
      </c>
      <c r="T178" s="424">
        <f t="shared" si="92"/>
        <v>0</v>
      </c>
      <c r="U178" s="424">
        <f t="shared" si="92"/>
        <v>0</v>
      </c>
      <c r="V178" s="424">
        <f t="shared" si="92"/>
        <v>0</v>
      </c>
      <c r="W178" s="424">
        <f t="shared" si="92"/>
        <v>0</v>
      </c>
      <c r="X178" s="424">
        <f t="shared" si="92"/>
        <v>0</v>
      </c>
      <c r="Y178" s="424">
        <f t="shared" si="92"/>
        <v>0</v>
      </c>
      <c r="Z178" s="424">
        <f t="shared" si="92"/>
        <v>0</v>
      </c>
      <c r="AA178" s="424">
        <f>AA174+AA175-AA176</f>
        <v>0</v>
      </c>
      <c r="AB178" s="424">
        <f t="shared" ref="AB178:AK178" si="93">AB174+AB175-AB176</f>
        <v>0</v>
      </c>
      <c r="AC178" s="424">
        <f t="shared" si="93"/>
        <v>0</v>
      </c>
      <c r="AD178" s="424">
        <f t="shared" si="93"/>
        <v>0</v>
      </c>
      <c r="AE178" s="424">
        <f t="shared" si="93"/>
        <v>0</v>
      </c>
      <c r="AF178" s="424">
        <f t="shared" si="93"/>
        <v>0</v>
      </c>
      <c r="AG178" s="424">
        <f t="shared" si="93"/>
        <v>0</v>
      </c>
      <c r="AH178" s="424">
        <f t="shared" si="93"/>
        <v>0</v>
      </c>
      <c r="AI178" s="424">
        <f t="shared" si="93"/>
        <v>0</v>
      </c>
      <c r="AJ178" s="424">
        <f t="shared" si="93"/>
        <v>0</v>
      </c>
      <c r="AK178" s="424">
        <f t="shared" si="93"/>
        <v>0</v>
      </c>
    </row>
    <row r="179" spans="3:37" outlineLevel="1">
      <c r="C179" s="191" t="str">
        <f>C101</f>
        <v>Digitalisation</v>
      </c>
      <c r="F179" s="423">
        <v>0.33329999999999999</v>
      </c>
    </row>
    <row r="180" spans="3:37" outlineLevel="1">
      <c r="C180" s="422" t="s">
        <v>547</v>
      </c>
      <c r="D180" s="422" t="s">
        <v>134</v>
      </c>
      <c r="H180" s="424">
        <f>G184</f>
        <v>0</v>
      </c>
      <c r="I180" s="424">
        <f t="shared" ref="I180:Z180" si="94">H184</f>
        <v>0</v>
      </c>
      <c r="J180" s="424">
        <f t="shared" si="94"/>
        <v>0</v>
      </c>
      <c r="K180" s="424">
        <f t="shared" si="94"/>
        <v>0</v>
      </c>
      <c r="L180" s="424">
        <f t="shared" si="94"/>
        <v>0</v>
      </c>
      <c r="M180" s="424">
        <f t="shared" si="94"/>
        <v>0</v>
      </c>
      <c r="N180" s="424">
        <f t="shared" si="94"/>
        <v>0</v>
      </c>
      <c r="O180" s="424">
        <f t="shared" si="94"/>
        <v>0</v>
      </c>
      <c r="P180" s="424">
        <f t="shared" si="94"/>
        <v>0</v>
      </c>
      <c r="Q180" s="424">
        <f t="shared" si="94"/>
        <v>0</v>
      </c>
      <c r="R180" s="424">
        <f t="shared" si="94"/>
        <v>0</v>
      </c>
      <c r="S180" s="424">
        <f t="shared" si="94"/>
        <v>0</v>
      </c>
      <c r="T180" s="424">
        <f t="shared" si="94"/>
        <v>0</v>
      </c>
      <c r="U180" s="424">
        <f t="shared" si="94"/>
        <v>0</v>
      </c>
      <c r="V180" s="424">
        <f t="shared" si="94"/>
        <v>0</v>
      </c>
      <c r="W180" s="424">
        <f t="shared" si="94"/>
        <v>0</v>
      </c>
      <c r="X180" s="424">
        <f t="shared" si="94"/>
        <v>0</v>
      </c>
      <c r="Y180" s="424">
        <f t="shared" si="94"/>
        <v>0</v>
      </c>
      <c r="Z180" s="424">
        <f t="shared" si="94"/>
        <v>0</v>
      </c>
      <c r="AA180" s="424">
        <f>Z184</f>
        <v>0</v>
      </c>
      <c r="AB180" s="424">
        <f t="shared" ref="AB180:AK180" si="95">AA184</f>
        <v>0</v>
      </c>
      <c r="AC180" s="424">
        <f t="shared" si="95"/>
        <v>0</v>
      </c>
      <c r="AD180" s="424">
        <f t="shared" si="95"/>
        <v>0</v>
      </c>
      <c r="AE180" s="424">
        <f t="shared" si="95"/>
        <v>0</v>
      </c>
      <c r="AF180" s="424">
        <f t="shared" si="95"/>
        <v>0</v>
      </c>
      <c r="AG180" s="424">
        <f t="shared" si="95"/>
        <v>0</v>
      </c>
      <c r="AH180" s="424">
        <f t="shared" si="95"/>
        <v>0</v>
      </c>
      <c r="AI180" s="424">
        <f t="shared" si="95"/>
        <v>0</v>
      </c>
      <c r="AJ180" s="424">
        <f t="shared" si="95"/>
        <v>0</v>
      </c>
      <c r="AK180" s="424">
        <f t="shared" si="95"/>
        <v>0</v>
      </c>
    </row>
    <row r="181" spans="3:37" outlineLevel="1">
      <c r="C181" s="422" t="s">
        <v>548</v>
      </c>
      <c r="D181" s="422" t="s">
        <v>134</v>
      </c>
      <c r="E181" s="424">
        <f>SUM(H181:AP181)</f>
        <v>0</v>
      </c>
      <c r="H181" s="424">
        <f>H103</f>
        <v>0</v>
      </c>
      <c r="I181" s="424">
        <f t="shared" ref="I181:AK181" si="96">I103</f>
        <v>0</v>
      </c>
      <c r="J181" s="424">
        <f t="shared" si="96"/>
        <v>0</v>
      </c>
      <c r="K181" s="424">
        <f t="shared" si="96"/>
        <v>0</v>
      </c>
      <c r="L181" s="424">
        <f t="shared" si="96"/>
        <v>0</v>
      </c>
      <c r="M181" s="424">
        <f t="shared" si="96"/>
        <v>0</v>
      </c>
      <c r="N181" s="424">
        <f t="shared" si="96"/>
        <v>0</v>
      </c>
      <c r="O181" s="424">
        <f t="shared" si="96"/>
        <v>0</v>
      </c>
      <c r="P181" s="424">
        <f t="shared" si="96"/>
        <v>0</v>
      </c>
      <c r="Q181" s="424">
        <f t="shared" si="96"/>
        <v>0</v>
      </c>
      <c r="R181" s="424">
        <f t="shared" si="96"/>
        <v>0</v>
      </c>
      <c r="S181" s="424">
        <f t="shared" si="96"/>
        <v>0</v>
      </c>
      <c r="T181" s="424">
        <f t="shared" si="96"/>
        <v>0</v>
      </c>
      <c r="U181" s="424">
        <f t="shared" si="96"/>
        <v>0</v>
      </c>
      <c r="V181" s="424">
        <f t="shared" si="96"/>
        <v>0</v>
      </c>
      <c r="W181" s="424">
        <f t="shared" si="96"/>
        <v>0</v>
      </c>
      <c r="X181" s="424">
        <f t="shared" si="96"/>
        <v>0</v>
      </c>
      <c r="Y181" s="424">
        <f t="shared" si="96"/>
        <v>0</v>
      </c>
      <c r="Z181" s="424">
        <f t="shared" si="96"/>
        <v>0</v>
      </c>
      <c r="AA181" s="424">
        <f t="shared" si="96"/>
        <v>0</v>
      </c>
      <c r="AB181" s="424">
        <f t="shared" si="96"/>
        <v>0</v>
      </c>
      <c r="AC181" s="424">
        <f t="shared" si="96"/>
        <v>0</v>
      </c>
      <c r="AD181" s="424">
        <f t="shared" si="96"/>
        <v>0</v>
      </c>
      <c r="AE181" s="424">
        <f t="shared" si="96"/>
        <v>0</v>
      </c>
      <c r="AF181" s="424">
        <f t="shared" si="96"/>
        <v>0</v>
      </c>
      <c r="AG181" s="424">
        <f t="shared" si="96"/>
        <v>0</v>
      </c>
      <c r="AH181" s="424">
        <f t="shared" si="96"/>
        <v>0</v>
      </c>
      <c r="AI181" s="424">
        <f t="shared" si="96"/>
        <v>0</v>
      </c>
      <c r="AJ181" s="424">
        <f t="shared" si="96"/>
        <v>0</v>
      </c>
      <c r="AK181" s="424">
        <f t="shared" si="96"/>
        <v>0</v>
      </c>
    </row>
    <row r="182" spans="3:37" outlineLevel="1">
      <c r="C182" s="422" t="s">
        <v>549</v>
      </c>
      <c r="D182" s="422" t="s">
        <v>134</v>
      </c>
      <c r="E182" s="424">
        <f>SUM(H182:AP182)</f>
        <v>0</v>
      </c>
      <c r="H182" s="439">
        <f>IF(H$117&lt;Assumptions_Dashboard!$D$5,0,$F$179)*(H180+H181)</f>
        <v>0</v>
      </c>
      <c r="I182" s="439">
        <f>IF(I$117&lt;Assumptions_Dashboard!$D$5,0,$F$179)*(I180+I181)</f>
        <v>0</v>
      </c>
      <c r="J182" s="439">
        <f>IF(J$117&lt;Assumptions_Dashboard!$D$5,0,$F$179)*(J180+J181)</f>
        <v>0</v>
      </c>
      <c r="K182" s="439">
        <f>IF(K$117&lt;Assumptions_Dashboard!$D$5,0,$F$179)*(K180+K181)</f>
        <v>0</v>
      </c>
      <c r="L182" s="439">
        <f>IF(L$117&lt;Assumptions_Dashboard!$D$5,0,$F$179)*(L180+L181)</f>
        <v>0</v>
      </c>
      <c r="M182" s="439">
        <f>IF(M$117&lt;Assumptions_Dashboard!$D$5,0,$F$179)*(M180+M181)</f>
        <v>0</v>
      </c>
      <c r="N182" s="439">
        <f>IF(N$117&lt;Assumptions_Dashboard!$D$5,0,$F$179)*(N180+N181)</f>
        <v>0</v>
      </c>
      <c r="O182" s="439">
        <f>IF(O$117&lt;Assumptions_Dashboard!$D$5,0,$F$179)*(O180+O181)</f>
        <v>0</v>
      </c>
      <c r="P182" s="439">
        <f>IF(P$117&lt;Assumptions_Dashboard!$D$5,0,$F$179)*(P180+P181)</f>
        <v>0</v>
      </c>
      <c r="Q182" s="439">
        <f>IF(Q$117&lt;Assumptions_Dashboard!$D$5,0,$F$179)*(Q180+Q181)</f>
        <v>0</v>
      </c>
      <c r="R182" s="439">
        <f>IF(R$117&lt;Assumptions_Dashboard!$D$5,0,$F$179)*(R180+R181)</f>
        <v>0</v>
      </c>
      <c r="S182" s="439">
        <f>IF(S$117&lt;Assumptions_Dashboard!$D$5,0,$F$179)*(S180+S181)</f>
        <v>0</v>
      </c>
      <c r="T182" s="439">
        <f>IF(T$117&lt;Assumptions_Dashboard!$D$5,0,$F$179)*(T180+T181)</f>
        <v>0</v>
      </c>
      <c r="U182" s="439">
        <f>IF(U$117&lt;Assumptions_Dashboard!$D$5,0,$F$179)*(U180+U181)</f>
        <v>0</v>
      </c>
      <c r="V182" s="439">
        <f>IF(V$117&lt;Assumptions_Dashboard!$D$5,0,$F$179)*(V180+V181)</f>
        <v>0</v>
      </c>
      <c r="W182" s="439">
        <f>IF(W$117&lt;Assumptions_Dashboard!$D$5,0,$F$179)*(W180+W181)</f>
        <v>0</v>
      </c>
      <c r="X182" s="439">
        <f>IF(X$117&lt;Assumptions_Dashboard!$D$5,0,$F$179)*(X180+X181)</f>
        <v>0</v>
      </c>
      <c r="Y182" s="439">
        <f>IF(Y$117&lt;Assumptions_Dashboard!$D$5,0,$F$179)*(Y180+Y181)</f>
        <v>0</v>
      </c>
      <c r="Z182" s="439">
        <f>IF(Z$117&lt;Assumptions_Dashboard!$D$5,0,$F$179)*(Z180+Z181)</f>
        <v>0</v>
      </c>
      <c r="AA182" s="439">
        <f>IF(AA$117&lt;Assumptions_Dashboard!$D$5,0,$F$179)*(AA180+AA181)</f>
        <v>0</v>
      </c>
      <c r="AB182" s="439">
        <f>IF(AB$117&lt;Assumptions_Dashboard!$D$5,0,$F$179)*(AB180+AB181)</f>
        <v>0</v>
      </c>
      <c r="AC182" s="439">
        <f>IF(AC$117&lt;Assumptions_Dashboard!$D$5,0,$F$179)*(AC180+AC181)</f>
        <v>0</v>
      </c>
      <c r="AD182" s="439">
        <f>IF(AD$117&lt;Assumptions_Dashboard!$D$5,0,$F$179)*(AD180+AD181)</f>
        <v>0</v>
      </c>
      <c r="AE182" s="439">
        <f>IF(AE$117&lt;Assumptions_Dashboard!$D$5,0,$F$179)*(AE180+AE181)</f>
        <v>0</v>
      </c>
      <c r="AF182" s="439">
        <f>IF(AF$117&lt;Assumptions_Dashboard!$D$5,0,$F$179)*(AF180+AF181)</f>
        <v>0</v>
      </c>
      <c r="AG182" s="439">
        <f>IF(AG$117&lt;Assumptions_Dashboard!$D$5,0,$F$179)*(AG180+AG181)</f>
        <v>0</v>
      </c>
      <c r="AH182" s="439">
        <f>IF(AH$117&lt;Assumptions_Dashboard!$D$5,0,$F$179)*(AH180+AH181)</f>
        <v>0</v>
      </c>
      <c r="AI182" s="439">
        <f>IF(AI$117&lt;Assumptions_Dashboard!$D$5,0,$F$179)*(AI180+AI181)</f>
        <v>0</v>
      </c>
      <c r="AJ182" s="439">
        <f>IF(AJ$117&lt;Assumptions_Dashboard!$D$5,0,$F$179)*(AJ180+AJ181)</f>
        <v>0</v>
      </c>
      <c r="AK182" s="439">
        <f>IF(AK$117&lt;Assumptions_Dashboard!$D$5,0,$F$179)*(AK180+AK181)</f>
        <v>0</v>
      </c>
    </row>
    <row r="183" spans="3:37" outlineLevel="1">
      <c r="C183" s="422" t="s">
        <v>550</v>
      </c>
      <c r="D183" s="422" t="s">
        <v>134</v>
      </c>
      <c r="H183" s="424">
        <f>SUM($H182:H182)</f>
        <v>0</v>
      </c>
      <c r="I183" s="424">
        <f>SUM($H182:I182)</f>
        <v>0</v>
      </c>
      <c r="J183" s="424">
        <f>SUM($H182:J182)</f>
        <v>0</v>
      </c>
      <c r="K183" s="424">
        <f>SUM($H182:K182)</f>
        <v>0</v>
      </c>
      <c r="L183" s="424">
        <f>SUM($H182:L182)</f>
        <v>0</v>
      </c>
      <c r="M183" s="424">
        <f>SUM($H182:M182)</f>
        <v>0</v>
      </c>
      <c r="N183" s="424">
        <f>SUM($H182:N182)</f>
        <v>0</v>
      </c>
      <c r="O183" s="424">
        <f>SUM($H182:O182)</f>
        <v>0</v>
      </c>
      <c r="P183" s="424">
        <f>SUM($H182:P182)</f>
        <v>0</v>
      </c>
      <c r="Q183" s="424">
        <f>SUM($H182:Q182)</f>
        <v>0</v>
      </c>
      <c r="R183" s="424">
        <f>SUM($H182:R182)</f>
        <v>0</v>
      </c>
      <c r="S183" s="424">
        <f>SUM($H182:S182)</f>
        <v>0</v>
      </c>
      <c r="T183" s="424">
        <f>SUM($H182:T182)</f>
        <v>0</v>
      </c>
      <c r="U183" s="424">
        <f>SUM($H182:U182)</f>
        <v>0</v>
      </c>
      <c r="V183" s="424">
        <f>SUM($H182:V182)</f>
        <v>0</v>
      </c>
      <c r="W183" s="424">
        <f>SUM($H182:W182)</f>
        <v>0</v>
      </c>
      <c r="X183" s="424">
        <f>SUM($H182:X182)</f>
        <v>0</v>
      </c>
      <c r="Y183" s="424">
        <f>SUM($H182:Y182)</f>
        <v>0</v>
      </c>
      <c r="Z183" s="424">
        <f>SUM($H182:Z182)</f>
        <v>0</v>
      </c>
      <c r="AA183" s="424">
        <f>SUM($H182:AA182)</f>
        <v>0</v>
      </c>
      <c r="AB183" s="424">
        <f>SUM($H182:AB182)</f>
        <v>0</v>
      </c>
      <c r="AC183" s="424">
        <f>SUM($H182:AC182)</f>
        <v>0</v>
      </c>
      <c r="AD183" s="424">
        <f>SUM($H182:AD182)</f>
        <v>0</v>
      </c>
      <c r="AE183" s="424">
        <f>SUM($H182:AE182)</f>
        <v>0</v>
      </c>
      <c r="AF183" s="424">
        <f>SUM($H182:AF182)</f>
        <v>0</v>
      </c>
      <c r="AG183" s="424">
        <f>SUM($H182:AG182)</f>
        <v>0</v>
      </c>
      <c r="AH183" s="424">
        <f>SUM($H182:AH182)</f>
        <v>0</v>
      </c>
      <c r="AI183" s="424">
        <f>SUM($H182:AI182)</f>
        <v>0</v>
      </c>
      <c r="AJ183" s="424">
        <f>SUM($H182:AJ182)</f>
        <v>0</v>
      </c>
      <c r="AK183" s="424">
        <f>SUM($H182:AK182)</f>
        <v>0</v>
      </c>
    </row>
    <row r="184" spans="3:37" outlineLevel="1">
      <c r="C184" s="422" t="s">
        <v>551</v>
      </c>
      <c r="D184" s="422" t="s">
        <v>134</v>
      </c>
      <c r="H184" s="424">
        <f>H180+H181-H182</f>
        <v>0</v>
      </c>
      <c r="I184" s="424">
        <f t="shared" ref="I184:Z184" si="97">I180+I181-I182</f>
        <v>0</v>
      </c>
      <c r="J184" s="424">
        <f t="shared" si="97"/>
        <v>0</v>
      </c>
      <c r="K184" s="424">
        <f t="shared" si="97"/>
        <v>0</v>
      </c>
      <c r="L184" s="424">
        <f t="shared" si="97"/>
        <v>0</v>
      </c>
      <c r="M184" s="424">
        <f t="shared" si="97"/>
        <v>0</v>
      </c>
      <c r="N184" s="424">
        <f t="shared" si="97"/>
        <v>0</v>
      </c>
      <c r="O184" s="424">
        <f t="shared" si="97"/>
        <v>0</v>
      </c>
      <c r="P184" s="424">
        <f t="shared" si="97"/>
        <v>0</v>
      </c>
      <c r="Q184" s="424">
        <f t="shared" si="97"/>
        <v>0</v>
      </c>
      <c r="R184" s="424">
        <f t="shared" si="97"/>
        <v>0</v>
      </c>
      <c r="S184" s="424">
        <f t="shared" si="97"/>
        <v>0</v>
      </c>
      <c r="T184" s="424">
        <f t="shared" si="97"/>
        <v>0</v>
      </c>
      <c r="U184" s="424">
        <f t="shared" si="97"/>
        <v>0</v>
      </c>
      <c r="V184" s="424">
        <f t="shared" si="97"/>
        <v>0</v>
      </c>
      <c r="W184" s="424">
        <f t="shared" si="97"/>
        <v>0</v>
      </c>
      <c r="X184" s="424">
        <f t="shared" si="97"/>
        <v>0</v>
      </c>
      <c r="Y184" s="424">
        <f t="shared" si="97"/>
        <v>0</v>
      </c>
      <c r="Z184" s="424">
        <f t="shared" si="97"/>
        <v>0</v>
      </c>
      <c r="AA184" s="424">
        <f>AA180+AA181-AA182</f>
        <v>0</v>
      </c>
      <c r="AB184" s="424">
        <f t="shared" ref="AB184:AK184" si="98">AB180+AB181-AB182</f>
        <v>0</v>
      </c>
      <c r="AC184" s="424">
        <f t="shared" si="98"/>
        <v>0</v>
      </c>
      <c r="AD184" s="424">
        <f t="shared" si="98"/>
        <v>0</v>
      </c>
      <c r="AE184" s="424">
        <f t="shared" si="98"/>
        <v>0</v>
      </c>
      <c r="AF184" s="424">
        <f t="shared" si="98"/>
        <v>0</v>
      </c>
      <c r="AG184" s="424">
        <f t="shared" si="98"/>
        <v>0</v>
      </c>
      <c r="AH184" s="424">
        <f t="shared" si="98"/>
        <v>0</v>
      </c>
      <c r="AI184" s="424">
        <f t="shared" si="98"/>
        <v>0</v>
      </c>
      <c r="AJ184" s="424">
        <f t="shared" si="98"/>
        <v>0</v>
      </c>
      <c r="AK184" s="424">
        <f t="shared" si="98"/>
        <v>0</v>
      </c>
    </row>
    <row r="185" spans="3:37" outlineLevel="1">
      <c r="C185" s="191" t="str">
        <f>C107</f>
        <v>Contingency</v>
      </c>
      <c r="F185" s="423">
        <v>0</v>
      </c>
    </row>
    <row r="186" spans="3:37" outlineLevel="1">
      <c r="C186" s="422" t="s">
        <v>547</v>
      </c>
      <c r="D186" s="422" t="s">
        <v>134</v>
      </c>
      <c r="H186" s="424">
        <f>G190</f>
        <v>0</v>
      </c>
      <c r="I186" s="424">
        <f t="shared" ref="I186:Z186" si="99">H190</f>
        <v>0</v>
      </c>
      <c r="J186" s="424">
        <f t="shared" si="99"/>
        <v>0</v>
      </c>
      <c r="K186" s="424">
        <f t="shared" si="99"/>
        <v>0</v>
      </c>
      <c r="L186" s="424">
        <f t="shared" si="99"/>
        <v>0</v>
      </c>
      <c r="M186" s="424">
        <f t="shared" si="99"/>
        <v>0</v>
      </c>
      <c r="N186" s="424">
        <f t="shared" si="99"/>
        <v>0</v>
      </c>
      <c r="O186" s="424">
        <f t="shared" si="99"/>
        <v>0</v>
      </c>
      <c r="P186" s="424">
        <f t="shared" si="99"/>
        <v>0</v>
      </c>
      <c r="Q186" s="424">
        <f t="shared" si="99"/>
        <v>0</v>
      </c>
      <c r="R186" s="424">
        <f t="shared" si="99"/>
        <v>0</v>
      </c>
      <c r="S186" s="424">
        <f t="shared" si="99"/>
        <v>0</v>
      </c>
      <c r="T186" s="424">
        <f t="shared" si="99"/>
        <v>0</v>
      </c>
      <c r="U186" s="424">
        <f t="shared" si="99"/>
        <v>0</v>
      </c>
      <c r="V186" s="424">
        <f t="shared" si="99"/>
        <v>0</v>
      </c>
      <c r="W186" s="424">
        <f t="shared" si="99"/>
        <v>0</v>
      </c>
      <c r="X186" s="424">
        <f t="shared" si="99"/>
        <v>0</v>
      </c>
      <c r="Y186" s="424">
        <f t="shared" si="99"/>
        <v>0</v>
      </c>
      <c r="Z186" s="424">
        <f t="shared" si="99"/>
        <v>0</v>
      </c>
      <c r="AA186" s="424">
        <f>Z190</f>
        <v>0</v>
      </c>
      <c r="AB186" s="424">
        <f t="shared" ref="AB186:AK186" si="100">AA190</f>
        <v>0</v>
      </c>
      <c r="AC186" s="424">
        <f t="shared" si="100"/>
        <v>0</v>
      </c>
      <c r="AD186" s="424">
        <f t="shared" si="100"/>
        <v>0</v>
      </c>
      <c r="AE186" s="424">
        <f t="shared" si="100"/>
        <v>0</v>
      </c>
      <c r="AF186" s="424">
        <f t="shared" si="100"/>
        <v>0</v>
      </c>
      <c r="AG186" s="424">
        <f t="shared" si="100"/>
        <v>0</v>
      </c>
      <c r="AH186" s="424">
        <f t="shared" si="100"/>
        <v>0</v>
      </c>
      <c r="AI186" s="424">
        <f t="shared" si="100"/>
        <v>0</v>
      </c>
      <c r="AJ186" s="424">
        <f t="shared" si="100"/>
        <v>0</v>
      </c>
      <c r="AK186" s="424">
        <f t="shared" si="100"/>
        <v>0</v>
      </c>
    </row>
    <row r="187" spans="3:37" outlineLevel="1">
      <c r="C187" s="422" t="s">
        <v>548</v>
      </c>
      <c r="D187" s="422" t="s">
        <v>134</v>
      </c>
      <c r="E187" s="424">
        <f>SUM(H187:AP187)</f>
        <v>0</v>
      </c>
      <c r="H187" s="424">
        <f>H109</f>
        <v>0</v>
      </c>
      <c r="I187" s="424">
        <f t="shared" ref="I187:AK187" si="101">I109</f>
        <v>0</v>
      </c>
      <c r="J187" s="424">
        <f t="shared" si="101"/>
        <v>0</v>
      </c>
      <c r="K187" s="424">
        <f t="shared" si="101"/>
        <v>0</v>
      </c>
      <c r="L187" s="424">
        <f t="shared" si="101"/>
        <v>0</v>
      </c>
      <c r="M187" s="424">
        <f t="shared" si="101"/>
        <v>0</v>
      </c>
      <c r="N187" s="424">
        <f t="shared" si="101"/>
        <v>0</v>
      </c>
      <c r="O187" s="424">
        <f t="shared" si="101"/>
        <v>0</v>
      </c>
      <c r="P187" s="424">
        <f t="shared" si="101"/>
        <v>0</v>
      </c>
      <c r="Q187" s="424">
        <f t="shared" si="101"/>
        <v>0</v>
      </c>
      <c r="R187" s="424">
        <f t="shared" si="101"/>
        <v>0</v>
      </c>
      <c r="S187" s="424">
        <f t="shared" si="101"/>
        <v>0</v>
      </c>
      <c r="T187" s="424">
        <f t="shared" si="101"/>
        <v>0</v>
      </c>
      <c r="U187" s="424">
        <f t="shared" si="101"/>
        <v>0</v>
      </c>
      <c r="V187" s="424">
        <f t="shared" si="101"/>
        <v>0</v>
      </c>
      <c r="W187" s="424">
        <f t="shared" si="101"/>
        <v>0</v>
      </c>
      <c r="X187" s="424">
        <f t="shared" si="101"/>
        <v>0</v>
      </c>
      <c r="Y187" s="424">
        <f t="shared" si="101"/>
        <v>0</v>
      </c>
      <c r="Z187" s="424">
        <f t="shared" si="101"/>
        <v>0</v>
      </c>
      <c r="AA187" s="424">
        <f t="shared" si="101"/>
        <v>0</v>
      </c>
      <c r="AB187" s="424">
        <f t="shared" si="101"/>
        <v>0</v>
      </c>
      <c r="AC187" s="424">
        <f t="shared" si="101"/>
        <v>0</v>
      </c>
      <c r="AD187" s="424">
        <f t="shared" si="101"/>
        <v>0</v>
      </c>
      <c r="AE187" s="424">
        <f t="shared" si="101"/>
        <v>0</v>
      </c>
      <c r="AF187" s="424">
        <f t="shared" si="101"/>
        <v>0</v>
      </c>
      <c r="AG187" s="424">
        <f t="shared" si="101"/>
        <v>0</v>
      </c>
      <c r="AH187" s="424">
        <f t="shared" si="101"/>
        <v>0</v>
      </c>
      <c r="AI187" s="424">
        <f t="shared" si="101"/>
        <v>0</v>
      </c>
      <c r="AJ187" s="424">
        <f t="shared" si="101"/>
        <v>0</v>
      </c>
      <c r="AK187" s="424">
        <f t="shared" si="101"/>
        <v>0</v>
      </c>
    </row>
    <row r="188" spans="3:37" outlineLevel="1">
      <c r="C188" s="422" t="s">
        <v>549</v>
      </c>
      <c r="D188" s="422" t="s">
        <v>134</v>
      </c>
      <c r="E188" s="424">
        <f>SUM(H188:AP188)</f>
        <v>0</v>
      </c>
      <c r="H188" s="439">
        <f>IF(H$117&lt;Assumptions_Dashboard!$D$5,0,$F$185)*(H186+H187)</f>
        <v>0</v>
      </c>
      <c r="I188" s="439">
        <f>IF(I$117&lt;Assumptions_Dashboard!$D$5,0,$F$185)*(I186+I187)</f>
        <v>0</v>
      </c>
      <c r="J188" s="439">
        <f>IF(J$117&lt;Assumptions_Dashboard!$D$5,0,$F$185)*(J186+J187)</f>
        <v>0</v>
      </c>
      <c r="K188" s="439">
        <f>IF(K$117&lt;Assumptions_Dashboard!$D$5,0,$F$185)*(K186+K187)</f>
        <v>0</v>
      </c>
      <c r="L188" s="439">
        <f>IF(L$117&lt;Assumptions_Dashboard!$D$5,0,$F$185)*(L186+L187)</f>
        <v>0</v>
      </c>
      <c r="M188" s="439">
        <f>IF(M$117&lt;Assumptions_Dashboard!$D$5,0,$F$185)*(M186+M187)</f>
        <v>0</v>
      </c>
      <c r="N188" s="439">
        <f>IF(N$117&lt;Assumptions_Dashboard!$D$5,0,$F$185)*(N186+N187)</f>
        <v>0</v>
      </c>
      <c r="O188" s="439">
        <f>IF(O$117&lt;Assumptions_Dashboard!$D$5,0,$F$185)*(O186+O187)</f>
        <v>0</v>
      </c>
      <c r="P188" s="439">
        <f>IF(P$117&lt;Assumptions_Dashboard!$D$5,0,$F$185)*(P186+P187)</f>
        <v>0</v>
      </c>
      <c r="Q188" s="439">
        <f>IF(Q$117&lt;Assumptions_Dashboard!$D$5,0,$F$185)*(Q186+Q187)</f>
        <v>0</v>
      </c>
      <c r="R188" s="439">
        <f>IF(R$117&lt;Assumptions_Dashboard!$D$5,0,$F$185)*(R186+R187)</f>
        <v>0</v>
      </c>
      <c r="S188" s="439">
        <f>IF(S$117&lt;Assumptions_Dashboard!$D$5,0,$F$185)*(S186+S187)</f>
        <v>0</v>
      </c>
      <c r="T188" s="439">
        <f>IF(T$117&lt;Assumptions_Dashboard!$D$5,0,$F$185)*(T186+T187)</f>
        <v>0</v>
      </c>
      <c r="U188" s="439">
        <f>IF(U$117&lt;Assumptions_Dashboard!$D$5,0,$F$185)*(U186+U187)</f>
        <v>0</v>
      </c>
      <c r="V188" s="439">
        <f>IF(V$117&lt;Assumptions_Dashboard!$D$5,0,$F$185)*(V186+V187)</f>
        <v>0</v>
      </c>
      <c r="W188" s="439">
        <f>IF(W$117&lt;Assumptions_Dashboard!$D$5,0,$F$185)*(W186+W187)</f>
        <v>0</v>
      </c>
      <c r="X188" s="439">
        <f>IF(X$117&lt;Assumptions_Dashboard!$D$5,0,$F$185)*(X186+X187)</f>
        <v>0</v>
      </c>
      <c r="Y188" s="439">
        <f>IF(Y$117&lt;Assumptions_Dashboard!$D$5,0,$F$185)*(Y186+Y187)</f>
        <v>0</v>
      </c>
      <c r="Z188" s="439">
        <f>IF(Z$117&lt;Assumptions_Dashboard!$D$5,0,$F$185)*(Z186+Z187)</f>
        <v>0</v>
      </c>
      <c r="AA188" s="439">
        <f>IF(AA$117&lt;Assumptions_Dashboard!$D$5,0,$F$185)*(AA186+AA187)</f>
        <v>0</v>
      </c>
      <c r="AB188" s="439">
        <f>IF(AB$117&lt;Assumptions_Dashboard!$D$5,0,$F$185)*(AB186+AB187)</f>
        <v>0</v>
      </c>
      <c r="AC188" s="439">
        <f>IF(AC$117&lt;Assumptions_Dashboard!$D$5,0,$F$185)*(AC186+AC187)</f>
        <v>0</v>
      </c>
      <c r="AD188" s="439">
        <f>IF(AD$117&lt;Assumptions_Dashboard!$D$5,0,$F$185)*(AD186+AD187)</f>
        <v>0</v>
      </c>
      <c r="AE188" s="439">
        <f>IF(AE$117&lt;Assumptions_Dashboard!$D$5,0,$F$185)*(AE186+AE187)</f>
        <v>0</v>
      </c>
      <c r="AF188" s="439">
        <f>IF(AF$117&lt;Assumptions_Dashboard!$D$5,0,$F$185)*(AF186+AF187)</f>
        <v>0</v>
      </c>
      <c r="AG188" s="439">
        <f>IF(AG$117&lt;Assumptions_Dashboard!$D$5,0,$F$185)*(AG186+AG187)</f>
        <v>0</v>
      </c>
      <c r="AH188" s="439">
        <f>IF(AH$117&lt;Assumptions_Dashboard!$D$5,0,$F$185)*(AH186+AH187)</f>
        <v>0</v>
      </c>
      <c r="AI188" s="439">
        <f>IF(AI$117&lt;Assumptions_Dashboard!$D$5,0,$F$185)*(AI186+AI187)</f>
        <v>0</v>
      </c>
      <c r="AJ188" s="439">
        <f>IF(AJ$117&lt;Assumptions_Dashboard!$D$5,0,$F$185)*(AJ186+AJ187)</f>
        <v>0</v>
      </c>
      <c r="AK188" s="439">
        <f>IF(AK$117&lt;Assumptions_Dashboard!$D$5,0,$F$185)*(AK186+AK187)</f>
        <v>0</v>
      </c>
    </row>
    <row r="189" spans="3:37" outlineLevel="1">
      <c r="C189" s="422" t="s">
        <v>550</v>
      </c>
      <c r="D189" s="422" t="s">
        <v>134</v>
      </c>
      <c r="H189" s="424">
        <f>SUM($H188:H188)</f>
        <v>0</v>
      </c>
      <c r="I189" s="424">
        <f>SUM($H188:I188)</f>
        <v>0</v>
      </c>
      <c r="J189" s="424">
        <f>SUM($H188:J188)</f>
        <v>0</v>
      </c>
      <c r="K189" s="424">
        <f>SUM($H188:K188)</f>
        <v>0</v>
      </c>
      <c r="L189" s="424">
        <f>SUM($H188:L188)</f>
        <v>0</v>
      </c>
      <c r="M189" s="424">
        <f>SUM($H188:M188)</f>
        <v>0</v>
      </c>
      <c r="N189" s="424">
        <f>SUM($H188:N188)</f>
        <v>0</v>
      </c>
      <c r="O189" s="424">
        <f>SUM($H188:O188)</f>
        <v>0</v>
      </c>
      <c r="P189" s="424">
        <f>SUM($H188:P188)</f>
        <v>0</v>
      </c>
      <c r="Q189" s="424">
        <f>SUM($H188:Q188)</f>
        <v>0</v>
      </c>
      <c r="R189" s="424">
        <f>SUM($H188:R188)</f>
        <v>0</v>
      </c>
      <c r="S189" s="424">
        <f>SUM($H188:S188)</f>
        <v>0</v>
      </c>
      <c r="T189" s="424">
        <f>SUM($H188:T188)</f>
        <v>0</v>
      </c>
      <c r="U189" s="424">
        <f>SUM($H188:U188)</f>
        <v>0</v>
      </c>
      <c r="V189" s="424">
        <f>SUM($H188:V188)</f>
        <v>0</v>
      </c>
      <c r="W189" s="424">
        <f>SUM($H188:W188)</f>
        <v>0</v>
      </c>
      <c r="X189" s="424">
        <f>SUM($H188:X188)</f>
        <v>0</v>
      </c>
      <c r="Y189" s="424">
        <f>SUM($H188:Y188)</f>
        <v>0</v>
      </c>
      <c r="Z189" s="424">
        <f>SUM($H188:Z188)</f>
        <v>0</v>
      </c>
      <c r="AA189" s="424">
        <f>SUM($H188:AA188)</f>
        <v>0</v>
      </c>
      <c r="AB189" s="424">
        <f>SUM($H188:AB188)</f>
        <v>0</v>
      </c>
      <c r="AC189" s="424">
        <f>SUM($H188:AC188)</f>
        <v>0</v>
      </c>
      <c r="AD189" s="424">
        <f>SUM($H188:AD188)</f>
        <v>0</v>
      </c>
      <c r="AE189" s="424">
        <f>SUM($H188:AE188)</f>
        <v>0</v>
      </c>
      <c r="AF189" s="424">
        <f>SUM($H188:AF188)</f>
        <v>0</v>
      </c>
      <c r="AG189" s="424">
        <f>SUM($H188:AG188)</f>
        <v>0</v>
      </c>
      <c r="AH189" s="424">
        <f>SUM($H188:AH188)</f>
        <v>0</v>
      </c>
      <c r="AI189" s="424">
        <f>SUM($H188:AI188)</f>
        <v>0</v>
      </c>
      <c r="AJ189" s="424">
        <f>SUM($H188:AJ188)</f>
        <v>0</v>
      </c>
      <c r="AK189" s="424">
        <f>SUM($H188:AK188)</f>
        <v>0</v>
      </c>
    </row>
    <row r="190" spans="3:37" outlineLevel="1">
      <c r="C190" s="422" t="s">
        <v>551</v>
      </c>
      <c r="D190" s="422" t="s">
        <v>134</v>
      </c>
      <c r="H190" s="424">
        <f>H186+H187-H188</f>
        <v>0</v>
      </c>
      <c r="I190" s="424">
        <f t="shared" ref="I190:Z190" si="102">I186+I187-I188</f>
        <v>0</v>
      </c>
      <c r="J190" s="424">
        <f t="shared" si="102"/>
        <v>0</v>
      </c>
      <c r="K190" s="424">
        <f t="shared" si="102"/>
        <v>0</v>
      </c>
      <c r="L190" s="424">
        <f t="shared" si="102"/>
        <v>0</v>
      </c>
      <c r="M190" s="424">
        <f t="shared" si="102"/>
        <v>0</v>
      </c>
      <c r="N190" s="424">
        <f t="shared" si="102"/>
        <v>0</v>
      </c>
      <c r="O190" s="424">
        <f t="shared" si="102"/>
        <v>0</v>
      </c>
      <c r="P190" s="424">
        <f t="shared" si="102"/>
        <v>0</v>
      </c>
      <c r="Q190" s="424">
        <f t="shared" si="102"/>
        <v>0</v>
      </c>
      <c r="R190" s="424">
        <f t="shared" si="102"/>
        <v>0</v>
      </c>
      <c r="S190" s="424">
        <f t="shared" si="102"/>
        <v>0</v>
      </c>
      <c r="T190" s="424">
        <f t="shared" si="102"/>
        <v>0</v>
      </c>
      <c r="U190" s="424">
        <f t="shared" si="102"/>
        <v>0</v>
      </c>
      <c r="V190" s="424">
        <f t="shared" si="102"/>
        <v>0</v>
      </c>
      <c r="W190" s="424">
        <f t="shared" si="102"/>
        <v>0</v>
      </c>
      <c r="X190" s="424">
        <f t="shared" si="102"/>
        <v>0</v>
      </c>
      <c r="Y190" s="424">
        <f t="shared" si="102"/>
        <v>0</v>
      </c>
      <c r="Z190" s="424">
        <f t="shared" si="102"/>
        <v>0</v>
      </c>
      <c r="AA190" s="424">
        <f>AA186+AA187-AA188</f>
        <v>0</v>
      </c>
      <c r="AB190" s="424">
        <f t="shared" ref="AB190:AK190" si="103">AB186+AB187-AB188</f>
        <v>0</v>
      </c>
      <c r="AC190" s="424">
        <f t="shared" si="103"/>
        <v>0</v>
      </c>
      <c r="AD190" s="424">
        <f t="shared" si="103"/>
        <v>0</v>
      </c>
      <c r="AE190" s="424">
        <f t="shared" si="103"/>
        <v>0</v>
      </c>
      <c r="AF190" s="424">
        <f t="shared" si="103"/>
        <v>0</v>
      </c>
      <c r="AG190" s="424">
        <f t="shared" si="103"/>
        <v>0</v>
      </c>
      <c r="AH190" s="424">
        <f t="shared" si="103"/>
        <v>0</v>
      </c>
      <c r="AI190" s="424">
        <f t="shared" si="103"/>
        <v>0</v>
      </c>
      <c r="AJ190" s="424">
        <f t="shared" si="103"/>
        <v>0</v>
      </c>
      <c r="AK190" s="424">
        <f t="shared" si="103"/>
        <v>0</v>
      </c>
    </row>
    <row r="191" spans="3:37" outlineLevel="1">
      <c r="H191" s="146"/>
    </row>
    <row r="192" spans="3:37" ht="14" outlineLevel="1" thickBot="1">
      <c r="C192" s="426" t="s">
        <v>554</v>
      </c>
      <c r="D192" s="425" t="s">
        <v>134</v>
      </c>
      <c r="E192" s="440">
        <f>SUM(G192:AO192)</f>
        <v>0</v>
      </c>
      <c r="F192" s="432">
        <f>E121+E127+E133+E139+E145+E151+E157+E163+E169+E175+E181+E187</f>
        <v>0</v>
      </c>
      <c r="G192" s="242" t="b">
        <f>F192=E35</f>
        <v>1</v>
      </c>
      <c r="H192" s="440">
        <f>SUM(H122,H128,H134,H140,H146,H152,H158,H164,H170,H176,H182,H188)</f>
        <v>0</v>
      </c>
      <c r="I192" s="440">
        <f t="shared" ref="I192:AK192" si="104">SUM(I122,I128,I134,I140,I146,I152,I158,I164,I170,I176,I182,I188)</f>
        <v>0</v>
      </c>
      <c r="J192" s="440">
        <f t="shared" si="104"/>
        <v>0</v>
      </c>
      <c r="K192" s="440">
        <f t="shared" si="104"/>
        <v>0</v>
      </c>
      <c r="L192" s="440">
        <f t="shared" si="104"/>
        <v>0</v>
      </c>
      <c r="M192" s="440">
        <f t="shared" si="104"/>
        <v>0</v>
      </c>
      <c r="N192" s="440">
        <f t="shared" si="104"/>
        <v>0</v>
      </c>
      <c r="O192" s="440">
        <f t="shared" si="104"/>
        <v>0</v>
      </c>
      <c r="P192" s="440">
        <f t="shared" si="104"/>
        <v>0</v>
      </c>
      <c r="Q192" s="440">
        <f t="shared" si="104"/>
        <v>0</v>
      </c>
      <c r="R192" s="440">
        <f t="shared" si="104"/>
        <v>0</v>
      </c>
      <c r="S192" s="440">
        <f t="shared" si="104"/>
        <v>0</v>
      </c>
      <c r="T192" s="440">
        <f t="shared" si="104"/>
        <v>0</v>
      </c>
      <c r="U192" s="440">
        <f t="shared" si="104"/>
        <v>0</v>
      </c>
      <c r="V192" s="440">
        <f t="shared" si="104"/>
        <v>0</v>
      </c>
      <c r="W192" s="440">
        <f t="shared" si="104"/>
        <v>0</v>
      </c>
      <c r="X192" s="440">
        <f t="shared" si="104"/>
        <v>0</v>
      </c>
      <c r="Y192" s="440">
        <f t="shared" si="104"/>
        <v>0</v>
      </c>
      <c r="Z192" s="440">
        <f t="shared" si="104"/>
        <v>0</v>
      </c>
      <c r="AA192" s="440">
        <f t="shared" si="104"/>
        <v>0</v>
      </c>
      <c r="AB192" s="440">
        <f t="shared" si="104"/>
        <v>0</v>
      </c>
      <c r="AC192" s="440">
        <f t="shared" si="104"/>
        <v>0</v>
      </c>
      <c r="AD192" s="440">
        <f t="shared" si="104"/>
        <v>0</v>
      </c>
      <c r="AE192" s="440">
        <f t="shared" si="104"/>
        <v>0</v>
      </c>
      <c r="AF192" s="440">
        <f t="shared" si="104"/>
        <v>0</v>
      </c>
      <c r="AG192" s="440">
        <f t="shared" si="104"/>
        <v>0</v>
      </c>
      <c r="AH192" s="440">
        <f t="shared" si="104"/>
        <v>0</v>
      </c>
      <c r="AI192" s="440">
        <f t="shared" si="104"/>
        <v>0</v>
      </c>
      <c r="AJ192" s="440">
        <f t="shared" si="104"/>
        <v>0</v>
      </c>
      <c r="AK192" s="440">
        <f t="shared" si="104"/>
        <v>0</v>
      </c>
    </row>
    <row r="193" spans="3:37" ht="14" thickTop="1">
      <c r="D193" s="422" t="s">
        <v>275</v>
      </c>
      <c r="E193" s="441">
        <f>E192/($E$4/10)</f>
        <v>0</v>
      </c>
    </row>
    <row r="194" spans="3:37">
      <c r="C194" s="191" t="s">
        <v>546</v>
      </c>
    </row>
    <row r="195" spans="3:37" ht="28">
      <c r="C195" s="428" t="s">
        <v>166</v>
      </c>
      <c r="D195" s="428" t="s">
        <v>88</v>
      </c>
      <c r="E195" s="428" t="s">
        <v>555</v>
      </c>
      <c r="F195" s="429" t="s">
        <v>556</v>
      </c>
      <c r="G195" s="430"/>
      <c r="H195" s="201">
        <f>H117</f>
        <v>46023</v>
      </c>
      <c r="I195" s="201">
        <f t="shared" ref="I195:AK196" si="105">I117</f>
        <v>46389</v>
      </c>
      <c r="J195" s="201">
        <f t="shared" si="105"/>
        <v>46755</v>
      </c>
      <c r="K195" s="201">
        <f t="shared" si="105"/>
        <v>47121</v>
      </c>
      <c r="L195" s="201">
        <f t="shared" si="105"/>
        <v>47487</v>
      </c>
      <c r="M195" s="201">
        <f t="shared" si="105"/>
        <v>47853</v>
      </c>
      <c r="N195" s="201">
        <f t="shared" si="105"/>
        <v>48219</v>
      </c>
      <c r="O195" s="201">
        <f t="shared" si="105"/>
        <v>48585</v>
      </c>
      <c r="P195" s="201">
        <f t="shared" si="105"/>
        <v>48951</v>
      </c>
      <c r="Q195" s="201">
        <f t="shared" si="105"/>
        <v>49317</v>
      </c>
      <c r="R195" s="201">
        <f t="shared" si="105"/>
        <v>49683</v>
      </c>
      <c r="S195" s="201">
        <f t="shared" si="105"/>
        <v>50049</v>
      </c>
      <c r="T195" s="201">
        <f t="shared" si="105"/>
        <v>50415</v>
      </c>
      <c r="U195" s="201">
        <f t="shared" si="105"/>
        <v>50781</v>
      </c>
      <c r="V195" s="201">
        <f t="shared" si="105"/>
        <v>51147</v>
      </c>
      <c r="W195" s="201">
        <f t="shared" si="105"/>
        <v>51513</v>
      </c>
      <c r="X195" s="201">
        <f t="shared" si="105"/>
        <v>51879</v>
      </c>
      <c r="Y195" s="201">
        <f t="shared" si="105"/>
        <v>52245</v>
      </c>
      <c r="Z195" s="201">
        <f t="shared" si="105"/>
        <v>52611</v>
      </c>
      <c r="AA195" s="201">
        <f t="shared" si="105"/>
        <v>52977</v>
      </c>
      <c r="AB195" s="201">
        <f t="shared" si="105"/>
        <v>53343</v>
      </c>
      <c r="AC195" s="201">
        <f t="shared" si="105"/>
        <v>53709</v>
      </c>
      <c r="AD195" s="201">
        <f t="shared" si="105"/>
        <v>54075</v>
      </c>
      <c r="AE195" s="201">
        <f t="shared" si="105"/>
        <v>0</v>
      </c>
      <c r="AF195" s="201">
        <f t="shared" si="105"/>
        <v>0</v>
      </c>
      <c r="AG195" s="201">
        <f t="shared" si="105"/>
        <v>0</v>
      </c>
      <c r="AH195" s="201">
        <f t="shared" si="105"/>
        <v>0</v>
      </c>
      <c r="AI195" s="201">
        <f t="shared" si="105"/>
        <v>0</v>
      </c>
      <c r="AJ195" s="201">
        <f t="shared" si="105"/>
        <v>0</v>
      </c>
      <c r="AK195" s="201">
        <f t="shared" si="105"/>
        <v>0</v>
      </c>
    </row>
    <row r="196" spans="3:37">
      <c r="C196" s="430"/>
      <c r="D196" s="430"/>
      <c r="E196" s="428" t="s">
        <v>134</v>
      </c>
      <c r="F196" s="428" t="s">
        <v>134</v>
      </c>
      <c r="G196" s="430"/>
      <c r="H196" s="1141">
        <f>H118</f>
        <v>-4</v>
      </c>
      <c r="I196" s="1141">
        <f t="shared" si="105"/>
        <v>-3</v>
      </c>
      <c r="J196" s="1141">
        <f t="shared" si="105"/>
        <v>-2</v>
      </c>
      <c r="K196" s="1141">
        <f t="shared" si="105"/>
        <v>-1</v>
      </c>
      <c r="L196" s="1141">
        <f t="shared" si="105"/>
        <v>1</v>
      </c>
      <c r="M196" s="1141">
        <f t="shared" si="105"/>
        <v>2</v>
      </c>
      <c r="N196" s="1141">
        <f t="shared" si="105"/>
        <v>3</v>
      </c>
      <c r="O196" s="1141">
        <f t="shared" si="105"/>
        <v>4</v>
      </c>
      <c r="P196" s="1141">
        <f t="shared" si="105"/>
        <v>5</v>
      </c>
      <c r="Q196" s="1141">
        <f t="shared" si="105"/>
        <v>6</v>
      </c>
      <c r="R196" s="1141">
        <f t="shared" si="105"/>
        <v>7</v>
      </c>
      <c r="S196" s="1141">
        <f t="shared" si="105"/>
        <v>8</v>
      </c>
      <c r="T196" s="1141">
        <f t="shared" si="105"/>
        <v>9</v>
      </c>
      <c r="U196" s="1141">
        <f t="shared" si="105"/>
        <v>10</v>
      </c>
      <c r="V196" s="1141">
        <f t="shared" si="105"/>
        <v>11</v>
      </c>
      <c r="W196" s="1141">
        <f t="shared" si="105"/>
        <v>12</v>
      </c>
      <c r="X196" s="1141">
        <f t="shared" si="105"/>
        <v>13</v>
      </c>
      <c r="Y196" s="1141">
        <f t="shared" si="105"/>
        <v>14</v>
      </c>
      <c r="Z196" s="1141">
        <f t="shared" si="105"/>
        <v>15</v>
      </c>
      <c r="AA196" s="1141">
        <f t="shared" si="105"/>
        <v>16</v>
      </c>
      <c r="AB196" s="1141">
        <f t="shared" si="105"/>
        <v>17</v>
      </c>
      <c r="AC196" s="1141">
        <f t="shared" si="105"/>
        <v>18</v>
      </c>
      <c r="AD196" s="1141">
        <f t="shared" si="105"/>
        <v>19</v>
      </c>
      <c r="AE196" s="1141">
        <f t="shared" si="105"/>
        <v>0</v>
      </c>
      <c r="AF196" s="1141">
        <f t="shared" si="105"/>
        <v>0</v>
      </c>
      <c r="AG196" s="1141">
        <f t="shared" si="105"/>
        <v>0</v>
      </c>
      <c r="AH196" s="1141">
        <f t="shared" si="105"/>
        <v>0</v>
      </c>
      <c r="AI196" s="1141">
        <f t="shared" si="105"/>
        <v>0</v>
      </c>
      <c r="AJ196" s="1141">
        <f t="shared" si="105"/>
        <v>0</v>
      </c>
      <c r="AK196" s="1141">
        <f t="shared" si="105"/>
        <v>0</v>
      </c>
    </row>
    <row r="197" spans="3:37">
      <c r="C197" s="191" t="str">
        <f>C41</f>
        <v xml:space="preserve">Pre-operative costs </v>
      </c>
    </row>
    <row r="198" spans="3:37">
      <c r="C198" s="201" cm="1">
        <f t="array" ref="C198:C227">TRANSPOSE(H195:AK195)</f>
        <v>46023</v>
      </c>
      <c r="D198" s="94" t="s">
        <v>134</v>
      </c>
      <c r="E198" s="424">
        <f>HLOOKUP($C198,$H$39:$AP$112,5,FALSE)</f>
        <v>0</v>
      </c>
      <c r="F198" s="209">
        <f>E198*$F$41</f>
        <v>0</v>
      </c>
      <c r="H198" s="424">
        <f>IF(OR(H$195&lt;$C198,H$195&lt;$H$2),0,MIN($E198-SUM($G198:G198),$F198))</f>
        <v>0</v>
      </c>
      <c r="I198" s="424">
        <f>IF(OR(I$195&lt;$C198,I$195&lt;$H$2),0,MIN($E198-SUM($G198:H198),$F198))</f>
        <v>0</v>
      </c>
      <c r="J198" s="424">
        <f>IF(OR(J$195&lt;$C198,J$195&lt;$H$2),0,MIN($E198-SUM($G198:I198),$F198))</f>
        <v>0</v>
      </c>
      <c r="K198" s="424">
        <f>IF(OR(K$195&lt;$C198,K$195&lt;$H$2),0,MIN($E198-SUM($G198:J198),$F198))</f>
        <v>0</v>
      </c>
      <c r="L198" s="424">
        <f>IF(OR(L$195&lt;$C198,L$195&lt;$H$2),0,MIN($E198-SUM($G198:K198),$F198))</f>
        <v>0</v>
      </c>
      <c r="M198" s="424">
        <f>IF(OR(M$195&lt;$C198,M$195&lt;$H$2),0,MIN($E198-SUM($G198:L198),$F198))</f>
        <v>0</v>
      </c>
      <c r="N198" s="424">
        <f>IF(OR(N$195&lt;$C198,N$195&lt;$H$2),0,MIN($E198-SUM($G198:M198),$F198))</f>
        <v>0</v>
      </c>
      <c r="O198" s="424">
        <f>IF(OR(O$195&lt;$C198,O$195&lt;$H$2),0,MIN($E198-SUM($G198:N198),$F198))</f>
        <v>0</v>
      </c>
      <c r="P198" s="424">
        <f>IF(OR(P$195&lt;$C198,P$195&lt;$H$2),0,MIN($E198-SUM($G198:O198),$F198))</f>
        <v>0</v>
      </c>
      <c r="Q198" s="424">
        <f>IF(OR(Q$195&lt;$C198,Q$195&lt;$H$2),0,MIN($E198-SUM($G198:P198),$F198))</f>
        <v>0</v>
      </c>
      <c r="R198" s="424">
        <f>IF(OR(R$195&lt;$C198,R$195&lt;$H$2),0,MIN($E198-SUM($G198:Q198),$F198))</f>
        <v>0</v>
      </c>
      <c r="S198" s="424">
        <f>IF(OR(S$195&lt;$C198,S$195&lt;$H$2),0,MIN($E198-SUM($G198:R198),$F198))</f>
        <v>0</v>
      </c>
      <c r="T198" s="424">
        <f>IF(OR(T$195&lt;$C198,T$195&lt;$H$2),0,MIN($E198-SUM($G198:S198),$F198))</f>
        <v>0</v>
      </c>
      <c r="U198" s="424">
        <f>IF(OR(U$195&lt;$C198,U$195&lt;$H$2),0,MIN($E198-SUM($G198:T198),$F198))</f>
        <v>0</v>
      </c>
      <c r="V198" s="424">
        <f>IF(OR(V$195&lt;$C198,V$195&lt;$H$2),0,MIN($E198-SUM($G198:U198),$F198))</f>
        <v>0</v>
      </c>
      <c r="W198" s="424">
        <f>IF(OR(W$195&lt;$C198,W$195&lt;$H$2),0,MIN($E198-SUM($G198:V198),$F198))</f>
        <v>0</v>
      </c>
      <c r="X198" s="424">
        <f>IF(OR(X$195&lt;$C198,X$195&lt;$H$2),0,MIN($E198-SUM($G198:W198),$F198))</f>
        <v>0</v>
      </c>
      <c r="Y198" s="424">
        <f>IF(OR(Y$195&lt;$C198,Y$195&lt;$H$2),0,MIN($E198-SUM($G198:X198),$F198))</f>
        <v>0</v>
      </c>
      <c r="Z198" s="424">
        <f>IF(OR(Z$195&lt;$C198,Z$195&lt;$H$2),0,MIN($E198-SUM($G198:Y198),$F198))</f>
        <v>0</v>
      </c>
      <c r="AA198" s="424">
        <f>IF(OR(AA$195&lt;$C198,AA$195&lt;$H$2),0,MIN($E198-SUM($G198:Z198),$F198))</f>
        <v>0</v>
      </c>
      <c r="AB198" s="424">
        <f>IF(OR(AB$195&lt;$C198,AB$195&lt;$H$2),0,MIN($E198-SUM($G198:AA198),$F198))</f>
        <v>0</v>
      </c>
      <c r="AC198" s="424">
        <f>IF(OR(AC$195&lt;$C198,AC$195&lt;$H$2),0,MIN($E198-SUM($G198:AB198),$F198))</f>
        <v>0</v>
      </c>
      <c r="AD198" s="424">
        <f>IF(OR(AD$195&lt;$C198,AD$195&lt;$H$2),0,MIN($E198-SUM($G198:AC198),$F198))</f>
        <v>0</v>
      </c>
      <c r="AE198" s="424">
        <f>IF(OR(AE$195&lt;$C198,AE$195&lt;$H$2),0,MIN($E198-SUM($G198:AD198),$F198))</f>
        <v>0</v>
      </c>
      <c r="AF198" s="424">
        <f>IF(OR(AF$195&lt;$C198,AF$195&lt;$H$2),0,MIN($E198-SUM($G198:AE198),$F198))</f>
        <v>0</v>
      </c>
      <c r="AG198" s="424">
        <f>IF(OR(AG$195&lt;$C198,AG$195&lt;$H$2),0,MIN($E198-SUM($G198:AF198),$F198))</f>
        <v>0</v>
      </c>
      <c r="AH198" s="424">
        <f>IF(OR(AH$195&lt;$C198,AH$195&lt;$H$2),0,MIN($E198-SUM($G198:AG198),$F198))</f>
        <v>0</v>
      </c>
      <c r="AI198" s="424">
        <f>IF(OR(AI$195&lt;$C198,AI$195&lt;$H$2),0,MIN($E198-SUM($G198:AH198),$F198))</f>
        <v>0</v>
      </c>
      <c r="AJ198" s="424">
        <f>IF(OR(AJ$195&lt;$C198,AJ$195&lt;$H$2),0,MIN($E198-SUM($G198:AI198),$F198))</f>
        <v>0</v>
      </c>
      <c r="AK198" s="424">
        <f>IF(OR(AK$195&lt;$C198,AK$195&lt;$H$2),0,MIN($E198-SUM($G198:AJ198),$F198))</f>
        <v>0</v>
      </c>
    </row>
    <row r="199" spans="3:37">
      <c r="C199" s="201">
        <v>46389</v>
      </c>
      <c r="D199" s="94" t="s">
        <v>134</v>
      </c>
      <c r="E199" s="424">
        <f t="shared" ref="E199:E227" si="106">HLOOKUP($C199,$H$39:$AP$112,5,FALSE)</f>
        <v>0</v>
      </c>
      <c r="F199" s="209">
        <f t="shared" ref="F199:F227" si="107">E199*$F$41</f>
        <v>0</v>
      </c>
      <c r="H199" s="424">
        <f>IF(OR(H$195&lt;$C199,H$195&lt;$H$2),0,MIN($E199-SUM($G199:G199),$F199))</f>
        <v>0</v>
      </c>
      <c r="I199" s="424">
        <f>IF(OR(I$195&lt;$C199,I$195&lt;$H$2),0,MIN($E199-SUM($G199:H199),$F199))</f>
        <v>0</v>
      </c>
      <c r="J199" s="424">
        <f>IF(OR(J$195&lt;$C199,J$195&lt;$H$2),0,MIN($E199-SUM($G199:I199),$F199))</f>
        <v>0</v>
      </c>
      <c r="K199" s="424">
        <f>IF(OR(K$195&lt;$C199,K$195&lt;$H$2),0,MIN($E199-SUM($G199:J199),$F199))</f>
        <v>0</v>
      </c>
      <c r="L199" s="424">
        <f>IF(OR(L$195&lt;$C199,L$195&lt;$H$2),0,MIN($E199-SUM($G199:K199),$F199))</f>
        <v>0</v>
      </c>
      <c r="M199" s="424">
        <f>IF(OR(M$195&lt;$C199,M$195&lt;$H$2),0,MIN($E199-SUM($G199:L199),$F199))</f>
        <v>0</v>
      </c>
      <c r="N199" s="424">
        <f>IF(OR(N$195&lt;$C199,N$195&lt;$H$2),0,MIN($E199-SUM($G199:M199),$F199))</f>
        <v>0</v>
      </c>
      <c r="O199" s="424">
        <f>IF(OR(O$195&lt;$C199,O$195&lt;$H$2),0,MIN($E199-SUM($G199:N199),$F199))</f>
        <v>0</v>
      </c>
      <c r="P199" s="424">
        <f>IF(OR(P$195&lt;$C199,P$195&lt;$H$2),0,MIN($E199-SUM($G199:O199),$F199))</f>
        <v>0</v>
      </c>
      <c r="Q199" s="424">
        <f>IF(OR(Q$195&lt;$C199,Q$195&lt;$H$2),0,MIN($E199-SUM($G199:P199),$F199))</f>
        <v>0</v>
      </c>
      <c r="R199" s="424">
        <f>IF(OR(R$195&lt;$C199,R$195&lt;$H$2),0,MIN($E199-SUM($G199:Q199),$F199))</f>
        <v>0</v>
      </c>
      <c r="S199" s="424">
        <f>IF(OR(S$195&lt;$C199,S$195&lt;$H$2),0,MIN($E199-SUM($G199:R199),$F199))</f>
        <v>0</v>
      </c>
      <c r="T199" s="424">
        <f>IF(OR(T$195&lt;$C199,T$195&lt;$H$2),0,MIN($E199-SUM($G199:S199),$F199))</f>
        <v>0</v>
      </c>
      <c r="U199" s="424">
        <f>IF(OR(U$195&lt;$C199,U$195&lt;$H$2),0,MIN($E199-SUM($G199:T199),$F199))</f>
        <v>0</v>
      </c>
      <c r="V199" s="424">
        <f>IF(OR(V$195&lt;$C199,V$195&lt;$H$2),0,MIN($E199-SUM($G199:U199),$F199))</f>
        <v>0</v>
      </c>
      <c r="W199" s="424">
        <f>IF(OR(W$195&lt;$C199,W$195&lt;$H$2),0,MIN($E199-SUM($G199:V199),$F199))</f>
        <v>0</v>
      </c>
      <c r="X199" s="424">
        <f>IF(OR(X$195&lt;$C199,X$195&lt;$H$2),0,MIN($E199-SUM($G199:W199),$F199))</f>
        <v>0</v>
      </c>
      <c r="Y199" s="424">
        <f>IF(OR(Y$195&lt;$C199,Y$195&lt;$H$2),0,MIN($E199-SUM($G199:X199),$F199))</f>
        <v>0</v>
      </c>
      <c r="Z199" s="424">
        <f>IF(OR(Z$195&lt;$C199,Z$195&lt;$H$2),0,MIN($E199-SUM($G199:Y199),$F199))</f>
        <v>0</v>
      </c>
      <c r="AA199" s="424">
        <f>IF(OR(AA$195&lt;$C199,AA$195&lt;$H$2),0,MIN($E199-SUM($G199:Z199),$F199))</f>
        <v>0</v>
      </c>
      <c r="AB199" s="424">
        <f>IF(OR(AB$195&lt;$C199,AB$195&lt;$H$2),0,MIN($E199-SUM($G199:AA199),$F199))</f>
        <v>0</v>
      </c>
      <c r="AC199" s="424">
        <f>IF(OR(AC$195&lt;$C199,AC$195&lt;$H$2),0,MIN($E199-SUM($G199:AB199),$F199))</f>
        <v>0</v>
      </c>
      <c r="AD199" s="424">
        <f>IF(OR(AD$195&lt;$C199,AD$195&lt;$H$2),0,MIN($E199-SUM($G199:AC199),$F199))</f>
        <v>0</v>
      </c>
      <c r="AE199" s="424">
        <f>IF(OR(AE$195&lt;$C199,AE$195&lt;$H$2),0,MIN($E199-SUM($G199:AD199),$F199))</f>
        <v>0</v>
      </c>
      <c r="AF199" s="424">
        <f>IF(OR(AF$195&lt;$C199,AF$195&lt;$H$2),0,MIN($E199-SUM($G199:AE199),$F199))</f>
        <v>0</v>
      </c>
      <c r="AG199" s="424">
        <f>IF(OR(AG$195&lt;$C199,AG$195&lt;$H$2),0,MIN($E199-SUM($G199:AF199),$F199))</f>
        <v>0</v>
      </c>
      <c r="AH199" s="424">
        <f>IF(OR(AH$195&lt;$C199,AH$195&lt;$H$2),0,MIN($E199-SUM($G199:AG199),$F199))</f>
        <v>0</v>
      </c>
      <c r="AI199" s="424">
        <f>IF(OR(AI$195&lt;$C199,AI$195&lt;$H$2),0,MIN($E199-SUM($G199:AH199),$F199))</f>
        <v>0</v>
      </c>
      <c r="AJ199" s="424">
        <f>IF(OR(AJ$195&lt;$C199,AJ$195&lt;$H$2),0,MIN($E199-SUM($G199:AI199),$F199))</f>
        <v>0</v>
      </c>
      <c r="AK199" s="424">
        <f>IF(OR(AK$195&lt;$C199,AK$195&lt;$H$2),0,MIN($E199-SUM($G199:AJ199),$F199))</f>
        <v>0</v>
      </c>
    </row>
    <row r="200" spans="3:37">
      <c r="C200" s="201">
        <v>46755</v>
      </c>
      <c r="D200" s="94" t="s">
        <v>134</v>
      </c>
      <c r="E200" s="424">
        <f t="shared" si="106"/>
        <v>0</v>
      </c>
      <c r="F200" s="209">
        <f t="shared" si="107"/>
        <v>0</v>
      </c>
      <c r="H200" s="424">
        <f>IF(OR(H$195&lt;$C200,H$195&lt;$H$2),0,MIN($E200-SUM($G200:G200),$F200))</f>
        <v>0</v>
      </c>
      <c r="I200" s="424">
        <f>IF(OR(I$195&lt;$C200,I$195&lt;$H$2),0,MIN($E200-SUM($G200:H200),$F200))</f>
        <v>0</v>
      </c>
      <c r="J200" s="424">
        <f>IF(OR(J$195&lt;$C200,J$195&lt;$H$2),0,MIN($E200-SUM($G200:I200),$F200))</f>
        <v>0</v>
      </c>
      <c r="K200" s="424">
        <f>IF(OR(K$195&lt;$C200,K$195&lt;$H$2),0,MIN($E200-SUM($G200:J200),$F200))</f>
        <v>0</v>
      </c>
      <c r="L200" s="424">
        <f>IF(OR(L$195&lt;$C200,L$195&lt;$H$2),0,MIN($E200-SUM($G200:K200),$F200))</f>
        <v>0</v>
      </c>
      <c r="M200" s="424">
        <f>IF(OR(M$195&lt;$C200,M$195&lt;$H$2),0,MIN($E200-SUM($G200:L200),$F200))</f>
        <v>0</v>
      </c>
      <c r="N200" s="424">
        <f>IF(OR(N$195&lt;$C200,N$195&lt;$H$2),0,MIN($E200-SUM($G200:M200),$F200))</f>
        <v>0</v>
      </c>
      <c r="O200" s="424">
        <f>IF(OR(O$195&lt;$C200,O$195&lt;$H$2),0,MIN($E200-SUM($G200:N200),$F200))</f>
        <v>0</v>
      </c>
      <c r="P200" s="424">
        <f>IF(OR(P$195&lt;$C200,P$195&lt;$H$2),0,MIN($E200-SUM($G200:O200),$F200))</f>
        <v>0</v>
      </c>
      <c r="Q200" s="424">
        <f>IF(OR(Q$195&lt;$C200,Q$195&lt;$H$2),0,MIN($E200-SUM($G200:P200),$F200))</f>
        <v>0</v>
      </c>
      <c r="R200" s="424">
        <f>IF(OR(R$195&lt;$C200,R$195&lt;$H$2),0,MIN($E200-SUM($G200:Q200),$F200))</f>
        <v>0</v>
      </c>
      <c r="S200" s="424">
        <f>IF(OR(S$195&lt;$C200,S$195&lt;$H$2),0,MIN($E200-SUM($G200:R200),$F200))</f>
        <v>0</v>
      </c>
      <c r="T200" s="424">
        <f>IF(OR(T$195&lt;$C200,T$195&lt;$H$2),0,MIN($E200-SUM($G200:S200),$F200))</f>
        <v>0</v>
      </c>
      <c r="U200" s="424">
        <f>IF(OR(U$195&lt;$C200,U$195&lt;$H$2),0,MIN($E200-SUM($G200:T200),$F200))</f>
        <v>0</v>
      </c>
      <c r="V200" s="424">
        <f>IF(OR(V$195&lt;$C200,V$195&lt;$H$2),0,MIN($E200-SUM($G200:U200),$F200))</f>
        <v>0</v>
      </c>
      <c r="W200" s="424">
        <f>IF(OR(W$195&lt;$C200,W$195&lt;$H$2),0,MIN($E200-SUM($G200:V200),$F200))</f>
        <v>0</v>
      </c>
      <c r="X200" s="424">
        <f>IF(OR(X$195&lt;$C200,X$195&lt;$H$2),0,MIN($E200-SUM($G200:W200),$F200))</f>
        <v>0</v>
      </c>
      <c r="Y200" s="424">
        <f>IF(OR(Y$195&lt;$C200,Y$195&lt;$H$2),0,MIN($E200-SUM($G200:X200),$F200))</f>
        <v>0</v>
      </c>
      <c r="Z200" s="424">
        <f>IF(OR(Z$195&lt;$C200,Z$195&lt;$H$2),0,MIN($E200-SUM($G200:Y200),$F200))</f>
        <v>0</v>
      </c>
      <c r="AA200" s="424">
        <f>IF(OR(AA$195&lt;$C200,AA$195&lt;$H$2),0,MIN($E200-SUM($G200:Z200),$F200))</f>
        <v>0</v>
      </c>
      <c r="AB200" s="424">
        <f>IF(OR(AB$195&lt;$C200,AB$195&lt;$H$2),0,MIN($E200-SUM($G200:AA200),$F200))</f>
        <v>0</v>
      </c>
      <c r="AC200" s="424">
        <f>IF(OR(AC$195&lt;$C200,AC$195&lt;$H$2),0,MIN($E200-SUM($G200:AB200),$F200))</f>
        <v>0</v>
      </c>
      <c r="AD200" s="424">
        <f>IF(OR(AD$195&lt;$C200,AD$195&lt;$H$2),0,MIN($E200-SUM($G200:AC200),$F200))</f>
        <v>0</v>
      </c>
      <c r="AE200" s="424">
        <f>IF(OR(AE$195&lt;$C200,AE$195&lt;$H$2),0,MIN($E200-SUM($G200:AD200),$F200))</f>
        <v>0</v>
      </c>
      <c r="AF200" s="424">
        <f>IF(OR(AF$195&lt;$C200,AF$195&lt;$H$2),0,MIN($E200-SUM($G200:AE200),$F200))</f>
        <v>0</v>
      </c>
      <c r="AG200" s="424">
        <f>IF(OR(AG$195&lt;$C200,AG$195&lt;$H$2),0,MIN($E200-SUM($G200:AF200),$F200))</f>
        <v>0</v>
      </c>
      <c r="AH200" s="424">
        <f>IF(OR(AH$195&lt;$C200,AH$195&lt;$H$2),0,MIN($E200-SUM($G200:AG200),$F200))</f>
        <v>0</v>
      </c>
      <c r="AI200" s="424">
        <f>IF(OR(AI$195&lt;$C200,AI$195&lt;$H$2),0,MIN($E200-SUM($G200:AH200),$F200))</f>
        <v>0</v>
      </c>
      <c r="AJ200" s="424">
        <f>IF(OR(AJ$195&lt;$C200,AJ$195&lt;$H$2),0,MIN($E200-SUM($G200:AI200),$F200))</f>
        <v>0</v>
      </c>
      <c r="AK200" s="424">
        <f>IF(OR(AK$195&lt;$C200,AK$195&lt;$H$2),0,MIN($E200-SUM($G200:AJ200),$F200))</f>
        <v>0</v>
      </c>
    </row>
    <row r="201" spans="3:37">
      <c r="C201" s="201">
        <v>47121</v>
      </c>
      <c r="D201" s="94" t="s">
        <v>134</v>
      </c>
      <c r="E201" s="424">
        <f t="shared" si="106"/>
        <v>0</v>
      </c>
      <c r="F201" s="209">
        <f t="shared" si="107"/>
        <v>0</v>
      </c>
      <c r="H201" s="424">
        <f>IF(OR(H$195&lt;$C201,H$195&lt;$H$2),0,MIN($E201-SUM($G201:G201),$F201))</f>
        <v>0</v>
      </c>
      <c r="I201" s="424">
        <f>IF(OR(I$195&lt;$C201,I$195&lt;$H$2),0,MIN($E201-SUM($G201:H201),$F201))</f>
        <v>0</v>
      </c>
      <c r="J201" s="424">
        <f>IF(OR(J$195&lt;$C201,J$195&lt;$H$2),0,MIN($E201-SUM($G201:I201),$F201))</f>
        <v>0</v>
      </c>
      <c r="K201" s="424">
        <f>IF(OR(K$195&lt;$C201,K$195&lt;$H$2),0,MIN($E201-SUM($G201:J201),$F201))</f>
        <v>0</v>
      </c>
      <c r="L201" s="424">
        <f>IF(OR(L$195&lt;$C201,L$195&lt;$H$2),0,MIN($E201-SUM($G201:K201),$F201))</f>
        <v>0</v>
      </c>
      <c r="M201" s="424">
        <f>IF(OR(M$195&lt;$C201,M$195&lt;$H$2),0,MIN($E201-SUM($G201:L201),$F201))</f>
        <v>0</v>
      </c>
      <c r="N201" s="424">
        <f>IF(OR(N$195&lt;$C201,N$195&lt;$H$2),0,MIN($E201-SUM($G201:M201),$F201))</f>
        <v>0</v>
      </c>
      <c r="O201" s="424">
        <f>IF(OR(O$195&lt;$C201,O$195&lt;$H$2),0,MIN($E201-SUM($G201:N201),$F201))</f>
        <v>0</v>
      </c>
      <c r="P201" s="424">
        <f>IF(OR(P$195&lt;$C201,P$195&lt;$H$2),0,MIN($E201-SUM($G201:O201),$F201))</f>
        <v>0</v>
      </c>
      <c r="Q201" s="424">
        <f>IF(OR(Q$195&lt;$C201,Q$195&lt;$H$2),0,MIN($E201-SUM($G201:P201),$F201))</f>
        <v>0</v>
      </c>
      <c r="R201" s="424">
        <f>IF(OR(R$195&lt;$C201,R$195&lt;$H$2),0,MIN($E201-SUM($G201:Q201),$F201))</f>
        <v>0</v>
      </c>
      <c r="S201" s="424">
        <f>IF(OR(S$195&lt;$C201,S$195&lt;$H$2),0,MIN($E201-SUM($G201:R201),$F201))</f>
        <v>0</v>
      </c>
      <c r="T201" s="424">
        <f>IF(OR(T$195&lt;$C201,T$195&lt;$H$2),0,MIN($E201-SUM($G201:S201),$F201))</f>
        <v>0</v>
      </c>
      <c r="U201" s="424">
        <f>IF(OR(U$195&lt;$C201,U$195&lt;$H$2),0,MIN($E201-SUM($G201:T201),$F201))</f>
        <v>0</v>
      </c>
      <c r="V201" s="424">
        <f>IF(OR(V$195&lt;$C201,V$195&lt;$H$2),0,MIN($E201-SUM($G201:U201),$F201))</f>
        <v>0</v>
      </c>
      <c r="W201" s="424">
        <f>IF(OR(W$195&lt;$C201,W$195&lt;$H$2),0,MIN($E201-SUM($G201:V201),$F201))</f>
        <v>0</v>
      </c>
      <c r="X201" s="424">
        <f>IF(OR(X$195&lt;$C201,X$195&lt;$H$2),0,MIN($E201-SUM($G201:W201),$F201))</f>
        <v>0</v>
      </c>
      <c r="Y201" s="424">
        <f>IF(OR(Y$195&lt;$C201,Y$195&lt;$H$2),0,MIN($E201-SUM($G201:X201),$F201))</f>
        <v>0</v>
      </c>
      <c r="Z201" s="424">
        <f>IF(OR(Z$195&lt;$C201,Z$195&lt;$H$2),0,MIN($E201-SUM($G201:Y201),$F201))</f>
        <v>0</v>
      </c>
      <c r="AA201" s="424">
        <f>IF(OR(AA$195&lt;$C201,AA$195&lt;$H$2),0,MIN($E201-SUM($G201:Z201),$F201))</f>
        <v>0</v>
      </c>
      <c r="AB201" s="424">
        <f>IF(OR(AB$195&lt;$C201,AB$195&lt;$H$2),0,MIN($E201-SUM($G201:AA201),$F201))</f>
        <v>0</v>
      </c>
      <c r="AC201" s="424">
        <f>IF(OR(AC$195&lt;$C201,AC$195&lt;$H$2),0,MIN($E201-SUM($G201:AB201),$F201))</f>
        <v>0</v>
      </c>
      <c r="AD201" s="424">
        <f>IF(OR(AD$195&lt;$C201,AD$195&lt;$H$2),0,MIN($E201-SUM($G201:AC201),$F201))</f>
        <v>0</v>
      </c>
      <c r="AE201" s="424">
        <f>IF(OR(AE$195&lt;$C201,AE$195&lt;$H$2),0,MIN($E201-SUM($G201:AD201),$F201))</f>
        <v>0</v>
      </c>
      <c r="AF201" s="424">
        <f>IF(OR(AF$195&lt;$C201,AF$195&lt;$H$2),0,MIN($E201-SUM($G201:AE201),$F201))</f>
        <v>0</v>
      </c>
      <c r="AG201" s="424">
        <f>IF(OR(AG$195&lt;$C201,AG$195&lt;$H$2),0,MIN($E201-SUM($G201:AF201),$F201))</f>
        <v>0</v>
      </c>
      <c r="AH201" s="424">
        <f>IF(OR(AH$195&lt;$C201,AH$195&lt;$H$2),0,MIN($E201-SUM($G201:AG201),$F201))</f>
        <v>0</v>
      </c>
      <c r="AI201" s="424">
        <f>IF(OR(AI$195&lt;$C201,AI$195&lt;$H$2),0,MIN($E201-SUM($G201:AH201),$F201))</f>
        <v>0</v>
      </c>
      <c r="AJ201" s="424">
        <f>IF(OR(AJ$195&lt;$C201,AJ$195&lt;$H$2),0,MIN($E201-SUM($G201:AI201),$F201))</f>
        <v>0</v>
      </c>
      <c r="AK201" s="424">
        <f>IF(OR(AK$195&lt;$C201,AK$195&lt;$H$2),0,MIN($E201-SUM($G201:AJ201),$F201))</f>
        <v>0</v>
      </c>
    </row>
    <row r="202" spans="3:37">
      <c r="C202" s="201">
        <v>47487</v>
      </c>
      <c r="D202" s="94" t="s">
        <v>134</v>
      </c>
      <c r="E202" s="424">
        <f t="shared" si="106"/>
        <v>0</v>
      </c>
      <c r="F202" s="209">
        <f t="shared" si="107"/>
        <v>0</v>
      </c>
      <c r="H202" s="424">
        <f>IF(OR(H$195&lt;$C202,H$195&lt;$H$2),0,MIN($E202-SUM($G202:G202),$F202))</f>
        <v>0</v>
      </c>
      <c r="I202" s="424">
        <f>IF(OR(I$195&lt;$C202,I$195&lt;$H$2),0,MIN($E202-SUM($G202:H202),$F202))</f>
        <v>0</v>
      </c>
      <c r="J202" s="424">
        <f>IF(OR(J$195&lt;$C202,J$195&lt;$H$2),0,MIN($E202-SUM($G202:I202),$F202))</f>
        <v>0</v>
      </c>
      <c r="K202" s="424">
        <f>IF(OR(K$195&lt;$C202,K$195&lt;$H$2),0,MIN($E202-SUM($G202:J202),$F202))</f>
        <v>0</v>
      </c>
      <c r="L202" s="424">
        <f>IF(OR(L$195&lt;$C202,L$195&lt;$H$2),0,MIN($E202-SUM($G202:K202),$F202))</f>
        <v>0</v>
      </c>
      <c r="M202" s="424">
        <f>IF(OR(M$195&lt;$C202,M$195&lt;$H$2),0,MIN($E202-SUM($G202:L202),$F202))</f>
        <v>0</v>
      </c>
      <c r="N202" s="424">
        <f>IF(OR(N$195&lt;$C202,N$195&lt;$H$2),0,MIN($E202-SUM($G202:M202),$F202))</f>
        <v>0</v>
      </c>
      <c r="O202" s="424">
        <f>IF(OR(O$195&lt;$C202,O$195&lt;$H$2),0,MIN($E202-SUM($G202:N202),$F202))</f>
        <v>0</v>
      </c>
      <c r="P202" s="424">
        <f>IF(OR(P$195&lt;$C202,P$195&lt;$H$2),0,MIN($E202-SUM($G202:O202),$F202))</f>
        <v>0</v>
      </c>
      <c r="Q202" s="424">
        <f>IF(OR(Q$195&lt;$C202,Q$195&lt;$H$2),0,MIN($E202-SUM($G202:P202),$F202))</f>
        <v>0</v>
      </c>
      <c r="R202" s="424">
        <f>IF(OR(R$195&lt;$C202,R$195&lt;$H$2),0,MIN($E202-SUM($G202:Q202),$F202))</f>
        <v>0</v>
      </c>
      <c r="S202" s="424">
        <f>IF(OR(S$195&lt;$C202,S$195&lt;$H$2),0,MIN($E202-SUM($G202:R202),$F202))</f>
        <v>0</v>
      </c>
      <c r="T202" s="424">
        <f>IF(OR(T$195&lt;$C202,T$195&lt;$H$2),0,MIN($E202-SUM($G202:S202),$F202))</f>
        <v>0</v>
      </c>
      <c r="U202" s="424">
        <f>IF(OR(U$195&lt;$C202,U$195&lt;$H$2),0,MIN($E202-SUM($G202:T202),$F202))</f>
        <v>0</v>
      </c>
      <c r="V202" s="424">
        <f>IF(OR(V$195&lt;$C202,V$195&lt;$H$2),0,MIN($E202-SUM($G202:U202),$F202))</f>
        <v>0</v>
      </c>
      <c r="W202" s="424">
        <f>IF(OR(W$195&lt;$C202,W$195&lt;$H$2),0,MIN($E202-SUM($G202:V202),$F202))</f>
        <v>0</v>
      </c>
      <c r="X202" s="424">
        <f>IF(OR(X$195&lt;$C202,X$195&lt;$H$2),0,MIN($E202-SUM($G202:W202),$F202))</f>
        <v>0</v>
      </c>
      <c r="Y202" s="424">
        <f>IF(OR(Y$195&lt;$C202,Y$195&lt;$H$2),0,MIN($E202-SUM($G202:X202),$F202))</f>
        <v>0</v>
      </c>
      <c r="Z202" s="424">
        <f>IF(OR(Z$195&lt;$C202,Z$195&lt;$H$2),0,MIN($E202-SUM($G202:Y202),$F202))</f>
        <v>0</v>
      </c>
      <c r="AA202" s="424">
        <f>IF(OR(AA$195&lt;$C202,AA$195&lt;$H$2),0,MIN($E202-SUM($G202:Z202),$F202))</f>
        <v>0</v>
      </c>
      <c r="AB202" s="424">
        <f>IF(OR(AB$195&lt;$C202,AB$195&lt;$H$2),0,MIN($E202-SUM($G202:AA202),$F202))</f>
        <v>0</v>
      </c>
      <c r="AC202" s="424">
        <f>IF(OR(AC$195&lt;$C202,AC$195&lt;$H$2),0,MIN($E202-SUM($G202:AB202),$F202))</f>
        <v>0</v>
      </c>
      <c r="AD202" s="424">
        <f>IF(OR(AD$195&lt;$C202,AD$195&lt;$H$2),0,MIN($E202-SUM($G202:AC202),$F202))</f>
        <v>0</v>
      </c>
      <c r="AE202" s="424">
        <f>IF(OR(AE$195&lt;$C202,AE$195&lt;$H$2),0,MIN($E202-SUM($G202:AD202),$F202))</f>
        <v>0</v>
      </c>
      <c r="AF202" s="424">
        <f>IF(OR(AF$195&lt;$C202,AF$195&lt;$H$2),0,MIN($E202-SUM($G202:AE202),$F202))</f>
        <v>0</v>
      </c>
      <c r="AG202" s="424">
        <f>IF(OR(AG$195&lt;$C202,AG$195&lt;$H$2),0,MIN($E202-SUM($G202:AF202),$F202))</f>
        <v>0</v>
      </c>
      <c r="AH202" s="424">
        <f>IF(OR(AH$195&lt;$C202,AH$195&lt;$H$2),0,MIN($E202-SUM($G202:AG202),$F202))</f>
        <v>0</v>
      </c>
      <c r="AI202" s="424">
        <f>IF(OR(AI$195&lt;$C202,AI$195&lt;$H$2),0,MIN($E202-SUM($G202:AH202),$F202))</f>
        <v>0</v>
      </c>
      <c r="AJ202" s="424">
        <f>IF(OR(AJ$195&lt;$C202,AJ$195&lt;$H$2),0,MIN($E202-SUM($G202:AI202),$F202))</f>
        <v>0</v>
      </c>
      <c r="AK202" s="424">
        <f>IF(OR(AK$195&lt;$C202,AK$195&lt;$H$2),0,MIN($E202-SUM($G202:AJ202),$F202))</f>
        <v>0</v>
      </c>
    </row>
    <row r="203" spans="3:37">
      <c r="C203" s="201">
        <v>47853</v>
      </c>
      <c r="D203" s="94" t="s">
        <v>134</v>
      </c>
      <c r="E203" s="424">
        <f t="shared" si="106"/>
        <v>0</v>
      </c>
      <c r="F203" s="209">
        <f t="shared" si="107"/>
        <v>0</v>
      </c>
      <c r="H203" s="424">
        <f>IF(OR(H$195&lt;$C203,H$195&lt;$H$2),0,MIN($E203-SUM($G203:G203),$F203))</f>
        <v>0</v>
      </c>
      <c r="I203" s="424">
        <f>IF(OR(I$195&lt;$C203,I$195&lt;$H$2),0,MIN($E203-SUM($G203:H203),$F203))</f>
        <v>0</v>
      </c>
      <c r="J203" s="424">
        <f>IF(OR(J$195&lt;$C203,J$195&lt;$H$2),0,MIN($E203-SUM($G203:I203),$F203))</f>
        <v>0</v>
      </c>
      <c r="K203" s="424">
        <f>IF(OR(K$195&lt;$C203,K$195&lt;$H$2),0,MIN($E203-SUM($G203:J203),$F203))</f>
        <v>0</v>
      </c>
      <c r="L203" s="424">
        <f>IF(OR(L$195&lt;$C203,L$195&lt;$H$2),0,MIN($E203-SUM($G203:K203),$F203))</f>
        <v>0</v>
      </c>
      <c r="M203" s="424">
        <f>IF(OR(M$195&lt;$C203,M$195&lt;$H$2),0,MIN($E203-SUM($G203:L203),$F203))</f>
        <v>0</v>
      </c>
      <c r="N203" s="424">
        <f>IF(OR(N$195&lt;$C203,N$195&lt;$H$2),0,MIN($E203-SUM($G203:M203),$F203))</f>
        <v>0</v>
      </c>
      <c r="O203" s="424">
        <f>IF(OR(O$195&lt;$C203,O$195&lt;$H$2),0,MIN($E203-SUM($G203:N203),$F203))</f>
        <v>0</v>
      </c>
      <c r="P203" s="424">
        <f>IF(OR(P$195&lt;$C203,P$195&lt;$H$2),0,MIN($E203-SUM($G203:O203),$F203))</f>
        <v>0</v>
      </c>
      <c r="Q203" s="424">
        <f>IF(OR(Q$195&lt;$C203,Q$195&lt;$H$2),0,MIN($E203-SUM($G203:P203),$F203))</f>
        <v>0</v>
      </c>
      <c r="R203" s="424">
        <f>IF(OR(R$195&lt;$C203,R$195&lt;$H$2),0,MIN($E203-SUM($G203:Q203),$F203))</f>
        <v>0</v>
      </c>
      <c r="S203" s="424">
        <f>IF(OR(S$195&lt;$C203,S$195&lt;$H$2),0,MIN($E203-SUM($G203:R203),$F203))</f>
        <v>0</v>
      </c>
      <c r="T203" s="424">
        <f>IF(OR(T$195&lt;$C203,T$195&lt;$H$2),0,MIN($E203-SUM($G203:S203),$F203))</f>
        <v>0</v>
      </c>
      <c r="U203" s="424">
        <f>IF(OR(U$195&lt;$C203,U$195&lt;$H$2),0,MIN($E203-SUM($G203:T203),$F203))</f>
        <v>0</v>
      </c>
      <c r="V203" s="424">
        <f>IF(OR(V$195&lt;$C203,V$195&lt;$H$2),0,MIN($E203-SUM($G203:U203),$F203))</f>
        <v>0</v>
      </c>
      <c r="W203" s="424">
        <f>IF(OR(W$195&lt;$C203,W$195&lt;$H$2),0,MIN($E203-SUM($G203:V203),$F203))</f>
        <v>0</v>
      </c>
      <c r="X203" s="424">
        <f>IF(OR(X$195&lt;$C203,X$195&lt;$H$2),0,MIN($E203-SUM($G203:W203),$F203))</f>
        <v>0</v>
      </c>
      <c r="Y203" s="424">
        <f>IF(OR(Y$195&lt;$C203,Y$195&lt;$H$2),0,MIN($E203-SUM($G203:X203),$F203))</f>
        <v>0</v>
      </c>
      <c r="Z203" s="424">
        <f>IF(OR(Z$195&lt;$C203,Z$195&lt;$H$2),0,MIN($E203-SUM($G203:Y203),$F203))</f>
        <v>0</v>
      </c>
      <c r="AA203" s="424">
        <f>IF(OR(AA$195&lt;$C203,AA$195&lt;$H$2),0,MIN($E203-SUM($G203:Z203),$F203))</f>
        <v>0</v>
      </c>
      <c r="AB203" s="424">
        <f>IF(OR(AB$195&lt;$C203,AB$195&lt;$H$2),0,MIN($E203-SUM($G203:AA203),$F203))</f>
        <v>0</v>
      </c>
      <c r="AC203" s="424">
        <f>IF(OR(AC$195&lt;$C203,AC$195&lt;$H$2),0,MIN($E203-SUM($G203:AB203),$F203))</f>
        <v>0</v>
      </c>
      <c r="AD203" s="424">
        <f>IF(OR(AD$195&lt;$C203,AD$195&lt;$H$2),0,MIN($E203-SUM($G203:AC203),$F203))</f>
        <v>0</v>
      </c>
      <c r="AE203" s="424">
        <f>IF(OR(AE$195&lt;$C203,AE$195&lt;$H$2),0,MIN($E203-SUM($G203:AD203),$F203))</f>
        <v>0</v>
      </c>
      <c r="AF203" s="424">
        <f>IF(OR(AF$195&lt;$C203,AF$195&lt;$H$2),0,MIN($E203-SUM($G203:AE203),$F203))</f>
        <v>0</v>
      </c>
      <c r="AG203" s="424">
        <f>IF(OR(AG$195&lt;$C203,AG$195&lt;$H$2),0,MIN($E203-SUM($G203:AF203),$F203))</f>
        <v>0</v>
      </c>
      <c r="AH203" s="424">
        <f>IF(OR(AH$195&lt;$C203,AH$195&lt;$H$2),0,MIN($E203-SUM($G203:AG203),$F203))</f>
        <v>0</v>
      </c>
      <c r="AI203" s="424">
        <f>IF(OR(AI$195&lt;$C203,AI$195&lt;$H$2),0,MIN($E203-SUM($G203:AH203),$F203))</f>
        <v>0</v>
      </c>
      <c r="AJ203" s="424">
        <f>IF(OR(AJ$195&lt;$C203,AJ$195&lt;$H$2),0,MIN($E203-SUM($G203:AI203),$F203))</f>
        <v>0</v>
      </c>
      <c r="AK203" s="424">
        <f>IF(OR(AK$195&lt;$C203,AK$195&lt;$H$2),0,MIN($E203-SUM($G203:AJ203),$F203))</f>
        <v>0</v>
      </c>
    </row>
    <row r="204" spans="3:37">
      <c r="C204" s="201">
        <v>48219</v>
      </c>
      <c r="D204" s="94" t="s">
        <v>134</v>
      </c>
      <c r="E204" s="424">
        <f t="shared" si="106"/>
        <v>0</v>
      </c>
      <c r="F204" s="209">
        <f t="shared" si="107"/>
        <v>0</v>
      </c>
      <c r="H204" s="424">
        <f>IF(OR(H$195&lt;$C204,H$195&lt;$H$2),0,MIN($E204-SUM($G204:G204),$F204))</f>
        <v>0</v>
      </c>
      <c r="I204" s="424">
        <f>IF(OR(I$195&lt;$C204,I$195&lt;$H$2),0,MIN($E204-SUM($G204:H204),$F204))</f>
        <v>0</v>
      </c>
      <c r="J204" s="424">
        <f>IF(OR(J$195&lt;$C204,J$195&lt;$H$2),0,MIN($E204-SUM($G204:I204),$F204))</f>
        <v>0</v>
      </c>
      <c r="K204" s="424">
        <f>IF(OR(K$195&lt;$C204,K$195&lt;$H$2),0,MIN($E204-SUM($G204:J204),$F204))</f>
        <v>0</v>
      </c>
      <c r="L204" s="424">
        <f>IF(OR(L$195&lt;$C204,L$195&lt;$H$2),0,MIN($E204-SUM($G204:K204),$F204))</f>
        <v>0</v>
      </c>
      <c r="M204" s="424">
        <f>IF(OR(M$195&lt;$C204,M$195&lt;$H$2),0,MIN($E204-SUM($G204:L204),$F204))</f>
        <v>0</v>
      </c>
      <c r="N204" s="424">
        <f>IF(OR(N$195&lt;$C204,N$195&lt;$H$2),0,MIN($E204-SUM($G204:M204),$F204))</f>
        <v>0</v>
      </c>
      <c r="O204" s="424">
        <f>IF(OR(O$195&lt;$C204,O$195&lt;$H$2),0,MIN($E204-SUM($G204:N204),$F204))</f>
        <v>0</v>
      </c>
      <c r="P204" s="424">
        <f>IF(OR(P$195&lt;$C204,P$195&lt;$H$2),0,MIN($E204-SUM($G204:O204),$F204))</f>
        <v>0</v>
      </c>
      <c r="Q204" s="424">
        <f>IF(OR(Q$195&lt;$C204,Q$195&lt;$H$2),0,MIN($E204-SUM($G204:P204),$F204))</f>
        <v>0</v>
      </c>
      <c r="R204" s="424">
        <f>IF(OR(R$195&lt;$C204,R$195&lt;$H$2),0,MIN($E204-SUM($G204:Q204),$F204))</f>
        <v>0</v>
      </c>
      <c r="S204" s="424">
        <f>IF(OR(S$195&lt;$C204,S$195&lt;$H$2),0,MIN($E204-SUM($G204:R204),$F204))</f>
        <v>0</v>
      </c>
      <c r="T204" s="424">
        <f>IF(OR(T$195&lt;$C204,T$195&lt;$H$2),0,MIN($E204-SUM($G204:S204),$F204))</f>
        <v>0</v>
      </c>
      <c r="U204" s="424">
        <f>IF(OR(U$195&lt;$C204,U$195&lt;$H$2),0,MIN($E204-SUM($G204:T204),$F204))</f>
        <v>0</v>
      </c>
      <c r="V204" s="424">
        <f>IF(OR(V$195&lt;$C204,V$195&lt;$H$2),0,MIN($E204-SUM($G204:U204),$F204))</f>
        <v>0</v>
      </c>
      <c r="W204" s="424">
        <f>IF(OR(W$195&lt;$C204,W$195&lt;$H$2),0,MIN($E204-SUM($G204:V204),$F204))</f>
        <v>0</v>
      </c>
      <c r="X204" s="424">
        <f>IF(OR(X$195&lt;$C204,X$195&lt;$H$2),0,MIN($E204-SUM($G204:W204),$F204))</f>
        <v>0</v>
      </c>
      <c r="Y204" s="424">
        <f>IF(OR(Y$195&lt;$C204,Y$195&lt;$H$2),0,MIN($E204-SUM($G204:X204),$F204))</f>
        <v>0</v>
      </c>
      <c r="Z204" s="424">
        <f>IF(OR(Z$195&lt;$C204,Z$195&lt;$H$2),0,MIN($E204-SUM($G204:Y204),$F204))</f>
        <v>0</v>
      </c>
      <c r="AA204" s="424">
        <f>IF(OR(AA$195&lt;$C204,AA$195&lt;$H$2),0,MIN($E204-SUM($G204:Z204),$F204))</f>
        <v>0</v>
      </c>
      <c r="AB204" s="424">
        <f>IF(OR(AB$195&lt;$C204,AB$195&lt;$H$2),0,MIN($E204-SUM($G204:AA204),$F204))</f>
        <v>0</v>
      </c>
      <c r="AC204" s="424">
        <f>IF(OR(AC$195&lt;$C204,AC$195&lt;$H$2),0,MIN($E204-SUM($G204:AB204),$F204))</f>
        <v>0</v>
      </c>
      <c r="AD204" s="424">
        <f>IF(OR(AD$195&lt;$C204,AD$195&lt;$H$2),0,MIN($E204-SUM($G204:AC204),$F204))</f>
        <v>0</v>
      </c>
      <c r="AE204" s="424">
        <f>IF(OR(AE$195&lt;$C204,AE$195&lt;$H$2),0,MIN($E204-SUM($G204:AD204),$F204))</f>
        <v>0</v>
      </c>
      <c r="AF204" s="424">
        <f>IF(OR(AF$195&lt;$C204,AF$195&lt;$H$2),0,MIN($E204-SUM($G204:AE204),$F204))</f>
        <v>0</v>
      </c>
      <c r="AG204" s="424">
        <f>IF(OR(AG$195&lt;$C204,AG$195&lt;$H$2),0,MIN($E204-SUM($G204:AF204),$F204))</f>
        <v>0</v>
      </c>
      <c r="AH204" s="424">
        <f>IF(OR(AH$195&lt;$C204,AH$195&lt;$H$2),0,MIN($E204-SUM($G204:AG204),$F204))</f>
        <v>0</v>
      </c>
      <c r="AI204" s="424">
        <f>IF(OR(AI$195&lt;$C204,AI$195&lt;$H$2),0,MIN($E204-SUM($G204:AH204),$F204))</f>
        <v>0</v>
      </c>
      <c r="AJ204" s="424">
        <f>IF(OR(AJ$195&lt;$C204,AJ$195&lt;$H$2),0,MIN($E204-SUM($G204:AI204),$F204))</f>
        <v>0</v>
      </c>
      <c r="AK204" s="424">
        <f>IF(OR(AK$195&lt;$C204,AK$195&lt;$H$2),0,MIN($E204-SUM($G204:AJ204),$F204))</f>
        <v>0</v>
      </c>
    </row>
    <row r="205" spans="3:37">
      <c r="C205" s="201">
        <v>48585</v>
      </c>
      <c r="D205" s="94" t="s">
        <v>134</v>
      </c>
      <c r="E205" s="424">
        <f t="shared" si="106"/>
        <v>0</v>
      </c>
      <c r="F205" s="209">
        <f t="shared" si="107"/>
        <v>0</v>
      </c>
      <c r="H205" s="424">
        <f>IF(OR(H$195&lt;$C205,H$195&lt;$H$2),0,MIN($E205-SUM($G205:G205),$F205))</f>
        <v>0</v>
      </c>
      <c r="I205" s="424">
        <f>IF(OR(I$195&lt;$C205,I$195&lt;$H$2),0,MIN($E205-SUM($G205:H205),$F205))</f>
        <v>0</v>
      </c>
      <c r="J205" s="424">
        <f>IF(OR(J$195&lt;$C205,J$195&lt;$H$2),0,MIN($E205-SUM($G205:I205),$F205))</f>
        <v>0</v>
      </c>
      <c r="K205" s="424">
        <f>IF(OR(K$195&lt;$C205,K$195&lt;$H$2),0,MIN($E205-SUM($G205:J205),$F205))</f>
        <v>0</v>
      </c>
      <c r="L205" s="424">
        <f>IF(OR(L$195&lt;$C205,L$195&lt;$H$2),0,MIN($E205-SUM($G205:K205),$F205))</f>
        <v>0</v>
      </c>
      <c r="M205" s="424">
        <f>IF(OR(M$195&lt;$C205,M$195&lt;$H$2),0,MIN($E205-SUM($G205:L205),$F205))</f>
        <v>0</v>
      </c>
      <c r="N205" s="424">
        <f>IF(OR(N$195&lt;$C205,N$195&lt;$H$2),0,MIN($E205-SUM($G205:M205),$F205))</f>
        <v>0</v>
      </c>
      <c r="O205" s="424">
        <f>IF(OR(O$195&lt;$C205,O$195&lt;$H$2),0,MIN($E205-SUM($G205:N205),$F205))</f>
        <v>0</v>
      </c>
      <c r="P205" s="424">
        <f>IF(OR(P$195&lt;$C205,P$195&lt;$H$2),0,MIN($E205-SUM($G205:O205),$F205))</f>
        <v>0</v>
      </c>
      <c r="Q205" s="424">
        <f>IF(OR(Q$195&lt;$C205,Q$195&lt;$H$2),0,MIN($E205-SUM($G205:P205),$F205))</f>
        <v>0</v>
      </c>
      <c r="R205" s="424">
        <f>IF(OR(R$195&lt;$C205,R$195&lt;$H$2),0,MIN($E205-SUM($G205:Q205),$F205))</f>
        <v>0</v>
      </c>
      <c r="S205" s="424">
        <f>IF(OR(S$195&lt;$C205,S$195&lt;$H$2),0,MIN($E205-SUM($G205:R205),$F205))</f>
        <v>0</v>
      </c>
      <c r="T205" s="424">
        <f>IF(OR(T$195&lt;$C205,T$195&lt;$H$2),0,MIN($E205-SUM($G205:S205),$F205))</f>
        <v>0</v>
      </c>
      <c r="U205" s="424">
        <f>IF(OR(U$195&lt;$C205,U$195&lt;$H$2),0,MIN($E205-SUM($G205:T205),$F205))</f>
        <v>0</v>
      </c>
      <c r="V205" s="424">
        <f>IF(OR(V$195&lt;$C205,V$195&lt;$H$2),0,MIN($E205-SUM($G205:U205),$F205))</f>
        <v>0</v>
      </c>
      <c r="W205" s="424">
        <f>IF(OR(W$195&lt;$C205,W$195&lt;$H$2),0,MIN($E205-SUM($G205:V205),$F205))</f>
        <v>0</v>
      </c>
      <c r="X205" s="424">
        <f>IF(OR(X$195&lt;$C205,X$195&lt;$H$2),0,MIN($E205-SUM($G205:W205),$F205))</f>
        <v>0</v>
      </c>
      <c r="Y205" s="424">
        <f>IF(OR(Y$195&lt;$C205,Y$195&lt;$H$2),0,MIN($E205-SUM($G205:X205),$F205))</f>
        <v>0</v>
      </c>
      <c r="Z205" s="424">
        <f>IF(OR(Z$195&lt;$C205,Z$195&lt;$H$2),0,MIN($E205-SUM($G205:Y205),$F205))</f>
        <v>0</v>
      </c>
      <c r="AA205" s="424">
        <f>IF(OR(AA$195&lt;$C205,AA$195&lt;$H$2),0,MIN($E205-SUM($G205:Z205),$F205))</f>
        <v>0</v>
      </c>
      <c r="AB205" s="424">
        <f>IF(OR(AB$195&lt;$C205,AB$195&lt;$H$2),0,MIN($E205-SUM($G205:AA205),$F205))</f>
        <v>0</v>
      </c>
      <c r="AC205" s="424">
        <f>IF(OR(AC$195&lt;$C205,AC$195&lt;$H$2),0,MIN($E205-SUM($G205:AB205),$F205))</f>
        <v>0</v>
      </c>
      <c r="AD205" s="424">
        <f>IF(OR(AD$195&lt;$C205,AD$195&lt;$H$2),0,MIN($E205-SUM($G205:AC205),$F205))</f>
        <v>0</v>
      </c>
      <c r="AE205" s="424">
        <f>IF(OR(AE$195&lt;$C205,AE$195&lt;$H$2),0,MIN($E205-SUM($G205:AD205),$F205))</f>
        <v>0</v>
      </c>
      <c r="AF205" s="424">
        <f>IF(OR(AF$195&lt;$C205,AF$195&lt;$H$2),0,MIN($E205-SUM($G205:AE205),$F205))</f>
        <v>0</v>
      </c>
      <c r="AG205" s="424">
        <f>IF(OR(AG$195&lt;$C205,AG$195&lt;$H$2),0,MIN($E205-SUM($G205:AF205),$F205))</f>
        <v>0</v>
      </c>
      <c r="AH205" s="424">
        <f>IF(OR(AH$195&lt;$C205,AH$195&lt;$H$2),0,MIN($E205-SUM($G205:AG205),$F205))</f>
        <v>0</v>
      </c>
      <c r="AI205" s="424">
        <f>IF(OR(AI$195&lt;$C205,AI$195&lt;$H$2),0,MIN($E205-SUM($G205:AH205),$F205))</f>
        <v>0</v>
      </c>
      <c r="AJ205" s="424">
        <f>IF(OR(AJ$195&lt;$C205,AJ$195&lt;$H$2),0,MIN($E205-SUM($G205:AI205),$F205))</f>
        <v>0</v>
      </c>
      <c r="AK205" s="424">
        <f>IF(OR(AK$195&lt;$C205,AK$195&lt;$H$2),0,MIN($E205-SUM($G205:AJ205),$F205))</f>
        <v>0</v>
      </c>
    </row>
    <row r="206" spans="3:37">
      <c r="C206" s="201">
        <v>48951</v>
      </c>
      <c r="D206" s="94" t="s">
        <v>134</v>
      </c>
      <c r="E206" s="424">
        <f t="shared" si="106"/>
        <v>0</v>
      </c>
      <c r="F206" s="209">
        <f t="shared" si="107"/>
        <v>0</v>
      </c>
      <c r="H206" s="424">
        <f>IF(OR(H$195&lt;$C206,H$195&lt;$H$2),0,MIN($E206-SUM($G206:G206),$F206))</f>
        <v>0</v>
      </c>
      <c r="I206" s="424">
        <f>IF(OR(I$195&lt;$C206,I$195&lt;$H$2),0,MIN($E206-SUM($G206:H206),$F206))</f>
        <v>0</v>
      </c>
      <c r="J206" s="424">
        <f>IF(OR(J$195&lt;$C206,J$195&lt;$H$2),0,MIN($E206-SUM($G206:I206),$F206))</f>
        <v>0</v>
      </c>
      <c r="K206" s="424">
        <f>IF(OR(K$195&lt;$C206,K$195&lt;$H$2),0,MIN($E206-SUM($G206:J206),$F206))</f>
        <v>0</v>
      </c>
      <c r="L206" s="424">
        <f>IF(OR(L$195&lt;$C206,L$195&lt;$H$2),0,MIN($E206-SUM($G206:K206),$F206))</f>
        <v>0</v>
      </c>
      <c r="M206" s="424">
        <f>IF(OR(M$195&lt;$C206,M$195&lt;$H$2),0,MIN($E206-SUM($G206:L206),$F206))</f>
        <v>0</v>
      </c>
      <c r="N206" s="424">
        <f>IF(OR(N$195&lt;$C206,N$195&lt;$H$2),0,MIN($E206-SUM($G206:M206),$F206))</f>
        <v>0</v>
      </c>
      <c r="O206" s="424">
        <f>IF(OR(O$195&lt;$C206,O$195&lt;$H$2),0,MIN($E206-SUM($G206:N206),$F206))</f>
        <v>0</v>
      </c>
      <c r="P206" s="424">
        <f>IF(OR(P$195&lt;$C206,P$195&lt;$H$2),0,MIN($E206-SUM($G206:O206),$F206))</f>
        <v>0</v>
      </c>
      <c r="Q206" s="424">
        <f>IF(OR(Q$195&lt;$C206,Q$195&lt;$H$2),0,MIN($E206-SUM($G206:P206),$F206))</f>
        <v>0</v>
      </c>
      <c r="R206" s="424">
        <f>IF(OR(R$195&lt;$C206,R$195&lt;$H$2),0,MIN($E206-SUM($G206:Q206),$F206))</f>
        <v>0</v>
      </c>
      <c r="S206" s="424">
        <f>IF(OR(S$195&lt;$C206,S$195&lt;$H$2),0,MIN($E206-SUM($G206:R206),$F206))</f>
        <v>0</v>
      </c>
      <c r="T206" s="424">
        <f>IF(OR(T$195&lt;$C206,T$195&lt;$H$2),0,MIN($E206-SUM($G206:S206),$F206))</f>
        <v>0</v>
      </c>
      <c r="U206" s="424">
        <f>IF(OR(U$195&lt;$C206,U$195&lt;$H$2),0,MIN($E206-SUM($G206:T206),$F206))</f>
        <v>0</v>
      </c>
      <c r="V206" s="424">
        <f>IF(OR(V$195&lt;$C206,V$195&lt;$H$2),0,MIN($E206-SUM($G206:U206),$F206))</f>
        <v>0</v>
      </c>
      <c r="W206" s="424">
        <f>IF(OR(W$195&lt;$C206,W$195&lt;$H$2),0,MIN($E206-SUM($G206:V206),$F206))</f>
        <v>0</v>
      </c>
      <c r="X206" s="424">
        <f>IF(OR(X$195&lt;$C206,X$195&lt;$H$2),0,MIN($E206-SUM($G206:W206),$F206))</f>
        <v>0</v>
      </c>
      <c r="Y206" s="424">
        <f>IF(OR(Y$195&lt;$C206,Y$195&lt;$H$2),0,MIN($E206-SUM($G206:X206),$F206))</f>
        <v>0</v>
      </c>
      <c r="Z206" s="424">
        <f>IF(OR(Z$195&lt;$C206,Z$195&lt;$H$2),0,MIN($E206-SUM($G206:Y206),$F206))</f>
        <v>0</v>
      </c>
      <c r="AA206" s="424">
        <f>IF(OR(AA$195&lt;$C206,AA$195&lt;$H$2),0,MIN($E206-SUM($G206:Z206),$F206))</f>
        <v>0</v>
      </c>
      <c r="AB206" s="424">
        <f>IF(OR(AB$195&lt;$C206,AB$195&lt;$H$2),0,MIN($E206-SUM($G206:AA206),$F206))</f>
        <v>0</v>
      </c>
      <c r="AC206" s="424">
        <f>IF(OR(AC$195&lt;$C206,AC$195&lt;$H$2),0,MIN($E206-SUM($G206:AB206),$F206))</f>
        <v>0</v>
      </c>
      <c r="AD206" s="424">
        <f>IF(OR(AD$195&lt;$C206,AD$195&lt;$H$2),0,MIN($E206-SUM($G206:AC206),$F206))</f>
        <v>0</v>
      </c>
      <c r="AE206" s="424">
        <f>IF(OR(AE$195&lt;$C206,AE$195&lt;$H$2),0,MIN($E206-SUM($G206:AD206),$F206))</f>
        <v>0</v>
      </c>
      <c r="AF206" s="424">
        <f>IF(OR(AF$195&lt;$C206,AF$195&lt;$H$2),0,MIN($E206-SUM($G206:AE206),$F206))</f>
        <v>0</v>
      </c>
      <c r="AG206" s="424">
        <f>IF(OR(AG$195&lt;$C206,AG$195&lt;$H$2),0,MIN($E206-SUM($G206:AF206),$F206))</f>
        <v>0</v>
      </c>
      <c r="AH206" s="424">
        <f>IF(OR(AH$195&lt;$C206,AH$195&lt;$H$2),0,MIN($E206-SUM($G206:AG206),$F206))</f>
        <v>0</v>
      </c>
      <c r="AI206" s="424">
        <f>IF(OR(AI$195&lt;$C206,AI$195&lt;$H$2),0,MIN($E206-SUM($G206:AH206),$F206))</f>
        <v>0</v>
      </c>
      <c r="AJ206" s="424">
        <f>IF(OR(AJ$195&lt;$C206,AJ$195&lt;$H$2),0,MIN($E206-SUM($G206:AI206),$F206))</f>
        <v>0</v>
      </c>
      <c r="AK206" s="424">
        <f>IF(OR(AK$195&lt;$C206,AK$195&lt;$H$2),0,MIN($E206-SUM($G206:AJ206),$F206))</f>
        <v>0</v>
      </c>
    </row>
    <row r="207" spans="3:37">
      <c r="C207" s="201">
        <v>49317</v>
      </c>
      <c r="D207" s="94" t="s">
        <v>134</v>
      </c>
      <c r="E207" s="424">
        <f t="shared" si="106"/>
        <v>0</v>
      </c>
      <c r="F207" s="209">
        <f t="shared" si="107"/>
        <v>0</v>
      </c>
      <c r="H207" s="424">
        <f>IF(OR(H$195&lt;$C207,H$195&lt;$H$2),0,MIN($E207-SUM($G207:G207),$F207))</f>
        <v>0</v>
      </c>
      <c r="I207" s="424">
        <f>IF(OR(I$195&lt;$C207,I$195&lt;$H$2),0,MIN($E207-SUM($G207:H207),$F207))</f>
        <v>0</v>
      </c>
      <c r="J207" s="424">
        <f>IF(OR(J$195&lt;$C207,J$195&lt;$H$2),0,MIN($E207-SUM($G207:I207),$F207))</f>
        <v>0</v>
      </c>
      <c r="K207" s="424">
        <f>IF(OR(K$195&lt;$C207,K$195&lt;$H$2),0,MIN($E207-SUM($G207:J207),$F207))</f>
        <v>0</v>
      </c>
      <c r="L207" s="424">
        <f>IF(OR(L$195&lt;$C207,L$195&lt;$H$2),0,MIN($E207-SUM($G207:K207),$F207))</f>
        <v>0</v>
      </c>
      <c r="M207" s="424">
        <f>IF(OR(M$195&lt;$C207,M$195&lt;$H$2),0,MIN($E207-SUM($G207:L207),$F207))</f>
        <v>0</v>
      </c>
      <c r="N207" s="424">
        <f>IF(OR(N$195&lt;$C207,N$195&lt;$H$2),0,MIN($E207-SUM($G207:M207),$F207))</f>
        <v>0</v>
      </c>
      <c r="O207" s="424">
        <f>IF(OR(O$195&lt;$C207,O$195&lt;$H$2),0,MIN($E207-SUM($G207:N207),$F207))</f>
        <v>0</v>
      </c>
      <c r="P207" s="424">
        <f>IF(OR(P$195&lt;$C207,P$195&lt;$H$2),0,MIN($E207-SUM($G207:O207),$F207))</f>
        <v>0</v>
      </c>
      <c r="Q207" s="424">
        <f>IF(OR(Q$195&lt;$C207,Q$195&lt;$H$2),0,MIN($E207-SUM($G207:P207),$F207))</f>
        <v>0</v>
      </c>
      <c r="R207" s="424">
        <f>IF(OR(R$195&lt;$C207,R$195&lt;$H$2),0,MIN($E207-SUM($G207:Q207),$F207))</f>
        <v>0</v>
      </c>
      <c r="S207" s="424">
        <f>IF(OR(S$195&lt;$C207,S$195&lt;$H$2),0,MIN($E207-SUM($G207:R207),$F207))</f>
        <v>0</v>
      </c>
      <c r="T207" s="424">
        <f>IF(OR(T$195&lt;$C207,T$195&lt;$H$2),0,MIN($E207-SUM($G207:S207),$F207))</f>
        <v>0</v>
      </c>
      <c r="U207" s="424">
        <f>IF(OR(U$195&lt;$C207,U$195&lt;$H$2),0,MIN($E207-SUM($G207:T207),$F207))</f>
        <v>0</v>
      </c>
      <c r="V207" s="424">
        <f>IF(OR(V$195&lt;$C207,V$195&lt;$H$2),0,MIN($E207-SUM($G207:U207),$F207))</f>
        <v>0</v>
      </c>
      <c r="W207" s="424">
        <f>IF(OR(W$195&lt;$C207,W$195&lt;$H$2),0,MIN($E207-SUM($G207:V207),$F207))</f>
        <v>0</v>
      </c>
      <c r="X207" s="424">
        <f>IF(OR(X$195&lt;$C207,X$195&lt;$H$2),0,MIN($E207-SUM($G207:W207),$F207))</f>
        <v>0</v>
      </c>
      <c r="Y207" s="424">
        <f>IF(OR(Y$195&lt;$C207,Y$195&lt;$H$2),0,MIN($E207-SUM($G207:X207),$F207))</f>
        <v>0</v>
      </c>
      <c r="Z207" s="424">
        <f>IF(OR(Z$195&lt;$C207,Z$195&lt;$H$2),0,MIN($E207-SUM($G207:Y207),$F207))</f>
        <v>0</v>
      </c>
      <c r="AA207" s="424">
        <f>IF(OR(AA$195&lt;$C207,AA$195&lt;$H$2),0,MIN($E207-SUM($G207:Z207),$F207))</f>
        <v>0</v>
      </c>
      <c r="AB207" s="424">
        <f>IF(OR(AB$195&lt;$C207,AB$195&lt;$H$2),0,MIN($E207-SUM($G207:AA207),$F207))</f>
        <v>0</v>
      </c>
      <c r="AC207" s="424">
        <f>IF(OR(AC$195&lt;$C207,AC$195&lt;$H$2),0,MIN($E207-SUM($G207:AB207),$F207))</f>
        <v>0</v>
      </c>
      <c r="AD207" s="424">
        <f>IF(OR(AD$195&lt;$C207,AD$195&lt;$H$2),0,MIN($E207-SUM($G207:AC207),$F207))</f>
        <v>0</v>
      </c>
      <c r="AE207" s="424">
        <f>IF(OR(AE$195&lt;$C207,AE$195&lt;$H$2),0,MIN($E207-SUM($G207:AD207),$F207))</f>
        <v>0</v>
      </c>
      <c r="AF207" s="424">
        <f>IF(OR(AF$195&lt;$C207,AF$195&lt;$H$2),0,MIN($E207-SUM($G207:AE207),$F207))</f>
        <v>0</v>
      </c>
      <c r="AG207" s="424">
        <f>IF(OR(AG$195&lt;$C207,AG$195&lt;$H$2),0,MIN($E207-SUM($G207:AF207),$F207))</f>
        <v>0</v>
      </c>
      <c r="AH207" s="424">
        <f>IF(OR(AH$195&lt;$C207,AH$195&lt;$H$2),0,MIN($E207-SUM($G207:AG207),$F207))</f>
        <v>0</v>
      </c>
      <c r="AI207" s="424">
        <f>IF(OR(AI$195&lt;$C207,AI$195&lt;$H$2),0,MIN($E207-SUM($G207:AH207),$F207))</f>
        <v>0</v>
      </c>
      <c r="AJ207" s="424">
        <f>IF(OR(AJ$195&lt;$C207,AJ$195&lt;$H$2),0,MIN($E207-SUM($G207:AI207),$F207))</f>
        <v>0</v>
      </c>
      <c r="AK207" s="424">
        <f>IF(OR(AK$195&lt;$C207,AK$195&lt;$H$2),0,MIN($E207-SUM($G207:AJ207),$F207))</f>
        <v>0</v>
      </c>
    </row>
    <row r="208" spans="3:37">
      <c r="C208" s="201">
        <v>49683</v>
      </c>
      <c r="D208" s="94" t="s">
        <v>134</v>
      </c>
      <c r="E208" s="424">
        <f t="shared" si="106"/>
        <v>0</v>
      </c>
      <c r="F208" s="209">
        <f t="shared" si="107"/>
        <v>0</v>
      </c>
      <c r="H208" s="424">
        <f>IF(OR(H$195&lt;$C208,H$195&lt;$H$2),0,MIN($E208-SUM($G208:G208),$F208))</f>
        <v>0</v>
      </c>
      <c r="I208" s="424">
        <f>IF(OR(I$195&lt;$C208,I$195&lt;$H$2),0,MIN($E208-SUM($G208:H208),$F208))</f>
        <v>0</v>
      </c>
      <c r="J208" s="424">
        <f>IF(OR(J$195&lt;$C208,J$195&lt;$H$2),0,MIN($E208-SUM($G208:I208),$F208))</f>
        <v>0</v>
      </c>
      <c r="K208" s="424">
        <f>IF(OR(K$195&lt;$C208,K$195&lt;$H$2),0,MIN($E208-SUM($G208:J208),$F208))</f>
        <v>0</v>
      </c>
      <c r="L208" s="424">
        <f>IF(OR(L$195&lt;$C208,L$195&lt;$H$2),0,MIN($E208-SUM($G208:K208),$F208))</f>
        <v>0</v>
      </c>
      <c r="M208" s="424">
        <f>IF(OR(M$195&lt;$C208,M$195&lt;$H$2),0,MIN($E208-SUM($G208:L208),$F208))</f>
        <v>0</v>
      </c>
      <c r="N208" s="424">
        <f>IF(OR(N$195&lt;$C208,N$195&lt;$H$2),0,MIN($E208-SUM($G208:M208),$F208))</f>
        <v>0</v>
      </c>
      <c r="O208" s="424">
        <f>IF(OR(O$195&lt;$C208,O$195&lt;$H$2),0,MIN($E208-SUM($G208:N208),$F208))</f>
        <v>0</v>
      </c>
      <c r="P208" s="424">
        <f>IF(OR(P$195&lt;$C208,P$195&lt;$H$2),0,MIN($E208-SUM($G208:O208),$F208))</f>
        <v>0</v>
      </c>
      <c r="Q208" s="424">
        <f>IF(OR(Q$195&lt;$C208,Q$195&lt;$H$2),0,MIN($E208-SUM($G208:P208),$F208))</f>
        <v>0</v>
      </c>
      <c r="R208" s="424">
        <f>IF(OR(R$195&lt;$C208,R$195&lt;$H$2),0,MIN($E208-SUM($G208:Q208),$F208))</f>
        <v>0</v>
      </c>
      <c r="S208" s="424">
        <f>IF(OR(S$195&lt;$C208,S$195&lt;$H$2),0,MIN($E208-SUM($G208:R208),$F208))</f>
        <v>0</v>
      </c>
      <c r="T208" s="424">
        <f>IF(OR(T$195&lt;$C208,T$195&lt;$H$2),0,MIN($E208-SUM($G208:S208),$F208))</f>
        <v>0</v>
      </c>
      <c r="U208" s="424">
        <f>IF(OR(U$195&lt;$C208,U$195&lt;$H$2),0,MIN($E208-SUM($G208:T208),$F208))</f>
        <v>0</v>
      </c>
      <c r="V208" s="424">
        <f>IF(OR(V$195&lt;$C208,V$195&lt;$H$2),0,MIN($E208-SUM($G208:U208),$F208))</f>
        <v>0</v>
      </c>
      <c r="W208" s="424">
        <f>IF(OR(W$195&lt;$C208,W$195&lt;$H$2),0,MIN($E208-SUM($G208:V208),$F208))</f>
        <v>0</v>
      </c>
      <c r="X208" s="424">
        <f>IF(OR(X$195&lt;$C208,X$195&lt;$H$2),0,MIN($E208-SUM($G208:W208),$F208))</f>
        <v>0</v>
      </c>
      <c r="Y208" s="424">
        <f>IF(OR(Y$195&lt;$C208,Y$195&lt;$H$2),0,MIN($E208-SUM($G208:X208),$F208))</f>
        <v>0</v>
      </c>
      <c r="Z208" s="424">
        <f>IF(OR(Z$195&lt;$C208,Z$195&lt;$H$2),0,MIN($E208-SUM($G208:Y208),$F208))</f>
        <v>0</v>
      </c>
      <c r="AA208" s="424">
        <f>IF(OR(AA$195&lt;$C208,AA$195&lt;$H$2),0,MIN($E208-SUM($G208:Z208),$F208))</f>
        <v>0</v>
      </c>
      <c r="AB208" s="424">
        <f>IF(OR(AB$195&lt;$C208,AB$195&lt;$H$2),0,MIN($E208-SUM($G208:AA208),$F208))</f>
        <v>0</v>
      </c>
      <c r="AC208" s="424">
        <f>IF(OR(AC$195&lt;$C208,AC$195&lt;$H$2),0,MIN($E208-SUM($G208:AB208),$F208))</f>
        <v>0</v>
      </c>
      <c r="AD208" s="424">
        <f>IF(OR(AD$195&lt;$C208,AD$195&lt;$H$2),0,MIN($E208-SUM($G208:AC208),$F208))</f>
        <v>0</v>
      </c>
      <c r="AE208" s="424">
        <f>IF(OR(AE$195&lt;$C208,AE$195&lt;$H$2),0,MIN($E208-SUM($G208:AD208),$F208))</f>
        <v>0</v>
      </c>
      <c r="AF208" s="424">
        <f>IF(OR(AF$195&lt;$C208,AF$195&lt;$H$2),0,MIN($E208-SUM($G208:AE208),$F208))</f>
        <v>0</v>
      </c>
      <c r="AG208" s="424">
        <f>IF(OR(AG$195&lt;$C208,AG$195&lt;$H$2),0,MIN($E208-SUM($G208:AF208),$F208))</f>
        <v>0</v>
      </c>
      <c r="AH208" s="424">
        <f>IF(OR(AH$195&lt;$C208,AH$195&lt;$H$2),0,MIN($E208-SUM($G208:AG208),$F208))</f>
        <v>0</v>
      </c>
      <c r="AI208" s="424">
        <f>IF(OR(AI$195&lt;$C208,AI$195&lt;$H$2),0,MIN($E208-SUM($G208:AH208),$F208))</f>
        <v>0</v>
      </c>
      <c r="AJ208" s="424">
        <f>IF(OR(AJ$195&lt;$C208,AJ$195&lt;$H$2),0,MIN($E208-SUM($G208:AI208),$F208))</f>
        <v>0</v>
      </c>
      <c r="AK208" s="424">
        <f>IF(OR(AK$195&lt;$C208,AK$195&lt;$H$2),0,MIN($E208-SUM($G208:AJ208),$F208))</f>
        <v>0</v>
      </c>
    </row>
    <row r="209" spans="3:37">
      <c r="C209" s="201">
        <v>50049</v>
      </c>
      <c r="D209" s="94" t="s">
        <v>134</v>
      </c>
      <c r="E209" s="424">
        <f t="shared" si="106"/>
        <v>0</v>
      </c>
      <c r="F209" s="209">
        <f t="shared" si="107"/>
        <v>0</v>
      </c>
      <c r="H209" s="424">
        <f>IF(OR(H$195&lt;$C209,H$195&lt;$H$2),0,MIN($E209-SUM($G209:G209),$F209))</f>
        <v>0</v>
      </c>
      <c r="I209" s="424">
        <f>IF(OR(I$195&lt;$C209,I$195&lt;$H$2),0,MIN($E209-SUM($G209:H209),$F209))</f>
        <v>0</v>
      </c>
      <c r="J209" s="424">
        <f>IF(OR(J$195&lt;$C209,J$195&lt;$H$2),0,MIN($E209-SUM($G209:I209),$F209))</f>
        <v>0</v>
      </c>
      <c r="K209" s="424">
        <f>IF(OR(K$195&lt;$C209,K$195&lt;$H$2),0,MIN($E209-SUM($G209:J209),$F209))</f>
        <v>0</v>
      </c>
      <c r="L209" s="424">
        <f>IF(OR(L$195&lt;$C209,L$195&lt;$H$2),0,MIN($E209-SUM($G209:K209),$F209))</f>
        <v>0</v>
      </c>
      <c r="M209" s="424">
        <f>IF(OR(M$195&lt;$C209,M$195&lt;$H$2),0,MIN($E209-SUM($G209:L209),$F209))</f>
        <v>0</v>
      </c>
      <c r="N209" s="424">
        <f>IF(OR(N$195&lt;$C209,N$195&lt;$H$2),0,MIN($E209-SUM($G209:M209),$F209))</f>
        <v>0</v>
      </c>
      <c r="O209" s="424">
        <f>IF(OR(O$195&lt;$C209,O$195&lt;$H$2),0,MIN($E209-SUM($G209:N209),$F209))</f>
        <v>0</v>
      </c>
      <c r="P209" s="424">
        <f>IF(OR(P$195&lt;$C209,P$195&lt;$H$2),0,MIN($E209-SUM($G209:O209),$F209))</f>
        <v>0</v>
      </c>
      <c r="Q209" s="424">
        <f>IF(OR(Q$195&lt;$C209,Q$195&lt;$H$2),0,MIN($E209-SUM($G209:P209),$F209))</f>
        <v>0</v>
      </c>
      <c r="R209" s="424">
        <f>IF(OR(R$195&lt;$C209,R$195&lt;$H$2),0,MIN($E209-SUM($G209:Q209),$F209))</f>
        <v>0</v>
      </c>
      <c r="S209" s="424">
        <f>IF(OR(S$195&lt;$C209,S$195&lt;$H$2),0,MIN($E209-SUM($G209:R209),$F209))</f>
        <v>0</v>
      </c>
      <c r="T209" s="424">
        <f>IF(OR(T$195&lt;$C209,T$195&lt;$H$2),0,MIN($E209-SUM($G209:S209),$F209))</f>
        <v>0</v>
      </c>
      <c r="U209" s="424">
        <f>IF(OR(U$195&lt;$C209,U$195&lt;$H$2),0,MIN($E209-SUM($G209:T209),$F209))</f>
        <v>0</v>
      </c>
      <c r="V209" s="424">
        <f>IF(OR(V$195&lt;$C209,V$195&lt;$H$2),0,MIN($E209-SUM($G209:U209),$F209))</f>
        <v>0</v>
      </c>
      <c r="W209" s="424">
        <f>IF(OR(W$195&lt;$C209,W$195&lt;$H$2),0,MIN($E209-SUM($G209:V209),$F209))</f>
        <v>0</v>
      </c>
      <c r="X209" s="424">
        <f>IF(OR(X$195&lt;$C209,X$195&lt;$H$2),0,MIN($E209-SUM($G209:W209),$F209))</f>
        <v>0</v>
      </c>
      <c r="Y209" s="424">
        <f>IF(OR(Y$195&lt;$C209,Y$195&lt;$H$2),0,MIN($E209-SUM($G209:X209),$F209))</f>
        <v>0</v>
      </c>
      <c r="Z209" s="424">
        <f>IF(OR(Z$195&lt;$C209,Z$195&lt;$H$2),0,MIN($E209-SUM($G209:Y209),$F209))</f>
        <v>0</v>
      </c>
      <c r="AA209" s="424">
        <f>IF(OR(AA$195&lt;$C209,AA$195&lt;$H$2),0,MIN($E209-SUM($G209:Z209),$F209))</f>
        <v>0</v>
      </c>
      <c r="AB209" s="424">
        <f>IF(OR(AB$195&lt;$C209,AB$195&lt;$H$2),0,MIN($E209-SUM($G209:AA209),$F209))</f>
        <v>0</v>
      </c>
      <c r="AC209" s="424">
        <f>IF(OR(AC$195&lt;$C209,AC$195&lt;$H$2),0,MIN($E209-SUM($G209:AB209),$F209))</f>
        <v>0</v>
      </c>
      <c r="AD209" s="424">
        <f>IF(OR(AD$195&lt;$C209,AD$195&lt;$H$2),0,MIN($E209-SUM($G209:AC209),$F209))</f>
        <v>0</v>
      </c>
      <c r="AE209" s="424">
        <f>IF(OR(AE$195&lt;$C209,AE$195&lt;$H$2),0,MIN($E209-SUM($G209:AD209),$F209))</f>
        <v>0</v>
      </c>
      <c r="AF209" s="424">
        <f>IF(OR(AF$195&lt;$C209,AF$195&lt;$H$2),0,MIN($E209-SUM($G209:AE209),$F209))</f>
        <v>0</v>
      </c>
      <c r="AG209" s="424">
        <f>IF(OR(AG$195&lt;$C209,AG$195&lt;$H$2),0,MIN($E209-SUM($G209:AF209),$F209))</f>
        <v>0</v>
      </c>
      <c r="AH209" s="424">
        <f>IF(OR(AH$195&lt;$C209,AH$195&lt;$H$2),0,MIN($E209-SUM($G209:AG209),$F209))</f>
        <v>0</v>
      </c>
      <c r="AI209" s="424">
        <f>IF(OR(AI$195&lt;$C209,AI$195&lt;$H$2),0,MIN($E209-SUM($G209:AH209),$F209))</f>
        <v>0</v>
      </c>
      <c r="AJ209" s="424">
        <f>IF(OR(AJ$195&lt;$C209,AJ$195&lt;$H$2),0,MIN($E209-SUM($G209:AI209),$F209))</f>
        <v>0</v>
      </c>
      <c r="AK209" s="424">
        <f>IF(OR(AK$195&lt;$C209,AK$195&lt;$H$2),0,MIN($E209-SUM($G209:AJ209),$F209))</f>
        <v>0</v>
      </c>
    </row>
    <row r="210" spans="3:37">
      <c r="C210" s="201">
        <v>50415</v>
      </c>
      <c r="D210" s="94" t="s">
        <v>134</v>
      </c>
      <c r="E210" s="424">
        <f t="shared" si="106"/>
        <v>0</v>
      </c>
      <c r="F210" s="209">
        <f t="shared" si="107"/>
        <v>0</v>
      </c>
      <c r="H210" s="424">
        <f>IF(OR(H$195&lt;$C210,H$195&lt;$H$2),0,MIN($E210-SUM($G210:G210),$F210))</f>
        <v>0</v>
      </c>
      <c r="I210" s="424">
        <f>IF(OR(I$195&lt;$C210,I$195&lt;$H$2),0,MIN($E210-SUM($G210:H210),$F210))</f>
        <v>0</v>
      </c>
      <c r="J210" s="424">
        <f>IF(OR(J$195&lt;$C210,J$195&lt;$H$2),0,MIN($E210-SUM($G210:I210),$F210))</f>
        <v>0</v>
      </c>
      <c r="K210" s="424">
        <f>IF(OR(K$195&lt;$C210,K$195&lt;$H$2),0,MIN($E210-SUM($G210:J210),$F210))</f>
        <v>0</v>
      </c>
      <c r="L210" s="424">
        <f>IF(OR(L$195&lt;$C210,L$195&lt;$H$2),0,MIN($E210-SUM($G210:K210),$F210))</f>
        <v>0</v>
      </c>
      <c r="M210" s="424">
        <f>IF(OR(M$195&lt;$C210,M$195&lt;$H$2),0,MIN($E210-SUM($G210:L210),$F210))</f>
        <v>0</v>
      </c>
      <c r="N210" s="424">
        <f>IF(OR(N$195&lt;$C210,N$195&lt;$H$2),0,MIN($E210-SUM($G210:M210),$F210))</f>
        <v>0</v>
      </c>
      <c r="O210" s="424">
        <f>IF(OR(O$195&lt;$C210,O$195&lt;$H$2),0,MIN($E210-SUM($G210:N210),$F210))</f>
        <v>0</v>
      </c>
      <c r="P210" s="424">
        <f>IF(OR(P$195&lt;$C210,P$195&lt;$H$2),0,MIN($E210-SUM($G210:O210),$F210))</f>
        <v>0</v>
      </c>
      <c r="Q210" s="424">
        <f>IF(OR(Q$195&lt;$C210,Q$195&lt;$H$2),0,MIN($E210-SUM($G210:P210),$F210))</f>
        <v>0</v>
      </c>
      <c r="R210" s="424">
        <f>IF(OR(R$195&lt;$C210,R$195&lt;$H$2),0,MIN($E210-SUM($G210:Q210),$F210))</f>
        <v>0</v>
      </c>
      <c r="S210" s="424">
        <f>IF(OR(S$195&lt;$C210,S$195&lt;$H$2),0,MIN($E210-SUM($G210:R210),$F210))</f>
        <v>0</v>
      </c>
      <c r="T210" s="424">
        <f>IF(OR(T$195&lt;$C210,T$195&lt;$H$2),0,MIN($E210-SUM($G210:S210),$F210))</f>
        <v>0</v>
      </c>
      <c r="U210" s="424">
        <f>IF(OR(U$195&lt;$C210,U$195&lt;$H$2),0,MIN($E210-SUM($G210:T210),$F210))</f>
        <v>0</v>
      </c>
      <c r="V210" s="424">
        <f>IF(OR(V$195&lt;$C210,V$195&lt;$H$2),0,MIN($E210-SUM($G210:U210),$F210))</f>
        <v>0</v>
      </c>
      <c r="W210" s="424">
        <f>IF(OR(W$195&lt;$C210,W$195&lt;$H$2),0,MIN($E210-SUM($G210:V210),$F210))</f>
        <v>0</v>
      </c>
      <c r="X210" s="424">
        <f>IF(OR(X$195&lt;$C210,X$195&lt;$H$2),0,MIN($E210-SUM($G210:W210),$F210))</f>
        <v>0</v>
      </c>
      <c r="Y210" s="424">
        <f>IF(OR(Y$195&lt;$C210,Y$195&lt;$H$2),0,MIN($E210-SUM($G210:X210),$F210))</f>
        <v>0</v>
      </c>
      <c r="Z210" s="424">
        <f>IF(OR(Z$195&lt;$C210,Z$195&lt;$H$2),0,MIN($E210-SUM($G210:Y210),$F210))</f>
        <v>0</v>
      </c>
      <c r="AA210" s="424">
        <f>IF(OR(AA$195&lt;$C210,AA$195&lt;$H$2),0,MIN($E210-SUM($G210:Z210),$F210))</f>
        <v>0</v>
      </c>
      <c r="AB210" s="424">
        <f>IF(OR(AB$195&lt;$C210,AB$195&lt;$H$2),0,MIN($E210-SUM($G210:AA210),$F210))</f>
        <v>0</v>
      </c>
      <c r="AC210" s="424">
        <f>IF(OR(AC$195&lt;$C210,AC$195&lt;$H$2),0,MIN($E210-SUM($G210:AB210),$F210))</f>
        <v>0</v>
      </c>
      <c r="AD210" s="424">
        <f>IF(OR(AD$195&lt;$C210,AD$195&lt;$H$2),0,MIN($E210-SUM($G210:AC210),$F210))</f>
        <v>0</v>
      </c>
      <c r="AE210" s="424">
        <f>IF(OR(AE$195&lt;$C210,AE$195&lt;$H$2),0,MIN($E210-SUM($G210:AD210),$F210))</f>
        <v>0</v>
      </c>
      <c r="AF210" s="424">
        <f>IF(OR(AF$195&lt;$C210,AF$195&lt;$H$2),0,MIN($E210-SUM($G210:AE210),$F210))</f>
        <v>0</v>
      </c>
      <c r="AG210" s="424">
        <f>IF(OR(AG$195&lt;$C210,AG$195&lt;$H$2),0,MIN($E210-SUM($G210:AF210),$F210))</f>
        <v>0</v>
      </c>
      <c r="AH210" s="424">
        <f>IF(OR(AH$195&lt;$C210,AH$195&lt;$H$2),0,MIN($E210-SUM($G210:AG210),$F210))</f>
        <v>0</v>
      </c>
      <c r="AI210" s="424">
        <f>IF(OR(AI$195&lt;$C210,AI$195&lt;$H$2),0,MIN($E210-SUM($G210:AH210),$F210))</f>
        <v>0</v>
      </c>
      <c r="AJ210" s="424">
        <f>IF(OR(AJ$195&lt;$C210,AJ$195&lt;$H$2),0,MIN($E210-SUM($G210:AI210),$F210))</f>
        <v>0</v>
      </c>
      <c r="AK210" s="424">
        <f>IF(OR(AK$195&lt;$C210,AK$195&lt;$H$2),0,MIN($E210-SUM($G210:AJ210),$F210))</f>
        <v>0</v>
      </c>
    </row>
    <row r="211" spans="3:37">
      <c r="C211" s="201">
        <v>50781</v>
      </c>
      <c r="D211" s="94" t="s">
        <v>134</v>
      </c>
      <c r="E211" s="424">
        <f t="shared" si="106"/>
        <v>0</v>
      </c>
      <c r="F211" s="209">
        <f t="shared" si="107"/>
        <v>0</v>
      </c>
      <c r="H211" s="424">
        <f>IF(OR(H$195&lt;$C211,H$195&lt;$H$2),0,MIN($E211-SUM($G211:G211),$F211))</f>
        <v>0</v>
      </c>
      <c r="I211" s="424">
        <f>IF(OR(I$195&lt;$C211,I$195&lt;$H$2),0,MIN($E211-SUM($G211:H211),$F211))</f>
        <v>0</v>
      </c>
      <c r="J211" s="424">
        <f>IF(OR(J$195&lt;$C211,J$195&lt;$H$2),0,MIN($E211-SUM($G211:I211),$F211))</f>
        <v>0</v>
      </c>
      <c r="K211" s="424">
        <f>IF(OR(K$195&lt;$C211,K$195&lt;$H$2),0,MIN($E211-SUM($G211:J211),$F211))</f>
        <v>0</v>
      </c>
      <c r="L211" s="424">
        <f>IF(OR(L$195&lt;$C211,L$195&lt;$H$2),0,MIN($E211-SUM($G211:K211),$F211))</f>
        <v>0</v>
      </c>
      <c r="M211" s="424">
        <f>IF(OR(M$195&lt;$C211,M$195&lt;$H$2),0,MIN($E211-SUM($G211:L211),$F211))</f>
        <v>0</v>
      </c>
      <c r="N211" s="424">
        <f>IF(OR(N$195&lt;$C211,N$195&lt;$H$2),0,MIN($E211-SUM($G211:M211),$F211))</f>
        <v>0</v>
      </c>
      <c r="O211" s="424">
        <f>IF(OR(O$195&lt;$C211,O$195&lt;$H$2),0,MIN($E211-SUM($G211:N211),$F211))</f>
        <v>0</v>
      </c>
      <c r="P211" s="424">
        <f>IF(OR(P$195&lt;$C211,P$195&lt;$H$2),0,MIN($E211-SUM($G211:O211),$F211))</f>
        <v>0</v>
      </c>
      <c r="Q211" s="424">
        <f>IF(OR(Q$195&lt;$C211,Q$195&lt;$H$2),0,MIN($E211-SUM($G211:P211),$F211))</f>
        <v>0</v>
      </c>
      <c r="R211" s="424">
        <f>IF(OR(R$195&lt;$C211,R$195&lt;$H$2),0,MIN($E211-SUM($G211:Q211),$F211))</f>
        <v>0</v>
      </c>
      <c r="S211" s="424">
        <f>IF(OR(S$195&lt;$C211,S$195&lt;$H$2),0,MIN($E211-SUM($G211:R211),$F211))</f>
        <v>0</v>
      </c>
      <c r="T211" s="424">
        <f>IF(OR(T$195&lt;$C211,T$195&lt;$H$2),0,MIN($E211-SUM($G211:S211),$F211))</f>
        <v>0</v>
      </c>
      <c r="U211" s="424">
        <f>IF(OR(U$195&lt;$C211,U$195&lt;$H$2),0,MIN($E211-SUM($G211:T211),$F211))</f>
        <v>0</v>
      </c>
      <c r="V211" s="424">
        <f>IF(OR(V$195&lt;$C211,V$195&lt;$H$2),0,MIN($E211-SUM($G211:U211),$F211))</f>
        <v>0</v>
      </c>
      <c r="W211" s="424">
        <f>IF(OR(W$195&lt;$C211,W$195&lt;$H$2),0,MIN($E211-SUM($G211:V211),$F211))</f>
        <v>0</v>
      </c>
      <c r="X211" s="424">
        <f>IF(OR(X$195&lt;$C211,X$195&lt;$H$2),0,MIN($E211-SUM($G211:W211),$F211))</f>
        <v>0</v>
      </c>
      <c r="Y211" s="424">
        <f>IF(OR(Y$195&lt;$C211,Y$195&lt;$H$2),0,MIN($E211-SUM($G211:X211),$F211))</f>
        <v>0</v>
      </c>
      <c r="Z211" s="424">
        <f>IF(OR(Z$195&lt;$C211,Z$195&lt;$H$2),0,MIN($E211-SUM($G211:Y211),$F211))</f>
        <v>0</v>
      </c>
      <c r="AA211" s="424">
        <f>IF(OR(AA$195&lt;$C211,AA$195&lt;$H$2),0,MIN($E211-SUM($G211:Z211),$F211))</f>
        <v>0</v>
      </c>
      <c r="AB211" s="424">
        <f>IF(OR(AB$195&lt;$C211,AB$195&lt;$H$2),0,MIN($E211-SUM($G211:AA211),$F211))</f>
        <v>0</v>
      </c>
      <c r="AC211" s="424">
        <f>IF(OR(AC$195&lt;$C211,AC$195&lt;$H$2),0,MIN($E211-SUM($G211:AB211),$F211))</f>
        <v>0</v>
      </c>
      <c r="AD211" s="424">
        <f>IF(OR(AD$195&lt;$C211,AD$195&lt;$H$2),0,MIN($E211-SUM($G211:AC211),$F211))</f>
        <v>0</v>
      </c>
      <c r="AE211" s="424">
        <f>IF(OR(AE$195&lt;$C211,AE$195&lt;$H$2),0,MIN($E211-SUM($G211:AD211),$F211))</f>
        <v>0</v>
      </c>
      <c r="AF211" s="424">
        <f>IF(OR(AF$195&lt;$C211,AF$195&lt;$H$2),0,MIN($E211-SUM($G211:AE211),$F211))</f>
        <v>0</v>
      </c>
      <c r="AG211" s="424">
        <f>IF(OR(AG$195&lt;$C211,AG$195&lt;$H$2),0,MIN($E211-SUM($G211:AF211),$F211))</f>
        <v>0</v>
      </c>
      <c r="AH211" s="424">
        <f>IF(OR(AH$195&lt;$C211,AH$195&lt;$H$2),0,MIN($E211-SUM($G211:AG211),$F211))</f>
        <v>0</v>
      </c>
      <c r="AI211" s="424">
        <f>IF(OR(AI$195&lt;$C211,AI$195&lt;$H$2),0,MIN($E211-SUM($G211:AH211),$F211))</f>
        <v>0</v>
      </c>
      <c r="AJ211" s="424">
        <f>IF(OR(AJ$195&lt;$C211,AJ$195&lt;$H$2),0,MIN($E211-SUM($G211:AI211),$F211))</f>
        <v>0</v>
      </c>
      <c r="AK211" s="424">
        <f>IF(OR(AK$195&lt;$C211,AK$195&lt;$H$2),0,MIN($E211-SUM($G211:AJ211),$F211))</f>
        <v>0</v>
      </c>
    </row>
    <row r="212" spans="3:37">
      <c r="C212" s="201">
        <v>51147</v>
      </c>
      <c r="D212" s="94" t="s">
        <v>134</v>
      </c>
      <c r="E212" s="424">
        <f t="shared" si="106"/>
        <v>0</v>
      </c>
      <c r="F212" s="209">
        <f t="shared" si="107"/>
        <v>0</v>
      </c>
      <c r="H212" s="424">
        <f>IF(OR(H$195&lt;$C212,H$195&lt;$H$2),0,MIN($E212-SUM($G212:G212),$F212))</f>
        <v>0</v>
      </c>
      <c r="I212" s="424">
        <f>IF(OR(I$195&lt;$C212,I$195&lt;$H$2),0,MIN($E212-SUM($G212:H212),$F212))</f>
        <v>0</v>
      </c>
      <c r="J212" s="424">
        <f>IF(OR(J$195&lt;$C212,J$195&lt;$H$2),0,MIN($E212-SUM($G212:I212),$F212))</f>
        <v>0</v>
      </c>
      <c r="K212" s="424">
        <f>IF(OR(K$195&lt;$C212,K$195&lt;$H$2),0,MIN($E212-SUM($G212:J212),$F212))</f>
        <v>0</v>
      </c>
      <c r="L212" s="424">
        <f>IF(OR(L$195&lt;$C212,L$195&lt;$H$2),0,MIN($E212-SUM($G212:K212),$F212))</f>
        <v>0</v>
      </c>
      <c r="M212" s="424">
        <f>IF(OR(M$195&lt;$C212,M$195&lt;$H$2),0,MIN($E212-SUM($G212:L212),$F212))</f>
        <v>0</v>
      </c>
      <c r="N212" s="424">
        <f>IF(OR(N$195&lt;$C212,N$195&lt;$H$2),0,MIN($E212-SUM($G212:M212),$F212))</f>
        <v>0</v>
      </c>
      <c r="O212" s="424">
        <f>IF(OR(O$195&lt;$C212,O$195&lt;$H$2),0,MIN($E212-SUM($G212:N212),$F212))</f>
        <v>0</v>
      </c>
      <c r="P212" s="424">
        <f>IF(OR(P$195&lt;$C212,P$195&lt;$H$2),0,MIN($E212-SUM($G212:O212),$F212))</f>
        <v>0</v>
      </c>
      <c r="Q212" s="424">
        <f>IF(OR(Q$195&lt;$C212,Q$195&lt;$H$2),0,MIN($E212-SUM($G212:P212),$F212))</f>
        <v>0</v>
      </c>
      <c r="R212" s="424">
        <f>IF(OR(R$195&lt;$C212,R$195&lt;$H$2),0,MIN($E212-SUM($G212:Q212),$F212))</f>
        <v>0</v>
      </c>
      <c r="S212" s="424">
        <f>IF(OR(S$195&lt;$C212,S$195&lt;$H$2),0,MIN($E212-SUM($G212:R212),$F212))</f>
        <v>0</v>
      </c>
      <c r="T212" s="424">
        <f>IF(OR(T$195&lt;$C212,T$195&lt;$H$2),0,MIN($E212-SUM($G212:S212),$F212))</f>
        <v>0</v>
      </c>
      <c r="U212" s="424">
        <f>IF(OR(U$195&lt;$C212,U$195&lt;$H$2),0,MIN($E212-SUM($G212:T212),$F212))</f>
        <v>0</v>
      </c>
      <c r="V212" s="424">
        <f>IF(OR(V$195&lt;$C212,V$195&lt;$H$2),0,MIN($E212-SUM($G212:U212),$F212))</f>
        <v>0</v>
      </c>
      <c r="W212" s="424">
        <f>IF(OR(W$195&lt;$C212,W$195&lt;$H$2),0,MIN($E212-SUM($G212:V212),$F212))</f>
        <v>0</v>
      </c>
      <c r="X212" s="424">
        <f>IF(OR(X$195&lt;$C212,X$195&lt;$H$2),0,MIN($E212-SUM($G212:W212),$F212))</f>
        <v>0</v>
      </c>
      <c r="Y212" s="424">
        <f>IF(OR(Y$195&lt;$C212,Y$195&lt;$H$2),0,MIN($E212-SUM($G212:X212),$F212))</f>
        <v>0</v>
      </c>
      <c r="Z212" s="424">
        <f>IF(OR(Z$195&lt;$C212,Z$195&lt;$H$2),0,MIN($E212-SUM($G212:Y212),$F212))</f>
        <v>0</v>
      </c>
      <c r="AA212" s="424">
        <f>IF(OR(AA$195&lt;$C212,AA$195&lt;$H$2),0,MIN($E212-SUM($G212:Z212),$F212))</f>
        <v>0</v>
      </c>
      <c r="AB212" s="424">
        <f>IF(OR(AB$195&lt;$C212,AB$195&lt;$H$2),0,MIN($E212-SUM($G212:AA212),$F212))</f>
        <v>0</v>
      </c>
      <c r="AC212" s="424">
        <f>IF(OR(AC$195&lt;$C212,AC$195&lt;$H$2),0,MIN($E212-SUM($G212:AB212),$F212))</f>
        <v>0</v>
      </c>
      <c r="AD212" s="424">
        <f>IF(OR(AD$195&lt;$C212,AD$195&lt;$H$2),0,MIN($E212-SUM($G212:AC212),$F212))</f>
        <v>0</v>
      </c>
      <c r="AE212" s="424">
        <f>IF(OR(AE$195&lt;$C212,AE$195&lt;$H$2),0,MIN($E212-SUM($G212:AD212),$F212))</f>
        <v>0</v>
      </c>
      <c r="AF212" s="424">
        <f>IF(OR(AF$195&lt;$C212,AF$195&lt;$H$2),0,MIN($E212-SUM($G212:AE212),$F212))</f>
        <v>0</v>
      </c>
      <c r="AG212" s="424">
        <f>IF(OR(AG$195&lt;$C212,AG$195&lt;$H$2),0,MIN($E212-SUM($G212:AF212),$F212))</f>
        <v>0</v>
      </c>
      <c r="AH212" s="424">
        <f>IF(OR(AH$195&lt;$C212,AH$195&lt;$H$2),0,MIN($E212-SUM($G212:AG212),$F212))</f>
        <v>0</v>
      </c>
      <c r="AI212" s="424">
        <f>IF(OR(AI$195&lt;$C212,AI$195&lt;$H$2),0,MIN($E212-SUM($G212:AH212),$F212))</f>
        <v>0</v>
      </c>
      <c r="AJ212" s="424">
        <f>IF(OR(AJ$195&lt;$C212,AJ$195&lt;$H$2),0,MIN($E212-SUM($G212:AI212),$F212))</f>
        <v>0</v>
      </c>
      <c r="AK212" s="424">
        <f>IF(OR(AK$195&lt;$C212,AK$195&lt;$H$2),0,MIN($E212-SUM($G212:AJ212),$F212))</f>
        <v>0</v>
      </c>
    </row>
    <row r="213" spans="3:37">
      <c r="C213" s="201">
        <v>51513</v>
      </c>
      <c r="D213" s="94" t="s">
        <v>134</v>
      </c>
      <c r="E213" s="424">
        <f t="shared" si="106"/>
        <v>0</v>
      </c>
      <c r="F213" s="209">
        <f t="shared" si="107"/>
        <v>0</v>
      </c>
      <c r="H213" s="424">
        <f>IF(OR(H$195&lt;$C213,H$195&lt;$H$2),0,MIN($E213-SUM($G213:G213),$F213))</f>
        <v>0</v>
      </c>
      <c r="I213" s="424">
        <f>IF(OR(I$195&lt;$C213,I$195&lt;$H$2),0,MIN($E213-SUM($G213:H213),$F213))</f>
        <v>0</v>
      </c>
      <c r="J213" s="424">
        <f>IF(OR(J$195&lt;$C213,J$195&lt;$H$2),0,MIN($E213-SUM($G213:I213),$F213))</f>
        <v>0</v>
      </c>
      <c r="K213" s="424">
        <f>IF(OR(K$195&lt;$C213,K$195&lt;$H$2),0,MIN($E213-SUM($G213:J213),$F213))</f>
        <v>0</v>
      </c>
      <c r="L213" s="424">
        <f>IF(OR(L$195&lt;$C213,L$195&lt;$H$2),0,MIN($E213-SUM($G213:K213),$F213))</f>
        <v>0</v>
      </c>
      <c r="M213" s="424">
        <f>IF(OR(M$195&lt;$C213,M$195&lt;$H$2),0,MIN($E213-SUM($G213:L213),$F213))</f>
        <v>0</v>
      </c>
      <c r="N213" s="424">
        <f>IF(OR(N$195&lt;$C213,N$195&lt;$H$2),0,MIN($E213-SUM($G213:M213),$F213))</f>
        <v>0</v>
      </c>
      <c r="O213" s="424">
        <f>IF(OR(O$195&lt;$C213,O$195&lt;$H$2),0,MIN($E213-SUM($G213:N213),$F213))</f>
        <v>0</v>
      </c>
      <c r="P213" s="424">
        <f>IF(OR(P$195&lt;$C213,P$195&lt;$H$2),0,MIN($E213-SUM($G213:O213),$F213))</f>
        <v>0</v>
      </c>
      <c r="Q213" s="424">
        <f>IF(OR(Q$195&lt;$C213,Q$195&lt;$H$2),0,MIN($E213-SUM($G213:P213),$F213))</f>
        <v>0</v>
      </c>
      <c r="R213" s="424">
        <f>IF(OR(R$195&lt;$C213,R$195&lt;$H$2),0,MIN($E213-SUM($G213:Q213),$F213))</f>
        <v>0</v>
      </c>
      <c r="S213" s="424">
        <f>IF(OR(S$195&lt;$C213,S$195&lt;$H$2),0,MIN($E213-SUM($G213:R213),$F213))</f>
        <v>0</v>
      </c>
      <c r="T213" s="424">
        <f>IF(OR(T$195&lt;$C213,T$195&lt;$H$2),0,MIN($E213-SUM($G213:S213),$F213))</f>
        <v>0</v>
      </c>
      <c r="U213" s="424">
        <f>IF(OR(U$195&lt;$C213,U$195&lt;$H$2),0,MIN($E213-SUM($G213:T213),$F213))</f>
        <v>0</v>
      </c>
      <c r="V213" s="424">
        <f>IF(OR(V$195&lt;$C213,V$195&lt;$H$2),0,MIN($E213-SUM($G213:U213),$F213))</f>
        <v>0</v>
      </c>
      <c r="W213" s="424">
        <f>IF(OR(W$195&lt;$C213,W$195&lt;$H$2),0,MIN($E213-SUM($G213:V213),$F213))</f>
        <v>0</v>
      </c>
      <c r="X213" s="424">
        <f>IF(OR(X$195&lt;$C213,X$195&lt;$H$2),0,MIN($E213-SUM($G213:W213),$F213))</f>
        <v>0</v>
      </c>
      <c r="Y213" s="424">
        <f>IF(OR(Y$195&lt;$C213,Y$195&lt;$H$2),0,MIN($E213-SUM($G213:X213),$F213))</f>
        <v>0</v>
      </c>
      <c r="Z213" s="424">
        <f>IF(OR(Z$195&lt;$C213,Z$195&lt;$H$2),0,MIN($E213-SUM($G213:Y213),$F213))</f>
        <v>0</v>
      </c>
      <c r="AA213" s="424">
        <f>IF(OR(AA$195&lt;$C213,AA$195&lt;$H$2),0,MIN($E213-SUM($G213:Z213),$F213))</f>
        <v>0</v>
      </c>
      <c r="AB213" s="424">
        <f>IF(OR(AB$195&lt;$C213,AB$195&lt;$H$2),0,MIN($E213-SUM($G213:AA213),$F213))</f>
        <v>0</v>
      </c>
      <c r="AC213" s="424">
        <f>IF(OR(AC$195&lt;$C213,AC$195&lt;$H$2),0,MIN($E213-SUM($G213:AB213),$F213))</f>
        <v>0</v>
      </c>
      <c r="AD213" s="424">
        <f>IF(OR(AD$195&lt;$C213,AD$195&lt;$H$2),0,MIN($E213-SUM($G213:AC213),$F213))</f>
        <v>0</v>
      </c>
      <c r="AE213" s="424">
        <f>IF(OR(AE$195&lt;$C213,AE$195&lt;$H$2),0,MIN($E213-SUM($G213:AD213),$F213))</f>
        <v>0</v>
      </c>
      <c r="AF213" s="424">
        <f>IF(OR(AF$195&lt;$C213,AF$195&lt;$H$2),0,MIN($E213-SUM($G213:AE213),$F213))</f>
        <v>0</v>
      </c>
      <c r="AG213" s="424">
        <f>IF(OR(AG$195&lt;$C213,AG$195&lt;$H$2),0,MIN($E213-SUM($G213:AF213),$F213))</f>
        <v>0</v>
      </c>
      <c r="AH213" s="424">
        <f>IF(OR(AH$195&lt;$C213,AH$195&lt;$H$2),0,MIN($E213-SUM($G213:AG213),$F213))</f>
        <v>0</v>
      </c>
      <c r="AI213" s="424">
        <f>IF(OR(AI$195&lt;$C213,AI$195&lt;$H$2),0,MIN($E213-SUM($G213:AH213),$F213))</f>
        <v>0</v>
      </c>
      <c r="AJ213" s="424">
        <f>IF(OR(AJ$195&lt;$C213,AJ$195&lt;$H$2),0,MIN($E213-SUM($G213:AI213),$F213))</f>
        <v>0</v>
      </c>
      <c r="AK213" s="424">
        <f>IF(OR(AK$195&lt;$C213,AK$195&lt;$H$2),0,MIN($E213-SUM($G213:AJ213),$F213))</f>
        <v>0</v>
      </c>
    </row>
    <row r="214" spans="3:37">
      <c r="C214" s="201">
        <v>51879</v>
      </c>
      <c r="D214" s="94" t="s">
        <v>134</v>
      </c>
      <c r="E214" s="424">
        <f t="shared" si="106"/>
        <v>0</v>
      </c>
      <c r="F214" s="209">
        <f t="shared" si="107"/>
        <v>0</v>
      </c>
      <c r="H214" s="424">
        <f>IF(OR(H$195&lt;$C214,H$195&lt;$H$2),0,MIN($E214-SUM($G214:G214),$F214))</f>
        <v>0</v>
      </c>
      <c r="I214" s="424">
        <f>IF(OR(I$195&lt;$C214,I$195&lt;$H$2),0,MIN($E214-SUM($G214:H214),$F214))</f>
        <v>0</v>
      </c>
      <c r="J214" s="424">
        <f>IF(OR(J$195&lt;$C214,J$195&lt;$H$2),0,MIN($E214-SUM($G214:I214),$F214))</f>
        <v>0</v>
      </c>
      <c r="K214" s="424">
        <f>IF(OR(K$195&lt;$C214,K$195&lt;$H$2),0,MIN($E214-SUM($G214:J214),$F214))</f>
        <v>0</v>
      </c>
      <c r="L214" s="424">
        <f>IF(OR(L$195&lt;$C214,L$195&lt;$H$2),0,MIN($E214-SUM($G214:K214),$F214))</f>
        <v>0</v>
      </c>
      <c r="M214" s="424">
        <f>IF(OR(M$195&lt;$C214,M$195&lt;$H$2),0,MIN($E214-SUM($G214:L214),$F214))</f>
        <v>0</v>
      </c>
      <c r="N214" s="424">
        <f>IF(OR(N$195&lt;$C214,N$195&lt;$H$2),0,MIN($E214-SUM($G214:M214),$F214))</f>
        <v>0</v>
      </c>
      <c r="O214" s="424">
        <f>IF(OR(O$195&lt;$C214,O$195&lt;$H$2),0,MIN($E214-SUM($G214:N214),$F214))</f>
        <v>0</v>
      </c>
      <c r="P214" s="424">
        <f>IF(OR(P$195&lt;$C214,P$195&lt;$H$2),0,MIN($E214-SUM($G214:O214),$F214))</f>
        <v>0</v>
      </c>
      <c r="Q214" s="424">
        <f>IF(OR(Q$195&lt;$C214,Q$195&lt;$H$2),0,MIN($E214-SUM($G214:P214),$F214))</f>
        <v>0</v>
      </c>
      <c r="R214" s="424">
        <f>IF(OR(R$195&lt;$C214,R$195&lt;$H$2),0,MIN($E214-SUM($G214:Q214),$F214))</f>
        <v>0</v>
      </c>
      <c r="S214" s="424">
        <f>IF(OR(S$195&lt;$C214,S$195&lt;$H$2),0,MIN($E214-SUM($G214:R214),$F214))</f>
        <v>0</v>
      </c>
      <c r="T214" s="424">
        <f>IF(OR(T$195&lt;$C214,T$195&lt;$H$2),0,MIN($E214-SUM($G214:S214),$F214))</f>
        <v>0</v>
      </c>
      <c r="U214" s="424">
        <f>IF(OR(U$195&lt;$C214,U$195&lt;$H$2),0,MIN($E214-SUM($G214:T214),$F214))</f>
        <v>0</v>
      </c>
      <c r="V214" s="424">
        <f>IF(OR(V$195&lt;$C214,V$195&lt;$H$2),0,MIN($E214-SUM($G214:U214),$F214))</f>
        <v>0</v>
      </c>
      <c r="W214" s="424">
        <f>IF(OR(W$195&lt;$C214,W$195&lt;$H$2),0,MIN($E214-SUM($G214:V214),$F214))</f>
        <v>0</v>
      </c>
      <c r="X214" s="424">
        <f>IF(OR(X$195&lt;$C214,X$195&lt;$H$2),0,MIN($E214-SUM($G214:W214),$F214))</f>
        <v>0</v>
      </c>
      <c r="Y214" s="424">
        <f>IF(OR(Y$195&lt;$C214,Y$195&lt;$H$2),0,MIN($E214-SUM($G214:X214),$F214))</f>
        <v>0</v>
      </c>
      <c r="Z214" s="424">
        <f>IF(OR(Z$195&lt;$C214,Z$195&lt;$H$2),0,MIN($E214-SUM($G214:Y214),$F214))</f>
        <v>0</v>
      </c>
      <c r="AA214" s="424">
        <f>IF(OR(AA$195&lt;$C214,AA$195&lt;$H$2),0,MIN($E214-SUM($G214:Z214),$F214))</f>
        <v>0</v>
      </c>
      <c r="AB214" s="424">
        <f>IF(OR(AB$195&lt;$C214,AB$195&lt;$H$2),0,MIN($E214-SUM($G214:AA214),$F214))</f>
        <v>0</v>
      </c>
      <c r="AC214" s="424">
        <f>IF(OR(AC$195&lt;$C214,AC$195&lt;$H$2),0,MIN($E214-SUM($G214:AB214),$F214))</f>
        <v>0</v>
      </c>
      <c r="AD214" s="424">
        <f>IF(OR(AD$195&lt;$C214,AD$195&lt;$H$2),0,MIN($E214-SUM($G214:AC214),$F214))</f>
        <v>0</v>
      </c>
      <c r="AE214" s="424">
        <f>IF(OR(AE$195&lt;$C214,AE$195&lt;$H$2),0,MIN($E214-SUM($G214:AD214),$F214))</f>
        <v>0</v>
      </c>
      <c r="AF214" s="424">
        <f>IF(OR(AF$195&lt;$C214,AF$195&lt;$H$2),0,MIN($E214-SUM($G214:AE214),$F214))</f>
        <v>0</v>
      </c>
      <c r="AG214" s="424">
        <f>IF(OR(AG$195&lt;$C214,AG$195&lt;$H$2),0,MIN($E214-SUM($G214:AF214),$F214))</f>
        <v>0</v>
      </c>
      <c r="AH214" s="424">
        <f>IF(OR(AH$195&lt;$C214,AH$195&lt;$H$2),0,MIN($E214-SUM($G214:AG214),$F214))</f>
        <v>0</v>
      </c>
      <c r="AI214" s="424">
        <f>IF(OR(AI$195&lt;$C214,AI$195&lt;$H$2),0,MIN($E214-SUM($G214:AH214),$F214))</f>
        <v>0</v>
      </c>
      <c r="AJ214" s="424">
        <f>IF(OR(AJ$195&lt;$C214,AJ$195&lt;$H$2),0,MIN($E214-SUM($G214:AI214),$F214))</f>
        <v>0</v>
      </c>
      <c r="AK214" s="424">
        <f>IF(OR(AK$195&lt;$C214,AK$195&lt;$H$2),0,MIN($E214-SUM($G214:AJ214),$F214))</f>
        <v>0</v>
      </c>
    </row>
    <row r="215" spans="3:37">
      <c r="C215" s="201">
        <v>52245</v>
      </c>
      <c r="D215" s="94" t="s">
        <v>134</v>
      </c>
      <c r="E215" s="424">
        <f t="shared" si="106"/>
        <v>0</v>
      </c>
      <c r="F215" s="209">
        <f t="shared" si="107"/>
        <v>0</v>
      </c>
      <c r="H215" s="424">
        <f>IF(OR(H$195&lt;$C215,H$195&lt;$H$2),0,MIN($E215-SUM($G215:G215),$F215))</f>
        <v>0</v>
      </c>
      <c r="I215" s="424">
        <f>IF(OR(I$195&lt;$C215,I$195&lt;$H$2),0,MIN($E215-SUM($G215:H215),$F215))</f>
        <v>0</v>
      </c>
      <c r="J215" s="424">
        <f>IF(OR(J$195&lt;$C215,J$195&lt;$H$2),0,MIN($E215-SUM($G215:I215),$F215))</f>
        <v>0</v>
      </c>
      <c r="K215" s="424">
        <f>IF(OR(K$195&lt;$C215,K$195&lt;$H$2),0,MIN($E215-SUM($G215:J215),$F215))</f>
        <v>0</v>
      </c>
      <c r="L215" s="424">
        <f>IF(OR(L$195&lt;$C215,L$195&lt;$H$2),0,MIN($E215-SUM($G215:K215),$F215))</f>
        <v>0</v>
      </c>
      <c r="M215" s="424">
        <f>IF(OR(M$195&lt;$C215,M$195&lt;$H$2),0,MIN($E215-SUM($G215:L215),$F215))</f>
        <v>0</v>
      </c>
      <c r="N215" s="424">
        <f>IF(OR(N$195&lt;$C215,N$195&lt;$H$2),0,MIN($E215-SUM($G215:M215),$F215))</f>
        <v>0</v>
      </c>
      <c r="O215" s="424">
        <f>IF(OR(O$195&lt;$C215,O$195&lt;$H$2),0,MIN($E215-SUM($G215:N215),$F215))</f>
        <v>0</v>
      </c>
      <c r="P215" s="424">
        <f>IF(OR(P$195&lt;$C215,P$195&lt;$H$2),0,MIN($E215-SUM($G215:O215),$F215))</f>
        <v>0</v>
      </c>
      <c r="Q215" s="424">
        <f>IF(OR(Q$195&lt;$C215,Q$195&lt;$H$2),0,MIN($E215-SUM($G215:P215),$F215))</f>
        <v>0</v>
      </c>
      <c r="R215" s="424">
        <f>IF(OR(R$195&lt;$C215,R$195&lt;$H$2),0,MIN($E215-SUM($G215:Q215),$F215))</f>
        <v>0</v>
      </c>
      <c r="S215" s="424">
        <f>IF(OR(S$195&lt;$C215,S$195&lt;$H$2),0,MIN($E215-SUM($G215:R215),$F215))</f>
        <v>0</v>
      </c>
      <c r="T215" s="424">
        <f>IF(OR(T$195&lt;$C215,T$195&lt;$H$2),0,MIN($E215-SUM($G215:S215),$F215))</f>
        <v>0</v>
      </c>
      <c r="U215" s="424">
        <f>IF(OR(U$195&lt;$C215,U$195&lt;$H$2),0,MIN($E215-SUM($G215:T215),$F215))</f>
        <v>0</v>
      </c>
      <c r="V215" s="424">
        <f>IF(OR(V$195&lt;$C215,V$195&lt;$H$2),0,MIN($E215-SUM($G215:U215),$F215))</f>
        <v>0</v>
      </c>
      <c r="W215" s="424">
        <f>IF(OR(W$195&lt;$C215,W$195&lt;$H$2),0,MIN($E215-SUM($G215:V215),$F215))</f>
        <v>0</v>
      </c>
      <c r="X215" s="424">
        <f>IF(OR(X$195&lt;$C215,X$195&lt;$H$2),0,MIN($E215-SUM($G215:W215),$F215))</f>
        <v>0</v>
      </c>
      <c r="Y215" s="424">
        <f>IF(OR(Y$195&lt;$C215,Y$195&lt;$H$2),0,MIN($E215-SUM($G215:X215),$F215))</f>
        <v>0</v>
      </c>
      <c r="Z215" s="424">
        <f>IF(OR(Z$195&lt;$C215,Z$195&lt;$H$2),0,MIN($E215-SUM($G215:Y215),$F215))</f>
        <v>0</v>
      </c>
      <c r="AA215" s="424">
        <f>IF(OR(AA$195&lt;$C215,AA$195&lt;$H$2),0,MIN($E215-SUM($G215:Z215),$F215))</f>
        <v>0</v>
      </c>
      <c r="AB215" s="424">
        <f>IF(OR(AB$195&lt;$C215,AB$195&lt;$H$2),0,MIN($E215-SUM($G215:AA215),$F215))</f>
        <v>0</v>
      </c>
      <c r="AC215" s="424">
        <f>IF(OR(AC$195&lt;$C215,AC$195&lt;$H$2),0,MIN($E215-SUM($G215:AB215),$F215))</f>
        <v>0</v>
      </c>
      <c r="AD215" s="424">
        <f>IF(OR(AD$195&lt;$C215,AD$195&lt;$H$2),0,MIN($E215-SUM($G215:AC215),$F215))</f>
        <v>0</v>
      </c>
      <c r="AE215" s="424">
        <f>IF(OR(AE$195&lt;$C215,AE$195&lt;$H$2),0,MIN($E215-SUM($G215:AD215),$F215))</f>
        <v>0</v>
      </c>
      <c r="AF215" s="424">
        <f>IF(OR(AF$195&lt;$C215,AF$195&lt;$H$2),0,MIN($E215-SUM($G215:AE215),$F215))</f>
        <v>0</v>
      </c>
      <c r="AG215" s="424">
        <f>IF(OR(AG$195&lt;$C215,AG$195&lt;$H$2),0,MIN($E215-SUM($G215:AF215),$F215))</f>
        <v>0</v>
      </c>
      <c r="AH215" s="424">
        <f>IF(OR(AH$195&lt;$C215,AH$195&lt;$H$2),0,MIN($E215-SUM($G215:AG215),$F215))</f>
        <v>0</v>
      </c>
      <c r="AI215" s="424">
        <f>IF(OR(AI$195&lt;$C215,AI$195&lt;$H$2),0,MIN($E215-SUM($G215:AH215),$F215))</f>
        <v>0</v>
      </c>
      <c r="AJ215" s="424">
        <f>IF(OR(AJ$195&lt;$C215,AJ$195&lt;$H$2),0,MIN($E215-SUM($G215:AI215),$F215))</f>
        <v>0</v>
      </c>
      <c r="AK215" s="424">
        <f>IF(OR(AK$195&lt;$C215,AK$195&lt;$H$2),0,MIN($E215-SUM($G215:AJ215),$F215))</f>
        <v>0</v>
      </c>
    </row>
    <row r="216" spans="3:37">
      <c r="C216" s="201">
        <v>52611</v>
      </c>
      <c r="D216" s="94" t="s">
        <v>134</v>
      </c>
      <c r="E216" s="424">
        <f t="shared" si="106"/>
        <v>0</v>
      </c>
      <c r="F216" s="209">
        <f t="shared" si="107"/>
        <v>0</v>
      </c>
      <c r="H216" s="424">
        <f>IF(OR(H$195&lt;$C216,H$195&lt;$H$2),0,MIN($E216-SUM($G216:G216),$F216))</f>
        <v>0</v>
      </c>
      <c r="I216" s="424">
        <f>IF(OR(I$195&lt;$C216,I$195&lt;$H$2),0,MIN($E216-SUM($G216:H216),$F216))</f>
        <v>0</v>
      </c>
      <c r="J216" s="424">
        <f>IF(OR(J$195&lt;$C216,J$195&lt;$H$2),0,MIN($E216-SUM($G216:I216),$F216))</f>
        <v>0</v>
      </c>
      <c r="K216" s="424">
        <f>IF(OR(K$195&lt;$C216,K$195&lt;$H$2),0,MIN($E216-SUM($G216:J216),$F216))</f>
        <v>0</v>
      </c>
      <c r="L216" s="424">
        <f>IF(OR(L$195&lt;$C216,L$195&lt;$H$2),0,MIN($E216-SUM($G216:K216),$F216))</f>
        <v>0</v>
      </c>
      <c r="M216" s="424">
        <f>IF(OR(M$195&lt;$C216,M$195&lt;$H$2),0,MIN($E216-SUM($G216:L216),$F216))</f>
        <v>0</v>
      </c>
      <c r="N216" s="424">
        <f>IF(OR(N$195&lt;$C216,N$195&lt;$H$2),0,MIN($E216-SUM($G216:M216),$F216))</f>
        <v>0</v>
      </c>
      <c r="O216" s="424">
        <f>IF(OR(O$195&lt;$C216,O$195&lt;$H$2),0,MIN($E216-SUM($G216:N216),$F216))</f>
        <v>0</v>
      </c>
      <c r="P216" s="424">
        <f>IF(OR(P$195&lt;$C216,P$195&lt;$H$2),0,MIN($E216-SUM($G216:O216),$F216))</f>
        <v>0</v>
      </c>
      <c r="Q216" s="424">
        <f>IF(OR(Q$195&lt;$C216,Q$195&lt;$H$2),0,MIN($E216-SUM($G216:P216),$F216))</f>
        <v>0</v>
      </c>
      <c r="R216" s="424">
        <f>IF(OR(R$195&lt;$C216,R$195&lt;$H$2),0,MIN($E216-SUM($G216:Q216),$F216))</f>
        <v>0</v>
      </c>
      <c r="S216" s="424">
        <f>IF(OR(S$195&lt;$C216,S$195&lt;$H$2),0,MIN($E216-SUM($G216:R216),$F216))</f>
        <v>0</v>
      </c>
      <c r="T216" s="424">
        <f>IF(OR(T$195&lt;$C216,T$195&lt;$H$2),0,MIN($E216-SUM($G216:S216),$F216))</f>
        <v>0</v>
      </c>
      <c r="U216" s="424">
        <f>IF(OR(U$195&lt;$C216,U$195&lt;$H$2),0,MIN($E216-SUM($G216:T216),$F216))</f>
        <v>0</v>
      </c>
      <c r="V216" s="424">
        <f>IF(OR(V$195&lt;$C216,V$195&lt;$H$2),0,MIN($E216-SUM($G216:U216),$F216))</f>
        <v>0</v>
      </c>
      <c r="W216" s="424">
        <f>IF(OR(W$195&lt;$C216,W$195&lt;$H$2),0,MIN($E216-SUM($G216:V216),$F216))</f>
        <v>0</v>
      </c>
      <c r="X216" s="424">
        <f>IF(OR(X$195&lt;$C216,X$195&lt;$H$2),0,MIN($E216-SUM($G216:W216),$F216))</f>
        <v>0</v>
      </c>
      <c r="Y216" s="424">
        <f>IF(OR(Y$195&lt;$C216,Y$195&lt;$H$2),0,MIN($E216-SUM($G216:X216),$F216))</f>
        <v>0</v>
      </c>
      <c r="Z216" s="424">
        <f>IF(OR(Z$195&lt;$C216,Z$195&lt;$H$2),0,MIN($E216-SUM($G216:Y216),$F216))</f>
        <v>0</v>
      </c>
      <c r="AA216" s="424">
        <f>IF(OR(AA$195&lt;$C216,AA$195&lt;$H$2),0,MIN($E216-SUM($G216:Z216),$F216))</f>
        <v>0</v>
      </c>
      <c r="AB216" s="424">
        <f>IF(OR(AB$195&lt;$C216,AB$195&lt;$H$2),0,MIN($E216-SUM($G216:AA216),$F216))</f>
        <v>0</v>
      </c>
      <c r="AC216" s="424">
        <f>IF(OR(AC$195&lt;$C216,AC$195&lt;$H$2),0,MIN($E216-SUM($G216:AB216),$F216))</f>
        <v>0</v>
      </c>
      <c r="AD216" s="424">
        <f>IF(OR(AD$195&lt;$C216,AD$195&lt;$H$2),0,MIN($E216-SUM($G216:AC216),$F216))</f>
        <v>0</v>
      </c>
      <c r="AE216" s="424">
        <f>IF(OR(AE$195&lt;$C216,AE$195&lt;$H$2),0,MIN($E216-SUM($G216:AD216),$F216))</f>
        <v>0</v>
      </c>
      <c r="AF216" s="424">
        <f>IF(OR(AF$195&lt;$C216,AF$195&lt;$H$2),0,MIN($E216-SUM($G216:AE216),$F216))</f>
        <v>0</v>
      </c>
      <c r="AG216" s="424">
        <f>IF(OR(AG$195&lt;$C216,AG$195&lt;$H$2),0,MIN($E216-SUM($G216:AF216),$F216))</f>
        <v>0</v>
      </c>
      <c r="AH216" s="424">
        <f>IF(OR(AH$195&lt;$C216,AH$195&lt;$H$2),0,MIN($E216-SUM($G216:AG216),$F216))</f>
        <v>0</v>
      </c>
      <c r="AI216" s="424">
        <f>IF(OR(AI$195&lt;$C216,AI$195&lt;$H$2),0,MIN($E216-SUM($G216:AH216),$F216))</f>
        <v>0</v>
      </c>
      <c r="AJ216" s="424">
        <f>IF(OR(AJ$195&lt;$C216,AJ$195&lt;$H$2),0,MIN($E216-SUM($G216:AI216),$F216))</f>
        <v>0</v>
      </c>
      <c r="AK216" s="424">
        <f>IF(OR(AK$195&lt;$C216,AK$195&lt;$H$2),0,MIN($E216-SUM($G216:AJ216),$F216))</f>
        <v>0</v>
      </c>
    </row>
    <row r="217" spans="3:37">
      <c r="C217" s="201">
        <v>52977</v>
      </c>
      <c r="D217" s="94" t="s">
        <v>134</v>
      </c>
      <c r="E217" s="424">
        <f t="shared" si="106"/>
        <v>0</v>
      </c>
      <c r="F217" s="209">
        <f t="shared" si="107"/>
        <v>0</v>
      </c>
      <c r="H217" s="424">
        <f>IF(OR(H$195&lt;$C217,H$195&lt;$H$2),0,MIN($E217-SUM($G217:G217),$F217))</f>
        <v>0</v>
      </c>
      <c r="I217" s="424">
        <f>IF(OR(I$195&lt;$C217,I$195&lt;$H$2),0,MIN($E217-SUM($G217:H217),$F217))</f>
        <v>0</v>
      </c>
      <c r="J217" s="424">
        <f>IF(OR(J$195&lt;$C217,J$195&lt;$H$2),0,MIN($E217-SUM($G217:I217),$F217))</f>
        <v>0</v>
      </c>
      <c r="K217" s="424">
        <f>IF(OR(K$195&lt;$C217,K$195&lt;$H$2),0,MIN($E217-SUM($G217:J217),$F217))</f>
        <v>0</v>
      </c>
      <c r="L217" s="424">
        <f>IF(OR(L$195&lt;$C217,L$195&lt;$H$2),0,MIN($E217-SUM($G217:K217),$F217))</f>
        <v>0</v>
      </c>
      <c r="M217" s="424">
        <f>IF(OR(M$195&lt;$C217,M$195&lt;$H$2),0,MIN($E217-SUM($G217:L217),$F217))</f>
        <v>0</v>
      </c>
      <c r="N217" s="424">
        <f>IF(OR(N$195&lt;$C217,N$195&lt;$H$2),0,MIN($E217-SUM($G217:M217),$F217))</f>
        <v>0</v>
      </c>
      <c r="O217" s="424">
        <f>IF(OR(O$195&lt;$C217,O$195&lt;$H$2),0,MIN($E217-SUM($G217:N217),$F217))</f>
        <v>0</v>
      </c>
      <c r="P217" s="424">
        <f>IF(OR(P$195&lt;$C217,P$195&lt;$H$2),0,MIN($E217-SUM($G217:O217),$F217))</f>
        <v>0</v>
      </c>
      <c r="Q217" s="424">
        <f>IF(OR(Q$195&lt;$C217,Q$195&lt;$H$2),0,MIN($E217-SUM($G217:P217),$F217))</f>
        <v>0</v>
      </c>
      <c r="R217" s="424">
        <f>IF(OR(R$195&lt;$C217,R$195&lt;$H$2),0,MIN($E217-SUM($G217:Q217),$F217))</f>
        <v>0</v>
      </c>
      <c r="S217" s="424">
        <f>IF(OR(S$195&lt;$C217,S$195&lt;$H$2),0,MIN($E217-SUM($G217:R217),$F217))</f>
        <v>0</v>
      </c>
      <c r="T217" s="424">
        <f>IF(OR(T$195&lt;$C217,T$195&lt;$H$2),0,MIN($E217-SUM($G217:S217),$F217))</f>
        <v>0</v>
      </c>
      <c r="U217" s="424">
        <f>IF(OR(U$195&lt;$C217,U$195&lt;$H$2),0,MIN($E217-SUM($G217:T217),$F217))</f>
        <v>0</v>
      </c>
      <c r="V217" s="424">
        <f>IF(OR(V$195&lt;$C217,V$195&lt;$H$2),0,MIN($E217-SUM($G217:U217),$F217))</f>
        <v>0</v>
      </c>
      <c r="W217" s="424">
        <f>IF(OR(W$195&lt;$C217,W$195&lt;$H$2),0,MIN($E217-SUM($G217:V217),$F217))</f>
        <v>0</v>
      </c>
      <c r="X217" s="424">
        <f>IF(OR(X$195&lt;$C217,X$195&lt;$H$2),0,MIN($E217-SUM($G217:W217),$F217))</f>
        <v>0</v>
      </c>
      <c r="Y217" s="424">
        <f>IF(OR(Y$195&lt;$C217,Y$195&lt;$H$2),0,MIN($E217-SUM($G217:X217),$F217))</f>
        <v>0</v>
      </c>
      <c r="Z217" s="424">
        <f>IF(OR(Z$195&lt;$C217,Z$195&lt;$H$2),0,MIN($E217-SUM($G217:Y217),$F217))</f>
        <v>0</v>
      </c>
      <c r="AA217" s="424">
        <f>IF(OR(AA$195&lt;$C217,AA$195&lt;$H$2),0,MIN($E217-SUM($G217:Z217),$F217))</f>
        <v>0</v>
      </c>
      <c r="AB217" s="424">
        <f>IF(OR(AB$195&lt;$C217,AB$195&lt;$H$2),0,MIN($E217-SUM($G217:AA217),$F217))</f>
        <v>0</v>
      </c>
      <c r="AC217" s="424">
        <f>IF(OR(AC$195&lt;$C217,AC$195&lt;$H$2),0,MIN($E217-SUM($G217:AB217),$F217))</f>
        <v>0</v>
      </c>
      <c r="AD217" s="424">
        <f>IF(OR(AD$195&lt;$C217,AD$195&lt;$H$2),0,MIN($E217-SUM($G217:AC217),$F217))</f>
        <v>0</v>
      </c>
      <c r="AE217" s="424">
        <f>IF(OR(AE$195&lt;$C217,AE$195&lt;$H$2),0,MIN($E217-SUM($G217:AD217),$F217))</f>
        <v>0</v>
      </c>
      <c r="AF217" s="424">
        <f>IF(OR(AF$195&lt;$C217,AF$195&lt;$H$2),0,MIN($E217-SUM($G217:AE217),$F217))</f>
        <v>0</v>
      </c>
      <c r="AG217" s="424">
        <f>IF(OR(AG$195&lt;$C217,AG$195&lt;$H$2),0,MIN($E217-SUM($G217:AF217),$F217))</f>
        <v>0</v>
      </c>
      <c r="AH217" s="424">
        <f>IF(OR(AH$195&lt;$C217,AH$195&lt;$H$2),0,MIN($E217-SUM($G217:AG217),$F217))</f>
        <v>0</v>
      </c>
      <c r="AI217" s="424">
        <f>IF(OR(AI$195&lt;$C217,AI$195&lt;$H$2),0,MIN($E217-SUM($G217:AH217),$F217))</f>
        <v>0</v>
      </c>
      <c r="AJ217" s="424">
        <f>IF(OR(AJ$195&lt;$C217,AJ$195&lt;$H$2),0,MIN($E217-SUM($G217:AI217),$F217))</f>
        <v>0</v>
      </c>
      <c r="AK217" s="424">
        <f>IF(OR(AK$195&lt;$C217,AK$195&lt;$H$2),0,MIN($E217-SUM($G217:AJ217),$F217))</f>
        <v>0</v>
      </c>
    </row>
    <row r="218" spans="3:37">
      <c r="C218" s="201">
        <v>53343</v>
      </c>
      <c r="D218" s="94" t="s">
        <v>134</v>
      </c>
      <c r="E218" s="424">
        <f t="shared" si="106"/>
        <v>0</v>
      </c>
      <c r="F218" s="209">
        <f t="shared" si="107"/>
        <v>0</v>
      </c>
      <c r="H218" s="424">
        <f>IF(OR(H$195&lt;$C218,H$195&lt;$H$2),0,MIN($E218-SUM($G218:G218),$F218))</f>
        <v>0</v>
      </c>
      <c r="I218" s="424">
        <f>IF(OR(I$195&lt;$C218,I$195&lt;$H$2),0,MIN($E218-SUM($G218:H218),$F218))</f>
        <v>0</v>
      </c>
      <c r="J218" s="424">
        <f>IF(OR(J$195&lt;$C218,J$195&lt;$H$2),0,MIN($E218-SUM($G218:I218),$F218))</f>
        <v>0</v>
      </c>
      <c r="K218" s="424">
        <f>IF(OR(K$195&lt;$C218,K$195&lt;$H$2),0,MIN($E218-SUM($G218:J218),$F218))</f>
        <v>0</v>
      </c>
      <c r="L218" s="424">
        <f>IF(OR(L$195&lt;$C218,L$195&lt;$H$2),0,MIN($E218-SUM($G218:K218),$F218))</f>
        <v>0</v>
      </c>
      <c r="M218" s="424">
        <f>IF(OR(M$195&lt;$C218,M$195&lt;$H$2),0,MIN($E218-SUM($G218:L218),$F218))</f>
        <v>0</v>
      </c>
      <c r="N218" s="424">
        <f>IF(OR(N$195&lt;$C218,N$195&lt;$H$2),0,MIN($E218-SUM($G218:M218),$F218))</f>
        <v>0</v>
      </c>
      <c r="O218" s="424">
        <f>IF(OR(O$195&lt;$C218,O$195&lt;$H$2),0,MIN($E218-SUM($G218:N218),$F218))</f>
        <v>0</v>
      </c>
      <c r="P218" s="424">
        <f>IF(OR(P$195&lt;$C218,P$195&lt;$H$2),0,MIN($E218-SUM($G218:O218),$F218))</f>
        <v>0</v>
      </c>
      <c r="Q218" s="424">
        <f>IF(OR(Q$195&lt;$C218,Q$195&lt;$H$2),0,MIN($E218-SUM($G218:P218),$F218))</f>
        <v>0</v>
      </c>
      <c r="R218" s="424">
        <f>IF(OR(R$195&lt;$C218,R$195&lt;$H$2),0,MIN($E218-SUM($G218:Q218),$F218))</f>
        <v>0</v>
      </c>
      <c r="S218" s="424">
        <f>IF(OR(S$195&lt;$C218,S$195&lt;$H$2),0,MIN($E218-SUM($G218:R218),$F218))</f>
        <v>0</v>
      </c>
      <c r="T218" s="424">
        <f>IF(OR(T$195&lt;$C218,T$195&lt;$H$2),0,MIN($E218-SUM($G218:S218),$F218))</f>
        <v>0</v>
      </c>
      <c r="U218" s="424">
        <f>IF(OR(U$195&lt;$C218,U$195&lt;$H$2),0,MIN($E218-SUM($G218:T218),$F218))</f>
        <v>0</v>
      </c>
      <c r="V218" s="424">
        <f>IF(OR(V$195&lt;$C218,V$195&lt;$H$2),0,MIN($E218-SUM($G218:U218),$F218))</f>
        <v>0</v>
      </c>
      <c r="W218" s="424">
        <f>IF(OR(W$195&lt;$C218,W$195&lt;$H$2),0,MIN($E218-SUM($G218:V218),$F218))</f>
        <v>0</v>
      </c>
      <c r="X218" s="424">
        <f>IF(OR(X$195&lt;$C218,X$195&lt;$H$2),0,MIN($E218-SUM($G218:W218),$F218))</f>
        <v>0</v>
      </c>
      <c r="Y218" s="424">
        <f>IF(OR(Y$195&lt;$C218,Y$195&lt;$H$2),0,MIN($E218-SUM($G218:X218),$F218))</f>
        <v>0</v>
      </c>
      <c r="Z218" s="424">
        <f>IF(OR(Z$195&lt;$C218,Z$195&lt;$H$2),0,MIN($E218-SUM($G218:Y218),$F218))</f>
        <v>0</v>
      </c>
      <c r="AA218" s="424">
        <f>IF(OR(AA$195&lt;$C218,AA$195&lt;$H$2),0,MIN($E218-SUM($G218:Z218),$F218))</f>
        <v>0</v>
      </c>
      <c r="AB218" s="424">
        <f>IF(OR(AB$195&lt;$C218,AB$195&lt;$H$2),0,MIN($E218-SUM($G218:AA218),$F218))</f>
        <v>0</v>
      </c>
      <c r="AC218" s="424">
        <f>IF(OR(AC$195&lt;$C218,AC$195&lt;$H$2),0,MIN($E218-SUM($G218:AB218),$F218))</f>
        <v>0</v>
      </c>
      <c r="AD218" s="424">
        <f>IF(OR(AD$195&lt;$C218,AD$195&lt;$H$2),0,MIN($E218-SUM($G218:AC218),$F218))</f>
        <v>0</v>
      </c>
      <c r="AE218" s="424">
        <f>IF(OR(AE$195&lt;$C218,AE$195&lt;$H$2),0,MIN($E218-SUM($G218:AD218),$F218))</f>
        <v>0</v>
      </c>
      <c r="AF218" s="424">
        <f>IF(OR(AF$195&lt;$C218,AF$195&lt;$H$2),0,MIN($E218-SUM($G218:AE218),$F218))</f>
        <v>0</v>
      </c>
      <c r="AG218" s="424">
        <f>IF(OR(AG$195&lt;$C218,AG$195&lt;$H$2),0,MIN($E218-SUM($G218:AF218),$F218))</f>
        <v>0</v>
      </c>
      <c r="AH218" s="424">
        <f>IF(OR(AH$195&lt;$C218,AH$195&lt;$H$2),0,MIN($E218-SUM($G218:AG218),$F218))</f>
        <v>0</v>
      </c>
      <c r="AI218" s="424">
        <f>IF(OR(AI$195&lt;$C218,AI$195&lt;$H$2),0,MIN($E218-SUM($G218:AH218),$F218))</f>
        <v>0</v>
      </c>
      <c r="AJ218" s="424">
        <f>IF(OR(AJ$195&lt;$C218,AJ$195&lt;$H$2),0,MIN($E218-SUM($G218:AI218),$F218))</f>
        <v>0</v>
      </c>
      <c r="AK218" s="424">
        <f>IF(OR(AK$195&lt;$C218,AK$195&lt;$H$2),0,MIN($E218-SUM($G218:AJ218),$F218))</f>
        <v>0</v>
      </c>
    </row>
    <row r="219" spans="3:37">
      <c r="C219" s="201">
        <v>53709</v>
      </c>
      <c r="D219" s="94" t="s">
        <v>134</v>
      </c>
      <c r="E219" s="424">
        <f t="shared" si="106"/>
        <v>0</v>
      </c>
      <c r="F219" s="209">
        <f t="shared" si="107"/>
        <v>0</v>
      </c>
      <c r="H219" s="424">
        <f>IF(OR(H$195&lt;$C219,H$195&lt;$H$2),0,MIN($E219-SUM($G219:G219),$F219))</f>
        <v>0</v>
      </c>
      <c r="I219" s="424">
        <f>IF(OR(I$195&lt;$C219,I$195&lt;$H$2),0,MIN($E219-SUM($G219:H219),$F219))</f>
        <v>0</v>
      </c>
      <c r="J219" s="424">
        <f>IF(OR(J$195&lt;$C219,J$195&lt;$H$2),0,MIN($E219-SUM($G219:I219),$F219))</f>
        <v>0</v>
      </c>
      <c r="K219" s="424">
        <f>IF(OR(K$195&lt;$C219,K$195&lt;$H$2),0,MIN($E219-SUM($G219:J219),$F219))</f>
        <v>0</v>
      </c>
      <c r="L219" s="424">
        <f>IF(OR(L$195&lt;$C219,L$195&lt;$H$2),0,MIN($E219-SUM($G219:K219),$F219))</f>
        <v>0</v>
      </c>
      <c r="M219" s="424">
        <f>IF(OR(M$195&lt;$C219,M$195&lt;$H$2),0,MIN($E219-SUM($G219:L219),$F219))</f>
        <v>0</v>
      </c>
      <c r="N219" s="424">
        <f>IF(OR(N$195&lt;$C219,N$195&lt;$H$2),0,MIN($E219-SUM($G219:M219),$F219))</f>
        <v>0</v>
      </c>
      <c r="O219" s="424">
        <f>IF(OR(O$195&lt;$C219,O$195&lt;$H$2),0,MIN($E219-SUM($G219:N219),$F219))</f>
        <v>0</v>
      </c>
      <c r="P219" s="424">
        <f>IF(OR(P$195&lt;$C219,P$195&lt;$H$2),0,MIN($E219-SUM($G219:O219),$F219))</f>
        <v>0</v>
      </c>
      <c r="Q219" s="424">
        <f>IF(OR(Q$195&lt;$C219,Q$195&lt;$H$2),0,MIN($E219-SUM($G219:P219),$F219))</f>
        <v>0</v>
      </c>
      <c r="R219" s="424">
        <f>IF(OR(R$195&lt;$C219,R$195&lt;$H$2),0,MIN($E219-SUM($G219:Q219),$F219))</f>
        <v>0</v>
      </c>
      <c r="S219" s="424">
        <f>IF(OR(S$195&lt;$C219,S$195&lt;$H$2),0,MIN($E219-SUM($G219:R219),$F219))</f>
        <v>0</v>
      </c>
      <c r="T219" s="424">
        <f>IF(OR(T$195&lt;$C219,T$195&lt;$H$2),0,MIN($E219-SUM($G219:S219),$F219))</f>
        <v>0</v>
      </c>
      <c r="U219" s="424">
        <f>IF(OR(U$195&lt;$C219,U$195&lt;$H$2),0,MIN($E219-SUM($G219:T219),$F219))</f>
        <v>0</v>
      </c>
      <c r="V219" s="424">
        <f>IF(OR(V$195&lt;$C219,V$195&lt;$H$2),0,MIN($E219-SUM($G219:U219),$F219))</f>
        <v>0</v>
      </c>
      <c r="W219" s="424">
        <f>IF(OR(W$195&lt;$C219,W$195&lt;$H$2),0,MIN($E219-SUM($G219:V219),$F219))</f>
        <v>0</v>
      </c>
      <c r="X219" s="424">
        <f>IF(OR(X$195&lt;$C219,X$195&lt;$H$2),0,MIN($E219-SUM($G219:W219),$F219))</f>
        <v>0</v>
      </c>
      <c r="Y219" s="424">
        <f>IF(OR(Y$195&lt;$C219,Y$195&lt;$H$2),0,MIN($E219-SUM($G219:X219),$F219))</f>
        <v>0</v>
      </c>
      <c r="Z219" s="424">
        <f>IF(OR(Z$195&lt;$C219,Z$195&lt;$H$2),0,MIN($E219-SUM($G219:Y219),$F219))</f>
        <v>0</v>
      </c>
      <c r="AA219" s="424">
        <f>IF(OR(AA$195&lt;$C219,AA$195&lt;$H$2),0,MIN($E219-SUM($G219:Z219),$F219))</f>
        <v>0</v>
      </c>
      <c r="AB219" s="424">
        <f>IF(OR(AB$195&lt;$C219,AB$195&lt;$H$2),0,MIN($E219-SUM($G219:AA219),$F219))</f>
        <v>0</v>
      </c>
      <c r="AC219" s="424">
        <f>IF(OR(AC$195&lt;$C219,AC$195&lt;$H$2),0,MIN($E219-SUM($G219:AB219),$F219))</f>
        <v>0</v>
      </c>
      <c r="AD219" s="424">
        <f>IF(OR(AD$195&lt;$C219,AD$195&lt;$H$2),0,MIN($E219-SUM($G219:AC219),$F219))</f>
        <v>0</v>
      </c>
      <c r="AE219" s="424">
        <f>IF(OR(AE$195&lt;$C219,AE$195&lt;$H$2),0,MIN($E219-SUM($G219:AD219),$F219))</f>
        <v>0</v>
      </c>
      <c r="AF219" s="424">
        <f>IF(OR(AF$195&lt;$C219,AF$195&lt;$H$2),0,MIN($E219-SUM($G219:AE219),$F219))</f>
        <v>0</v>
      </c>
      <c r="AG219" s="424">
        <f>IF(OR(AG$195&lt;$C219,AG$195&lt;$H$2),0,MIN($E219-SUM($G219:AF219),$F219))</f>
        <v>0</v>
      </c>
      <c r="AH219" s="424">
        <f>IF(OR(AH$195&lt;$C219,AH$195&lt;$H$2),0,MIN($E219-SUM($G219:AG219),$F219))</f>
        <v>0</v>
      </c>
      <c r="AI219" s="424">
        <f>IF(OR(AI$195&lt;$C219,AI$195&lt;$H$2),0,MIN($E219-SUM($G219:AH219),$F219))</f>
        <v>0</v>
      </c>
      <c r="AJ219" s="424">
        <f>IF(OR(AJ$195&lt;$C219,AJ$195&lt;$H$2),0,MIN($E219-SUM($G219:AI219),$F219))</f>
        <v>0</v>
      </c>
      <c r="AK219" s="424">
        <f>IF(OR(AK$195&lt;$C219,AK$195&lt;$H$2),0,MIN($E219-SUM($G219:AJ219),$F219))</f>
        <v>0</v>
      </c>
    </row>
    <row r="220" spans="3:37">
      <c r="C220" s="201">
        <v>54075</v>
      </c>
      <c r="D220" s="94" t="s">
        <v>134</v>
      </c>
      <c r="E220" s="424">
        <f t="shared" si="106"/>
        <v>0</v>
      </c>
      <c r="F220" s="209">
        <f t="shared" si="107"/>
        <v>0</v>
      </c>
      <c r="H220" s="424">
        <f>IF(OR(H$195&lt;$C220,H$195&lt;$H$2),0,MIN($E220-SUM($G220:G220),$F220))</f>
        <v>0</v>
      </c>
      <c r="I220" s="424">
        <f>IF(OR(I$195&lt;$C220,I$195&lt;$H$2),0,MIN($E220-SUM($G220:H220),$F220))</f>
        <v>0</v>
      </c>
      <c r="J220" s="424">
        <f>IF(OR(J$195&lt;$C220,J$195&lt;$H$2),0,MIN($E220-SUM($G220:I220),$F220))</f>
        <v>0</v>
      </c>
      <c r="K220" s="424">
        <f>IF(OR(K$195&lt;$C220,K$195&lt;$H$2),0,MIN($E220-SUM($G220:J220),$F220))</f>
        <v>0</v>
      </c>
      <c r="L220" s="424">
        <f>IF(OR(L$195&lt;$C220,L$195&lt;$H$2),0,MIN($E220-SUM($G220:K220),$F220))</f>
        <v>0</v>
      </c>
      <c r="M220" s="424">
        <f>IF(OR(M$195&lt;$C220,M$195&lt;$H$2),0,MIN($E220-SUM($G220:L220),$F220))</f>
        <v>0</v>
      </c>
      <c r="N220" s="424">
        <f>IF(OR(N$195&lt;$C220,N$195&lt;$H$2),0,MIN($E220-SUM($G220:M220),$F220))</f>
        <v>0</v>
      </c>
      <c r="O220" s="424">
        <f>IF(OR(O$195&lt;$C220,O$195&lt;$H$2),0,MIN($E220-SUM($G220:N220),$F220))</f>
        <v>0</v>
      </c>
      <c r="P220" s="424">
        <f>IF(OR(P$195&lt;$C220,P$195&lt;$H$2),0,MIN($E220-SUM($G220:O220),$F220))</f>
        <v>0</v>
      </c>
      <c r="Q220" s="424">
        <f>IF(OR(Q$195&lt;$C220,Q$195&lt;$H$2),0,MIN($E220-SUM($G220:P220),$F220))</f>
        <v>0</v>
      </c>
      <c r="R220" s="424">
        <f>IF(OR(R$195&lt;$C220,R$195&lt;$H$2),0,MIN($E220-SUM($G220:Q220),$F220))</f>
        <v>0</v>
      </c>
      <c r="S220" s="424">
        <f>IF(OR(S$195&lt;$C220,S$195&lt;$H$2),0,MIN($E220-SUM($G220:R220),$F220))</f>
        <v>0</v>
      </c>
      <c r="T220" s="424">
        <f>IF(OR(T$195&lt;$C220,T$195&lt;$H$2),0,MIN($E220-SUM($G220:S220),$F220))</f>
        <v>0</v>
      </c>
      <c r="U220" s="424">
        <f>IF(OR(U$195&lt;$C220,U$195&lt;$H$2),0,MIN($E220-SUM($G220:T220),$F220))</f>
        <v>0</v>
      </c>
      <c r="V220" s="424">
        <f>IF(OR(V$195&lt;$C220,V$195&lt;$H$2),0,MIN($E220-SUM($G220:U220),$F220))</f>
        <v>0</v>
      </c>
      <c r="W220" s="424">
        <f>IF(OR(W$195&lt;$C220,W$195&lt;$H$2),0,MIN($E220-SUM($G220:V220),$F220))</f>
        <v>0</v>
      </c>
      <c r="X220" s="424">
        <f>IF(OR(X$195&lt;$C220,X$195&lt;$H$2),0,MIN($E220-SUM($G220:W220),$F220))</f>
        <v>0</v>
      </c>
      <c r="Y220" s="424">
        <f>IF(OR(Y$195&lt;$C220,Y$195&lt;$H$2),0,MIN($E220-SUM($G220:X220),$F220))</f>
        <v>0</v>
      </c>
      <c r="Z220" s="424">
        <f>IF(OR(Z$195&lt;$C220,Z$195&lt;$H$2),0,MIN($E220-SUM($G220:Y220),$F220))</f>
        <v>0</v>
      </c>
      <c r="AA220" s="424">
        <f>IF(OR(AA$195&lt;$C220,AA$195&lt;$H$2),0,MIN($E220-SUM($G220:Z220),$F220))</f>
        <v>0</v>
      </c>
      <c r="AB220" s="424">
        <f>IF(OR(AB$195&lt;$C220,AB$195&lt;$H$2),0,MIN($E220-SUM($G220:AA220),$F220))</f>
        <v>0</v>
      </c>
      <c r="AC220" s="424">
        <f>IF(OR(AC$195&lt;$C220,AC$195&lt;$H$2),0,MIN($E220-SUM($G220:AB220),$F220))</f>
        <v>0</v>
      </c>
      <c r="AD220" s="424">
        <f>IF(OR(AD$195&lt;$C220,AD$195&lt;$H$2),0,MIN($E220-SUM($G220:AC220),$F220))</f>
        <v>0</v>
      </c>
      <c r="AE220" s="424">
        <f>IF(OR(AE$195&lt;$C220,AE$195&lt;$H$2),0,MIN($E220-SUM($G220:AD220),$F220))</f>
        <v>0</v>
      </c>
      <c r="AF220" s="424">
        <f>IF(OR(AF$195&lt;$C220,AF$195&lt;$H$2),0,MIN($E220-SUM($G220:AE220),$F220))</f>
        <v>0</v>
      </c>
      <c r="AG220" s="424">
        <f>IF(OR(AG$195&lt;$C220,AG$195&lt;$H$2),0,MIN($E220-SUM($G220:AF220),$F220))</f>
        <v>0</v>
      </c>
      <c r="AH220" s="424">
        <f>IF(OR(AH$195&lt;$C220,AH$195&lt;$H$2),0,MIN($E220-SUM($G220:AG220),$F220))</f>
        <v>0</v>
      </c>
      <c r="AI220" s="424">
        <f>IF(OR(AI$195&lt;$C220,AI$195&lt;$H$2),0,MIN($E220-SUM($G220:AH220),$F220))</f>
        <v>0</v>
      </c>
      <c r="AJ220" s="424">
        <f>IF(OR(AJ$195&lt;$C220,AJ$195&lt;$H$2),0,MIN($E220-SUM($G220:AI220),$F220))</f>
        <v>0</v>
      </c>
      <c r="AK220" s="424">
        <f>IF(OR(AK$195&lt;$C220,AK$195&lt;$H$2),0,MIN($E220-SUM($G220:AJ220),$F220))</f>
        <v>0</v>
      </c>
    </row>
    <row r="221" spans="3:37">
      <c r="C221" s="201">
        <v>0</v>
      </c>
      <c r="D221" s="94" t="s">
        <v>134</v>
      </c>
      <c r="E221" s="424">
        <f t="shared" si="106"/>
        <v>0</v>
      </c>
      <c r="F221" s="209">
        <f t="shared" si="107"/>
        <v>0</v>
      </c>
      <c r="H221" s="424">
        <f>IF(OR(H$195&lt;$C221,H$195&lt;$H$2),0,MIN($E221-SUM($G221:G221),$F221))</f>
        <v>0</v>
      </c>
      <c r="I221" s="424">
        <f>IF(OR(I$195&lt;$C221,I$195&lt;$H$2),0,MIN($E221-SUM($G221:H221),$F221))</f>
        <v>0</v>
      </c>
      <c r="J221" s="424">
        <f>IF(OR(J$195&lt;$C221,J$195&lt;$H$2),0,MIN($E221-SUM($G221:I221),$F221))</f>
        <v>0</v>
      </c>
      <c r="K221" s="424">
        <f>IF(OR(K$195&lt;$C221,K$195&lt;$H$2),0,MIN($E221-SUM($G221:J221),$F221))</f>
        <v>0</v>
      </c>
      <c r="L221" s="424">
        <f>IF(OR(L$195&lt;$C221,L$195&lt;$H$2),0,MIN($E221-SUM($G221:K221),$F221))</f>
        <v>0</v>
      </c>
      <c r="M221" s="424">
        <f>IF(OR(M$195&lt;$C221,M$195&lt;$H$2),0,MIN($E221-SUM($G221:L221),$F221))</f>
        <v>0</v>
      </c>
      <c r="N221" s="424">
        <f>IF(OR(N$195&lt;$C221,N$195&lt;$H$2),0,MIN($E221-SUM($G221:M221),$F221))</f>
        <v>0</v>
      </c>
      <c r="O221" s="424">
        <f>IF(OR(O$195&lt;$C221,O$195&lt;$H$2),0,MIN($E221-SUM($G221:N221),$F221))</f>
        <v>0</v>
      </c>
      <c r="P221" s="424">
        <f>IF(OR(P$195&lt;$C221,P$195&lt;$H$2),0,MIN($E221-SUM($G221:O221),$F221))</f>
        <v>0</v>
      </c>
      <c r="Q221" s="424">
        <f>IF(OR(Q$195&lt;$C221,Q$195&lt;$H$2),0,MIN($E221-SUM($G221:P221),$F221))</f>
        <v>0</v>
      </c>
      <c r="R221" s="424">
        <f>IF(OR(R$195&lt;$C221,R$195&lt;$H$2),0,MIN($E221-SUM($G221:Q221),$F221))</f>
        <v>0</v>
      </c>
      <c r="S221" s="424">
        <f>IF(OR(S$195&lt;$C221,S$195&lt;$H$2),0,MIN($E221-SUM($G221:R221),$F221))</f>
        <v>0</v>
      </c>
      <c r="T221" s="424">
        <f>IF(OR(T$195&lt;$C221,T$195&lt;$H$2),0,MIN($E221-SUM($G221:S221),$F221))</f>
        <v>0</v>
      </c>
      <c r="U221" s="424">
        <f>IF(OR(U$195&lt;$C221,U$195&lt;$H$2),0,MIN($E221-SUM($G221:T221),$F221))</f>
        <v>0</v>
      </c>
      <c r="V221" s="424">
        <f>IF(OR(V$195&lt;$C221,V$195&lt;$H$2),0,MIN($E221-SUM($G221:U221),$F221))</f>
        <v>0</v>
      </c>
      <c r="W221" s="424">
        <f>IF(OR(W$195&lt;$C221,W$195&lt;$H$2),0,MIN($E221-SUM($G221:V221),$F221))</f>
        <v>0</v>
      </c>
      <c r="X221" s="424">
        <f>IF(OR(X$195&lt;$C221,X$195&lt;$H$2),0,MIN($E221-SUM($G221:W221),$F221))</f>
        <v>0</v>
      </c>
      <c r="Y221" s="424">
        <f>IF(OR(Y$195&lt;$C221,Y$195&lt;$H$2),0,MIN($E221-SUM($G221:X221),$F221))</f>
        <v>0</v>
      </c>
      <c r="Z221" s="424">
        <f>IF(OR(Z$195&lt;$C221,Z$195&lt;$H$2),0,MIN($E221-SUM($G221:Y221),$F221))</f>
        <v>0</v>
      </c>
      <c r="AA221" s="424">
        <f>IF(OR(AA$195&lt;$C221,AA$195&lt;$H$2),0,MIN($E221-SUM($G221:Z221),$F221))</f>
        <v>0</v>
      </c>
      <c r="AB221" s="424">
        <f>IF(OR(AB$195&lt;$C221,AB$195&lt;$H$2),0,MIN($E221-SUM($G221:AA221),$F221))</f>
        <v>0</v>
      </c>
      <c r="AC221" s="424">
        <f>IF(OR(AC$195&lt;$C221,AC$195&lt;$H$2),0,MIN($E221-SUM($G221:AB221),$F221))</f>
        <v>0</v>
      </c>
      <c r="AD221" s="424">
        <f>IF(OR(AD$195&lt;$C221,AD$195&lt;$H$2),0,MIN($E221-SUM($G221:AC221),$F221))</f>
        <v>0</v>
      </c>
      <c r="AE221" s="424">
        <f>IF(OR(AE$195&lt;$C221,AE$195&lt;$H$2),0,MIN($E221-SUM($G221:AD221),$F221))</f>
        <v>0</v>
      </c>
      <c r="AF221" s="424">
        <f>IF(OR(AF$195&lt;$C221,AF$195&lt;$H$2),0,MIN($E221-SUM($G221:AE221),$F221))</f>
        <v>0</v>
      </c>
      <c r="AG221" s="424">
        <f>IF(OR(AG$195&lt;$C221,AG$195&lt;$H$2),0,MIN($E221-SUM($G221:AF221),$F221))</f>
        <v>0</v>
      </c>
      <c r="AH221" s="424">
        <f>IF(OR(AH$195&lt;$C221,AH$195&lt;$H$2),0,MIN($E221-SUM($G221:AG221),$F221))</f>
        <v>0</v>
      </c>
      <c r="AI221" s="424">
        <f>IF(OR(AI$195&lt;$C221,AI$195&lt;$H$2),0,MIN($E221-SUM($G221:AH221),$F221))</f>
        <v>0</v>
      </c>
      <c r="AJ221" s="424">
        <f>IF(OR(AJ$195&lt;$C221,AJ$195&lt;$H$2),0,MIN($E221-SUM($G221:AI221),$F221))</f>
        <v>0</v>
      </c>
      <c r="AK221" s="424">
        <f>IF(OR(AK$195&lt;$C221,AK$195&lt;$H$2),0,MIN($E221-SUM($G221:AJ221),$F221))</f>
        <v>0</v>
      </c>
    </row>
    <row r="222" spans="3:37">
      <c r="C222" s="201">
        <v>0</v>
      </c>
      <c r="D222" s="94" t="s">
        <v>134</v>
      </c>
      <c r="E222" s="424">
        <f t="shared" si="106"/>
        <v>0</v>
      </c>
      <c r="F222" s="209">
        <f t="shared" si="107"/>
        <v>0</v>
      </c>
      <c r="H222" s="424">
        <f>IF(OR(H$195&lt;$C222,H$195&lt;$H$2),0,MIN($E222-SUM($G222:G222),$F222))</f>
        <v>0</v>
      </c>
      <c r="I222" s="424">
        <f>IF(OR(I$195&lt;$C222,I$195&lt;$H$2),0,MIN($E222-SUM($G222:H222),$F222))</f>
        <v>0</v>
      </c>
      <c r="J222" s="424">
        <f>IF(OR(J$195&lt;$C222,J$195&lt;$H$2),0,MIN($E222-SUM($G222:I222),$F222))</f>
        <v>0</v>
      </c>
      <c r="K222" s="424">
        <f>IF(OR(K$195&lt;$C222,K$195&lt;$H$2),0,MIN($E222-SUM($G222:J222),$F222))</f>
        <v>0</v>
      </c>
      <c r="L222" s="424">
        <f>IF(OR(L$195&lt;$C222,L$195&lt;$H$2),0,MIN($E222-SUM($G222:K222),$F222))</f>
        <v>0</v>
      </c>
      <c r="M222" s="424">
        <f>IF(OR(M$195&lt;$C222,M$195&lt;$H$2),0,MIN($E222-SUM($G222:L222),$F222))</f>
        <v>0</v>
      </c>
      <c r="N222" s="424">
        <f>IF(OR(N$195&lt;$C222,N$195&lt;$H$2),0,MIN($E222-SUM($G222:M222),$F222))</f>
        <v>0</v>
      </c>
      <c r="O222" s="424">
        <f>IF(OR(O$195&lt;$C222,O$195&lt;$H$2),0,MIN($E222-SUM($G222:N222),$F222))</f>
        <v>0</v>
      </c>
      <c r="P222" s="424">
        <f>IF(OR(P$195&lt;$C222,P$195&lt;$H$2),0,MIN($E222-SUM($G222:O222),$F222))</f>
        <v>0</v>
      </c>
      <c r="Q222" s="424">
        <f>IF(OR(Q$195&lt;$C222,Q$195&lt;$H$2),0,MIN($E222-SUM($G222:P222),$F222))</f>
        <v>0</v>
      </c>
      <c r="R222" s="424">
        <f>IF(OR(R$195&lt;$C222,R$195&lt;$H$2),0,MIN($E222-SUM($G222:Q222),$F222))</f>
        <v>0</v>
      </c>
      <c r="S222" s="424">
        <f>IF(OR(S$195&lt;$C222,S$195&lt;$H$2),0,MIN($E222-SUM($G222:R222),$F222))</f>
        <v>0</v>
      </c>
      <c r="T222" s="424">
        <f>IF(OR(T$195&lt;$C222,T$195&lt;$H$2),0,MIN($E222-SUM($G222:S222),$F222))</f>
        <v>0</v>
      </c>
      <c r="U222" s="424">
        <f>IF(OR(U$195&lt;$C222,U$195&lt;$H$2),0,MIN($E222-SUM($G222:T222),$F222))</f>
        <v>0</v>
      </c>
      <c r="V222" s="424">
        <f>IF(OR(V$195&lt;$C222,V$195&lt;$H$2),0,MIN($E222-SUM($G222:U222),$F222))</f>
        <v>0</v>
      </c>
      <c r="W222" s="424">
        <f>IF(OR(W$195&lt;$C222,W$195&lt;$H$2),0,MIN($E222-SUM($G222:V222),$F222))</f>
        <v>0</v>
      </c>
      <c r="X222" s="424">
        <f>IF(OR(X$195&lt;$C222,X$195&lt;$H$2),0,MIN($E222-SUM($G222:W222),$F222))</f>
        <v>0</v>
      </c>
      <c r="Y222" s="424">
        <f>IF(OR(Y$195&lt;$C222,Y$195&lt;$H$2),0,MIN($E222-SUM($G222:X222),$F222))</f>
        <v>0</v>
      </c>
      <c r="Z222" s="424">
        <f>IF(OR(Z$195&lt;$C222,Z$195&lt;$H$2),0,MIN($E222-SUM($G222:Y222),$F222))</f>
        <v>0</v>
      </c>
      <c r="AA222" s="424">
        <f>IF(OR(AA$195&lt;$C222,AA$195&lt;$H$2),0,MIN($E222-SUM($G222:Z222),$F222))</f>
        <v>0</v>
      </c>
      <c r="AB222" s="424">
        <f>IF(OR(AB$195&lt;$C222,AB$195&lt;$H$2),0,MIN($E222-SUM($G222:AA222),$F222))</f>
        <v>0</v>
      </c>
      <c r="AC222" s="424">
        <f>IF(OR(AC$195&lt;$C222,AC$195&lt;$H$2),0,MIN($E222-SUM($G222:AB222),$F222))</f>
        <v>0</v>
      </c>
      <c r="AD222" s="424">
        <f>IF(OR(AD$195&lt;$C222,AD$195&lt;$H$2),0,MIN($E222-SUM($G222:AC222),$F222))</f>
        <v>0</v>
      </c>
      <c r="AE222" s="424">
        <f>IF(OR(AE$195&lt;$C222,AE$195&lt;$H$2),0,MIN($E222-SUM($G222:AD222),$F222))</f>
        <v>0</v>
      </c>
      <c r="AF222" s="424">
        <f>IF(OR(AF$195&lt;$C222,AF$195&lt;$H$2),0,MIN($E222-SUM($G222:AE222),$F222))</f>
        <v>0</v>
      </c>
      <c r="AG222" s="424">
        <f>IF(OR(AG$195&lt;$C222,AG$195&lt;$H$2),0,MIN($E222-SUM($G222:AF222),$F222))</f>
        <v>0</v>
      </c>
      <c r="AH222" s="424">
        <f>IF(OR(AH$195&lt;$C222,AH$195&lt;$H$2),0,MIN($E222-SUM($G222:AG222),$F222))</f>
        <v>0</v>
      </c>
      <c r="AI222" s="424">
        <f>IF(OR(AI$195&lt;$C222,AI$195&lt;$H$2),0,MIN($E222-SUM($G222:AH222),$F222))</f>
        <v>0</v>
      </c>
      <c r="AJ222" s="424">
        <f>IF(OR(AJ$195&lt;$C222,AJ$195&lt;$H$2),0,MIN($E222-SUM($G222:AI222),$F222))</f>
        <v>0</v>
      </c>
      <c r="AK222" s="424">
        <f>IF(OR(AK$195&lt;$C222,AK$195&lt;$H$2),0,MIN($E222-SUM($G222:AJ222),$F222))</f>
        <v>0</v>
      </c>
    </row>
    <row r="223" spans="3:37">
      <c r="C223" s="201">
        <v>0</v>
      </c>
      <c r="D223" s="94" t="s">
        <v>134</v>
      </c>
      <c r="E223" s="424">
        <f t="shared" si="106"/>
        <v>0</v>
      </c>
      <c r="F223" s="209">
        <f t="shared" si="107"/>
        <v>0</v>
      </c>
      <c r="H223" s="424">
        <f>IF(OR(H$195&lt;$C223,H$195&lt;$H$2),0,MIN($E223-SUM($G223:G223),$F223))</f>
        <v>0</v>
      </c>
      <c r="I223" s="424">
        <f>IF(OR(I$195&lt;$C223,I$195&lt;$H$2),0,MIN($E223-SUM($G223:H223),$F223))</f>
        <v>0</v>
      </c>
      <c r="J223" s="424">
        <f>IF(OR(J$195&lt;$C223,J$195&lt;$H$2),0,MIN($E223-SUM($G223:I223),$F223))</f>
        <v>0</v>
      </c>
      <c r="K223" s="424">
        <f>IF(OR(K$195&lt;$C223,K$195&lt;$H$2),0,MIN($E223-SUM($G223:J223),$F223))</f>
        <v>0</v>
      </c>
      <c r="L223" s="424">
        <f>IF(OR(L$195&lt;$C223,L$195&lt;$H$2),0,MIN($E223-SUM($G223:K223),$F223))</f>
        <v>0</v>
      </c>
      <c r="M223" s="424">
        <f>IF(OR(M$195&lt;$C223,M$195&lt;$H$2),0,MIN($E223-SUM($G223:L223),$F223))</f>
        <v>0</v>
      </c>
      <c r="N223" s="424">
        <f>IF(OR(N$195&lt;$C223,N$195&lt;$H$2),0,MIN($E223-SUM($G223:M223),$F223))</f>
        <v>0</v>
      </c>
      <c r="O223" s="424">
        <f>IF(OR(O$195&lt;$C223,O$195&lt;$H$2),0,MIN($E223-SUM($G223:N223),$F223))</f>
        <v>0</v>
      </c>
      <c r="P223" s="424">
        <f>IF(OR(P$195&lt;$C223,P$195&lt;$H$2),0,MIN($E223-SUM($G223:O223),$F223))</f>
        <v>0</v>
      </c>
      <c r="Q223" s="424">
        <f>IF(OR(Q$195&lt;$C223,Q$195&lt;$H$2),0,MIN($E223-SUM($G223:P223),$F223))</f>
        <v>0</v>
      </c>
      <c r="R223" s="424">
        <f>IF(OR(R$195&lt;$C223,R$195&lt;$H$2),0,MIN($E223-SUM($G223:Q223),$F223))</f>
        <v>0</v>
      </c>
      <c r="S223" s="424">
        <f>IF(OR(S$195&lt;$C223,S$195&lt;$H$2),0,MIN($E223-SUM($G223:R223),$F223))</f>
        <v>0</v>
      </c>
      <c r="T223" s="424">
        <f>IF(OR(T$195&lt;$C223,T$195&lt;$H$2),0,MIN($E223-SUM($G223:S223),$F223))</f>
        <v>0</v>
      </c>
      <c r="U223" s="424">
        <f>IF(OR(U$195&lt;$C223,U$195&lt;$H$2),0,MIN($E223-SUM($G223:T223),$F223))</f>
        <v>0</v>
      </c>
      <c r="V223" s="424">
        <f>IF(OR(V$195&lt;$C223,V$195&lt;$H$2),0,MIN($E223-SUM($G223:U223),$F223))</f>
        <v>0</v>
      </c>
      <c r="W223" s="424">
        <f>IF(OR(W$195&lt;$C223,W$195&lt;$H$2),0,MIN($E223-SUM($G223:V223),$F223))</f>
        <v>0</v>
      </c>
      <c r="X223" s="424">
        <f>IF(OR(X$195&lt;$C223,X$195&lt;$H$2),0,MIN($E223-SUM($G223:W223),$F223))</f>
        <v>0</v>
      </c>
      <c r="Y223" s="424">
        <f>IF(OR(Y$195&lt;$C223,Y$195&lt;$H$2),0,MIN($E223-SUM($G223:X223),$F223))</f>
        <v>0</v>
      </c>
      <c r="Z223" s="424">
        <f>IF(OR(Z$195&lt;$C223,Z$195&lt;$H$2),0,MIN($E223-SUM($G223:Y223),$F223))</f>
        <v>0</v>
      </c>
      <c r="AA223" s="424">
        <f>IF(OR(AA$195&lt;$C223,AA$195&lt;$H$2),0,MIN($E223-SUM($G223:Z223),$F223))</f>
        <v>0</v>
      </c>
      <c r="AB223" s="424">
        <f>IF(OR(AB$195&lt;$C223,AB$195&lt;$H$2),0,MIN($E223-SUM($G223:AA223),$F223))</f>
        <v>0</v>
      </c>
      <c r="AC223" s="424">
        <f>IF(OR(AC$195&lt;$C223,AC$195&lt;$H$2),0,MIN($E223-SUM($G223:AB223),$F223))</f>
        <v>0</v>
      </c>
      <c r="AD223" s="424">
        <f>IF(OR(AD$195&lt;$C223,AD$195&lt;$H$2),0,MIN($E223-SUM($G223:AC223),$F223))</f>
        <v>0</v>
      </c>
      <c r="AE223" s="424">
        <f>IF(OR(AE$195&lt;$C223,AE$195&lt;$H$2),0,MIN($E223-SUM($G223:AD223),$F223))</f>
        <v>0</v>
      </c>
      <c r="AF223" s="424">
        <f>IF(OR(AF$195&lt;$C223,AF$195&lt;$H$2),0,MIN($E223-SUM($G223:AE223),$F223))</f>
        <v>0</v>
      </c>
      <c r="AG223" s="424">
        <f>IF(OR(AG$195&lt;$C223,AG$195&lt;$H$2),0,MIN($E223-SUM($G223:AF223),$F223))</f>
        <v>0</v>
      </c>
      <c r="AH223" s="424">
        <f>IF(OR(AH$195&lt;$C223,AH$195&lt;$H$2),0,MIN($E223-SUM($G223:AG223),$F223))</f>
        <v>0</v>
      </c>
      <c r="AI223" s="424">
        <f>IF(OR(AI$195&lt;$C223,AI$195&lt;$H$2),0,MIN($E223-SUM($G223:AH223),$F223))</f>
        <v>0</v>
      </c>
      <c r="AJ223" s="424">
        <f>IF(OR(AJ$195&lt;$C223,AJ$195&lt;$H$2),0,MIN($E223-SUM($G223:AI223),$F223))</f>
        <v>0</v>
      </c>
      <c r="AK223" s="424">
        <f>IF(OR(AK$195&lt;$C223,AK$195&lt;$H$2),0,MIN($E223-SUM($G223:AJ223),$F223))</f>
        <v>0</v>
      </c>
    </row>
    <row r="224" spans="3:37">
      <c r="C224" s="201">
        <v>0</v>
      </c>
      <c r="D224" s="94" t="s">
        <v>134</v>
      </c>
      <c r="E224" s="424">
        <f t="shared" si="106"/>
        <v>0</v>
      </c>
      <c r="F224" s="209">
        <f t="shared" si="107"/>
        <v>0</v>
      </c>
      <c r="H224" s="424">
        <f>IF(OR(H$195&lt;$C224,H$195&lt;$H$2),0,MIN($E224-SUM($G224:G224),$F224))</f>
        <v>0</v>
      </c>
      <c r="I224" s="424">
        <f>IF(OR(I$195&lt;$C224,I$195&lt;$H$2),0,MIN($E224-SUM($G224:H224),$F224))</f>
        <v>0</v>
      </c>
      <c r="J224" s="424">
        <f>IF(OR(J$195&lt;$C224,J$195&lt;$H$2),0,MIN($E224-SUM($G224:I224),$F224))</f>
        <v>0</v>
      </c>
      <c r="K224" s="424">
        <f>IF(OR(K$195&lt;$C224,K$195&lt;$H$2),0,MIN($E224-SUM($G224:J224),$F224))</f>
        <v>0</v>
      </c>
      <c r="L224" s="424">
        <f>IF(OR(L$195&lt;$C224,L$195&lt;$H$2),0,MIN($E224-SUM($G224:K224),$F224))</f>
        <v>0</v>
      </c>
      <c r="M224" s="424">
        <f>IF(OR(M$195&lt;$C224,M$195&lt;$H$2),0,MIN($E224-SUM($G224:L224),$F224))</f>
        <v>0</v>
      </c>
      <c r="N224" s="424">
        <f>IF(OR(N$195&lt;$C224,N$195&lt;$H$2),0,MIN($E224-SUM($G224:M224),$F224))</f>
        <v>0</v>
      </c>
      <c r="O224" s="424">
        <f>IF(OR(O$195&lt;$C224,O$195&lt;$H$2),0,MIN($E224-SUM($G224:N224),$F224))</f>
        <v>0</v>
      </c>
      <c r="P224" s="424">
        <f>IF(OR(P$195&lt;$C224,P$195&lt;$H$2),0,MIN($E224-SUM($G224:O224),$F224))</f>
        <v>0</v>
      </c>
      <c r="Q224" s="424">
        <f>IF(OR(Q$195&lt;$C224,Q$195&lt;$H$2),0,MIN($E224-SUM($G224:P224),$F224))</f>
        <v>0</v>
      </c>
      <c r="R224" s="424">
        <f>IF(OR(R$195&lt;$C224,R$195&lt;$H$2),0,MIN($E224-SUM($G224:Q224),$F224))</f>
        <v>0</v>
      </c>
      <c r="S224" s="424">
        <f>IF(OR(S$195&lt;$C224,S$195&lt;$H$2),0,MIN($E224-SUM($G224:R224),$F224))</f>
        <v>0</v>
      </c>
      <c r="T224" s="424">
        <f>IF(OR(T$195&lt;$C224,T$195&lt;$H$2),0,MIN($E224-SUM($G224:S224),$F224))</f>
        <v>0</v>
      </c>
      <c r="U224" s="424">
        <f>IF(OR(U$195&lt;$C224,U$195&lt;$H$2),0,MIN($E224-SUM($G224:T224),$F224))</f>
        <v>0</v>
      </c>
      <c r="V224" s="424">
        <f>IF(OR(V$195&lt;$C224,V$195&lt;$H$2),0,MIN($E224-SUM($G224:U224),$F224))</f>
        <v>0</v>
      </c>
      <c r="W224" s="424">
        <f>IF(OR(W$195&lt;$C224,W$195&lt;$H$2),0,MIN($E224-SUM($G224:V224),$F224))</f>
        <v>0</v>
      </c>
      <c r="X224" s="424">
        <f>IF(OR(X$195&lt;$C224,X$195&lt;$H$2),0,MIN($E224-SUM($G224:W224),$F224))</f>
        <v>0</v>
      </c>
      <c r="Y224" s="424">
        <f>IF(OR(Y$195&lt;$C224,Y$195&lt;$H$2),0,MIN($E224-SUM($G224:X224),$F224))</f>
        <v>0</v>
      </c>
      <c r="Z224" s="424">
        <f>IF(OR(Z$195&lt;$C224,Z$195&lt;$H$2),0,MIN($E224-SUM($G224:Y224),$F224))</f>
        <v>0</v>
      </c>
      <c r="AA224" s="424">
        <f>IF(OR(AA$195&lt;$C224,AA$195&lt;$H$2),0,MIN($E224-SUM($G224:Z224),$F224))</f>
        <v>0</v>
      </c>
      <c r="AB224" s="424">
        <f>IF(OR(AB$195&lt;$C224,AB$195&lt;$H$2),0,MIN($E224-SUM($G224:AA224),$F224))</f>
        <v>0</v>
      </c>
      <c r="AC224" s="424">
        <f>IF(OR(AC$195&lt;$C224,AC$195&lt;$H$2),0,MIN($E224-SUM($G224:AB224),$F224))</f>
        <v>0</v>
      </c>
      <c r="AD224" s="424">
        <f>IF(OR(AD$195&lt;$C224,AD$195&lt;$H$2),0,MIN($E224-SUM($G224:AC224),$F224))</f>
        <v>0</v>
      </c>
      <c r="AE224" s="424">
        <f>IF(OR(AE$195&lt;$C224,AE$195&lt;$H$2),0,MIN($E224-SUM($G224:AD224),$F224))</f>
        <v>0</v>
      </c>
      <c r="AF224" s="424">
        <f>IF(OR(AF$195&lt;$C224,AF$195&lt;$H$2),0,MIN($E224-SUM($G224:AE224),$F224))</f>
        <v>0</v>
      </c>
      <c r="AG224" s="424">
        <f>IF(OR(AG$195&lt;$C224,AG$195&lt;$H$2),0,MIN($E224-SUM($G224:AF224),$F224))</f>
        <v>0</v>
      </c>
      <c r="AH224" s="424">
        <f>IF(OR(AH$195&lt;$C224,AH$195&lt;$H$2),0,MIN($E224-SUM($G224:AG224),$F224))</f>
        <v>0</v>
      </c>
      <c r="AI224" s="424">
        <f>IF(OR(AI$195&lt;$C224,AI$195&lt;$H$2),0,MIN($E224-SUM($G224:AH224),$F224))</f>
        <v>0</v>
      </c>
      <c r="AJ224" s="424">
        <f>IF(OR(AJ$195&lt;$C224,AJ$195&lt;$H$2),0,MIN($E224-SUM($G224:AI224),$F224))</f>
        <v>0</v>
      </c>
      <c r="AK224" s="424">
        <f>IF(OR(AK$195&lt;$C224,AK$195&lt;$H$2),0,MIN($E224-SUM($G224:AJ224),$F224))</f>
        <v>0</v>
      </c>
    </row>
    <row r="225" spans="3:37">
      <c r="C225" s="201">
        <v>0</v>
      </c>
      <c r="D225" s="94" t="s">
        <v>134</v>
      </c>
      <c r="E225" s="424">
        <f t="shared" si="106"/>
        <v>0</v>
      </c>
      <c r="F225" s="209">
        <f t="shared" si="107"/>
        <v>0</v>
      </c>
      <c r="H225" s="424">
        <f>IF(OR(H$195&lt;$C225,H$195&lt;$H$2),0,MIN($E225-SUM($G225:G225),$F225))</f>
        <v>0</v>
      </c>
      <c r="I225" s="424">
        <f>IF(OR(I$195&lt;$C225,I$195&lt;$H$2),0,MIN($E225-SUM($G225:H225),$F225))</f>
        <v>0</v>
      </c>
      <c r="J225" s="424">
        <f>IF(OR(J$195&lt;$C225,J$195&lt;$H$2),0,MIN($E225-SUM($G225:I225),$F225))</f>
        <v>0</v>
      </c>
      <c r="K225" s="424">
        <f>IF(OR(K$195&lt;$C225,K$195&lt;$H$2),0,MIN($E225-SUM($G225:J225),$F225))</f>
        <v>0</v>
      </c>
      <c r="L225" s="424">
        <f>IF(OR(L$195&lt;$C225,L$195&lt;$H$2),0,MIN($E225-SUM($G225:K225),$F225))</f>
        <v>0</v>
      </c>
      <c r="M225" s="424">
        <f>IF(OR(M$195&lt;$C225,M$195&lt;$H$2),0,MIN($E225-SUM($G225:L225),$F225))</f>
        <v>0</v>
      </c>
      <c r="N225" s="424">
        <f>IF(OR(N$195&lt;$C225,N$195&lt;$H$2),0,MIN($E225-SUM($G225:M225),$F225))</f>
        <v>0</v>
      </c>
      <c r="O225" s="424">
        <f>IF(OR(O$195&lt;$C225,O$195&lt;$H$2),0,MIN($E225-SUM($G225:N225),$F225))</f>
        <v>0</v>
      </c>
      <c r="P225" s="424">
        <f>IF(OR(P$195&lt;$C225,P$195&lt;$H$2),0,MIN($E225-SUM($G225:O225),$F225))</f>
        <v>0</v>
      </c>
      <c r="Q225" s="424">
        <f>IF(OR(Q$195&lt;$C225,Q$195&lt;$H$2),0,MIN($E225-SUM($G225:P225),$F225))</f>
        <v>0</v>
      </c>
      <c r="R225" s="424">
        <f>IF(OR(R$195&lt;$C225,R$195&lt;$H$2),0,MIN($E225-SUM($G225:Q225),$F225))</f>
        <v>0</v>
      </c>
      <c r="S225" s="424">
        <f>IF(OR(S$195&lt;$C225,S$195&lt;$H$2),0,MIN($E225-SUM($G225:R225),$F225))</f>
        <v>0</v>
      </c>
      <c r="T225" s="424">
        <f>IF(OR(T$195&lt;$C225,T$195&lt;$H$2),0,MIN($E225-SUM($G225:S225),$F225))</f>
        <v>0</v>
      </c>
      <c r="U225" s="424">
        <f>IF(OR(U$195&lt;$C225,U$195&lt;$H$2),0,MIN($E225-SUM($G225:T225),$F225))</f>
        <v>0</v>
      </c>
      <c r="V225" s="424">
        <f>IF(OR(V$195&lt;$C225,V$195&lt;$H$2),0,MIN($E225-SUM($G225:U225),$F225))</f>
        <v>0</v>
      </c>
      <c r="W225" s="424">
        <f>IF(OR(W$195&lt;$C225,W$195&lt;$H$2),0,MIN($E225-SUM($G225:V225),$F225))</f>
        <v>0</v>
      </c>
      <c r="X225" s="424">
        <f>IF(OR(X$195&lt;$C225,X$195&lt;$H$2),0,MIN($E225-SUM($G225:W225),$F225))</f>
        <v>0</v>
      </c>
      <c r="Y225" s="424">
        <f>IF(OR(Y$195&lt;$C225,Y$195&lt;$H$2),0,MIN($E225-SUM($G225:X225),$F225))</f>
        <v>0</v>
      </c>
      <c r="Z225" s="424">
        <f>IF(OR(Z$195&lt;$C225,Z$195&lt;$H$2),0,MIN($E225-SUM($G225:Y225),$F225))</f>
        <v>0</v>
      </c>
      <c r="AA225" s="424">
        <f>IF(OR(AA$195&lt;$C225,AA$195&lt;$H$2),0,MIN($E225-SUM($G225:Z225),$F225))</f>
        <v>0</v>
      </c>
      <c r="AB225" s="424">
        <f>IF(OR(AB$195&lt;$C225,AB$195&lt;$H$2),0,MIN($E225-SUM($G225:AA225),$F225))</f>
        <v>0</v>
      </c>
      <c r="AC225" s="424">
        <f>IF(OR(AC$195&lt;$C225,AC$195&lt;$H$2),0,MIN($E225-SUM($G225:AB225),$F225))</f>
        <v>0</v>
      </c>
      <c r="AD225" s="424">
        <f>IF(OR(AD$195&lt;$C225,AD$195&lt;$H$2),0,MIN($E225-SUM($G225:AC225),$F225))</f>
        <v>0</v>
      </c>
      <c r="AE225" s="424">
        <f>IF(OR(AE$195&lt;$C225,AE$195&lt;$H$2),0,MIN($E225-SUM($G225:AD225),$F225))</f>
        <v>0</v>
      </c>
      <c r="AF225" s="424">
        <f>IF(OR(AF$195&lt;$C225,AF$195&lt;$H$2),0,MIN($E225-SUM($G225:AE225),$F225))</f>
        <v>0</v>
      </c>
      <c r="AG225" s="424">
        <f>IF(OR(AG$195&lt;$C225,AG$195&lt;$H$2),0,MIN($E225-SUM($G225:AF225),$F225))</f>
        <v>0</v>
      </c>
      <c r="AH225" s="424">
        <f>IF(OR(AH$195&lt;$C225,AH$195&lt;$H$2),0,MIN($E225-SUM($G225:AG225),$F225))</f>
        <v>0</v>
      </c>
      <c r="AI225" s="424">
        <f>IF(OR(AI$195&lt;$C225,AI$195&lt;$H$2),0,MIN($E225-SUM($G225:AH225),$F225))</f>
        <v>0</v>
      </c>
      <c r="AJ225" s="424">
        <f>IF(OR(AJ$195&lt;$C225,AJ$195&lt;$H$2),0,MIN($E225-SUM($G225:AI225),$F225))</f>
        <v>0</v>
      </c>
      <c r="AK225" s="424">
        <f>IF(OR(AK$195&lt;$C225,AK$195&lt;$H$2),0,MIN($E225-SUM($G225:AJ225),$F225))</f>
        <v>0</v>
      </c>
    </row>
    <row r="226" spans="3:37">
      <c r="C226" s="201">
        <v>0</v>
      </c>
      <c r="D226" s="94" t="s">
        <v>134</v>
      </c>
      <c r="E226" s="424">
        <f t="shared" si="106"/>
        <v>0</v>
      </c>
      <c r="F226" s="209">
        <f t="shared" si="107"/>
        <v>0</v>
      </c>
      <c r="H226" s="424">
        <f>IF(OR(H$195&lt;$C226,H$195&lt;$H$2),0,MIN($E226-SUM($G226:G226),$F226))</f>
        <v>0</v>
      </c>
      <c r="I226" s="424">
        <f>IF(OR(I$195&lt;$C226,I$195&lt;$H$2),0,MIN($E226-SUM($G226:H226),$F226))</f>
        <v>0</v>
      </c>
      <c r="J226" s="424">
        <f>IF(OR(J$195&lt;$C226,J$195&lt;$H$2),0,MIN($E226-SUM($G226:I226),$F226))</f>
        <v>0</v>
      </c>
      <c r="K226" s="424">
        <f>IF(OR(K$195&lt;$C226,K$195&lt;$H$2),0,MIN($E226-SUM($G226:J226),$F226))</f>
        <v>0</v>
      </c>
      <c r="L226" s="424">
        <f>IF(OR(L$195&lt;$C226,L$195&lt;$H$2),0,MIN($E226-SUM($G226:K226),$F226))</f>
        <v>0</v>
      </c>
      <c r="M226" s="424">
        <f>IF(OR(M$195&lt;$C226,M$195&lt;$H$2),0,MIN($E226-SUM($G226:L226),$F226))</f>
        <v>0</v>
      </c>
      <c r="N226" s="424">
        <f>IF(OR(N$195&lt;$C226,N$195&lt;$H$2),0,MIN($E226-SUM($G226:M226),$F226))</f>
        <v>0</v>
      </c>
      <c r="O226" s="424">
        <f>IF(OR(O$195&lt;$C226,O$195&lt;$H$2),0,MIN($E226-SUM($G226:N226),$F226))</f>
        <v>0</v>
      </c>
      <c r="P226" s="424">
        <f>IF(OR(P$195&lt;$C226,P$195&lt;$H$2),0,MIN($E226-SUM($G226:O226),$F226))</f>
        <v>0</v>
      </c>
      <c r="Q226" s="424">
        <f>IF(OR(Q$195&lt;$C226,Q$195&lt;$H$2),0,MIN($E226-SUM($G226:P226),$F226))</f>
        <v>0</v>
      </c>
      <c r="R226" s="424">
        <f>IF(OR(R$195&lt;$C226,R$195&lt;$H$2),0,MIN($E226-SUM($G226:Q226),$F226))</f>
        <v>0</v>
      </c>
      <c r="S226" s="424">
        <f>IF(OR(S$195&lt;$C226,S$195&lt;$H$2),0,MIN($E226-SUM($G226:R226),$F226))</f>
        <v>0</v>
      </c>
      <c r="T226" s="424">
        <f>IF(OR(T$195&lt;$C226,T$195&lt;$H$2),0,MIN($E226-SUM($G226:S226),$F226))</f>
        <v>0</v>
      </c>
      <c r="U226" s="424">
        <f>IF(OR(U$195&lt;$C226,U$195&lt;$H$2),0,MIN($E226-SUM($G226:T226),$F226))</f>
        <v>0</v>
      </c>
      <c r="V226" s="424">
        <f>IF(OR(V$195&lt;$C226,V$195&lt;$H$2),0,MIN($E226-SUM($G226:U226),$F226))</f>
        <v>0</v>
      </c>
      <c r="W226" s="424">
        <f>IF(OR(W$195&lt;$C226,W$195&lt;$H$2),0,MIN($E226-SUM($G226:V226),$F226))</f>
        <v>0</v>
      </c>
      <c r="X226" s="424">
        <f>IF(OR(X$195&lt;$C226,X$195&lt;$H$2),0,MIN($E226-SUM($G226:W226),$F226))</f>
        <v>0</v>
      </c>
      <c r="Y226" s="424">
        <f>IF(OR(Y$195&lt;$C226,Y$195&lt;$H$2),0,MIN($E226-SUM($G226:X226),$F226))</f>
        <v>0</v>
      </c>
      <c r="Z226" s="424">
        <f>IF(OR(Z$195&lt;$C226,Z$195&lt;$H$2),0,MIN($E226-SUM($G226:Y226),$F226))</f>
        <v>0</v>
      </c>
      <c r="AA226" s="424">
        <f>IF(OR(AA$195&lt;$C226,AA$195&lt;$H$2),0,MIN($E226-SUM($G226:Z226),$F226))</f>
        <v>0</v>
      </c>
      <c r="AB226" s="424">
        <f>IF(OR(AB$195&lt;$C226,AB$195&lt;$H$2),0,MIN($E226-SUM($G226:AA226),$F226))</f>
        <v>0</v>
      </c>
      <c r="AC226" s="424">
        <f>IF(OR(AC$195&lt;$C226,AC$195&lt;$H$2),0,MIN($E226-SUM($G226:AB226),$F226))</f>
        <v>0</v>
      </c>
      <c r="AD226" s="424">
        <f>IF(OR(AD$195&lt;$C226,AD$195&lt;$H$2),0,MIN($E226-SUM($G226:AC226),$F226))</f>
        <v>0</v>
      </c>
      <c r="AE226" s="424">
        <f>IF(OR(AE$195&lt;$C226,AE$195&lt;$H$2),0,MIN($E226-SUM($G226:AD226),$F226))</f>
        <v>0</v>
      </c>
      <c r="AF226" s="424">
        <f>IF(OR(AF$195&lt;$C226,AF$195&lt;$H$2),0,MIN($E226-SUM($G226:AE226),$F226))</f>
        <v>0</v>
      </c>
      <c r="AG226" s="424">
        <f>IF(OR(AG$195&lt;$C226,AG$195&lt;$H$2),0,MIN($E226-SUM($G226:AF226),$F226))</f>
        <v>0</v>
      </c>
      <c r="AH226" s="424">
        <f>IF(OR(AH$195&lt;$C226,AH$195&lt;$H$2),0,MIN($E226-SUM($G226:AG226),$F226))</f>
        <v>0</v>
      </c>
      <c r="AI226" s="424">
        <f>IF(OR(AI$195&lt;$C226,AI$195&lt;$H$2),0,MIN($E226-SUM($G226:AH226),$F226))</f>
        <v>0</v>
      </c>
      <c r="AJ226" s="424">
        <f>IF(OR(AJ$195&lt;$C226,AJ$195&lt;$H$2),0,MIN($E226-SUM($G226:AI226),$F226))</f>
        <v>0</v>
      </c>
      <c r="AK226" s="424">
        <f>IF(OR(AK$195&lt;$C226,AK$195&lt;$H$2),0,MIN($E226-SUM($G226:AJ226),$F226))</f>
        <v>0</v>
      </c>
    </row>
    <row r="227" spans="3:37">
      <c r="C227" s="201">
        <v>0</v>
      </c>
      <c r="D227" s="94" t="s">
        <v>134</v>
      </c>
      <c r="E227" s="424">
        <f t="shared" si="106"/>
        <v>0</v>
      </c>
      <c r="F227" s="209">
        <f t="shared" si="107"/>
        <v>0</v>
      </c>
      <c r="H227" s="424">
        <f>IF(OR(H$195&lt;$C227,H$195&lt;$H$2),0,MIN($E227-SUM($G227:G227),$F227))</f>
        <v>0</v>
      </c>
      <c r="I227" s="424">
        <f>IF(OR(I$195&lt;$C227,I$195&lt;$H$2),0,MIN($E227-SUM($G227:H227),$F227))</f>
        <v>0</v>
      </c>
      <c r="J227" s="424">
        <f>IF(OR(J$195&lt;$C227,J$195&lt;$H$2),0,MIN($E227-SUM($G227:I227),$F227))</f>
        <v>0</v>
      </c>
      <c r="K227" s="424">
        <f>IF(OR(K$195&lt;$C227,K$195&lt;$H$2),0,MIN($E227-SUM($G227:J227),$F227))</f>
        <v>0</v>
      </c>
      <c r="L227" s="424">
        <f>IF(OR(L$195&lt;$C227,L$195&lt;$H$2),0,MIN($E227-SUM($G227:K227),$F227))</f>
        <v>0</v>
      </c>
      <c r="M227" s="424">
        <f>IF(OR(M$195&lt;$C227,M$195&lt;$H$2),0,MIN($E227-SUM($G227:L227),$F227))</f>
        <v>0</v>
      </c>
      <c r="N227" s="424">
        <f>IF(OR(N$195&lt;$C227,N$195&lt;$H$2),0,MIN($E227-SUM($G227:M227),$F227))</f>
        <v>0</v>
      </c>
      <c r="O227" s="424">
        <f>IF(OR(O$195&lt;$C227,O$195&lt;$H$2),0,MIN($E227-SUM($G227:N227),$F227))</f>
        <v>0</v>
      </c>
      <c r="P227" s="424">
        <f>IF(OR(P$195&lt;$C227,P$195&lt;$H$2),0,MIN($E227-SUM($G227:O227),$F227))</f>
        <v>0</v>
      </c>
      <c r="Q227" s="424">
        <f>IF(OR(Q$195&lt;$C227,Q$195&lt;$H$2),0,MIN($E227-SUM($G227:P227),$F227))</f>
        <v>0</v>
      </c>
      <c r="R227" s="424">
        <f>IF(OR(R$195&lt;$C227,R$195&lt;$H$2),0,MIN($E227-SUM($G227:Q227),$F227))</f>
        <v>0</v>
      </c>
      <c r="S227" s="424">
        <f>IF(OR(S$195&lt;$C227,S$195&lt;$H$2),0,MIN($E227-SUM($G227:R227),$F227))</f>
        <v>0</v>
      </c>
      <c r="T227" s="424">
        <f>IF(OR(T$195&lt;$C227,T$195&lt;$H$2),0,MIN($E227-SUM($G227:S227),$F227))</f>
        <v>0</v>
      </c>
      <c r="U227" s="424">
        <f>IF(OR(U$195&lt;$C227,U$195&lt;$H$2),0,MIN($E227-SUM($G227:T227),$F227))</f>
        <v>0</v>
      </c>
      <c r="V227" s="424">
        <f>IF(OR(V$195&lt;$C227,V$195&lt;$H$2),0,MIN($E227-SUM($G227:U227),$F227))</f>
        <v>0</v>
      </c>
      <c r="W227" s="424">
        <f>IF(OR(W$195&lt;$C227,W$195&lt;$H$2),0,MIN($E227-SUM($G227:V227),$F227))</f>
        <v>0</v>
      </c>
      <c r="X227" s="424">
        <f>IF(OR(X$195&lt;$C227,X$195&lt;$H$2),0,MIN($E227-SUM($G227:W227),$F227))</f>
        <v>0</v>
      </c>
      <c r="Y227" s="424">
        <f>IF(OR(Y$195&lt;$C227,Y$195&lt;$H$2),0,MIN($E227-SUM($G227:X227),$F227))</f>
        <v>0</v>
      </c>
      <c r="Z227" s="424">
        <f>IF(OR(Z$195&lt;$C227,Z$195&lt;$H$2),0,MIN($E227-SUM($G227:Y227),$F227))</f>
        <v>0</v>
      </c>
      <c r="AA227" s="424">
        <f>IF(OR(AA$195&lt;$C227,AA$195&lt;$H$2),0,MIN($E227-SUM($G227:Z227),$F227))</f>
        <v>0</v>
      </c>
      <c r="AB227" s="424">
        <f>IF(OR(AB$195&lt;$C227,AB$195&lt;$H$2),0,MIN($E227-SUM($G227:AA227),$F227))</f>
        <v>0</v>
      </c>
      <c r="AC227" s="424">
        <f>IF(OR(AC$195&lt;$C227,AC$195&lt;$H$2),0,MIN($E227-SUM($G227:AB227),$F227))</f>
        <v>0</v>
      </c>
      <c r="AD227" s="424">
        <f>IF(OR(AD$195&lt;$C227,AD$195&lt;$H$2),0,MIN($E227-SUM($G227:AC227),$F227))</f>
        <v>0</v>
      </c>
      <c r="AE227" s="424">
        <f>IF(OR(AE$195&lt;$C227,AE$195&lt;$H$2),0,MIN($E227-SUM($G227:AD227),$F227))</f>
        <v>0</v>
      </c>
      <c r="AF227" s="424">
        <f>IF(OR(AF$195&lt;$C227,AF$195&lt;$H$2),0,MIN($E227-SUM($G227:AE227),$F227))</f>
        <v>0</v>
      </c>
      <c r="AG227" s="424">
        <f>IF(OR(AG$195&lt;$C227,AG$195&lt;$H$2),0,MIN($E227-SUM($G227:AF227),$F227))</f>
        <v>0</v>
      </c>
      <c r="AH227" s="424">
        <f>IF(OR(AH$195&lt;$C227,AH$195&lt;$H$2),0,MIN($E227-SUM($G227:AG227),$F227))</f>
        <v>0</v>
      </c>
      <c r="AI227" s="424">
        <f>IF(OR(AI$195&lt;$C227,AI$195&lt;$H$2),0,MIN($E227-SUM($G227:AH227),$F227))</f>
        <v>0</v>
      </c>
      <c r="AJ227" s="424">
        <f>IF(OR(AJ$195&lt;$C227,AJ$195&lt;$H$2),0,MIN($E227-SUM($G227:AI227),$F227))</f>
        <v>0</v>
      </c>
      <c r="AK227" s="424">
        <f>IF(OR(AK$195&lt;$C227,AK$195&lt;$H$2),0,MIN($E227-SUM($G227:AJ227),$F227))</f>
        <v>0</v>
      </c>
    </row>
    <row r="228" spans="3:37" ht="14" thickBot="1">
      <c r="C228" s="240" t="s">
        <v>543</v>
      </c>
      <c r="D228" s="348" t="s">
        <v>134</v>
      </c>
      <c r="E228" s="427">
        <f>SUM(E198:E227)</f>
        <v>0</v>
      </c>
      <c r="F228" s="427">
        <f>SUM(F198:F227)</f>
        <v>0</v>
      </c>
      <c r="G228" s="348"/>
      <c r="H228" s="427">
        <f t="shared" ref="H228:AK228" si="108">SUM(H198:H227)</f>
        <v>0</v>
      </c>
      <c r="I228" s="427">
        <f t="shared" si="108"/>
        <v>0</v>
      </c>
      <c r="J228" s="427">
        <f t="shared" si="108"/>
        <v>0</v>
      </c>
      <c r="K228" s="427">
        <f t="shared" si="108"/>
        <v>0</v>
      </c>
      <c r="L228" s="427">
        <f t="shared" si="108"/>
        <v>0</v>
      </c>
      <c r="M228" s="427">
        <f t="shared" si="108"/>
        <v>0</v>
      </c>
      <c r="N228" s="427">
        <f t="shared" si="108"/>
        <v>0</v>
      </c>
      <c r="O228" s="427">
        <f t="shared" si="108"/>
        <v>0</v>
      </c>
      <c r="P228" s="427">
        <f t="shared" si="108"/>
        <v>0</v>
      </c>
      <c r="Q228" s="427">
        <f t="shared" si="108"/>
        <v>0</v>
      </c>
      <c r="R228" s="427">
        <f t="shared" si="108"/>
        <v>0</v>
      </c>
      <c r="S228" s="427">
        <f t="shared" si="108"/>
        <v>0</v>
      </c>
      <c r="T228" s="427">
        <f t="shared" si="108"/>
        <v>0</v>
      </c>
      <c r="U228" s="427">
        <f t="shared" si="108"/>
        <v>0</v>
      </c>
      <c r="V228" s="427">
        <f t="shared" si="108"/>
        <v>0</v>
      </c>
      <c r="W228" s="427">
        <f t="shared" si="108"/>
        <v>0</v>
      </c>
      <c r="X228" s="427">
        <f t="shared" si="108"/>
        <v>0</v>
      </c>
      <c r="Y228" s="427">
        <f t="shared" si="108"/>
        <v>0</v>
      </c>
      <c r="Z228" s="427">
        <f t="shared" si="108"/>
        <v>0</v>
      </c>
      <c r="AA228" s="427">
        <f t="shared" si="108"/>
        <v>0</v>
      </c>
      <c r="AB228" s="427">
        <f t="shared" si="108"/>
        <v>0</v>
      </c>
      <c r="AC228" s="427">
        <f t="shared" si="108"/>
        <v>0</v>
      </c>
      <c r="AD228" s="427">
        <f t="shared" si="108"/>
        <v>0</v>
      </c>
      <c r="AE228" s="427">
        <f t="shared" si="108"/>
        <v>0</v>
      </c>
      <c r="AF228" s="427">
        <f t="shared" si="108"/>
        <v>0</v>
      </c>
      <c r="AG228" s="427">
        <f t="shared" si="108"/>
        <v>0</v>
      </c>
      <c r="AH228" s="427">
        <f t="shared" si="108"/>
        <v>0</v>
      </c>
      <c r="AI228" s="427">
        <f t="shared" si="108"/>
        <v>0</v>
      </c>
      <c r="AJ228" s="427">
        <f t="shared" si="108"/>
        <v>0</v>
      </c>
      <c r="AK228" s="427">
        <f t="shared" si="108"/>
        <v>0</v>
      </c>
    </row>
    <row r="229" spans="3:37" ht="14" thickTop="1"/>
    <row r="230" spans="3:37" ht="28">
      <c r="C230" s="428" t="s">
        <v>166</v>
      </c>
      <c r="D230" s="428" t="s">
        <v>88</v>
      </c>
      <c r="E230" s="428" t="s">
        <v>555</v>
      </c>
      <c r="F230" s="429" t="s">
        <v>556</v>
      </c>
      <c r="G230" s="430"/>
      <c r="H230" s="201">
        <f t="shared" ref="H230:AK231" si="109">H195</f>
        <v>46023</v>
      </c>
      <c r="I230" s="201">
        <f t="shared" si="109"/>
        <v>46389</v>
      </c>
      <c r="J230" s="201">
        <f t="shared" si="109"/>
        <v>46755</v>
      </c>
      <c r="K230" s="201">
        <f t="shared" si="109"/>
        <v>47121</v>
      </c>
      <c r="L230" s="201">
        <f t="shared" si="109"/>
        <v>47487</v>
      </c>
      <c r="M230" s="201">
        <f t="shared" si="109"/>
        <v>47853</v>
      </c>
      <c r="N230" s="201">
        <f t="shared" si="109"/>
        <v>48219</v>
      </c>
      <c r="O230" s="201">
        <f t="shared" si="109"/>
        <v>48585</v>
      </c>
      <c r="P230" s="201">
        <f t="shared" si="109"/>
        <v>48951</v>
      </c>
      <c r="Q230" s="201">
        <f t="shared" si="109"/>
        <v>49317</v>
      </c>
      <c r="R230" s="201">
        <f t="shared" si="109"/>
        <v>49683</v>
      </c>
      <c r="S230" s="201">
        <f t="shared" si="109"/>
        <v>50049</v>
      </c>
      <c r="T230" s="201">
        <f t="shared" si="109"/>
        <v>50415</v>
      </c>
      <c r="U230" s="201">
        <f t="shared" si="109"/>
        <v>50781</v>
      </c>
      <c r="V230" s="201">
        <f t="shared" si="109"/>
        <v>51147</v>
      </c>
      <c r="W230" s="201">
        <f t="shared" si="109"/>
        <v>51513</v>
      </c>
      <c r="X230" s="201">
        <f t="shared" si="109"/>
        <v>51879</v>
      </c>
      <c r="Y230" s="201">
        <f t="shared" si="109"/>
        <v>52245</v>
      </c>
      <c r="Z230" s="201">
        <f t="shared" si="109"/>
        <v>52611</v>
      </c>
      <c r="AA230" s="201">
        <f t="shared" si="109"/>
        <v>52977</v>
      </c>
      <c r="AB230" s="201">
        <f t="shared" si="109"/>
        <v>53343</v>
      </c>
      <c r="AC230" s="201">
        <f t="shared" si="109"/>
        <v>53709</v>
      </c>
      <c r="AD230" s="201">
        <f t="shared" si="109"/>
        <v>54075</v>
      </c>
      <c r="AE230" s="201">
        <f t="shared" si="109"/>
        <v>0</v>
      </c>
      <c r="AF230" s="201">
        <f t="shared" si="109"/>
        <v>0</v>
      </c>
      <c r="AG230" s="201">
        <f t="shared" si="109"/>
        <v>0</v>
      </c>
      <c r="AH230" s="201">
        <f t="shared" si="109"/>
        <v>0</v>
      </c>
      <c r="AI230" s="201">
        <f t="shared" si="109"/>
        <v>0</v>
      </c>
      <c r="AJ230" s="201">
        <f t="shared" si="109"/>
        <v>0</v>
      </c>
      <c r="AK230" s="201">
        <f t="shared" si="109"/>
        <v>0</v>
      </c>
    </row>
    <row r="231" spans="3:37">
      <c r="C231" s="430"/>
      <c r="D231" s="430"/>
      <c r="E231" s="428" t="s">
        <v>134</v>
      </c>
      <c r="F231" s="428" t="s">
        <v>134</v>
      </c>
      <c r="G231" s="430"/>
      <c r="H231" s="1141">
        <f t="shared" si="109"/>
        <v>-4</v>
      </c>
      <c r="I231" s="1141">
        <f t="shared" si="109"/>
        <v>-3</v>
      </c>
      <c r="J231" s="1141">
        <f t="shared" si="109"/>
        <v>-2</v>
      </c>
      <c r="K231" s="1141">
        <f t="shared" si="109"/>
        <v>-1</v>
      </c>
      <c r="L231" s="1141">
        <f t="shared" si="109"/>
        <v>1</v>
      </c>
      <c r="M231" s="1141">
        <f t="shared" si="109"/>
        <v>2</v>
      </c>
      <c r="N231" s="1141">
        <f t="shared" si="109"/>
        <v>3</v>
      </c>
      <c r="O231" s="1141">
        <f t="shared" si="109"/>
        <v>4</v>
      </c>
      <c r="P231" s="1141">
        <f t="shared" si="109"/>
        <v>5</v>
      </c>
      <c r="Q231" s="1141">
        <f t="shared" si="109"/>
        <v>6</v>
      </c>
      <c r="R231" s="1141">
        <f t="shared" si="109"/>
        <v>7</v>
      </c>
      <c r="S231" s="1141">
        <f t="shared" si="109"/>
        <v>8</v>
      </c>
      <c r="T231" s="1141">
        <f t="shared" si="109"/>
        <v>9</v>
      </c>
      <c r="U231" s="1141">
        <f t="shared" si="109"/>
        <v>10</v>
      </c>
      <c r="V231" s="1141">
        <f t="shared" si="109"/>
        <v>11</v>
      </c>
      <c r="W231" s="1141">
        <f t="shared" si="109"/>
        <v>12</v>
      </c>
      <c r="X231" s="1141">
        <f t="shared" si="109"/>
        <v>13</v>
      </c>
      <c r="Y231" s="1141">
        <f t="shared" si="109"/>
        <v>14</v>
      </c>
      <c r="Z231" s="1141">
        <f t="shared" si="109"/>
        <v>15</v>
      </c>
      <c r="AA231" s="1141">
        <f t="shared" si="109"/>
        <v>16</v>
      </c>
      <c r="AB231" s="1141">
        <f t="shared" si="109"/>
        <v>17</v>
      </c>
      <c r="AC231" s="1141">
        <f t="shared" si="109"/>
        <v>18</v>
      </c>
      <c r="AD231" s="1141">
        <f t="shared" si="109"/>
        <v>19</v>
      </c>
      <c r="AE231" s="1141">
        <f t="shared" si="109"/>
        <v>0</v>
      </c>
      <c r="AF231" s="1141">
        <f t="shared" si="109"/>
        <v>0</v>
      </c>
      <c r="AG231" s="1141">
        <f t="shared" si="109"/>
        <v>0</v>
      </c>
      <c r="AH231" s="1141">
        <f t="shared" si="109"/>
        <v>0</v>
      </c>
      <c r="AI231" s="1141">
        <f t="shared" si="109"/>
        <v>0</v>
      </c>
      <c r="AJ231" s="1141">
        <f t="shared" si="109"/>
        <v>0</v>
      </c>
      <c r="AK231" s="1141">
        <f t="shared" si="109"/>
        <v>0</v>
      </c>
    </row>
    <row r="232" spans="3:37">
      <c r="C232" s="191" t="str">
        <f>C47</f>
        <v>Land Cost</v>
      </c>
    </row>
    <row r="233" spans="3:37">
      <c r="C233" s="201" cm="1">
        <f t="array" ref="C233:C262">TRANSPOSE(H230:AK230)</f>
        <v>46023</v>
      </c>
      <c r="D233" s="94" t="s">
        <v>134</v>
      </c>
      <c r="E233" s="424">
        <f>HLOOKUP($C233,$H$39:$AP$112,11,FALSE)</f>
        <v>0</v>
      </c>
      <c r="F233" s="209">
        <f>E233*$F$47</f>
        <v>0</v>
      </c>
      <c r="H233" s="424">
        <f>IF(OR(H$230&lt;$C233,H$230&lt;$H$2),0,MIN($E233-SUM($G233:G233),$F233))</f>
        <v>0</v>
      </c>
      <c r="I233" s="424">
        <f>IF(OR(I$230&lt;$C233,I$230&lt;$H$2),0,MIN($E233-SUM($G233:H233),$F233))</f>
        <v>0</v>
      </c>
      <c r="J233" s="424">
        <f>IF(OR(J$230&lt;$C233,J$230&lt;$H$2),0,MIN($E233-SUM($G233:I233),$F233))</f>
        <v>0</v>
      </c>
      <c r="K233" s="424">
        <f>IF(OR(K$230&lt;$C233,K$230&lt;$H$2),0,MIN($E233-SUM($G233:J233),$F233))</f>
        <v>0</v>
      </c>
      <c r="L233" s="424">
        <f>IF(OR(L$230&lt;$C233,L$230&lt;$H$2),0,MIN($E233-SUM($G233:K233),$F233))</f>
        <v>0</v>
      </c>
      <c r="M233" s="424">
        <f>IF(OR(M$230&lt;$C233,M$230&lt;$H$2),0,MIN($E233-SUM($G233:L233),$F233))</f>
        <v>0</v>
      </c>
      <c r="N233" s="424">
        <f>IF(OR(N$230&lt;$C233,N$230&lt;$H$2),0,MIN($E233-SUM($G233:M233),$F233))</f>
        <v>0</v>
      </c>
      <c r="O233" s="424">
        <f>IF(OR(O$230&lt;$C233,O$230&lt;$H$2),0,MIN($E233-SUM($G233:N233),$F233))</f>
        <v>0</v>
      </c>
      <c r="P233" s="424">
        <f>IF(OR(P$230&lt;$C233,P$230&lt;$H$2),0,MIN($E233-SUM($G233:O233),$F233))</f>
        <v>0</v>
      </c>
      <c r="Q233" s="424">
        <f>IF(OR(Q$230&lt;$C233,Q$230&lt;$H$2),0,MIN($E233-SUM($G233:P233),$F233))</f>
        <v>0</v>
      </c>
      <c r="R233" s="424">
        <f>IF(OR(R$230&lt;$C233,R$230&lt;$H$2),0,MIN($E233-SUM($G233:Q233),$F233))</f>
        <v>0</v>
      </c>
      <c r="S233" s="424">
        <f>IF(OR(S$230&lt;$C233,S$230&lt;$H$2),0,MIN($E233-SUM($G233:R233),$F233))</f>
        <v>0</v>
      </c>
      <c r="T233" s="424">
        <f>IF(OR(T$230&lt;$C233,T$230&lt;$H$2),0,MIN($E233-SUM($G233:S233),$F233))</f>
        <v>0</v>
      </c>
      <c r="U233" s="424">
        <f>IF(OR(U$230&lt;$C233,U$230&lt;$H$2),0,MIN($E233-SUM($G233:T233),$F233))</f>
        <v>0</v>
      </c>
      <c r="V233" s="424">
        <f>IF(OR(V$230&lt;$C233,V$230&lt;$H$2),0,MIN($E233-SUM($G233:U233),$F233))</f>
        <v>0</v>
      </c>
      <c r="W233" s="424">
        <f>IF(OR(W$230&lt;$C233,W$230&lt;$H$2),0,MIN($E233-SUM($G233:V233),$F233))</f>
        <v>0</v>
      </c>
      <c r="X233" s="424">
        <f>IF(OR(X$230&lt;$C233,X$230&lt;$H$2),0,MIN($E233-SUM($G233:W233),$F233))</f>
        <v>0</v>
      </c>
      <c r="Y233" s="424">
        <f>IF(OR(Y$230&lt;$C233,Y$230&lt;$H$2),0,MIN($E233-SUM($G233:X233),$F233))</f>
        <v>0</v>
      </c>
      <c r="Z233" s="424">
        <f>IF(OR(Z$230&lt;$C233,Z$230&lt;$H$2),0,MIN($E233-SUM($G233:Y233),$F233))</f>
        <v>0</v>
      </c>
      <c r="AA233" s="424">
        <f>IF(OR(AA$230&lt;$C233,AA$230&lt;$H$2),0,MIN($E233-SUM($G233:Z233),$F233))</f>
        <v>0</v>
      </c>
      <c r="AB233" s="424">
        <f>IF(OR(AB$230&lt;$C233,AB$230&lt;$H$2),0,MIN($E233-SUM($G233:AA233),$F233))</f>
        <v>0</v>
      </c>
      <c r="AC233" s="424">
        <f>IF(OR(AC$230&lt;$C233,AC$230&lt;$H$2),0,MIN($E233-SUM($G233:AB233),$F233))</f>
        <v>0</v>
      </c>
      <c r="AD233" s="424">
        <f>IF(OR(AD$230&lt;$C233,AD$230&lt;$H$2),0,MIN($E233-SUM($G233:AC233),$F233))</f>
        <v>0</v>
      </c>
      <c r="AE233" s="424">
        <f>IF(OR(AE$230&lt;$C233,AE$230&lt;$H$2),0,MIN($E233-SUM($G233:AD233),$F233))</f>
        <v>0</v>
      </c>
      <c r="AF233" s="424">
        <f>IF(OR(AF$230&lt;$C233,AF$230&lt;$H$2),0,MIN($E233-SUM($G233:AE233),$F233))</f>
        <v>0</v>
      </c>
      <c r="AG233" s="424">
        <f>IF(OR(AG$230&lt;$C233,AG$230&lt;$H$2),0,MIN($E233-SUM($G233:AF233),$F233))</f>
        <v>0</v>
      </c>
      <c r="AH233" s="424">
        <f>IF(OR(AH$230&lt;$C233,AH$230&lt;$H$2),0,MIN($E233-SUM($G233:AG233),$F233))</f>
        <v>0</v>
      </c>
      <c r="AI233" s="424">
        <f>IF(OR(AI$230&lt;$C233,AI$230&lt;$H$2),0,MIN($E233-SUM($G233:AH233),$F233))</f>
        <v>0</v>
      </c>
      <c r="AJ233" s="424">
        <f>IF(OR(AJ$230&lt;$C233,AJ$230&lt;$H$2),0,MIN($E233-SUM($G233:AI233),$F233))</f>
        <v>0</v>
      </c>
      <c r="AK233" s="424">
        <f>IF(OR(AK$230&lt;$C233,AK$230&lt;$H$2),0,MIN($E233-SUM($G233:AJ233),$F233))</f>
        <v>0</v>
      </c>
    </row>
    <row r="234" spans="3:37">
      <c r="C234" s="201">
        <v>46389</v>
      </c>
      <c r="D234" s="94" t="s">
        <v>134</v>
      </c>
      <c r="E234" s="424">
        <f t="shared" ref="E234:E262" si="110">HLOOKUP($C234,$H$39:$AP$112,11,FALSE)</f>
        <v>0</v>
      </c>
      <c r="F234" s="209">
        <f t="shared" ref="F234:F262" si="111">E234*$F$47</f>
        <v>0</v>
      </c>
      <c r="H234" s="424">
        <f>IF(OR(H$230&lt;$C234,H$230&lt;$H$2),0,MIN($E234-SUM($G234:G234),$F234))</f>
        <v>0</v>
      </c>
      <c r="I234" s="424">
        <f>IF(OR(I$230&lt;$C234,I$230&lt;$H$2),0,MIN($E234-SUM($G234:H234),$F234))</f>
        <v>0</v>
      </c>
      <c r="J234" s="424">
        <f>IF(OR(J$230&lt;$C234,J$230&lt;$H$2),0,MIN($E234-SUM($G234:I234),$F234))</f>
        <v>0</v>
      </c>
      <c r="K234" s="424">
        <f>IF(OR(K$230&lt;$C234,K$230&lt;$H$2),0,MIN($E234-SUM($G234:J234),$F234))</f>
        <v>0</v>
      </c>
      <c r="L234" s="424">
        <f>IF(OR(L$230&lt;$C234,L$230&lt;$H$2),0,MIN($E234-SUM($G234:K234),$F234))</f>
        <v>0</v>
      </c>
      <c r="M234" s="424">
        <f>IF(OR(M$230&lt;$C234,M$230&lt;$H$2),0,MIN($E234-SUM($G234:L234),$F234))</f>
        <v>0</v>
      </c>
      <c r="N234" s="424">
        <f>IF(OR(N$230&lt;$C234,N$230&lt;$H$2),0,MIN($E234-SUM($G234:M234),$F234))</f>
        <v>0</v>
      </c>
      <c r="O234" s="424">
        <f>IF(OR(O$230&lt;$C234,O$230&lt;$H$2),0,MIN($E234-SUM($G234:N234),$F234))</f>
        <v>0</v>
      </c>
      <c r="P234" s="424">
        <f>IF(OR(P$230&lt;$C234,P$230&lt;$H$2),0,MIN($E234-SUM($G234:O234),$F234))</f>
        <v>0</v>
      </c>
      <c r="Q234" s="424">
        <f>IF(OR(Q$230&lt;$C234,Q$230&lt;$H$2),0,MIN($E234-SUM($G234:P234),$F234))</f>
        <v>0</v>
      </c>
      <c r="R234" s="424">
        <f>IF(OR(R$230&lt;$C234,R$230&lt;$H$2),0,MIN($E234-SUM($G234:Q234),$F234))</f>
        <v>0</v>
      </c>
      <c r="S234" s="424">
        <f>IF(OR(S$230&lt;$C234,S$230&lt;$H$2),0,MIN($E234-SUM($G234:R234),$F234))</f>
        <v>0</v>
      </c>
      <c r="T234" s="424">
        <f>IF(OR(T$230&lt;$C234,T$230&lt;$H$2),0,MIN($E234-SUM($G234:S234),$F234))</f>
        <v>0</v>
      </c>
      <c r="U234" s="424">
        <f>IF(OR(U$230&lt;$C234,U$230&lt;$H$2),0,MIN($E234-SUM($G234:T234),$F234))</f>
        <v>0</v>
      </c>
      <c r="V234" s="424">
        <f>IF(OR(V$230&lt;$C234,V$230&lt;$H$2),0,MIN($E234-SUM($G234:U234),$F234))</f>
        <v>0</v>
      </c>
      <c r="W234" s="424">
        <f>IF(OR(W$230&lt;$C234,W$230&lt;$H$2),0,MIN($E234-SUM($G234:V234),$F234))</f>
        <v>0</v>
      </c>
      <c r="X234" s="424">
        <f>IF(OR(X$230&lt;$C234,X$230&lt;$H$2),0,MIN($E234-SUM($G234:W234),$F234))</f>
        <v>0</v>
      </c>
      <c r="Y234" s="424">
        <f>IF(OR(Y$230&lt;$C234,Y$230&lt;$H$2),0,MIN($E234-SUM($G234:X234),$F234))</f>
        <v>0</v>
      </c>
      <c r="Z234" s="424">
        <f>IF(OR(Z$230&lt;$C234,Z$230&lt;$H$2),0,MIN($E234-SUM($G234:Y234),$F234))</f>
        <v>0</v>
      </c>
      <c r="AA234" s="424">
        <f>IF(OR(AA$230&lt;$C234,AA$230&lt;$H$2),0,MIN($E234-SUM($G234:Z234),$F234))</f>
        <v>0</v>
      </c>
      <c r="AB234" s="424">
        <f>IF(OR(AB$230&lt;$C234,AB$230&lt;$H$2),0,MIN($E234-SUM($G234:AA234),$F234))</f>
        <v>0</v>
      </c>
      <c r="AC234" s="424">
        <f>IF(OR(AC$230&lt;$C234,AC$230&lt;$H$2),0,MIN($E234-SUM($G234:AB234),$F234))</f>
        <v>0</v>
      </c>
      <c r="AD234" s="424">
        <f>IF(OR(AD$230&lt;$C234,AD$230&lt;$H$2),0,MIN($E234-SUM($G234:AC234),$F234))</f>
        <v>0</v>
      </c>
      <c r="AE234" s="424">
        <f>IF(OR(AE$230&lt;$C234,AE$230&lt;$H$2),0,MIN($E234-SUM($G234:AD234),$F234))</f>
        <v>0</v>
      </c>
      <c r="AF234" s="424">
        <f>IF(OR(AF$230&lt;$C234,AF$230&lt;$H$2),0,MIN($E234-SUM($G234:AE234),$F234))</f>
        <v>0</v>
      </c>
      <c r="AG234" s="424">
        <f>IF(OR(AG$230&lt;$C234,AG$230&lt;$H$2),0,MIN($E234-SUM($G234:AF234),$F234))</f>
        <v>0</v>
      </c>
      <c r="AH234" s="424">
        <f>IF(OR(AH$230&lt;$C234,AH$230&lt;$H$2),0,MIN($E234-SUM($G234:AG234),$F234))</f>
        <v>0</v>
      </c>
      <c r="AI234" s="424">
        <f>IF(OR(AI$230&lt;$C234,AI$230&lt;$H$2),0,MIN($E234-SUM($G234:AH234),$F234))</f>
        <v>0</v>
      </c>
      <c r="AJ234" s="424">
        <f>IF(OR(AJ$230&lt;$C234,AJ$230&lt;$H$2),0,MIN($E234-SUM($G234:AI234),$F234))</f>
        <v>0</v>
      </c>
      <c r="AK234" s="424">
        <f>IF(OR(AK$230&lt;$C234,AK$230&lt;$H$2),0,MIN($E234-SUM($G234:AJ234),$F234))</f>
        <v>0</v>
      </c>
    </row>
    <row r="235" spans="3:37">
      <c r="C235" s="201">
        <v>46755</v>
      </c>
      <c r="D235" s="94" t="s">
        <v>134</v>
      </c>
      <c r="E235" s="424">
        <f t="shared" si="110"/>
        <v>0</v>
      </c>
      <c r="F235" s="209">
        <f t="shared" si="111"/>
        <v>0</v>
      </c>
      <c r="H235" s="424">
        <f>IF(OR(H$230&lt;$C235,H$230&lt;$H$2),0,MIN($E235-SUM($G235:G235),$F235))</f>
        <v>0</v>
      </c>
      <c r="I235" s="424">
        <f>IF(OR(I$230&lt;$C235,I$230&lt;$H$2),0,MIN($E235-SUM($G235:H235),$F235))</f>
        <v>0</v>
      </c>
      <c r="J235" s="424">
        <f>IF(OR(J$230&lt;$C235,J$230&lt;$H$2),0,MIN($E235-SUM($G235:I235),$F235))</f>
        <v>0</v>
      </c>
      <c r="K235" s="424">
        <f>IF(OR(K$230&lt;$C235,K$230&lt;$H$2),0,MIN($E235-SUM($G235:J235),$F235))</f>
        <v>0</v>
      </c>
      <c r="L235" s="424">
        <f>IF(OR(L$230&lt;$C235,L$230&lt;$H$2),0,MIN($E235-SUM($G235:K235),$F235))</f>
        <v>0</v>
      </c>
      <c r="M235" s="424">
        <f>IF(OR(M$230&lt;$C235,M$230&lt;$H$2),0,MIN($E235-SUM($G235:L235),$F235))</f>
        <v>0</v>
      </c>
      <c r="N235" s="424">
        <f>IF(OR(N$230&lt;$C235,N$230&lt;$H$2),0,MIN($E235-SUM($G235:M235),$F235))</f>
        <v>0</v>
      </c>
      <c r="O235" s="424">
        <f>IF(OR(O$230&lt;$C235,O$230&lt;$H$2),0,MIN($E235-SUM($G235:N235),$F235))</f>
        <v>0</v>
      </c>
      <c r="P235" s="424">
        <f>IF(OR(P$230&lt;$C235,P$230&lt;$H$2),0,MIN($E235-SUM($G235:O235),$F235))</f>
        <v>0</v>
      </c>
      <c r="Q235" s="424">
        <f>IF(OR(Q$230&lt;$C235,Q$230&lt;$H$2),0,MIN($E235-SUM($G235:P235),$F235))</f>
        <v>0</v>
      </c>
      <c r="R235" s="424">
        <f>IF(OR(R$230&lt;$C235,R$230&lt;$H$2),0,MIN($E235-SUM($G235:Q235),$F235))</f>
        <v>0</v>
      </c>
      <c r="S235" s="424">
        <f>IF(OR(S$230&lt;$C235,S$230&lt;$H$2),0,MIN($E235-SUM($G235:R235),$F235))</f>
        <v>0</v>
      </c>
      <c r="T235" s="424">
        <f>IF(OR(T$230&lt;$C235,T$230&lt;$H$2),0,MIN($E235-SUM($G235:S235),$F235))</f>
        <v>0</v>
      </c>
      <c r="U235" s="424">
        <f>IF(OR(U$230&lt;$C235,U$230&lt;$H$2),0,MIN($E235-SUM($G235:T235),$F235))</f>
        <v>0</v>
      </c>
      <c r="V235" s="424">
        <f>IF(OR(V$230&lt;$C235,V$230&lt;$H$2),0,MIN($E235-SUM($G235:U235),$F235))</f>
        <v>0</v>
      </c>
      <c r="W235" s="424">
        <f>IF(OR(W$230&lt;$C235,W$230&lt;$H$2),0,MIN($E235-SUM($G235:V235),$F235))</f>
        <v>0</v>
      </c>
      <c r="X235" s="424">
        <f>IF(OR(X$230&lt;$C235,X$230&lt;$H$2),0,MIN($E235-SUM($G235:W235),$F235))</f>
        <v>0</v>
      </c>
      <c r="Y235" s="424">
        <f>IF(OR(Y$230&lt;$C235,Y$230&lt;$H$2),0,MIN($E235-SUM($G235:X235),$F235))</f>
        <v>0</v>
      </c>
      <c r="Z235" s="424">
        <f>IF(OR(Z$230&lt;$C235,Z$230&lt;$H$2),0,MIN($E235-SUM($G235:Y235),$F235))</f>
        <v>0</v>
      </c>
      <c r="AA235" s="424">
        <f>IF(OR(AA$230&lt;$C235,AA$230&lt;$H$2),0,MIN($E235-SUM($G235:Z235),$F235))</f>
        <v>0</v>
      </c>
      <c r="AB235" s="424">
        <f>IF(OR(AB$230&lt;$C235,AB$230&lt;$H$2),0,MIN($E235-SUM($G235:AA235),$F235))</f>
        <v>0</v>
      </c>
      <c r="AC235" s="424">
        <f>IF(OR(AC$230&lt;$C235,AC$230&lt;$H$2),0,MIN($E235-SUM($G235:AB235),$F235))</f>
        <v>0</v>
      </c>
      <c r="AD235" s="424">
        <f>IF(OR(AD$230&lt;$C235,AD$230&lt;$H$2),0,MIN($E235-SUM($G235:AC235),$F235))</f>
        <v>0</v>
      </c>
      <c r="AE235" s="424">
        <f>IF(OR(AE$230&lt;$C235,AE$230&lt;$H$2),0,MIN($E235-SUM($G235:AD235),$F235))</f>
        <v>0</v>
      </c>
      <c r="AF235" s="424">
        <f>IF(OR(AF$230&lt;$C235,AF$230&lt;$H$2),0,MIN($E235-SUM($G235:AE235),$F235))</f>
        <v>0</v>
      </c>
      <c r="AG235" s="424">
        <f>IF(OR(AG$230&lt;$C235,AG$230&lt;$H$2),0,MIN($E235-SUM($G235:AF235),$F235))</f>
        <v>0</v>
      </c>
      <c r="AH235" s="424">
        <f>IF(OR(AH$230&lt;$C235,AH$230&lt;$H$2),0,MIN($E235-SUM($G235:AG235),$F235))</f>
        <v>0</v>
      </c>
      <c r="AI235" s="424">
        <f>IF(OR(AI$230&lt;$C235,AI$230&lt;$H$2),0,MIN($E235-SUM($G235:AH235),$F235))</f>
        <v>0</v>
      </c>
      <c r="AJ235" s="424">
        <f>IF(OR(AJ$230&lt;$C235,AJ$230&lt;$H$2),0,MIN($E235-SUM($G235:AI235),$F235))</f>
        <v>0</v>
      </c>
      <c r="AK235" s="424">
        <f>IF(OR(AK$230&lt;$C235,AK$230&lt;$H$2),0,MIN($E235-SUM($G235:AJ235),$F235))</f>
        <v>0</v>
      </c>
    </row>
    <row r="236" spans="3:37">
      <c r="C236" s="201">
        <v>47121</v>
      </c>
      <c r="D236" s="94" t="s">
        <v>134</v>
      </c>
      <c r="E236" s="424">
        <f t="shared" si="110"/>
        <v>0</v>
      </c>
      <c r="F236" s="209">
        <f t="shared" si="111"/>
        <v>0</v>
      </c>
      <c r="H236" s="424">
        <f>IF(OR(H$230&lt;$C236,H$230&lt;$H$2),0,MIN($E236-SUM($G236:G236),$F236))</f>
        <v>0</v>
      </c>
      <c r="I236" s="424">
        <f>IF(OR(I$230&lt;$C236,I$230&lt;$H$2),0,MIN($E236-SUM($G236:H236),$F236))</f>
        <v>0</v>
      </c>
      <c r="J236" s="424">
        <f>IF(OR(J$230&lt;$C236,J$230&lt;$H$2),0,MIN($E236-SUM($G236:I236),$F236))</f>
        <v>0</v>
      </c>
      <c r="K236" s="424">
        <f>IF(OR(K$230&lt;$C236,K$230&lt;$H$2),0,MIN($E236-SUM($G236:J236),$F236))</f>
        <v>0</v>
      </c>
      <c r="L236" s="424">
        <f>IF(OR(L$230&lt;$C236,L$230&lt;$H$2),0,MIN($E236-SUM($G236:K236),$F236))</f>
        <v>0</v>
      </c>
      <c r="M236" s="424">
        <f>IF(OR(M$230&lt;$C236,M$230&lt;$H$2),0,MIN($E236-SUM($G236:L236),$F236))</f>
        <v>0</v>
      </c>
      <c r="N236" s="424">
        <f>IF(OR(N$230&lt;$C236,N$230&lt;$H$2),0,MIN($E236-SUM($G236:M236),$F236))</f>
        <v>0</v>
      </c>
      <c r="O236" s="424">
        <f>IF(OR(O$230&lt;$C236,O$230&lt;$H$2),0,MIN($E236-SUM($G236:N236),$F236))</f>
        <v>0</v>
      </c>
      <c r="P236" s="424">
        <f>IF(OR(P$230&lt;$C236,P$230&lt;$H$2),0,MIN($E236-SUM($G236:O236),$F236))</f>
        <v>0</v>
      </c>
      <c r="Q236" s="424">
        <f>IF(OR(Q$230&lt;$C236,Q$230&lt;$H$2),0,MIN($E236-SUM($G236:P236),$F236))</f>
        <v>0</v>
      </c>
      <c r="R236" s="424">
        <f>IF(OR(R$230&lt;$C236,R$230&lt;$H$2),0,MIN($E236-SUM($G236:Q236),$F236))</f>
        <v>0</v>
      </c>
      <c r="S236" s="424">
        <f>IF(OR(S$230&lt;$C236,S$230&lt;$H$2),0,MIN($E236-SUM($G236:R236),$F236))</f>
        <v>0</v>
      </c>
      <c r="T236" s="424">
        <f>IF(OR(T$230&lt;$C236,T$230&lt;$H$2),0,MIN($E236-SUM($G236:S236),$F236))</f>
        <v>0</v>
      </c>
      <c r="U236" s="424">
        <f>IF(OR(U$230&lt;$C236,U$230&lt;$H$2),0,MIN($E236-SUM($G236:T236),$F236))</f>
        <v>0</v>
      </c>
      <c r="V236" s="424">
        <f>IF(OR(V$230&lt;$C236,V$230&lt;$H$2),0,MIN($E236-SUM($G236:U236),$F236))</f>
        <v>0</v>
      </c>
      <c r="W236" s="424">
        <f>IF(OR(W$230&lt;$C236,W$230&lt;$H$2),0,MIN($E236-SUM($G236:V236),$F236))</f>
        <v>0</v>
      </c>
      <c r="X236" s="424">
        <f>IF(OR(X$230&lt;$C236,X$230&lt;$H$2),0,MIN($E236-SUM($G236:W236),$F236))</f>
        <v>0</v>
      </c>
      <c r="Y236" s="424">
        <f>IF(OR(Y$230&lt;$C236,Y$230&lt;$H$2),0,MIN($E236-SUM($G236:X236),$F236))</f>
        <v>0</v>
      </c>
      <c r="Z236" s="424">
        <f>IF(OR(Z$230&lt;$C236,Z$230&lt;$H$2),0,MIN($E236-SUM($G236:Y236),$F236))</f>
        <v>0</v>
      </c>
      <c r="AA236" s="424">
        <f>IF(OR(AA$230&lt;$C236,AA$230&lt;$H$2),0,MIN($E236-SUM($G236:Z236),$F236))</f>
        <v>0</v>
      </c>
      <c r="AB236" s="424">
        <f>IF(OR(AB$230&lt;$C236,AB$230&lt;$H$2),0,MIN($E236-SUM($G236:AA236),$F236))</f>
        <v>0</v>
      </c>
      <c r="AC236" s="424">
        <f>IF(OR(AC$230&lt;$C236,AC$230&lt;$H$2),0,MIN($E236-SUM($G236:AB236),$F236))</f>
        <v>0</v>
      </c>
      <c r="AD236" s="424">
        <f>IF(OR(AD$230&lt;$C236,AD$230&lt;$H$2),0,MIN($E236-SUM($G236:AC236),$F236))</f>
        <v>0</v>
      </c>
      <c r="AE236" s="424">
        <f>IF(OR(AE$230&lt;$C236,AE$230&lt;$H$2),0,MIN($E236-SUM($G236:AD236),$F236))</f>
        <v>0</v>
      </c>
      <c r="AF236" s="424">
        <f>IF(OR(AF$230&lt;$C236,AF$230&lt;$H$2),0,MIN($E236-SUM($G236:AE236),$F236))</f>
        <v>0</v>
      </c>
      <c r="AG236" s="424">
        <f>IF(OR(AG$230&lt;$C236,AG$230&lt;$H$2),0,MIN($E236-SUM($G236:AF236),$F236))</f>
        <v>0</v>
      </c>
      <c r="AH236" s="424">
        <f>IF(OR(AH$230&lt;$C236,AH$230&lt;$H$2),0,MIN($E236-SUM($G236:AG236),$F236))</f>
        <v>0</v>
      </c>
      <c r="AI236" s="424">
        <f>IF(OR(AI$230&lt;$C236,AI$230&lt;$H$2),0,MIN($E236-SUM($G236:AH236),$F236))</f>
        <v>0</v>
      </c>
      <c r="AJ236" s="424">
        <f>IF(OR(AJ$230&lt;$C236,AJ$230&lt;$H$2),0,MIN($E236-SUM($G236:AI236),$F236))</f>
        <v>0</v>
      </c>
      <c r="AK236" s="424">
        <f>IF(OR(AK$230&lt;$C236,AK$230&lt;$H$2),0,MIN($E236-SUM($G236:AJ236),$F236))</f>
        <v>0</v>
      </c>
    </row>
    <row r="237" spans="3:37">
      <c r="C237" s="201">
        <v>47487</v>
      </c>
      <c r="D237" s="94" t="s">
        <v>134</v>
      </c>
      <c r="E237" s="424">
        <f t="shared" si="110"/>
        <v>0</v>
      </c>
      <c r="F237" s="209">
        <f t="shared" si="111"/>
        <v>0</v>
      </c>
      <c r="H237" s="424">
        <f>IF(OR(H$230&lt;$C237,H$230&lt;$H$2),0,MIN($E237-SUM($G237:G237),$F237))</f>
        <v>0</v>
      </c>
      <c r="I237" s="424">
        <f>IF(OR(I$230&lt;$C237,I$230&lt;$H$2),0,MIN($E237-SUM($G237:H237),$F237))</f>
        <v>0</v>
      </c>
      <c r="J237" s="424">
        <f>IF(OR(J$230&lt;$C237,J$230&lt;$H$2),0,MIN($E237-SUM($G237:I237),$F237))</f>
        <v>0</v>
      </c>
      <c r="K237" s="424">
        <f>IF(OR(K$230&lt;$C237,K$230&lt;$H$2),0,MIN($E237-SUM($G237:J237),$F237))</f>
        <v>0</v>
      </c>
      <c r="L237" s="424">
        <f>IF(OR(L$230&lt;$C237,L$230&lt;$H$2),0,MIN($E237-SUM($G237:K237),$F237))</f>
        <v>0</v>
      </c>
      <c r="M237" s="424">
        <f>IF(OR(M$230&lt;$C237,M$230&lt;$H$2),0,MIN($E237-SUM($G237:L237),$F237))</f>
        <v>0</v>
      </c>
      <c r="N237" s="424">
        <f>IF(OR(N$230&lt;$C237,N$230&lt;$H$2),0,MIN($E237-SUM($G237:M237),$F237))</f>
        <v>0</v>
      </c>
      <c r="O237" s="424">
        <f>IF(OR(O$230&lt;$C237,O$230&lt;$H$2),0,MIN($E237-SUM($G237:N237),$F237))</f>
        <v>0</v>
      </c>
      <c r="P237" s="424">
        <f>IF(OR(P$230&lt;$C237,P$230&lt;$H$2),0,MIN($E237-SUM($G237:O237),$F237))</f>
        <v>0</v>
      </c>
      <c r="Q237" s="424">
        <f>IF(OR(Q$230&lt;$C237,Q$230&lt;$H$2),0,MIN($E237-SUM($G237:P237),$F237))</f>
        <v>0</v>
      </c>
      <c r="R237" s="424">
        <f>IF(OR(R$230&lt;$C237,R$230&lt;$H$2),0,MIN($E237-SUM($G237:Q237),$F237))</f>
        <v>0</v>
      </c>
      <c r="S237" s="424">
        <f>IF(OR(S$230&lt;$C237,S$230&lt;$H$2),0,MIN($E237-SUM($G237:R237),$F237))</f>
        <v>0</v>
      </c>
      <c r="T237" s="424">
        <f>IF(OR(T$230&lt;$C237,T$230&lt;$H$2),0,MIN($E237-SUM($G237:S237),$F237))</f>
        <v>0</v>
      </c>
      <c r="U237" s="424">
        <f>IF(OR(U$230&lt;$C237,U$230&lt;$H$2),0,MIN($E237-SUM($G237:T237),$F237))</f>
        <v>0</v>
      </c>
      <c r="V237" s="424">
        <f>IF(OR(V$230&lt;$C237,V$230&lt;$H$2),0,MIN($E237-SUM($G237:U237),$F237))</f>
        <v>0</v>
      </c>
      <c r="W237" s="424">
        <f>IF(OR(W$230&lt;$C237,W$230&lt;$H$2),0,MIN($E237-SUM($G237:V237),$F237))</f>
        <v>0</v>
      </c>
      <c r="X237" s="424">
        <f>IF(OR(X$230&lt;$C237,X$230&lt;$H$2),0,MIN($E237-SUM($G237:W237),$F237))</f>
        <v>0</v>
      </c>
      <c r="Y237" s="424">
        <f>IF(OR(Y$230&lt;$C237,Y$230&lt;$H$2),0,MIN($E237-SUM($G237:X237),$F237))</f>
        <v>0</v>
      </c>
      <c r="Z237" s="424">
        <f>IF(OR(Z$230&lt;$C237,Z$230&lt;$H$2),0,MIN($E237-SUM($G237:Y237),$F237))</f>
        <v>0</v>
      </c>
      <c r="AA237" s="424">
        <f>IF(OR(AA$230&lt;$C237,AA$230&lt;$H$2),0,MIN($E237-SUM($G237:Z237),$F237))</f>
        <v>0</v>
      </c>
      <c r="AB237" s="424">
        <f>IF(OR(AB$230&lt;$C237,AB$230&lt;$H$2),0,MIN($E237-SUM($G237:AA237),$F237))</f>
        <v>0</v>
      </c>
      <c r="AC237" s="424">
        <f>IF(OR(AC$230&lt;$C237,AC$230&lt;$H$2),0,MIN($E237-SUM($G237:AB237),$F237))</f>
        <v>0</v>
      </c>
      <c r="AD237" s="424">
        <f>IF(OR(AD$230&lt;$C237,AD$230&lt;$H$2),0,MIN($E237-SUM($G237:AC237),$F237))</f>
        <v>0</v>
      </c>
      <c r="AE237" s="424">
        <f>IF(OR(AE$230&lt;$C237,AE$230&lt;$H$2),0,MIN($E237-SUM($G237:AD237),$F237))</f>
        <v>0</v>
      </c>
      <c r="AF237" s="424">
        <f>IF(OR(AF$230&lt;$C237,AF$230&lt;$H$2),0,MIN($E237-SUM($G237:AE237),$F237))</f>
        <v>0</v>
      </c>
      <c r="AG237" s="424">
        <f>IF(OR(AG$230&lt;$C237,AG$230&lt;$H$2),0,MIN($E237-SUM($G237:AF237),$F237))</f>
        <v>0</v>
      </c>
      <c r="AH237" s="424">
        <f>IF(OR(AH$230&lt;$C237,AH$230&lt;$H$2),0,MIN($E237-SUM($G237:AG237),$F237))</f>
        <v>0</v>
      </c>
      <c r="AI237" s="424">
        <f>IF(OR(AI$230&lt;$C237,AI$230&lt;$H$2),0,MIN($E237-SUM($G237:AH237),$F237))</f>
        <v>0</v>
      </c>
      <c r="AJ237" s="424">
        <f>IF(OR(AJ$230&lt;$C237,AJ$230&lt;$H$2),0,MIN($E237-SUM($G237:AI237),$F237))</f>
        <v>0</v>
      </c>
      <c r="AK237" s="424">
        <f>IF(OR(AK$230&lt;$C237,AK$230&lt;$H$2),0,MIN($E237-SUM($G237:AJ237),$F237))</f>
        <v>0</v>
      </c>
    </row>
    <row r="238" spans="3:37">
      <c r="C238" s="201">
        <v>47853</v>
      </c>
      <c r="D238" s="94" t="s">
        <v>134</v>
      </c>
      <c r="E238" s="424">
        <f t="shared" si="110"/>
        <v>0</v>
      </c>
      <c r="F238" s="209">
        <f t="shared" si="111"/>
        <v>0</v>
      </c>
      <c r="H238" s="424">
        <f>IF(OR(H$230&lt;$C238,H$230&lt;$H$2),0,MIN($E238-SUM($G238:G238),$F238))</f>
        <v>0</v>
      </c>
      <c r="I238" s="424">
        <f>IF(OR(I$230&lt;$C238,I$230&lt;$H$2),0,MIN($E238-SUM($G238:H238),$F238))</f>
        <v>0</v>
      </c>
      <c r="J238" s="424">
        <f>IF(OR(J$230&lt;$C238,J$230&lt;$H$2),0,MIN($E238-SUM($G238:I238),$F238))</f>
        <v>0</v>
      </c>
      <c r="K238" s="424">
        <f>IF(OR(K$230&lt;$C238,K$230&lt;$H$2),0,MIN($E238-SUM($G238:J238),$F238))</f>
        <v>0</v>
      </c>
      <c r="L238" s="424">
        <f>IF(OR(L$230&lt;$C238,L$230&lt;$H$2),0,MIN($E238-SUM($G238:K238),$F238))</f>
        <v>0</v>
      </c>
      <c r="M238" s="424">
        <f>IF(OR(M$230&lt;$C238,M$230&lt;$H$2),0,MIN($E238-SUM($G238:L238),$F238))</f>
        <v>0</v>
      </c>
      <c r="N238" s="424">
        <f>IF(OR(N$230&lt;$C238,N$230&lt;$H$2),0,MIN($E238-SUM($G238:M238),$F238))</f>
        <v>0</v>
      </c>
      <c r="O238" s="424">
        <f>IF(OR(O$230&lt;$C238,O$230&lt;$H$2),0,MIN($E238-SUM($G238:N238),$F238))</f>
        <v>0</v>
      </c>
      <c r="P238" s="424">
        <f>IF(OR(P$230&lt;$C238,P$230&lt;$H$2),0,MIN($E238-SUM($G238:O238),$F238))</f>
        <v>0</v>
      </c>
      <c r="Q238" s="424">
        <f>IF(OR(Q$230&lt;$C238,Q$230&lt;$H$2),0,MIN($E238-SUM($G238:P238),$F238))</f>
        <v>0</v>
      </c>
      <c r="R238" s="424">
        <f>IF(OR(R$230&lt;$C238,R$230&lt;$H$2),0,MIN($E238-SUM($G238:Q238),$F238))</f>
        <v>0</v>
      </c>
      <c r="S238" s="424">
        <f>IF(OR(S$230&lt;$C238,S$230&lt;$H$2),0,MIN($E238-SUM($G238:R238),$F238))</f>
        <v>0</v>
      </c>
      <c r="T238" s="424">
        <f>IF(OR(T$230&lt;$C238,T$230&lt;$H$2),0,MIN($E238-SUM($G238:S238),$F238))</f>
        <v>0</v>
      </c>
      <c r="U238" s="424">
        <f>IF(OR(U$230&lt;$C238,U$230&lt;$H$2),0,MIN($E238-SUM($G238:T238),$F238))</f>
        <v>0</v>
      </c>
      <c r="V238" s="424">
        <f>IF(OR(V$230&lt;$C238,V$230&lt;$H$2),0,MIN($E238-SUM($G238:U238),$F238))</f>
        <v>0</v>
      </c>
      <c r="W238" s="424">
        <f>IF(OR(W$230&lt;$C238,W$230&lt;$H$2),0,MIN($E238-SUM($G238:V238),$F238))</f>
        <v>0</v>
      </c>
      <c r="X238" s="424">
        <f>IF(OR(X$230&lt;$C238,X$230&lt;$H$2),0,MIN($E238-SUM($G238:W238),$F238))</f>
        <v>0</v>
      </c>
      <c r="Y238" s="424">
        <f>IF(OR(Y$230&lt;$C238,Y$230&lt;$H$2),0,MIN($E238-SUM($G238:X238),$F238))</f>
        <v>0</v>
      </c>
      <c r="Z238" s="424">
        <f>IF(OR(Z$230&lt;$C238,Z$230&lt;$H$2),0,MIN($E238-SUM($G238:Y238),$F238))</f>
        <v>0</v>
      </c>
      <c r="AA238" s="424">
        <f>IF(OR(AA$230&lt;$C238,AA$230&lt;$H$2),0,MIN($E238-SUM($G238:Z238),$F238))</f>
        <v>0</v>
      </c>
      <c r="AB238" s="424">
        <f>IF(OR(AB$230&lt;$C238,AB$230&lt;$H$2),0,MIN($E238-SUM($G238:AA238),$F238))</f>
        <v>0</v>
      </c>
      <c r="AC238" s="424">
        <f>IF(OR(AC$230&lt;$C238,AC$230&lt;$H$2),0,MIN($E238-SUM($G238:AB238),$F238))</f>
        <v>0</v>
      </c>
      <c r="AD238" s="424">
        <f>IF(OR(AD$230&lt;$C238,AD$230&lt;$H$2),0,MIN($E238-SUM($G238:AC238),$F238))</f>
        <v>0</v>
      </c>
      <c r="AE238" s="424">
        <f>IF(OR(AE$230&lt;$C238,AE$230&lt;$H$2),0,MIN($E238-SUM($G238:AD238),$F238))</f>
        <v>0</v>
      </c>
      <c r="AF238" s="424">
        <f>IF(OR(AF$230&lt;$C238,AF$230&lt;$H$2),0,MIN($E238-SUM($G238:AE238),$F238))</f>
        <v>0</v>
      </c>
      <c r="AG238" s="424">
        <f>IF(OR(AG$230&lt;$C238,AG$230&lt;$H$2),0,MIN($E238-SUM($G238:AF238),$F238))</f>
        <v>0</v>
      </c>
      <c r="AH238" s="424">
        <f>IF(OR(AH$230&lt;$C238,AH$230&lt;$H$2),0,MIN($E238-SUM($G238:AG238),$F238))</f>
        <v>0</v>
      </c>
      <c r="AI238" s="424">
        <f>IF(OR(AI$230&lt;$C238,AI$230&lt;$H$2),0,MIN($E238-SUM($G238:AH238),$F238))</f>
        <v>0</v>
      </c>
      <c r="AJ238" s="424">
        <f>IF(OR(AJ$230&lt;$C238,AJ$230&lt;$H$2),0,MIN($E238-SUM($G238:AI238),$F238))</f>
        <v>0</v>
      </c>
      <c r="AK238" s="424">
        <f>IF(OR(AK$230&lt;$C238,AK$230&lt;$H$2),0,MIN($E238-SUM($G238:AJ238),$F238))</f>
        <v>0</v>
      </c>
    </row>
    <row r="239" spans="3:37">
      <c r="C239" s="201">
        <v>48219</v>
      </c>
      <c r="D239" s="94" t="s">
        <v>134</v>
      </c>
      <c r="E239" s="424">
        <f t="shared" si="110"/>
        <v>0</v>
      </c>
      <c r="F239" s="209">
        <f t="shared" si="111"/>
        <v>0</v>
      </c>
      <c r="H239" s="424">
        <f>IF(OR(H$230&lt;$C239,H$230&lt;$H$2),0,MIN($E239-SUM($G239:G239),$F239))</f>
        <v>0</v>
      </c>
      <c r="I239" s="424">
        <f>IF(OR(I$230&lt;$C239,I$230&lt;$H$2),0,MIN($E239-SUM($G239:H239),$F239))</f>
        <v>0</v>
      </c>
      <c r="J239" s="424">
        <f>IF(OR(J$230&lt;$C239,J$230&lt;$H$2),0,MIN($E239-SUM($G239:I239),$F239))</f>
        <v>0</v>
      </c>
      <c r="K239" s="424">
        <f>IF(OR(K$230&lt;$C239,K$230&lt;$H$2),0,MIN($E239-SUM($G239:J239),$F239))</f>
        <v>0</v>
      </c>
      <c r="L239" s="424">
        <f>IF(OR(L$230&lt;$C239,L$230&lt;$H$2),0,MIN($E239-SUM($G239:K239),$F239))</f>
        <v>0</v>
      </c>
      <c r="M239" s="424">
        <f>IF(OR(M$230&lt;$C239,M$230&lt;$H$2),0,MIN($E239-SUM($G239:L239),$F239))</f>
        <v>0</v>
      </c>
      <c r="N239" s="424">
        <f>IF(OR(N$230&lt;$C239,N$230&lt;$H$2),0,MIN($E239-SUM($G239:M239),$F239))</f>
        <v>0</v>
      </c>
      <c r="O239" s="424">
        <f>IF(OR(O$230&lt;$C239,O$230&lt;$H$2),0,MIN($E239-SUM($G239:N239),$F239))</f>
        <v>0</v>
      </c>
      <c r="P239" s="424">
        <f>IF(OR(P$230&lt;$C239,P$230&lt;$H$2),0,MIN($E239-SUM($G239:O239),$F239))</f>
        <v>0</v>
      </c>
      <c r="Q239" s="424">
        <f>IF(OR(Q$230&lt;$C239,Q$230&lt;$H$2),0,MIN($E239-SUM($G239:P239),$F239))</f>
        <v>0</v>
      </c>
      <c r="R239" s="424">
        <f>IF(OR(R$230&lt;$C239,R$230&lt;$H$2),0,MIN($E239-SUM($G239:Q239),$F239))</f>
        <v>0</v>
      </c>
      <c r="S239" s="424">
        <f>IF(OR(S$230&lt;$C239,S$230&lt;$H$2),0,MIN($E239-SUM($G239:R239),$F239))</f>
        <v>0</v>
      </c>
      <c r="T239" s="424">
        <f>IF(OR(T$230&lt;$C239,T$230&lt;$H$2),0,MIN($E239-SUM($G239:S239),$F239))</f>
        <v>0</v>
      </c>
      <c r="U239" s="424">
        <f>IF(OR(U$230&lt;$C239,U$230&lt;$H$2),0,MIN($E239-SUM($G239:T239),$F239))</f>
        <v>0</v>
      </c>
      <c r="V239" s="424">
        <f>IF(OR(V$230&lt;$C239,V$230&lt;$H$2),0,MIN($E239-SUM($G239:U239),$F239))</f>
        <v>0</v>
      </c>
      <c r="W239" s="424">
        <f>IF(OR(W$230&lt;$C239,W$230&lt;$H$2),0,MIN($E239-SUM($G239:V239),$F239))</f>
        <v>0</v>
      </c>
      <c r="X239" s="424">
        <f>IF(OR(X$230&lt;$C239,X$230&lt;$H$2),0,MIN($E239-SUM($G239:W239),$F239))</f>
        <v>0</v>
      </c>
      <c r="Y239" s="424">
        <f>IF(OR(Y$230&lt;$C239,Y$230&lt;$H$2),0,MIN($E239-SUM($G239:X239),$F239))</f>
        <v>0</v>
      </c>
      <c r="Z239" s="424">
        <f>IF(OR(Z$230&lt;$C239,Z$230&lt;$H$2),0,MIN($E239-SUM($G239:Y239),$F239))</f>
        <v>0</v>
      </c>
      <c r="AA239" s="424">
        <f>IF(OR(AA$230&lt;$C239,AA$230&lt;$H$2),0,MIN($E239-SUM($G239:Z239),$F239))</f>
        <v>0</v>
      </c>
      <c r="AB239" s="424">
        <f>IF(OR(AB$230&lt;$C239,AB$230&lt;$H$2),0,MIN($E239-SUM($G239:AA239),$F239))</f>
        <v>0</v>
      </c>
      <c r="AC239" s="424">
        <f>IF(OR(AC$230&lt;$C239,AC$230&lt;$H$2),0,MIN($E239-SUM($G239:AB239),$F239))</f>
        <v>0</v>
      </c>
      <c r="AD239" s="424">
        <f>IF(OR(AD$230&lt;$C239,AD$230&lt;$H$2),0,MIN($E239-SUM($G239:AC239),$F239))</f>
        <v>0</v>
      </c>
      <c r="AE239" s="424">
        <f>IF(OR(AE$230&lt;$C239,AE$230&lt;$H$2),0,MIN($E239-SUM($G239:AD239),$F239))</f>
        <v>0</v>
      </c>
      <c r="AF239" s="424">
        <f>IF(OR(AF$230&lt;$C239,AF$230&lt;$H$2),0,MIN($E239-SUM($G239:AE239),$F239))</f>
        <v>0</v>
      </c>
      <c r="AG239" s="424">
        <f>IF(OR(AG$230&lt;$C239,AG$230&lt;$H$2),0,MIN($E239-SUM($G239:AF239),$F239))</f>
        <v>0</v>
      </c>
      <c r="AH239" s="424">
        <f>IF(OR(AH$230&lt;$C239,AH$230&lt;$H$2),0,MIN($E239-SUM($G239:AG239),$F239))</f>
        <v>0</v>
      </c>
      <c r="AI239" s="424">
        <f>IF(OR(AI$230&lt;$C239,AI$230&lt;$H$2),0,MIN($E239-SUM($G239:AH239),$F239))</f>
        <v>0</v>
      </c>
      <c r="AJ239" s="424">
        <f>IF(OR(AJ$230&lt;$C239,AJ$230&lt;$H$2),0,MIN($E239-SUM($G239:AI239),$F239))</f>
        <v>0</v>
      </c>
      <c r="AK239" s="424">
        <f>IF(OR(AK$230&lt;$C239,AK$230&lt;$H$2),0,MIN($E239-SUM($G239:AJ239),$F239))</f>
        <v>0</v>
      </c>
    </row>
    <row r="240" spans="3:37">
      <c r="C240" s="201">
        <v>48585</v>
      </c>
      <c r="D240" s="94" t="s">
        <v>134</v>
      </c>
      <c r="E240" s="424">
        <f t="shared" si="110"/>
        <v>0</v>
      </c>
      <c r="F240" s="209">
        <f t="shared" si="111"/>
        <v>0</v>
      </c>
      <c r="H240" s="424">
        <f>IF(OR(H$230&lt;$C240,H$230&lt;$H$2),0,MIN($E240-SUM($G240:G240),$F240))</f>
        <v>0</v>
      </c>
      <c r="I240" s="424">
        <f>IF(OR(I$230&lt;$C240,I$230&lt;$H$2),0,MIN($E240-SUM($G240:H240),$F240))</f>
        <v>0</v>
      </c>
      <c r="J240" s="424">
        <f>IF(OR(J$230&lt;$C240,J$230&lt;$H$2),0,MIN($E240-SUM($G240:I240),$F240))</f>
        <v>0</v>
      </c>
      <c r="K240" s="424">
        <f>IF(OR(K$230&lt;$C240,K$230&lt;$H$2),0,MIN($E240-SUM($G240:J240),$F240))</f>
        <v>0</v>
      </c>
      <c r="L240" s="424">
        <f>IF(OR(L$230&lt;$C240,L$230&lt;$H$2),0,MIN($E240-SUM($G240:K240),$F240))</f>
        <v>0</v>
      </c>
      <c r="M240" s="424">
        <f>IF(OR(M$230&lt;$C240,M$230&lt;$H$2),0,MIN($E240-SUM($G240:L240),$F240))</f>
        <v>0</v>
      </c>
      <c r="N240" s="424">
        <f>IF(OR(N$230&lt;$C240,N$230&lt;$H$2),0,MIN($E240-SUM($G240:M240),$F240))</f>
        <v>0</v>
      </c>
      <c r="O240" s="424">
        <f>IF(OR(O$230&lt;$C240,O$230&lt;$H$2),0,MIN($E240-SUM($G240:N240),$F240))</f>
        <v>0</v>
      </c>
      <c r="P240" s="424">
        <f>IF(OR(P$230&lt;$C240,P$230&lt;$H$2),0,MIN($E240-SUM($G240:O240),$F240))</f>
        <v>0</v>
      </c>
      <c r="Q240" s="424">
        <f>IF(OR(Q$230&lt;$C240,Q$230&lt;$H$2),0,MIN($E240-SUM($G240:P240),$F240))</f>
        <v>0</v>
      </c>
      <c r="R240" s="424">
        <f>IF(OR(R$230&lt;$C240,R$230&lt;$H$2),0,MIN($E240-SUM($G240:Q240),$F240))</f>
        <v>0</v>
      </c>
      <c r="S240" s="424">
        <f>IF(OR(S$230&lt;$C240,S$230&lt;$H$2),0,MIN($E240-SUM($G240:R240),$F240))</f>
        <v>0</v>
      </c>
      <c r="T240" s="424">
        <f>IF(OR(T$230&lt;$C240,T$230&lt;$H$2),0,MIN($E240-SUM($G240:S240),$F240))</f>
        <v>0</v>
      </c>
      <c r="U240" s="424">
        <f>IF(OR(U$230&lt;$C240,U$230&lt;$H$2),0,MIN($E240-SUM($G240:T240),$F240))</f>
        <v>0</v>
      </c>
      <c r="V240" s="424">
        <f>IF(OR(V$230&lt;$C240,V$230&lt;$H$2),0,MIN($E240-SUM($G240:U240),$F240))</f>
        <v>0</v>
      </c>
      <c r="W240" s="424">
        <f>IF(OR(W$230&lt;$C240,W$230&lt;$H$2),0,MIN($E240-SUM($G240:V240),$F240))</f>
        <v>0</v>
      </c>
      <c r="X240" s="424">
        <f>IF(OR(X$230&lt;$C240,X$230&lt;$H$2),0,MIN($E240-SUM($G240:W240),$F240))</f>
        <v>0</v>
      </c>
      <c r="Y240" s="424">
        <f>IF(OR(Y$230&lt;$C240,Y$230&lt;$H$2),0,MIN($E240-SUM($G240:X240),$F240))</f>
        <v>0</v>
      </c>
      <c r="Z240" s="424">
        <f>IF(OR(Z$230&lt;$C240,Z$230&lt;$H$2),0,MIN($E240-SUM($G240:Y240),$F240))</f>
        <v>0</v>
      </c>
      <c r="AA240" s="424">
        <f>IF(OR(AA$230&lt;$C240,AA$230&lt;$H$2),0,MIN($E240-SUM($G240:Z240),$F240))</f>
        <v>0</v>
      </c>
      <c r="AB240" s="424">
        <f>IF(OR(AB$230&lt;$C240,AB$230&lt;$H$2),0,MIN($E240-SUM($G240:AA240),$F240))</f>
        <v>0</v>
      </c>
      <c r="AC240" s="424">
        <f>IF(OR(AC$230&lt;$C240,AC$230&lt;$H$2),0,MIN($E240-SUM($G240:AB240),$F240))</f>
        <v>0</v>
      </c>
      <c r="AD240" s="424">
        <f>IF(OR(AD$230&lt;$C240,AD$230&lt;$H$2),0,MIN($E240-SUM($G240:AC240),$F240))</f>
        <v>0</v>
      </c>
      <c r="AE240" s="424">
        <f>IF(OR(AE$230&lt;$C240,AE$230&lt;$H$2),0,MIN($E240-SUM($G240:AD240),$F240))</f>
        <v>0</v>
      </c>
      <c r="AF240" s="424">
        <f>IF(OR(AF$230&lt;$C240,AF$230&lt;$H$2),0,MIN($E240-SUM($G240:AE240),$F240))</f>
        <v>0</v>
      </c>
      <c r="AG240" s="424">
        <f>IF(OR(AG$230&lt;$C240,AG$230&lt;$H$2),0,MIN($E240-SUM($G240:AF240),$F240))</f>
        <v>0</v>
      </c>
      <c r="AH240" s="424">
        <f>IF(OR(AH$230&lt;$C240,AH$230&lt;$H$2),0,MIN($E240-SUM($G240:AG240),$F240))</f>
        <v>0</v>
      </c>
      <c r="AI240" s="424">
        <f>IF(OR(AI$230&lt;$C240,AI$230&lt;$H$2),0,MIN($E240-SUM($G240:AH240),$F240))</f>
        <v>0</v>
      </c>
      <c r="AJ240" s="424">
        <f>IF(OR(AJ$230&lt;$C240,AJ$230&lt;$H$2),0,MIN($E240-SUM($G240:AI240),$F240))</f>
        <v>0</v>
      </c>
      <c r="AK240" s="424">
        <f>IF(OR(AK$230&lt;$C240,AK$230&lt;$H$2),0,MIN($E240-SUM($G240:AJ240),$F240))</f>
        <v>0</v>
      </c>
    </row>
    <row r="241" spans="3:37">
      <c r="C241" s="201">
        <v>48951</v>
      </c>
      <c r="D241" s="94" t="s">
        <v>134</v>
      </c>
      <c r="E241" s="424">
        <f t="shared" si="110"/>
        <v>0</v>
      </c>
      <c r="F241" s="209">
        <f t="shared" si="111"/>
        <v>0</v>
      </c>
      <c r="H241" s="424">
        <f>IF(OR(H$230&lt;$C241,H$230&lt;$H$2),0,MIN($E241-SUM($G241:G241),$F241))</f>
        <v>0</v>
      </c>
      <c r="I241" s="424">
        <f>IF(OR(I$230&lt;$C241,I$230&lt;$H$2),0,MIN($E241-SUM($G241:H241),$F241))</f>
        <v>0</v>
      </c>
      <c r="J241" s="424">
        <f>IF(OR(J$230&lt;$C241,J$230&lt;$H$2),0,MIN($E241-SUM($G241:I241),$F241))</f>
        <v>0</v>
      </c>
      <c r="K241" s="424">
        <f>IF(OR(K$230&lt;$C241,K$230&lt;$H$2),0,MIN($E241-SUM($G241:J241),$F241))</f>
        <v>0</v>
      </c>
      <c r="L241" s="424">
        <f>IF(OR(L$230&lt;$C241,L$230&lt;$H$2),0,MIN($E241-SUM($G241:K241),$F241))</f>
        <v>0</v>
      </c>
      <c r="M241" s="424">
        <f>IF(OR(M$230&lt;$C241,M$230&lt;$H$2),0,MIN($E241-SUM($G241:L241),$F241))</f>
        <v>0</v>
      </c>
      <c r="N241" s="424">
        <f>IF(OR(N$230&lt;$C241,N$230&lt;$H$2),0,MIN($E241-SUM($G241:M241),$F241))</f>
        <v>0</v>
      </c>
      <c r="O241" s="424">
        <f>IF(OR(O$230&lt;$C241,O$230&lt;$H$2),0,MIN($E241-SUM($G241:N241),$F241))</f>
        <v>0</v>
      </c>
      <c r="P241" s="424">
        <f>IF(OR(P$230&lt;$C241,P$230&lt;$H$2),0,MIN($E241-SUM($G241:O241),$F241))</f>
        <v>0</v>
      </c>
      <c r="Q241" s="424">
        <f>IF(OR(Q$230&lt;$C241,Q$230&lt;$H$2),0,MIN($E241-SUM($G241:P241),$F241))</f>
        <v>0</v>
      </c>
      <c r="R241" s="424">
        <f>IF(OR(R$230&lt;$C241,R$230&lt;$H$2),0,MIN($E241-SUM($G241:Q241),$F241))</f>
        <v>0</v>
      </c>
      <c r="S241" s="424">
        <f>IF(OR(S$230&lt;$C241,S$230&lt;$H$2),0,MIN($E241-SUM($G241:R241),$F241))</f>
        <v>0</v>
      </c>
      <c r="T241" s="424">
        <f>IF(OR(T$230&lt;$C241,T$230&lt;$H$2),0,MIN($E241-SUM($G241:S241),$F241))</f>
        <v>0</v>
      </c>
      <c r="U241" s="424">
        <f>IF(OR(U$230&lt;$C241,U$230&lt;$H$2),0,MIN($E241-SUM($G241:T241),$F241))</f>
        <v>0</v>
      </c>
      <c r="V241" s="424">
        <f>IF(OR(V$230&lt;$C241,V$230&lt;$H$2),0,MIN($E241-SUM($G241:U241),$F241))</f>
        <v>0</v>
      </c>
      <c r="W241" s="424">
        <f>IF(OR(W$230&lt;$C241,W$230&lt;$H$2),0,MIN($E241-SUM($G241:V241),$F241))</f>
        <v>0</v>
      </c>
      <c r="X241" s="424">
        <f>IF(OR(X$230&lt;$C241,X$230&lt;$H$2),0,MIN($E241-SUM($G241:W241),$F241))</f>
        <v>0</v>
      </c>
      <c r="Y241" s="424">
        <f>IF(OR(Y$230&lt;$C241,Y$230&lt;$H$2),0,MIN($E241-SUM($G241:X241),$F241))</f>
        <v>0</v>
      </c>
      <c r="Z241" s="424">
        <f>IF(OR(Z$230&lt;$C241,Z$230&lt;$H$2),0,MIN($E241-SUM($G241:Y241),$F241))</f>
        <v>0</v>
      </c>
      <c r="AA241" s="424">
        <f>IF(OR(AA$230&lt;$C241,AA$230&lt;$H$2),0,MIN($E241-SUM($G241:Z241),$F241))</f>
        <v>0</v>
      </c>
      <c r="AB241" s="424">
        <f>IF(OR(AB$230&lt;$C241,AB$230&lt;$H$2),0,MIN($E241-SUM($G241:AA241),$F241))</f>
        <v>0</v>
      </c>
      <c r="AC241" s="424">
        <f>IF(OR(AC$230&lt;$C241,AC$230&lt;$H$2),0,MIN($E241-SUM($G241:AB241),$F241))</f>
        <v>0</v>
      </c>
      <c r="AD241" s="424">
        <f>IF(OR(AD$230&lt;$C241,AD$230&lt;$H$2),0,MIN($E241-SUM($G241:AC241),$F241))</f>
        <v>0</v>
      </c>
      <c r="AE241" s="424">
        <f>IF(OR(AE$230&lt;$C241,AE$230&lt;$H$2),0,MIN($E241-SUM($G241:AD241),$F241))</f>
        <v>0</v>
      </c>
      <c r="AF241" s="424">
        <f>IF(OR(AF$230&lt;$C241,AF$230&lt;$H$2),0,MIN($E241-SUM($G241:AE241),$F241))</f>
        <v>0</v>
      </c>
      <c r="AG241" s="424">
        <f>IF(OR(AG$230&lt;$C241,AG$230&lt;$H$2),0,MIN($E241-SUM($G241:AF241),$F241))</f>
        <v>0</v>
      </c>
      <c r="AH241" s="424">
        <f>IF(OR(AH$230&lt;$C241,AH$230&lt;$H$2),0,MIN($E241-SUM($G241:AG241),$F241))</f>
        <v>0</v>
      </c>
      <c r="AI241" s="424">
        <f>IF(OR(AI$230&lt;$C241,AI$230&lt;$H$2),0,MIN($E241-SUM($G241:AH241),$F241))</f>
        <v>0</v>
      </c>
      <c r="AJ241" s="424">
        <f>IF(OR(AJ$230&lt;$C241,AJ$230&lt;$H$2),0,MIN($E241-SUM($G241:AI241),$F241))</f>
        <v>0</v>
      </c>
      <c r="AK241" s="424">
        <f>IF(OR(AK$230&lt;$C241,AK$230&lt;$H$2),0,MIN($E241-SUM($G241:AJ241),$F241))</f>
        <v>0</v>
      </c>
    </row>
    <row r="242" spans="3:37">
      <c r="C242" s="201">
        <v>49317</v>
      </c>
      <c r="D242" s="94" t="s">
        <v>134</v>
      </c>
      <c r="E242" s="424">
        <f t="shared" si="110"/>
        <v>0</v>
      </c>
      <c r="F242" s="209">
        <f t="shared" si="111"/>
        <v>0</v>
      </c>
      <c r="H242" s="424">
        <f>IF(OR(H$230&lt;$C242,H$230&lt;$H$2),0,MIN($E242-SUM($G242:G242),$F242))</f>
        <v>0</v>
      </c>
      <c r="I242" s="424">
        <f>IF(OR(I$230&lt;$C242,I$230&lt;$H$2),0,MIN($E242-SUM($G242:H242),$F242))</f>
        <v>0</v>
      </c>
      <c r="J242" s="424">
        <f>IF(OR(J$230&lt;$C242,J$230&lt;$H$2),0,MIN($E242-SUM($G242:I242),$F242))</f>
        <v>0</v>
      </c>
      <c r="K242" s="424">
        <f>IF(OR(K$230&lt;$C242,K$230&lt;$H$2),0,MIN($E242-SUM($G242:J242),$F242))</f>
        <v>0</v>
      </c>
      <c r="L242" s="424">
        <f>IF(OR(L$230&lt;$C242,L$230&lt;$H$2),0,MIN($E242-SUM($G242:K242),$F242))</f>
        <v>0</v>
      </c>
      <c r="M242" s="424">
        <f>IF(OR(M$230&lt;$C242,M$230&lt;$H$2),0,MIN($E242-SUM($G242:L242),$F242))</f>
        <v>0</v>
      </c>
      <c r="N242" s="424">
        <f>IF(OR(N$230&lt;$C242,N$230&lt;$H$2),0,MIN($E242-SUM($G242:M242),$F242))</f>
        <v>0</v>
      </c>
      <c r="O242" s="424">
        <f>IF(OR(O$230&lt;$C242,O$230&lt;$H$2),0,MIN($E242-SUM($G242:N242),$F242))</f>
        <v>0</v>
      </c>
      <c r="P242" s="424">
        <f>IF(OR(P$230&lt;$C242,P$230&lt;$H$2),0,MIN($E242-SUM($G242:O242),$F242))</f>
        <v>0</v>
      </c>
      <c r="Q242" s="424">
        <f>IF(OR(Q$230&lt;$C242,Q$230&lt;$H$2),0,MIN($E242-SUM($G242:P242),$F242))</f>
        <v>0</v>
      </c>
      <c r="R242" s="424">
        <f>IF(OR(R$230&lt;$C242,R$230&lt;$H$2),0,MIN($E242-SUM($G242:Q242),$F242))</f>
        <v>0</v>
      </c>
      <c r="S242" s="424">
        <f>IF(OR(S$230&lt;$C242,S$230&lt;$H$2),0,MIN($E242-SUM($G242:R242),$F242))</f>
        <v>0</v>
      </c>
      <c r="T242" s="424">
        <f>IF(OR(T$230&lt;$C242,T$230&lt;$H$2),0,MIN($E242-SUM($G242:S242),$F242))</f>
        <v>0</v>
      </c>
      <c r="U242" s="424">
        <f>IF(OR(U$230&lt;$C242,U$230&lt;$H$2),0,MIN($E242-SUM($G242:T242),$F242))</f>
        <v>0</v>
      </c>
      <c r="V242" s="424">
        <f>IF(OR(V$230&lt;$C242,V$230&lt;$H$2),0,MIN($E242-SUM($G242:U242),$F242))</f>
        <v>0</v>
      </c>
      <c r="W242" s="424">
        <f>IF(OR(W$230&lt;$C242,W$230&lt;$H$2),0,MIN($E242-SUM($G242:V242),$F242))</f>
        <v>0</v>
      </c>
      <c r="X242" s="424">
        <f>IF(OR(X$230&lt;$C242,X$230&lt;$H$2),0,MIN($E242-SUM($G242:W242),$F242))</f>
        <v>0</v>
      </c>
      <c r="Y242" s="424">
        <f>IF(OR(Y$230&lt;$C242,Y$230&lt;$H$2),0,MIN($E242-SUM($G242:X242),$F242))</f>
        <v>0</v>
      </c>
      <c r="Z242" s="424">
        <f>IF(OR(Z$230&lt;$C242,Z$230&lt;$H$2),0,MIN($E242-SUM($G242:Y242),$F242))</f>
        <v>0</v>
      </c>
      <c r="AA242" s="424">
        <f>IF(OR(AA$230&lt;$C242,AA$230&lt;$H$2),0,MIN($E242-SUM($G242:Z242),$F242))</f>
        <v>0</v>
      </c>
      <c r="AB242" s="424">
        <f>IF(OR(AB$230&lt;$C242,AB$230&lt;$H$2),0,MIN($E242-SUM($G242:AA242),$F242))</f>
        <v>0</v>
      </c>
      <c r="AC242" s="424">
        <f>IF(OR(AC$230&lt;$C242,AC$230&lt;$H$2),0,MIN($E242-SUM($G242:AB242),$F242))</f>
        <v>0</v>
      </c>
      <c r="AD242" s="424">
        <f>IF(OR(AD$230&lt;$C242,AD$230&lt;$H$2),0,MIN($E242-SUM($G242:AC242),$F242))</f>
        <v>0</v>
      </c>
      <c r="AE242" s="424">
        <f>IF(OR(AE$230&lt;$C242,AE$230&lt;$H$2),0,MIN($E242-SUM($G242:AD242),$F242))</f>
        <v>0</v>
      </c>
      <c r="AF242" s="424">
        <f>IF(OR(AF$230&lt;$C242,AF$230&lt;$H$2),0,MIN($E242-SUM($G242:AE242),$F242))</f>
        <v>0</v>
      </c>
      <c r="AG242" s="424">
        <f>IF(OR(AG$230&lt;$C242,AG$230&lt;$H$2),0,MIN($E242-SUM($G242:AF242),$F242))</f>
        <v>0</v>
      </c>
      <c r="AH242" s="424">
        <f>IF(OR(AH$230&lt;$C242,AH$230&lt;$H$2),0,MIN($E242-SUM($G242:AG242),$F242))</f>
        <v>0</v>
      </c>
      <c r="AI242" s="424">
        <f>IF(OR(AI$230&lt;$C242,AI$230&lt;$H$2),0,MIN($E242-SUM($G242:AH242),$F242))</f>
        <v>0</v>
      </c>
      <c r="AJ242" s="424">
        <f>IF(OR(AJ$230&lt;$C242,AJ$230&lt;$H$2),0,MIN($E242-SUM($G242:AI242),$F242))</f>
        <v>0</v>
      </c>
      <c r="AK242" s="424">
        <f>IF(OR(AK$230&lt;$C242,AK$230&lt;$H$2),0,MIN($E242-SUM($G242:AJ242),$F242))</f>
        <v>0</v>
      </c>
    </row>
    <row r="243" spans="3:37">
      <c r="C243" s="201">
        <v>49683</v>
      </c>
      <c r="D243" s="94" t="s">
        <v>134</v>
      </c>
      <c r="E243" s="424">
        <f t="shared" si="110"/>
        <v>0</v>
      </c>
      <c r="F243" s="209">
        <f t="shared" si="111"/>
        <v>0</v>
      </c>
      <c r="H243" s="424">
        <f>IF(OR(H$230&lt;$C243,H$230&lt;$H$2),0,MIN($E243-SUM($G243:G243),$F243))</f>
        <v>0</v>
      </c>
      <c r="I243" s="424">
        <f>IF(OR(I$230&lt;$C243,I$230&lt;$H$2),0,MIN($E243-SUM($G243:H243),$F243))</f>
        <v>0</v>
      </c>
      <c r="J243" s="424">
        <f>IF(OR(J$230&lt;$C243,J$230&lt;$H$2),0,MIN($E243-SUM($G243:I243),$F243))</f>
        <v>0</v>
      </c>
      <c r="K243" s="424">
        <f>IF(OR(K$230&lt;$C243,K$230&lt;$H$2),0,MIN($E243-SUM($G243:J243),$F243))</f>
        <v>0</v>
      </c>
      <c r="L243" s="424">
        <f>IF(OR(L$230&lt;$C243,L$230&lt;$H$2),0,MIN($E243-SUM($G243:K243),$F243))</f>
        <v>0</v>
      </c>
      <c r="M243" s="424">
        <f>IF(OR(M$230&lt;$C243,M$230&lt;$H$2),0,MIN($E243-SUM($G243:L243),$F243))</f>
        <v>0</v>
      </c>
      <c r="N243" s="424">
        <f>IF(OR(N$230&lt;$C243,N$230&lt;$H$2),0,MIN($E243-SUM($G243:M243),$F243))</f>
        <v>0</v>
      </c>
      <c r="O243" s="424">
        <f>IF(OR(O$230&lt;$C243,O$230&lt;$H$2),0,MIN($E243-SUM($G243:N243),$F243))</f>
        <v>0</v>
      </c>
      <c r="P243" s="424">
        <f>IF(OR(P$230&lt;$C243,P$230&lt;$H$2),0,MIN($E243-SUM($G243:O243),$F243))</f>
        <v>0</v>
      </c>
      <c r="Q243" s="424">
        <f>IF(OR(Q$230&lt;$C243,Q$230&lt;$H$2),0,MIN($E243-SUM($G243:P243),$F243))</f>
        <v>0</v>
      </c>
      <c r="R243" s="424">
        <f>IF(OR(R$230&lt;$C243,R$230&lt;$H$2),0,MIN($E243-SUM($G243:Q243),$F243))</f>
        <v>0</v>
      </c>
      <c r="S243" s="424">
        <f>IF(OR(S$230&lt;$C243,S$230&lt;$H$2),0,MIN($E243-SUM($G243:R243),$F243))</f>
        <v>0</v>
      </c>
      <c r="T243" s="424">
        <f>IF(OR(T$230&lt;$C243,T$230&lt;$H$2),0,MIN($E243-SUM($G243:S243),$F243))</f>
        <v>0</v>
      </c>
      <c r="U243" s="424">
        <f>IF(OR(U$230&lt;$C243,U$230&lt;$H$2),0,MIN($E243-SUM($G243:T243),$F243))</f>
        <v>0</v>
      </c>
      <c r="V243" s="424">
        <f>IF(OR(V$230&lt;$C243,V$230&lt;$H$2),0,MIN($E243-SUM($G243:U243),$F243))</f>
        <v>0</v>
      </c>
      <c r="W243" s="424">
        <f>IF(OR(W$230&lt;$C243,W$230&lt;$H$2),0,MIN($E243-SUM($G243:V243),$F243))</f>
        <v>0</v>
      </c>
      <c r="X243" s="424">
        <f>IF(OR(X$230&lt;$C243,X$230&lt;$H$2),0,MIN($E243-SUM($G243:W243),$F243))</f>
        <v>0</v>
      </c>
      <c r="Y243" s="424">
        <f>IF(OR(Y$230&lt;$C243,Y$230&lt;$H$2),0,MIN($E243-SUM($G243:X243),$F243))</f>
        <v>0</v>
      </c>
      <c r="Z243" s="424">
        <f>IF(OR(Z$230&lt;$C243,Z$230&lt;$H$2),0,MIN($E243-SUM($G243:Y243),$F243))</f>
        <v>0</v>
      </c>
      <c r="AA243" s="424">
        <f>IF(OR(AA$230&lt;$C243,AA$230&lt;$H$2),0,MIN($E243-SUM($G243:Z243),$F243))</f>
        <v>0</v>
      </c>
      <c r="AB243" s="424">
        <f>IF(OR(AB$230&lt;$C243,AB$230&lt;$H$2),0,MIN($E243-SUM($G243:AA243),$F243))</f>
        <v>0</v>
      </c>
      <c r="AC243" s="424">
        <f>IF(OR(AC$230&lt;$C243,AC$230&lt;$H$2),0,MIN($E243-SUM($G243:AB243),$F243))</f>
        <v>0</v>
      </c>
      <c r="AD243" s="424">
        <f>IF(OR(AD$230&lt;$C243,AD$230&lt;$H$2),0,MIN($E243-SUM($G243:AC243),$F243))</f>
        <v>0</v>
      </c>
      <c r="AE243" s="424">
        <f>IF(OR(AE$230&lt;$C243,AE$230&lt;$H$2),0,MIN($E243-SUM($G243:AD243),$F243))</f>
        <v>0</v>
      </c>
      <c r="AF243" s="424">
        <f>IF(OR(AF$230&lt;$C243,AF$230&lt;$H$2),0,MIN($E243-SUM($G243:AE243),$F243))</f>
        <v>0</v>
      </c>
      <c r="AG243" s="424">
        <f>IF(OR(AG$230&lt;$C243,AG$230&lt;$H$2),0,MIN($E243-SUM($G243:AF243),$F243))</f>
        <v>0</v>
      </c>
      <c r="AH243" s="424">
        <f>IF(OR(AH$230&lt;$C243,AH$230&lt;$H$2),0,MIN($E243-SUM($G243:AG243),$F243))</f>
        <v>0</v>
      </c>
      <c r="AI243" s="424">
        <f>IF(OR(AI$230&lt;$C243,AI$230&lt;$H$2),0,MIN($E243-SUM($G243:AH243),$F243))</f>
        <v>0</v>
      </c>
      <c r="AJ243" s="424">
        <f>IF(OR(AJ$230&lt;$C243,AJ$230&lt;$H$2),0,MIN($E243-SUM($G243:AI243),$F243))</f>
        <v>0</v>
      </c>
      <c r="AK243" s="424">
        <f>IF(OR(AK$230&lt;$C243,AK$230&lt;$H$2),0,MIN($E243-SUM($G243:AJ243),$F243))</f>
        <v>0</v>
      </c>
    </row>
    <row r="244" spans="3:37">
      <c r="C244" s="201">
        <v>50049</v>
      </c>
      <c r="D244" s="94" t="s">
        <v>134</v>
      </c>
      <c r="E244" s="424">
        <f t="shared" si="110"/>
        <v>0</v>
      </c>
      <c r="F244" s="209">
        <f t="shared" si="111"/>
        <v>0</v>
      </c>
      <c r="H244" s="424">
        <f>IF(OR(H$230&lt;$C244,H$230&lt;$H$2),0,MIN($E244-SUM($G244:G244),$F244))</f>
        <v>0</v>
      </c>
      <c r="I244" s="424">
        <f>IF(OR(I$230&lt;$C244,I$230&lt;$H$2),0,MIN($E244-SUM($G244:H244),$F244))</f>
        <v>0</v>
      </c>
      <c r="J244" s="424">
        <f>IF(OR(J$230&lt;$C244,J$230&lt;$H$2),0,MIN($E244-SUM($G244:I244),$F244))</f>
        <v>0</v>
      </c>
      <c r="K244" s="424">
        <f>IF(OR(K$230&lt;$C244,K$230&lt;$H$2),0,MIN($E244-SUM($G244:J244),$F244))</f>
        <v>0</v>
      </c>
      <c r="L244" s="424">
        <f>IF(OR(L$230&lt;$C244,L$230&lt;$H$2),0,MIN($E244-SUM($G244:K244),$F244))</f>
        <v>0</v>
      </c>
      <c r="M244" s="424">
        <f>IF(OR(M$230&lt;$C244,M$230&lt;$H$2),0,MIN($E244-SUM($G244:L244),$F244))</f>
        <v>0</v>
      </c>
      <c r="N244" s="424">
        <f>IF(OR(N$230&lt;$C244,N$230&lt;$H$2),0,MIN($E244-SUM($G244:M244),$F244))</f>
        <v>0</v>
      </c>
      <c r="O244" s="424">
        <f>IF(OR(O$230&lt;$C244,O$230&lt;$H$2),0,MIN($E244-SUM($G244:N244),$F244))</f>
        <v>0</v>
      </c>
      <c r="P244" s="424">
        <f>IF(OR(P$230&lt;$C244,P$230&lt;$H$2),0,MIN($E244-SUM($G244:O244),$F244))</f>
        <v>0</v>
      </c>
      <c r="Q244" s="424">
        <f>IF(OR(Q$230&lt;$C244,Q$230&lt;$H$2),0,MIN($E244-SUM($G244:P244),$F244))</f>
        <v>0</v>
      </c>
      <c r="R244" s="424">
        <f>IF(OR(R$230&lt;$C244,R$230&lt;$H$2),0,MIN($E244-SUM($G244:Q244),$F244))</f>
        <v>0</v>
      </c>
      <c r="S244" s="424">
        <f>IF(OR(S$230&lt;$C244,S$230&lt;$H$2),0,MIN($E244-SUM($G244:R244),$F244))</f>
        <v>0</v>
      </c>
      <c r="T244" s="424">
        <f>IF(OR(T$230&lt;$C244,T$230&lt;$H$2),0,MIN($E244-SUM($G244:S244),$F244))</f>
        <v>0</v>
      </c>
      <c r="U244" s="424">
        <f>IF(OR(U$230&lt;$C244,U$230&lt;$H$2),0,MIN($E244-SUM($G244:T244),$F244))</f>
        <v>0</v>
      </c>
      <c r="V244" s="424">
        <f>IF(OR(V$230&lt;$C244,V$230&lt;$H$2),0,MIN($E244-SUM($G244:U244),$F244))</f>
        <v>0</v>
      </c>
      <c r="W244" s="424">
        <f>IF(OR(W$230&lt;$C244,W$230&lt;$H$2),0,MIN($E244-SUM($G244:V244),$F244))</f>
        <v>0</v>
      </c>
      <c r="X244" s="424">
        <f>IF(OR(X$230&lt;$C244,X$230&lt;$H$2),0,MIN($E244-SUM($G244:W244),$F244))</f>
        <v>0</v>
      </c>
      <c r="Y244" s="424">
        <f>IF(OR(Y$230&lt;$C244,Y$230&lt;$H$2),0,MIN($E244-SUM($G244:X244),$F244))</f>
        <v>0</v>
      </c>
      <c r="Z244" s="424">
        <f>IF(OR(Z$230&lt;$C244,Z$230&lt;$H$2),0,MIN($E244-SUM($G244:Y244),$F244))</f>
        <v>0</v>
      </c>
      <c r="AA244" s="424">
        <f>IF(OR(AA$230&lt;$C244,AA$230&lt;$H$2),0,MIN($E244-SUM($G244:Z244),$F244))</f>
        <v>0</v>
      </c>
      <c r="AB244" s="424">
        <f>IF(OR(AB$230&lt;$C244,AB$230&lt;$H$2),0,MIN($E244-SUM($G244:AA244),$F244))</f>
        <v>0</v>
      </c>
      <c r="AC244" s="424">
        <f>IF(OR(AC$230&lt;$C244,AC$230&lt;$H$2),0,MIN($E244-SUM($G244:AB244),$F244))</f>
        <v>0</v>
      </c>
      <c r="AD244" s="424">
        <f>IF(OR(AD$230&lt;$C244,AD$230&lt;$H$2),0,MIN($E244-SUM($G244:AC244),$F244))</f>
        <v>0</v>
      </c>
      <c r="AE244" s="424">
        <f>IF(OR(AE$230&lt;$C244,AE$230&lt;$H$2),0,MIN($E244-SUM($G244:AD244),$F244))</f>
        <v>0</v>
      </c>
      <c r="AF244" s="424">
        <f>IF(OR(AF$230&lt;$C244,AF$230&lt;$H$2),0,MIN($E244-SUM($G244:AE244),$F244))</f>
        <v>0</v>
      </c>
      <c r="AG244" s="424">
        <f>IF(OR(AG$230&lt;$C244,AG$230&lt;$H$2),0,MIN($E244-SUM($G244:AF244),$F244))</f>
        <v>0</v>
      </c>
      <c r="AH244" s="424">
        <f>IF(OR(AH$230&lt;$C244,AH$230&lt;$H$2),0,MIN($E244-SUM($G244:AG244),$F244))</f>
        <v>0</v>
      </c>
      <c r="AI244" s="424">
        <f>IF(OR(AI$230&lt;$C244,AI$230&lt;$H$2),0,MIN($E244-SUM($G244:AH244),$F244))</f>
        <v>0</v>
      </c>
      <c r="AJ244" s="424">
        <f>IF(OR(AJ$230&lt;$C244,AJ$230&lt;$H$2),0,MIN($E244-SUM($G244:AI244),$F244))</f>
        <v>0</v>
      </c>
      <c r="AK244" s="424">
        <f>IF(OR(AK$230&lt;$C244,AK$230&lt;$H$2),0,MIN($E244-SUM($G244:AJ244),$F244))</f>
        <v>0</v>
      </c>
    </row>
    <row r="245" spans="3:37">
      <c r="C245" s="201">
        <v>50415</v>
      </c>
      <c r="D245" s="94" t="s">
        <v>134</v>
      </c>
      <c r="E245" s="424">
        <f t="shared" si="110"/>
        <v>0</v>
      </c>
      <c r="F245" s="209">
        <f t="shared" si="111"/>
        <v>0</v>
      </c>
      <c r="H245" s="424">
        <f>IF(OR(H$230&lt;$C245,H$230&lt;$H$2),0,MIN($E245-SUM($G245:G245),$F245))</f>
        <v>0</v>
      </c>
      <c r="I245" s="424">
        <f>IF(OR(I$230&lt;$C245,I$230&lt;$H$2),0,MIN($E245-SUM($G245:H245),$F245))</f>
        <v>0</v>
      </c>
      <c r="J245" s="424">
        <f>IF(OR(J$230&lt;$C245,J$230&lt;$H$2),0,MIN($E245-SUM($G245:I245),$F245))</f>
        <v>0</v>
      </c>
      <c r="K245" s="424">
        <f>IF(OR(K$230&lt;$C245,K$230&lt;$H$2),0,MIN($E245-SUM($G245:J245),$F245))</f>
        <v>0</v>
      </c>
      <c r="L245" s="424">
        <f>IF(OR(L$230&lt;$C245,L$230&lt;$H$2),0,MIN($E245-SUM($G245:K245),$F245))</f>
        <v>0</v>
      </c>
      <c r="M245" s="424">
        <f>IF(OR(M$230&lt;$C245,M$230&lt;$H$2),0,MIN($E245-SUM($G245:L245),$F245))</f>
        <v>0</v>
      </c>
      <c r="N245" s="424">
        <f>IF(OR(N$230&lt;$C245,N$230&lt;$H$2),0,MIN($E245-SUM($G245:M245),$F245))</f>
        <v>0</v>
      </c>
      <c r="O245" s="424">
        <f>IF(OR(O$230&lt;$C245,O$230&lt;$H$2),0,MIN($E245-SUM($G245:N245),$F245))</f>
        <v>0</v>
      </c>
      <c r="P245" s="424">
        <f>IF(OR(P$230&lt;$C245,P$230&lt;$H$2),0,MIN($E245-SUM($G245:O245),$F245))</f>
        <v>0</v>
      </c>
      <c r="Q245" s="424">
        <f>IF(OR(Q$230&lt;$C245,Q$230&lt;$H$2),0,MIN($E245-SUM($G245:P245),$F245))</f>
        <v>0</v>
      </c>
      <c r="R245" s="424">
        <f>IF(OR(R$230&lt;$C245,R$230&lt;$H$2),0,MIN($E245-SUM($G245:Q245),$F245))</f>
        <v>0</v>
      </c>
      <c r="S245" s="424">
        <f>IF(OR(S$230&lt;$C245,S$230&lt;$H$2),0,MIN($E245-SUM($G245:R245),$F245))</f>
        <v>0</v>
      </c>
      <c r="T245" s="424">
        <f>IF(OR(T$230&lt;$C245,T$230&lt;$H$2),0,MIN($E245-SUM($G245:S245),$F245))</f>
        <v>0</v>
      </c>
      <c r="U245" s="424">
        <f>IF(OR(U$230&lt;$C245,U$230&lt;$H$2),0,MIN($E245-SUM($G245:T245),$F245))</f>
        <v>0</v>
      </c>
      <c r="V245" s="424">
        <f>IF(OR(V$230&lt;$C245,V$230&lt;$H$2),0,MIN($E245-SUM($G245:U245),$F245))</f>
        <v>0</v>
      </c>
      <c r="W245" s="424">
        <f>IF(OR(W$230&lt;$C245,W$230&lt;$H$2),0,MIN($E245-SUM($G245:V245),$F245))</f>
        <v>0</v>
      </c>
      <c r="X245" s="424">
        <f>IF(OR(X$230&lt;$C245,X$230&lt;$H$2),0,MIN($E245-SUM($G245:W245),$F245))</f>
        <v>0</v>
      </c>
      <c r="Y245" s="424">
        <f>IF(OR(Y$230&lt;$C245,Y$230&lt;$H$2),0,MIN($E245-SUM($G245:X245),$F245))</f>
        <v>0</v>
      </c>
      <c r="Z245" s="424">
        <f>IF(OR(Z$230&lt;$C245,Z$230&lt;$H$2),0,MIN($E245-SUM($G245:Y245),$F245))</f>
        <v>0</v>
      </c>
      <c r="AA245" s="424">
        <f>IF(OR(AA$230&lt;$C245,AA$230&lt;$H$2),0,MIN($E245-SUM($G245:Z245),$F245))</f>
        <v>0</v>
      </c>
      <c r="AB245" s="424">
        <f>IF(OR(AB$230&lt;$C245,AB$230&lt;$H$2),0,MIN($E245-SUM($G245:AA245),$F245))</f>
        <v>0</v>
      </c>
      <c r="AC245" s="424">
        <f>IF(OR(AC$230&lt;$C245,AC$230&lt;$H$2),0,MIN($E245-SUM($G245:AB245),$F245))</f>
        <v>0</v>
      </c>
      <c r="AD245" s="424">
        <f>IF(OR(AD$230&lt;$C245,AD$230&lt;$H$2),0,MIN($E245-SUM($G245:AC245),$F245))</f>
        <v>0</v>
      </c>
      <c r="AE245" s="424">
        <f>IF(OR(AE$230&lt;$C245,AE$230&lt;$H$2),0,MIN($E245-SUM($G245:AD245),$F245))</f>
        <v>0</v>
      </c>
      <c r="AF245" s="424">
        <f>IF(OR(AF$230&lt;$C245,AF$230&lt;$H$2),0,MIN($E245-SUM($G245:AE245),$F245))</f>
        <v>0</v>
      </c>
      <c r="AG245" s="424">
        <f>IF(OR(AG$230&lt;$C245,AG$230&lt;$H$2),0,MIN($E245-SUM($G245:AF245),$F245))</f>
        <v>0</v>
      </c>
      <c r="AH245" s="424">
        <f>IF(OR(AH$230&lt;$C245,AH$230&lt;$H$2),0,MIN($E245-SUM($G245:AG245),$F245))</f>
        <v>0</v>
      </c>
      <c r="AI245" s="424">
        <f>IF(OR(AI$230&lt;$C245,AI$230&lt;$H$2),0,MIN($E245-SUM($G245:AH245),$F245))</f>
        <v>0</v>
      </c>
      <c r="AJ245" s="424">
        <f>IF(OR(AJ$230&lt;$C245,AJ$230&lt;$H$2),0,MIN($E245-SUM($G245:AI245),$F245))</f>
        <v>0</v>
      </c>
      <c r="AK245" s="424">
        <f>IF(OR(AK$230&lt;$C245,AK$230&lt;$H$2),0,MIN($E245-SUM($G245:AJ245),$F245))</f>
        <v>0</v>
      </c>
    </row>
    <row r="246" spans="3:37">
      <c r="C246" s="201">
        <v>50781</v>
      </c>
      <c r="D246" s="94" t="s">
        <v>134</v>
      </c>
      <c r="E246" s="424">
        <f t="shared" si="110"/>
        <v>0</v>
      </c>
      <c r="F246" s="209">
        <f t="shared" si="111"/>
        <v>0</v>
      </c>
      <c r="H246" s="424">
        <f>IF(OR(H$230&lt;$C246,H$230&lt;$H$2),0,MIN($E246-SUM($G246:G246),$F246))</f>
        <v>0</v>
      </c>
      <c r="I246" s="424">
        <f>IF(OR(I$230&lt;$C246,I$230&lt;$H$2),0,MIN($E246-SUM($G246:H246),$F246))</f>
        <v>0</v>
      </c>
      <c r="J246" s="424">
        <f>IF(OR(J$230&lt;$C246,J$230&lt;$H$2),0,MIN($E246-SUM($G246:I246),$F246))</f>
        <v>0</v>
      </c>
      <c r="K246" s="424">
        <f>IF(OR(K$230&lt;$C246,K$230&lt;$H$2),0,MIN($E246-SUM($G246:J246),$F246))</f>
        <v>0</v>
      </c>
      <c r="L246" s="424">
        <f>IF(OR(L$230&lt;$C246,L$230&lt;$H$2),0,MIN($E246-SUM($G246:K246),$F246))</f>
        <v>0</v>
      </c>
      <c r="M246" s="424">
        <f>IF(OR(M$230&lt;$C246,M$230&lt;$H$2),0,MIN($E246-SUM($G246:L246),$F246))</f>
        <v>0</v>
      </c>
      <c r="N246" s="424">
        <f>IF(OR(N$230&lt;$C246,N$230&lt;$H$2),0,MIN($E246-SUM($G246:M246),$F246))</f>
        <v>0</v>
      </c>
      <c r="O246" s="424">
        <f>IF(OR(O$230&lt;$C246,O$230&lt;$H$2),0,MIN($E246-SUM($G246:N246),$F246))</f>
        <v>0</v>
      </c>
      <c r="P246" s="424">
        <f>IF(OR(P$230&lt;$C246,P$230&lt;$H$2),0,MIN($E246-SUM($G246:O246),$F246))</f>
        <v>0</v>
      </c>
      <c r="Q246" s="424">
        <f>IF(OR(Q$230&lt;$C246,Q$230&lt;$H$2),0,MIN($E246-SUM($G246:P246),$F246))</f>
        <v>0</v>
      </c>
      <c r="R246" s="424">
        <f>IF(OR(R$230&lt;$C246,R$230&lt;$H$2),0,MIN($E246-SUM($G246:Q246),$F246))</f>
        <v>0</v>
      </c>
      <c r="S246" s="424">
        <f>IF(OR(S$230&lt;$C246,S$230&lt;$H$2),0,MIN($E246-SUM($G246:R246),$F246))</f>
        <v>0</v>
      </c>
      <c r="T246" s="424">
        <f>IF(OR(T$230&lt;$C246,T$230&lt;$H$2),0,MIN($E246-SUM($G246:S246),$F246))</f>
        <v>0</v>
      </c>
      <c r="U246" s="424">
        <f>IF(OR(U$230&lt;$C246,U$230&lt;$H$2),0,MIN($E246-SUM($G246:T246),$F246))</f>
        <v>0</v>
      </c>
      <c r="V246" s="424">
        <f>IF(OR(V$230&lt;$C246,V$230&lt;$H$2),0,MIN($E246-SUM($G246:U246),$F246))</f>
        <v>0</v>
      </c>
      <c r="W246" s="424">
        <f>IF(OR(W$230&lt;$C246,W$230&lt;$H$2),0,MIN($E246-SUM($G246:V246),$F246))</f>
        <v>0</v>
      </c>
      <c r="X246" s="424">
        <f>IF(OR(X$230&lt;$C246,X$230&lt;$H$2),0,MIN($E246-SUM($G246:W246),$F246))</f>
        <v>0</v>
      </c>
      <c r="Y246" s="424">
        <f>IF(OR(Y$230&lt;$C246,Y$230&lt;$H$2),0,MIN($E246-SUM($G246:X246),$F246))</f>
        <v>0</v>
      </c>
      <c r="Z246" s="424">
        <f>IF(OR(Z$230&lt;$C246,Z$230&lt;$H$2),0,MIN($E246-SUM($G246:Y246),$F246))</f>
        <v>0</v>
      </c>
      <c r="AA246" s="424">
        <f>IF(OR(AA$230&lt;$C246,AA$230&lt;$H$2),0,MIN($E246-SUM($G246:Z246),$F246))</f>
        <v>0</v>
      </c>
      <c r="AB246" s="424">
        <f>IF(OR(AB$230&lt;$C246,AB$230&lt;$H$2),0,MIN($E246-SUM($G246:AA246),$F246))</f>
        <v>0</v>
      </c>
      <c r="AC246" s="424">
        <f>IF(OR(AC$230&lt;$C246,AC$230&lt;$H$2),0,MIN($E246-SUM($G246:AB246),$F246))</f>
        <v>0</v>
      </c>
      <c r="AD246" s="424">
        <f>IF(OR(AD$230&lt;$C246,AD$230&lt;$H$2),0,MIN($E246-SUM($G246:AC246),$F246))</f>
        <v>0</v>
      </c>
      <c r="AE246" s="424">
        <f>IF(OR(AE$230&lt;$C246,AE$230&lt;$H$2),0,MIN($E246-SUM($G246:AD246),$F246))</f>
        <v>0</v>
      </c>
      <c r="AF246" s="424">
        <f>IF(OR(AF$230&lt;$C246,AF$230&lt;$H$2),0,MIN($E246-SUM($G246:AE246),$F246))</f>
        <v>0</v>
      </c>
      <c r="AG246" s="424">
        <f>IF(OR(AG$230&lt;$C246,AG$230&lt;$H$2),0,MIN($E246-SUM($G246:AF246),$F246))</f>
        <v>0</v>
      </c>
      <c r="AH246" s="424">
        <f>IF(OR(AH$230&lt;$C246,AH$230&lt;$H$2),0,MIN($E246-SUM($G246:AG246),$F246))</f>
        <v>0</v>
      </c>
      <c r="AI246" s="424">
        <f>IF(OR(AI$230&lt;$C246,AI$230&lt;$H$2),0,MIN($E246-SUM($G246:AH246),$F246))</f>
        <v>0</v>
      </c>
      <c r="AJ246" s="424">
        <f>IF(OR(AJ$230&lt;$C246,AJ$230&lt;$H$2),0,MIN($E246-SUM($G246:AI246),$F246))</f>
        <v>0</v>
      </c>
      <c r="AK246" s="424">
        <f>IF(OR(AK$230&lt;$C246,AK$230&lt;$H$2),0,MIN($E246-SUM($G246:AJ246),$F246))</f>
        <v>0</v>
      </c>
    </row>
    <row r="247" spans="3:37">
      <c r="C247" s="201">
        <v>51147</v>
      </c>
      <c r="D247" s="94" t="s">
        <v>134</v>
      </c>
      <c r="E247" s="424">
        <f t="shared" si="110"/>
        <v>0</v>
      </c>
      <c r="F247" s="209">
        <f t="shared" si="111"/>
        <v>0</v>
      </c>
      <c r="H247" s="424">
        <f>IF(OR(H$230&lt;$C247,H$230&lt;$H$2),0,MIN($E247-SUM($G247:G247),$F247))</f>
        <v>0</v>
      </c>
      <c r="I247" s="424">
        <f>IF(OR(I$230&lt;$C247,I$230&lt;$H$2),0,MIN($E247-SUM($G247:H247),$F247))</f>
        <v>0</v>
      </c>
      <c r="J247" s="424">
        <f>IF(OR(J$230&lt;$C247,J$230&lt;$H$2),0,MIN($E247-SUM($G247:I247),$F247))</f>
        <v>0</v>
      </c>
      <c r="K247" s="424">
        <f>IF(OR(K$230&lt;$C247,K$230&lt;$H$2),0,MIN($E247-SUM($G247:J247),$F247))</f>
        <v>0</v>
      </c>
      <c r="L247" s="424">
        <f>IF(OR(L$230&lt;$C247,L$230&lt;$H$2),0,MIN($E247-SUM($G247:K247),$F247))</f>
        <v>0</v>
      </c>
      <c r="M247" s="424">
        <f>IF(OR(M$230&lt;$C247,M$230&lt;$H$2),0,MIN($E247-SUM($G247:L247),$F247))</f>
        <v>0</v>
      </c>
      <c r="N247" s="424">
        <f>IF(OR(N$230&lt;$C247,N$230&lt;$H$2),0,MIN($E247-SUM($G247:M247),$F247))</f>
        <v>0</v>
      </c>
      <c r="O247" s="424">
        <f>IF(OR(O$230&lt;$C247,O$230&lt;$H$2),0,MIN($E247-SUM($G247:N247),$F247))</f>
        <v>0</v>
      </c>
      <c r="P247" s="424">
        <f>IF(OR(P$230&lt;$C247,P$230&lt;$H$2),0,MIN($E247-SUM($G247:O247),$F247))</f>
        <v>0</v>
      </c>
      <c r="Q247" s="424">
        <f>IF(OR(Q$230&lt;$C247,Q$230&lt;$H$2),0,MIN($E247-SUM($G247:P247),$F247))</f>
        <v>0</v>
      </c>
      <c r="R247" s="424">
        <f>IF(OR(R$230&lt;$C247,R$230&lt;$H$2),0,MIN($E247-SUM($G247:Q247),$F247))</f>
        <v>0</v>
      </c>
      <c r="S247" s="424">
        <f>IF(OR(S$230&lt;$C247,S$230&lt;$H$2),0,MIN($E247-SUM($G247:R247),$F247))</f>
        <v>0</v>
      </c>
      <c r="T247" s="424">
        <f>IF(OR(T$230&lt;$C247,T$230&lt;$H$2),0,MIN($E247-SUM($G247:S247),$F247))</f>
        <v>0</v>
      </c>
      <c r="U247" s="424">
        <f>IF(OR(U$230&lt;$C247,U$230&lt;$H$2),0,MIN($E247-SUM($G247:T247),$F247))</f>
        <v>0</v>
      </c>
      <c r="V247" s="424">
        <f>IF(OR(V$230&lt;$C247,V$230&lt;$H$2),0,MIN($E247-SUM($G247:U247),$F247))</f>
        <v>0</v>
      </c>
      <c r="W247" s="424">
        <f>IF(OR(W$230&lt;$C247,W$230&lt;$H$2),0,MIN($E247-SUM($G247:V247),$F247))</f>
        <v>0</v>
      </c>
      <c r="X247" s="424">
        <f>IF(OR(X$230&lt;$C247,X$230&lt;$H$2),0,MIN($E247-SUM($G247:W247),$F247))</f>
        <v>0</v>
      </c>
      <c r="Y247" s="424">
        <f>IF(OR(Y$230&lt;$C247,Y$230&lt;$H$2),0,MIN($E247-SUM($G247:X247),$F247))</f>
        <v>0</v>
      </c>
      <c r="Z247" s="424">
        <f>IF(OR(Z$230&lt;$C247,Z$230&lt;$H$2),0,MIN($E247-SUM($G247:Y247),$F247))</f>
        <v>0</v>
      </c>
      <c r="AA247" s="424">
        <f>IF(OR(AA$230&lt;$C247,AA$230&lt;$H$2),0,MIN($E247-SUM($G247:Z247),$F247))</f>
        <v>0</v>
      </c>
      <c r="AB247" s="424">
        <f>IF(OR(AB$230&lt;$C247,AB$230&lt;$H$2),0,MIN($E247-SUM($G247:AA247),$F247))</f>
        <v>0</v>
      </c>
      <c r="AC247" s="424">
        <f>IF(OR(AC$230&lt;$C247,AC$230&lt;$H$2),0,MIN($E247-SUM($G247:AB247),$F247))</f>
        <v>0</v>
      </c>
      <c r="AD247" s="424">
        <f>IF(OR(AD$230&lt;$C247,AD$230&lt;$H$2),0,MIN($E247-SUM($G247:AC247),$F247))</f>
        <v>0</v>
      </c>
      <c r="AE247" s="424">
        <f>IF(OR(AE$230&lt;$C247,AE$230&lt;$H$2),0,MIN($E247-SUM($G247:AD247),$F247))</f>
        <v>0</v>
      </c>
      <c r="AF247" s="424">
        <f>IF(OR(AF$230&lt;$C247,AF$230&lt;$H$2),0,MIN($E247-SUM($G247:AE247),$F247))</f>
        <v>0</v>
      </c>
      <c r="AG247" s="424">
        <f>IF(OR(AG$230&lt;$C247,AG$230&lt;$H$2),0,MIN($E247-SUM($G247:AF247),$F247))</f>
        <v>0</v>
      </c>
      <c r="AH247" s="424">
        <f>IF(OR(AH$230&lt;$C247,AH$230&lt;$H$2),0,MIN($E247-SUM($G247:AG247),$F247))</f>
        <v>0</v>
      </c>
      <c r="AI247" s="424">
        <f>IF(OR(AI$230&lt;$C247,AI$230&lt;$H$2),0,MIN($E247-SUM($G247:AH247),$F247))</f>
        <v>0</v>
      </c>
      <c r="AJ247" s="424">
        <f>IF(OR(AJ$230&lt;$C247,AJ$230&lt;$H$2),0,MIN($E247-SUM($G247:AI247),$F247))</f>
        <v>0</v>
      </c>
      <c r="AK247" s="424">
        <f>IF(OR(AK$230&lt;$C247,AK$230&lt;$H$2),0,MIN($E247-SUM($G247:AJ247),$F247))</f>
        <v>0</v>
      </c>
    </row>
    <row r="248" spans="3:37">
      <c r="C248" s="201">
        <v>51513</v>
      </c>
      <c r="D248" s="94" t="s">
        <v>134</v>
      </c>
      <c r="E248" s="424">
        <f t="shared" si="110"/>
        <v>0</v>
      </c>
      <c r="F248" s="209">
        <f t="shared" si="111"/>
        <v>0</v>
      </c>
      <c r="H248" s="424">
        <f>IF(OR(H$230&lt;$C248,H$230&lt;$H$2),0,MIN($E248-SUM($G248:G248),$F248))</f>
        <v>0</v>
      </c>
      <c r="I248" s="424">
        <f>IF(OR(I$230&lt;$C248,I$230&lt;$H$2),0,MIN($E248-SUM($G248:H248),$F248))</f>
        <v>0</v>
      </c>
      <c r="J248" s="424">
        <f>IF(OR(J$230&lt;$C248,J$230&lt;$H$2),0,MIN($E248-SUM($G248:I248),$F248))</f>
        <v>0</v>
      </c>
      <c r="K248" s="424">
        <f>IF(OR(K$230&lt;$C248,K$230&lt;$H$2),0,MIN($E248-SUM($G248:J248),$F248))</f>
        <v>0</v>
      </c>
      <c r="L248" s="424">
        <f>IF(OR(L$230&lt;$C248,L$230&lt;$H$2),0,MIN($E248-SUM($G248:K248),$F248))</f>
        <v>0</v>
      </c>
      <c r="M248" s="424">
        <f>IF(OR(M$230&lt;$C248,M$230&lt;$H$2),0,MIN($E248-SUM($G248:L248),$F248))</f>
        <v>0</v>
      </c>
      <c r="N248" s="424">
        <f>IF(OR(N$230&lt;$C248,N$230&lt;$H$2),0,MIN($E248-SUM($G248:M248),$F248))</f>
        <v>0</v>
      </c>
      <c r="O248" s="424">
        <f>IF(OR(O$230&lt;$C248,O$230&lt;$H$2),0,MIN($E248-SUM($G248:N248),$F248))</f>
        <v>0</v>
      </c>
      <c r="P248" s="424">
        <f>IF(OR(P$230&lt;$C248,P$230&lt;$H$2),0,MIN($E248-SUM($G248:O248),$F248))</f>
        <v>0</v>
      </c>
      <c r="Q248" s="424">
        <f>IF(OR(Q$230&lt;$C248,Q$230&lt;$H$2),0,MIN($E248-SUM($G248:P248),$F248))</f>
        <v>0</v>
      </c>
      <c r="R248" s="424">
        <f>IF(OR(R$230&lt;$C248,R$230&lt;$H$2),0,MIN($E248-SUM($G248:Q248),$F248))</f>
        <v>0</v>
      </c>
      <c r="S248" s="424">
        <f>IF(OR(S$230&lt;$C248,S$230&lt;$H$2),0,MIN($E248-SUM($G248:R248),$F248))</f>
        <v>0</v>
      </c>
      <c r="T248" s="424">
        <f>IF(OR(T$230&lt;$C248,T$230&lt;$H$2),0,MIN($E248-SUM($G248:S248),$F248))</f>
        <v>0</v>
      </c>
      <c r="U248" s="424">
        <f>IF(OR(U$230&lt;$C248,U$230&lt;$H$2),0,MIN($E248-SUM($G248:T248),$F248))</f>
        <v>0</v>
      </c>
      <c r="V248" s="424">
        <f>IF(OR(V$230&lt;$C248,V$230&lt;$H$2),0,MIN($E248-SUM($G248:U248),$F248))</f>
        <v>0</v>
      </c>
      <c r="W248" s="424">
        <f>IF(OR(W$230&lt;$C248,W$230&lt;$H$2),0,MIN($E248-SUM($G248:V248),$F248))</f>
        <v>0</v>
      </c>
      <c r="X248" s="424">
        <f>IF(OR(X$230&lt;$C248,X$230&lt;$H$2),0,MIN($E248-SUM($G248:W248),$F248))</f>
        <v>0</v>
      </c>
      <c r="Y248" s="424">
        <f>IF(OR(Y$230&lt;$C248,Y$230&lt;$H$2),0,MIN($E248-SUM($G248:X248),$F248))</f>
        <v>0</v>
      </c>
      <c r="Z248" s="424">
        <f>IF(OR(Z$230&lt;$C248,Z$230&lt;$H$2),0,MIN($E248-SUM($G248:Y248),$F248))</f>
        <v>0</v>
      </c>
      <c r="AA248" s="424">
        <f>IF(OR(AA$230&lt;$C248,AA$230&lt;$H$2),0,MIN($E248-SUM($G248:Z248),$F248))</f>
        <v>0</v>
      </c>
      <c r="AB248" s="424">
        <f>IF(OR(AB$230&lt;$C248,AB$230&lt;$H$2),0,MIN($E248-SUM($G248:AA248),$F248))</f>
        <v>0</v>
      </c>
      <c r="AC248" s="424">
        <f>IF(OR(AC$230&lt;$C248,AC$230&lt;$H$2),0,MIN($E248-SUM($G248:AB248),$F248))</f>
        <v>0</v>
      </c>
      <c r="AD248" s="424">
        <f>IF(OR(AD$230&lt;$C248,AD$230&lt;$H$2),0,MIN($E248-SUM($G248:AC248),$F248))</f>
        <v>0</v>
      </c>
      <c r="AE248" s="424">
        <f>IF(OR(AE$230&lt;$C248,AE$230&lt;$H$2),0,MIN($E248-SUM($G248:AD248),$F248))</f>
        <v>0</v>
      </c>
      <c r="AF248" s="424">
        <f>IF(OR(AF$230&lt;$C248,AF$230&lt;$H$2),0,MIN($E248-SUM($G248:AE248),$F248))</f>
        <v>0</v>
      </c>
      <c r="AG248" s="424">
        <f>IF(OR(AG$230&lt;$C248,AG$230&lt;$H$2),0,MIN($E248-SUM($G248:AF248),$F248))</f>
        <v>0</v>
      </c>
      <c r="AH248" s="424">
        <f>IF(OR(AH$230&lt;$C248,AH$230&lt;$H$2),0,MIN($E248-SUM($G248:AG248),$F248))</f>
        <v>0</v>
      </c>
      <c r="AI248" s="424">
        <f>IF(OR(AI$230&lt;$C248,AI$230&lt;$H$2),0,MIN($E248-SUM($G248:AH248),$F248))</f>
        <v>0</v>
      </c>
      <c r="AJ248" s="424">
        <f>IF(OR(AJ$230&lt;$C248,AJ$230&lt;$H$2),0,MIN($E248-SUM($G248:AI248),$F248))</f>
        <v>0</v>
      </c>
      <c r="AK248" s="424">
        <f>IF(OR(AK$230&lt;$C248,AK$230&lt;$H$2),0,MIN($E248-SUM($G248:AJ248),$F248))</f>
        <v>0</v>
      </c>
    </row>
    <row r="249" spans="3:37">
      <c r="C249" s="201">
        <v>51879</v>
      </c>
      <c r="D249" s="94" t="s">
        <v>134</v>
      </c>
      <c r="E249" s="424">
        <f t="shared" si="110"/>
        <v>0</v>
      </c>
      <c r="F249" s="209">
        <f t="shared" si="111"/>
        <v>0</v>
      </c>
      <c r="H249" s="424">
        <f>IF(OR(H$230&lt;$C249,H$230&lt;$H$2),0,MIN($E249-SUM($G249:G249),$F249))</f>
        <v>0</v>
      </c>
      <c r="I249" s="424">
        <f>IF(OR(I$230&lt;$C249,I$230&lt;$H$2),0,MIN($E249-SUM($G249:H249),$F249))</f>
        <v>0</v>
      </c>
      <c r="J249" s="424">
        <f>IF(OR(J$230&lt;$C249,J$230&lt;$H$2),0,MIN($E249-SUM($G249:I249),$F249))</f>
        <v>0</v>
      </c>
      <c r="K249" s="424">
        <f>IF(OR(K$230&lt;$C249,K$230&lt;$H$2),0,MIN($E249-SUM($G249:J249),$F249))</f>
        <v>0</v>
      </c>
      <c r="L249" s="424">
        <f>IF(OR(L$230&lt;$C249,L$230&lt;$H$2),0,MIN($E249-SUM($G249:K249),$F249))</f>
        <v>0</v>
      </c>
      <c r="M249" s="424">
        <f>IF(OR(M$230&lt;$C249,M$230&lt;$H$2),0,MIN($E249-SUM($G249:L249),$F249))</f>
        <v>0</v>
      </c>
      <c r="N249" s="424">
        <f>IF(OR(N$230&lt;$C249,N$230&lt;$H$2),0,MIN($E249-SUM($G249:M249),$F249))</f>
        <v>0</v>
      </c>
      <c r="O249" s="424">
        <f>IF(OR(O$230&lt;$C249,O$230&lt;$H$2),0,MIN($E249-SUM($G249:N249),$F249))</f>
        <v>0</v>
      </c>
      <c r="P249" s="424">
        <f>IF(OR(P$230&lt;$C249,P$230&lt;$H$2),0,MIN($E249-SUM($G249:O249),$F249))</f>
        <v>0</v>
      </c>
      <c r="Q249" s="424">
        <f>IF(OR(Q$230&lt;$C249,Q$230&lt;$H$2),0,MIN($E249-SUM($G249:P249),$F249))</f>
        <v>0</v>
      </c>
      <c r="R249" s="424">
        <f>IF(OR(R$230&lt;$C249,R$230&lt;$H$2),0,MIN($E249-SUM($G249:Q249),$F249))</f>
        <v>0</v>
      </c>
      <c r="S249" s="424">
        <f>IF(OR(S$230&lt;$C249,S$230&lt;$H$2),0,MIN($E249-SUM($G249:R249),$F249))</f>
        <v>0</v>
      </c>
      <c r="T249" s="424">
        <f>IF(OR(T$230&lt;$C249,T$230&lt;$H$2),0,MIN($E249-SUM($G249:S249),$F249))</f>
        <v>0</v>
      </c>
      <c r="U249" s="424">
        <f>IF(OR(U$230&lt;$C249,U$230&lt;$H$2),0,MIN($E249-SUM($G249:T249),$F249))</f>
        <v>0</v>
      </c>
      <c r="V249" s="424">
        <f>IF(OR(V$230&lt;$C249,V$230&lt;$H$2),0,MIN($E249-SUM($G249:U249),$F249))</f>
        <v>0</v>
      </c>
      <c r="W249" s="424">
        <f>IF(OR(W$230&lt;$C249,W$230&lt;$H$2),0,MIN($E249-SUM($G249:V249),$F249))</f>
        <v>0</v>
      </c>
      <c r="X249" s="424">
        <f>IF(OR(X$230&lt;$C249,X$230&lt;$H$2),0,MIN($E249-SUM($G249:W249),$F249))</f>
        <v>0</v>
      </c>
      <c r="Y249" s="424">
        <f>IF(OR(Y$230&lt;$C249,Y$230&lt;$H$2),0,MIN($E249-SUM($G249:X249),$F249))</f>
        <v>0</v>
      </c>
      <c r="Z249" s="424">
        <f>IF(OR(Z$230&lt;$C249,Z$230&lt;$H$2),0,MIN($E249-SUM($G249:Y249),$F249))</f>
        <v>0</v>
      </c>
      <c r="AA249" s="424">
        <f>IF(OR(AA$230&lt;$C249,AA$230&lt;$H$2),0,MIN($E249-SUM($G249:Z249),$F249))</f>
        <v>0</v>
      </c>
      <c r="AB249" s="424">
        <f>IF(OR(AB$230&lt;$C249,AB$230&lt;$H$2),0,MIN($E249-SUM($G249:AA249),$F249))</f>
        <v>0</v>
      </c>
      <c r="AC249" s="424">
        <f>IF(OR(AC$230&lt;$C249,AC$230&lt;$H$2),0,MIN($E249-SUM($G249:AB249),$F249))</f>
        <v>0</v>
      </c>
      <c r="AD249" s="424">
        <f>IF(OR(AD$230&lt;$C249,AD$230&lt;$H$2),0,MIN($E249-SUM($G249:AC249),$F249))</f>
        <v>0</v>
      </c>
      <c r="AE249" s="424">
        <f>IF(OR(AE$230&lt;$C249,AE$230&lt;$H$2),0,MIN($E249-SUM($G249:AD249),$F249))</f>
        <v>0</v>
      </c>
      <c r="AF249" s="424">
        <f>IF(OR(AF$230&lt;$C249,AF$230&lt;$H$2),0,MIN($E249-SUM($G249:AE249),$F249))</f>
        <v>0</v>
      </c>
      <c r="AG249" s="424">
        <f>IF(OR(AG$230&lt;$C249,AG$230&lt;$H$2),0,MIN($E249-SUM($G249:AF249),$F249))</f>
        <v>0</v>
      </c>
      <c r="AH249" s="424">
        <f>IF(OR(AH$230&lt;$C249,AH$230&lt;$H$2),0,MIN($E249-SUM($G249:AG249),$F249))</f>
        <v>0</v>
      </c>
      <c r="AI249" s="424">
        <f>IF(OR(AI$230&lt;$C249,AI$230&lt;$H$2),0,MIN($E249-SUM($G249:AH249),$F249))</f>
        <v>0</v>
      </c>
      <c r="AJ249" s="424">
        <f>IF(OR(AJ$230&lt;$C249,AJ$230&lt;$H$2),0,MIN($E249-SUM($G249:AI249),$F249))</f>
        <v>0</v>
      </c>
      <c r="AK249" s="424">
        <f>IF(OR(AK$230&lt;$C249,AK$230&lt;$H$2),0,MIN($E249-SUM($G249:AJ249),$F249))</f>
        <v>0</v>
      </c>
    </row>
    <row r="250" spans="3:37">
      <c r="C250" s="201">
        <v>52245</v>
      </c>
      <c r="D250" s="94" t="s">
        <v>134</v>
      </c>
      <c r="E250" s="424">
        <f t="shared" si="110"/>
        <v>0</v>
      </c>
      <c r="F250" s="209">
        <f t="shared" si="111"/>
        <v>0</v>
      </c>
      <c r="H250" s="424">
        <f>IF(OR(H$230&lt;$C250,H$230&lt;$H$2),0,MIN($E250-SUM($G250:G250),$F250))</f>
        <v>0</v>
      </c>
      <c r="I250" s="424">
        <f>IF(OR(I$230&lt;$C250,I$230&lt;$H$2),0,MIN($E250-SUM($G250:H250),$F250))</f>
        <v>0</v>
      </c>
      <c r="J250" s="424">
        <f>IF(OR(J$230&lt;$C250,J$230&lt;$H$2),0,MIN($E250-SUM($G250:I250),$F250))</f>
        <v>0</v>
      </c>
      <c r="K250" s="424">
        <f>IF(OR(K$230&lt;$C250,K$230&lt;$H$2),0,MIN($E250-SUM($G250:J250),$F250))</f>
        <v>0</v>
      </c>
      <c r="L250" s="424">
        <f>IF(OR(L$230&lt;$C250,L$230&lt;$H$2),0,MIN($E250-SUM($G250:K250),$F250))</f>
        <v>0</v>
      </c>
      <c r="M250" s="424">
        <f>IF(OR(M$230&lt;$C250,M$230&lt;$H$2),0,MIN($E250-SUM($G250:L250),$F250))</f>
        <v>0</v>
      </c>
      <c r="N250" s="424">
        <f>IF(OR(N$230&lt;$C250,N$230&lt;$H$2),0,MIN($E250-SUM($G250:M250),$F250))</f>
        <v>0</v>
      </c>
      <c r="O250" s="424">
        <f>IF(OR(O$230&lt;$C250,O$230&lt;$H$2),0,MIN($E250-SUM($G250:N250),$F250))</f>
        <v>0</v>
      </c>
      <c r="P250" s="424">
        <f>IF(OR(P$230&lt;$C250,P$230&lt;$H$2),0,MIN($E250-SUM($G250:O250),$F250))</f>
        <v>0</v>
      </c>
      <c r="Q250" s="424">
        <f>IF(OR(Q$230&lt;$C250,Q$230&lt;$H$2),0,MIN($E250-SUM($G250:P250),$F250))</f>
        <v>0</v>
      </c>
      <c r="R250" s="424">
        <f>IF(OR(R$230&lt;$C250,R$230&lt;$H$2),0,MIN($E250-SUM($G250:Q250),$F250))</f>
        <v>0</v>
      </c>
      <c r="S250" s="424">
        <f>IF(OR(S$230&lt;$C250,S$230&lt;$H$2),0,MIN($E250-SUM($G250:R250),$F250))</f>
        <v>0</v>
      </c>
      <c r="T250" s="424">
        <f>IF(OR(T$230&lt;$C250,T$230&lt;$H$2),0,MIN($E250-SUM($G250:S250),$F250))</f>
        <v>0</v>
      </c>
      <c r="U250" s="424">
        <f>IF(OR(U$230&lt;$C250,U$230&lt;$H$2),0,MIN($E250-SUM($G250:T250),$F250))</f>
        <v>0</v>
      </c>
      <c r="V250" s="424">
        <f>IF(OR(V$230&lt;$C250,V$230&lt;$H$2),0,MIN($E250-SUM($G250:U250),$F250))</f>
        <v>0</v>
      </c>
      <c r="W250" s="424">
        <f>IF(OR(W$230&lt;$C250,W$230&lt;$H$2),0,MIN($E250-SUM($G250:V250),$F250))</f>
        <v>0</v>
      </c>
      <c r="X250" s="424">
        <f>IF(OR(X$230&lt;$C250,X$230&lt;$H$2),0,MIN($E250-SUM($G250:W250),$F250))</f>
        <v>0</v>
      </c>
      <c r="Y250" s="424">
        <f>IF(OR(Y$230&lt;$C250,Y$230&lt;$H$2),0,MIN($E250-SUM($G250:X250),$F250))</f>
        <v>0</v>
      </c>
      <c r="Z250" s="424">
        <f>IF(OR(Z$230&lt;$C250,Z$230&lt;$H$2),0,MIN($E250-SUM($G250:Y250),$F250))</f>
        <v>0</v>
      </c>
      <c r="AA250" s="424">
        <f>IF(OR(AA$230&lt;$C250,AA$230&lt;$H$2),0,MIN($E250-SUM($G250:Z250),$F250))</f>
        <v>0</v>
      </c>
      <c r="AB250" s="424">
        <f>IF(OR(AB$230&lt;$C250,AB$230&lt;$H$2),0,MIN($E250-SUM($G250:AA250),$F250))</f>
        <v>0</v>
      </c>
      <c r="AC250" s="424">
        <f>IF(OR(AC$230&lt;$C250,AC$230&lt;$H$2),0,MIN($E250-SUM($G250:AB250),$F250))</f>
        <v>0</v>
      </c>
      <c r="AD250" s="424">
        <f>IF(OR(AD$230&lt;$C250,AD$230&lt;$H$2),0,MIN($E250-SUM($G250:AC250),$F250))</f>
        <v>0</v>
      </c>
      <c r="AE250" s="424">
        <f>IF(OR(AE$230&lt;$C250,AE$230&lt;$H$2),0,MIN($E250-SUM($G250:AD250),$F250))</f>
        <v>0</v>
      </c>
      <c r="AF250" s="424">
        <f>IF(OR(AF$230&lt;$C250,AF$230&lt;$H$2),0,MIN($E250-SUM($G250:AE250),$F250))</f>
        <v>0</v>
      </c>
      <c r="AG250" s="424">
        <f>IF(OR(AG$230&lt;$C250,AG$230&lt;$H$2),0,MIN($E250-SUM($G250:AF250),$F250))</f>
        <v>0</v>
      </c>
      <c r="AH250" s="424">
        <f>IF(OR(AH$230&lt;$C250,AH$230&lt;$H$2),0,MIN($E250-SUM($G250:AG250),$F250))</f>
        <v>0</v>
      </c>
      <c r="AI250" s="424">
        <f>IF(OR(AI$230&lt;$C250,AI$230&lt;$H$2),0,MIN($E250-SUM($G250:AH250),$F250))</f>
        <v>0</v>
      </c>
      <c r="AJ250" s="424">
        <f>IF(OR(AJ$230&lt;$C250,AJ$230&lt;$H$2),0,MIN($E250-SUM($G250:AI250),$F250))</f>
        <v>0</v>
      </c>
      <c r="AK250" s="424">
        <f>IF(OR(AK$230&lt;$C250,AK$230&lt;$H$2),0,MIN($E250-SUM($G250:AJ250),$F250))</f>
        <v>0</v>
      </c>
    </row>
    <row r="251" spans="3:37">
      <c r="C251" s="201">
        <v>52611</v>
      </c>
      <c r="D251" s="94" t="s">
        <v>134</v>
      </c>
      <c r="E251" s="424">
        <f t="shared" si="110"/>
        <v>0</v>
      </c>
      <c r="F251" s="209">
        <f t="shared" si="111"/>
        <v>0</v>
      </c>
      <c r="H251" s="424">
        <f>IF(OR(H$230&lt;$C251,H$230&lt;$H$2),0,MIN($E251-SUM($G251:G251),$F251))</f>
        <v>0</v>
      </c>
      <c r="I251" s="424">
        <f>IF(OR(I$230&lt;$C251,I$230&lt;$H$2),0,MIN($E251-SUM($G251:H251),$F251))</f>
        <v>0</v>
      </c>
      <c r="J251" s="424">
        <f>IF(OR(J$230&lt;$C251,J$230&lt;$H$2),0,MIN($E251-SUM($G251:I251),$F251))</f>
        <v>0</v>
      </c>
      <c r="K251" s="424">
        <f>IF(OR(K$230&lt;$C251,K$230&lt;$H$2),0,MIN($E251-SUM($G251:J251),$F251))</f>
        <v>0</v>
      </c>
      <c r="L251" s="424">
        <f>IF(OR(L$230&lt;$C251,L$230&lt;$H$2),0,MIN($E251-SUM($G251:K251),$F251))</f>
        <v>0</v>
      </c>
      <c r="M251" s="424">
        <f>IF(OR(M$230&lt;$C251,M$230&lt;$H$2),0,MIN($E251-SUM($G251:L251),$F251))</f>
        <v>0</v>
      </c>
      <c r="N251" s="424">
        <f>IF(OR(N$230&lt;$C251,N$230&lt;$H$2),0,MIN($E251-SUM($G251:M251),$F251))</f>
        <v>0</v>
      </c>
      <c r="O251" s="424">
        <f>IF(OR(O$230&lt;$C251,O$230&lt;$H$2),0,MIN($E251-SUM($G251:N251),$F251))</f>
        <v>0</v>
      </c>
      <c r="P251" s="424">
        <f>IF(OR(P$230&lt;$C251,P$230&lt;$H$2),0,MIN($E251-SUM($G251:O251),$F251))</f>
        <v>0</v>
      </c>
      <c r="Q251" s="424">
        <f>IF(OR(Q$230&lt;$C251,Q$230&lt;$H$2),0,MIN($E251-SUM($G251:P251),$F251))</f>
        <v>0</v>
      </c>
      <c r="R251" s="424">
        <f>IF(OR(R$230&lt;$C251,R$230&lt;$H$2),0,MIN($E251-SUM($G251:Q251),$F251))</f>
        <v>0</v>
      </c>
      <c r="S251" s="424">
        <f>IF(OR(S$230&lt;$C251,S$230&lt;$H$2),0,MIN($E251-SUM($G251:R251),$F251))</f>
        <v>0</v>
      </c>
      <c r="T251" s="424">
        <f>IF(OR(T$230&lt;$C251,T$230&lt;$H$2),0,MIN($E251-SUM($G251:S251),$F251))</f>
        <v>0</v>
      </c>
      <c r="U251" s="424">
        <f>IF(OR(U$230&lt;$C251,U$230&lt;$H$2),0,MIN($E251-SUM($G251:T251),$F251))</f>
        <v>0</v>
      </c>
      <c r="V251" s="424">
        <f>IF(OR(V$230&lt;$C251,V$230&lt;$H$2),0,MIN($E251-SUM($G251:U251),$F251))</f>
        <v>0</v>
      </c>
      <c r="W251" s="424">
        <f>IF(OR(W$230&lt;$C251,W$230&lt;$H$2),0,MIN($E251-SUM($G251:V251),$F251))</f>
        <v>0</v>
      </c>
      <c r="X251" s="424">
        <f>IF(OR(X$230&lt;$C251,X$230&lt;$H$2),0,MIN($E251-SUM($G251:W251),$F251))</f>
        <v>0</v>
      </c>
      <c r="Y251" s="424">
        <f>IF(OR(Y$230&lt;$C251,Y$230&lt;$H$2),0,MIN($E251-SUM($G251:X251),$F251))</f>
        <v>0</v>
      </c>
      <c r="Z251" s="424">
        <f>IF(OR(Z$230&lt;$C251,Z$230&lt;$H$2),0,MIN($E251-SUM($G251:Y251),$F251))</f>
        <v>0</v>
      </c>
      <c r="AA251" s="424">
        <f>IF(OR(AA$230&lt;$C251,AA$230&lt;$H$2),0,MIN($E251-SUM($G251:Z251),$F251))</f>
        <v>0</v>
      </c>
      <c r="AB251" s="424">
        <f>IF(OR(AB$230&lt;$C251,AB$230&lt;$H$2),0,MIN($E251-SUM($G251:AA251),$F251))</f>
        <v>0</v>
      </c>
      <c r="AC251" s="424">
        <f>IF(OR(AC$230&lt;$C251,AC$230&lt;$H$2),0,MIN($E251-SUM($G251:AB251),$F251))</f>
        <v>0</v>
      </c>
      <c r="AD251" s="424">
        <f>IF(OR(AD$230&lt;$C251,AD$230&lt;$H$2),0,MIN($E251-SUM($G251:AC251),$F251))</f>
        <v>0</v>
      </c>
      <c r="AE251" s="424">
        <f>IF(OR(AE$230&lt;$C251,AE$230&lt;$H$2),0,MIN($E251-SUM($G251:AD251),$F251))</f>
        <v>0</v>
      </c>
      <c r="AF251" s="424">
        <f>IF(OR(AF$230&lt;$C251,AF$230&lt;$H$2),0,MIN($E251-SUM($G251:AE251),$F251))</f>
        <v>0</v>
      </c>
      <c r="AG251" s="424">
        <f>IF(OR(AG$230&lt;$C251,AG$230&lt;$H$2),0,MIN($E251-SUM($G251:AF251),$F251))</f>
        <v>0</v>
      </c>
      <c r="AH251" s="424">
        <f>IF(OR(AH$230&lt;$C251,AH$230&lt;$H$2),0,MIN($E251-SUM($G251:AG251),$F251))</f>
        <v>0</v>
      </c>
      <c r="AI251" s="424">
        <f>IF(OR(AI$230&lt;$C251,AI$230&lt;$H$2),0,MIN($E251-SUM($G251:AH251),$F251))</f>
        <v>0</v>
      </c>
      <c r="AJ251" s="424">
        <f>IF(OR(AJ$230&lt;$C251,AJ$230&lt;$H$2),0,MIN($E251-SUM($G251:AI251),$F251))</f>
        <v>0</v>
      </c>
      <c r="AK251" s="424">
        <f>IF(OR(AK$230&lt;$C251,AK$230&lt;$H$2),0,MIN($E251-SUM($G251:AJ251),$F251))</f>
        <v>0</v>
      </c>
    </row>
    <row r="252" spans="3:37">
      <c r="C252" s="201">
        <v>52977</v>
      </c>
      <c r="D252" s="94" t="s">
        <v>134</v>
      </c>
      <c r="E252" s="424">
        <f t="shared" si="110"/>
        <v>0</v>
      </c>
      <c r="F252" s="209">
        <f t="shared" si="111"/>
        <v>0</v>
      </c>
      <c r="H252" s="424">
        <f>IF(OR(H$230&lt;$C252,H$230&lt;$H$2),0,MIN($E252-SUM($G252:G252),$F252))</f>
        <v>0</v>
      </c>
      <c r="I252" s="424">
        <f>IF(OR(I$230&lt;$C252,I$230&lt;$H$2),0,MIN($E252-SUM($G252:H252),$F252))</f>
        <v>0</v>
      </c>
      <c r="J252" s="424">
        <f>IF(OR(J$230&lt;$C252,J$230&lt;$H$2),0,MIN($E252-SUM($G252:I252),$F252))</f>
        <v>0</v>
      </c>
      <c r="K252" s="424">
        <f>IF(OR(K$230&lt;$C252,K$230&lt;$H$2),0,MIN($E252-SUM($G252:J252),$F252))</f>
        <v>0</v>
      </c>
      <c r="L252" s="424">
        <f>IF(OR(L$230&lt;$C252,L$230&lt;$H$2),0,MIN($E252-SUM($G252:K252),$F252))</f>
        <v>0</v>
      </c>
      <c r="M252" s="424">
        <f>IF(OR(M$230&lt;$C252,M$230&lt;$H$2),0,MIN($E252-SUM($G252:L252),$F252))</f>
        <v>0</v>
      </c>
      <c r="N252" s="424">
        <f>IF(OR(N$230&lt;$C252,N$230&lt;$H$2),0,MIN($E252-SUM($G252:M252),$F252))</f>
        <v>0</v>
      </c>
      <c r="O252" s="424">
        <f>IF(OR(O$230&lt;$C252,O$230&lt;$H$2),0,MIN($E252-SUM($G252:N252),$F252))</f>
        <v>0</v>
      </c>
      <c r="P252" s="424">
        <f>IF(OR(P$230&lt;$C252,P$230&lt;$H$2),0,MIN($E252-SUM($G252:O252),$F252))</f>
        <v>0</v>
      </c>
      <c r="Q252" s="424">
        <f>IF(OR(Q$230&lt;$C252,Q$230&lt;$H$2),0,MIN($E252-SUM($G252:P252),$F252))</f>
        <v>0</v>
      </c>
      <c r="R252" s="424">
        <f>IF(OR(R$230&lt;$C252,R$230&lt;$H$2),0,MIN($E252-SUM($G252:Q252),$F252))</f>
        <v>0</v>
      </c>
      <c r="S252" s="424">
        <f>IF(OR(S$230&lt;$C252,S$230&lt;$H$2),0,MIN($E252-SUM($G252:R252),$F252))</f>
        <v>0</v>
      </c>
      <c r="T252" s="424">
        <f>IF(OR(T$230&lt;$C252,T$230&lt;$H$2),0,MIN($E252-SUM($G252:S252),$F252))</f>
        <v>0</v>
      </c>
      <c r="U252" s="424">
        <f>IF(OR(U$230&lt;$C252,U$230&lt;$H$2),0,MIN($E252-SUM($G252:T252),$F252))</f>
        <v>0</v>
      </c>
      <c r="V252" s="424">
        <f>IF(OR(V$230&lt;$C252,V$230&lt;$H$2),0,MIN($E252-SUM($G252:U252),$F252))</f>
        <v>0</v>
      </c>
      <c r="W252" s="424">
        <f>IF(OR(W$230&lt;$C252,W$230&lt;$H$2),0,MIN($E252-SUM($G252:V252),$F252))</f>
        <v>0</v>
      </c>
      <c r="X252" s="424">
        <f>IF(OR(X$230&lt;$C252,X$230&lt;$H$2),0,MIN($E252-SUM($G252:W252),$F252))</f>
        <v>0</v>
      </c>
      <c r="Y252" s="424">
        <f>IF(OR(Y$230&lt;$C252,Y$230&lt;$H$2),0,MIN($E252-SUM($G252:X252),$F252))</f>
        <v>0</v>
      </c>
      <c r="Z252" s="424">
        <f>IF(OR(Z$230&lt;$C252,Z$230&lt;$H$2),0,MIN($E252-SUM($G252:Y252),$F252))</f>
        <v>0</v>
      </c>
      <c r="AA252" s="424">
        <f>IF(OR(AA$230&lt;$C252,AA$230&lt;$H$2),0,MIN($E252-SUM($G252:Z252),$F252))</f>
        <v>0</v>
      </c>
      <c r="AB252" s="424">
        <f>IF(OR(AB$230&lt;$C252,AB$230&lt;$H$2),0,MIN($E252-SUM($G252:AA252),$F252))</f>
        <v>0</v>
      </c>
      <c r="AC252" s="424">
        <f>IF(OR(AC$230&lt;$C252,AC$230&lt;$H$2),0,MIN($E252-SUM($G252:AB252),$F252))</f>
        <v>0</v>
      </c>
      <c r="AD252" s="424">
        <f>IF(OR(AD$230&lt;$C252,AD$230&lt;$H$2),0,MIN($E252-SUM($G252:AC252),$F252))</f>
        <v>0</v>
      </c>
      <c r="AE252" s="424">
        <f>IF(OR(AE$230&lt;$C252,AE$230&lt;$H$2),0,MIN($E252-SUM($G252:AD252),$F252))</f>
        <v>0</v>
      </c>
      <c r="AF252" s="424">
        <f>IF(OR(AF$230&lt;$C252,AF$230&lt;$H$2),0,MIN($E252-SUM($G252:AE252),$F252))</f>
        <v>0</v>
      </c>
      <c r="AG252" s="424">
        <f>IF(OR(AG$230&lt;$C252,AG$230&lt;$H$2),0,MIN($E252-SUM($G252:AF252),$F252))</f>
        <v>0</v>
      </c>
      <c r="AH252" s="424">
        <f>IF(OR(AH$230&lt;$C252,AH$230&lt;$H$2),0,MIN($E252-SUM($G252:AG252),$F252))</f>
        <v>0</v>
      </c>
      <c r="AI252" s="424">
        <f>IF(OR(AI$230&lt;$C252,AI$230&lt;$H$2),0,MIN($E252-SUM($G252:AH252),$F252))</f>
        <v>0</v>
      </c>
      <c r="AJ252" s="424">
        <f>IF(OR(AJ$230&lt;$C252,AJ$230&lt;$H$2),0,MIN($E252-SUM($G252:AI252),$F252))</f>
        <v>0</v>
      </c>
      <c r="AK252" s="424">
        <f>IF(OR(AK$230&lt;$C252,AK$230&lt;$H$2),0,MIN($E252-SUM($G252:AJ252),$F252))</f>
        <v>0</v>
      </c>
    </row>
    <row r="253" spans="3:37">
      <c r="C253" s="201">
        <v>53343</v>
      </c>
      <c r="D253" s="94" t="s">
        <v>134</v>
      </c>
      <c r="E253" s="424">
        <f t="shared" si="110"/>
        <v>0</v>
      </c>
      <c r="F253" s="209">
        <f t="shared" si="111"/>
        <v>0</v>
      </c>
      <c r="H253" s="424">
        <f>IF(OR(H$230&lt;$C253,H$230&lt;$H$2),0,MIN($E253-SUM($G253:G253),$F253))</f>
        <v>0</v>
      </c>
      <c r="I253" s="424">
        <f>IF(OR(I$230&lt;$C253,I$230&lt;$H$2),0,MIN($E253-SUM($G253:H253),$F253))</f>
        <v>0</v>
      </c>
      <c r="J253" s="424">
        <f>IF(OR(J$230&lt;$C253,J$230&lt;$H$2),0,MIN($E253-SUM($G253:I253),$F253))</f>
        <v>0</v>
      </c>
      <c r="K253" s="424">
        <f>IF(OR(K$230&lt;$C253,K$230&lt;$H$2),0,MIN($E253-SUM($G253:J253),$F253))</f>
        <v>0</v>
      </c>
      <c r="L253" s="424">
        <f>IF(OR(L$230&lt;$C253,L$230&lt;$H$2),0,MIN($E253-SUM($G253:K253),$F253))</f>
        <v>0</v>
      </c>
      <c r="M253" s="424">
        <f>IF(OR(M$230&lt;$C253,M$230&lt;$H$2),0,MIN($E253-SUM($G253:L253),$F253))</f>
        <v>0</v>
      </c>
      <c r="N253" s="424">
        <f>IF(OR(N$230&lt;$C253,N$230&lt;$H$2),0,MIN($E253-SUM($G253:M253),$F253))</f>
        <v>0</v>
      </c>
      <c r="O253" s="424">
        <f>IF(OR(O$230&lt;$C253,O$230&lt;$H$2),0,MIN($E253-SUM($G253:N253),$F253))</f>
        <v>0</v>
      </c>
      <c r="P253" s="424">
        <f>IF(OR(P$230&lt;$C253,P$230&lt;$H$2),0,MIN($E253-SUM($G253:O253),$F253))</f>
        <v>0</v>
      </c>
      <c r="Q253" s="424">
        <f>IF(OR(Q$230&lt;$C253,Q$230&lt;$H$2),0,MIN($E253-SUM($G253:P253),$F253))</f>
        <v>0</v>
      </c>
      <c r="R253" s="424">
        <f>IF(OR(R$230&lt;$C253,R$230&lt;$H$2),0,MIN($E253-SUM($G253:Q253),$F253))</f>
        <v>0</v>
      </c>
      <c r="S253" s="424">
        <f>IF(OR(S$230&lt;$C253,S$230&lt;$H$2),0,MIN($E253-SUM($G253:R253),$F253))</f>
        <v>0</v>
      </c>
      <c r="T253" s="424">
        <f>IF(OR(T$230&lt;$C253,T$230&lt;$H$2),0,MIN($E253-SUM($G253:S253),$F253))</f>
        <v>0</v>
      </c>
      <c r="U253" s="424">
        <f>IF(OR(U$230&lt;$C253,U$230&lt;$H$2),0,MIN($E253-SUM($G253:T253),$F253))</f>
        <v>0</v>
      </c>
      <c r="V253" s="424">
        <f>IF(OR(V$230&lt;$C253,V$230&lt;$H$2),0,MIN($E253-SUM($G253:U253),$F253))</f>
        <v>0</v>
      </c>
      <c r="W253" s="424">
        <f>IF(OR(W$230&lt;$C253,W$230&lt;$H$2),0,MIN($E253-SUM($G253:V253),$F253))</f>
        <v>0</v>
      </c>
      <c r="X253" s="424">
        <f>IF(OR(X$230&lt;$C253,X$230&lt;$H$2),0,MIN($E253-SUM($G253:W253),$F253))</f>
        <v>0</v>
      </c>
      <c r="Y253" s="424">
        <f>IF(OR(Y$230&lt;$C253,Y$230&lt;$H$2),0,MIN($E253-SUM($G253:X253),$F253))</f>
        <v>0</v>
      </c>
      <c r="Z253" s="424">
        <f>IF(OR(Z$230&lt;$C253,Z$230&lt;$H$2),0,MIN($E253-SUM($G253:Y253),$F253))</f>
        <v>0</v>
      </c>
      <c r="AA253" s="424">
        <f>IF(OR(AA$230&lt;$C253,AA$230&lt;$H$2),0,MIN($E253-SUM($G253:Z253),$F253))</f>
        <v>0</v>
      </c>
      <c r="AB253" s="424">
        <f>IF(OR(AB$230&lt;$C253,AB$230&lt;$H$2),0,MIN($E253-SUM($G253:AA253),$F253))</f>
        <v>0</v>
      </c>
      <c r="AC253" s="424">
        <f>IF(OR(AC$230&lt;$C253,AC$230&lt;$H$2),0,MIN($E253-SUM($G253:AB253),$F253))</f>
        <v>0</v>
      </c>
      <c r="AD253" s="424">
        <f>IF(OR(AD$230&lt;$C253,AD$230&lt;$H$2),0,MIN($E253-SUM($G253:AC253),$F253))</f>
        <v>0</v>
      </c>
      <c r="AE253" s="424">
        <f>IF(OR(AE$230&lt;$C253,AE$230&lt;$H$2),0,MIN($E253-SUM($G253:AD253),$F253))</f>
        <v>0</v>
      </c>
      <c r="AF253" s="424">
        <f>IF(OR(AF$230&lt;$C253,AF$230&lt;$H$2),0,MIN($E253-SUM($G253:AE253),$F253))</f>
        <v>0</v>
      </c>
      <c r="AG253" s="424">
        <f>IF(OR(AG$230&lt;$C253,AG$230&lt;$H$2),0,MIN($E253-SUM($G253:AF253),$F253))</f>
        <v>0</v>
      </c>
      <c r="AH253" s="424">
        <f>IF(OR(AH$230&lt;$C253,AH$230&lt;$H$2),0,MIN($E253-SUM($G253:AG253),$F253))</f>
        <v>0</v>
      </c>
      <c r="AI253" s="424">
        <f>IF(OR(AI$230&lt;$C253,AI$230&lt;$H$2),0,MIN($E253-SUM($G253:AH253),$F253))</f>
        <v>0</v>
      </c>
      <c r="AJ253" s="424">
        <f>IF(OR(AJ$230&lt;$C253,AJ$230&lt;$H$2),0,MIN($E253-SUM($G253:AI253),$F253))</f>
        <v>0</v>
      </c>
      <c r="AK253" s="424">
        <f>IF(OR(AK$230&lt;$C253,AK$230&lt;$H$2),0,MIN($E253-SUM($G253:AJ253),$F253))</f>
        <v>0</v>
      </c>
    </row>
    <row r="254" spans="3:37">
      <c r="C254" s="201">
        <v>53709</v>
      </c>
      <c r="D254" s="94" t="s">
        <v>134</v>
      </c>
      <c r="E254" s="424">
        <f t="shared" si="110"/>
        <v>0</v>
      </c>
      <c r="F254" s="209">
        <f t="shared" si="111"/>
        <v>0</v>
      </c>
      <c r="H254" s="424">
        <f>IF(OR(H$230&lt;$C254,H$230&lt;$H$2),0,MIN($E254-SUM($G254:G254),$F254))</f>
        <v>0</v>
      </c>
      <c r="I254" s="424">
        <f>IF(OR(I$230&lt;$C254,I$230&lt;$H$2),0,MIN($E254-SUM($G254:H254),$F254))</f>
        <v>0</v>
      </c>
      <c r="J254" s="424">
        <f>IF(OR(J$230&lt;$C254,J$230&lt;$H$2),0,MIN($E254-SUM($G254:I254),$F254))</f>
        <v>0</v>
      </c>
      <c r="K254" s="424">
        <f>IF(OR(K$230&lt;$C254,K$230&lt;$H$2),0,MIN($E254-SUM($G254:J254),$F254))</f>
        <v>0</v>
      </c>
      <c r="L254" s="424">
        <f>IF(OR(L$230&lt;$C254,L$230&lt;$H$2),0,MIN($E254-SUM($G254:K254),$F254))</f>
        <v>0</v>
      </c>
      <c r="M254" s="424">
        <f>IF(OR(M$230&lt;$C254,M$230&lt;$H$2),0,MIN($E254-SUM($G254:L254),$F254))</f>
        <v>0</v>
      </c>
      <c r="N254" s="424">
        <f>IF(OR(N$230&lt;$C254,N$230&lt;$H$2),0,MIN($E254-SUM($G254:M254),$F254))</f>
        <v>0</v>
      </c>
      <c r="O254" s="424">
        <f>IF(OR(O$230&lt;$C254,O$230&lt;$H$2),0,MIN($E254-SUM($G254:N254),$F254))</f>
        <v>0</v>
      </c>
      <c r="P254" s="424">
        <f>IF(OR(P$230&lt;$C254,P$230&lt;$H$2),0,MIN($E254-SUM($G254:O254),$F254))</f>
        <v>0</v>
      </c>
      <c r="Q254" s="424">
        <f>IF(OR(Q$230&lt;$C254,Q$230&lt;$H$2),0,MIN($E254-SUM($G254:P254),$F254))</f>
        <v>0</v>
      </c>
      <c r="R254" s="424">
        <f>IF(OR(R$230&lt;$C254,R$230&lt;$H$2),0,MIN($E254-SUM($G254:Q254),$F254))</f>
        <v>0</v>
      </c>
      <c r="S254" s="424">
        <f>IF(OR(S$230&lt;$C254,S$230&lt;$H$2),0,MIN($E254-SUM($G254:R254),$F254))</f>
        <v>0</v>
      </c>
      <c r="T254" s="424">
        <f>IF(OR(T$230&lt;$C254,T$230&lt;$H$2),0,MIN($E254-SUM($G254:S254),$F254))</f>
        <v>0</v>
      </c>
      <c r="U254" s="424">
        <f>IF(OR(U$230&lt;$C254,U$230&lt;$H$2),0,MIN($E254-SUM($G254:T254),$F254))</f>
        <v>0</v>
      </c>
      <c r="V254" s="424">
        <f>IF(OR(V$230&lt;$C254,V$230&lt;$H$2),0,MIN($E254-SUM($G254:U254),$F254))</f>
        <v>0</v>
      </c>
      <c r="W254" s="424">
        <f>IF(OR(W$230&lt;$C254,W$230&lt;$H$2),0,MIN($E254-SUM($G254:V254),$F254))</f>
        <v>0</v>
      </c>
      <c r="X254" s="424">
        <f>IF(OR(X$230&lt;$C254,X$230&lt;$H$2),0,MIN($E254-SUM($G254:W254),$F254))</f>
        <v>0</v>
      </c>
      <c r="Y254" s="424">
        <f>IF(OR(Y$230&lt;$C254,Y$230&lt;$H$2),0,MIN($E254-SUM($G254:X254),$F254))</f>
        <v>0</v>
      </c>
      <c r="Z254" s="424">
        <f>IF(OR(Z$230&lt;$C254,Z$230&lt;$H$2),0,MIN($E254-SUM($G254:Y254),$F254))</f>
        <v>0</v>
      </c>
      <c r="AA254" s="424">
        <f>IF(OR(AA$230&lt;$C254,AA$230&lt;$H$2),0,MIN($E254-SUM($G254:Z254),$F254))</f>
        <v>0</v>
      </c>
      <c r="AB254" s="424">
        <f>IF(OR(AB$230&lt;$C254,AB$230&lt;$H$2),0,MIN($E254-SUM($G254:AA254),$F254))</f>
        <v>0</v>
      </c>
      <c r="AC254" s="424">
        <f>IF(OR(AC$230&lt;$C254,AC$230&lt;$H$2),0,MIN($E254-SUM($G254:AB254),$F254))</f>
        <v>0</v>
      </c>
      <c r="AD254" s="424">
        <f>IF(OR(AD$230&lt;$C254,AD$230&lt;$H$2),0,MIN($E254-SUM($G254:AC254),$F254))</f>
        <v>0</v>
      </c>
      <c r="AE254" s="424">
        <f>IF(OR(AE$230&lt;$C254,AE$230&lt;$H$2),0,MIN($E254-SUM($G254:AD254),$F254))</f>
        <v>0</v>
      </c>
      <c r="AF254" s="424">
        <f>IF(OR(AF$230&lt;$C254,AF$230&lt;$H$2),0,MIN($E254-SUM($G254:AE254),$F254))</f>
        <v>0</v>
      </c>
      <c r="AG254" s="424">
        <f>IF(OR(AG$230&lt;$C254,AG$230&lt;$H$2),0,MIN($E254-SUM($G254:AF254),$F254))</f>
        <v>0</v>
      </c>
      <c r="AH254" s="424">
        <f>IF(OR(AH$230&lt;$C254,AH$230&lt;$H$2),0,MIN($E254-SUM($G254:AG254),$F254))</f>
        <v>0</v>
      </c>
      <c r="AI254" s="424">
        <f>IF(OR(AI$230&lt;$C254,AI$230&lt;$H$2),0,MIN($E254-SUM($G254:AH254),$F254))</f>
        <v>0</v>
      </c>
      <c r="AJ254" s="424">
        <f>IF(OR(AJ$230&lt;$C254,AJ$230&lt;$H$2),0,MIN($E254-SUM($G254:AI254),$F254))</f>
        <v>0</v>
      </c>
      <c r="AK254" s="424">
        <f>IF(OR(AK$230&lt;$C254,AK$230&lt;$H$2),0,MIN($E254-SUM($G254:AJ254),$F254))</f>
        <v>0</v>
      </c>
    </row>
    <row r="255" spans="3:37">
      <c r="C255" s="201">
        <v>54075</v>
      </c>
      <c r="D255" s="94" t="s">
        <v>134</v>
      </c>
      <c r="E255" s="424">
        <f t="shared" si="110"/>
        <v>0</v>
      </c>
      <c r="F255" s="209">
        <f t="shared" si="111"/>
        <v>0</v>
      </c>
      <c r="H255" s="424">
        <f>IF(OR(H$230&lt;$C255,H$230&lt;$H$2),0,MIN($E255-SUM($G255:G255),$F255))</f>
        <v>0</v>
      </c>
      <c r="I255" s="424">
        <f>IF(OR(I$230&lt;$C255,I$230&lt;$H$2),0,MIN($E255-SUM($G255:H255),$F255))</f>
        <v>0</v>
      </c>
      <c r="J255" s="424">
        <f>IF(OR(J$230&lt;$C255,J$230&lt;$H$2),0,MIN($E255-SUM($G255:I255),$F255))</f>
        <v>0</v>
      </c>
      <c r="K255" s="424">
        <f>IF(OR(K$230&lt;$C255,K$230&lt;$H$2),0,MIN($E255-SUM($G255:J255),$F255))</f>
        <v>0</v>
      </c>
      <c r="L255" s="424">
        <f>IF(OR(L$230&lt;$C255,L$230&lt;$H$2),0,MIN($E255-SUM($G255:K255),$F255))</f>
        <v>0</v>
      </c>
      <c r="M255" s="424">
        <f>IF(OR(M$230&lt;$C255,M$230&lt;$H$2),0,MIN($E255-SUM($G255:L255),$F255))</f>
        <v>0</v>
      </c>
      <c r="N255" s="424">
        <f>IF(OR(N$230&lt;$C255,N$230&lt;$H$2),0,MIN($E255-SUM($G255:M255),$F255))</f>
        <v>0</v>
      </c>
      <c r="O255" s="424">
        <f>IF(OR(O$230&lt;$C255,O$230&lt;$H$2),0,MIN($E255-SUM($G255:N255),$F255))</f>
        <v>0</v>
      </c>
      <c r="P255" s="424">
        <f>IF(OR(P$230&lt;$C255,P$230&lt;$H$2),0,MIN($E255-SUM($G255:O255),$F255))</f>
        <v>0</v>
      </c>
      <c r="Q255" s="424">
        <f>IF(OR(Q$230&lt;$C255,Q$230&lt;$H$2),0,MIN($E255-SUM($G255:P255),$F255))</f>
        <v>0</v>
      </c>
      <c r="R255" s="424">
        <f>IF(OR(R$230&lt;$C255,R$230&lt;$H$2),0,MIN($E255-SUM($G255:Q255),$F255))</f>
        <v>0</v>
      </c>
      <c r="S255" s="424">
        <f>IF(OR(S$230&lt;$C255,S$230&lt;$H$2),0,MIN($E255-SUM($G255:R255),$F255))</f>
        <v>0</v>
      </c>
      <c r="T255" s="424">
        <f>IF(OR(T$230&lt;$C255,T$230&lt;$H$2),0,MIN($E255-SUM($G255:S255),$F255))</f>
        <v>0</v>
      </c>
      <c r="U255" s="424">
        <f>IF(OR(U$230&lt;$C255,U$230&lt;$H$2),0,MIN($E255-SUM($G255:T255),$F255))</f>
        <v>0</v>
      </c>
      <c r="V255" s="424">
        <f>IF(OR(V$230&lt;$C255,V$230&lt;$H$2),0,MIN($E255-SUM($G255:U255),$F255))</f>
        <v>0</v>
      </c>
      <c r="W255" s="424">
        <f>IF(OR(W$230&lt;$C255,W$230&lt;$H$2),0,MIN($E255-SUM($G255:V255),$F255))</f>
        <v>0</v>
      </c>
      <c r="X255" s="424">
        <f>IF(OR(X$230&lt;$C255,X$230&lt;$H$2),0,MIN($E255-SUM($G255:W255),$F255))</f>
        <v>0</v>
      </c>
      <c r="Y255" s="424">
        <f>IF(OR(Y$230&lt;$C255,Y$230&lt;$H$2),0,MIN($E255-SUM($G255:X255),$F255))</f>
        <v>0</v>
      </c>
      <c r="Z255" s="424">
        <f>IF(OR(Z$230&lt;$C255,Z$230&lt;$H$2),0,MIN($E255-SUM($G255:Y255),$F255))</f>
        <v>0</v>
      </c>
      <c r="AA255" s="424">
        <f>IF(OR(AA$230&lt;$C255,AA$230&lt;$H$2),0,MIN($E255-SUM($G255:Z255),$F255))</f>
        <v>0</v>
      </c>
      <c r="AB255" s="424">
        <f>IF(OR(AB$230&lt;$C255,AB$230&lt;$H$2),0,MIN($E255-SUM($G255:AA255),$F255))</f>
        <v>0</v>
      </c>
      <c r="AC255" s="424">
        <f>IF(OR(AC$230&lt;$C255,AC$230&lt;$H$2),0,MIN($E255-SUM($G255:AB255),$F255))</f>
        <v>0</v>
      </c>
      <c r="AD255" s="424">
        <f>IF(OR(AD$230&lt;$C255,AD$230&lt;$H$2),0,MIN($E255-SUM($G255:AC255),$F255))</f>
        <v>0</v>
      </c>
      <c r="AE255" s="424">
        <f>IF(OR(AE$230&lt;$C255,AE$230&lt;$H$2),0,MIN($E255-SUM($G255:AD255),$F255))</f>
        <v>0</v>
      </c>
      <c r="AF255" s="424">
        <f>IF(OR(AF$230&lt;$C255,AF$230&lt;$H$2),0,MIN($E255-SUM($G255:AE255),$F255))</f>
        <v>0</v>
      </c>
      <c r="AG255" s="424">
        <f>IF(OR(AG$230&lt;$C255,AG$230&lt;$H$2),0,MIN($E255-SUM($G255:AF255),$F255))</f>
        <v>0</v>
      </c>
      <c r="AH255" s="424">
        <f>IF(OR(AH$230&lt;$C255,AH$230&lt;$H$2),0,MIN($E255-SUM($G255:AG255),$F255))</f>
        <v>0</v>
      </c>
      <c r="AI255" s="424">
        <f>IF(OR(AI$230&lt;$C255,AI$230&lt;$H$2),0,MIN($E255-SUM($G255:AH255),$F255))</f>
        <v>0</v>
      </c>
      <c r="AJ255" s="424">
        <f>IF(OR(AJ$230&lt;$C255,AJ$230&lt;$H$2),0,MIN($E255-SUM($G255:AI255),$F255))</f>
        <v>0</v>
      </c>
      <c r="AK255" s="424">
        <f>IF(OR(AK$230&lt;$C255,AK$230&lt;$H$2),0,MIN($E255-SUM($G255:AJ255),$F255))</f>
        <v>0</v>
      </c>
    </row>
    <row r="256" spans="3:37">
      <c r="C256" s="201">
        <v>0</v>
      </c>
      <c r="D256" s="94" t="s">
        <v>134</v>
      </c>
      <c r="E256" s="424">
        <f t="shared" si="110"/>
        <v>0</v>
      </c>
      <c r="F256" s="209">
        <f t="shared" si="111"/>
        <v>0</v>
      </c>
      <c r="H256" s="424">
        <f>IF(OR(H$230&lt;$C256,H$230&lt;$H$2),0,MIN($E256-SUM($G256:G256),$F256))</f>
        <v>0</v>
      </c>
      <c r="I256" s="424">
        <f>IF(OR(I$230&lt;$C256,I$230&lt;$H$2),0,MIN($E256-SUM($G256:H256),$F256))</f>
        <v>0</v>
      </c>
      <c r="J256" s="424">
        <f>IF(OR(J$230&lt;$C256,J$230&lt;$H$2),0,MIN($E256-SUM($G256:I256),$F256))</f>
        <v>0</v>
      </c>
      <c r="K256" s="424">
        <f>IF(OR(K$230&lt;$C256,K$230&lt;$H$2),0,MIN($E256-SUM($G256:J256),$F256))</f>
        <v>0</v>
      </c>
      <c r="L256" s="424">
        <f>IF(OR(L$230&lt;$C256,L$230&lt;$H$2),0,MIN($E256-SUM($G256:K256),$F256))</f>
        <v>0</v>
      </c>
      <c r="M256" s="424">
        <f>IF(OR(M$230&lt;$C256,M$230&lt;$H$2),0,MIN($E256-SUM($G256:L256),$F256))</f>
        <v>0</v>
      </c>
      <c r="N256" s="424">
        <f>IF(OR(N$230&lt;$C256,N$230&lt;$H$2),0,MIN($E256-SUM($G256:M256),$F256))</f>
        <v>0</v>
      </c>
      <c r="O256" s="424">
        <f>IF(OR(O$230&lt;$C256,O$230&lt;$H$2),0,MIN($E256-SUM($G256:N256),$F256))</f>
        <v>0</v>
      </c>
      <c r="P256" s="424">
        <f>IF(OR(P$230&lt;$C256,P$230&lt;$H$2),0,MIN($E256-SUM($G256:O256),$F256))</f>
        <v>0</v>
      </c>
      <c r="Q256" s="424">
        <f>IF(OR(Q$230&lt;$C256,Q$230&lt;$H$2),0,MIN($E256-SUM($G256:P256),$F256))</f>
        <v>0</v>
      </c>
      <c r="R256" s="424">
        <f>IF(OR(R$230&lt;$C256,R$230&lt;$H$2),0,MIN($E256-SUM($G256:Q256),$F256))</f>
        <v>0</v>
      </c>
      <c r="S256" s="424">
        <f>IF(OR(S$230&lt;$C256,S$230&lt;$H$2),0,MIN($E256-SUM($G256:R256),$F256))</f>
        <v>0</v>
      </c>
      <c r="T256" s="424">
        <f>IF(OR(T$230&lt;$C256,T$230&lt;$H$2),0,MIN($E256-SUM($G256:S256),$F256))</f>
        <v>0</v>
      </c>
      <c r="U256" s="424">
        <f>IF(OR(U$230&lt;$C256,U$230&lt;$H$2),0,MIN($E256-SUM($G256:T256),$F256))</f>
        <v>0</v>
      </c>
      <c r="V256" s="424">
        <f>IF(OR(V$230&lt;$C256,V$230&lt;$H$2),0,MIN($E256-SUM($G256:U256),$F256))</f>
        <v>0</v>
      </c>
      <c r="W256" s="424">
        <f>IF(OR(W$230&lt;$C256,W$230&lt;$H$2),0,MIN($E256-SUM($G256:V256),$F256))</f>
        <v>0</v>
      </c>
      <c r="X256" s="424">
        <f>IF(OR(X$230&lt;$C256,X$230&lt;$H$2),0,MIN($E256-SUM($G256:W256),$F256))</f>
        <v>0</v>
      </c>
      <c r="Y256" s="424">
        <f>IF(OR(Y$230&lt;$C256,Y$230&lt;$H$2),0,MIN($E256-SUM($G256:X256),$F256))</f>
        <v>0</v>
      </c>
      <c r="Z256" s="424">
        <f>IF(OR(Z$230&lt;$C256,Z$230&lt;$H$2),0,MIN($E256-SUM($G256:Y256),$F256))</f>
        <v>0</v>
      </c>
      <c r="AA256" s="424">
        <f>IF(OR(AA$230&lt;$C256,AA$230&lt;$H$2),0,MIN($E256-SUM($G256:Z256),$F256))</f>
        <v>0</v>
      </c>
      <c r="AB256" s="424">
        <f>IF(OR(AB$230&lt;$C256,AB$230&lt;$H$2),0,MIN($E256-SUM($G256:AA256),$F256))</f>
        <v>0</v>
      </c>
      <c r="AC256" s="424">
        <f>IF(OR(AC$230&lt;$C256,AC$230&lt;$H$2),0,MIN($E256-SUM($G256:AB256),$F256))</f>
        <v>0</v>
      </c>
      <c r="AD256" s="424">
        <f>IF(OR(AD$230&lt;$C256,AD$230&lt;$H$2),0,MIN($E256-SUM($G256:AC256),$F256))</f>
        <v>0</v>
      </c>
      <c r="AE256" s="424">
        <f>IF(OR(AE$230&lt;$C256,AE$230&lt;$H$2),0,MIN($E256-SUM($G256:AD256),$F256))</f>
        <v>0</v>
      </c>
      <c r="AF256" s="424">
        <f>IF(OR(AF$230&lt;$C256,AF$230&lt;$H$2),0,MIN($E256-SUM($G256:AE256),$F256))</f>
        <v>0</v>
      </c>
      <c r="AG256" s="424">
        <f>IF(OR(AG$230&lt;$C256,AG$230&lt;$H$2),0,MIN($E256-SUM($G256:AF256),$F256))</f>
        <v>0</v>
      </c>
      <c r="AH256" s="424">
        <f>IF(OR(AH$230&lt;$C256,AH$230&lt;$H$2),0,MIN($E256-SUM($G256:AG256),$F256))</f>
        <v>0</v>
      </c>
      <c r="AI256" s="424">
        <f>IF(OR(AI$230&lt;$C256,AI$230&lt;$H$2),0,MIN($E256-SUM($G256:AH256),$F256))</f>
        <v>0</v>
      </c>
      <c r="AJ256" s="424">
        <f>IF(OR(AJ$230&lt;$C256,AJ$230&lt;$H$2),0,MIN($E256-SUM($G256:AI256),$F256))</f>
        <v>0</v>
      </c>
      <c r="AK256" s="424">
        <f>IF(OR(AK$230&lt;$C256,AK$230&lt;$H$2),0,MIN($E256-SUM($G256:AJ256),$F256))</f>
        <v>0</v>
      </c>
    </row>
    <row r="257" spans="3:37">
      <c r="C257" s="201">
        <v>0</v>
      </c>
      <c r="D257" s="94" t="s">
        <v>134</v>
      </c>
      <c r="E257" s="424">
        <f t="shared" si="110"/>
        <v>0</v>
      </c>
      <c r="F257" s="209">
        <f t="shared" si="111"/>
        <v>0</v>
      </c>
      <c r="H257" s="424">
        <f>IF(OR(H$230&lt;$C257,H$230&lt;$H$2),0,MIN($E257-SUM($G257:G257),$F257))</f>
        <v>0</v>
      </c>
      <c r="I257" s="424">
        <f>IF(OR(I$230&lt;$C257,I$230&lt;$H$2),0,MIN($E257-SUM($G257:H257),$F257))</f>
        <v>0</v>
      </c>
      <c r="J257" s="424">
        <f>IF(OR(J$230&lt;$C257,J$230&lt;$H$2),0,MIN($E257-SUM($G257:I257),$F257))</f>
        <v>0</v>
      </c>
      <c r="K257" s="424">
        <f>IF(OR(K$230&lt;$C257,K$230&lt;$H$2),0,MIN($E257-SUM($G257:J257),$F257))</f>
        <v>0</v>
      </c>
      <c r="L257" s="424">
        <f>IF(OR(L$230&lt;$C257,L$230&lt;$H$2),0,MIN($E257-SUM($G257:K257),$F257))</f>
        <v>0</v>
      </c>
      <c r="M257" s="424">
        <f>IF(OR(M$230&lt;$C257,M$230&lt;$H$2),0,MIN($E257-SUM($G257:L257),$F257))</f>
        <v>0</v>
      </c>
      <c r="N257" s="424">
        <f>IF(OR(N$230&lt;$C257,N$230&lt;$H$2),0,MIN($E257-SUM($G257:M257),$F257))</f>
        <v>0</v>
      </c>
      <c r="O257" s="424">
        <f>IF(OR(O$230&lt;$C257,O$230&lt;$H$2),0,MIN($E257-SUM($G257:N257),$F257))</f>
        <v>0</v>
      </c>
      <c r="P257" s="424">
        <f>IF(OR(P$230&lt;$C257,P$230&lt;$H$2),0,MIN($E257-SUM($G257:O257),$F257))</f>
        <v>0</v>
      </c>
      <c r="Q257" s="424">
        <f>IF(OR(Q$230&lt;$C257,Q$230&lt;$H$2),0,MIN($E257-SUM($G257:P257),$F257))</f>
        <v>0</v>
      </c>
      <c r="R257" s="424">
        <f>IF(OR(R$230&lt;$C257,R$230&lt;$H$2),0,MIN($E257-SUM($G257:Q257),$F257))</f>
        <v>0</v>
      </c>
      <c r="S257" s="424">
        <f>IF(OR(S$230&lt;$C257,S$230&lt;$H$2),0,MIN($E257-SUM($G257:R257),$F257))</f>
        <v>0</v>
      </c>
      <c r="T257" s="424">
        <f>IF(OR(T$230&lt;$C257,T$230&lt;$H$2),0,MIN($E257-SUM($G257:S257),$F257))</f>
        <v>0</v>
      </c>
      <c r="U257" s="424">
        <f>IF(OR(U$230&lt;$C257,U$230&lt;$H$2),0,MIN($E257-SUM($G257:T257),$F257))</f>
        <v>0</v>
      </c>
      <c r="V257" s="424">
        <f>IF(OR(V$230&lt;$C257,V$230&lt;$H$2),0,MIN($E257-SUM($G257:U257),$F257))</f>
        <v>0</v>
      </c>
      <c r="W257" s="424">
        <f>IF(OR(W$230&lt;$C257,W$230&lt;$H$2),0,MIN($E257-SUM($G257:V257),$F257))</f>
        <v>0</v>
      </c>
      <c r="X257" s="424">
        <f>IF(OR(X$230&lt;$C257,X$230&lt;$H$2),0,MIN($E257-SUM($G257:W257),$F257))</f>
        <v>0</v>
      </c>
      <c r="Y257" s="424">
        <f>IF(OR(Y$230&lt;$C257,Y$230&lt;$H$2),0,MIN($E257-SUM($G257:X257),$F257))</f>
        <v>0</v>
      </c>
      <c r="Z257" s="424">
        <f>IF(OR(Z$230&lt;$C257,Z$230&lt;$H$2),0,MIN($E257-SUM($G257:Y257),$F257))</f>
        <v>0</v>
      </c>
      <c r="AA257" s="424">
        <f>IF(OR(AA$230&lt;$C257,AA$230&lt;$H$2),0,MIN($E257-SUM($G257:Z257),$F257))</f>
        <v>0</v>
      </c>
      <c r="AB257" s="424">
        <f>IF(OR(AB$230&lt;$C257,AB$230&lt;$H$2),0,MIN($E257-SUM($G257:AA257),$F257))</f>
        <v>0</v>
      </c>
      <c r="AC257" s="424">
        <f>IF(OR(AC$230&lt;$C257,AC$230&lt;$H$2),0,MIN($E257-SUM($G257:AB257),$F257))</f>
        <v>0</v>
      </c>
      <c r="AD257" s="424">
        <f>IF(OR(AD$230&lt;$C257,AD$230&lt;$H$2),0,MIN($E257-SUM($G257:AC257),$F257))</f>
        <v>0</v>
      </c>
      <c r="AE257" s="424">
        <f>IF(OR(AE$230&lt;$C257,AE$230&lt;$H$2),0,MIN($E257-SUM($G257:AD257),$F257))</f>
        <v>0</v>
      </c>
      <c r="AF257" s="424">
        <f>IF(OR(AF$230&lt;$C257,AF$230&lt;$H$2),0,MIN($E257-SUM($G257:AE257),$F257))</f>
        <v>0</v>
      </c>
      <c r="AG257" s="424">
        <f>IF(OR(AG$230&lt;$C257,AG$230&lt;$H$2),0,MIN($E257-SUM($G257:AF257),$F257))</f>
        <v>0</v>
      </c>
      <c r="AH257" s="424">
        <f>IF(OR(AH$230&lt;$C257,AH$230&lt;$H$2),0,MIN($E257-SUM($G257:AG257),$F257))</f>
        <v>0</v>
      </c>
      <c r="AI257" s="424">
        <f>IF(OR(AI$230&lt;$C257,AI$230&lt;$H$2),0,MIN($E257-SUM($G257:AH257),$F257))</f>
        <v>0</v>
      </c>
      <c r="AJ257" s="424">
        <f>IF(OR(AJ$230&lt;$C257,AJ$230&lt;$H$2),0,MIN($E257-SUM($G257:AI257),$F257))</f>
        <v>0</v>
      </c>
      <c r="AK257" s="424">
        <f>IF(OR(AK$230&lt;$C257,AK$230&lt;$H$2),0,MIN($E257-SUM($G257:AJ257),$F257))</f>
        <v>0</v>
      </c>
    </row>
    <row r="258" spans="3:37">
      <c r="C258" s="201">
        <v>0</v>
      </c>
      <c r="D258" s="94" t="s">
        <v>134</v>
      </c>
      <c r="E258" s="424">
        <f t="shared" si="110"/>
        <v>0</v>
      </c>
      <c r="F258" s="209">
        <f t="shared" si="111"/>
        <v>0</v>
      </c>
      <c r="H258" s="424">
        <f>IF(OR(H$230&lt;$C258,H$230&lt;$H$2),0,MIN($E258-SUM($G258:G258),$F258))</f>
        <v>0</v>
      </c>
      <c r="I258" s="424">
        <f>IF(OR(I$230&lt;$C258,I$230&lt;$H$2),0,MIN($E258-SUM($G258:H258),$F258))</f>
        <v>0</v>
      </c>
      <c r="J258" s="424">
        <f>IF(OR(J$230&lt;$C258,J$230&lt;$H$2),0,MIN($E258-SUM($G258:I258),$F258))</f>
        <v>0</v>
      </c>
      <c r="K258" s="424">
        <f>IF(OR(K$230&lt;$C258,K$230&lt;$H$2),0,MIN($E258-SUM($G258:J258),$F258))</f>
        <v>0</v>
      </c>
      <c r="L258" s="424">
        <f>IF(OR(L$230&lt;$C258,L$230&lt;$H$2),0,MIN($E258-SUM($G258:K258),$F258))</f>
        <v>0</v>
      </c>
      <c r="M258" s="424">
        <f>IF(OR(M$230&lt;$C258,M$230&lt;$H$2),0,MIN($E258-SUM($G258:L258),$F258))</f>
        <v>0</v>
      </c>
      <c r="N258" s="424">
        <f>IF(OR(N$230&lt;$C258,N$230&lt;$H$2),0,MIN($E258-SUM($G258:M258),$F258))</f>
        <v>0</v>
      </c>
      <c r="O258" s="424">
        <f>IF(OR(O$230&lt;$C258,O$230&lt;$H$2),0,MIN($E258-SUM($G258:N258),$F258))</f>
        <v>0</v>
      </c>
      <c r="P258" s="424">
        <f>IF(OR(P$230&lt;$C258,P$230&lt;$H$2),0,MIN($E258-SUM($G258:O258),$F258))</f>
        <v>0</v>
      </c>
      <c r="Q258" s="424">
        <f>IF(OR(Q$230&lt;$C258,Q$230&lt;$H$2),0,MIN($E258-SUM($G258:P258),$F258))</f>
        <v>0</v>
      </c>
      <c r="R258" s="424">
        <f>IF(OR(R$230&lt;$C258,R$230&lt;$H$2),0,MIN($E258-SUM($G258:Q258),$F258))</f>
        <v>0</v>
      </c>
      <c r="S258" s="424">
        <f>IF(OR(S$230&lt;$C258,S$230&lt;$H$2),0,MIN($E258-SUM($G258:R258),$F258))</f>
        <v>0</v>
      </c>
      <c r="T258" s="424">
        <f>IF(OR(T$230&lt;$C258,T$230&lt;$H$2),0,MIN($E258-SUM($G258:S258),$F258))</f>
        <v>0</v>
      </c>
      <c r="U258" s="424">
        <f>IF(OR(U$230&lt;$C258,U$230&lt;$H$2),0,MIN($E258-SUM($G258:T258),$F258))</f>
        <v>0</v>
      </c>
      <c r="V258" s="424">
        <f>IF(OR(V$230&lt;$C258,V$230&lt;$H$2),0,MIN($E258-SUM($G258:U258),$F258))</f>
        <v>0</v>
      </c>
      <c r="W258" s="424">
        <f>IF(OR(W$230&lt;$C258,W$230&lt;$H$2),0,MIN($E258-SUM($G258:V258),$F258))</f>
        <v>0</v>
      </c>
      <c r="X258" s="424">
        <f>IF(OR(X$230&lt;$C258,X$230&lt;$H$2),0,MIN($E258-SUM($G258:W258),$F258))</f>
        <v>0</v>
      </c>
      <c r="Y258" s="424">
        <f>IF(OR(Y$230&lt;$C258,Y$230&lt;$H$2),0,MIN($E258-SUM($G258:X258),$F258))</f>
        <v>0</v>
      </c>
      <c r="Z258" s="424">
        <f>IF(OR(Z$230&lt;$C258,Z$230&lt;$H$2),0,MIN($E258-SUM($G258:Y258),$F258))</f>
        <v>0</v>
      </c>
      <c r="AA258" s="424">
        <f>IF(OR(AA$230&lt;$C258,AA$230&lt;$H$2),0,MIN($E258-SUM($G258:Z258),$F258))</f>
        <v>0</v>
      </c>
      <c r="AB258" s="424">
        <f>IF(OR(AB$230&lt;$C258,AB$230&lt;$H$2),0,MIN($E258-SUM($G258:AA258),$F258))</f>
        <v>0</v>
      </c>
      <c r="AC258" s="424">
        <f>IF(OR(AC$230&lt;$C258,AC$230&lt;$H$2),0,MIN($E258-SUM($G258:AB258),$F258))</f>
        <v>0</v>
      </c>
      <c r="AD258" s="424">
        <f>IF(OR(AD$230&lt;$C258,AD$230&lt;$H$2),0,MIN($E258-SUM($G258:AC258),$F258))</f>
        <v>0</v>
      </c>
      <c r="AE258" s="424">
        <f>IF(OR(AE$230&lt;$C258,AE$230&lt;$H$2),0,MIN($E258-SUM($G258:AD258),$F258))</f>
        <v>0</v>
      </c>
      <c r="AF258" s="424">
        <f>IF(OR(AF$230&lt;$C258,AF$230&lt;$H$2),0,MIN($E258-SUM($G258:AE258),$F258))</f>
        <v>0</v>
      </c>
      <c r="AG258" s="424">
        <f>IF(OR(AG$230&lt;$C258,AG$230&lt;$H$2),0,MIN($E258-SUM($G258:AF258),$F258))</f>
        <v>0</v>
      </c>
      <c r="AH258" s="424">
        <f>IF(OR(AH$230&lt;$C258,AH$230&lt;$H$2),0,MIN($E258-SUM($G258:AG258),$F258))</f>
        <v>0</v>
      </c>
      <c r="AI258" s="424">
        <f>IF(OR(AI$230&lt;$C258,AI$230&lt;$H$2),0,MIN($E258-SUM($G258:AH258),$F258))</f>
        <v>0</v>
      </c>
      <c r="AJ258" s="424">
        <f>IF(OR(AJ$230&lt;$C258,AJ$230&lt;$H$2),0,MIN($E258-SUM($G258:AI258),$F258))</f>
        <v>0</v>
      </c>
      <c r="AK258" s="424">
        <f>IF(OR(AK$230&lt;$C258,AK$230&lt;$H$2),0,MIN($E258-SUM($G258:AJ258),$F258))</f>
        <v>0</v>
      </c>
    </row>
    <row r="259" spans="3:37">
      <c r="C259" s="201">
        <v>0</v>
      </c>
      <c r="D259" s="94" t="s">
        <v>134</v>
      </c>
      <c r="E259" s="424">
        <f t="shared" si="110"/>
        <v>0</v>
      </c>
      <c r="F259" s="209">
        <f t="shared" si="111"/>
        <v>0</v>
      </c>
      <c r="H259" s="424">
        <f>IF(OR(H$230&lt;$C259,H$230&lt;$H$2),0,MIN($E259-SUM($G259:G259),$F259))</f>
        <v>0</v>
      </c>
      <c r="I259" s="424">
        <f>IF(OR(I$230&lt;$C259,I$230&lt;$H$2),0,MIN($E259-SUM($G259:H259),$F259))</f>
        <v>0</v>
      </c>
      <c r="J259" s="424">
        <f>IF(OR(J$230&lt;$C259,J$230&lt;$H$2),0,MIN($E259-SUM($G259:I259),$F259))</f>
        <v>0</v>
      </c>
      <c r="K259" s="424">
        <f>IF(OR(K$230&lt;$C259,K$230&lt;$H$2),0,MIN($E259-SUM($G259:J259),$F259))</f>
        <v>0</v>
      </c>
      <c r="L259" s="424">
        <f>IF(OR(L$230&lt;$C259,L$230&lt;$H$2),0,MIN($E259-SUM($G259:K259),$F259))</f>
        <v>0</v>
      </c>
      <c r="M259" s="424">
        <f>IF(OR(M$230&lt;$C259,M$230&lt;$H$2),0,MIN($E259-SUM($G259:L259),$F259))</f>
        <v>0</v>
      </c>
      <c r="N259" s="424">
        <f>IF(OR(N$230&lt;$C259,N$230&lt;$H$2),0,MIN($E259-SUM($G259:M259),$F259))</f>
        <v>0</v>
      </c>
      <c r="O259" s="424">
        <f>IF(OR(O$230&lt;$C259,O$230&lt;$H$2),0,MIN($E259-SUM($G259:N259),$F259))</f>
        <v>0</v>
      </c>
      <c r="P259" s="424">
        <f>IF(OR(P$230&lt;$C259,P$230&lt;$H$2),0,MIN($E259-SUM($G259:O259),$F259))</f>
        <v>0</v>
      </c>
      <c r="Q259" s="424">
        <f>IF(OR(Q$230&lt;$C259,Q$230&lt;$H$2),0,MIN($E259-SUM($G259:P259),$F259))</f>
        <v>0</v>
      </c>
      <c r="R259" s="424">
        <f>IF(OR(R$230&lt;$C259,R$230&lt;$H$2),0,MIN($E259-SUM($G259:Q259),$F259))</f>
        <v>0</v>
      </c>
      <c r="S259" s="424">
        <f>IF(OR(S$230&lt;$C259,S$230&lt;$H$2),0,MIN($E259-SUM($G259:R259),$F259))</f>
        <v>0</v>
      </c>
      <c r="T259" s="424">
        <f>IF(OR(T$230&lt;$C259,T$230&lt;$H$2),0,MIN($E259-SUM($G259:S259),$F259))</f>
        <v>0</v>
      </c>
      <c r="U259" s="424">
        <f>IF(OR(U$230&lt;$C259,U$230&lt;$H$2),0,MIN($E259-SUM($G259:T259),$F259))</f>
        <v>0</v>
      </c>
      <c r="V259" s="424">
        <f>IF(OR(V$230&lt;$C259,V$230&lt;$H$2),0,MIN($E259-SUM($G259:U259),$F259))</f>
        <v>0</v>
      </c>
      <c r="W259" s="424">
        <f>IF(OR(W$230&lt;$C259,W$230&lt;$H$2),0,MIN($E259-SUM($G259:V259),$F259))</f>
        <v>0</v>
      </c>
      <c r="X259" s="424">
        <f>IF(OR(X$230&lt;$C259,X$230&lt;$H$2),0,MIN($E259-SUM($G259:W259),$F259))</f>
        <v>0</v>
      </c>
      <c r="Y259" s="424">
        <f>IF(OR(Y$230&lt;$C259,Y$230&lt;$H$2),0,MIN($E259-SUM($G259:X259),$F259))</f>
        <v>0</v>
      </c>
      <c r="Z259" s="424">
        <f>IF(OR(Z$230&lt;$C259,Z$230&lt;$H$2),0,MIN($E259-SUM($G259:Y259),$F259))</f>
        <v>0</v>
      </c>
      <c r="AA259" s="424">
        <f>IF(OR(AA$230&lt;$C259,AA$230&lt;$H$2),0,MIN($E259-SUM($G259:Z259),$F259))</f>
        <v>0</v>
      </c>
      <c r="AB259" s="424">
        <f>IF(OR(AB$230&lt;$C259,AB$230&lt;$H$2),0,MIN($E259-SUM($G259:AA259),$F259))</f>
        <v>0</v>
      </c>
      <c r="AC259" s="424">
        <f>IF(OR(AC$230&lt;$C259,AC$230&lt;$H$2),0,MIN($E259-SUM($G259:AB259),$F259))</f>
        <v>0</v>
      </c>
      <c r="AD259" s="424">
        <f>IF(OR(AD$230&lt;$C259,AD$230&lt;$H$2),0,MIN($E259-SUM($G259:AC259),$F259))</f>
        <v>0</v>
      </c>
      <c r="AE259" s="424">
        <f>IF(OR(AE$230&lt;$C259,AE$230&lt;$H$2),0,MIN($E259-SUM($G259:AD259),$F259))</f>
        <v>0</v>
      </c>
      <c r="AF259" s="424">
        <f>IF(OR(AF$230&lt;$C259,AF$230&lt;$H$2),0,MIN($E259-SUM($G259:AE259),$F259))</f>
        <v>0</v>
      </c>
      <c r="AG259" s="424">
        <f>IF(OR(AG$230&lt;$C259,AG$230&lt;$H$2),0,MIN($E259-SUM($G259:AF259),$F259))</f>
        <v>0</v>
      </c>
      <c r="AH259" s="424">
        <f>IF(OR(AH$230&lt;$C259,AH$230&lt;$H$2),0,MIN($E259-SUM($G259:AG259),$F259))</f>
        <v>0</v>
      </c>
      <c r="AI259" s="424">
        <f>IF(OR(AI$230&lt;$C259,AI$230&lt;$H$2),0,MIN($E259-SUM($G259:AH259),$F259))</f>
        <v>0</v>
      </c>
      <c r="AJ259" s="424">
        <f>IF(OR(AJ$230&lt;$C259,AJ$230&lt;$H$2),0,MIN($E259-SUM($G259:AI259),$F259))</f>
        <v>0</v>
      </c>
      <c r="AK259" s="424">
        <f>IF(OR(AK$230&lt;$C259,AK$230&lt;$H$2),0,MIN($E259-SUM($G259:AJ259),$F259))</f>
        <v>0</v>
      </c>
    </row>
    <row r="260" spans="3:37">
      <c r="C260" s="201">
        <v>0</v>
      </c>
      <c r="D260" s="94" t="s">
        <v>134</v>
      </c>
      <c r="E260" s="424">
        <f t="shared" si="110"/>
        <v>0</v>
      </c>
      <c r="F260" s="209">
        <f t="shared" si="111"/>
        <v>0</v>
      </c>
      <c r="H260" s="424">
        <f>IF(OR(H$230&lt;$C260,H$230&lt;$H$2),0,MIN($E260-SUM($G260:G260),$F260))</f>
        <v>0</v>
      </c>
      <c r="I260" s="424">
        <f>IF(OR(I$230&lt;$C260,I$230&lt;$H$2),0,MIN($E260-SUM($G260:H260),$F260))</f>
        <v>0</v>
      </c>
      <c r="J260" s="424">
        <f>IF(OR(J$230&lt;$C260,J$230&lt;$H$2),0,MIN($E260-SUM($G260:I260),$F260))</f>
        <v>0</v>
      </c>
      <c r="K260" s="424">
        <f>IF(OR(K$230&lt;$C260,K$230&lt;$H$2),0,MIN($E260-SUM($G260:J260),$F260))</f>
        <v>0</v>
      </c>
      <c r="L260" s="424">
        <f>IF(OR(L$230&lt;$C260,L$230&lt;$H$2),0,MIN($E260-SUM($G260:K260),$F260))</f>
        <v>0</v>
      </c>
      <c r="M260" s="424">
        <f>IF(OR(M$230&lt;$C260,M$230&lt;$H$2),0,MIN($E260-SUM($G260:L260),$F260))</f>
        <v>0</v>
      </c>
      <c r="N260" s="424">
        <f>IF(OR(N$230&lt;$C260,N$230&lt;$H$2),0,MIN($E260-SUM($G260:M260),$F260))</f>
        <v>0</v>
      </c>
      <c r="O260" s="424">
        <f>IF(OR(O$230&lt;$C260,O$230&lt;$H$2),0,MIN($E260-SUM($G260:N260),$F260))</f>
        <v>0</v>
      </c>
      <c r="P260" s="424">
        <f>IF(OR(P$230&lt;$C260,P$230&lt;$H$2),0,MIN($E260-SUM($G260:O260),$F260))</f>
        <v>0</v>
      </c>
      <c r="Q260" s="424">
        <f>IF(OR(Q$230&lt;$C260,Q$230&lt;$H$2),0,MIN($E260-SUM($G260:P260),$F260))</f>
        <v>0</v>
      </c>
      <c r="R260" s="424">
        <f>IF(OR(R$230&lt;$C260,R$230&lt;$H$2),0,MIN($E260-SUM($G260:Q260),$F260))</f>
        <v>0</v>
      </c>
      <c r="S260" s="424">
        <f>IF(OR(S$230&lt;$C260,S$230&lt;$H$2),0,MIN($E260-SUM($G260:R260),$F260))</f>
        <v>0</v>
      </c>
      <c r="T260" s="424">
        <f>IF(OR(T$230&lt;$C260,T$230&lt;$H$2),0,MIN($E260-SUM($G260:S260),$F260))</f>
        <v>0</v>
      </c>
      <c r="U260" s="424">
        <f>IF(OR(U$230&lt;$C260,U$230&lt;$H$2),0,MIN($E260-SUM($G260:T260),$F260))</f>
        <v>0</v>
      </c>
      <c r="V260" s="424">
        <f>IF(OR(V$230&lt;$C260,V$230&lt;$H$2),0,MIN($E260-SUM($G260:U260),$F260))</f>
        <v>0</v>
      </c>
      <c r="W260" s="424">
        <f>IF(OR(W$230&lt;$C260,W$230&lt;$H$2),0,MIN($E260-SUM($G260:V260),$F260))</f>
        <v>0</v>
      </c>
      <c r="X260" s="424">
        <f>IF(OR(X$230&lt;$C260,X$230&lt;$H$2),0,MIN($E260-SUM($G260:W260),$F260))</f>
        <v>0</v>
      </c>
      <c r="Y260" s="424">
        <f>IF(OR(Y$230&lt;$C260,Y$230&lt;$H$2),0,MIN($E260-SUM($G260:X260),$F260))</f>
        <v>0</v>
      </c>
      <c r="Z260" s="424">
        <f>IF(OR(Z$230&lt;$C260,Z$230&lt;$H$2),0,MIN($E260-SUM($G260:Y260),$F260))</f>
        <v>0</v>
      </c>
      <c r="AA260" s="424">
        <f>IF(OR(AA$230&lt;$C260,AA$230&lt;$H$2),0,MIN($E260-SUM($G260:Z260),$F260))</f>
        <v>0</v>
      </c>
      <c r="AB260" s="424">
        <f>IF(OR(AB$230&lt;$C260,AB$230&lt;$H$2),0,MIN($E260-SUM($G260:AA260),$F260))</f>
        <v>0</v>
      </c>
      <c r="AC260" s="424">
        <f>IF(OR(AC$230&lt;$C260,AC$230&lt;$H$2),0,MIN($E260-SUM($G260:AB260),$F260))</f>
        <v>0</v>
      </c>
      <c r="AD260" s="424">
        <f>IF(OR(AD$230&lt;$C260,AD$230&lt;$H$2),0,MIN($E260-SUM($G260:AC260),$F260))</f>
        <v>0</v>
      </c>
      <c r="AE260" s="424">
        <f>IF(OR(AE$230&lt;$C260,AE$230&lt;$H$2),0,MIN($E260-SUM($G260:AD260),$F260))</f>
        <v>0</v>
      </c>
      <c r="AF260" s="424">
        <f>IF(OR(AF$230&lt;$C260,AF$230&lt;$H$2),0,MIN($E260-SUM($G260:AE260),$F260))</f>
        <v>0</v>
      </c>
      <c r="AG260" s="424">
        <f>IF(OR(AG$230&lt;$C260,AG$230&lt;$H$2),0,MIN($E260-SUM($G260:AF260),$F260))</f>
        <v>0</v>
      </c>
      <c r="AH260" s="424">
        <f>IF(OR(AH$230&lt;$C260,AH$230&lt;$H$2),0,MIN($E260-SUM($G260:AG260),$F260))</f>
        <v>0</v>
      </c>
      <c r="AI260" s="424">
        <f>IF(OR(AI$230&lt;$C260,AI$230&lt;$H$2),0,MIN($E260-SUM($G260:AH260),$F260))</f>
        <v>0</v>
      </c>
      <c r="AJ260" s="424">
        <f>IF(OR(AJ$230&lt;$C260,AJ$230&lt;$H$2),0,MIN($E260-SUM($G260:AI260),$F260))</f>
        <v>0</v>
      </c>
      <c r="AK260" s="424">
        <f>IF(OR(AK$230&lt;$C260,AK$230&lt;$H$2),0,MIN($E260-SUM($G260:AJ260),$F260))</f>
        <v>0</v>
      </c>
    </row>
    <row r="261" spans="3:37">
      <c r="C261" s="201">
        <v>0</v>
      </c>
      <c r="D261" s="94" t="s">
        <v>134</v>
      </c>
      <c r="E261" s="424">
        <f t="shared" si="110"/>
        <v>0</v>
      </c>
      <c r="F261" s="209">
        <f t="shared" si="111"/>
        <v>0</v>
      </c>
      <c r="H261" s="424">
        <f>IF(OR(H$230&lt;$C261,H$230&lt;$H$2),0,MIN($E261-SUM($G261:G261),$F261))</f>
        <v>0</v>
      </c>
      <c r="I261" s="424">
        <f>IF(OR(I$230&lt;$C261,I$230&lt;$H$2),0,MIN($E261-SUM($G261:H261),$F261))</f>
        <v>0</v>
      </c>
      <c r="J261" s="424">
        <f>IF(OR(J$230&lt;$C261,J$230&lt;$H$2),0,MIN($E261-SUM($G261:I261),$F261))</f>
        <v>0</v>
      </c>
      <c r="K261" s="424">
        <f>IF(OR(K$230&lt;$C261,K$230&lt;$H$2),0,MIN($E261-SUM($G261:J261),$F261))</f>
        <v>0</v>
      </c>
      <c r="L261" s="424">
        <f>IF(OR(L$230&lt;$C261,L$230&lt;$H$2),0,MIN($E261-SUM($G261:K261),$F261))</f>
        <v>0</v>
      </c>
      <c r="M261" s="424">
        <f>IF(OR(M$230&lt;$C261,M$230&lt;$H$2),0,MIN($E261-SUM($G261:L261),$F261))</f>
        <v>0</v>
      </c>
      <c r="N261" s="424">
        <f>IF(OR(N$230&lt;$C261,N$230&lt;$H$2),0,MIN($E261-SUM($G261:M261),$F261))</f>
        <v>0</v>
      </c>
      <c r="O261" s="424">
        <f>IF(OR(O$230&lt;$C261,O$230&lt;$H$2),0,MIN($E261-SUM($G261:N261),$F261))</f>
        <v>0</v>
      </c>
      <c r="P261" s="424">
        <f>IF(OR(P$230&lt;$C261,P$230&lt;$H$2),0,MIN($E261-SUM($G261:O261),$F261))</f>
        <v>0</v>
      </c>
      <c r="Q261" s="424">
        <f>IF(OR(Q$230&lt;$C261,Q$230&lt;$H$2),0,MIN($E261-SUM($G261:P261),$F261))</f>
        <v>0</v>
      </c>
      <c r="R261" s="424">
        <f>IF(OR(R$230&lt;$C261,R$230&lt;$H$2),0,MIN($E261-SUM($G261:Q261),$F261))</f>
        <v>0</v>
      </c>
      <c r="S261" s="424">
        <f>IF(OR(S$230&lt;$C261,S$230&lt;$H$2),0,MIN($E261-SUM($G261:R261),$F261))</f>
        <v>0</v>
      </c>
      <c r="T261" s="424">
        <f>IF(OR(T$230&lt;$C261,T$230&lt;$H$2),0,MIN($E261-SUM($G261:S261),$F261))</f>
        <v>0</v>
      </c>
      <c r="U261" s="424">
        <f>IF(OR(U$230&lt;$C261,U$230&lt;$H$2),0,MIN($E261-SUM($G261:T261),$F261))</f>
        <v>0</v>
      </c>
      <c r="V261" s="424">
        <f>IF(OR(V$230&lt;$C261,V$230&lt;$H$2),0,MIN($E261-SUM($G261:U261),$F261))</f>
        <v>0</v>
      </c>
      <c r="W261" s="424">
        <f>IF(OR(W$230&lt;$C261,W$230&lt;$H$2),0,MIN($E261-SUM($G261:V261),$F261))</f>
        <v>0</v>
      </c>
      <c r="X261" s="424">
        <f>IF(OR(X$230&lt;$C261,X$230&lt;$H$2),0,MIN($E261-SUM($G261:W261),$F261))</f>
        <v>0</v>
      </c>
      <c r="Y261" s="424">
        <f>IF(OR(Y$230&lt;$C261,Y$230&lt;$H$2),0,MIN($E261-SUM($G261:X261),$F261))</f>
        <v>0</v>
      </c>
      <c r="Z261" s="424">
        <f>IF(OR(Z$230&lt;$C261,Z$230&lt;$H$2),0,MIN($E261-SUM($G261:Y261),$F261))</f>
        <v>0</v>
      </c>
      <c r="AA261" s="424">
        <f>IF(OR(AA$230&lt;$C261,AA$230&lt;$H$2),0,MIN($E261-SUM($G261:Z261),$F261))</f>
        <v>0</v>
      </c>
      <c r="AB261" s="424">
        <f>IF(OR(AB$230&lt;$C261,AB$230&lt;$H$2),0,MIN($E261-SUM($G261:AA261),$F261))</f>
        <v>0</v>
      </c>
      <c r="AC261" s="424">
        <f>IF(OR(AC$230&lt;$C261,AC$230&lt;$H$2),0,MIN($E261-SUM($G261:AB261),$F261))</f>
        <v>0</v>
      </c>
      <c r="AD261" s="424">
        <f>IF(OR(AD$230&lt;$C261,AD$230&lt;$H$2),0,MIN($E261-SUM($G261:AC261),$F261))</f>
        <v>0</v>
      </c>
      <c r="AE261" s="424">
        <f>IF(OR(AE$230&lt;$C261,AE$230&lt;$H$2),0,MIN($E261-SUM($G261:AD261),$F261))</f>
        <v>0</v>
      </c>
      <c r="AF261" s="424">
        <f>IF(OR(AF$230&lt;$C261,AF$230&lt;$H$2),0,MIN($E261-SUM($G261:AE261),$F261))</f>
        <v>0</v>
      </c>
      <c r="AG261" s="424">
        <f>IF(OR(AG$230&lt;$C261,AG$230&lt;$H$2),0,MIN($E261-SUM($G261:AF261),$F261))</f>
        <v>0</v>
      </c>
      <c r="AH261" s="424">
        <f>IF(OR(AH$230&lt;$C261,AH$230&lt;$H$2),0,MIN($E261-SUM($G261:AG261),$F261))</f>
        <v>0</v>
      </c>
      <c r="AI261" s="424">
        <f>IF(OR(AI$230&lt;$C261,AI$230&lt;$H$2),0,MIN($E261-SUM($G261:AH261),$F261))</f>
        <v>0</v>
      </c>
      <c r="AJ261" s="424">
        <f>IF(OR(AJ$230&lt;$C261,AJ$230&lt;$H$2),0,MIN($E261-SUM($G261:AI261),$F261))</f>
        <v>0</v>
      </c>
      <c r="AK261" s="424">
        <f>IF(OR(AK$230&lt;$C261,AK$230&lt;$H$2),0,MIN($E261-SUM($G261:AJ261),$F261))</f>
        <v>0</v>
      </c>
    </row>
    <row r="262" spans="3:37">
      <c r="C262" s="201">
        <v>0</v>
      </c>
      <c r="D262" s="94" t="s">
        <v>134</v>
      </c>
      <c r="E262" s="424">
        <f t="shared" si="110"/>
        <v>0</v>
      </c>
      <c r="F262" s="209">
        <f t="shared" si="111"/>
        <v>0</v>
      </c>
      <c r="H262" s="424">
        <f>IF(OR(H$230&lt;$C262,H$230&lt;$H$2),0,MIN($E262-SUM($G262:G262),$F262))</f>
        <v>0</v>
      </c>
      <c r="I262" s="424">
        <f>IF(OR(I$230&lt;$C262,I$230&lt;$H$2),0,MIN($E262-SUM($G262:H262),$F262))</f>
        <v>0</v>
      </c>
      <c r="J262" s="424">
        <f>IF(OR(J$230&lt;$C262,J$230&lt;$H$2),0,MIN($E262-SUM($G262:I262),$F262))</f>
        <v>0</v>
      </c>
      <c r="K262" s="424">
        <f>IF(OR(K$230&lt;$C262,K$230&lt;$H$2),0,MIN($E262-SUM($G262:J262),$F262))</f>
        <v>0</v>
      </c>
      <c r="L262" s="424">
        <f>IF(OR(L$230&lt;$C262,L$230&lt;$H$2),0,MIN($E262-SUM($G262:K262),$F262))</f>
        <v>0</v>
      </c>
      <c r="M262" s="424">
        <f>IF(OR(M$230&lt;$C262,M$230&lt;$H$2),0,MIN($E262-SUM($G262:L262),$F262))</f>
        <v>0</v>
      </c>
      <c r="N262" s="424">
        <f>IF(OR(N$230&lt;$C262,N$230&lt;$H$2),0,MIN($E262-SUM($G262:M262),$F262))</f>
        <v>0</v>
      </c>
      <c r="O262" s="424">
        <f>IF(OR(O$230&lt;$C262,O$230&lt;$H$2),0,MIN($E262-SUM($G262:N262),$F262))</f>
        <v>0</v>
      </c>
      <c r="P262" s="424">
        <f>IF(OR(P$230&lt;$C262,P$230&lt;$H$2),0,MIN($E262-SUM($G262:O262),$F262))</f>
        <v>0</v>
      </c>
      <c r="Q262" s="424">
        <f>IF(OR(Q$230&lt;$C262,Q$230&lt;$H$2),0,MIN($E262-SUM($G262:P262),$F262))</f>
        <v>0</v>
      </c>
      <c r="R262" s="424">
        <f>IF(OR(R$230&lt;$C262,R$230&lt;$H$2),0,MIN($E262-SUM($G262:Q262),$F262))</f>
        <v>0</v>
      </c>
      <c r="S262" s="424">
        <f>IF(OR(S$230&lt;$C262,S$230&lt;$H$2),0,MIN($E262-SUM($G262:R262),$F262))</f>
        <v>0</v>
      </c>
      <c r="T262" s="424">
        <f>IF(OR(T$230&lt;$C262,T$230&lt;$H$2),0,MIN($E262-SUM($G262:S262),$F262))</f>
        <v>0</v>
      </c>
      <c r="U262" s="424">
        <f>IF(OR(U$230&lt;$C262,U$230&lt;$H$2),0,MIN($E262-SUM($G262:T262),$F262))</f>
        <v>0</v>
      </c>
      <c r="V262" s="424">
        <f>IF(OR(V$230&lt;$C262,V$230&lt;$H$2),0,MIN($E262-SUM($G262:U262),$F262))</f>
        <v>0</v>
      </c>
      <c r="W262" s="424">
        <f>IF(OR(W$230&lt;$C262,W$230&lt;$H$2),0,MIN($E262-SUM($G262:V262),$F262))</f>
        <v>0</v>
      </c>
      <c r="X262" s="424">
        <f>IF(OR(X$230&lt;$C262,X$230&lt;$H$2),0,MIN($E262-SUM($G262:W262),$F262))</f>
        <v>0</v>
      </c>
      <c r="Y262" s="424">
        <f>IF(OR(Y$230&lt;$C262,Y$230&lt;$H$2),0,MIN($E262-SUM($G262:X262),$F262))</f>
        <v>0</v>
      </c>
      <c r="Z262" s="424">
        <f>IF(OR(Z$230&lt;$C262,Z$230&lt;$H$2),0,MIN($E262-SUM($G262:Y262),$F262))</f>
        <v>0</v>
      </c>
      <c r="AA262" s="424">
        <f>IF(OR(AA$230&lt;$C262,AA$230&lt;$H$2),0,MIN($E262-SUM($G262:Z262),$F262))</f>
        <v>0</v>
      </c>
      <c r="AB262" s="424">
        <f>IF(OR(AB$230&lt;$C262,AB$230&lt;$H$2),0,MIN($E262-SUM($G262:AA262),$F262))</f>
        <v>0</v>
      </c>
      <c r="AC262" s="424">
        <f>IF(OR(AC$230&lt;$C262,AC$230&lt;$H$2),0,MIN($E262-SUM($G262:AB262),$F262))</f>
        <v>0</v>
      </c>
      <c r="AD262" s="424">
        <f>IF(OR(AD$230&lt;$C262,AD$230&lt;$H$2),0,MIN($E262-SUM($G262:AC262),$F262))</f>
        <v>0</v>
      </c>
      <c r="AE262" s="424">
        <f>IF(OR(AE$230&lt;$C262,AE$230&lt;$H$2),0,MIN($E262-SUM($G262:AD262),$F262))</f>
        <v>0</v>
      </c>
      <c r="AF262" s="424">
        <f>IF(OR(AF$230&lt;$C262,AF$230&lt;$H$2),0,MIN($E262-SUM($G262:AE262),$F262))</f>
        <v>0</v>
      </c>
      <c r="AG262" s="424">
        <f>IF(OR(AG$230&lt;$C262,AG$230&lt;$H$2),0,MIN($E262-SUM($G262:AF262),$F262))</f>
        <v>0</v>
      </c>
      <c r="AH262" s="424">
        <f>IF(OR(AH$230&lt;$C262,AH$230&lt;$H$2),0,MIN($E262-SUM($G262:AG262),$F262))</f>
        <v>0</v>
      </c>
      <c r="AI262" s="424">
        <f>IF(OR(AI$230&lt;$C262,AI$230&lt;$H$2),0,MIN($E262-SUM($G262:AH262),$F262))</f>
        <v>0</v>
      </c>
      <c r="AJ262" s="424">
        <f>IF(OR(AJ$230&lt;$C262,AJ$230&lt;$H$2),0,MIN($E262-SUM($G262:AI262),$F262))</f>
        <v>0</v>
      </c>
      <c r="AK262" s="424">
        <f>IF(OR(AK$230&lt;$C262,AK$230&lt;$H$2),0,MIN($E262-SUM($G262:AJ262),$F262))</f>
        <v>0</v>
      </c>
    </row>
    <row r="263" spans="3:37" ht="14" thickBot="1">
      <c r="C263" s="240" t="s">
        <v>543</v>
      </c>
      <c r="D263" s="348" t="s">
        <v>134</v>
      </c>
      <c r="E263" s="427">
        <f>SUM(E233:E262)</f>
        <v>0</v>
      </c>
      <c r="F263" s="427">
        <f>SUM(F233:F262)</f>
        <v>0</v>
      </c>
      <c r="G263" s="348"/>
      <c r="H263" s="427">
        <f t="shared" ref="H263:AK263" si="112">SUM(H233:H262)</f>
        <v>0</v>
      </c>
      <c r="I263" s="427">
        <f t="shared" si="112"/>
        <v>0</v>
      </c>
      <c r="J263" s="427">
        <f t="shared" si="112"/>
        <v>0</v>
      </c>
      <c r="K263" s="427">
        <f t="shared" si="112"/>
        <v>0</v>
      </c>
      <c r="L263" s="427">
        <f t="shared" si="112"/>
        <v>0</v>
      </c>
      <c r="M263" s="427">
        <f t="shared" si="112"/>
        <v>0</v>
      </c>
      <c r="N263" s="427">
        <f t="shared" si="112"/>
        <v>0</v>
      </c>
      <c r="O263" s="427">
        <f t="shared" si="112"/>
        <v>0</v>
      </c>
      <c r="P263" s="427">
        <f t="shared" si="112"/>
        <v>0</v>
      </c>
      <c r="Q263" s="427">
        <f t="shared" si="112"/>
        <v>0</v>
      </c>
      <c r="R263" s="427">
        <f t="shared" si="112"/>
        <v>0</v>
      </c>
      <c r="S263" s="427">
        <f t="shared" si="112"/>
        <v>0</v>
      </c>
      <c r="T263" s="427">
        <f t="shared" si="112"/>
        <v>0</v>
      </c>
      <c r="U263" s="427">
        <f t="shared" si="112"/>
        <v>0</v>
      </c>
      <c r="V263" s="427">
        <f t="shared" si="112"/>
        <v>0</v>
      </c>
      <c r="W263" s="427">
        <f t="shared" si="112"/>
        <v>0</v>
      </c>
      <c r="X263" s="427">
        <f t="shared" si="112"/>
        <v>0</v>
      </c>
      <c r="Y263" s="427">
        <f t="shared" si="112"/>
        <v>0</v>
      </c>
      <c r="Z263" s="427">
        <f t="shared" si="112"/>
        <v>0</v>
      </c>
      <c r="AA263" s="427">
        <f t="shared" si="112"/>
        <v>0</v>
      </c>
      <c r="AB263" s="427">
        <f t="shared" si="112"/>
        <v>0</v>
      </c>
      <c r="AC263" s="427">
        <f t="shared" si="112"/>
        <v>0</v>
      </c>
      <c r="AD263" s="427">
        <f t="shared" si="112"/>
        <v>0</v>
      </c>
      <c r="AE263" s="427">
        <f t="shared" si="112"/>
        <v>0</v>
      </c>
      <c r="AF263" s="427">
        <f t="shared" si="112"/>
        <v>0</v>
      </c>
      <c r="AG263" s="427">
        <f t="shared" si="112"/>
        <v>0</v>
      </c>
      <c r="AH263" s="427">
        <f t="shared" si="112"/>
        <v>0</v>
      </c>
      <c r="AI263" s="427">
        <f t="shared" si="112"/>
        <v>0</v>
      </c>
      <c r="AJ263" s="427">
        <f t="shared" si="112"/>
        <v>0</v>
      </c>
      <c r="AK263" s="427">
        <f t="shared" si="112"/>
        <v>0</v>
      </c>
    </row>
    <row r="264" spans="3:37" ht="14" thickTop="1"/>
    <row r="265" spans="3:37" ht="28">
      <c r="C265" s="428" t="s">
        <v>166</v>
      </c>
      <c r="D265" s="428" t="s">
        <v>88</v>
      </c>
      <c r="E265" s="428" t="s">
        <v>555</v>
      </c>
      <c r="F265" s="429" t="s">
        <v>556</v>
      </c>
      <c r="G265" s="430"/>
      <c r="H265" s="201">
        <f t="shared" ref="H265:AK266" si="113">H230</f>
        <v>46023</v>
      </c>
      <c r="I265" s="201">
        <f t="shared" si="113"/>
        <v>46389</v>
      </c>
      <c r="J265" s="201">
        <f t="shared" si="113"/>
        <v>46755</v>
      </c>
      <c r="K265" s="201">
        <f t="shared" si="113"/>
        <v>47121</v>
      </c>
      <c r="L265" s="201">
        <f t="shared" si="113"/>
        <v>47487</v>
      </c>
      <c r="M265" s="201">
        <f t="shared" si="113"/>
        <v>47853</v>
      </c>
      <c r="N265" s="201">
        <f t="shared" si="113"/>
        <v>48219</v>
      </c>
      <c r="O265" s="201">
        <f t="shared" si="113"/>
        <v>48585</v>
      </c>
      <c r="P265" s="201">
        <f t="shared" si="113"/>
        <v>48951</v>
      </c>
      <c r="Q265" s="201">
        <f t="shared" si="113"/>
        <v>49317</v>
      </c>
      <c r="R265" s="201">
        <f t="shared" si="113"/>
        <v>49683</v>
      </c>
      <c r="S265" s="201">
        <f t="shared" si="113"/>
        <v>50049</v>
      </c>
      <c r="T265" s="201">
        <f t="shared" si="113"/>
        <v>50415</v>
      </c>
      <c r="U265" s="201">
        <f t="shared" si="113"/>
        <v>50781</v>
      </c>
      <c r="V265" s="201">
        <f t="shared" si="113"/>
        <v>51147</v>
      </c>
      <c r="W265" s="201">
        <f t="shared" si="113"/>
        <v>51513</v>
      </c>
      <c r="X265" s="201">
        <f t="shared" si="113"/>
        <v>51879</v>
      </c>
      <c r="Y265" s="201">
        <f t="shared" si="113"/>
        <v>52245</v>
      </c>
      <c r="Z265" s="201">
        <f t="shared" si="113"/>
        <v>52611</v>
      </c>
      <c r="AA265" s="201">
        <f t="shared" si="113"/>
        <v>52977</v>
      </c>
      <c r="AB265" s="201">
        <f t="shared" si="113"/>
        <v>53343</v>
      </c>
      <c r="AC265" s="201">
        <f t="shared" si="113"/>
        <v>53709</v>
      </c>
      <c r="AD265" s="201">
        <f t="shared" si="113"/>
        <v>54075</v>
      </c>
      <c r="AE265" s="201">
        <f t="shared" si="113"/>
        <v>0</v>
      </c>
      <c r="AF265" s="201">
        <f t="shared" si="113"/>
        <v>0</v>
      </c>
      <c r="AG265" s="201">
        <f t="shared" si="113"/>
        <v>0</v>
      </c>
      <c r="AH265" s="201">
        <f t="shared" si="113"/>
        <v>0</v>
      </c>
      <c r="AI265" s="201">
        <f t="shared" si="113"/>
        <v>0</v>
      </c>
      <c r="AJ265" s="201">
        <f t="shared" si="113"/>
        <v>0</v>
      </c>
      <c r="AK265" s="201">
        <f t="shared" si="113"/>
        <v>0</v>
      </c>
    </row>
    <row r="266" spans="3:37">
      <c r="C266" s="430"/>
      <c r="D266" s="430"/>
      <c r="E266" s="428" t="s">
        <v>134</v>
      </c>
      <c r="F266" s="428" t="s">
        <v>134</v>
      </c>
      <c r="G266" s="430"/>
      <c r="H266" s="1141">
        <f t="shared" si="113"/>
        <v>-4</v>
      </c>
      <c r="I266" s="1141">
        <f t="shared" si="113"/>
        <v>-3</v>
      </c>
      <c r="J266" s="1141">
        <f t="shared" si="113"/>
        <v>-2</v>
      </c>
      <c r="K266" s="1141">
        <f t="shared" si="113"/>
        <v>-1</v>
      </c>
      <c r="L266" s="1141">
        <f t="shared" si="113"/>
        <v>1</v>
      </c>
      <c r="M266" s="1141">
        <f t="shared" si="113"/>
        <v>2</v>
      </c>
      <c r="N266" s="1141">
        <f t="shared" si="113"/>
        <v>3</v>
      </c>
      <c r="O266" s="1141">
        <f t="shared" si="113"/>
        <v>4</v>
      </c>
      <c r="P266" s="1141">
        <f t="shared" si="113"/>
        <v>5</v>
      </c>
      <c r="Q266" s="1141">
        <f t="shared" si="113"/>
        <v>6</v>
      </c>
      <c r="R266" s="1141">
        <f t="shared" si="113"/>
        <v>7</v>
      </c>
      <c r="S266" s="1141">
        <f t="shared" si="113"/>
        <v>8</v>
      </c>
      <c r="T266" s="1141">
        <f t="shared" si="113"/>
        <v>9</v>
      </c>
      <c r="U266" s="1141">
        <f t="shared" si="113"/>
        <v>10</v>
      </c>
      <c r="V266" s="1141">
        <f t="shared" si="113"/>
        <v>11</v>
      </c>
      <c r="W266" s="1141">
        <f t="shared" si="113"/>
        <v>12</v>
      </c>
      <c r="X266" s="1141">
        <f t="shared" si="113"/>
        <v>13</v>
      </c>
      <c r="Y266" s="1141">
        <f t="shared" si="113"/>
        <v>14</v>
      </c>
      <c r="Z266" s="1141">
        <f t="shared" si="113"/>
        <v>15</v>
      </c>
      <c r="AA266" s="1141">
        <f t="shared" si="113"/>
        <v>16</v>
      </c>
      <c r="AB266" s="1141">
        <f t="shared" si="113"/>
        <v>17</v>
      </c>
      <c r="AC266" s="1141">
        <f t="shared" si="113"/>
        <v>18</v>
      </c>
      <c r="AD266" s="1141">
        <f t="shared" si="113"/>
        <v>19</v>
      </c>
      <c r="AE266" s="1141">
        <f t="shared" si="113"/>
        <v>0</v>
      </c>
      <c r="AF266" s="1141">
        <f t="shared" si="113"/>
        <v>0</v>
      </c>
      <c r="AG266" s="1141">
        <f t="shared" si="113"/>
        <v>0</v>
      </c>
      <c r="AH266" s="1141">
        <f t="shared" si="113"/>
        <v>0</v>
      </c>
      <c r="AI266" s="1141">
        <f t="shared" si="113"/>
        <v>0</v>
      </c>
      <c r="AJ266" s="1141">
        <f t="shared" si="113"/>
        <v>0</v>
      </c>
      <c r="AK266" s="1141">
        <f t="shared" si="113"/>
        <v>0</v>
      </c>
    </row>
    <row r="267" spans="3:37">
      <c r="C267" s="191" t="str">
        <f>C53</f>
        <v xml:space="preserve">HEMM Equipment </v>
      </c>
    </row>
    <row r="268" spans="3:37">
      <c r="C268" s="201" cm="1">
        <f t="array" ref="C268:C297">TRANSPOSE(H265:AK265)</f>
        <v>46023</v>
      </c>
      <c r="D268" s="94" t="s">
        <v>134</v>
      </c>
      <c r="E268" s="424">
        <f>HLOOKUP($C268,$H$39:$AP$112,17,FALSE)</f>
        <v>0</v>
      </c>
      <c r="F268" s="209">
        <f>E268*$F$53</f>
        <v>0</v>
      </c>
      <c r="H268" s="424">
        <f>IF(OR(H$265&lt;$C268,H$265&lt;$H$2),0,MIN($E268-SUM($G268:G268),$F268))</f>
        <v>0</v>
      </c>
      <c r="I268" s="424">
        <f>IF(OR(I$265&lt;$C268,I$265&lt;$H$2),0,MIN($E268-SUM($G268:H268),$F268))</f>
        <v>0</v>
      </c>
      <c r="J268" s="424">
        <f>IF(OR(J$265&lt;$C268,J$265&lt;$H$2),0,MIN($E268-SUM($G268:I268),$F268))</f>
        <v>0</v>
      </c>
      <c r="K268" s="424">
        <f>IF(OR(K$265&lt;$C268,K$265&lt;$H$2),0,MIN($E268-SUM($G268:J268),$F268))</f>
        <v>0</v>
      </c>
      <c r="L268" s="424">
        <f>IF(OR(L$265&lt;$C268,L$265&lt;$H$2),0,MIN($E268-SUM($G268:K268),$F268))</f>
        <v>0</v>
      </c>
      <c r="M268" s="424">
        <f>IF(OR(M$265&lt;$C268,M$265&lt;$H$2),0,MIN($E268-SUM($G268:L268),$F268))</f>
        <v>0</v>
      </c>
      <c r="N268" s="424">
        <f>IF(OR(N$265&lt;$C268,N$265&lt;$H$2),0,MIN($E268-SUM($G268:M268),$F268))</f>
        <v>0</v>
      </c>
      <c r="O268" s="424">
        <f>IF(OR(O$265&lt;$C268,O$265&lt;$H$2),0,MIN($E268-SUM($G268:N268),$F268))</f>
        <v>0</v>
      </c>
      <c r="P268" s="424">
        <f>IF(OR(P$265&lt;$C268,P$265&lt;$H$2),0,MIN($E268-SUM($G268:O268),$F268))</f>
        <v>0</v>
      </c>
      <c r="Q268" s="424">
        <f>IF(OR(Q$265&lt;$C268,Q$265&lt;$H$2),0,MIN($E268-SUM($G268:P268),$F268))</f>
        <v>0</v>
      </c>
      <c r="R268" s="424">
        <f>IF(OR(R$265&lt;$C268,R$265&lt;$H$2),0,MIN($E268-SUM($G268:Q268),$F268))</f>
        <v>0</v>
      </c>
      <c r="S268" s="424">
        <f>IF(OR(S$265&lt;$C268,S$265&lt;$H$2),0,MIN($E268-SUM($G268:R268),$F268))</f>
        <v>0</v>
      </c>
      <c r="T268" s="424">
        <f>IF(OR(T$265&lt;$C268,T$265&lt;$H$2),0,MIN($E268-SUM($G268:S268),$F268))</f>
        <v>0</v>
      </c>
      <c r="U268" s="424">
        <f>IF(OR(U$265&lt;$C268,U$265&lt;$H$2),0,MIN($E268-SUM($G268:T268),$F268))</f>
        <v>0</v>
      </c>
      <c r="V268" s="424">
        <f>IF(OR(V$265&lt;$C268,V$265&lt;$H$2),0,MIN($E268-SUM($G268:U268),$F268))</f>
        <v>0</v>
      </c>
      <c r="W268" s="424">
        <f>IF(OR(W$265&lt;$C268,W$265&lt;$H$2),0,MIN($E268-SUM($G268:V268),$F268))</f>
        <v>0</v>
      </c>
      <c r="X268" s="424">
        <f>IF(OR(X$265&lt;$C268,X$265&lt;$H$2),0,MIN($E268-SUM($G268:W268),$F268))</f>
        <v>0</v>
      </c>
      <c r="Y268" s="424">
        <f>IF(OR(Y$265&lt;$C268,Y$265&lt;$H$2),0,MIN($E268-SUM($G268:X268),$F268))</f>
        <v>0</v>
      </c>
      <c r="Z268" s="424">
        <f>IF(OR(Z$265&lt;$C268,Z$265&lt;$H$2),0,MIN($E268-SUM($G268:Y268),$F268))</f>
        <v>0</v>
      </c>
      <c r="AA268" s="424">
        <f>IF(OR(AA$265&lt;$C268,AA$265&lt;$H$2),0,MIN($E268-SUM($G268:Z268),$F268))</f>
        <v>0</v>
      </c>
      <c r="AB268" s="424">
        <f>IF(OR(AB$265&lt;$C268,AB$265&lt;$H$2),0,MIN($E268-SUM($G268:AA268),$F268))</f>
        <v>0</v>
      </c>
      <c r="AC268" s="424">
        <f>IF(OR(AC$265&lt;$C268,AC$265&lt;$H$2),0,MIN($E268-SUM($G268:AB268),$F268))</f>
        <v>0</v>
      </c>
      <c r="AD268" s="424">
        <f>IF(OR(AD$265&lt;$C268,AD$265&lt;$H$2),0,MIN($E268-SUM($G268:AC268),$F268))</f>
        <v>0</v>
      </c>
      <c r="AE268" s="424">
        <f>IF(OR(AE$265&lt;$C268,AE$265&lt;$H$2),0,MIN($E268-SUM($G268:AD268),$F268))</f>
        <v>0</v>
      </c>
      <c r="AF268" s="424">
        <f>IF(OR(AF$265&lt;$C268,AF$265&lt;$H$2),0,MIN($E268-SUM($G268:AE268),$F268))</f>
        <v>0</v>
      </c>
      <c r="AG268" s="424">
        <f>IF(OR(AG$265&lt;$C268,AG$265&lt;$H$2),0,MIN($E268-SUM($G268:AF268),$F268))</f>
        <v>0</v>
      </c>
      <c r="AH268" s="424">
        <f>IF(OR(AH$265&lt;$C268,AH$265&lt;$H$2),0,MIN($E268-SUM($G268:AG268),$F268))</f>
        <v>0</v>
      </c>
      <c r="AI268" s="424">
        <f>IF(OR(AI$265&lt;$C268,AI$265&lt;$H$2),0,MIN($E268-SUM($G268:AH268),$F268))</f>
        <v>0</v>
      </c>
      <c r="AJ268" s="424">
        <f>IF(OR(AJ$265&lt;$C268,AJ$265&lt;$H$2),0,MIN($E268-SUM($G268:AI268),$F268))</f>
        <v>0</v>
      </c>
      <c r="AK268" s="424">
        <f>IF(OR(AK$265&lt;$C268,AK$265&lt;$H$2),0,MIN($E268-SUM($G268:AJ268),$F268))</f>
        <v>0</v>
      </c>
    </row>
    <row r="269" spans="3:37">
      <c r="C269" s="201">
        <v>46389</v>
      </c>
      <c r="D269" s="94" t="s">
        <v>134</v>
      </c>
      <c r="E269" s="424">
        <f t="shared" ref="E269:E297" si="114">HLOOKUP($C269,$H$39:$AP$112,17,FALSE)</f>
        <v>0</v>
      </c>
      <c r="F269" s="209">
        <f t="shared" ref="F269:F297" si="115">E269*$F$53</f>
        <v>0</v>
      </c>
      <c r="H269" s="424">
        <f>IF(OR(H$265&lt;$C269,H$265&lt;$H$2),0,MIN($E269-SUM($G269:G269),$F269))</f>
        <v>0</v>
      </c>
      <c r="I269" s="424">
        <f>IF(OR(I$265&lt;$C269,I$265&lt;$H$2),0,MIN($E269-SUM($G269:H269),$F269))</f>
        <v>0</v>
      </c>
      <c r="J269" s="424">
        <f>IF(OR(J$265&lt;$C269,J$265&lt;$H$2),0,MIN($E269-SUM($G269:I269),$F269))</f>
        <v>0</v>
      </c>
      <c r="K269" s="424">
        <f>IF(OR(K$265&lt;$C269,K$265&lt;$H$2),0,MIN($E269-SUM($G269:J269),$F269))</f>
        <v>0</v>
      </c>
      <c r="L269" s="424">
        <f>IF(OR(L$265&lt;$C269,L$265&lt;$H$2),0,MIN($E269-SUM($G269:K269),$F269))</f>
        <v>0</v>
      </c>
      <c r="M269" s="424">
        <f>IF(OR(M$265&lt;$C269,M$265&lt;$H$2),0,MIN($E269-SUM($G269:L269),$F269))</f>
        <v>0</v>
      </c>
      <c r="N269" s="424">
        <f>IF(OR(N$265&lt;$C269,N$265&lt;$H$2),0,MIN($E269-SUM($G269:M269),$F269))</f>
        <v>0</v>
      </c>
      <c r="O269" s="424">
        <f>IF(OR(O$265&lt;$C269,O$265&lt;$H$2),0,MIN($E269-SUM($G269:N269),$F269))</f>
        <v>0</v>
      </c>
      <c r="P269" s="424">
        <f>IF(OR(P$265&lt;$C269,P$265&lt;$H$2),0,MIN($E269-SUM($G269:O269),$F269))</f>
        <v>0</v>
      </c>
      <c r="Q269" s="424">
        <f>IF(OR(Q$265&lt;$C269,Q$265&lt;$H$2),0,MIN($E269-SUM($G269:P269),$F269))</f>
        <v>0</v>
      </c>
      <c r="R269" s="424">
        <f>IF(OR(R$265&lt;$C269,R$265&lt;$H$2),0,MIN($E269-SUM($G269:Q269),$F269))</f>
        <v>0</v>
      </c>
      <c r="S269" s="424">
        <f>IF(OR(S$265&lt;$C269,S$265&lt;$H$2),0,MIN($E269-SUM($G269:R269),$F269))</f>
        <v>0</v>
      </c>
      <c r="T269" s="424">
        <f>IF(OR(T$265&lt;$C269,T$265&lt;$H$2),0,MIN($E269-SUM($G269:S269),$F269))</f>
        <v>0</v>
      </c>
      <c r="U269" s="424">
        <f>IF(OR(U$265&lt;$C269,U$265&lt;$H$2),0,MIN($E269-SUM($G269:T269),$F269))</f>
        <v>0</v>
      </c>
      <c r="V269" s="424">
        <f>IF(OR(V$265&lt;$C269,V$265&lt;$H$2),0,MIN($E269-SUM($G269:U269),$F269))</f>
        <v>0</v>
      </c>
      <c r="W269" s="424">
        <f>IF(OR(W$265&lt;$C269,W$265&lt;$H$2),0,MIN($E269-SUM($G269:V269),$F269))</f>
        <v>0</v>
      </c>
      <c r="X269" s="424">
        <f>IF(OR(X$265&lt;$C269,X$265&lt;$H$2),0,MIN($E269-SUM($G269:W269),$F269))</f>
        <v>0</v>
      </c>
      <c r="Y269" s="424">
        <f>IF(OR(Y$265&lt;$C269,Y$265&lt;$H$2),0,MIN($E269-SUM($G269:X269),$F269))</f>
        <v>0</v>
      </c>
      <c r="Z269" s="424">
        <f>IF(OR(Z$265&lt;$C269,Z$265&lt;$H$2),0,MIN($E269-SUM($G269:Y269),$F269))</f>
        <v>0</v>
      </c>
      <c r="AA269" s="424">
        <f>IF(OR(AA$265&lt;$C269,AA$265&lt;$H$2),0,MIN($E269-SUM($G269:Z269),$F269))</f>
        <v>0</v>
      </c>
      <c r="AB269" s="424">
        <f>IF(OR(AB$265&lt;$C269,AB$265&lt;$H$2),0,MIN($E269-SUM($G269:AA269),$F269))</f>
        <v>0</v>
      </c>
      <c r="AC269" s="424">
        <f>IF(OR(AC$265&lt;$C269,AC$265&lt;$H$2),0,MIN($E269-SUM($G269:AB269),$F269))</f>
        <v>0</v>
      </c>
      <c r="AD269" s="424">
        <f>IF(OR(AD$265&lt;$C269,AD$265&lt;$H$2),0,MIN($E269-SUM($G269:AC269),$F269))</f>
        <v>0</v>
      </c>
      <c r="AE269" s="424">
        <f>IF(OR(AE$265&lt;$C269,AE$265&lt;$H$2),0,MIN($E269-SUM($G269:AD269),$F269))</f>
        <v>0</v>
      </c>
      <c r="AF269" s="424">
        <f>IF(OR(AF$265&lt;$C269,AF$265&lt;$H$2),0,MIN($E269-SUM($G269:AE269),$F269))</f>
        <v>0</v>
      </c>
      <c r="AG269" s="424">
        <f>IF(OR(AG$265&lt;$C269,AG$265&lt;$H$2),0,MIN($E269-SUM($G269:AF269),$F269))</f>
        <v>0</v>
      </c>
      <c r="AH269" s="424">
        <f>IF(OR(AH$265&lt;$C269,AH$265&lt;$H$2),0,MIN($E269-SUM($G269:AG269),$F269))</f>
        <v>0</v>
      </c>
      <c r="AI269" s="424">
        <f>IF(OR(AI$265&lt;$C269,AI$265&lt;$H$2),0,MIN($E269-SUM($G269:AH269),$F269))</f>
        <v>0</v>
      </c>
      <c r="AJ269" s="424">
        <f>IF(OR(AJ$265&lt;$C269,AJ$265&lt;$H$2),0,MIN($E269-SUM($G269:AI269),$F269))</f>
        <v>0</v>
      </c>
      <c r="AK269" s="424">
        <f>IF(OR(AK$265&lt;$C269,AK$265&lt;$H$2),0,MIN($E269-SUM($G269:AJ269),$F269))</f>
        <v>0</v>
      </c>
    </row>
    <row r="270" spans="3:37">
      <c r="C270" s="201">
        <v>46755</v>
      </c>
      <c r="D270" s="94" t="s">
        <v>134</v>
      </c>
      <c r="E270" s="424">
        <f t="shared" si="114"/>
        <v>0</v>
      </c>
      <c r="F270" s="209">
        <f t="shared" si="115"/>
        <v>0</v>
      </c>
      <c r="H270" s="424">
        <f>IF(OR(H$265&lt;$C270,H$265&lt;$H$2),0,MIN($E270-SUM($G270:G270),$F270))</f>
        <v>0</v>
      </c>
      <c r="I270" s="424">
        <f>IF(OR(I$265&lt;$C270,I$265&lt;$H$2),0,MIN($E270-SUM($G270:H270),$F270))</f>
        <v>0</v>
      </c>
      <c r="J270" s="424">
        <f>IF(OR(J$265&lt;$C270,J$265&lt;$H$2),0,MIN($E270-SUM($G270:I270),$F270))</f>
        <v>0</v>
      </c>
      <c r="K270" s="424">
        <f>IF(OR(K$265&lt;$C270,K$265&lt;$H$2),0,MIN($E270-SUM($G270:J270),$F270))</f>
        <v>0</v>
      </c>
      <c r="L270" s="424">
        <f>IF(OR(L$265&lt;$C270,L$265&lt;$H$2),0,MIN($E270-SUM($G270:K270),$F270))</f>
        <v>0</v>
      </c>
      <c r="M270" s="424">
        <f>IF(OR(M$265&lt;$C270,M$265&lt;$H$2),0,MIN($E270-SUM($G270:L270),$F270))</f>
        <v>0</v>
      </c>
      <c r="N270" s="424">
        <f>IF(OR(N$265&lt;$C270,N$265&lt;$H$2),0,MIN($E270-SUM($G270:M270),$F270))</f>
        <v>0</v>
      </c>
      <c r="O270" s="424">
        <f>IF(OR(O$265&lt;$C270,O$265&lt;$H$2),0,MIN($E270-SUM($G270:N270),$F270))</f>
        <v>0</v>
      </c>
      <c r="P270" s="424">
        <f>IF(OR(P$265&lt;$C270,P$265&lt;$H$2),0,MIN($E270-SUM($G270:O270),$F270))</f>
        <v>0</v>
      </c>
      <c r="Q270" s="424">
        <f>IF(OR(Q$265&lt;$C270,Q$265&lt;$H$2),0,MIN($E270-SUM($G270:P270),$F270))</f>
        <v>0</v>
      </c>
      <c r="R270" s="424">
        <f>IF(OR(R$265&lt;$C270,R$265&lt;$H$2),0,MIN($E270-SUM($G270:Q270),$F270))</f>
        <v>0</v>
      </c>
      <c r="S270" s="424">
        <f>IF(OR(S$265&lt;$C270,S$265&lt;$H$2),0,MIN($E270-SUM($G270:R270),$F270))</f>
        <v>0</v>
      </c>
      <c r="T270" s="424">
        <f>IF(OR(T$265&lt;$C270,T$265&lt;$H$2),0,MIN($E270-SUM($G270:S270),$F270))</f>
        <v>0</v>
      </c>
      <c r="U270" s="424">
        <f>IF(OR(U$265&lt;$C270,U$265&lt;$H$2),0,MIN($E270-SUM($G270:T270),$F270))</f>
        <v>0</v>
      </c>
      <c r="V270" s="424">
        <f>IF(OR(V$265&lt;$C270,V$265&lt;$H$2),0,MIN($E270-SUM($G270:U270),$F270))</f>
        <v>0</v>
      </c>
      <c r="W270" s="424">
        <f>IF(OR(W$265&lt;$C270,W$265&lt;$H$2),0,MIN($E270-SUM($G270:V270),$F270))</f>
        <v>0</v>
      </c>
      <c r="X270" s="424">
        <f>IF(OR(X$265&lt;$C270,X$265&lt;$H$2),0,MIN($E270-SUM($G270:W270),$F270))</f>
        <v>0</v>
      </c>
      <c r="Y270" s="424">
        <f>IF(OR(Y$265&lt;$C270,Y$265&lt;$H$2),0,MIN($E270-SUM($G270:X270),$F270))</f>
        <v>0</v>
      </c>
      <c r="Z270" s="424">
        <f>IF(OR(Z$265&lt;$C270,Z$265&lt;$H$2),0,MIN($E270-SUM($G270:Y270),$F270))</f>
        <v>0</v>
      </c>
      <c r="AA270" s="424">
        <f>IF(OR(AA$265&lt;$C270,AA$265&lt;$H$2),0,MIN($E270-SUM($G270:Z270),$F270))</f>
        <v>0</v>
      </c>
      <c r="AB270" s="424">
        <f>IF(OR(AB$265&lt;$C270,AB$265&lt;$H$2),0,MIN($E270-SUM($G270:AA270),$F270))</f>
        <v>0</v>
      </c>
      <c r="AC270" s="424">
        <f>IF(OR(AC$265&lt;$C270,AC$265&lt;$H$2),0,MIN($E270-SUM($G270:AB270),$F270))</f>
        <v>0</v>
      </c>
      <c r="AD270" s="424">
        <f>IF(OR(AD$265&lt;$C270,AD$265&lt;$H$2),0,MIN($E270-SUM($G270:AC270),$F270))</f>
        <v>0</v>
      </c>
      <c r="AE270" s="424">
        <f>IF(OR(AE$265&lt;$C270,AE$265&lt;$H$2),0,MIN($E270-SUM($G270:AD270),$F270))</f>
        <v>0</v>
      </c>
      <c r="AF270" s="424">
        <f>IF(OR(AF$265&lt;$C270,AF$265&lt;$H$2),0,MIN($E270-SUM($G270:AE270),$F270))</f>
        <v>0</v>
      </c>
      <c r="AG270" s="424">
        <f>IF(OR(AG$265&lt;$C270,AG$265&lt;$H$2),0,MIN($E270-SUM($G270:AF270),$F270))</f>
        <v>0</v>
      </c>
      <c r="AH270" s="424">
        <f>IF(OR(AH$265&lt;$C270,AH$265&lt;$H$2),0,MIN($E270-SUM($G270:AG270),$F270))</f>
        <v>0</v>
      </c>
      <c r="AI270" s="424">
        <f>IF(OR(AI$265&lt;$C270,AI$265&lt;$H$2),0,MIN($E270-SUM($G270:AH270),$F270))</f>
        <v>0</v>
      </c>
      <c r="AJ270" s="424">
        <f>IF(OR(AJ$265&lt;$C270,AJ$265&lt;$H$2),0,MIN($E270-SUM($G270:AI270),$F270))</f>
        <v>0</v>
      </c>
      <c r="AK270" s="424">
        <f>IF(OR(AK$265&lt;$C270,AK$265&lt;$H$2),0,MIN($E270-SUM($G270:AJ270),$F270))</f>
        <v>0</v>
      </c>
    </row>
    <row r="271" spans="3:37">
      <c r="C271" s="201">
        <v>47121</v>
      </c>
      <c r="D271" s="94" t="s">
        <v>134</v>
      </c>
      <c r="E271" s="424">
        <f t="shared" si="114"/>
        <v>0</v>
      </c>
      <c r="F271" s="209">
        <f t="shared" si="115"/>
        <v>0</v>
      </c>
      <c r="H271" s="424">
        <f>IF(OR(H$265&lt;$C271,H$265&lt;$H$2),0,MIN($E271-SUM($G271:G271),$F271))</f>
        <v>0</v>
      </c>
      <c r="I271" s="424">
        <f>IF(OR(I$265&lt;$C271,I$265&lt;$H$2),0,MIN($E271-SUM($G271:H271),$F271))</f>
        <v>0</v>
      </c>
      <c r="J271" s="424">
        <f>IF(OR(J$265&lt;$C271,J$265&lt;$H$2),0,MIN($E271-SUM($G271:I271),$F271))</f>
        <v>0</v>
      </c>
      <c r="K271" s="424">
        <f>IF(OR(K$265&lt;$C271,K$265&lt;$H$2),0,MIN($E271-SUM($G271:J271),$F271))</f>
        <v>0</v>
      </c>
      <c r="L271" s="424">
        <f>IF(OR(L$265&lt;$C271,L$265&lt;$H$2),0,MIN($E271-SUM($G271:K271),$F271))</f>
        <v>0</v>
      </c>
      <c r="M271" s="424">
        <f>IF(OR(M$265&lt;$C271,M$265&lt;$H$2),0,MIN($E271-SUM($G271:L271),$F271))</f>
        <v>0</v>
      </c>
      <c r="N271" s="424">
        <f>IF(OR(N$265&lt;$C271,N$265&lt;$H$2),0,MIN($E271-SUM($G271:M271),$F271))</f>
        <v>0</v>
      </c>
      <c r="O271" s="424">
        <f>IF(OR(O$265&lt;$C271,O$265&lt;$H$2),0,MIN($E271-SUM($G271:N271),$F271))</f>
        <v>0</v>
      </c>
      <c r="P271" s="424">
        <f>IF(OR(P$265&lt;$C271,P$265&lt;$H$2),0,MIN($E271-SUM($G271:O271),$F271))</f>
        <v>0</v>
      </c>
      <c r="Q271" s="424">
        <f>IF(OR(Q$265&lt;$C271,Q$265&lt;$H$2),0,MIN($E271-SUM($G271:P271),$F271))</f>
        <v>0</v>
      </c>
      <c r="R271" s="424">
        <f>IF(OR(R$265&lt;$C271,R$265&lt;$H$2),0,MIN($E271-SUM($G271:Q271),$F271))</f>
        <v>0</v>
      </c>
      <c r="S271" s="424">
        <f>IF(OR(S$265&lt;$C271,S$265&lt;$H$2),0,MIN($E271-SUM($G271:R271),$F271))</f>
        <v>0</v>
      </c>
      <c r="T271" s="424">
        <f>IF(OR(T$265&lt;$C271,T$265&lt;$H$2),0,MIN($E271-SUM($G271:S271),$F271))</f>
        <v>0</v>
      </c>
      <c r="U271" s="424">
        <f>IF(OR(U$265&lt;$C271,U$265&lt;$H$2),0,MIN($E271-SUM($G271:T271),$F271))</f>
        <v>0</v>
      </c>
      <c r="V271" s="424">
        <f>IF(OR(V$265&lt;$C271,V$265&lt;$H$2),0,MIN($E271-SUM($G271:U271),$F271))</f>
        <v>0</v>
      </c>
      <c r="W271" s="424">
        <f>IF(OR(W$265&lt;$C271,W$265&lt;$H$2),0,MIN($E271-SUM($G271:V271),$F271))</f>
        <v>0</v>
      </c>
      <c r="X271" s="424">
        <f>IF(OR(X$265&lt;$C271,X$265&lt;$H$2),0,MIN($E271-SUM($G271:W271),$F271))</f>
        <v>0</v>
      </c>
      <c r="Y271" s="424">
        <f>IF(OR(Y$265&lt;$C271,Y$265&lt;$H$2),0,MIN($E271-SUM($G271:X271),$F271))</f>
        <v>0</v>
      </c>
      <c r="Z271" s="424">
        <f>IF(OR(Z$265&lt;$C271,Z$265&lt;$H$2),0,MIN($E271-SUM($G271:Y271),$F271))</f>
        <v>0</v>
      </c>
      <c r="AA271" s="424">
        <f>IF(OR(AA$265&lt;$C271,AA$265&lt;$H$2),0,MIN($E271-SUM($G271:Z271),$F271))</f>
        <v>0</v>
      </c>
      <c r="AB271" s="424">
        <f>IF(OR(AB$265&lt;$C271,AB$265&lt;$H$2),0,MIN($E271-SUM($G271:AA271),$F271))</f>
        <v>0</v>
      </c>
      <c r="AC271" s="424">
        <f>IF(OR(AC$265&lt;$C271,AC$265&lt;$H$2),0,MIN($E271-SUM($G271:AB271),$F271))</f>
        <v>0</v>
      </c>
      <c r="AD271" s="424">
        <f>IF(OR(AD$265&lt;$C271,AD$265&lt;$H$2),0,MIN($E271-SUM($G271:AC271),$F271))</f>
        <v>0</v>
      </c>
      <c r="AE271" s="424">
        <f>IF(OR(AE$265&lt;$C271,AE$265&lt;$H$2),0,MIN($E271-SUM($G271:AD271),$F271))</f>
        <v>0</v>
      </c>
      <c r="AF271" s="424">
        <f>IF(OR(AF$265&lt;$C271,AF$265&lt;$H$2),0,MIN($E271-SUM($G271:AE271),$F271))</f>
        <v>0</v>
      </c>
      <c r="AG271" s="424">
        <f>IF(OR(AG$265&lt;$C271,AG$265&lt;$H$2),0,MIN($E271-SUM($G271:AF271),$F271))</f>
        <v>0</v>
      </c>
      <c r="AH271" s="424">
        <f>IF(OR(AH$265&lt;$C271,AH$265&lt;$H$2),0,MIN($E271-SUM($G271:AG271),$F271))</f>
        <v>0</v>
      </c>
      <c r="AI271" s="424">
        <f>IF(OR(AI$265&lt;$C271,AI$265&lt;$H$2),0,MIN($E271-SUM($G271:AH271),$F271))</f>
        <v>0</v>
      </c>
      <c r="AJ271" s="424">
        <f>IF(OR(AJ$265&lt;$C271,AJ$265&lt;$H$2),0,MIN($E271-SUM($G271:AI271),$F271))</f>
        <v>0</v>
      </c>
      <c r="AK271" s="424">
        <f>IF(OR(AK$265&lt;$C271,AK$265&lt;$H$2),0,MIN($E271-SUM($G271:AJ271),$F271))</f>
        <v>0</v>
      </c>
    </row>
    <row r="272" spans="3:37">
      <c r="C272" s="201">
        <v>47487</v>
      </c>
      <c r="D272" s="94" t="s">
        <v>134</v>
      </c>
      <c r="E272" s="424">
        <f t="shared" si="114"/>
        <v>0</v>
      </c>
      <c r="F272" s="209">
        <f t="shared" si="115"/>
        <v>0</v>
      </c>
      <c r="H272" s="424">
        <f>IF(OR(H$265&lt;$C272,H$265&lt;$H$2),0,MIN($E272-SUM($G272:G272),$F272))</f>
        <v>0</v>
      </c>
      <c r="I272" s="424">
        <f>IF(OR(I$265&lt;$C272,I$265&lt;$H$2),0,MIN($E272-SUM($G272:H272),$F272))</f>
        <v>0</v>
      </c>
      <c r="J272" s="424">
        <f>IF(OR(J$265&lt;$C272,J$265&lt;$H$2),0,MIN($E272-SUM($G272:I272),$F272))</f>
        <v>0</v>
      </c>
      <c r="K272" s="424">
        <f>IF(OR(K$265&lt;$C272,K$265&lt;$H$2),0,MIN($E272-SUM($G272:J272),$F272))</f>
        <v>0</v>
      </c>
      <c r="L272" s="424">
        <f>IF(OR(L$265&lt;$C272,L$265&lt;$H$2),0,MIN($E272-SUM($G272:K272),$F272))</f>
        <v>0</v>
      </c>
      <c r="M272" s="424">
        <f>IF(OR(M$265&lt;$C272,M$265&lt;$H$2),0,MIN($E272-SUM($G272:L272),$F272))</f>
        <v>0</v>
      </c>
      <c r="N272" s="424">
        <f>IF(OR(N$265&lt;$C272,N$265&lt;$H$2),0,MIN($E272-SUM($G272:M272),$F272))</f>
        <v>0</v>
      </c>
      <c r="O272" s="424">
        <f>IF(OR(O$265&lt;$C272,O$265&lt;$H$2),0,MIN($E272-SUM($G272:N272),$F272))</f>
        <v>0</v>
      </c>
      <c r="P272" s="424">
        <f>IF(OR(P$265&lt;$C272,P$265&lt;$H$2),0,MIN($E272-SUM($G272:O272),$F272))</f>
        <v>0</v>
      </c>
      <c r="Q272" s="424">
        <f>IF(OR(Q$265&lt;$C272,Q$265&lt;$H$2),0,MIN($E272-SUM($G272:P272),$F272))</f>
        <v>0</v>
      </c>
      <c r="R272" s="424">
        <f>IF(OR(R$265&lt;$C272,R$265&lt;$H$2),0,MIN($E272-SUM($G272:Q272),$F272))</f>
        <v>0</v>
      </c>
      <c r="S272" s="424">
        <f>IF(OR(S$265&lt;$C272,S$265&lt;$H$2),0,MIN($E272-SUM($G272:R272),$F272))</f>
        <v>0</v>
      </c>
      <c r="T272" s="424">
        <f>IF(OR(T$265&lt;$C272,T$265&lt;$H$2),0,MIN($E272-SUM($G272:S272),$F272))</f>
        <v>0</v>
      </c>
      <c r="U272" s="424">
        <f>IF(OR(U$265&lt;$C272,U$265&lt;$H$2),0,MIN($E272-SUM($G272:T272),$F272))</f>
        <v>0</v>
      </c>
      <c r="V272" s="424">
        <f>IF(OR(V$265&lt;$C272,V$265&lt;$H$2),0,MIN($E272-SUM($G272:U272),$F272))</f>
        <v>0</v>
      </c>
      <c r="W272" s="424">
        <f>IF(OR(W$265&lt;$C272,W$265&lt;$H$2),0,MIN($E272-SUM($G272:V272),$F272))</f>
        <v>0</v>
      </c>
      <c r="X272" s="424">
        <f>IF(OR(X$265&lt;$C272,X$265&lt;$H$2),0,MIN($E272-SUM($G272:W272),$F272))</f>
        <v>0</v>
      </c>
      <c r="Y272" s="424">
        <f>IF(OR(Y$265&lt;$C272,Y$265&lt;$H$2),0,MIN($E272-SUM($G272:X272),$F272))</f>
        <v>0</v>
      </c>
      <c r="Z272" s="424">
        <f>IF(OR(Z$265&lt;$C272,Z$265&lt;$H$2),0,MIN($E272-SUM($G272:Y272),$F272))</f>
        <v>0</v>
      </c>
      <c r="AA272" s="424">
        <f>IF(OR(AA$265&lt;$C272,AA$265&lt;$H$2),0,MIN($E272-SUM($G272:Z272),$F272))</f>
        <v>0</v>
      </c>
      <c r="AB272" s="424">
        <f>IF(OR(AB$265&lt;$C272,AB$265&lt;$H$2),0,MIN($E272-SUM($G272:AA272),$F272))</f>
        <v>0</v>
      </c>
      <c r="AC272" s="424">
        <f>IF(OR(AC$265&lt;$C272,AC$265&lt;$H$2),0,MIN($E272-SUM($G272:AB272),$F272))</f>
        <v>0</v>
      </c>
      <c r="AD272" s="424">
        <f>IF(OR(AD$265&lt;$C272,AD$265&lt;$H$2),0,MIN($E272-SUM($G272:AC272),$F272))</f>
        <v>0</v>
      </c>
      <c r="AE272" s="424">
        <f>IF(OR(AE$265&lt;$C272,AE$265&lt;$H$2),0,MIN($E272-SUM($G272:AD272),$F272))</f>
        <v>0</v>
      </c>
      <c r="AF272" s="424">
        <f>IF(OR(AF$265&lt;$C272,AF$265&lt;$H$2),0,MIN($E272-SUM($G272:AE272),$F272))</f>
        <v>0</v>
      </c>
      <c r="AG272" s="424">
        <f>IF(OR(AG$265&lt;$C272,AG$265&lt;$H$2),0,MIN($E272-SUM($G272:AF272),$F272))</f>
        <v>0</v>
      </c>
      <c r="AH272" s="424">
        <f>IF(OR(AH$265&lt;$C272,AH$265&lt;$H$2),0,MIN($E272-SUM($G272:AG272),$F272))</f>
        <v>0</v>
      </c>
      <c r="AI272" s="424">
        <f>IF(OR(AI$265&lt;$C272,AI$265&lt;$H$2),0,MIN($E272-SUM($G272:AH272),$F272))</f>
        <v>0</v>
      </c>
      <c r="AJ272" s="424">
        <f>IF(OR(AJ$265&lt;$C272,AJ$265&lt;$H$2),0,MIN($E272-SUM($G272:AI272),$F272))</f>
        <v>0</v>
      </c>
      <c r="AK272" s="424">
        <f>IF(OR(AK$265&lt;$C272,AK$265&lt;$H$2),0,MIN($E272-SUM($G272:AJ272),$F272))</f>
        <v>0</v>
      </c>
    </row>
    <row r="273" spans="3:37">
      <c r="C273" s="201">
        <v>47853</v>
      </c>
      <c r="D273" s="94" t="s">
        <v>134</v>
      </c>
      <c r="E273" s="424">
        <f t="shared" si="114"/>
        <v>0</v>
      </c>
      <c r="F273" s="209">
        <f t="shared" si="115"/>
        <v>0</v>
      </c>
      <c r="H273" s="424">
        <f>IF(OR(H$265&lt;$C273,H$265&lt;$H$2),0,MIN($E273-SUM($G273:G273),$F273))</f>
        <v>0</v>
      </c>
      <c r="I273" s="424">
        <f>IF(OR(I$265&lt;$C273,I$265&lt;$H$2),0,MIN($E273-SUM($G273:H273),$F273))</f>
        <v>0</v>
      </c>
      <c r="J273" s="424">
        <f>IF(OR(J$265&lt;$C273,J$265&lt;$H$2),0,MIN($E273-SUM($G273:I273),$F273))</f>
        <v>0</v>
      </c>
      <c r="K273" s="424">
        <f>IF(OR(K$265&lt;$C273,K$265&lt;$H$2),0,MIN($E273-SUM($G273:J273),$F273))</f>
        <v>0</v>
      </c>
      <c r="L273" s="424">
        <f>IF(OR(L$265&lt;$C273,L$265&lt;$H$2),0,MIN($E273-SUM($G273:K273),$F273))</f>
        <v>0</v>
      </c>
      <c r="M273" s="424">
        <f>IF(OR(M$265&lt;$C273,M$265&lt;$H$2),0,MIN($E273-SUM($G273:L273),$F273))</f>
        <v>0</v>
      </c>
      <c r="N273" s="424">
        <f>IF(OR(N$265&lt;$C273,N$265&lt;$H$2),0,MIN($E273-SUM($G273:M273),$F273))</f>
        <v>0</v>
      </c>
      <c r="O273" s="424">
        <f>IF(OR(O$265&lt;$C273,O$265&lt;$H$2),0,MIN($E273-SUM($G273:N273),$F273))</f>
        <v>0</v>
      </c>
      <c r="P273" s="424">
        <f>IF(OR(P$265&lt;$C273,P$265&lt;$H$2),0,MIN($E273-SUM($G273:O273),$F273))</f>
        <v>0</v>
      </c>
      <c r="Q273" s="424">
        <f>IF(OR(Q$265&lt;$C273,Q$265&lt;$H$2),0,MIN($E273-SUM($G273:P273),$F273))</f>
        <v>0</v>
      </c>
      <c r="R273" s="424">
        <f>IF(OR(R$265&lt;$C273,R$265&lt;$H$2),0,MIN($E273-SUM($G273:Q273),$F273))</f>
        <v>0</v>
      </c>
      <c r="S273" s="424">
        <f>IF(OR(S$265&lt;$C273,S$265&lt;$H$2),0,MIN($E273-SUM($G273:R273),$F273))</f>
        <v>0</v>
      </c>
      <c r="T273" s="424">
        <f>IF(OR(T$265&lt;$C273,T$265&lt;$H$2),0,MIN($E273-SUM($G273:S273),$F273))</f>
        <v>0</v>
      </c>
      <c r="U273" s="424">
        <f>IF(OR(U$265&lt;$C273,U$265&lt;$H$2),0,MIN($E273-SUM($G273:T273),$F273))</f>
        <v>0</v>
      </c>
      <c r="V273" s="424">
        <f>IF(OR(V$265&lt;$C273,V$265&lt;$H$2),0,MIN($E273-SUM($G273:U273),$F273))</f>
        <v>0</v>
      </c>
      <c r="W273" s="424">
        <f>IF(OR(W$265&lt;$C273,W$265&lt;$H$2),0,MIN($E273-SUM($G273:V273),$F273))</f>
        <v>0</v>
      </c>
      <c r="X273" s="424">
        <f>IF(OR(X$265&lt;$C273,X$265&lt;$H$2),0,MIN($E273-SUM($G273:W273),$F273))</f>
        <v>0</v>
      </c>
      <c r="Y273" s="424">
        <f>IF(OR(Y$265&lt;$C273,Y$265&lt;$H$2),0,MIN($E273-SUM($G273:X273),$F273))</f>
        <v>0</v>
      </c>
      <c r="Z273" s="424">
        <f>IF(OR(Z$265&lt;$C273,Z$265&lt;$H$2),0,MIN($E273-SUM($G273:Y273),$F273))</f>
        <v>0</v>
      </c>
      <c r="AA273" s="424">
        <f>IF(OR(AA$265&lt;$C273,AA$265&lt;$H$2),0,MIN($E273-SUM($G273:Z273),$F273))</f>
        <v>0</v>
      </c>
      <c r="AB273" s="424">
        <f>IF(OR(AB$265&lt;$C273,AB$265&lt;$H$2),0,MIN($E273-SUM($G273:AA273),$F273))</f>
        <v>0</v>
      </c>
      <c r="AC273" s="424">
        <f>IF(OR(AC$265&lt;$C273,AC$265&lt;$H$2),0,MIN($E273-SUM($G273:AB273),$F273))</f>
        <v>0</v>
      </c>
      <c r="AD273" s="424">
        <f>IF(OR(AD$265&lt;$C273,AD$265&lt;$H$2),0,MIN($E273-SUM($G273:AC273),$F273))</f>
        <v>0</v>
      </c>
      <c r="AE273" s="424">
        <f>IF(OR(AE$265&lt;$C273,AE$265&lt;$H$2),0,MIN($E273-SUM($G273:AD273),$F273))</f>
        <v>0</v>
      </c>
      <c r="AF273" s="424">
        <f>IF(OR(AF$265&lt;$C273,AF$265&lt;$H$2),0,MIN($E273-SUM($G273:AE273),$F273))</f>
        <v>0</v>
      </c>
      <c r="AG273" s="424">
        <f>IF(OR(AG$265&lt;$C273,AG$265&lt;$H$2),0,MIN($E273-SUM($G273:AF273),$F273))</f>
        <v>0</v>
      </c>
      <c r="AH273" s="424">
        <f>IF(OR(AH$265&lt;$C273,AH$265&lt;$H$2),0,MIN($E273-SUM($G273:AG273),$F273))</f>
        <v>0</v>
      </c>
      <c r="AI273" s="424">
        <f>IF(OR(AI$265&lt;$C273,AI$265&lt;$H$2),0,MIN($E273-SUM($G273:AH273),$F273))</f>
        <v>0</v>
      </c>
      <c r="AJ273" s="424">
        <f>IF(OR(AJ$265&lt;$C273,AJ$265&lt;$H$2),0,MIN($E273-SUM($G273:AI273),$F273))</f>
        <v>0</v>
      </c>
      <c r="AK273" s="424">
        <f>IF(OR(AK$265&lt;$C273,AK$265&lt;$H$2),0,MIN($E273-SUM($G273:AJ273),$F273))</f>
        <v>0</v>
      </c>
    </row>
    <row r="274" spans="3:37">
      <c r="C274" s="201">
        <v>48219</v>
      </c>
      <c r="D274" s="94" t="s">
        <v>134</v>
      </c>
      <c r="E274" s="424">
        <f t="shared" si="114"/>
        <v>0</v>
      </c>
      <c r="F274" s="209">
        <f t="shared" si="115"/>
        <v>0</v>
      </c>
      <c r="H274" s="424">
        <f>IF(OR(H$265&lt;$C274,H$265&lt;$H$2),0,MIN($E274-SUM($G274:G274),$F274))</f>
        <v>0</v>
      </c>
      <c r="I274" s="424">
        <f>IF(OR(I$265&lt;$C274,I$265&lt;$H$2),0,MIN($E274-SUM($G274:H274),$F274))</f>
        <v>0</v>
      </c>
      <c r="J274" s="424">
        <f>IF(OR(J$265&lt;$C274,J$265&lt;$H$2),0,MIN($E274-SUM($G274:I274),$F274))</f>
        <v>0</v>
      </c>
      <c r="K274" s="424">
        <f>IF(OR(K$265&lt;$C274,K$265&lt;$H$2),0,MIN($E274-SUM($G274:J274),$F274))</f>
        <v>0</v>
      </c>
      <c r="L274" s="424">
        <f>IF(OR(L$265&lt;$C274,L$265&lt;$H$2),0,MIN($E274-SUM($G274:K274),$F274))</f>
        <v>0</v>
      </c>
      <c r="M274" s="424">
        <f>IF(OR(M$265&lt;$C274,M$265&lt;$H$2),0,MIN($E274-SUM($G274:L274),$F274))</f>
        <v>0</v>
      </c>
      <c r="N274" s="424">
        <f>IF(OR(N$265&lt;$C274,N$265&lt;$H$2),0,MIN($E274-SUM($G274:M274),$F274))</f>
        <v>0</v>
      </c>
      <c r="O274" s="424">
        <f>IF(OR(O$265&lt;$C274,O$265&lt;$H$2),0,MIN($E274-SUM($G274:N274),$F274))</f>
        <v>0</v>
      </c>
      <c r="P274" s="424">
        <f>IF(OR(P$265&lt;$C274,P$265&lt;$H$2),0,MIN($E274-SUM($G274:O274),$F274))</f>
        <v>0</v>
      </c>
      <c r="Q274" s="424">
        <f>IF(OR(Q$265&lt;$C274,Q$265&lt;$H$2),0,MIN($E274-SUM($G274:P274),$F274))</f>
        <v>0</v>
      </c>
      <c r="R274" s="424">
        <f>IF(OR(R$265&lt;$C274,R$265&lt;$H$2),0,MIN($E274-SUM($G274:Q274),$F274))</f>
        <v>0</v>
      </c>
      <c r="S274" s="424">
        <f>IF(OR(S$265&lt;$C274,S$265&lt;$H$2),0,MIN($E274-SUM($G274:R274),$F274))</f>
        <v>0</v>
      </c>
      <c r="T274" s="424">
        <f>IF(OR(T$265&lt;$C274,T$265&lt;$H$2),0,MIN($E274-SUM($G274:S274),$F274))</f>
        <v>0</v>
      </c>
      <c r="U274" s="424">
        <f>IF(OR(U$265&lt;$C274,U$265&lt;$H$2),0,MIN($E274-SUM($G274:T274),$F274))</f>
        <v>0</v>
      </c>
      <c r="V274" s="424">
        <f>IF(OR(V$265&lt;$C274,V$265&lt;$H$2),0,MIN($E274-SUM($G274:U274),$F274))</f>
        <v>0</v>
      </c>
      <c r="W274" s="424">
        <f>IF(OR(W$265&lt;$C274,W$265&lt;$H$2),0,MIN($E274-SUM($G274:V274),$F274))</f>
        <v>0</v>
      </c>
      <c r="X274" s="424">
        <f>IF(OR(X$265&lt;$C274,X$265&lt;$H$2),0,MIN($E274-SUM($G274:W274),$F274))</f>
        <v>0</v>
      </c>
      <c r="Y274" s="424">
        <f>IF(OR(Y$265&lt;$C274,Y$265&lt;$H$2),0,MIN($E274-SUM($G274:X274),$F274))</f>
        <v>0</v>
      </c>
      <c r="Z274" s="424">
        <f>IF(OR(Z$265&lt;$C274,Z$265&lt;$H$2),0,MIN($E274-SUM($G274:Y274),$F274))</f>
        <v>0</v>
      </c>
      <c r="AA274" s="424">
        <f>IF(OR(AA$265&lt;$C274,AA$265&lt;$H$2),0,MIN($E274-SUM($G274:Z274),$F274))</f>
        <v>0</v>
      </c>
      <c r="AB274" s="424">
        <f>IF(OR(AB$265&lt;$C274,AB$265&lt;$H$2),0,MIN($E274-SUM($G274:AA274),$F274))</f>
        <v>0</v>
      </c>
      <c r="AC274" s="424">
        <f>IF(OR(AC$265&lt;$C274,AC$265&lt;$H$2),0,MIN($E274-SUM($G274:AB274),$F274))</f>
        <v>0</v>
      </c>
      <c r="AD274" s="424">
        <f>IF(OR(AD$265&lt;$C274,AD$265&lt;$H$2),0,MIN($E274-SUM($G274:AC274),$F274))</f>
        <v>0</v>
      </c>
      <c r="AE274" s="424">
        <f>IF(OR(AE$265&lt;$C274,AE$265&lt;$H$2),0,MIN($E274-SUM($G274:AD274),$F274))</f>
        <v>0</v>
      </c>
      <c r="AF274" s="424">
        <f>IF(OR(AF$265&lt;$C274,AF$265&lt;$H$2),0,MIN($E274-SUM($G274:AE274),$F274))</f>
        <v>0</v>
      </c>
      <c r="AG274" s="424">
        <f>IF(OR(AG$265&lt;$C274,AG$265&lt;$H$2),0,MIN($E274-SUM($G274:AF274),$F274))</f>
        <v>0</v>
      </c>
      <c r="AH274" s="424">
        <f>IF(OR(AH$265&lt;$C274,AH$265&lt;$H$2),0,MIN($E274-SUM($G274:AG274),$F274))</f>
        <v>0</v>
      </c>
      <c r="AI274" s="424">
        <f>IF(OR(AI$265&lt;$C274,AI$265&lt;$H$2),0,MIN($E274-SUM($G274:AH274),$F274))</f>
        <v>0</v>
      </c>
      <c r="AJ274" s="424">
        <f>IF(OR(AJ$265&lt;$C274,AJ$265&lt;$H$2),0,MIN($E274-SUM($G274:AI274),$F274))</f>
        <v>0</v>
      </c>
      <c r="AK274" s="424">
        <f>IF(OR(AK$265&lt;$C274,AK$265&lt;$H$2),0,MIN($E274-SUM($G274:AJ274),$F274))</f>
        <v>0</v>
      </c>
    </row>
    <row r="275" spans="3:37">
      <c r="C275" s="201">
        <v>48585</v>
      </c>
      <c r="D275" s="94" t="s">
        <v>134</v>
      </c>
      <c r="E275" s="424">
        <f t="shared" si="114"/>
        <v>0</v>
      </c>
      <c r="F275" s="209">
        <f t="shared" si="115"/>
        <v>0</v>
      </c>
      <c r="H275" s="424">
        <f>IF(OR(H$265&lt;$C275,H$265&lt;$H$2),0,MIN($E275-SUM($G275:G275),$F275))</f>
        <v>0</v>
      </c>
      <c r="I275" s="424">
        <f>IF(OR(I$265&lt;$C275,I$265&lt;$H$2),0,MIN($E275-SUM($G275:H275),$F275))</f>
        <v>0</v>
      </c>
      <c r="J275" s="424">
        <f>IF(OR(J$265&lt;$C275,J$265&lt;$H$2),0,MIN($E275-SUM($G275:I275),$F275))</f>
        <v>0</v>
      </c>
      <c r="K275" s="424">
        <f>IF(OR(K$265&lt;$C275,K$265&lt;$H$2),0,MIN($E275-SUM($G275:J275),$F275))</f>
        <v>0</v>
      </c>
      <c r="L275" s="424">
        <f>IF(OR(L$265&lt;$C275,L$265&lt;$H$2),0,MIN($E275-SUM($G275:K275),$F275))</f>
        <v>0</v>
      </c>
      <c r="M275" s="424">
        <f>IF(OR(M$265&lt;$C275,M$265&lt;$H$2),0,MIN($E275-SUM($G275:L275),$F275))</f>
        <v>0</v>
      </c>
      <c r="N275" s="424">
        <f>IF(OR(N$265&lt;$C275,N$265&lt;$H$2),0,MIN($E275-SUM($G275:M275),$F275))</f>
        <v>0</v>
      </c>
      <c r="O275" s="424">
        <f>IF(OR(O$265&lt;$C275,O$265&lt;$H$2),0,MIN($E275-SUM($G275:N275),$F275))</f>
        <v>0</v>
      </c>
      <c r="P275" s="424">
        <f>IF(OR(P$265&lt;$C275,P$265&lt;$H$2),0,MIN($E275-SUM($G275:O275),$F275))</f>
        <v>0</v>
      </c>
      <c r="Q275" s="424">
        <f>IF(OR(Q$265&lt;$C275,Q$265&lt;$H$2),0,MIN($E275-SUM($G275:P275),$F275))</f>
        <v>0</v>
      </c>
      <c r="R275" s="424">
        <f>IF(OR(R$265&lt;$C275,R$265&lt;$H$2),0,MIN($E275-SUM($G275:Q275),$F275))</f>
        <v>0</v>
      </c>
      <c r="S275" s="424">
        <f>IF(OR(S$265&lt;$C275,S$265&lt;$H$2),0,MIN($E275-SUM($G275:R275),$F275))</f>
        <v>0</v>
      </c>
      <c r="T275" s="424">
        <f>IF(OR(T$265&lt;$C275,T$265&lt;$H$2),0,MIN($E275-SUM($G275:S275),$F275))</f>
        <v>0</v>
      </c>
      <c r="U275" s="424">
        <f>IF(OR(U$265&lt;$C275,U$265&lt;$H$2),0,MIN($E275-SUM($G275:T275),$F275))</f>
        <v>0</v>
      </c>
      <c r="V275" s="424">
        <f>IF(OR(V$265&lt;$C275,V$265&lt;$H$2),0,MIN($E275-SUM($G275:U275),$F275))</f>
        <v>0</v>
      </c>
      <c r="W275" s="424">
        <f>IF(OR(W$265&lt;$C275,W$265&lt;$H$2),0,MIN($E275-SUM($G275:V275),$F275))</f>
        <v>0</v>
      </c>
      <c r="X275" s="424">
        <f>IF(OR(X$265&lt;$C275,X$265&lt;$H$2),0,MIN($E275-SUM($G275:W275),$F275))</f>
        <v>0</v>
      </c>
      <c r="Y275" s="424">
        <f>IF(OR(Y$265&lt;$C275,Y$265&lt;$H$2),0,MIN($E275-SUM($G275:X275),$F275))</f>
        <v>0</v>
      </c>
      <c r="Z275" s="424">
        <f>IF(OR(Z$265&lt;$C275,Z$265&lt;$H$2),0,MIN($E275-SUM($G275:Y275),$F275))</f>
        <v>0</v>
      </c>
      <c r="AA275" s="424">
        <f>IF(OR(AA$265&lt;$C275,AA$265&lt;$H$2),0,MIN($E275-SUM($G275:Z275),$F275))</f>
        <v>0</v>
      </c>
      <c r="AB275" s="424">
        <f>IF(OR(AB$265&lt;$C275,AB$265&lt;$H$2),0,MIN($E275-SUM($G275:AA275),$F275))</f>
        <v>0</v>
      </c>
      <c r="AC275" s="424">
        <f>IF(OR(AC$265&lt;$C275,AC$265&lt;$H$2),0,MIN($E275-SUM($G275:AB275),$F275))</f>
        <v>0</v>
      </c>
      <c r="AD275" s="424">
        <f>IF(OR(AD$265&lt;$C275,AD$265&lt;$H$2),0,MIN($E275-SUM($G275:AC275),$F275))</f>
        <v>0</v>
      </c>
      <c r="AE275" s="424">
        <f>IF(OR(AE$265&lt;$C275,AE$265&lt;$H$2),0,MIN($E275-SUM($G275:AD275),$F275))</f>
        <v>0</v>
      </c>
      <c r="AF275" s="424">
        <f>IF(OR(AF$265&lt;$C275,AF$265&lt;$H$2),0,MIN($E275-SUM($G275:AE275),$F275))</f>
        <v>0</v>
      </c>
      <c r="AG275" s="424">
        <f>IF(OR(AG$265&lt;$C275,AG$265&lt;$H$2),0,MIN($E275-SUM($G275:AF275),$F275))</f>
        <v>0</v>
      </c>
      <c r="AH275" s="424">
        <f>IF(OR(AH$265&lt;$C275,AH$265&lt;$H$2),0,MIN($E275-SUM($G275:AG275),$F275))</f>
        <v>0</v>
      </c>
      <c r="AI275" s="424">
        <f>IF(OR(AI$265&lt;$C275,AI$265&lt;$H$2),0,MIN($E275-SUM($G275:AH275),$F275))</f>
        <v>0</v>
      </c>
      <c r="AJ275" s="424">
        <f>IF(OR(AJ$265&lt;$C275,AJ$265&lt;$H$2),0,MIN($E275-SUM($G275:AI275),$F275))</f>
        <v>0</v>
      </c>
      <c r="AK275" s="424">
        <f>IF(OR(AK$265&lt;$C275,AK$265&lt;$H$2),0,MIN($E275-SUM($G275:AJ275),$F275))</f>
        <v>0</v>
      </c>
    </row>
    <row r="276" spans="3:37">
      <c r="C276" s="201">
        <v>48951</v>
      </c>
      <c r="D276" s="94" t="s">
        <v>134</v>
      </c>
      <c r="E276" s="424">
        <f t="shared" si="114"/>
        <v>0</v>
      </c>
      <c r="F276" s="209">
        <f t="shared" si="115"/>
        <v>0</v>
      </c>
      <c r="H276" s="424">
        <f>IF(OR(H$265&lt;$C276,H$265&lt;$H$2),0,MIN($E276-SUM($G276:G276),$F276))</f>
        <v>0</v>
      </c>
      <c r="I276" s="424">
        <f>IF(OR(I$265&lt;$C276,I$265&lt;$H$2),0,MIN($E276-SUM($G276:H276),$F276))</f>
        <v>0</v>
      </c>
      <c r="J276" s="424">
        <f>IF(OR(J$265&lt;$C276,J$265&lt;$H$2),0,MIN($E276-SUM($G276:I276),$F276))</f>
        <v>0</v>
      </c>
      <c r="K276" s="424">
        <f>IF(OR(K$265&lt;$C276,K$265&lt;$H$2),0,MIN($E276-SUM($G276:J276),$F276))</f>
        <v>0</v>
      </c>
      <c r="L276" s="424">
        <f>IF(OR(L$265&lt;$C276,L$265&lt;$H$2),0,MIN($E276-SUM($G276:K276),$F276))</f>
        <v>0</v>
      </c>
      <c r="M276" s="424">
        <f>IF(OR(M$265&lt;$C276,M$265&lt;$H$2),0,MIN($E276-SUM($G276:L276),$F276))</f>
        <v>0</v>
      </c>
      <c r="N276" s="424">
        <f>IF(OR(N$265&lt;$C276,N$265&lt;$H$2),0,MIN($E276-SUM($G276:M276),$F276))</f>
        <v>0</v>
      </c>
      <c r="O276" s="424">
        <f>IF(OR(O$265&lt;$C276,O$265&lt;$H$2),0,MIN($E276-SUM($G276:N276),$F276))</f>
        <v>0</v>
      </c>
      <c r="P276" s="424">
        <f>IF(OR(P$265&lt;$C276,P$265&lt;$H$2),0,MIN($E276-SUM($G276:O276),$F276))</f>
        <v>0</v>
      </c>
      <c r="Q276" s="424">
        <f>IF(OR(Q$265&lt;$C276,Q$265&lt;$H$2),0,MIN($E276-SUM($G276:P276),$F276))</f>
        <v>0</v>
      </c>
      <c r="R276" s="424">
        <f>IF(OR(R$265&lt;$C276,R$265&lt;$H$2),0,MIN($E276-SUM($G276:Q276),$F276))</f>
        <v>0</v>
      </c>
      <c r="S276" s="424">
        <f>IF(OR(S$265&lt;$C276,S$265&lt;$H$2),0,MIN($E276-SUM($G276:R276),$F276))</f>
        <v>0</v>
      </c>
      <c r="T276" s="424">
        <f>IF(OR(T$265&lt;$C276,T$265&lt;$H$2),0,MIN($E276-SUM($G276:S276),$F276))</f>
        <v>0</v>
      </c>
      <c r="U276" s="424">
        <f>IF(OR(U$265&lt;$C276,U$265&lt;$H$2),0,MIN($E276-SUM($G276:T276),$F276))</f>
        <v>0</v>
      </c>
      <c r="V276" s="424">
        <f>IF(OR(V$265&lt;$C276,V$265&lt;$H$2),0,MIN($E276-SUM($G276:U276),$F276))</f>
        <v>0</v>
      </c>
      <c r="W276" s="424">
        <f>IF(OR(W$265&lt;$C276,W$265&lt;$H$2),0,MIN($E276-SUM($G276:V276),$F276))</f>
        <v>0</v>
      </c>
      <c r="X276" s="424">
        <f>IF(OR(X$265&lt;$C276,X$265&lt;$H$2),0,MIN($E276-SUM($G276:W276),$F276))</f>
        <v>0</v>
      </c>
      <c r="Y276" s="424">
        <f>IF(OR(Y$265&lt;$C276,Y$265&lt;$H$2),0,MIN($E276-SUM($G276:X276),$F276))</f>
        <v>0</v>
      </c>
      <c r="Z276" s="424">
        <f>IF(OR(Z$265&lt;$C276,Z$265&lt;$H$2),0,MIN($E276-SUM($G276:Y276),$F276))</f>
        <v>0</v>
      </c>
      <c r="AA276" s="424">
        <f>IF(OR(AA$265&lt;$C276,AA$265&lt;$H$2),0,MIN($E276-SUM($G276:Z276),$F276))</f>
        <v>0</v>
      </c>
      <c r="AB276" s="424">
        <f>IF(OR(AB$265&lt;$C276,AB$265&lt;$H$2),0,MIN($E276-SUM($G276:AA276),$F276))</f>
        <v>0</v>
      </c>
      <c r="AC276" s="424">
        <f>IF(OR(AC$265&lt;$C276,AC$265&lt;$H$2),0,MIN($E276-SUM($G276:AB276),$F276))</f>
        <v>0</v>
      </c>
      <c r="AD276" s="424">
        <f>IF(OR(AD$265&lt;$C276,AD$265&lt;$H$2),0,MIN($E276-SUM($G276:AC276),$F276))</f>
        <v>0</v>
      </c>
      <c r="AE276" s="424">
        <f>IF(OR(AE$265&lt;$C276,AE$265&lt;$H$2),0,MIN($E276-SUM($G276:AD276),$F276))</f>
        <v>0</v>
      </c>
      <c r="AF276" s="424">
        <f>IF(OR(AF$265&lt;$C276,AF$265&lt;$H$2),0,MIN($E276-SUM($G276:AE276),$F276))</f>
        <v>0</v>
      </c>
      <c r="AG276" s="424">
        <f>IF(OR(AG$265&lt;$C276,AG$265&lt;$H$2),0,MIN($E276-SUM($G276:AF276),$F276))</f>
        <v>0</v>
      </c>
      <c r="AH276" s="424">
        <f>IF(OR(AH$265&lt;$C276,AH$265&lt;$H$2),0,MIN($E276-SUM($G276:AG276),$F276))</f>
        <v>0</v>
      </c>
      <c r="AI276" s="424">
        <f>IF(OR(AI$265&lt;$C276,AI$265&lt;$H$2),0,MIN($E276-SUM($G276:AH276),$F276))</f>
        <v>0</v>
      </c>
      <c r="AJ276" s="424">
        <f>IF(OR(AJ$265&lt;$C276,AJ$265&lt;$H$2),0,MIN($E276-SUM($G276:AI276),$F276))</f>
        <v>0</v>
      </c>
      <c r="AK276" s="424">
        <f>IF(OR(AK$265&lt;$C276,AK$265&lt;$H$2),0,MIN($E276-SUM($G276:AJ276),$F276))</f>
        <v>0</v>
      </c>
    </row>
    <row r="277" spans="3:37">
      <c r="C277" s="201">
        <v>49317</v>
      </c>
      <c r="D277" s="94" t="s">
        <v>134</v>
      </c>
      <c r="E277" s="424">
        <f t="shared" si="114"/>
        <v>0</v>
      </c>
      <c r="F277" s="209">
        <f t="shared" si="115"/>
        <v>0</v>
      </c>
      <c r="H277" s="424">
        <f>IF(OR(H$265&lt;$C277,H$265&lt;$H$2),0,MIN($E277-SUM($G277:G277),$F277))</f>
        <v>0</v>
      </c>
      <c r="I277" s="424">
        <f>IF(OR(I$265&lt;$C277,I$265&lt;$H$2),0,MIN($E277-SUM($G277:H277),$F277))</f>
        <v>0</v>
      </c>
      <c r="J277" s="424">
        <f>IF(OR(J$265&lt;$C277,J$265&lt;$H$2),0,MIN($E277-SUM($G277:I277),$F277))</f>
        <v>0</v>
      </c>
      <c r="K277" s="424">
        <f>IF(OR(K$265&lt;$C277,K$265&lt;$H$2),0,MIN($E277-SUM($G277:J277),$F277))</f>
        <v>0</v>
      </c>
      <c r="L277" s="424">
        <f>IF(OR(L$265&lt;$C277,L$265&lt;$H$2),0,MIN($E277-SUM($G277:K277),$F277))</f>
        <v>0</v>
      </c>
      <c r="M277" s="424">
        <f>IF(OR(M$265&lt;$C277,M$265&lt;$H$2),0,MIN($E277-SUM($G277:L277),$F277))</f>
        <v>0</v>
      </c>
      <c r="N277" s="424">
        <f>IF(OR(N$265&lt;$C277,N$265&lt;$H$2),0,MIN($E277-SUM($G277:M277),$F277))</f>
        <v>0</v>
      </c>
      <c r="O277" s="424">
        <f>IF(OR(O$265&lt;$C277,O$265&lt;$H$2),0,MIN($E277-SUM($G277:N277),$F277))</f>
        <v>0</v>
      </c>
      <c r="P277" s="424">
        <f>IF(OR(P$265&lt;$C277,P$265&lt;$H$2),0,MIN($E277-SUM($G277:O277),$F277))</f>
        <v>0</v>
      </c>
      <c r="Q277" s="424">
        <f>IF(OR(Q$265&lt;$C277,Q$265&lt;$H$2),0,MIN($E277-SUM($G277:P277),$F277))</f>
        <v>0</v>
      </c>
      <c r="R277" s="424">
        <f>IF(OR(R$265&lt;$C277,R$265&lt;$H$2),0,MIN($E277-SUM($G277:Q277),$F277))</f>
        <v>0</v>
      </c>
      <c r="S277" s="424">
        <f>IF(OR(S$265&lt;$C277,S$265&lt;$H$2),0,MIN($E277-SUM($G277:R277),$F277))</f>
        <v>0</v>
      </c>
      <c r="T277" s="424">
        <f>IF(OR(T$265&lt;$C277,T$265&lt;$H$2),0,MIN($E277-SUM($G277:S277),$F277))</f>
        <v>0</v>
      </c>
      <c r="U277" s="424">
        <f>IF(OR(U$265&lt;$C277,U$265&lt;$H$2),0,MIN($E277-SUM($G277:T277),$F277))</f>
        <v>0</v>
      </c>
      <c r="V277" s="424">
        <f>IF(OR(V$265&lt;$C277,V$265&lt;$H$2),0,MIN($E277-SUM($G277:U277),$F277))</f>
        <v>0</v>
      </c>
      <c r="W277" s="424">
        <f>IF(OR(W$265&lt;$C277,W$265&lt;$H$2),0,MIN($E277-SUM($G277:V277),$F277))</f>
        <v>0</v>
      </c>
      <c r="X277" s="424">
        <f>IF(OR(X$265&lt;$C277,X$265&lt;$H$2),0,MIN($E277-SUM($G277:W277),$F277))</f>
        <v>0</v>
      </c>
      <c r="Y277" s="424">
        <f>IF(OR(Y$265&lt;$C277,Y$265&lt;$H$2),0,MIN($E277-SUM($G277:X277),$F277))</f>
        <v>0</v>
      </c>
      <c r="Z277" s="424">
        <f>IF(OR(Z$265&lt;$C277,Z$265&lt;$H$2),0,MIN($E277-SUM($G277:Y277),$F277))</f>
        <v>0</v>
      </c>
      <c r="AA277" s="424">
        <f>IF(OR(AA$265&lt;$C277,AA$265&lt;$H$2),0,MIN($E277-SUM($G277:Z277),$F277))</f>
        <v>0</v>
      </c>
      <c r="AB277" s="424">
        <f>IF(OR(AB$265&lt;$C277,AB$265&lt;$H$2),0,MIN($E277-SUM($G277:AA277),$F277))</f>
        <v>0</v>
      </c>
      <c r="AC277" s="424">
        <f>IF(OR(AC$265&lt;$C277,AC$265&lt;$H$2),0,MIN($E277-SUM($G277:AB277),$F277))</f>
        <v>0</v>
      </c>
      <c r="AD277" s="424">
        <f>IF(OR(AD$265&lt;$C277,AD$265&lt;$H$2),0,MIN($E277-SUM($G277:AC277),$F277))</f>
        <v>0</v>
      </c>
      <c r="AE277" s="424">
        <f>IF(OR(AE$265&lt;$C277,AE$265&lt;$H$2),0,MIN($E277-SUM($G277:AD277),$F277))</f>
        <v>0</v>
      </c>
      <c r="AF277" s="424">
        <f>IF(OR(AF$265&lt;$C277,AF$265&lt;$H$2),0,MIN($E277-SUM($G277:AE277),$F277))</f>
        <v>0</v>
      </c>
      <c r="AG277" s="424">
        <f>IF(OR(AG$265&lt;$C277,AG$265&lt;$H$2),0,MIN($E277-SUM($G277:AF277),$F277))</f>
        <v>0</v>
      </c>
      <c r="AH277" s="424">
        <f>IF(OR(AH$265&lt;$C277,AH$265&lt;$H$2),0,MIN($E277-SUM($G277:AG277),$F277))</f>
        <v>0</v>
      </c>
      <c r="AI277" s="424">
        <f>IF(OR(AI$265&lt;$C277,AI$265&lt;$H$2),0,MIN($E277-SUM($G277:AH277),$F277))</f>
        <v>0</v>
      </c>
      <c r="AJ277" s="424">
        <f>IF(OR(AJ$265&lt;$C277,AJ$265&lt;$H$2),0,MIN($E277-SUM($G277:AI277),$F277))</f>
        <v>0</v>
      </c>
      <c r="AK277" s="424">
        <f>IF(OR(AK$265&lt;$C277,AK$265&lt;$H$2),0,MIN($E277-SUM($G277:AJ277),$F277))</f>
        <v>0</v>
      </c>
    </row>
    <row r="278" spans="3:37">
      <c r="C278" s="201">
        <v>49683</v>
      </c>
      <c r="D278" s="94" t="s">
        <v>134</v>
      </c>
      <c r="E278" s="424">
        <f t="shared" si="114"/>
        <v>0</v>
      </c>
      <c r="F278" s="209">
        <f t="shared" si="115"/>
        <v>0</v>
      </c>
      <c r="H278" s="424">
        <f>IF(OR(H$265&lt;$C278,H$265&lt;$H$2),0,MIN($E278-SUM($G278:G278),$F278))</f>
        <v>0</v>
      </c>
      <c r="I278" s="424">
        <f>IF(OR(I$265&lt;$C278,I$265&lt;$H$2),0,MIN($E278-SUM($G278:H278),$F278))</f>
        <v>0</v>
      </c>
      <c r="J278" s="424">
        <f>IF(OR(J$265&lt;$C278,J$265&lt;$H$2),0,MIN($E278-SUM($G278:I278),$F278))</f>
        <v>0</v>
      </c>
      <c r="K278" s="424">
        <f>IF(OR(K$265&lt;$C278,K$265&lt;$H$2),0,MIN($E278-SUM($G278:J278),$F278))</f>
        <v>0</v>
      </c>
      <c r="L278" s="424">
        <f>IF(OR(L$265&lt;$C278,L$265&lt;$H$2),0,MIN($E278-SUM($G278:K278),$F278))</f>
        <v>0</v>
      </c>
      <c r="M278" s="424">
        <f>IF(OR(M$265&lt;$C278,M$265&lt;$H$2),0,MIN($E278-SUM($G278:L278),$F278))</f>
        <v>0</v>
      </c>
      <c r="N278" s="424">
        <f>IF(OR(N$265&lt;$C278,N$265&lt;$H$2),0,MIN($E278-SUM($G278:M278),$F278))</f>
        <v>0</v>
      </c>
      <c r="O278" s="424">
        <f>IF(OR(O$265&lt;$C278,O$265&lt;$H$2),0,MIN($E278-SUM($G278:N278),$F278))</f>
        <v>0</v>
      </c>
      <c r="P278" s="424">
        <f>IF(OR(P$265&lt;$C278,P$265&lt;$H$2),0,MIN($E278-SUM($G278:O278),$F278))</f>
        <v>0</v>
      </c>
      <c r="Q278" s="424">
        <f>IF(OR(Q$265&lt;$C278,Q$265&lt;$H$2),0,MIN($E278-SUM($G278:P278),$F278))</f>
        <v>0</v>
      </c>
      <c r="R278" s="424">
        <f>IF(OR(R$265&lt;$C278,R$265&lt;$H$2),0,MIN($E278-SUM($G278:Q278),$F278))</f>
        <v>0</v>
      </c>
      <c r="S278" s="424">
        <f>IF(OR(S$265&lt;$C278,S$265&lt;$H$2),0,MIN($E278-SUM($G278:R278),$F278))</f>
        <v>0</v>
      </c>
      <c r="T278" s="424">
        <f>IF(OR(T$265&lt;$C278,T$265&lt;$H$2),0,MIN($E278-SUM($G278:S278),$F278))</f>
        <v>0</v>
      </c>
      <c r="U278" s="424">
        <f>IF(OR(U$265&lt;$C278,U$265&lt;$H$2),0,MIN($E278-SUM($G278:T278),$F278))</f>
        <v>0</v>
      </c>
      <c r="V278" s="424">
        <f>IF(OR(V$265&lt;$C278,V$265&lt;$H$2),0,MIN($E278-SUM($G278:U278),$F278))</f>
        <v>0</v>
      </c>
      <c r="W278" s="424">
        <f>IF(OR(W$265&lt;$C278,W$265&lt;$H$2),0,MIN($E278-SUM($G278:V278),$F278))</f>
        <v>0</v>
      </c>
      <c r="X278" s="424">
        <f>IF(OR(X$265&lt;$C278,X$265&lt;$H$2),0,MIN($E278-SUM($G278:W278),$F278))</f>
        <v>0</v>
      </c>
      <c r="Y278" s="424">
        <f>IF(OR(Y$265&lt;$C278,Y$265&lt;$H$2),0,MIN($E278-SUM($G278:X278),$F278))</f>
        <v>0</v>
      </c>
      <c r="Z278" s="424">
        <f>IF(OR(Z$265&lt;$C278,Z$265&lt;$H$2),0,MIN($E278-SUM($G278:Y278),$F278))</f>
        <v>0</v>
      </c>
      <c r="AA278" s="424">
        <f>IF(OR(AA$265&lt;$C278,AA$265&lt;$H$2),0,MIN($E278-SUM($G278:Z278),$F278))</f>
        <v>0</v>
      </c>
      <c r="AB278" s="424">
        <f>IF(OR(AB$265&lt;$C278,AB$265&lt;$H$2),0,MIN($E278-SUM($G278:AA278),$F278))</f>
        <v>0</v>
      </c>
      <c r="AC278" s="424">
        <f>IF(OR(AC$265&lt;$C278,AC$265&lt;$H$2),0,MIN($E278-SUM($G278:AB278),$F278))</f>
        <v>0</v>
      </c>
      <c r="AD278" s="424">
        <f>IF(OR(AD$265&lt;$C278,AD$265&lt;$H$2),0,MIN($E278-SUM($G278:AC278),$F278))</f>
        <v>0</v>
      </c>
      <c r="AE278" s="424">
        <f>IF(OR(AE$265&lt;$C278,AE$265&lt;$H$2),0,MIN($E278-SUM($G278:AD278),$F278))</f>
        <v>0</v>
      </c>
      <c r="AF278" s="424">
        <f>IF(OR(AF$265&lt;$C278,AF$265&lt;$H$2),0,MIN($E278-SUM($G278:AE278),$F278))</f>
        <v>0</v>
      </c>
      <c r="AG278" s="424">
        <f>IF(OR(AG$265&lt;$C278,AG$265&lt;$H$2),0,MIN($E278-SUM($G278:AF278),$F278))</f>
        <v>0</v>
      </c>
      <c r="AH278" s="424">
        <f>IF(OR(AH$265&lt;$C278,AH$265&lt;$H$2),0,MIN($E278-SUM($G278:AG278),$F278))</f>
        <v>0</v>
      </c>
      <c r="AI278" s="424">
        <f>IF(OR(AI$265&lt;$C278,AI$265&lt;$H$2),0,MIN($E278-SUM($G278:AH278),$F278))</f>
        <v>0</v>
      </c>
      <c r="AJ278" s="424">
        <f>IF(OR(AJ$265&lt;$C278,AJ$265&lt;$H$2),0,MIN($E278-SUM($G278:AI278),$F278))</f>
        <v>0</v>
      </c>
      <c r="AK278" s="424">
        <f>IF(OR(AK$265&lt;$C278,AK$265&lt;$H$2),0,MIN($E278-SUM($G278:AJ278),$F278))</f>
        <v>0</v>
      </c>
    </row>
    <row r="279" spans="3:37">
      <c r="C279" s="201">
        <v>50049</v>
      </c>
      <c r="D279" s="94" t="s">
        <v>134</v>
      </c>
      <c r="E279" s="424">
        <f t="shared" si="114"/>
        <v>0</v>
      </c>
      <c r="F279" s="209">
        <f t="shared" si="115"/>
        <v>0</v>
      </c>
      <c r="H279" s="424">
        <f>IF(OR(H$265&lt;$C279,H$265&lt;$H$2),0,MIN($E279-SUM($G279:G279),$F279))</f>
        <v>0</v>
      </c>
      <c r="I279" s="424">
        <f>IF(OR(I$265&lt;$C279,I$265&lt;$H$2),0,MIN($E279-SUM($G279:H279),$F279))</f>
        <v>0</v>
      </c>
      <c r="J279" s="424">
        <f>IF(OR(J$265&lt;$C279,J$265&lt;$H$2),0,MIN($E279-SUM($G279:I279),$F279))</f>
        <v>0</v>
      </c>
      <c r="K279" s="424">
        <f>IF(OR(K$265&lt;$C279,K$265&lt;$H$2),0,MIN($E279-SUM($G279:J279),$F279))</f>
        <v>0</v>
      </c>
      <c r="L279" s="424">
        <f>IF(OR(L$265&lt;$C279,L$265&lt;$H$2),0,MIN($E279-SUM($G279:K279),$F279))</f>
        <v>0</v>
      </c>
      <c r="M279" s="424">
        <f>IF(OR(M$265&lt;$C279,M$265&lt;$H$2),0,MIN($E279-SUM($G279:L279),$F279))</f>
        <v>0</v>
      </c>
      <c r="N279" s="424">
        <f>IF(OR(N$265&lt;$C279,N$265&lt;$H$2),0,MIN($E279-SUM($G279:M279),$F279))</f>
        <v>0</v>
      </c>
      <c r="O279" s="424">
        <f>IF(OR(O$265&lt;$C279,O$265&lt;$H$2),0,MIN($E279-SUM($G279:N279),$F279))</f>
        <v>0</v>
      </c>
      <c r="P279" s="424">
        <f>IF(OR(P$265&lt;$C279,P$265&lt;$H$2),0,MIN($E279-SUM($G279:O279),$F279))</f>
        <v>0</v>
      </c>
      <c r="Q279" s="424">
        <f>IF(OR(Q$265&lt;$C279,Q$265&lt;$H$2),0,MIN($E279-SUM($G279:P279),$F279))</f>
        <v>0</v>
      </c>
      <c r="R279" s="424">
        <f>IF(OR(R$265&lt;$C279,R$265&lt;$H$2),0,MIN($E279-SUM($G279:Q279),$F279))</f>
        <v>0</v>
      </c>
      <c r="S279" s="424">
        <f>IF(OR(S$265&lt;$C279,S$265&lt;$H$2),0,MIN($E279-SUM($G279:R279),$F279))</f>
        <v>0</v>
      </c>
      <c r="T279" s="424">
        <f>IF(OR(T$265&lt;$C279,T$265&lt;$H$2),0,MIN($E279-SUM($G279:S279),$F279))</f>
        <v>0</v>
      </c>
      <c r="U279" s="424">
        <f>IF(OR(U$265&lt;$C279,U$265&lt;$H$2),0,MIN($E279-SUM($G279:T279),$F279))</f>
        <v>0</v>
      </c>
      <c r="V279" s="424">
        <f>IF(OR(V$265&lt;$C279,V$265&lt;$H$2),0,MIN($E279-SUM($G279:U279),$F279))</f>
        <v>0</v>
      </c>
      <c r="W279" s="424">
        <f>IF(OR(W$265&lt;$C279,W$265&lt;$H$2),0,MIN($E279-SUM($G279:V279),$F279))</f>
        <v>0</v>
      </c>
      <c r="X279" s="424">
        <f>IF(OR(X$265&lt;$C279,X$265&lt;$H$2),0,MIN($E279-SUM($G279:W279),$F279))</f>
        <v>0</v>
      </c>
      <c r="Y279" s="424">
        <f>IF(OR(Y$265&lt;$C279,Y$265&lt;$H$2),0,MIN($E279-SUM($G279:X279),$F279))</f>
        <v>0</v>
      </c>
      <c r="Z279" s="424">
        <f>IF(OR(Z$265&lt;$C279,Z$265&lt;$H$2),0,MIN($E279-SUM($G279:Y279),$F279))</f>
        <v>0</v>
      </c>
      <c r="AA279" s="424">
        <f>IF(OR(AA$265&lt;$C279,AA$265&lt;$H$2),0,MIN($E279-SUM($G279:Z279),$F279))</f>
        <v>0</v>
      </c>
      <c r="AB279" s="424">
        <f>IF(OR(AB$265&lt;$C279,AB$265&lt;$H$2),0,MIN($E279-SUM($G279:AA279),$F279))</f>
        <v>0</v>
      </c>
      <c r="AC279" s="424">
        <f>IF(OR(AC$265&lt;$C279,AC$265&lt;$H$2),0,MIN($E279-SUM($G279:AB279),$F279))</f>
        <v>0</v>
      </c>
      <c r="AD279" s="424">
        <f>IF(OR(AD$265&lt;$C279,AD$265&lt;$H$2),0,MIN($E279-SUM($G279:AC279),$F279))</f>
        <v>0</v>
      </c>
      <c r="AE279" s="424">
        <f>IF(OR(AE$265&lt;$C279,AE$265&lt;$H$2),0,MIN($E279-SUM($G279:AD279),$F279))</f>
        <v>0</v>
      </c>
      <c r="AF279" s="424">
        <f>IF(OR(AF$265&lt;$C279,AF$265&lt;$H$2),0,MIN($E279-SUM($G279:AE279),$F279))</f>
        <v>0</v>
      </c>
      <c r="AG279" s="424">
        <f>IF(OR(AG$265&lt;$C279,AG$265&lt;$H$2),0,MIN($E279-SUM($G279:AF279),$F279))</f>
        <v>0</v>
      </c>
      <c r="AH279" s="424">
        <f>IF(OR(AH$265&lt;$C279,AH$265&lt;$H$2),0,MIN($E279-SUM($G279:AG279),$F279))</f>
        <v>0</v>
      </c>
      <c r="AI279" s="424">
        <f>IF(OR(AI$265&lt;$C279,AI$265&lt;$H$2),0,MIN($E279-SUM($G279:AH279),$F279))</f>
        <v>0</v>
      </c>
      <c r="AJ279" s="424">
        <f>IF(OR(AJ$265&lt;$C279,AJ$265&lt;$H$2),0,MIN($E279-SUM($G279:AI279),$F279))</f>
        <v>0</v>
      </c>
      <c r="AK279" s="424">
        <f>IF(OR(AK$265&lt;$C279,AK$265&lt;$H$2),0,MIN($E279-SUM($G279:AJ279),$F279))</f>
        <v>0</v>
      </c>
    </row>
    <row r="280" spans="3:37">
      <c r="C280" s="201">
        <v>50415</v>
      </c>
      <c r="D280" s="94" t="s">
        <v>134</v>
      </c>
      <c r="E280" s="424">
        <f t="shared" si="114"/>
        <v>0</v>
      </c>
      <c r="F280" s="209">
        <f t="shared" si="115"/>
        <v>0</v>
      </c>
      <c r="H280" s="424">
        <f>IF(OR(H$265&lt;$C280,H$265&lt;$H$2),0,MIN($E280-SUM($G280:G280),$F280))</f>
        <v>0</v>
      </c>
      <c r="I280" s="424">
        <f>IF(OR(I$265&lt;$C280,I$265&lt;$H$2),0,MIN($E280-SUM($G280:H280),$F280))</f>
        <v>0</v>
      </c>
      <c r="J280" s="424">
        <f>IF(OR(J$265&lt;$C280,J$265&lt;$H$2),0,MIN($E280-SUM($G280:I280),$F280))</f>
        <v>0</v>
      </c>
      <c r="K280" s="424">
        <f>IF(OR(K$265&lt;$C280,K$265&lt;$H$2),0,MIN($E280-SUM($G280:J280),$F280))</f>
        <v>0</v>
      </c>
      <c r="L280" s="424">
        <f>IF(OR(L$265&lt;$C280,L$265&lt;$H$2),0,MIN($E280-SUM($G280:K280),$F280))</f>
        <v>0</v>
      </c>
      <c r="M280" s="424">
        <f>IF(OR(M$265&lt;$C280,M$265&lt;$H$2),0,MIN($E280-SUM($G280:L280),$F280))</f>
        <v>0</v>
      </c>
      <c r="N280" s="424">
        <f>IF(OR(N$265&lt;$C280,N$265&lt;$H$2),0,MIN($E280-SUM($G280:M280),$F280))</f>
        <v>0</v>
      </c>
      <c r="O280" s="424">
        <f>IF(OR(O$265&lt;$C280,O$265&lt;$H$2),0,MIN($E280-SUM($G280:N280),$F280))</f>
        <v>0</v>
      </c>
      <c r="P280" s="424">
        <f>IF(OR(P$265&lt;$C280,P$265&lt;$H$2),0,MIN($E280-SUM($G280:O280),$F280))</f>
        <v>0</v>
      </c>
      <c r="Q280" s="424">
        <f>IF(OR(Q$265&lt;$C280,Q$265&lt;$H$2),0,MIN($E280-SUM($G280:P280),$F280))</f>
        <v>0</v>
      </c>
      <c r="R280" s="424">
        <f>IF(OR(R$265&lt;$C280,R$265&lt;$H$2),0,MIN($E280-SUM($G280:Q280),$F280))</f>
        <v>0</v>
      </c>
      <c r="S280" s="424">
        <f>IF(OR(S$265&lt;$C280,S$265&lt;$H$2),0,MIN($E280-SUM($G280:R280),$F280))</f>
        <v>0</v>
      </c>
      <c r="T280" s="424">
        <f>IF(OR(T$265&lt;$C280,T$265&lt;$H$2),0,MIN($E280-SUM($G280:S280),$F280))</f>
        <v>0</v>
      </c>
      <c r="U280" s="424">
        <f>IF(OR(U$265&lt;$C280,U$265&lt;$H$2),0,MIN($E280-SUM($G280:T280),$F280))</f>
        <v>0</v>
      </c>
      <c r="V280" s="424">
        <f>IF(OR(V$265&lt;$C280,V$265&lt;$H$2),0,MIN($E280-SUM($G280:U280),$F280))</f>
        <v>0</v>
      </c>
      <c r="W280" s="424">
        <f>IF(OR(W$265&lt;$C280,W$265&lt;$H$2),0,MIN($E280-SUM($G280:V280),$F280))</f>
        <v>0</v>
      </c>
      <c r="X280" s="424">
        <f>IF(OR(X$265&lt;$C280,X$265&lt;$H$2),0,MIN($E280-SUM($G280:W280),$F280))</f>
        <v>0</v>
      </c>
      <c r="Y280" s="424">
        <f>IF(OR(Y$265&lt;$C280,Y$265&lt;$H$2),0,MIN($E280-SUM($G280:X280),$F280))</f>
        <v>0</v>
      </c>
      <c r="Z280" s="424">
        <f>IF(OR(Z$265&lt;$C280,Z$265&lt;$H$2),0,MIN($E280-SUM($G280:Y280),$F280))</f>
        <v>0</v>
      </c>
      <c r="AA280" s="424">
        <f>IF(OR(AA$265&lt;$C280,AA$265&lt;$H$2),0,MIN($E280-SUM($G280:Z280),$F280))</f>
        <v>0</v>
      </c>
      <c r="AB280" s="424">
        <f>IF(OR(AB$265&lt;$C280,AB$265&lt;$H$2),0,MIN($E280-SUM($G280:AA280),$F280))</f>
        <v>0</v>
      </c>
      <c r="AC280" s="424">
        <f>IF(OR(AC$265&lt;$C280,AC$265&lt;$H$2),0,MIN($E280-SUM($G280:AB280),$F280))</f>
        <v>0</v>
      </c>
      <c r="AD280" s="424">
        <f>IF(OR(AD$265&lt;$C280,AD$265&lt;$H$2),0,MIN($E280-SUM($G280:AC280),$F280))</f>
        <v>0</v>
      </c>
      <c r="AE280" s="424">
        <f>IF(OR(AE$265&lt;$C280,AE$265&lt;$H$2),0,MIN($E280-SUM($G280:AD280),$F280))</f>
        <v>0</v>
      </c>
      <c r="AF280" s="424">
        <f>IF(OR(AF$265&lt;$C280,AF$265&lt;$H$2),0,MIN($E280-SUM($G280:AE280),$F280))</f>
        <v>0</v>
      </c>
      <c r="AG280" s="424">
        <f>IF(OR(AG$265&lt;$C280,AG$265&lt;$H$2),0,MIN($E280-SUM($G280:AF280),$F280))</f>
        <v>0</v>
      </c>
      <c r="AH280" s="424">
        <f>IF(OR(AH$265&lt;$C280,AH$265&lt;$H$2),0,MIN($E280-SUM($G280:AG280),$F280))</f>
        <v>0</v>
      </c>
      <c r="AI280" s="424">
        <f>IF(OR(AI$265&lt;$C280,AI$265&lt;$H$2),0,MIN($E280-SUM($G280:AH280),$F280))</f>
        <v>0</v>
      </c>
      <c r="AJ280" s="424">
        <f>IF(OR(AJ$265&lt;$C280,AJ$265&lt;$H$2),0,MIN($E280-SUM($G280:AI280),$F280))</f>
        <v>0</v>
      </c>
      <c r="AK280" s="424">
        <f>IF(OR(AK$265&lt;$C280,AK$265&lt;$H$2),0,MIN($E280-SUM($G280:AJ280),$F280))</f>
        <v>0</v>
      </c>
    </row>
    <row r="281" spans="3:37">
      <c r="C281" s="201">
        <v>50781</v>
      </c>
      <c r="D281" s="94" t="s">
        <v>134</v>
      </c>
      <c r="E281" s="424">
        <f t="shared" si="114"/>
        <v>0</v>
      </c>
      <c r="F281" s="209">
        <f t="shared" si="115"/>
        <v>0</v>
      </c>
      <c r="H281" s="424">
        <f>IF(OR(H$265&lt;$C281,H$265&lt;$H$2),0,MIN($E281-SUM($G281:G281),$F281))</f>
        <v>0</v>
      </c>
      <c r="I281" s="424">
        <f>IF(OR(I$265&lt;$C281,I$265&lt;$H$2),0,MIN($E281-SUM($G281:H281),$F281))</f>
        <v>0</v>
      </c>
      <c r="J281" s="424">
        <f>IF(OR(J$265&lt;$C281,J$265&lt;$H$2),0,MIN($E281-SUM($G281:I281),$F281))</f>
        <v>0</v>
      </c>
      <c r="K281" s="424">
        <f>IF(OR(K$265&lt;$C281,K$265&lt;$H$2),0,MIN($E281-SUM($G281:J281),$F281))</f>
        <v>0</v>
      </c>
      <c r="L281" s="424">
        <f>IF(OR(L$265&lt;$C281,L$265&lt;$H$2),0,MIN($E281-SUM($G281:K281),$F281))</f>
        <v>0</v>
      </c>
      <c r="M281" s="424">
        <f>IF(OR(M$265&lt;$C281,M$265&lt;$H$2),0,MIN($E281-SUM($G281:L281),$F281))</f>
        <v>0</v>
      </c>
      <c r="N281" s="424">
        <f>IF(OR(N$265&lt;$C281,N$265&lt;$H$2),0,MIN($E281-SUM($G281:M281),$F281))</f>
        <v>0</v>
      </c>
      <c r="O281" s="424">
        <f>IF(OR(O$265&lt;$C281,O$265&lt;$H$2),0,MIN($E281-SUM($G281:N281),$F281))</f>
        <v>0</v>
      </c>
      <c r="P281" s="424">
        <f>IF(OR(P$265&lt;$C281,P$265&lt;$H$2),0,MIN($E281-SUM($G281:O281),$F281))</f>
        <v>0</v>
      </c>
      <c r="Q281" s="424">
        <f>IF(OR(Q$265&lt;$C281,Q$265&lt;$H$2),0,MIN($E281-SUM($G281:P281),$F281))</f>
        <v>0</v>
      </c>
      <c r="R281" s="424">
        <f>IF(OR(R$265&lt;$C281,R$265&lt;$H$2),0,MIN($E281-SUM($G281:Q281),$F281))</f>
        <v>0</v>
      </c>
      <c r="S281" s="424">
        <f>IF(OR(S$265&lt;$C281,S$265&lt;$H$2),0,MIN($E281-SUM($G281:R281),$F281))</f>
        <v>0</v>
      </c>
      <c r="T281" s="424">
        <f>IF(OR(T$265&lt;$C281,T$265&lt;$H$2),0,MIN($E281-SUM($G281:S281),$F281))</f>
        <v>0</v>
      </c>
      <c r="U281" s="424">
        <f>IF(OR(U$265&lt;$C281,U$265&lt;$H$2),0,MIN($E281-SUM($G281:T281),$F281))</f>
        <v>0</v>
      </c>
      <c r="V281" s="424">
        <f>IF(OR(V$265&lt;$C281,V$265&lt;$H$2),0,MIN($E281-SUM($G281:U281),$F281))</f>
        <v>0</v>
      </c>
      <c r="W281" s="424">
        <f>IF(OR(W$265&lt;$C281,W$265&lt;$H$2),0,MIN($E281-SUM($G281:V281),$F281))</f>
        <v>0</v>
      </c>
      <c r="X281" s="424">
        <f>IF(OR(X$265&lt;$C281,X$265&lt;$H$2),0,MIN($E281-SUM($G281:W281),$F281))</f>
        <v>0</v>
      </c>
      <c r="Y281" s="424">
        <f>IF(OR(Y$265&lt;$C281,Y$265&lt;$H$2),0,MIN($E281-SUM($G281:X281),$F281))</f>
        <v>0</v>
      </c>
      <c r="Z281" s="424">
        <f>IF(OR(Z$265&lt;$C281,Z$265&lt;$H$2),0,MIN($E281-SUM($G281:Y281),$F281))</f>
        <v>0</v>
      </c>
      <c r="AA281" s="424">
        <f>IF(OR(AA$265&lt;$C281,AA$265&lt;$H$2),0,MIN($E281-SUM($G281:Z281),$F281))</f>
        <v>0</v>
      </c>
      <c r="AB281" s="424">
        <f>IF(OR(AB$265&lt;$C281,AB$265&lt;$H$2),0,MIN($E281-SUM($G281:AA281),$F281))</f>
        <v>0</v>
      </c>
      <c r="AC281" s="424">
        <f>IF(OR(AC$265&lt;$C281,AC$265&lt;$H$2),0,MIN($E281-SUM($G281:AB281),$F281))</f>
        <v>0</v>
      </c>
      <c r="AD281" s="424">
        <f>IF(OR(AD$265&lt;$C281,AD$265&lt;$H$2),0,MIN($E281-SUM($G281:AC281),$F281))</f>
        <v>0</v>
      </c>
      <c r="AE281" s="424">
        <f>IF(OR(AE$265&lt;$C281,AE$265&lt;$H$2),0,MIN($E281-SUM($G281:AD281),$F281))</f>
        <v>0</v>
      </c>
      <c r="AF281" s="424">
        <f>IF(OR(AF$265&lt;$C281,AF$265&lt;$H$2),0,MIN($E281-SUM($G281:AE281),$F281))</f>
        <v>0</v>
      </c>
      <c r="AG281" s="424">
        <f>IF(OR(AG$265&lt;$C281,AG$265&lt;$H$2),0,MIN($E281-SUM($G281:AF281),$F281))</f>
        <v>0</v>
      </c>
      <c r="AH281" s="424">
        <f>IF(OR(AH$265&lt;$C281,AH$265&lt;$H$2),0,MIN($E281-SUM($G281:AG281),$F281))</f>
        <v>0</v>
      </c>
      <c r="AI281" s="424">
        <f>IF(OR(AI$265&lt;$C281,AI$265&lt;$H$2),0,MIN($E281-SUM($G281:AH281),$F281))</f>
        <v>0</v>
      </c>
      <c r="AJ281" s="424">
        <f>IF(OR(AJ$265&lt;$C281,AJ$265&lt;$H$2),0,MIN($E281-SUM($G281:AI281),$F281))</f>
        <v>0</v>
      </c>
      <c r="AK281" s="424">
        <f>IF(OR(AK$265&lt;$C281,AK$265&lt;$H$2),0,MIN($E281-SUM($G281:AJ281),$F281))</f>
        <v>0</v>
      </c>
    </row>
    <row r="282" spans="3:37">
      <c r="C282" s="201">
        <v>51147</v>
      </c>
      <c r="D282" s="94" t="s">
        <v>134</v>
      </c>
      <c r="E282" s="424">
        <f t="shared" si="114"/>
        <v>0</v>
      </c>
      <c r="F282" s="209">
        <f t="shared" si="115"/>
        <v>0</v>
      </c>
      <c r="H282" s="424">
        <f>IF(OR(H$265&lt;$C282,H$265&lt;$H$2),0,MIN($E282-SUM($G282:G282),$F282))</f>
        <v>0</v>
      </c>
      <c r="I282" s="424">
        <f>IF(OR(I$265&lt;$C282,I$265&lt;$H$2),0,MIN($E282-SUM($G282:H282),$F282))</f>
        <v>0</v>
      </c>
      <c r="J282" s="424">
        <f>IF(OR(J$265&lt;$C282,J$265&lt;$H$2),0,MIN($E282-SUM($G282:I282),$F282))</f>
        <v>0</v>
      </c>
      <c r="K282" s="424">
        <f>IF(OR(K$265&lt;$C282,K$265&lt;$H$2),0,MIN($E282-SUM($G282:J282),$F282))</f>
        <v>0</v>
      </c>
      <c r="L282" s="424">
        <f>IF(OR(L$265&lt;$C282,L$265&lt;$H$2),0,MIN($E282-SUM($G282:K282),$F282))</f>
        <v>0</v>
      </c>
      <c r="M282" s="424">
        <f>IF(OR(M$265&lt;$C282,M$265&lt;$H$2),0,MIN($E282-SUM($G282:L282),$F282))</f>
        <v>0</v>
      </c>
      <c r="N282" s="424">
        <f>IF(OR(N$265&lt;$C282,N$265&lt;$H$2),0,MIN($E282-SUM($G282:M282),$F282))</f>
        <v>0</v>
      </c>
      <c r="O282" s="424">
        <f>IF(OR(O$265&lt;$C282,O$265&lt;$H$2),0,MIN($E282-SUM($G282:N282),$F282))</f>
        <v>0</v>
      </c>
      <c r="P282" s="424">
        <f>IF(OR(P$265&lt;$C282,P$265&lt;$H$2),0,MIN($E282-SUM($G282:O282),$F282))</f>
        <v>0</v>
      </c>
      <c r="Q282" s="424">
        <f>IF(OR(Q$265&lt;$C282,Q$265&lt;$H$2),0,MIN($E282-SUM($G282:P282),$F282))</f>
        <v>0</v>
      </c>
      <c r="R282" s="424">
        <f>IF(OR(R$265&lt;$C282,R$265&lt;$H$2),0,MIN($E282-SUM($G282:Q282),$F282))</f>
        <v>0</v>
      </c>
      <c r="S282" s="424">
        <f>IF(OR(S$265&lt;$C282,S$265&lt;$H$2),0,MIN($E282-SUM($G282:R282),$F282))</f>
        <v>0</v>
      </c>
      <c r="T282" s="424">
        <f>IF(OR(T$265&lt;$C282,T$265&lt;$H$2),0,MIN($E282-SUM($G282:S282),$F282))</f>
        <v>0</v>
      </c>
      <c r="U282" s="424">
        <f>IF(OR(U$265&lt;$C282,U$265&lt;$H$2),0,MIN($E282-SUM($G282:T282),$F282))</f>
        <v>0</v>
      </c>
      <c r="V282" s="424">
        <f>IF(OR(V$265&lt;$C282,V$265&lt;$H$2),0,MIN($E282-SUM($G282:U282),$F282))</f>
        <v>0</v>
      </c>
      <c r="W282" s="424">
        <f>IF(OR(W$265&lt;$C282,W$265&lt;$H$2),0,MIN($E282-SUM($G282:V282),$F282))</f>
        <v>0</v>
      </c>
      <c r="X282" s="424">
        <f>IF(OR(X$265&lt;$C282,X$265&lt;$H$2),0,MIN($E282-SUM($G282:W282),$F282))</f>
        <v>0</v>
      </c>
      <c r="Y282" s="424">
        <f>IF(OR(Y$265&lt;$C282,Y$265&lt;$H$2),0,MIN($E282-SUM($G282:X282),$F282))</f>
        <v>0</v>
      </c>
      <c r="Z282" s="424">
        <f>IF(OR(Z$265&lt;$C282,Z$265&lt;$H$2),0,MIN($E282-SUM($G282:Y282),$F282))</f>
        <v>0</v>
      </c>
      <c r="AA282" s="424">
        <f>IF(OR(AA$265&lt;$C282,AA$265&lt;$H$2),0,MIN($E282-SUM($G282:Z282),$F282))</f>
        <v>0</v>
      </c>
      <c r="AB282" s="424">
        <f>IF(OR(AB$265&lt;$C282,AB$265&lt;$H$2),0,MIN($E282-SUM($G282:AA282),$F282))</f>
        <v>0</v>
      </c>
      <c r="AC282" s="424">
        <f>IF(OR(AC$265&lt;$C282,AC$265&lt;$H$2),0,MIN($E282-SUM($G282:AB282),$F282))</f>
        <v>0</v>
      </c>
      <c r="AD282" s="424">
        <f>IF(OR(AD$265&lt;$C282,AD$265&lt;$H$2),0,MIN($E282-SUM($G282:AC282),$F282))</f>
        <v>0</v>
      </c>
      <c r="AE282" s="424">
        <f>IF(OR(AE$265&lt;$C282,AE$265&lt;$H$2),0,MIN($E282-SUM($G282:AD282),$F282))</f>
        <v>0</v>
      </c>
      <c r="AF282" s="424">
        <f>IF(OR(AF$265&lt;$C282,AF$265&lt;$H$2),0,MIN($E282-SUM($G282:AE282),$F282))</f>
        <v>0</v>
      </c>
      <c r="AG282" s="424">
        <f>IF(OR(AG$265&lt;$C282,AG$265&lt;$H$2),0,MIN($E282-SUM($G282:AF282),$F282))</f>
        <v>0</v>
      </c>
      <c r="AH282" s="424">
        <f>IF(OR(AH$265&lt;$C282,AH$265&lt;$H$2),0,MIN($E282-SUM($G282:AG282),$F282))</f>
        <v>0</v>
      </c>
      <c r="AI282" s="424">
        <f>IF(OR(AI$265&lt;$C282,AI$265&lt;$H$2),0,MIN($E282-SUM($G282:AH282),$F282))</f>
        <v>0</v>
      </c>
      <c r="AJ282" s="424">
        <f>IF(OR(AJ$265&lt;$C282,AJ$265&lt;$H$2),0,MIN($E282-SUM($G282:AI282),$F282))</f>
        <v>0</v>
      </c>
      <c r="AK282" s="424">
        <f>IF(OR(AK$265&lt;$C282,AK$265&lt;$H$2),0,MIN($E282-SUM($G282:AJ282),$F282))</f>
        <v>0</v>
      </c>
    </row>
    <row r="283" spans="3:37">
      <c r="C283" s="201">
        <v>51513</v>
      </c>
      <c r="D283" s="94" t="s">
        <v>134</v>
      </c>
      <c r="E283" s="424">
        <f t="shared" si="114"/>
        <v>0</v>
      </c>
      <c r="F283" s="209">
        <f t="shared" si="115"/>
        <v>0</v>
      </c>
      <c r="H283" s="424">
        <f>IF(OR(H$265&lt;$C283,H$265&lt;$H$2),0,MIN($E283-SUM($G283:G283),$F283))</f>
        <v>0</v>
      </c>
      <c r="I283" s="424">
        <f>IF(OR(I$265&lt;$C283,I$265&lt;$H$2),0,MIN($E283-SUM($G283:H283),$F283))</f>
        <v>0</v>
      </c>
      <c r="J283" s="424">
        <f>IF(OR(J$265&lt;$C283,J$265&lt;$H$2),0,MIN($E283-SUM($G283:I283),$F283))</f>
        <v>0</v>
      </c>
      <c r="K283" s="424">
        <f>IF(OR(K$265&lt;$C283,K$265&lt;$H$2),0,MIN($E283-SUM($G283:J283),$F283))</f>
        <v>0</v>
      </c>
      <c r="L283" s="424">
        <f>IF(OR(L$265&lt;$C283,L$265&lt;$H$2),0,MIN($E283-SUM($G283:K283),$F283))</f>
        <v>0</v>
      </c>
      <c r="M283" s="424">
        <f>IF(OR(M$265&lt;$C283,M$265&lt;$H$2),0,MIN($E283-SUM($G283:L283),$F283))</f>
        <v>0</v>
      </c>
      <c r="N283" s="424">
        <f>IF(OR(N$265&lt;$C283,N$265&lt;$H$2),0,MIN($E283-SUM($G283:M283),$F283))</f>
        <v>0</v>
      </c>
      <c r="O283" s="424">
        <f>IF(OR(O$265&lt;$C283,O$265&lt;$H$2),0,MIN($E283-SUM($G283:N283),$F283))</f>
        <v>0</v>
      </c>
      <c r="P283" s="424">
        <f>IF(OR(P$265&lt;$C283,P$265&lt;$H$2),0,MIN($E283-SUM($G283:O283),$F283))</f>
        <v>0</v>
      </c>
      <c r="Q283" s="424">
        <f>IF(OR(Q$265&lt;$C283,Q$265&lt;$H$2),0,MIN($E283-SUM($G283:P283),$F283))</f>
        <v>0</v>
      </c>
      <c r="R283" s="424">
        <f>IF(OR(R$265&lt;$C283,R$265&lt;$H$2),0,MIN($E283-SUM($G283:Q283),$F283))</f>
        <v>0</v>
      </c>
      <c r="S283" s="424">
        <f>IF(OR(S$265&lt;$C283,S$265&lt;$H$2),0,MIN($E283-SUM($G283:R283),$F283))</f>
        <v>0</v>
      </c>
      <c r="T283" s="424">
        <f>IF(OR(T$265&lt;$C283,T$265&lt;$H$2),0,MIN($E283-SUM($G283:S283),$F283))</f>
        <v>0</v>
      </c>
      <c r="U283" s="424">
        <f>IF(OR(U$265&lt;$C283,U$265&lt;$H$2),0,MIN($E283-SUM($G283:T283),$F283))</f>
        <v>0</v>
      </c>
      <c r="V283" s="424">
        <f>IF(OR(V$265&lt;$C283,V$265&lt;$H$2),0,MIN($E283-SUM($G283:U283),$F283))</f>
        <v>0</v>
      </c>
      <c r="W283" s="424">
        <f>IF(OR(W$265&lt;$C283,W$265&lt;$H$2),0,MIN($E283-SUM($G283:V283),$F283))</f>
        <v>0</v>
      </c>
      <c r="X283" s="424">
        <f>IF(OR(X$265&lt;$C283,X$265&lt;$H$2),0,MIN($E283-SUM($G283:W283),$F283))</f>
        <v>0</v>
      </c>
      <c r="Y283" s="424">
        <f>IF(OR(Y$265&lt;$C283,Y$265&lt;$H$2),0,MIN($E283-SUM($G283:X283),$F283))</f>
        <v>0</v>
      </c>
      <c r="Z283" s="424">
        <f>IF(OR(Z$265&lt;$C283,Z$265&lt;$H$2),0,MIN($E283-SUM($G283:Y283),$F283))</f>
        <v>0</v>
      </c>
      <c r="AA283" s="424">
        <f>IF(OR(AA$265&lt;$C283,AA$265&lt;$H$2),0,MIN($E283-SUM($G283:Z283),$F283))</f>
        <v>0</v>
      </c>
      <c r="AB283" s="424">
        <f>IF(OR(AB$265&lt;$C283,AB$265&lt;$H$2),0,MIN($E283-SUM($G283:AA283),$F283))</f>
        <v>0</v>
      </c>
      <c r="AC283" s="424">
        <f>IF(OR(AC$265&lt;$C283,AC$265&lt;$H$2),0,MIN($E283-SUM($G283:AB283),$F283))</f>
        <v>0</v>
      </c>
      <c r="AD283" s="424">
        <f>IF(OR(AD$265&lt;$C283,AD$265&lt;$H$2),0,MIN($E283-SUM($G283:AC283),$F283))</f>
        <v>0</v>
      </c>
      <c r="AE283" s="424">
        <f>IF(OR(AE$265&lt;$C283,AE$265&lt;$H$2),0,MIN($E283-SUM($G283:AD283),$F283))</f>
        <v>0</v>
      </c>
      <c r="AF283" s="424">
        <f>IF(OR(AF$265&lt;$C283,AF$265&lt;$H$2),0,MIN($E283-SUM($G283:AE283),$F283))</f>
        <v>0</v>
      </c>
      <c r="AG283" s="424">
        <f>IF(OR(AG$265&lt;$C283,AG$265&lt;$H$2),0,MIN($E283-SUM($G283:AF283),$F283))</f>
        <v>0</v>
      </c>
      <c r="AH283" s="424">
        <f>IF(OR(AH$265&lt;$C283,AH$265&lt;$H$2),0,MIN($E283-SUM($G283:AG283),$F283))</f>
        <v>0</v>
      </c>
      <c r="AI283" s="424">
        <f>IF(OR(AI$265&lt;$C283,AI$265&lt;$H$2),0,MIN($E283-SUM($G283:AH283),$F283))</f>
        <v>0</v>
      </c>
      <c r="AJ283" s="424">
        <f>IF(OR(AJ$265&lt;$C283,AJ$265&lt;$H$2),0,MIN($E283-SUM($G283:AI283),$F283))</f>
        <v>0</v>
      </c>
      <c r="AK283" s="424">
        <f>IF(OR(AK$265&lt;$C283,AK$265&lt;$H$2),0,MIN($E283-SUM($G283:AJ283),$F283))</f>
        <v>0</v>
      </c>
    </row>
    <row r="284" spans="3:37">
      <c r="C284" s="201">
        <v>51879</v>
      </c>
      <c r="D284" s="94" t="s">
        <v>134</v>
      </c>
      <c r="E284" s="424">
        <f t="shared" si="114"/>
        <v>0</v>
      </c>
      <c r="F284" s="209">
        <f t="shared" si="115"/>
        <v>0</v>
      </c>
      <c r="H284" s="424">
        <f>IF(OR(H$265&lt;$C284,H$265&lt;$H$2),0,MIN($E284-SUM($G284:G284),$F284))</f>
        <v>0</v>
      </c>
      <c r="I284" s="424">
        <f>IF(OR(I$265&lt;$C284,I$265&lt;$H$2),0,MIN($E284-SUM($G284:H284),$F284))</f>
        <v>0</v>
      </c>
      <c r="J284" s="424">
        <f>IF(OR(J$265&lt;$C284,J$265&lt;$H$2),0,MIN($E284-SUM($G284:I284),$F284))</f>
        <v>0</v>
      </c>
      <c r="K284" s="424">
        <f>IF(OR(K$265&lt;$C284,K$265&lt;$H$2),0,MIN($E284-SUM($G284:J284),$F284))</f>
        <v>0</v>
      </c>
      <c r="L284" s="424">
        <f>IF(OR(L$265&lt;$C284,L$265&lt;$H$2),0,MIN($E284-SUM($G284:K284),$F284))</f>
        <v>0</v>
      </c>
      <c r="M284" s="424">
        <f>IF(OR(M$265&lt;$C284,M$265&lt;$H$2),0,MIN($E284-SUM($G284:L284),$F284))</f>
        <v>0</v>
      </c>
      <c r="N284" s="424">
        <f>IF(OR(N$265&lt;$C284,N$265&lt;$H$2),0,MIN($E284-SUM($G284:M284),$F284))</f>
        <v>0</v>
      </c>
      <c r="O284" s="424">
        <f>IF(OR(O$265&lt;$C284,O$265&lt;$H$2),0,MIN($E284-SUM($G284:N284),$F284))</f>
        <v>0</v>
      </c>
      <c r="P284" s="424">
        <f>IF(OR(P$265&lt;$C284,P$265&lt;$H$2),0,MIN($E284-SUM($G284:O284),$F284))</f>
        <v>0</v>
      </c>
      <c r="Q284" s="424">
        <f>IF(OR(Q$265&lt;$C284,Q$265&lt;$H$2),0,MIN($E284-SUM($G284:P284),$F284))</f>
        <v>0</v>
      </c>
      <c r="R284" s="424">
        <f>IF(OR(R$265&lt;$C284,R$265&lt;$H$2),0,MIN($E284-SUM($G284:Q284),$F284))</f>
        <v>0</v>
      </c>
      <c r="S284" s="424">
        <f>IF(OR(S$265&lt;$C284,S$265&lt;$H$2),0,MIN($E284-SUM($G284:R284),$F284))</f>
        <v>0</v>
      </c>
      <c r="T284" s="424">
        <f>IF(OR(T$265&lt;$C284,T$265&lt;$H$2),0,MIN($E284-SUM($G284:S284),$F284))</f>
        <v>0</v>
      </c>
      <c r="U284" s="424">
        <f>IF(OR(U$265&lt;$C284,U$265&lt;$H$2),0,MIN($E284-SUM($G284:T284),$F284))</f>
        <v>0</v>
      </c>
      <c r="V284" s="424">
        <f>IF(OR(V$265&lt;$C284,V$265&lt;$H$2),0,MIN($E284-SUM($G284:U284),$F284))</f>
        <v>0</v>
      </c>
      <c r="W284" s="424">
        <f>IF(OR(W$265&lt;$C284,W$265&lt;$H$2),0,MIN($E284-SUM($G284:V284),$F284))</f>
        <v>0</v>
      </c>
      <c r="X284" s="424">
        <f>IF(OR(X$265&lt;$C284,X$265&lt;$H$2),0,MIN($E284-SUM($G284:W284),$F284))</f>
        <v>0</v>
      </c>
      <c r="Y284" s="424">
        <f>IF(OR(Y$265&lt;$C284,Y$265&lt;$H$2),0,MIN($E284-SUM($G284:X284),$F284))</f>
        <v>0</v>
      </c>
      <c r="Z284" s="424">
        <f>IF(OR(Z$265&lt;$C284,Z$265&lt;$H$2),0,MIN($E284-SUM($G284:Y284),$F284))</f>
        <v>0</v>
      </c>
      <c r="AA284" s="424">
        <f>IF(OR(AA$265&lt;$C284,AA$265&lt;$H$2),0,MIN($E284-SUM($G284:Z284),$F284))</f>
        <v>0</v>
      </c>
      <c r="AB284" s="424">
        <f>IF(OR(AB$265&lt;$C284,AB$265&lt;$H$2),0,MIN($E284-SUM($G284:AA284),$F284))</f>
        <v>0</v>
      </c>
      <c r="AC284" s="424">
        <f>IF(OR(AC$265&lt;$C284,AC$265&lt;$H$2),0,MIN($E284-SUM($G284:AB284),$F284))</f>
        <v>0</v>
      </c>
      <c r="AD284" s="424">
        <f>IF(OR(AD$265&lt;$C284,AD$265&lt;$H$2),0,MIN($E284-SUM($G284:AC284),$F284))</f>
        <v>0</v>
      </c>
      <c r="AE284" s="424">
        <f>IF(OR(AE$265&lt;$C284,AE$265&lt;$H$2),0,MIN($E284-SUM($G284:AD284),$F284))</f>
        <v>0</v>
      </c>
      <c r="AF284" s="424">
        <f>IF(OR(AF$265&lt;$C284,AF$265&lt;$H$2),0,MIN($E284-SUM($G284:AE284),$F284))</f>
        <v>0</v>
      </c>
      <c r="AG284" s="424">
        <f>IF(OR(AG$265&lt;$C284,AG$265&lt;$H$2),0,MIN($E284-SUM($G284:AF284),$F284))</f>
        <v>0</v>
      </c>
      <c r="AH284" s="424">
        <f>IF(OR(AH$265&lt;$C284,AH$265&lt;$H$2),0,MIN($E284-SUM($G284:AG284),$F284))</f>
        <v>0</v>
      </c>
      <c r="AI284" s="424">
        <f>IF(OR(AI$265&lt;$C284,AI$265&lt;$H$2),0,MIN($E284-SUM($G284:AH284),$F284))</f>
        <v>0</v>
      </c>
      <c r="AJ284" s="424">
        <f>IF(OR(AJ$265&lt;$C284,AJ$265&lt;$H$2),0,MIN($E284-SUM($G284:AI284),$F284))</f>
        <v>0</v>
      </c>
      <c r="AK284" s="424">
        <f>IF(OR(AK$265&lt;$C284,AK$265&lt;$H$2),0,MIN($E284-SUM($G284:AJ284),$F284))</f>
        <v>0</v>
      </c>
    </row>
    <row r="285" spans="3:37">
      <c r="C285" s="201">
        <v>52245</v>
      </c>
      <c r="D285" s="94" t="s">
        <v>134</v>
      </c>
      <c r="E285" s="424">
        <f t="shared" si="114"/>
        <v>0</v>
      </c>
      <c r="F285" s="209">
        <f t="shared" si="115"/>
        <v>0</v>
      </c>
      <c r="H285" s="424">
        <f>IF(OR(H$265&lt;$C285,H$265&lt;$H$2),0,MIN($E285-SUM($G285:G285),$F285))</f>
        <v>0</v>
      </c>
      <c r="I285" s="424">
        <f>IF(OR(I$265&lt;$C285,I$265&lt;$H$2),0,MIN($E285-SUM($G285:H285),$F285))</f>
        <v>0</v>
      </c>
      <c r="J285" s="424">
        <f>IF(OR(J$265&lt;$C285,J$265&lt;$H$2),0,MIN($E285-SUM($G285:I285),$F285))</f>
        <v>0</v>
      </c>
      <c r="K285" s="424">
        <f>IF(OR(K$265&lt;$C285,K$265&lt;$H$2),0,MIN($E285-SUM($G285:J285),$F285))</f>
        <v>0</v>
      </c>
      <c r="L285" s="424">
        <f>IF(OR(L$265&lt;$C285,L$265&lt;$H$2),0,MIN($E285-SUM($G285:K285),$F285))</f>
        <v>0</v>
      </c>
      <c r="M285" s="424">
        <f>IF(OR(M$265&lt;$C285,M$265&lt;$H$2),0,MIN($E285-SUM($G285:L285),$F285))</f>
        <v>0</v>
      </c>
      <c r="N285" s="424">
        <f>IF(OR(N$265&lt;$C285,N$265&lt;$H$2),0,MIN($E285-SUM($G285:M285),$F285))</f>
        <v>0</v>
      </c>
      <c r="O285" s="424">
        <f>IF(OR(O$265&lt;$C285,O$265&lt;$H$2),0,MIN($E285-SUM($G285:N285),$F285))</f>
        <v>0</v>
      </c>
      <c r="P285" s="424">
        <f>IF(OR(P$265&lt;$C285,P$265&lt;$H$2),0,MIN($E285-SUM($G285:O285),$F285))</f>
        <v>0</v>
      </c>
      <c r="Q285" s="424">
        <f>IF(OR(Q$265&lt;$C285,Q$265&lt;$H$2),0,MIN($E285-SUM($G285:P285),$F285))</f>
        <v>0</v>
      </c>
      <c r="R285" s="424">
        <f>IF(OR(R$265&lt;$C285,R$265&lt;$H$2),0,MIN($E285-SUM($G285:Q285),$F285))</f>
        <v>0</v>
      </c>
      <c r="S285" s="424">
        <f>IF(OR(S$265&lt;$C285,S$265&lt;$H$2),0,MIN($E285-SUM($G285:R285),$F285))</f>
        <v>0</v>
      </c>
      <c r="T285" s="424">
        <f>IF(OR(T$265&lt;$C285,T$265&lt;$H$2),0,MIN($E285-SUM($G285:S285),$F285))</f>
        <v>0</v>
      </c>
      <c r="U285" s="424">
        <f>IF(OR(U$265&lt;$C285,U$265&lt;$H$2),0,MIN($E285-SUM($G285:T285),$F285))</f>
        <v>0</v>
      </c>
      <c r="V285" s="424">
        <f>IF(OR(V$265&lt;$C285,V$265&lt;$H$2),0,MIN($E285-SUM($G285:U285),$F285))</f>
        <v>0</v>
      </c>
      <c r="W285" s="424">
        <f>IF(OR(W$265&lt;$C285,W$265&lt;$H$2),0,MIN($E285-SUM($G285:V285),$F285))</f>
        <v>0</v>
      </c>
      <c r="X285" s="424">
        <f>IF(OR(X$265&lt;$C285,X$265&lt;$H$2),0,MIN($E285-SUM($G285:W285),$F285))</f>
        <v>0</v>
      </c>
      <c r="Y285" s="424">
        <f>IF(OR(Y$265&lt;$C285,Y$265&lt;$H$2),0,MIN($E285-SUM($G285:X285),$F285))</f>
        <v>0</v>
      </c>
      <c r="Z285" s="424">
        <f>IF(OR(Z$265&lt;$C285,Z$265&lt;$H$2),0,MIN($E285-SUM($G285:Y285),$F285))</f>
        <v>0</v>
      </c>
      <c r="AA285" s="424">
        <f>IF(OR(AA$265&lt;$C285,AA$265&lt;$H$2),0,MIN($E285-SUM($G285:Z285),$F285))</f>
        <v>0</v>
      </c>
      <c r="AB285" s="424">
        <f>IF(OR(AB$265&lt;$C285,AB$265&lt;$H$2),0,MIN($E285-SUM($G285:AA285),$F285))</f>
        <v>0</v>
      </c>
      <c r="AC285" s="424">
        <f>IF(OR(AC$265&lt;$C285,AC$265&lt;$H$2),0,MIN($E285-SUM($G285:AB285),$F285))</f>
        <v>0</v>
      </c>
      <c r="AD285" s="424">
        <f>IF(OR(AD$265&lt;$C285,AD$265&lt;$H$2),0,MIN($E285-SUM($G285:AC285),$F285))</f>
        <v>0</v>
      </c>
      <c r="AE285" s="424">
        <f>IF(OR(AE$265&lt;$C285,AE$265&lt;$H$2),0,MIN($E285-SUM($G285:AD285),$F285))</f>
        <v>0</v>
      </c>
      <c r="AF285" s="424">
        <f>IF(OR(AF$265&lt;$C285,AF$265&lt;$H$2),0,MIN($E285-SUM($G285:AE285),$F285))</f>
        <v>0</v>
      </c>
      <c r="AG285" s="424">
        <f>IF(OR(AG$265&lt;$C285,AG$265&lt;$H$2),0,MIN($E285-SUM($G285:AF285),$F285))</f>
        <v>0</v>
      </c>
      <c r="AH285" s="424">
        <f>IF(OR(AH$265&lt;$C285,AH$265&lt;$H$2),0,MIN($E285-SUM($G285:AG285),$F285))</f>
        <v>0</v>
      </c>
      <c r="AI285" s="424">
        <f>IF(OR(AI$265&lt;$C285,AI$265&lt;$H$2),0,MIN($E285-SUM($G285:AH285),$F285))</f>
        <v>0</v>
      </c>
      <c r="AJ285" s="424">
        <f>IF(OR(AJ$265&lt;$C285,AJ$265&lt;$H$2),0,MIN($E285-SUM($G285:AI285),$F285))</f>
        <v>0</v>
      </c>
      <c r="AK285" s="424">
        <f>IF(OR(AK$265&lt;$C285,AK$265&lt;$H$2),0,MIN($E285-SUM($G285:AJ285),$F285))</f>
        <v>0</v>
      </c>
    </row>
    <row r="286" spans="3:37">
      <c r="C286" s="201">
        <v>52611</v>
      </c>
      <c r="D286" s="94" t="s">
        <v>134</v>
      </c>
      <c r="E286" s="424">
        <f t="shared" si="114"/>
        <v>0</v>
      </c>
      <c r="F286" s="209">
        <f t="shared" si="115"/>
        <v>0</v>
      </c>
      <c r="H286" s="424">
        <f>IF(OR(H$265&lt;$C286,H$265&lt;$H$2),0,MIN($E286-SUM($G286:G286),$F286))</f>
        <v>0</v>
      </c>
      <c r="I286" s="424">
        <f>IF(OR(I$265&lt;$C286,I$265&lt;$H$2),0,MIN($E286-SUM($G286:H286),$F286))</f>
        <v>0</v>
      </c>
      <c r="J286" s="424">
        <f>IF(OR(J$265&lt;$C286,J$265&lt;$H$2),0,MIN($E286-SUM($G286:I286),$F286))</f>
        <v>0</v>
      </c>
      <c r="K286" s="424">
        <f>IF(OR(K$265&lt;$C286,K$265&lt;$H$2),0,MIN($E286-SUM($G286:J286),$F286))</f>
        <v>0</v>
      </c>
      <c r="L286" s="424">
        <f>IF(OR(L$265&lt;$C286,L$265&lt;$H$2),0,MIN($E286-SUM($G286:K286),$F286))</f>
        <v>0</v>
      </c>
      <c r="M286" s="424">
        <f>IF(OR(M$265&lt;$C286,M$265&lt;$H$2),0,MIN($E286-SUM($G286:L286),$F286))</f>
        <v>0</v>
      </c>
      <c r="N286" s="424">
        <f>IF(OR(N$265&lt;$C286,N$265&lt;$H$2),0,MIN($E286-SUM($G286:M286),$F286))</f>
        <v>0</v>
      </c>
      <c r="O286" s="424">
        <f>IF(OR(O$265&lt;$C286,O$265&lt;$H$2),0,MIN($E286-SUM($G286:N286),$F286))</f>
        <v>0</v>
      </c>
      <c r="P286" s="424">
        <f>IF(OR(P$265&lt;$C286,P$265&lt;$H$2),0,MIN($E286-SUM($G286:O286),$F286))</f>
        <v>0</v>
      </c>
      <c r="Q286" s="424">
        <f>IF(OR(Q$265&lt;$C286,Q$265&lt;$H$2),0,MIN($E286-SUM($G286:P286),$F286))</f>
        <v>0</v>
      </c>
      <c r="R286" s="424">
        <f>IF(OR(R$265&lt;$C286,R$265&lt;$H$2),0,MIN($E286-SUM($G286:Q286),$F286))</f>
        <v>0</v>
      </c>
      <c r="S286" s="424">
        <f>IF(OR(S$265&lt;$C286,S$265&lt;$H$2),0,MIN($E286-SUM($G286:R286),$F286))</f>
        <v>0</v>
      </c>
      <c r="T286" s="424">
        <f>IF(OR(T$265&lt;$C286,T$265&lt;$H$2),0,MIN($E286-SUM($G286:S286),$F286))</f>
        <v>0</v>
      </c>
      <c r="U286" s="424">
        <f>IF(OR(U$265&lt;$C286,U$265&lt;$H$2),0,MIN($E286-SUM($G286:T286),$F286))</f>
        <v>0</v>
      </c>
      <c r="V286" s="424">
        <f>IF(OR(V$265&lt;$C286,V$265&lt;$H$2),0,MIN($E286-SUM($G286:U286),$F286))</f>
        <v>0</v>
      </c>
      <c r="W286" s="424">
        <f>IF(OR(W$265&lt;$C286,W$265&lt;$H$2),0,MIN($E286-SUM($G286:V286),$F286))</f>
        <v>0</v>
      </c>
      <c r="X286" s="424">
        <f>IF(OR(X$265&lt;$C286,X$265&lt;$H$2),0,MIN($E286-SUM($G286:W286),$F286))</f>
        <v>0</v>
      </c>
      <c r="Y286" s="424">
        <f>IF(OR(Y$265&lt;$C286,Y$265&lt;$H$2),0,MIN($E286-SUM($G286:X286),$F286))</f>
        <v>0</v>
      </c>
      <c r="Z286" s="424">
        <f>IF(OR(Z$265&lt;$C286,Z$265&lt;$H$2),0,MIN($E286-SUM($G286:Y286),$F286))</f>
        <v>0</v>
      </c>
      <c r="AA286" s="424">
        <f>IF(OR(AA$265&lt;$C286,AA$265&lt;$H$2),0,MIN($E286-SUM($G286:Z286),$F286))</f>
        <v>0</v>
      </c>
      <c r="AB286" s="424">
        <f>IF(OR(AB$265&lt;$C286,AB$265&lt;$H$2),0,MIN($E286-SUM($G286:AA286),$F286))</f>
        <v>0</v>
      </c>
      <c r="AC286" s="424">
        <f>IF(OR(AC$265&lt;$C286,AC$265&lt;$H$2),0,MIN($E286-SUM($G286:AB286),$F286))</f>
        <v>0</v>
      </c>
      <c r="AD286" s="424">
        <f>IF(OR(AD$265&lt;$C286,AD$265&lt;$H$2),0,MIN($E286-SUM($G286:AC286),$F286))</f>
        <v>0</v>
      </c>
      <c r="AE286" s="424">
        <f>IF(OR(AE$265&lt;$C286,AE$265&lt;$H$2),0,MIN($E286-SUM($G286:AD286),$F286))</f>
        <v>0</v>
      </c>
      <c r="AF286" s="424">
        <f>IF(OR(AF$265&lt;$C286,AF$265&lt;$H$2),0,MIN($E286-SUM($G286:AE286),$F286))</f>
        <v>0</v>
      </c>
      <c r="AG286" s="424">
        <f>IF(OR(AG$265&lt;$C286,AG$265&lt;$H$2),0,MIN($E286-SUM($G286:AF286),$F286))</f>
        <v>0</v>
      </c>
      <c r="AH286" s="424">
        <f>IF(OR(AH$265&lt;$C286,AH$265&lt;$H$2),0,MIN($E286-SUM($G286:AG286),$F286))</f>
        <v>0</v>
      </c>
      <c r="AI286" s="424">
        <f>IF(OR(AI$265&lt;$C286,AI$265&lt;$H$2),0,MIN($E286-SUM($G286:AH286),$F286))</f>
        <v>0</v>
      </c>
      <c r="AJ286" s="424">
        <f>IF(OR(AJ$265&lt;$C286,AJ$265&lt;$H$2),0,MIN($E286-SUM($G286:AI286),$F286))</f>
        <v>0</v>
      </c>
      <c r="AK286" s="424">
        <f>IF(OR(AK$265&lt;$C286,AK$265&lt;$H$2),0,MIN($E286-SUM($G286:AJ286),$F286))</f>
        <v>0</v>
      </c>
    </row>
    <row r="287" spans="3:37">
      <c r="C287" s="201">
        <v>52977</v>
      </c>
      <c r="D287" s="94" t="s">
        <v>134</v>
      </c>
      <c r="E287" s="424">
        <f t="shared" si="114"/>
        <v>0</v>
      </c>
      <c r="F287" s="209">
        <f t="shared" si="115"/>
        <v>0</v>
      </c>
      <c r="H287" s="424">
        <f>IF(OR(H$265&lt;$C287,H$265&lt;$H$2),0,MIN($E287-SUM($G287:G287),$F287))</f>
        <v>0</v>
      </c>
      <c r="I287" s="424">
        <f>IF(OR(I$265&lt;$C287,I$265&lt;$H$2),0,MIN($E287-SUM($G287:H287),$F287))</f>
        <v>0</v>
      </c>
      <c r="J287" s="424">
        <f>IF(OR(J$265&lt;$C287,J$265&lt;$H$2),0,MIN($E287-SUM($G287:I287),$F287))</f>
        <v>0</v>
      </c>
      <c r="K287" s="424">
        <f>IF(OR(K$265&lt;$C287,K$265&lt;$H$2),0,MIN($E287-SUM($G287:J287),$F287))</f>
        <v>0</v>
      </c>
      <c r="L287" s="424">
        <f>IF(OR(L$265&lt;$C287,L$265&lt;$H$2),0,MIN($E287-SUM($G287:K287),$F287))</f>
        <v>0</v>
      </c>
      <c r="M287" s="424">
        <f>IF(OR(M$265&lt;$C287,M$265&lt;$H$2),0,MIN($E287-SUM($G287:L287),$F287))</f>
        <v>0</v>
      </c>
      <c r="N287" s="424">
        <f>IF(OR(N$265&lt;$C287,N$265&lt;$H$2),0,MIN($E287-SUM($G287:M287),$F287))</f>
        <v>0</v>
      </c>
      <c r="O287" s="424">
        <f>IF(OR(O$265&lt;$C287,O$265&lt;$H$2),0,MIN($E287-SUM($G287:N287),$F287))</f>
        <v>0</v>
      </c>
      <c r="P287" s="424">
        <f>IF(OR(P$265&lt;$C287,P$265&lt;$H$2),0,MIN($E287-SUM($G287:O287),$F287))</f>
        <v>0</v>
      </c>
      <c r="Q287" s="424">
        <f>IF(OR(Q$265&lt;$C287,Q$265&lt;$H$2),0,MIN($E287-SUM($G287:P287),$F287))</f>
        <v>0</v>
      </c>
      <c r="R287" s="424">
        <f>IF(OR(R$265&lt;$C287,R$265&lt;$H$2),0,MIN($E287-SUM($G287:Q287),$F287))</f>
        <v>0</v>
      </c>
      <c r="S287" s="424">
        <f>IF(OR(S$265&lt;$C287,S$265&lt;$H$2),0,MIN($E287-SUM($G287:R287),$F287))</f>
        <v>0</v>
      </c>
      <c r="T287" s="424">
        <f>IF(OR(T$265&lt;$C287,T$265&lt;$H$2),0,MIN($E287-SUM($G287:S287),$F287))</f>
        <v>0</v>
      </c>
      <c r="U287" s="424">
        <f>IF(OR(U$265&lt;$C287,U$265&lt;$H$2),0,MIN($E287-SUM($G287:T287),$F287))</f>
        <v>0</v>
      </c>
      <c r="V287" s="424">
        <f>IF(OR(V$265&lt;$C287,V$265&lt;$H$2),0,MIN($E287-SUM($G287:U287),$F287))</f>
        <v>0</v>
      </c>
      <c r="W287" s="424">
        <f>IF(OR(W$265&lt;$C287,W$265&lt;$H$2),0,MIN($E287-SUM($G287:V287),$F287))</f>
        <v>0</v>
      </c>
      <c r="X287" s="424">
        <f>IF(OR(X$265&lt;$C287,X$265&lt;$H$2),0,MIN($E287-SUM($G287:W287),$F287))</f>
        <v>0</v>
      </c>
      <c r="Y287" s="424">
        <f>IF(OR(Y$265&lt;$C287,Y$265&lt;$H$2),0,MIN($E287-SUM($G287:X287),$F287))</f>
        <v>0</v>
      </c>
      <c r="Z287" s="424">
        <f>IF(OR(Z$265&lt;$C287,Z$265&lt;$H$2),0,MIN($E287-SUM($G287:Y287),$F287))</f>
        <v>0</v>
      </c>
      <c r="AA287" s="424">
        <f>IF(OR(AA$265&lt;$C287,AA$265&lt;$H$2),0,MIN($E287-SUM($G287:Z287),$F287))</f>
        <v>0</v>
      </c>
      <c r="AB287" s="424">
        <f>IF(OR(AB$265&lt;$C287,AB$265&lt;$H$2),0,MIN($E287-SUM($G287:AA287),$F287))</f>
        <v>0</v>
      </c>
      <c r="AC287" s="424">
        <f>IF(OR(AC$265&lt;$C287,AC$265&lt;$H$2),0,MIN($E287-SUM($G287:AB287),$F287))</f>
        <v>0</v>
      </c>
      <c r="AD287" s="424">
        <f>IF(OR(AD$265&lt;$C287,AD$265&lt;$H$2),0,MIN($E287-SUM($G287:AC287),$F287))</f>
        <v>0</v>
      </c>
      <c r="AE287" s="424">
        <f>IF(OR(AE$265&lt;$C287,AE$265&lt;$H$2),0,MIN($E287-SUM($G287:AD287),$F287))</f>
        <v>0</v>
      </c>
      <c r="AF287" s="424">
        <f>IF(OR(AF$265&lt;$C287,AF$265&lt;$H$2),0,MIN($E287-SUM($G287:AE287),$F287))</f>
        <v>0</v>
      </c>
      <c r="AG287" s="424">
        <f>IF(OR(AG$265&lt;$C287,AG$265&lt;$H$2),0,MIN($E287-SUM($G287:AF287),$F287))</f>
        <v>0</v>
      </c>
      <c r="AH287" s="424">
        <f>IF(OR(AH$265&lt;$C287,AH$265&lt;$H$2),0,MIN($E287-SUM($G287:AG287),$F287))</f>
        <v>0</v>
      </c>
      <c r="AI287" s="424">
        <f>IF(OR(AI$265&lt;$C287,AI$265&lt;$H$2),0,MIN($E287-SUM($G287:AH287),$F287))</f>
        <v>0</v>
      </c>
      <c r="AJ287" s="424">
        <f>IF(OR(AJ$265&lt;$C287,AJ$265&lt;$H$2),0,MIN($E287-SUM($G287:AI287),$F287))</f>
        <v>0</v>
      </c>
      <c r="AK287" s="424">
        <f>IF(OR(AK$265&lt;$C287,AK$265&lt;$H$2),0,MIN($E287-SUM($G287:AJ287),$F287))</f>
        <v>0</v>
      </c>
    </row>
    <row r="288" spans="3:37">
      <c r="C288" s="201">
        <v>53343</v>
      </c>
      <c r="D288" s="94" t="s">
        <v>134</v>
      </c>
      <c r="E288" s="424">
        <f t="shared" si="114"/>
        <v>0</v>
      </c>
      <c r="F288" s="209">
        <f t="shared" si="115"/>
        <v>0</v>
      </c>
      <c r="H288" s="424">
        <f>IF(OR(H$265&lt;$C288,H$265&lt;$H$2),0,MIN($E288-SUM($G288:G288),$F288))</f>
        <v>0</v>
      </c>
      <c r="I288" s="424">
        <f>IF(OR(I$265&lt;$C288,I$265&lt;$H$2),0,MIN($E288-SUM($G288:H288),$F288))</f>
        <v>0</v>
      </c>
      <c r="J288" s="424">
        <f>IF(OR(J$265&lt;$C288,J$265&lt;$H$2),0,MIN($E288-SUM($G288:I288),$F288))</f>
        <v>0</v>
      </c>
      <c r="K288" s="424">
        <f>IF(OR(K$265&lt;$C288,K$265&lt;$H$2),0,MIN($E288-SUM($G288:J288),$F288))</f>
        <v>0</v>
      </c>
      <c r="L288" s="424">
        <f>IF(OR(L$265&lt;$C288,L$265&lt;$H$2),0,MIN($E288-SUM($G288:K288),$F288))</f>
        <v>0</v>
      </c>
      <c r="M288" s="424">
        <f>IF(OR(M$265&lt;$C288,M$265&lt;$H$2),0,MIN($E288-SUM($G288:L288),$F288))</f>
        <v>0</v>
      </c>
      <c r="N288" s="424">
        <f>IF(OR(N$265&lt;$C288,N$265&lt;$H$2),0,MIN($E288-SUM($G288:M288),$F288))</f>
        <v>0</v>
      </c>
      <c r="O288" s="424">
        <f>IF(OR(O$265&lt;$C288,O$265&lt;$H$2),0,MIN($E288-SUM($G288:N288),$F288))</f>
        <v>0</v>
      </c>
      <c r="P288" s="424">
        <f>IF(OR(P$265&lt;$C288,P$265&lt;$H$2),0,MIN($E288-SUM($G288:O288),$F288))</f>
        <v>0</v>
      </c>
      <c r="Q288" s="424">
        <f>IF(OR(Q$265&lt;$C288,Q$265&lt;$H$2),0,MIN($E288-SUM($G288:P288),$F288))</f>
        <v>0</v>
      </c>
      <c r="R288" s="424">
        <f>IF(OR(R$265&lt;$C288,R$265&lt;$H$2),0,MIN($E288-SUM($G288:Q288),$F288))</f>
        <v>0</v>
      </c>
      <c r="S288" s="424">
        <f>IF(OR(S$265&lt;$C288,S$265&lt;$H$2),0,MIN($E288-SUM($G288:R288),$F288))</f>
        <v>0</v>
      </c>
      <c r="T288" s="424">
        <f>IF(OR(T$265&lt;$C288,T$265&lt;$H$2),0,MIN($E288-SUM($G288:S288),$F288))</f>
        <v>0</v>
      </c>
      <c r="U288" s="424">
        <f>IF(OR(U$265&lt;$C288,U$265&lt;$H$2),0,MIN($E288-SUM($G288:T288),$F288))</f>
        <v>0</v>
      </c>
      <c r="V288" s="424">
        <f>IF(OR(V$265&lt;$C288,V$265&lt;$H$2),0,MIN($E288-SUM($G288:U288),$F288))</f>
        <v>0</v>
      </c>
      <c r="W288" s="424">
        <f>IF(OR(W$265&lt;$C288,W$265&lt;$H$2),0,MIN($E288-SUM($G288:V288),$F288))</f>
        <v>0</v>
      </c>
      <c r="X288" s="424">
        <f>IF(OR(X$265&lt;$C288,X$265&lt;$H$2),0,MIN($E288-SUM($G288:W288),$F288))</f>
        <v>0</v>
      </c>
      <c r="Y288" s="424">
        <f>IF(OR(Y$265&lt;$C288,Y$265&lt;$H$2),0,MIN($E288-SUM($G288:X288),$F288))</f>
        <v>0</v>
      </c>
      <c r="Z288" s="424">
        <f>IF(OR(Z$265&lt;$C288,Z$265&lt;$H$2),0,MIN($E288-SUM($G288:Y288),$F288))</f>
        <v>0</v>
      </c>
      <c r="AA288" s="424">
        <f>IF(OR(AA$265&lt;$C288,AA$265&lt;$H$2),0,MIN($E288-SUM($G288:Z288),$F288))</f>
        <v>0</v>
      </c>
      <c r="AB288" s="424">
        <f>IF(OR(AB$265&lt;$C288,AB$265&lt;$H$2),0,MIN($E288-SUM($G288:AA288),$F288))</f>
        <v>0</v>
      </c>
      <c r="AC288" s="424">
        <f>IF(OR(AC$265&lt;$C288,AC$265&lt;$H$2),0,MIN($E288-SUM($G288:AB288),$F288))</f>
        <v>0</v>
      </c>
      <c r="AD288" s="424">
        <f>IF(OR(AD$265&lt;$C288,AD$265&lt;$H$2),0,MIN($E288-SUM($G288:AC288),$F288))</f>
        <v>0</v>
      </c>
      <c r="AE288" s="424">
        <f>IF(OR(AE$265&lt;$C288,AE$265&lt;$H$2),0,MIN($E288-SUM($G288:AD288),$F288))</f>
        <v>0</v>
      </c>
      <c r="AF288" s="424">
        <f>IF(OR(AF$265&lt;$C288,AF$265&lt;$H$2),0,MIN($E288-SUM($G288:AE288),$F288))</f>
        <v>0</v>
      </c>
      <c r="AG288" s="424">
        <f>IF(OR(AG$265&lt;$C288,AG$265&lt;$H$2),0,MIN($E288-SUM($G288:AF288),$F288))</f>
        <v>0</v>
      </c>
      <c r="AH288" s="424">
        <f>IF(OR(AH$265&lt;$C288,AH$265&lt;$H$2),0,MIN($E288-SUM($G288:AG288),$F288))</f>
        <v>0</v>
      </c>
      <c r="AI288" s="424">
        <f>IF(OR(AI$265&lt;$C288,AI$265&lt;$H$2),0,MIN($E288-SUM($G288:AH288),$F288))</f>
        <v>0</v>
      </c>
      <c r="AJ288" s="424">
        <f>IF(OR(AJ$265&lt;$C288,AJ$265&lt;$H$2),0,MIN($E288-SUM($G288:AI288),$F288))</f>
        <v>0</v>
      </c>
      <c r="AK288" s="424">
        <f>IF(OR(AK$265&lt;$C288,AK$265&lt;$H$2),0,MIN($E288-SUM($G288:AJ288),$F288))</f>
        <v>0</v>
      </c>
    </row>
    <row r="289" spans="3:37">
      <c r="C289" s="201">
        <v>53709</v>
      </c>
      <c r="D289" s="94" t="s">
        <v>134</v>
      </c>
      <c r="E289" s="424">
        <f t="shared" si="114"/>
        <v>0</v>
      </c>
      <c r="F289" s="209">
        <f t="shared" si="115"/>
        <v>0</v>
      </c>
      <c r="H289" s="424">
        <f>IF(OR(H$265&lt;$C289,H$265&lt;$H$2),0,MIN($E289-SUM($G289:G289),$F289))</f>
        <v>0</v>
      </c>
      <c r="I289" s="424">
        <f>IF(OR(I$265&lt;$C289,I$265&lt;$H$2),0,MIN($E289-SUM($G289:H289),$F289))</f>
        <v>0</v>
      </c>
      <c r="J289" s="424">
        <f>IF(OR(J$265&lt;$C289,J$265&lt;$H$2),0,MIN($E289-SUM($G289:I289),$F289))</f>
        <v>0</v>
      </c>
      <c r="K289" s="424">
        <f>IF(OR(K$265&lt;$C289,K$265&lt;$H$2),0,MIN($E289-SUM($G289:J289),$F289))</f>
        <v>0</v>
      </c>
      <c r="L289" s="424">
        <f>IF(OR(L$265&lt;$C289,L$265&lt;$H$2),0,MIN($E289-SUM($G289:K289),$F289))</f>
        <v>0</v>
      </c>
      <c r="M289" s="424">
        <f>IF(OR(M$265&lt;$C289,M$265&lt;$H$2),0,MIN($E289-SUM($G289:L289),$F289))</f>
        <v>0</v>
      </c>
      <c r="N289" s="424">
        <f>IF(OR(N$265&lt;$C289,N$265&lt;$H$2),0,MIN($E289-SUM($G289:M289),$F289))</f>
        <v>0</v>
      </c>
      <c r="O289" s="424">
        <f>IF(OR(O$265&lt;$C289,O$265&lt;$H$2),0,MIN($E289-SUM($G289:N289),$F289))</f>
        <v>0</v>
      </c>
      <c r="P289" s="424">
        <f>IF(OR(P$265&lt;$C289,P$265&lt;$H$2),0,MIN($E289-SUM($G289:O289),$F289))</f>
        <v>0</v>
      </c>
      <c r="Q289" s="424">
        <f>IF(OR(Q$265&lt;$C289,Q$265&lt;$H$2),0,MIN($E289-SUM($G289:P289),$F289))</f>
        <v>0</v>
      </c>
      <c r="R289" s="424">
        <f>IF(OR(R$265&lt;$C289,R$265&lt;$H$2),0,MIN($E289-SUM($G289:Q289),$F289))</f>
        <v>0</v>
      </c>
      <c r="S289" s="424">
        <f>IF(OR(S$265&lt;$C289,S$265&lt;$H$2),0,MIN($E289-SUM($G289:R289),$F289))</f>
        <v>0</v>
      </c>
      <c r="T289" s="424">
        <f>IF(OR(T$265&lt;$C289,T$265&lt;$H$2),0,MIN($E289-SUM($G289:S289),$F289))</f>
        <v>0</v>
      </c>
      <c r="U289" s="424">
        <f>IF(OR(U$265&lt;$C289,U$265&lt;$H$2),0,MIN($E289-SUM($G289:T289),$F289))</f>
        <v>0</v>
      </c>
      <c r="V289" s="424">
        <f>IF(OR(V$265&lt;$C289,V$265&lt;$H$2),0,MIN($E289-SUM($G289:U289),$F289))</f>
        <v>0</v>
      </c>
      <c r="W289" s="424">
        <f>IF(OR(W$265&lt;$C289,W$265&lt;$H$2),0,MIN($E289-SUM($G289:V289),$F289))</f>
        <v>0</v>
      </c>
      <c r="X289" s="424">
        <f>IF(OR(X$265&lt;$C289,X$265&lt;$H$2),0,MIN($E289-SUM($G289:W289),$F289))</f>
        <v>0</v>
      </c>
      <c r="Y289" s="424">
        <f>IF(OR(Y$265&lt;$C289,Y$265&lt;$H$2),0,MIN($E289-SUM($G289:X289),$F289))</f>
        <v>0</v>
      </c>
      <c r="Z289" s="424">
        <f>IF(OR(Z$265&lt;$C289,Z$265&lt;$H$2),0,MIN($E289-SUM($G289:Y289),$F289))</f>
        <v>0</v>
      </c>
      <c r="AA289" s="424">
        <f>IF(OR(AA$265&lt;$C289,AA$265&lt;$H$2),0,MIN($E289-SUM($G289:Z289),$F289))</f>
        <v>0</v>
      </c>
      <c r="AB289" s="424">
        <f>IF(OR(AB$265&lt;$C289,AB$265&lt;$H$2),0,MIN($E289-SUM($G289:AA289),$F289))</f>
        <v>0</v>
      </c>
      <c r="AC289" s="424">
        <f>IF(OR(AC$265&lt;$C289,AC$265&lt;$H$2),0,MIN($E289-SUM($G289:AB289),$F289))</f>
        <v>0</v>
      </c>
      <c r="AD289" s="424">
        <f>IF(OR(AD$265&lt;$C289,AD$265&lt;$H$2),0,MIN($E289-SUM($G289:AC289),$F289))</f>
        <v>0</v>
      </c>
      <c r="AE289" s="424">
        <f>IF(OR(AE$265&lt;$C289,AE$265&lt;$H$2),0,MIN($E289-SUM($G289:AD289),$F289))</f>
        <v>0</v>
      </c>
      <c r="AF289" s="424">
        <f>IF(OR(AF$265&lt;$C289,AF$265&lt;$H$2),0,MIN($E289-SUM($G289:AE289),$F289))</f>
        <v>0</v>
      </c>
      <c r="AG289" s="424">
        <f>IF(OR(AG$265&lt;$C289,AG$265&lt;$H$2),0,MIN($E289-SUM($G289:AF289),$F289))</f>
        <v>0</v>
      </c>
      <c r="AH289" s="424">
        <f>IF(OR(AH$265&lt;$C289,AH$265&lt;$H$2),0,MIN($E289-SUM($G289:AG289),$F289))</f>
        <v>0</v>
      </c>
      <c r="AI289" s="424">
        <f>IF(OR(AI$265&lt;$C289,AI$265&lt;$H$2),0,MIN($E289-SUM($G289:AH289),$F289))</f>
        <v>0</v>
      </c>
      <c r="AJ289" s="424">
        <f>IF(OR(AJ$265&lt;$C289,AJ$265&lt;$H$2),0,MIN($E289-SUM($G289:AI289),$F289))</f>
        <v>0</v>
      </c>
      <c r="AK289" s="424">
        <f>IF(OR(AK$265&lt;$C289,AK$265&lt;$H$2),0,MIN($E289-SUM($G289:AJ289),$F289))</f>
        <v>0</v>
      </c>
    </row>
    <row r="290" spans="3:37">
      <c r="C290" s="201">
        <v>54075</v>
      </c>
      <c r="D290" s="94" t="s">
        <v>134</v>
      </c>
      <c r="E290" s="424">
        <f t="shared" si="114"/>
        <v>0</v>
      </c>
      <c r="F290" s="209">
        <f t="shared" si="115"/>
        <v>0</v>
      </c>
      <c r="H290" s="424">
        <f>IF(OR(H$265&lt;$C290,H$265&lt;$H$2),0,MIN($E290-SUM($G290:G290),$F290))</f>
        <v>0</v>
      </c>
      <c r="I290" s="424">
        <f>IF(OR(I$265&lt;$C290,I$265&lt;$H$2),0,MIN($E290-SUM($G290:H290),$F290))</f>
        <v>0</v>
      </c>
      <c r="J290" s="424">
        <f>IF(OR(J$265&lt;$C290,J$265&lt;$H$2),0,MIN($E290-SUM($G290:I290),$F290))</f>
        <v>0</v>
      </c>
      <c r="K290" s="424">
        <f>IF(OR(K$265&lt;$C290,K$265&lt;$H$2),0,MIN($E290-SUM($G290:J290),$F290))</f>
        <v>0</v>
      </c>
      <c r="L290" s="424">
        <f>IF(OR(L$265&lt;$C290,L$265&lt;$H$2),0,MIN($E290-SUM($G290:K290),$F290))</f>
        <v>0</v>
      </c>
      <c r="M290" s="424">
        <f>IF(OR(M$265&lt;$C290,M$265&lt;$H$2),0,MIN($E290-SUM($G290:L290),$F290))</f>
        <v>0</v>
      </c>
      <c r="N290" s="424">
        <f>IF(OR(N$265&lt;$C290,N$265&lt;$H$2),0,MIN($E290-SUM($G290:M290),$F290))</f>
        <v>0</v>
      </c>
      <c r="O290" s="424">
        <f>IF(OR(O$265&lt;$C290,O$265&lt;$H$2),0,MIN($E290-SUM($G290:N290),$F290))</f>
        <v>0</v>
      </c>
      <c r="P290" s="424">
        <f>IF(OR(P$265&lt;$C290,P$265&lt;$H$2),0,MIN($E290-SUM($G290:O290),$F290))</f>
        <v>0</v>
      </c>
      <c r="Q290" s="424">
        <f>IF(OR(Q$265&lt;$C290,Q$265&lt;$H$2),0,MIN($E290-SUM($G290:P290),$F290))</f>
        <v>0</v>
      </c>
      <c r="R290" s="424">
        <f>IF(OR(R$265&lt;$C290,R$265&lt;$H$2),0,MIN($E290-SUM($G290:Q290),$F290))</f>
        <v>0</v>
      </c>
      <c r="S290" s="424">
        <f>IF(OR(S$265&lt;$C290,S$265&lt;$H$2),0,MIN($E290-SUM($G290:R290),$F290))</f>
        <v>0</v>
      </c>
      <c r="T290" s="424">
        <f>IF(OR(T$265&lt;$C290,T$265&lt;$H$2),0,MIN($E290-SUM($G290:S290),$F290))</f>
        <v>0</v>
      </c>
      <c r="U290" s="424">
        <f>IF(OR(U$265&lt;$C290,U$265&lt;$H$2),0,MIN($E290-SUM($G290:T290),$F290))</f>
        <v>0</v>
      </c>
      <c r="V290" s="424">
        <f>IF(OR(V$265&lt;$C290,V$265&lt;$H$2),0,MIN($E290-SUM($G290:U290),$F290))</f>
        <v>0</v>
      </c>
      <c r="W290" s="424">
        <f>IF(OR(W$265&lt;$C290,W$265&lt;$H$2),0,MIN($E290-SUM($G290:V290),$F290))</f>
        <v>0</v>
      </c>
      <c r="X290" s="424">
        <f>IF(OR(X$265&lt;$C290,X$265&lt;$H$2),0,MIN($E290-SUM($G290:W290),$F290))</f>
        <v>0</v>
      </c>
      <c r="Y290" s="424">
        <f>IF(OR(Y$265&lt;$C290,Y$265&lt;$H$2),0,MIN($E290-SUM($G290:X290),$F290))</f>
        <v>0</v>
      </c>
      <c r="Z290" s="424">
        <f>IF(OR(Z$265&lt;$C290,Z$265&lt;$H$2),0,MIN($E290-SUM($G290:Y290),$F290))</f>
        <v>0</v>
      </c>
      <c r="AA290" s="424">
        <f>IF(OR(AA$265&lt;$C290,AA$265&lt;$H$2),0,MIN($E290-SUM($G290:Z290),$F290))</f>
        <v>0</v>
      </c>
      <c r="AB290" s="424">
        <f>IF(OR(AB$265&lt;$C290,AB$265&lt;$H$2),0,MIN($E290-SUM($G290:AA290),$F290))</f>
        <v>0</v>
      </c>
      <c r="AC290" s="424">
        <f>IF(OR(AC$265&lt;$C290,AC$265&lt;$H$2),0,MIN($E290-SUM($G290:AB290),$F290))</f>
        <v>0</v>
      </c>
      <c r="AD290" s="424">
        <f>IF(OR(AD$265&lt;$C290,AD$265&lt;$H$2),0,MIN($E290-SUM($G290:AC290),$F290))</f>
        <v>0</v>
      </c>
      <c r="AE290" s="424">
        <f>IF(OR(AE$265&lt;$C290,AE$265&lt;$H$2),0,MIN($E290-SUM($G290:AD290),$F290))</f>
        <v>0</v>
      </c>
      <c r="AF290" s="424">
        <f>IF(OR(AF$265&lt;$C290,AF$265&lt;$H$2),0,MIN($E290-SUM($G290:AE290),$F290))</f>
        <v>0</v>
      </c>
      <c r="AG290" s="424">
        <f>IF(OR(AG$265&lt;$C290,AG$265&lt;$H$2),0,MIN($E290-SUM($G290:AF290),$F290))</f>
        <v>0</v>
      </c>
      <c r="AH290" s="424">
        <f>IF(OR(AH$265&lt;$C290,AH$265&lt;$H$2),0,MIN($E290-SUM($G290:AG290),$F290))</f>
        <v>0</v>
      </c>
      <c r="AI290" s="424">
        <f>IF(OR(AI$265&lt;$C290,AI$265&lt;$H$2),0,MIN($E290-SUM($G290:AH290),$F290))</f>
        <v>0</v>
      </c>
      <c r="AJ290" s="424">
        <f>IF(OR(AJ$265&lt;$C290,AJ$265&lt;$H$2),0,MIN($E290-SUM($G290:AI290),$F290))</f>
        <v>0</v>
      </c>
      <c r="AK290" s="424">
        <f>IF(OR(AK$265&lt;$C290,AK$265&lt;$H$2),0,MIN($E290-SUM($G290:AJ290),$F290))</f>
        <v>0</v>
      </c>
    </row>
    <row r="291" spans="3:37">
      <c r="C291" s="201">
        <v>0</v>
      </c>
      <c r="D291" s="94" t="s">
        <v>134</v>
      </c>
      <c r="E291" s="424">
        <f t="shared" si="114"/>
        <v>0</v>
      </c>
      <c r="F291" s="209">
        <f t="shared" si="115"/>
        <v>0</v>
      </c>
      <c r="H291" s="424">
        <f>IF(OR(H$265&lt;$C291,H$265&lt;$H$2),0,MIN($E291-SUM($G291:G291),$F291))</f>
        <v>0</v>
      </c>
      <c r="I291" s="424">
        <f>IF(OR(I$265&lt;$C291,I$265&lt;$H$2),0,MIN($E291-SUM($G291:H291),$F291))</f>
        <v>0</v>
      </c>
      <c r="J291" s="424">
        <f>IF(OR(J$265&lt;$C291,J$265&lt;$H$2),0,MIN($E291-SUM($G291:I291),$F291))</f>
        <v>0</v>
      </c>
      <c r="K291" s="424">
        <f>IF(OR(K$265&lt;$C291,K$265&lt;$H$2),0,MIN($E291-SUM($G291:J291),$F291))</f>
        <v>0</v>
      </c>
      <c r="L291" s="424">
        <f>IF(OR(L$265&lt;$C291,L$265&lt;$H$2),0,MIN($E291-SUM($G291:K291),$F291))</f>
        <v>0</v>
      </c>
      <c r="M291" s="424">
        <f>IF(OR(M$265&lt;$C291,M$265&lt;$H$2),0,MIN($E291-SUM($G291:L291),$F291))</f>
        <v>0</v>
      </c>
      <c r="N291" s="424">
        <f>IF(OR(N$265&lt;$C291,N$265&lt;$H$2),0,MIN($E291-SUM($G291:M291),$F291))</f>
        <v>0</v>
      </c>
      <c r="O291" s="424">
        <f>IF(OR(O$265&lt;$C291,O$265&lt;$H$2),0,MIN($E291-SUM($G291:N291),$F291))</f>
        <v>0</v>
      </c>
      <c r="P291" s="424">
        <f>IF(OR(P$265&lt;$C291,P$265&lt;$H$2),0,MIN($E291-SUM($G291:O291),$F291))</f>
        <v>0</v>
      </c>
      <c r="Q291" s="424">
        <f>IF(OR(Q$265&lt;$C291,Q$265&lt;$H$2),0,MIN($E291-SUM($G291:P291),$F291))</f>
        <v>0</v>
      </c>
      <c r="R291" s="424">
        <f>IF(OR(R$265&lt;$C291,R$265&lt;$H$2),0,MIN($E291-SUM($G291:Q291),$F291))</f>
        <v>0</v>
      </c>
      <c r="S291" s="424">
        <f>IF(OR(S$265&lt;$C291,S$265&lt;$H$2),0,MIN($E291-SUM($G291:R291),$F291))</f>
        <v>0</v>
      </c>
      <c r="T291" s="424">
        <f>IF(OR(T$265&lt;$C291,T$265&lt;$H$2),0,MIN($E291-SUM($G291:S291),$F291))</f>
        <v>0</v>
      </c>
      <c r="U291" s="424">
        <f>IF(OR(U$265&lt;$C291,U$265&lt;$H$2),0,MIN($E291-SUM($G291:T291),$F291))</f>
        <v>0</v>
      </c>
      <c r="V291" s="424">
        <f>IF(OR(V$265&lt;$C291,V$265&lt;$H$2),0,MIN($E291-SUM($G291:U291),$F291))</f>
        <v>0</v>
      </c>
      <c r="W291" s="424">
        <f>IF(OR(W$265&lt;$C291,W$265&lt;$H$2),0,MIN($E291-SUM($G291:V291),$F291))</f>
        <v>0</v>
      </c>
      <c r="X291" s="424">
        <f>IF(OR(X$265&lt;$C291,X$265&lt;$H$2),0,MIN($E291-SUM($G291:W291),$F291))</f>
        <v>0</v>
      </c>
      <c r="Y291" s="424">
        <f>IF(OR(Y$265&lt;$C291,Y$265&lt;$H$2),0,MIN($E291-SUM($G291:X291),$F291))</f>
        <v>0</v>
      </c>
      <c r="Z291" s="424">
        <f>IF(OR(Z$265&lt;$C291,Z$265&lt;$H$2),0,MIN($E291-SUM($G291:Y291),$F291))</f>
        <v>0</v>
      </c>
      <c r="AA291" s="424">
        <f>IF(OR(AA$265&lt;$C291,AA$265&lt;$H$2),0,MIN($E291-SUM($G291:Z291),$F291))</f>
        <v>0</v>
      </c>
      <c r="AB291" s="424">
        <f>IF(OR(AB$265&lt;$C291,AB$265&lt;$H$2),0,MIN($E291-SUM($G291:AA291),$F291))</f>
        <v>0</v>
      </c>
      <c r="AC291" s="424">
        <f>IF(OR(AC$265&lt;$C291,AC$265&lt;$H$2),0,MIN($E291-SUM($G291:AB291),$F291))</f>
        <v>0</v>
      </c>
      <c r="AD291" s="424">
        <f>IF(OR(AD$265&lt;$C291,AD$265&lt;$H$2),0,MIN($E291-SUM($G291:AC291),$F291))</f>
        <v>0</v>
      </c>
      <c r="AE291" s="424">
        <f>IF(OR(AE$265&lt;$C291,AE$265&lt;$H$2),0,MIN($E291-SUM($G291:AD291),$F291))</f>
        <v>0</v>
      </c>
      <c r="AF291" s="424">
        <f>IF(OR(AF$265&lt;$C291,AF$265&lt;$H$2),0,MIN($E291-SUM($G291:AE291),$F291))</f>
        <v>0</v>
      </c>
      <c r="AG291" s="424">
        <f>IF(OR(AG$265&lt;$C291,AG$265&lt;$H$2),0,MIN($E291-SUM($G291:AF291),$F291))</f>
        <v>0</v>
      </c>
      <c r="AH291" s="424">
        <f>IF(OR(AH$265&lt;$C291,AH$265&lt;$H$2),0,MIN($E291-SUM($G291:AG291),$F291))</f>
        <v>0</v>
      </c>
      <c r="AI291" s="424">
        <f>IF(OR(AI$265&lt;$C291,AI$265&lt;$H$2),0,MIN($E291-SUM($G291:AH291),$F291))</f>
        <v>0</v>
      </c>
      <c r="AJ291" s="424">
        <f>IF(OR(AJ$265&lt;$C291,AJ$265&lt;$H$2),0,MIN($E291-SUM($G291:AI291),$F291))</f>
        <v>0</v>
      </c>
      <c r="AK291" s="424">
        <f>IF(OR(AK$265&lt;$C291,AK$265&lt;$H$2),0,MIN($E291-SUM($G291:AJ291),$F291))</f>
        <v>0</v>
      </c>
    </row>
    <row r="292" spans="3:37">
      <c r="C292" s="201">
        <v>0</v>
      </c>
      <c r="D292" s="94" t="s">
        <v>134</v>
      </c>
      <c r="E292" s="424">
        <f t="shared" si="114"/>
        <v>0</v>
      </c>
      <c r="F292" s="209">
        <f t="shared" si="115"/>
        <v>0</v>
      </c>
      <c r="H292" s="424">
        <f>IF(OR(H$265&lt;$C292,H$265&lt;$H$2),0,MIN($E292-SUM($G292:G292),$F292))</f>
        <v>0</v>
      </c>
      <c r="I292" s="424">
        <f>IF(OR(I$265&lt;$C292,I$265&lt;$H$2),0,MIN($E292-SUM($G292:H292),$F292))</f>
        <v>0</v>
      </c>
      <c r="J292" s="424">
        <f>IF(OR(J$265&lt;$C292,J$265&lt;$H$2),0,MIN($E292-SUM($G292:I292),$F292))</f>
        <v>0</v>
      </c>
      <c r="K292" s="424">
        <f>IF(OR(K$265&lt;$C292,K$265&lt;$H$2),0,MIN($E292-SUM($G292:J292),$F292))</f>
        <v>0</v>
      </c>
      <c r="L292" s="424">
        <f>IF(OR(L$265&lt;$C292,L$265&lt;$H$2),0,MIN($E292-SUM($G292:K292),$F292))</f>
        <v>0</v>
      </c>
      <c r="M292" s="424">
        <f>IF(OR(M$265&lt;$C292,M$265&lt;$H$2),0,MIN($E292-SUM($G292:L292),$F292))</f>
        <v>0</v>
      </c>
      <c r="N292" s="424">
        <f>IF(OR(N$265&lt;$C292,N$265&lt;$H$2),0,MIN($E292-SUM($G292:M292),$F292))</f>
        <v>0</v>
      </c>
      <c r="O292" s="424">
        <f>IF(OR(O$265&lt;$C292,O$265&lt;$H$2),0,MIN($E292-SUM($G292:N292),$F292))</f>
        <v>0</v>
      </c>
      <c r="P292" s="424">
        <f>IF(OR(P$265&lt;$C292,P$265&lt;$H$2),0,MIN($E292-SUM($G292:O292),$F292))</f>
        <v>0</v>
      </c>
      <c r="Q292" s="424">
        <f>IF(OR(Q$265&lt;$C292,Q$265&lt;$H$2),0,MIN($E292-SUM($G292:P292),$F292))</f>
        <v>0</v>
      </c>
      <c r="R292" s="424">
        <f>IF(OR(R$265&lt;$C292,R$265&lt;$H$2),0,MIN($E292-SUM($G292:Q292),$F292))</f>
        <v>0</v>
      </c>
      <c r="S292" s="424">
        <f>IF(OR(S$265&lt;$C292,S$265&lt;$H$2),0,MIN($E292-SUM($G292:R292),$F292))</f>
        <v>0</v>
      </c>
      <c r="T292" s="424">
        <f>IF(OR(T$265&lt;$C292,T$265&lt;$H$2),0,MIN($E292-SUM($G292:S292),$F292))</f>
        <v>0</v>
      </c>
      <c r="U292" s="424">
        <f>IF(OR(U$265&lt;$C292,U$265&lt;$H$2),0,MIN($E292-SUM($G292:T292),$F292))</f>
        <v>0</v>
      </c>
      <c r="V292" s="424">
        <f>IF(OR(V$265&lt;$C292,V$265&lt;$H$2),0,MIN($E292-SUM($G292:U292),$F292))</f>
        <v>0</v>
      </c>
      <c r="W292" s="424">
        <f>IF(OR(W$265&lt;$C292,W$265&lt;$H$2),0,MIN($E292-SUM($G292:V292),$F292))</f>
        <v>0</v>
      </c>
      <c r="X292" s="424">
        <f>IF(OR(X$265&lt;$C292,X$265&lt;$H$2),0,MIN($E292-SUM($G292:W292),$F292))</f>
        <v>0</v>
      </c>
      <c r="Y292" s="424">
        <f>IF(OR(Y$265&lt;$C292,Y$265&lt;$H$2),0,MIN($E292-SUM($G292:X292),$F292))</f>
        <v>0</v>
      </c>
      <c r="Z292" s="424">
        <f>IF(OR(Z$265&lt;$C292,Z$265&lt;$H$2),0,MIN($E292-SUM($G292:Y292),$F292))</f>
        <v>0</v>
      </c>
      <c r="AA292" s="424">
        <f>IF(OR(AA$265&lt;$C292,AA$265&lt;$H$2),0,MIN($E292-SUM($G292:Z292),$F292))</f>
        <v>0</v>
      </c>
      <c r="AB292" s="424">
        <f>IF(OR(AB$265&lt;$C292,AB$265&lt;$H$2),0,MIN($E292-SUM($G292:AA292),$F292))</f>
        <v>0</v>
      </c>
      <c r="AC292" s="424">
        <f>IF(OR(AC$265&lt;$C292,AC$265&lt;$H$2),0,MIN($E292-SUM($G292:AB292),$F292))</f>
        <v>0</v>
      </c>
      <c r="AD292" s="424">
        <f>IF(OR(AD$265&lt;$C292,AD$265&lt;$H$2),0,MIN($E292-SUM($G292:AC292),$F292))</f>
        <v>0</v>
      </c>
      <c r="AE292" s="424">
        <f>IF(OR(AE$265&lt;$C292,AE$265&lt;$H$2),0,MIN($E292-SUM($G292:AD292),$F292))</f>
        <v>0</v>
      </c>
      <c r="AF292" s="424">
        <f>IF(OR(AF$265&lt;$C292,AF$265&lt;$H$2),0,MIN($E292-SUM($G292:AE292),$F292))</f>
        <v>0</v>
      </c>
      <c r="AG292" s="424">
        <f>IF(OR(AG$265&lt;$C292,AG$265&lt;$H$2),0,MIN($E292-SUM($G292:AF292),$F292))</f>
        <v>0</v>
      </c>
      <c r="AH292" s="424">
        <f>IF(OR(AH$265&lt;$C292,AH$265&lt;$H$2),0,MIN($E292-SUM($G292:AG292),$F292))</f>
        <v>0</v>
      </c>
      <c r="AI292" s="424">
        <f>IF(OR(AI$265&lt;$C292,AI$265&lt;$H$2),0,MIN($E292-SUM($G292:AH292),$F292))</f>
        <v>0</v>
      </c>
      <c r="AJ292" s="424">
        <f>IF(OR(AJ$265&lt;$C292,AJ$265&lt;$H$2),0,MIN($E292-SUM($G292:AI292),$F292))</f>
        <v>0</v>
      </c>
      <c r="AK292" s="424">
        <f>IF(OR(AK$265&lt;$C292,AK$265&lt;$H$2),0,MIN($E292-SUM($G292:AJ292),$F292))</f>
        <v>0</v>
      </c>
    </row>
    <row r="293" spans="3:37">
      <c r="C293" s="201">
        <v>0</v>
      </c>
      <c r="D293" s="94" t="s">
        <v>134</v>
      </c>
      <c r="E293" s="424">
        <f t="shared" si="114"/>
        <v>0</v>
      </c>
      <c r="F293" s="209">
        <f t="shared" si="115"/>
        <v>0</v>
      </c>
      <c r="H293" s="424">
        <f>IF(OR(H$265&lt;$C293,H$265&lt;$H$2),0,MIN($E293-SUM($G293:G293),$F293))</f>
        <v>0</v>
      </c>
      <c r="I293" s="424">
        <f>IF(OR(I$265&lt;$C293,I$265&lt;$H$2),0,MIN($E293-SUM($G293:H293),$F293))</f>
        <v>0</v>
      </c>
      <c r="J293" s="424">
        <f>IF(OR(J$265&lt;$C293,J$265&lt;$H$2),0,MIN($E293-SUM($G293:I293),$F293))</f>
        <v>0</v>
      </c>
      <c r="K293" s="424">
        <f>IF(OR(K$265&lt;$C293,K$265&lt;$H$2),0,MIN($E293-SUM($G293:J293),$F293))</f>
        <v>0</v>
      </c>
      <c r="L293" s="424">
        <f>IF(OR(L$265&lt;$C293,L$265&lt;$H$2),0,MIN($E293-SUM($G293:K293),$F293))</f>
        <v>0</v>
      </c>
      <c r="M293" s="424">
        <f>IF(OR(M$265&lt;$C293,M$265&lt;$H$2),0,MIN($E293-SUM($G293:L293),$F293))</f>
        <v>0</v>
      </c>
      <c r="N293" s="424">
        <f>IF(OR(N$265&lt;$C293,N$265&lt;$H$2),0,MIN($E293-SUM($G293:M293),$F293))</f>
        <v>0</v>
      </c>
      <c r="O293" s="424">
        <f>IF(OR(O$265&lt;$C293,O$265&lt;$H$2),0,MIN($E293-SUM($G293:N293),$F293))</f>
        <v>0</v>
      </c>
      <c r="P293" s="424">
        <f>IF(OR(P$265&lt;$C293,P$265&lt;$H$2),0,MIN($E293-SUM($G293:O293),$F293))</f>
        <v>0</v>
      </c>
      <c r="Q293" s="424">
        <f>IF(OR(Q$265&lt;$C293,Q$265&lt;$H$2),0,MIN($E293-SUM($G293:P293),$F293))</f>
        <v>0</v>
      </c>
      <c r="R293" s="424">
        <f>IF(OR(R$265&lt;$C293,R$265&lt;$H$2),0,MIN($E293-SUM($G293:Q293),$F293))</f>
        <v>0</v>
      </c>
      <c r="S293" s="424">
        <f>IF(OR(S$265&lt;$C293,S$265&lt;$H$2),0,MIN($E293-SUM($G293:R293),$F293))</f>
        <v>0</v>
      </c>
      <c r="T293" s="424">
        <f>IF(OR(T$265&lt;$C293,T$265&lt;$H$2),0,MIN($E293-SUM($G293:S293),$F293))</f>
        <v>0</v>
      </c>
      <c r="U293" s="424">
        <f>IF(OR(U$265&lt;$C293,U$265&lt;$H$2),0,MIN($E293-SUM($G293:T293),$F293))</f>
        <v>0</v>
      </c>
      <c r="V293" s="424">
        <f>IF(OR(V$265&lt;$C293,V$265&lt;$H$2),0,MIN($E293-SUM($G293:U293),$F293))</f>
        <v>0</v>
      </c>
      <c r="W293" s="424">
        <f>IF(OR(W$265&lt;$C293,W$265&lt;$H$2),0,MIN($E293-SUM($G293:V293),$F293))</f>
        <v>0</v>
      </c>
      <c r="X293" s="424">
        <f>IF(OR(X$265&lt;$C293,X$265&lt;$H$2),0,MIN($E293-SUM($G293:W293),$F293))</f>
        <v>0</v>
      </c>
      <c r="Y293" s="424">
        <f>IF(OR(Y$265&lt;$C293,Y$265&lt;$H$2),0,MIN($E293-SUM($G293:X293),$F293))</f>
        <v>0</v>
      </c>
      <c r="Z293" s="424">
        <f>IF(OR(Z$265&lt;$C293,Z$265&lt;$H$2),0,MIN($E293-SUM($G293:Y293),$F293))</f>
        <v>0</v>
      </c>
      <c r="AA293" s="424">
        <f>IF(OR(AA$265&lt;$C293,AA$265&lt;$H$2),0,MIN($E293-SUM($G293:Z293),$F293))</f>
        <v>0</v>
      </c>
      <c r="AB293" s="424">
        <f>IF(OR(AB$265&lt;$C293,AB$265&lt;$H$2),0,MIN($E293-SUM($G293:AA293),$F293))</f>
        <v>0</v>
      </c>
      <c r="AC293" s="424">
        <f>IF(OR(AC$265&lt;$C293,AC$265&lt;$H$2),0,MIN($E293-SUM($G293:AB293),$F293))</f>
        <v>0</v>
      </c>
      <c r="AD293" s="424">
        <f>IF(OR(AD$265&lt;$C293,AD$265&lt;$H$2),0,MIN($E293-SUM($G293:AC293),$F293))</f>
        <v>0</v>
      </c>
      <c r="AE293" s="424">
        <f>IF(OR(AE$265&lt;$C293,AE$265&lt;$H$2),0,MIN($E293-SUM($G293:AD293),$F293))</f>
        <v>0</v>
      </c>
      <c r="AF293" s="424">
        <f>IF(OR(AF$265&lt;$C293,AF$265&lt;$H$2),0,MIN($E293-SUM($G293:AE293),$F293))</f>
        <v>0</v>
      </c>
      <c r="AG293" s="424">
        <f>IF(OR(AG$265&lt;$C293,AG$265&lt;$H$2),0,MIN($E293-SUM($G293:AF293),$F293))</f>
        <v>0</v>
      </c>
      <c r="AH293" s="424">
        <f>IF(OR(AH$265&lt;$C293,AH$265&lt;$H$2),0,MIN($E293-SUM($G293:AG293),$F293))</f>
        <v>0</v>
      </c>
      <c r="AI293" s="424">
        <f>IF(OR(AI$265&lt;$C293,AI$265&lt;$H$2),0,MIN($E293-SUM($G293:AH293),$F293))</f>
        <v>0</v>
      </c>
      <c r="AJ293" s="424">
        <f>IF(OR(AJ$265&lt;$C293,AJ$265&lt;$H$2),0,MIN($E293-SUM($G293:AI293),$F293))</f>
        <v>0</v>
      </c>
      <c r="AK293" s="424">
        <f>IF(OR(AK$265&lt;$C293,AK$265&lt;$H$2),0,MIN($E293-SUM($G293:AJ293),$F293))</f>
        <v>0</v>
      </c>
    </row>
    <row r="294" spans="3:37">
      <c r="C294" s="201">
        <v>0</v>
      </c>
      <c r="D294" s="94" t="s">
        <v>134</v>
      </c>
      <c r="E294" s="424">
        <f t="shared" si="114"/>
        <v>0</v>
      </c>
      <c r="F294" s="209">
        <f t="shared" si="115"/>
        <v>0</v>
      </c>
      <c r="H294" s="424">
        <f>IF(OR(H$265&lt;$C294,H$265&lt;$H$2),0,MIN($E294-SUM($G294:G294),$F294))</f>
        <v>0</v>
      </c>
      <c r="I294" s="424">
        <f>IF(OR(I$265&lt;$C294,I$265&lt;$H$2),0,MIN($E294-SUM($G294:H294),$F294))</f>
        <v>0</v>
      </c>
      <c r="J294" s="424">
        <f>IF(OR(J$265&lt;$C294,J$265&lt;$H$2),0,MIN($E294-SUM($G294:I294),$F294))</f>
        <v>0</v>
      </c>
      <c r="K294" s="424">
        <f>IF(OR(K$265&lt;$C294,K$265&lt;$H$2),0,MIN($E294-SUM($G294:J294),$F294))</f>
        <v>0</v>
      </c>
      <c r="L294" s="424">
        <f>IF(OR(L$265&lt;$C294,L$265&lt;$H$2),0,MIN($E294-SUM($G294:K294),$F294))</f>
        <v>0</v>
      </c>
      <c r="M294" s="424">
        <f>IF(OR(M$265&lt;$C294,M$265&lt;$H$2),0,MIN($E294-SUM($G294:L294),$F294))</f>
        <v>0</v>
      </c>
      <c r="N294" s="424">
        <f>IF(OR(N$265&lt;$C294,N$265&lt;$H$2),0,MIN($E294-SUM($G294:M294),$F294))</f>
        <v>0</v>
      </c>
      <c r="O294" s="424">
        <f>IF(OR(O$265&lt;$C294,O$265&lt;$H$2),0,MIN($E294-SUM($G294:N294),$F294))</f>
        <v>0</v>
      </c>
      <c r="P294" s="424">
        <f>IF(OR(P$265&lt;$C294,P$265&lt;$H$2),0,MIN($E294-SUM($G294:O294),$F294))</f>
        <v>0</v>
      </c>
      <c r="Q294" s="424">
        <f>IF(OR(Q$265&lt;$C294,Q$265&lt;$H$2),0,MIN($E294-SUM($G294:P294),$F294))</f>
        <v>0</v>
      </c>
      <c r="R294" s="424">
        <f>IF(OR(R$265&lt;$C294,R$265&lt;$H$2),0,MIN($E294-SUM($G294:Q294),$F294))</f>
        <v>0</v>
      </c>
      <c r="S294" s="424">
        <f>IF(OR(S$265&lt;$C294,S$265&lt;$H$2),0,MIN($E294-SUM($G294:R294),$F294))</f>
        <v>0</v>
      </c>
      <c r="T294" s="424">
        <f>IF(OR(T$265&lt;$C294,T$265&lt;$H$2),0,MIN($E294-SUM($G294:S294),$F294))</f>
        <v>0</v>
      </c>
      <c r="U294" s="424">
        <f>IF(OR(U$265&lt;$C294,U$265&lt;$H$2),0,MIN($E294-SUM($G294:T294),$F294))</f>
        <v>0</v>
      </c>
      <c r="V294" s="424">
        <f>IF(OR(V$265&lt;$C294,V$265&lt;$H$2),0,MIN($E294-SUM($G294:U294),$F294))</f>
        <v>0</v>
      </c>
      <c r="W294" s="424">
        <f>IF(OR(W$265&lt;$C294,W$265&lt;$H$2),0,MIN($E294-SUM($G294:V294),$F294))</f>
        <v>0</v>
      </c>
      <c r="X294" s="424">
        <f>IF(OR(X$265&lt;$C294,X$265&lt;$H$2),0,MIN($E294-SUM($G294:W294),$F294))</f>
        <v>0</v>
      </c>
      <c r="Y294" s="424">
        <f>IF(OR(Y$265&lt;$C294,Y$265&lt;$H$2),0,MIN($E294-SUM($G294:X294),$F294))</f>
        <v>0</v>
      </c>
      <c r="Z294" s="424">
        <f>IF(OR(Z$265&lt;$C294,Z$265&lt;$H$2),0,MIN($E294-SUM($G294:Y294),$F294))</f>
        <v>0</v>
      </c>
      <c r="AA294" s="424">
        <f>IF(OR(AA$265&lt;$C294,AA$265&lt;$H$2),0,MIN($E294-SUM($G294:Z294),$F294))</f>
        <v>0</v>
      </c>
      <c r="AB294" s="424">
        <f>IF(OR(AB$265&lt;$C294,AB$265&lt;$H$2),0,MIN($E294-SUM($G294:AA294),$F294))</f>
        <v>0</v>
      </c>
      <c r="AC294" s="424">
        <f>IF(OR(AC$265&lt;$C294,AC$265&lt;$H$2),0,MIN($E294-SUM($G294:AB294),$F294))</f>
        <v>0</v>
      </c>
      <c r="AD294" s="424">
        <f>IF(OR(AD$265&lt;$C294,AD$265&lt;$H$2),0,MIN($E294-SUM($G294:AC294),$F294))</f>
        <v>0</v>
      </c>
      <c r="AE294" s="424">
        <f>IF(OR(AE$265&lt;$C294,AE$265&lt;$H$2),0,MIN($E294-SUM($G294:AD294),$F294))</f>
        <v>0</v>
      </c>
      <c r="AF294" s="424">
        <f>IF(OR(AF$265&lt;$C294,AF$265&lt;$H$2),0,MIN($E294-SUM($G294:AE294),$F294))</f>
        <v>0</v>
      </c>
      <c r="AG294" s="424">
        <f>IF(OR(AG$265&lt;$C294,AG$265&lt;$H$2),0,MIN($E294-SUM($G294:AF294),$F294))</f>
        <v>0</v>
      </c>
      <c r="AH294" s="424">
        <f>IF(OR(AH$265&lt;$C294,AH$265&lt;$H$2),0,MIN($E294-SUM($G294:AG294),$F294))</f>
        <v>0</v>
      </c>
      <c r="AI294" s="424">
        <f>IF(OR(AI$265&lt;$C294,AI$265&lt;$H$2),0,MIN($E294-SUM($G294:AH294),$F294))</f>
        <v>0</v>
      </c>
      <c r="AJ294" s="424">
        <f>IF(OR(AJ$265&lt;$C294,AJ$265&lt;$H$2),0,MIN($E294-SUM($G294:AI294),$F294))</f>
        <v>0</v>
      </c>
      <c r="AK294" s="424">
        <f>IF(OR(AK$265&lt;$C294,AK$265&lt;$H$2),0,MIN($E294-SUM($G294:AJ294),$F294))</f>
        <v>0</v>
      </c>
    </row>
    <row r="295" spans="3:37">
      <c r="C295" s="201">
        <v>0</v>
      </c>
      <c r="D295" s="94" t="s">
        <v>134</v>
      </c>
      <c r="E295" s="424">
        <f t="shared" si="114"/>
        <v>0</v>
      </c>
      <c r="F295" s="209">
        <f t="shared" si="115"/>
        <v>0</v>
      </c>
      <c r="H295" s="424">
        <f>IF(OR(H$265&lt;$C295,H$265&lt;$H$2),0,MIN($E295-SUM($G295:G295),$F295))</f>
        <v>0</v>
      </c>
      <c r="I295" s="424">
        <f>IF(OR(I$265&lt;$C295,I$265&lt;$H$2),0,MIN($E295-SUM($G295:H295),$F295))</f>
        <v>0</v>
      </c>
      <c r="J295" s="424">
        <f>IF(OR(J$265&lt;$C295,J$265&lt;$H$2),0,MIN($E295-SUM($G295:I295),$F295))</f>
        <v>0</v>
      </c>
      <c r="K295" s="424">
        <f>IF(OR(K$265&lt;$C295,K$265&lt;$H$2),0,MIN($E295-SUM($G295:J295),$F295))</f>
        <v>0</v>
      </c>
      <c r="L295" s="424">
        <f>IF(OR(L$265&lt;$C295,L$265&lt;$H$2),0,MIN($E295-SUM($G295:K295),$F295))</f>
        <v>0</v>
      </c>
      <c r="M295" s="424">
        <f>IF(OR(M$265&lt;$C295,M$265&lt;$H$2),0,MIN($E295-SUM($G295:L295),$F295))</f>
        <v>0</v>
      </c>
      <c r="N295" s="424">
        <f>IF(OR(N$265&lt;$C295,N$265&lt;$H$2),0,MIN($E295-SUM($G295:M295),$F295))</f>
        <v>0</v>
      </c>
      <c r="O295" s="424">
        <f>IF(OR(O$265&lt;$C295,O$265&lt;$H$2),0,MIN($E295-SUM($G295:N295),$F295))</f>
        <v>0</v>
      </c>
      <c r="P295" s="424">
        <f>IF(OR(P$265&lt;$C295,P$265&lt;$H$2),0,MIN($E295-SUM($G295:O295),$F295))</f>
        <v>0</v>
      </c>
      <c r="Q295" s="424">
        <f>IF(OR(Q$265&lt;$C295,Q$265&lt;$H$2),0,MIN($E295-SUM($G295:P295),$F295))</f>
        <v>0</v>
      </c>
      <c r="R295" s="424">
        <f>IF(OR(R$265&lt;$C295,R$265&lt;$H$2),0,MIN($E295-SUM($G295:Q295),$F295))</f>
        <v>0</v>
      </c>
      <c r="S295" s="424">
        <f>IF(OR(S$265&lt;$C295,S$265&lt;$H$2),0,MIN($E295-SUM($G295:R295),$F295))</f>
        <v>0</v>
      </c>
      <c r="T295" s="424">
        <f>IF(OR(T$265&lt;$C295,T$265&lt;$H$2),0,MIN($E295-SUM($G295:S295),$F295))</f>
        <v>0</v>
      </c>
      <c r="U295" s="424">
        <f>IF(OR(U$265&lt;$C295,U$265&lt;$H$2),0,MIN($E295-SUM($G295:T295),$F295))</f>
        <v>0</v>
      </c>
      <c r="V295" s="424">
        <f>IF(OR(V$265&lt;$C295,V$265&lt;$H$2),0,MIN($E295-SUM($G295:U295),$F295))</f>
        <v>0</v>
      </c>
      <c r="W295" s="424">
        <f>IF(OR(W$265&lt;$C295,W$265&lt;$H$2),0,MIN($E295-SUM($G295:V295),$F295))</f>
        <v>0</v>
      </c>
      <c r="X295" s="424">
        <f>IF(OR(X$265&lt;$C295,X$265&lt;$H$2),0,MIN($E295-SUM($G295:W295),$F295))</f>
        <v>0</v>
      </c>
      <c r="Y295" s="424">
        <f>IF(OR(Y$265&lt;$C295,Y$265&lt;$H$2),0,MIN($E295-SUM($G295:X295),$F295))</f>
        <v>0</v>
      </c>
      <c r="Z295" s="424">
        <f>IF(OR(Z$265&lt;$C295,Z$265&lt;$H$2),0,MIN($E295-SUM($G295:Y295),$F295))</f>
        <v>0</v>
      </c>
      <c r="AA295" s="424">
        <f>IF(OR(AA$265&lt;$C295,AA$265&lt;$H$2),0,MIN($E295-SUM($G295:Z295),$F295))</f>
        <v>0</v>
      </c>
      <c r="AB295" s="424">
        <f>IF(OR(AB$265&lt;$C295,AB$265&lt;$H$2),0,MIN($E295-SUM($G295:AA295),$F295))</f>
        <v>0</v>
      </c>
      <c r="AC295" s="424">
        <f>IF(OR(AC$265&lt;$C295,AC$265&lt;$H$2),0,MIN($E295-SUM($G295:AB295),$F295))</f>
        <v>0</v>
      </c>
      <c r="AD295" s="424">
        <f>IF(OR(AD$265&lt;$C295,AD$265&lt;$H$2),0,MIN($E295-SUM($G295:AC295),$F295))</f>
        <v>0</v>
      </c>
      <c r="AE295" s="424">
        <f>IF(OR(AE$265&lt;$C295,AE$265&lt;$H$2),0,MIN($E295-SUM($G295:AD295),$F295))</f>
        <v>0</v>
      </c>
      <c r="AF295" s="424">
        <f>IF(OR(AF$265&lt;$C295,AF$265&lt;$H$2),0,MIN($E295-SUM($G295:AE295),$F295))</f>
        <v>0</v>
      </c>
      <c r="AG295" s="424">
        <f>IF(OR(AG$265&lt;$C295,AG$265&lt;$H$2),0,MIN($E295-SUM($G295:AF295),$F295))</f>
        <v>0</v>
      </c>
      <c r="AH295" s="424">
        <f>IF(OR(AH$265&lt;$C295,AH$265&lt;$H$2),0,MIN($E295-SUM($G295:AG295),$F295))</f>
        <v>0</v>
      </c>
      <c r="AI295" s="424">
        <f>IF(OR(AI$265&lt;$C295,AI$265&lt;$H$2),0,MIN($E295-SUM($G295:AH295),$F295))</f>
        <v>0</v>
      </c>
      <c r="AJ295" s="424">
        <f>IF(OR(AJ$265&lt;$C295,AJ$265&lt;$H$2),0,MIN($E295-SUM($G295:AI295),$F295))</f>
        <v>0</v>
      </c>
      <c r="AK295" s="424">
        <f>IF(OR(AK$265&lt;$C295,AK$265&lt;$H$2),0,MIN($E295-SUM($G295:AJ295),$F295))</f>
        <v>0</v>
      </c>
    </row>
    <row r="296" spans="3:37">
      <c r="C296" s="201">
        <v>0</v>
      </c>
      <c r="D296" s="94" t="s">
        <v>134</v>
      </c>
      <c r="E296" s="424">
        <f t="shared" si="114"/>
        <v>0</v>
      </c>
      <c r="F296" s="209">
        <f t="shared" si="115"/>
        <v>0</v>
      </c>
      <c r="H296" s="424">
        <f>IF(OR(H$265&lt;$C296,H$265&lt;$H$2),0,MIN($E296-SUM($G296:G296),$F296))</f>
        <v>0</v>
      </c>
      <c r="I296" s="424">
        <f>IF(OR(I$265&lt;$C296,I$265&lt;$H$2),0,MIN($E296-SUM($G296:H296),$F296))</f>
        <v>0</v>
      </c>
      <c r="J296" s="424">
        <f>IF(OR(J$265&lt;$C296,J$265&lt;$H$2),0,MIN($E296-SUM($G296:I296),$F296))</f>
        <v>0</v>
      </c>
      <c r="K296" s="424">
        <f>IF(OR(K$265&lt;$C296,K$265&lt;$H$2),0,MIN($E296-SUM($G296:J296),$F296))</f>
        <v>0</v>
      </c>
      <c r="L296" s="424">
        <f>IF(OR(L$265&lt;$C296,L$265&lt;$H$2),0,MIN($E296-SUM($G296:K296),$F296))</f>
        <v>0</v>
      </c>
      <c r="M296" s="424">
        <f>IF(OR(M$265&lt;$C296,M$265&lt;$H$2),0,MIN($E296-SUM($G296:L296),$F296))</f>
        <v>0</v>
      </c>
      <c r="N296" s="424">
        <f>IF(OR(N$265&lt;$C296,N$265&lt;$H$2),0,MIN($E296-SUM($G296:M296),$F296))</f>
        <v>0</v>
      </c>
      <c r="O296" s="424">
        <f>IF(OR(O$265&lt;$C296,O$265&lt;$H$2),0,MIN($E296-SUM($G296:N296),$F296))</f>
        <v>0</v>
      </c>
      <c r="P296" s="424">
        <f>IF(OR(P$265&lt;$C296,P$265&lt;$H$2),0,MIN($E296-SUM($G296:O296),$F296))</f>
        <v>0</v>
      </c>
      <c r="Q296" s="424">
        <f>IF(OR(Q$265&lt;$C296,Q$265&lt;$H$2),0,MIN($E296-SUM($G296:P296),$F296))</f>
        <v>0</v>
      </c>
      <c r="R296" s="424">
        <f>IF(OR(R$265&lt;$C296,R$265&lt;$H$2),0,MIN($E296-SUM($G296:Q296),$F296))</f>
        <v>0</v>
      </c>
      <c r="S296" s="424">
        <f>IF(OR(S$265&lt;$C296,S$265&lt;$H$2),0,MIN($E296-SUM($G296:R296),$F296))</f>
        <v>0</v>
      </c>
      <c r="T296" s="424">
        <f>IF(OR(T$265&lt;$C296,T$265&lt;$H$2),0,MIN($E296-SUM($G296:S296),$F296))</f>
        <v>0</v>
      </c>
      <c r="U296" s="424">
        <f>IF(OR(U$265&lt;$C296,U$265&lt;$H$2),0,MIN($E296-SUM($G296:T296),$F296))</f>
        <v>0</v>
      </c>
      <c r="V296" s="424">
        <f>IF(OR(V$265&lt;$C296,V$265&lt;$H$2),0,MIN($E296-SUM($G296:U296),$F296))</f>
        <v>0</v>
      </c>
      <c r="W296" s="424">
        <f>IF(OR(W$265&lt;$C296,W$265&lt;$H$2),0,MIN($E296-SUM($G296:V296),$F296))</f>
        <v>0</v>
      </c>
      <c r="X296" s="424">
        <f>IF(OR(X$265&lt;$C296,X$265&lt;$H$2),0,MIN($E296-SUM($G296:W296),$F296))</f>
        <v>0</v>
      </c>
      <c r="Y296" s="424">
        <f>IF(OR(Y$265&lt;$C296,Y$265&lt;$H$2),0,MIN($E296-SUM($G296:X296),$F296))</f>
        <v>0</v>
      </c>
      <c r="Z296" s="424">
        <f>IF(OR(Z$265&lt;$C296,Z$265&lt;$H$2),0,MIN($E296-SUM($G296:Y296),$F296))</f>
        <v>0</v>
      </c>
      <c r="AA296" s="424">
        <f>IF(OR(AA$265&lt;$C296,AA$265&lt;$H$2),0,MIN($E296-SUM($G296:Z296),$F296))</f>
        <v>0</v>
      </c>
      <c r="AB296" s="424">
        <f>IF(OR(AB$265&lt;$C296,AB$265&lt;$H$2),0,MIN($E296-SUM($G296:AA296),$F296))</f>
        <v>0</v>
      </c>
      <c r="AC296" s="424">
        <f>IF(OR(AC$265&lt;$C296,AC$265&lt;$H$2),0,MIN($E296-SUM($G296:AB296),$F296))</f>
        <v>0</v>
      </c>
      <c r="AD296" s="424">
        <f>IF(OR(AD$265&lt;$C296,AD$265&lt;$H$2),0,MIN($E296-SUM($G296:AC296),$F296))</f>
        <v>0</v>
      </c>
      <c r="AE296" s="424">
        <f>IF(OR(AE$265&lt;$C296,AE$265&lt;$H$2),0,MIN($E296-SUM($G296:AD296),$F296))</f>
        <v>0</v>
      </c>
      <c r="AF296" s="424">
        <f>IF(OR(AF$265&lt;$C296,AF$265&lt;$H$2),0,MIN($E296-SUM($G296:AE296),$F296))</f>
        <v>0</v>
      </c>
      <c r="AG296" s="424">
        <f>IF(OR(AG$265&lt;$C296,AG$265&lt;$H$2),0,MIN($E296-SUM($G296:AF296),$F296))</f>
        <v>0</v>
      </c>
      <c r="AH296" s="424">
        <f>IF(OR(AH$265&lt;$C296,AH$265&lt;$H$2),0,MIN($E296-SUM($G296:AG296),$F296))</f>
        <v>0</v>
      </c>
      <c r="AI296" s="424">
        <f>IF(OR(AI$265&lt;$C296,AI$265&lt;$H$2),0,MIN($E296-SUM($G296:AH296),$F296))</f>
        <v>0</v>
      </c>
      <c r="AJ296" s="424">
        <f>IF(OR(AJ$265&lt;$C296,AJ$265&lt;$H$2),0,MIN($E296-SUM($G296:AI296),$F296))</f>
        <v>0</v>
      </c>
      <c r="AK296" s="424">
        <f>IF(OR(AK$265&lt;$C296,AK$265&lt;$H$2),0,MIN($E296-SUM($G296:AJ296),$F296))</f>
        <v>0</v>
      </c>
    </row>
    <row r="297" spans="3:37">
      <c r="C297" s="201">
        <v>0</v>
      </c>
      <c r="D297" s="94" t="s">
        <v>134</v>
      </c>
      <c r="E297" s="424">
        <f t="shared" si="114"/>
        <v>0</v>
      </c>
      <c r="F297" s="209">
        <f t="shared" si="115"/>
        <v>0</v>
      </c>
      <c r="H297" s="424">
        <f>IF(OR(H$265&lt;$C297,H$265&lt;$H$2),0,MIN($E297-SUM($G297:G297),$F297))</f>
        <v>0</v>
      </c>
      <c r="I297" s="424">
        <f>IF(OR(I$265&lt;$C297,I$265&lt;$H$2),0,MIN($E297-SUM($G297:H297),$F297))</f>
        <v>0</v>
      </c>
      <c r="J297" s="424">
        <f>IF(OR(J$265&lt;$C297,J$265&lt;$H$2),0,MIN($E297-SUM($G297:I297),$F297))</f>
        <v>0</v>
      </c>
      <c r="K297" s="424">
        <f>IF(OR(K$265&lt;$C297,K$265&lt;$H$2),0,MIN($E297-SUM($G297:J297),$F297))</f>
        <v>0</v>
      </c>
      <c r="L297" s="424">
        <f>IF(OR(L$265&lt;$C297,L$265&lt;$H$2),0,MIN($E297-SUM($G297:K297),$F297))</f>
        <v>0</v>
      </c>
      <c r="M297" s="424">
        <f>IF(OR(M$265&lt;$C297,M$265&lt;$H$2),0,MIN($E297-SUM($G297:L297),$F297))</f>
        <v>0</v>
      </c>
      <c r="N297" s="424">
        <f>IF(OR(N$265&lt;$C297,N$265&lt;$H$2),0,MIN($E297-SUM($G297:M297),$F297))</f>
        <v>0</v>
      </c>
      <c r="O297" s="424">
        <f>IF(OR(O$265&lt;$C297,O$265&lt;$H$2),0,MIN($E297-SUM($G297:N297),$F297))</f>
        <v>0</v>
      </c>
      <c r="P297" s="424">
        <f>IF(OR(P$265&lt;$C297,P$265&lt;$H$2),0,MIN($E297-SUM($G297:O297),$F297))</f>
        <v>0</v>
      </c>
      <c r="Q297" s="424">
        <f>IF(OR(Q$265&lt;$C297,Q$265&lt;$H$2),0,MIN($E297-SUM($G297:P297),$F297))</f>
        <v>0</v>
      </c>
      <c r="R297" s="424">
        <f>IF(OR(R$265&lt;$C297,R$265&lt;$H$2),0,MIN($E297-SUM($G297:Q297),$F297))</f>
        <v>0</v>
      </c>
      <c r="S297" s="424">
        <f>IF(OR(S$265&lt;$C297,S$265&lt;$H$2),0,MIN($E297-SUM($G297:R297),$F297))</f>
        <v>0</v>
      </c>
      <c r="T297" s="424">
        <f>IF(OR(T$265&lt;$C297,T$265&lt;$H$2),0,MIN($E297-SUM($G297:S297),$F297))</f>
        <v>0</v>
      </c>
      <c r="U297" s="424">
        <f>IF(OR(U$265&lt;$C297,U$265&lt;$H$2),0,MIN($E297-SUM($G297:T297),$F297))</f>
        <v>0</v>
      </c>
      <c r="V297" s="424">
        <f>IF(OR(V$265&lt;$C297,V$265&lt;$H$2),0,MIN($E297-SUM($G297:U297),$F297))</f>
        <v>0</v>
      </c>
      <c r="W297" s="424">
        <f>IF(OR(W$265&lt;$C297,W$265&lt;$H$2),0,MIN($E297-SUM($G297:V297),$F297))</f>
        <v>0</v>
      </c>
      <c r="X297" s="424">
        <f>IF(OR(X$265&lt;$C297,X$265&lt;$H$2),0,MIN($E297-SUM($G297:W297),$F297))</f>
        <v>0</v>
      </c>
      <c r="Y297" s="424">
        <f>IF(OR(Y$265&lt;$C297,Y$265&lt;$H$2),0,MIN($E297-SUM($G297:X297),$F297))</f>
        <v>0</v>
      </c>
      <c r="Z297" s="424">
        <f>IF(OR(Z$265&lt;$C297,Z$265&lt;$H$2),0,MIN($E297-SUM($G297:Y297),$F297))</f>
        <v>0</v>
      </c>
      <c r="AA297" s="424">
        <f>IF(OR(AA$265&lt;$C297,AA$265&lt;$H$2),0,MIN($E297-SUM($G297:Z297),$F297))</f>
        <v>0</v>
      </c>
      <c r="AB297" s="424">
        <f>IF(OR(AB$265&lt;$C297,AB$265&lt;$H$2),0,MIN($E297-SUM($G297:AA297),$F297))</f>
        <v>0</v>
      </c>
      <c r="AC297" s="424">
        <f>IF(OR(AC$265&lt;$C297,AC$265&lt;$H$2),0,MIN($E297-SUM($G297:AB297),$F297))</f>
        <v>0</v>
      </c>
      <c r="AD297" s="424">
        <f>IF(OR(AD$265&lt;$C297,AD$265&lt;$H$2),0,MIN($E297-SUM($G297:AC297),$F297))</f>
        <v>0</v>
      </c>
      <c r="AE297" s="424">
        <f>IF(OR(AE$265&lt;$C297,AE$265&lt;$H$2),0,MIN($E297-SUM($G297:AD297),$F297))</f>
        <v>0</v>
      </c>
      <c r="AF297" s="424">
        <f>IF(OR(AF$265&lt;$C297,AF$265&lt;$H$2),0,MIN($E297-SUM($G297:AE297),$F297))</f>
        <v>0</v>
      </c>
      <c r="AG297" s="424">
        <f>IF(OR(AG$265&lt;$C297,AG$265&lt;$H$2),0,MIN($E297-SUM($G297:AF297),$F297))</f>
        <v>0</v>
      </c>
      <c r="AH297" s="424">
        <f>IF(OR(AH$265&lt;$C297,AH$265&lt;$H$2),0,MIN($E297-SUM($G297:AG297),$F297))</f>
        <v>0</v>
      </c>
      <c r="AI297" s="424">
        <f>IF(OR(AI$265&lt;$C297,AI$265&lt;$H$2),0,MIN($E297-SUM($G297:AH297),$F297))</f>
        <v>0</v>
      </c>
      <c r="AJ297" s="424">
        <f>IF(OR(AJ$265&lt;$C297,AJ$265&lt;$H$2),0,MIN($E297-SUM($G297:AI297),$F297))</f>
        <v>0</v>
      </c>
      <c r="AK297" s="424">
        <f>IF(OR(AK$265&lt;$C297,AK$265&lt;$H$2),0,MIN($E297-SUM($G297:AJ297),$F297))</f>
        <v>0</v>
      </c>
    </row>
    <row r="298" spans="3:37" ht="14" thickBot="1">
      <c r="C298" s="240" t="s">
        <v>543</v>
      </c>
      <c r="D298" s="348" t="s">
        <v>134</v>
      </c>
      <c r="E298" s="427">
        <f>SUM(E268:E297)</f>
        <v>0</v>
      </c>
      <c r="F298" s="427">
        <f>SUM(F268:F297)</f>
        <v>0</v>
      </c>
      <c r="G298" s="348"/>
      <c r="H298" s="427">
        <f t="shared" ref="H298:AK298" si="116">SUM(H268:H297)</f>
        <v>0</v>
      </c>
      <c r="I298" s="427">
        <f t="shared" si="116"/>
        <v>0</v>
      </c>
      <c r="J298" s="427">
        <f t="shared" si="116"/>
        <v>0</v>
      </c>
      <c r="K298" s="427">
        <f t="shared" si="116"/>
        <v>0</v>
      </c>
      <c r="L298" s="427">
        <f t="shared" si="116"/>
        <v>0</v>
      </c>
      <c r="M298" s="427">
        <f t="shared" si="116"/>
        <v>0</v>
      </c>
      <c r="N298" s="427">
        <f t="shared" si="116"/>
        <v>0</v>
      </c>
      <c r="O298" s="427">
        <f t="shared" si="116"/>
        <v>0</v>
      </c>
      <c r="P298" s="427">
        <f t="shared" si="116"/>
        <v>0</v>
      </c>
      <c r="Q298" s="427">
        <f t="shared" si="116"/>
        <v>0</v>
      </c>
      <c r="R298" s="427">
        <f t="shared" si="116"/>
        <v>0</v>
      </c>
      <c r="S298" s="427">
        <f t="shared" si="116"/>
        <v>0</v>
      </c>
      <c r="T298" s="427">
        <f t="shared" si="116"/>
        <v>0</v>
      </c>
      <c r="U298" s="427">
        <f t="shared" si="116"/>
        <v>0</v>
      </c>
      <c r="V298" s="427">
        <f t="shared" si="116"/>
        <v>0</v>
      </c>
      <c r="W298" s="427">
        <f t="shared" si="116"/>
        <v>0</v>
      </c>
      <c r="X298" s="427">
        <f t="shared" si="116"/>
        <v>0</v>
      </c>
      <c r="Y298" s="427">
        <f t="shared" si="116"/>
        <v>0</v>
      </c>
      <c r="Z298" s="427">
        <f t="shared" si="116"/>
        <v>0</v>
      </c>
      <c r="AA298" s="427">
        <f t="shared" si="116"/>
        <v>0</v>
      </c>
      <c r="AB298" s="427">
        <f t="shared" si="116"/>
        <v>0</v>
      </c>
      <c r="AC298" s="427">
        <f t="shared" si="116"/>
        <v>0</v>
      </c>
      <c r="AD298" s="427">
        <f t="shared" si="116"/>
        <v>0</v>
      </c>
      <c r="AE298" s="427">
        <f t="shared" si="116"/>
        <v>0</v>
      </c>
      <c r="AF298" s="427">
        <f t="shared" si="116"/>
        <v>0</v>
      </c>
      <c r="AG298" s="427">
        <f t="shared" si="116"/>
        <v>0</v>
      </c>
      <c r="AH298" s="427">
        <f t="shared" si="116"/>
        <v>0</v>
      </c>
      <c r="AI298" s="427">
        <f t="shared" si="116"/>
        <v>0</v>
      </c>
      <c r="AJ298" s="427">
        <f t="shared" si="116"/>
        <v>0</v>
      </c>
      <c r="AK298" s="427">
        <f t="shared" si="116"/>
        <v>0</v>
      </c>
    </row>
    <row r="299" spans="3:37" ht="14" thickTop="1"/>
    <row r="300" spans="3:37" ht="28">
      <c r="C300" s="428" t="s">
        <v>166</v>
      </c>
      <c r="D300" s="428" t="s">
        <v>88</v>
      </c>
      <c r="E300" s="428" t="s">
        <v>555</v>
      </c>
      <c r="F300" s="429" t="s">
        <v>556</v>
      </c>
      <c r="G300" s="430"/>
      <c r="H300" s="201">
        <f t="shared" ref="H300:AK301" si="117">H265</f>
        <v>46023</v>
      </c>
      <c r="I300" s="201">
        <f t="shared" si="117"/>
        <v>46389</v>
      </c>
      <c r="J300" s="201">
        <f t="shared" si="117"/>
        <v>46755</v>
      </c>
      <c r="K300" s="201">
        <f t="shared" si="117"/>
        <v>47121</v>
      </c>
      <c r="L300" s="201">
        <f t="shared" si="117"/>
        <v>47487</v>
      </c>
      <c r="M300" s="201">
        <f t="shared" si="117"/>
        <v>47853</v>
      </c>
      <c r="N300" s="201">
        <f t="shared" si="117"/>
        <v>48219</v>
      </c>
      <c r="O300" s="201">
        <f t="shared" si="117"/>
        <v>48585</v>
      </c>
      <c r="P300" s="201">
        <f t="shared" si="117"/>
        <v>48951</v>
      </c>
      <c r="Q300" s="201">
        <f t="shared" si="117"/>
        <v>49317</v>
      </c>
      <c r="R300" s="201">
        <f t="shared" si="117"/>
        <v>49683</v>
      </c>
      <c r="S300" s="201">
        <f t="shared" si="117"/>
        <v>50049</v>
      </c>
      <c r="T300" s="201">
        <f t="shared" si="117"/>
        <v>50415</v>
      </c>
      <c r="U300" s="201">
        <f t="shared" si="117"/>
        <v>50781</v>
      </c>
      <c r="V300" s="201">
        <f t="shared" si="117"/>
        <v>51147</v>
      </c>
      <c r="W300" s="201">
        <f t="shared" si="117"/>
        <v>51513</v>
      </c>
      <c r="X300" s="201">
        <f t="shared" si="117"/>
        <v>51879</v>
      </c>
      <c r="Y300" s="201">
        <f t="shared" si="117"/>
        <v>52245</v>
      </c>
      <c r="Z300" s="201">
        <f t="shared" si="117"/>
        <v>52611</v>
      </c>
      <c r="AA300" s="201">
        <f t="shared" si="117"/>
        <v>52977</v>
      </c>
      <c r="AB300" s="201">
        <f t="shared" si="117"/>
        <v>53343</v>
      </c>
      <c r="AC300" s="201">
        <f t="shared" si="117"/>
        <v>53709</v>
      </c>
      <c r="AD300" s="201">
        <f t="shared" si="117"/>
        <v>54075</v>
      </c>
      <c r="AE300" s="201">
        <f t="shared" si="117"/>
        <v>0</v>
      </c>
      <c r="AF300" s="201">
        <f t="shared" si="117"/>
        <v>0</v>
      </c>
      <c r="AG300" s="201">
        <f t="shared" si="117"/>
        <v>0</v>
      </c>
      <c r="AH300" s="201">
        <f t="shared" si="117"/>
        <v>0</v>
      </c>
      <c r="AI300" s="201">
        <f t="shared" si="117"/>
        <v>0</v>
      </c>
      <c r="AJ300" s="201">
        <f t="shared" si="117"/>
        <v>0</v>
      </c>
      <c r="AK300" s="201">
        <f t="shared" si="117"/>
        <v>0</v>
      </c>
    </row>
    <row r="301" spans="3:37">
      <c r="C301" s="430"/>
      <c r="D301" s="430"/>
      <c r="E301" s="428" t="s">
        <v>134</v>
      </c>
      <c r="F301" s="428" t="s">
        <v>134</v>
      </c>
      <c r="G301" s="430"/>
      <c r="H301" s="1141">
        <f t="shared" si="117"/>
        <v>-4</v>
      </c>
      <c r="I301" s="1141">
        <f t="shared" si="117"/>
        <v>-3</v>
      </c>
      <c r="J301" s="1141">
        <f t="shared" si="117"/>
        <v>-2</v>
      </c>
      <c r="K301" s="1141">
        <f t="shared" si="117"/>
        <v>-1</v>
      </c>
      <c r="L301" s="1141">
        <f t="shared" si="117"/>
        <v>1</v>
      </c>
      <c r="M301" s="1141">
        <f t="shared" si="117"/>
        <v>2</v>
      </c>
      <c r="N301" s="1141">
        <f t="shared" si="117"/>
        <v>3</v>
      </c>
      <c r="O301" s="1141">
        <f t="shared" si="117"/>
        <v>4</v>
      </c>
      <c r="P301" s="1141">
        <f t="shared" si="117"/>
        <v>5</v>
      </c>
      <c r="Q301" s="1141">
        <f t="shared" si="117"/>
        <v>6</v>
      </c>
      <c r="R301" s="1141">
        <f t="shared" si="117"/>
        <v>7</v>
      </c>
      <c r="S301" s="1141">
        <f t="shared" si="117"/>
        <v>8</v>
      </c>
      <c r="T301" s="1141">
        <f t="shared" si="117"/>
        <v>9</v>
      </c>
      <c r="U301" s="1141">
        <f t="shared" si="117"/>
        <v>10</v>
      </c>
      <c r="V301" s="1141">
        <f t="shared" si="117"/>
        <v>11</v>
      </c>
      <c r="W301" s="1141">
        <f t="shared" si="117"/>
        <v>12</v>
      </c>
      <c r="X301" s="1141">
        <f t="shared" si="117"/>
        <v>13</v>
      </c>
      <c r="Y301" s="1141">
        <f t="shared" si="117"/>
        <v>14</v>
      </c>
      <c r="Z301" s="1141">
        <f t="shared" si="117"/>
        <v>15</v>
      </c>
      <c r="AA301" s="1141">
        <f t="shared" si="117"/>
        <v>16</v>
      </c>
      <c r="AB301" s="1141">
        <f t="shared" si="117"/>
        <v>17</v>
      </c>
      <c r="AC301" s="1141">
        <f t="shared" si="117"/>
        <v>18</v>
      </c>
      <c r="AD301" s="1141">
        <f t="shared" si="117"/>
        <v>19</v>
      </c>
      <c r="AE301" s="1141">
        <f t="shared" si="117"/>
        <v>0</v>
      </c>
      <c r="AF301" s="1141">
        <f t="shared" si="117"/>
        <v>0</v>
      </c>
      <c r="AG301" s="1141">
        <f t="shared" si="117"/>
        <v>0</v>
      </c>
      <c r="AH301" s="1141">
        <f t="shared" si="117"/>
        <v>0</v>
      </c>
      <c r="AI301" s="1141">
        <f t="shared" si="117"/>
        <v>0</v>
      </c>
      <c r="AJ301" s="1141">
        <f t="shared" si="117"/>
        <v>0</v>
      </c>
      <c r="AK301" s="1141">
        <f t="shared" si="117"/>
        <v>0</v>
      </c>
    </row>
    <row r="302" spans="3:37">
      <c r="C302" s="191" t="str">
        <f>C59</f>
        <v>CHP</v>
      </c>
    </row>
    <row r="303" spans="3:37">
      <c r="C303" s="201" cm="1">
        <f t="array" ref="C303:C332">TRANSPOSE(H300:AK300)</f>
        <v>46023</v>
      </c>
      <c r="D303" s="94" t="s">
        <v>134</v>
      </c>
      <c r="E303" s="424">
        <f>HLOOKUP($C303,$H$39:$AP$112,23,FALSE)</f>
        <v>0</v>
      </c>
      <c r="F303" s="209">
        <f>E303*$F$59</f>
        <v>0</v>
      </c>
      <c r="H303" s="424">
        <f>IF(OR(H$300&lt;$C303,H$300&lt;$H$2),0,MIN($E303-SUM($G303:G303),$F303))</f>
        <v>0</v>
      </c>
      <c r="I303" s="424">
        <f>IF(OR(I$300&lt;$C303,I$300&lt;$H$2),0,MIN($E303-SUM($G303:H303),$F303))</f>
        <v>0</v>
      </c>
      <c r="J303" s="424">
        <f>IF(OR(J$300&lt;$C303,J$300&lt;$H$2),0,MIN($E303-SUM($G303:I303),$F303))</f>
        <v>0</v>
      </c>
      <c r="K303" s="424">
        <f>IF(OR(K$300&lt;$C303,K$300&lt;$H$2),0,MIN($E303-SUM($G303:J303),$F303))</f>
        <v>0</v>
      </c>
      <c r="L303" s="424">
        <f>IF(OR(L$300&lt;$C303,L$300&lt;$H$2),0,MIN($E303-SUM($G303:K303),$F303))</f>
        <v>0</v>
      </c>
      <c r="M303" s="424">
        <f>IF(OR(M$300&lt;$C303,M$300&lt;$H$2),0,MIN($E303-SUM($G303:L303),$F303))</f>
        <v>0</v>
      </c>
      <c r="N303" s="424">
        <f>IF(OR(N$300&lt;$C303,N$300&lt;$H$2),0,MIN($E303-SUM($G303:M303),$F303))</f>
        <v>0</v>
      </c>
      <c r="O303" s="424">
        <f>IF(OR(O$300&lt;$C303,O$300&lt;$H$2),0,MIN($E303-SUM($G303:N303),$F303))</f>
        <v>0</v>
      </c>
      <c r="P303" s="424">
        <f>IF(OR(P$300&lt;$C303,P$300&lt;$H$2),0,MIN($E303-SUM($G303:O303),$F303))</f>
        <v>0</v>
      </c>
      <c r="Q303" s="424">
        <f>IF(OR(Q$300&lt;$C303,Q$300&lt;$H$2),0,MIN($E303-SUM($G303:P303),$F303))</f>
        <v>0</v>
      </c>
      <c r="R303" s="424">
        <f>IF(OR(R$300&lt;$C303,R$300&lt;$H$2),0,MIN($E303-SUM($G303:Q303),$F303))</f>
        <v>0</v>
      </c>
      <c r="S303" s="424">
        <f>IF(OR(S$300&lt;$C303,S$300&lt;$H$2),0,MIN($E303-SUM($G303:R303),$F303))</f>
        <v>0</v>
      </c>
      <c r="T303" s="424">
        <f>IF(OR(T$300&lt;$C303,T$300&lt;$H$2),0,MIN($E303-SUM($G303:S303),$F303))</f>
        <v>0</v>
      </c>
      <c r="U303" s="424">
        <f>IF(OR(U$300&lt;$C303,U$300&lt;$H$2),0,MIN($E303-SUM($G303:T303),$F303))</f>
        <v>0</v>
      </c>
      <c r="V303" s="424">
        <f>IF(OR(V$300&lt;$C303,V$300&lt;$H$2),0,MIN($E303-SUM($G303:U303),$F303))</f>
        <v>0</v>
      </c>
      <c r="W303" s="424">
        <f>IF(OR(W$300&lt;$C303,W$300&lt;$H$2),0,MIN($E303-SUM($G303:V303),$F303))</f>
        <v>0</v>
      </c>
      <c r="X303" s="424">
        <f>IF(OR(X$300&lt;$C303,X$300&lt;$H$2),0,MIN($E303-SUM($G303:W303),$F303))</f>
        <v>0</v>
      </c>
      <c r="Y303" s="424">
        <f>IF(OR(Y$300&lt;$C303,Y$300&lt;$H$2),0,MIN($E303-SUM($G303:X303),$F303))</f>
        <v>0</v>
      </c>
      <c r="Z303" s="424">
        <f>IF(OR(Z$300&lt;$C303,Z$300&lt;$H$2),0,MIN($E303-SUM($G303:Y303),$F303))</f>
        <v>0</v>
      </c>
      <c r="AA303" s="424">
        <f>IF(OR(AA$300&lt;$C303,AA$300&lt;$H$2),0,MIN($E303-SUM($G303:Z303),$F303))</f>
        <v>0</v>
      </c>
      <c r="AB303" s="424">
        <f>IF(OR(AB$300&lt;$C303,AB$300&lt;$H$2),0,MIN($E303-SUM($G303:AA303),$F303))</f>
        <v>0</v>
      </c>
      <c r="AC303" s="424">
        <f>IF(OR(AC$300&lt;$C303,AC$300&lt;$H$2),0,MIN($E303-SUM($G303:AB303),$F303))</f>
        <v>0</v>
      </c>
      <c r="AD303" s="424">
        <f>IF(OR(AD$300&lt;$C303,AD$300&lt;$H$2),0,MIN($E303-SUM($G303:AC303),$F303))</f>
        <v>0</v>
      </c>
      <c r="AE303" s="424">
        <f>IF(OR(AE$300&lt;$C303,AE$300&lt;$H$2),0,MIN($E303-SUM($G303:AD303),$F303))</f>
        <v>0</v>
      </c>
      <c r="AF303" s="424">
        <f>IF(OR(AF$300&lt;$C303,AF$300&lt;$H$2),0,MIN($E303-SUM($G303:AE303),$F303))</f>
        <v>0</v>
      </c>
      <c r="AG303" s="424">
        <f>IF(OR(AG$300&lt;$C303,AG$300&lt;$H$2),0,MIN($E303-SUM($G303:AF303),$F303))</f>
        <v>0</v>
      </c>
      <c r="AH303" s="424">
        <f>IF(OR(AH$300&lt;$C303,AH$300&lt;$H$2),0,MIN($E303-SUM($G303:AG303),$F303))</f>
        <v>0</v>
      </c>
      <c r="AI303" s="424">
        <f>IF(OR(AI$300&lt;$C303,AI$300&lt;$H$2),0,MIN($E303-SUM($G303:AH303),$F303))</f>
        <v>0</v>
      </c>
      <c r="AJ303" s="424">
        <f>IF(OR(AJ$300&lt;$C303,AJ$300&lt;$H$2),0,MIN($E303-SUM($G303:AI303),$F303))</f>
        <v>0</v>
      </c>
      <c r="AK303" s="424">
        <f>IF(OR(AK$300&lt;$C303,AK$300&lt;$H$2),0,MIN($E303-SUM($G303:AJ303),$F303))</f>
        <v>0</v>
      </c>
    </row>
    <row r="304" spans="3:37">
      <c r="C304" s="201">
        <v>46389</v>
      </c>
      <c r="D304" s="94" t="s">
        <v>134</v>
      </c>
      <c r="E304" s="424">
        <f t="shared" ref="E304:E332" si="118">HLOOKUP($C304,$H$39:$AP$112,23,FALSE)</f>
        <v>0</v>
      </c>
      <c r="F304" s="209">
        <f t="shared" ref="F304:F332" si="119">E304*$F$59</f>
        <v>0</v>
      </c>
      <c r="H304" s="424">
        <f>IF(OR(H$300&lt;$C304,H$300&lt;$H$2),0,MIN($E304-SUM($G304:G304),$F304))</f>
        <v>0</v>
      </c>
      <c r="I304" s="424">
        <f>IF(OR(I$300&lt;$C304,I$300&lt;$H$2),0,MIN($E304-SUM($G304:H304),$F304))</f>
        <v>0</v>
      </c>
      <c r="J304" s="424">
        <f>IF(OR(J$300&lt;$C304,J$300&lt;$H$2),0,MIN($E304-SUM($G304:I304),$F304))</f>
        <v>0</v>
      </c>
      <c r="K304" s="424">
        <f>IF(OR(K$300&lt;$C304,K$300&lt;$H$2),0,MIN($E304-SUM($G304:J304),$F304))</f>
        <v>0</v>
      </c>
      <c r="L304" s="424">
        <f>IF(OR(L$300&lt;$C304,L$300&lt;$H$2),0,MIN($E304-SUM($G304:K304),$F304))</f>
        <v>0</v>
      </c>
      <c r="M304" s="424">
        <f>IF(OR(M$300&lt;$C304,M$300&lt;$H$2),0,MIN($E304-SUM($G304:L304),$F304))</f>
        <v>0</v>
      </c>
      <c r="N304" s="424">
        <f>IF(OR(N$300&lt;$C304,N$300&lt;$H$2),0,MIN($E304-SUM($G304:M304),$F304))</f>
        <v>0</v>
      </c>
      <c r="O304" s="424">
        <f>IF(OR(O$300&lt;$C304,O$300&lt;$H$2),0,MIN($E304-SUM($G304:N304),$F304))</f>
        <v>0</v>
      </c>
      <c r="P304" s="424">
        <f>IF(OR(P$300&lt;$C304,P$300&lt;$H$2),0,MIN($E304-SUM($G304:O304),$F304))</f>
        <v>0</v>
      </c>
      <c r="Q304" s="424">
        <f>IF(OR(Q$300&lt;$C304,Q$300&lt;$H$2),0,MIN($E304-SUM($G304:P304),$F304))</f>
        <v>0</v>
      </c>
      <c r="R304" s="424">
        <f>IF(OR(R$300&lt;$C304,R$300&lt;$H$2),0,MIN($E304-SUM($G304:Q304),$F304))</f>
        <v>0</v>
      </c>
      <c r="S304" s="424">
        <f>IF(OR(S$300&lt;$C304,S$300&lt;$H$2),0,MIN($E304-SUM($G304:R304),$F304))</f>
        <v>0</v>
      </c>
      <c r="T304" s="424">
        <f>IF(OR(T$300&lt;$C304,T$300&lt;$H$2),0,MIN($E304-SUM($G304:S304),$F304))</f>
        <v>0</v>
      </c>
      <c r="U304" s="424">
        <f>IF(OR(U$300&lt;$C304,U$300&lt;$H$2),0,MIN($E304-SUM($G304:T304),$F304))</f>
        <v>0</v>
      </c>
      <c r="V304" s="424">
        <f>IF(OR(V$300&lt;$C304,V$300&lt;$H$2),0,MIN($E304-SUM($G304:U304),$F304))</f>
        <v>0</v>
      </c>
      <c r="W304" s="424">
        <f>IF(OR(W$300&lt;$C304,W$300&lt;$H$2),0,MIN($E304-SUM($G304:V304),$F304))</f>
        <v>0</v>
      </c>
      <c r="X304" s="424">
        <f>IF(OR(X$300&lt;$C304,X$300&lt;$H$2),0,MIN($E304-SUM($G304:W304),$F304))</f>
        <v>0</v>
      </c>
      <c r="Y304" s="424">
        <f>IF(OR(Y$300&lt;$C304,Y$300&lt;$H$2),0,MIN($E304-SUM($G304:X304),$F304))</f>
        <v>0</v>
      </c>
      <c r="Z304" s="424">
        <f>IF(OR(Z$300&lt;$C304,Z$300&lt;$H$2),0,MIN($E304-SUM($G304:Y304),$F304))</f>
        <v>0</v>
      </c>
      <c r="AA304" s="424">
        <f>IF(OR(AA$300&lt;$C304,AA$300&lt;$H$2),0,MIN($E304-SUM($G304:Z304),$F304))</f>
        <v>0</v>
      </c>
      <c r="AB304" s="424">
        <f>IF(OR(AB$300&lt;$C304,AB$300&lt;$H$2),0,MIN($E304-SUM($G304:AA304),$F304))</f>
        <v>0</v>
      </c>
      <c r="AC304" s="424">
        <f>IF(OR(AC$300&lt;$C304,AC$300&lt;$H$2),0,MIN($E304-SUM($G304:AB304),$F304))</f>
        <v>0</v>
      </c>
      <c r="AD304" s="424">
        <f>IF(OR(AD$300&lt;$C304,AD$300&lt;$H$2),0,MIN($E304-SUM($G304:AC304),$F304))</f>
        <v>0</v>
      </c>
      <c r="AE304" s="424">
        <f>IF(OR(AE$300&lt;$C304,AE$300&lt;$H$2),0,MIN($E304-SUM($G304:AD304),$F304))</f>
        <v>0</v>
      </c>
      <c r="AF304" s="424">
        <f>IF(OR(AF$300&lt;$C304,AF$300&lt;$H$2),0,MIN($E304-SUM($G304:AE304),$F304))</f>
        <v>0</v>
      </c>
      <c r="AG304" s="424">
        <f>IF(OR(AG$300&lt;$C304,AG$300&lt;$H$2),0,MIN($E304-SUM($G304:AF304),$F304))</f>
        <v>0</v>
      </c>
      <c r="AH304" s="424">
        <f>IF(OR(AH$300&lt;$C304,AH$300&lt;$H$2),0,MIN($E304-SUM($G304:AG304),$F304))</f>
        <v>0</v>
      </c>
      <c r="AI304" s="424">
        <f>IF(OR(AI$300&lt;$C304,AI$300&lt;$H$2),0,MIN($E304-SUM($G304:AH304),$F304))</f>
        <v>0</v>
      </c>
      <c r="AJ304" s="424">
        <f>IF(OR(AJ$300&lt;$C304,AJ$300&lt;$H$2),0,MIN($E304-SUM($G304:AI304),$F304))</f>
        <v>0</v>
      </c>
      <c r="AK304" s="424">
        <f>IF(OR(AK$300&lt;$C304,AK$300&lt;$H$2),0,MIN($E304-SUM($G304:AJ304),$F304))</f>
        <v>0</v>
      </c>
    </row>
    <row r="305" spans="3:37">
      <c r="C305" s="201">
        <v>46755</v>
      </c>
      <c r="D305" s="94" t="s">
        <v>134</v>
      </c>
      <c r="E305" s="424">
        <f t="shared" si="118"/>
        <v>0</v>
      </c>
      <c r="F305" s="209">
        <f t="shared" si="119"/>
        <v>0</v>
      </c>
      <c r="H305" s="424">
        <f>IF(OR(H$300&lt;$C305,H$300&lt;$H$2),0,MIN($E305-SUM($G305:G305),$F305))</f>
        <v>0</v>
      </c>
      <c r="I305" s="424">
        <f>IF(OR(I$300&lt;$C305,I$300&lt;$H$2),0,MIN($E305-SUM($G305:H305),$F305))</f>
        <v>0</v>
      </c>
      <c r="J305" s="424">
        <f>IF(OR(J$300&lt;$C305,J$300&lt;$H$2),0,MIN($E305-SUM($G305:I305),$F305))</f>
        <v>0</v>
      </c>
      <c r="K305" s="424">
        <f>IF(OR(K$300&lt;$C305,K$300&lt;$H$2),0,MIN($E305-SUM($G305:J305),$F305))</f>
        <v>0</v>
      </c>
      <c r="L305" s="424">
        <f>IF(OR(L$300&lt;$C305,L$300&lt;$H$2),0,MIN($E305-SUM($G305:K305),$F305))</f>
        <v>0</v>
      </c>
      <c r="M305" s="424">
        <f>IF(OR(M$300&lt;$C305,M$300&lt;$H$2),0,MIN($E305-SUM($G305:L305),$F305))</f>
        <v>0</v>
      </c>
      <c r="N305" s="424">
        <f>IF(OR(N$300&lt;$C305,N$300&lt;$H$2),0,MIN($E305-SUM($G305:M305),$F305))</f>
        <v>0</v>
      </c>
      <c r="O305" s="424">
        <f>IF(OR(O$300&lt;$C305,O$300&lt;$H$2),0,MIN($E305-SUM($G305:N305),$F305))</f>
        <v>0</v>
      </c>
      <c r="P305" s="424">
        <f>IF(OR(P$300&lt;$C305,P$300&lt;$H$2),0,MIN($E305-SUM($G305:O305),$F305))</f>
        <v>0</v>
      </c>
      <c r="Q305" s="424">
        <f>IF(OR(Q$300&lt;$C305,Q$300&lt;$H$2),0,MIN($E305-SUM($G305:P305),$F305))</f>
        <v>0</v>
      </c>
      <c r="R305" s="424">
        <f>IF(OR(R$300&lt;$C305,R$300&lt;$H$2),0,MIN($E305-SUM($G305:Q305),$F305))</f>
        <v>0</v>
      </c>
      <c r="S305" s="424">
        <f>IF(OR(S$300&lt;$C305,S$300&lt;$H$2),0,MIN($E305-SUM($G305:R305),$F305))</f>
        <v>0</v>
      </c>
      <c r="T305" s="424">
        <f>IF(OR(T$300&lt;$C305,T$300&lt;$H$2),0,MIN($E305-SUM($G305:S305),$F305))</f>
        <v>0</v>
      </c>
      <c r="U305" s="424">
        <f>IF(OR(U$300&lt;$C305,U$300&lt;$H$2),0,MIN($E305-SUM($G305:T305),$F305))</f>
        <v>0</v>
      </c>
      <c r="V305" s="424">
        <f>IF(OR(V$300&lt;$C305,V$300&lt;$H$2),0,MIN($E305-SUM($G305:U305),$F305))</f>
        <v>0</v>
      </c>
      <c r="W305" s="424">
        <f>IF(OR(W$300&lt;$C305,W$300&lt;$H$2),0,MIN($E305-SUM($G305:V305),$F305))</f>
        <v>0</v>
      </c>
      <c r="X305" s="424">
        <f>IF(OR(X$300&lt;$C305,X$300&lt;$H$2),0,MIN($E305-SUM($G305:W305),$F305))</f>
        <v>0</v>
      </c>
      <c r="Y305" s="424">
        <f>IF(OR(Y$300&lt;$C305,Y$300&lt;$H$2),0,MIN($E305-SUM($G305:X305),$F305))</f>
        <v>0</v>
      </c>
      <c r="Z305" s="424">
        <f>IF(OR(Z$300&lt;$C305,Z$300&lt;$H$2),0,MIN($E305-SUM($G305:Y305),$F305))</f>
        <v>0</v>
      </c>
      <c r="AA305" s="424">
        <f>IF(OR(AA$300&lt;$C305,AA$300&lt;$H$2),0,MIN($E305-SUM($G305:Z305),$F305))</f>
        <v>0</v>
      </c>
      <c r="AB305" s="424">
        <f>IF(OR(AB$300&lt;$C305,AB$300&lt;$H$2),0,MIN($E305-SUM($G305:AA305),$F305))</f>
        <v>0</v>
      </c>
      <c r="AC305" s="424">
        <f>IF(OR(AC$300&lt;$C305,AC$300&lt;$H$2),0,MIN($E305-SUM($G305:AB305),$F305))</f>
        <v>0</v>
      </c>
      <c r="AD305" s="424">
        <f>IF(OR(AD$300&lt;$C305,AD$300&lt;$H$2),0,MIN($E305-SUM($G305:AC305),$F305))</f>
        <v>0</v>
      </c>
      <c r="AE305" s="424">
        <f>IF(OR(AE$300&lt;$C305,AE$300&lt;$H$2),0,MIN($E305-SUM($G305:AD305),$F305))</f>
        <v>0</v>
      </c>
      <c r="AF305" s="424">
        <f>IF(OR(AF$300&lt;$C305,AF$300&lt;$H$2),0,MIN($E305-SUM($G305:AE305),$F305))</f>
        <v>0</v>
      </c>
      <c r="AG305" s="424">
        <f>IF(OR(AG$300&lt;$C305,AG$300&lt;$H$2),0,MIN($E305-SUM($G305:AF305),$F305))</f>
        <v>0</v>
      </c>
      <c r="AH305" s="424">
        <f>IF(OR(AH$300&lt;$C305,AH$300&lt;$H$2),0,MIN($E305-SUM($G305:AG305),$F305))</f>
        <v>0</v>
      </c>
      <c r="AI305" s="424">
        <f>IF(OR(AI$300&lt;$C305,AI$300&lt;$H$2),0,MIN($E305-SUM($G305:AH305),$F305))</f>
        <v>0</v>
      </c>
      <c r="AJ305" s="424">
        <f>IF(OR(AJ$300&lt;$C305,AJ$300&lt;$H$2),0,MIN($E305-SUM($G305:AI305),$F305))</f>
        <v>0</v>
      </c>
      <c r="AK305" s="424">
        <f>IF(OR(AK$300&lt;$C305,AK$300&lt;$H$2),0,MIN($E305-SUM($G305:AJ305),$F305))</f>
        <v>0</v>
      </c>
    </row>
    <row r="306" spans="3:37">
      <c r="C306" s="201">
        <v>47121</v>
      </c>
      <c r="D306" s="94" t="s">
        <v>134</v>
      </c>
      <c r="E306" s="424">
        <f t="shared" si="118"/>
        <v>0</v>
      </c>
      <c r="F306" s="209">
        <f t="shared" si="119"/>
        <v>0</v>
      </c>
      <c r="H306" s="424">
        <f>IF(OR(H$300&lt;$C306,H$300&lt;$H$2),0,MIN($E306-SUM($G306:G306),$F306))</f>
        <v>0</v>
      </c>
      <c r="I306" s="424">
        <f>IF(OR(I$300&lt;$C306,I$300&lt;$H$2),0,MIN($E306-SUM($G306:H306),$F306))</f>
        <v>0</v>
      </c>
      <c r="J306" s="424">
        <f>IF(OR(J$300&lt;$C306,J$300&lt;$H$2),0,MIN($E306-SUM($G306:I306),$F306))</f>
        <v>0</v>
      </c>
      <c r="K306" s="424">
        <f>IF(OR(K$300&lt;$C306,K$300&lt;$H$2),0,MIN($E306-SUM($G306:J306),$F306))</f>
        <v>0</v>
      </c>
      <c r="L306" s="424">
        <f>IF(OR(L$300&lt;$C306,L$300&lt;$H$2),0,MIN($E306-SUM($G306:K306),$F306))</f>
        <v>0</v>
      </c>
      <c r="M306" s="424">
        <f>IF(OR(M$300&lt;$C306,M$300&lt;$H$2),0,MIN($E306-SUM($G306:L306),$F306))</f>
        <v>0</v>
      </c>
      <c r="N306" s="424">
        <f>IF(OR(N$300&lt;$C306,N$300&lt;$H$2),0,MIN($E306-SUM($G306:M306),$F306))</f>
        <v>0</v>
      </c>
      <c r="O306" s="424">
        <f>IF(OR(O$300&lt;$C306,O$300&lt;$H$2),0,MIN($E306-SUM($G306:N306),$F306))</f>
        <v>0</v>
      </c>
      <c r="P306" s="424">
        <f>IF(OR(P$300&lt;$C306,P$300&lt;$H$2),0,MIN($E306-SUM($G306:O306),$F306))</f>
        <v>0</v>
      </c>
      <c r="Q306" s="424">
        <f>IF(OR(Q$300&lt;$C306,Q$300&lt;$H$2),0,MIN($E306-SUM($G306:P306),$F306))</f>
        <v>0</v>
      </c>
      <c r="R306" s="424">
        <f>IF(OR(R$300&lt;$C306,R$300&lt;$H$2),0,MIN($E306-SUM($G306:Q306),$F306))</f>
        <v>0</v>
      </c>
      <c r="S306" s="424">
        <f>IF(OR(S$300&lt;$C306,S$300&lt;$H$2),0,MIN($E306-SUM($G306:R306),$F306))</f>
        <v>0</v>
      </c>
      <c r="T306" s="424">
        <f>IF(OR(T$300&lt;$C306,T$300&lt;$H$2),0,MIN($E306-SUM($G306:S306),$F306))</f>
        <v>0</v>
      </c>
      <c r="U306" s="424">
        <f>IF(OR(U$300&lt;$C306,U$300&lt;$H$2),0,MIN($E306-SUM($G306:T306),$F306))</f>
        <v>0</v>
      </c>
      <c r="V306" s="424">
        <f>IF(OR(V$300&lt;$C306,V$300&lt;$H$2),0,MIN($E306-SUM($G306:U306),$F306))</f>
        <v>0</v>
      </c>
      <c r="W306" s="424">
        <f>IF(OR(W$300&lt;$C306,W$300&lt;$H$2),0,MIN($E306-SUM($G306:V306),$F306))</f>
        <v>0</v>
      </c>
      <c r="X306" s="424">
        <f>IF(OR(X$300&lt;$C306,X$300&lt;$H$2),0,MIN($E306-SUM($G306:W306),$F306))</f>
        <v>0</v>
      </c>
      <c r="Y306" s="424">
        <f>IF(OR(Y$300&lt;$C306,Y$300&lt;$H$2),0,MIN($E306-SUM($G306:X306),$F306))</f>
        <v>0</v>
      </c>
      <c r="Z306" s="424">
        <f>IF(OR(Z$300&lt;$C306,Z$300&lt;$H$2),0,MIN($E306-SUM($G306:Y306),$F306))</f>
        <v>0</v>
      </c>
      <c r="AA306" s="424">
        <f>IF(OR(AA$300&lt;$C306,AA$300&lt;$H$2),0,MIN($E306-SUM($G306:Z306),$F306))</f>
        <v>0</v>
      </c>
      <c r="AB306" s="424">
        <f>IF(OR(AB$300&lt;$C306,AB$300&lt;$H$2),0,MIN($E306-SUM($G306:AA306),$F306))</f>
        <v>0</v>
      </c>
      <c r="AC306" s="424">
        <f>IF(OR(AC$300&lt;$C306,AC$300&lt;$H$2),0,MIN($E306-SUM($G306:AB306),$F306))</f>
        <v>0</v>
      </c>
      <c r="AD306" s="424">
        <f>IF(OR(AD$300&lt;$C306,AD$300&lt;$H$2),0,MIN($E306-SUM($G306:AC306),$F306))</f>
        <v>0</v>
      </c>
      <c r="AE306" s="424">
        <f>IF(OR(AE$300&lt;$C306,AE$300&lt;$H$2),0,MIN($E306-SUM($G306:AD306),$F306))</f>
        <v>0</v>
      </c>
      <c r="AF306" s="424">
        <f>IF(OR(AF$300&lt;$C306,AF$300&lt;$H$2),0,MIN($E306-SUM($G306:AE306),$F306))</f>
        <v>0</v>
      </c>
      <c r="AG306" s="424">
        <f>IF(OR(AG$300&lt;$C306,AG$300&lt;$H$2),0,MIN($E306-SUM($G306:AF306),$F306))</f>
        <v>0</v>
      </c>
      <c r="AH306" s="424">
        <f>IF(OR(AH$300&lt;$C306,AH$300&lt;$H$2),0,MIN($E306-SUM($G306:AG306),$F306))</f>
        <v>0</v>
      </c>
      <c r="AI306" s="424">
        <f>IF(OR(AI$300&lt;$C306,AI$300&lt;$H$2),0,MIN($E306-SUM($G306:AH306),$F306))</f>
        <v>0</v>
      </c>
      <c r="AJ306" s="424">
        <f>IF(OR(AJ$300&lt;$C306,AJ$300&lt;$H$2),0,MIN($E306-SUM($G306:AI306),$F306))</f>
        <v>0</v>
      </c>
      <c r="AK306" s="424">
        <f>IF(OR(AK$300&lt;$C306,AK$300&lt;$H$2),0,MIN($E306-SUM($G306:AJ306),$F306))</f>
        <v>0</v>
      </c>
    </row>
    <row r="307" spans="3:37">
      <c r="C307" s="201">
        <v>47487</v>
      </c>
      <c r="D307" s="94" t="s">
        <v>134</v>
      </c>
      <c r="E307" s="424">
        <f t="shared" si="118"/>
        <v>0</v>
      </c>
      <c r="F307" s="209">
        <f t="shared" si="119"/>
        <v>0</v>
      </c>
      <c r="H307" s="424">
        <f>IF(OR(H$300&lt;$C307,H$300&lt;$H$2),0,MIN($E307-SUM($G307:G307),$F307))</f>
        <v>0</v>
      </c>
      <c r="I307" s="424">
        <f>IF(OR(I$300&lt;$C307,I$300&lt;$H$2),0,MIN($E307-SUM($G307:H307),$F307))</f>
        <v>0</v>
      </c>
      <c r="J307" s="424">
        <f>IF(OR(J$300&lt;$C307,J$300&lt;$H$2),0,MIN($E307-SUM($G307:I307),$F307))</f>
        <v>0</v>
      </c>
      <c r="K307" s="424">
        <f>IF(OR(K$300&lt;$C307,K$300&lt;$H$2),0,MIN($E307-SUM($G307:J307),$F307))</f>
        <v>0</v>
      </c>
      <c r="L307" s="424">
        <f>IF(OR(L$300&lt;$C307,L$300&lt;$H$2),0,MIN($E307-SUM($G307:K307),$F307))</f>
        <v>0</v>
      </c>
      <c r="M307" s="424">
        <f>IF(OR(M$300&lt;$C307,M$300&lt;$H$2),0,MIN($E307-SUM($G307:L307),$F307))</f>
        <v>0</v>
      </c>
      <c r="N307" s="424">
        <f>IF(OR(N$300&lt;$C307,N$300&lt;$H$2),0,MIN($E307-SUM($G307:M307),$F307))</f>
        <v>0</v>
      </c>
      <c r="O307" s="424">
        <f>IF(OR(O$300&lt;$C307,O$300&lt;$H$2),0,MIN($E307-SUM($G307:N307),$F307))</f>
        <v>0</v>
      </c>
      <c r="P307" s="424">
        <f>IF(OR(P$300&lt;$C307,P$300&lt;$H$2),0,MIN($E307-SUM($G307:O307),$F307))</f>
        <v>0</v>
      </c>
      <c r="Q307" s="424">
        <f>IF(OR(Q$300&lt;$C307,Q$300&lt;$H$2),0,MIN($E307-SUM($G307:P307),$F307))</f>
        <v>0</v>
      </c>
      <c r="R307" s="424">
        <f>IF(OR(R$300&lt;$C307,R$300&lt;$H$2),0,MIN($E307-SUM($G307:Q307),$F307))</f>
        <v>0</v>
      </c>
      <c r="S307" s="424">
        <f>IF(OR(S$300&lt;$C307,S$300&lt;$H$2),0,MIN($E307-SUM($G307:R307),$F307))</f>
        <v>0</v>
      </c>
      <c r="T307" s="424">
        <f>IF(OR(T$300&lt;$C307,T$300&lt;$H$2),0,MIN($E307-SUM($G307:S307),$F307))</f>
        <v>0</v>
      </c>
      <c r="U307" s="424">
        <f>IF(OR(U$300&lt;$C307,U$300&lt;$H$2),0,MIN($E307-SUM($G307:T307),$F307))</f>
        <v>0</v>
      </c>
      <c r="V307" s="424">
        <f>IF(OR(V$300&lt;$C307,V$300&lt;$H$2),0,MIN($E307-SUM($G307:U307),$F307))</f>
        <v>0</v>
      </c>
      <c r="W307" s="424">
        <f>IF(OR(W$300&lt;$C307,W$300&lt;$H$2),0,MIN($E307-SUM($G307:V307),$F307))</f>
        <v>0</v>
      </c>
      <c r="X307" s="424">
        <f>IF(OR(X$300&lt;$C307,X$300&lt;$H$2),0,MIN($E307-SUM($G307:W307),$F307))</f>
        <v>0</v>
      </c>
      <c r="Y307" s="424">
        <f>IF(OR(Y$300&lt;$C307,Y$300&lt;$H$2),0,MIN($E307-SUM($G307:X307),$F307))</f>
        <v>0</v>
      </c>
      <c r="Z307" s="424">
        <f>IF(OR(Z$300&lt;$C307,Z$300&lt;$H$2),0,MIN($E307-SUM($G307:Y307),$F307))</f>
        <v>0</v>
      </c>
      <c r="AA307" s="424">
        <f>IF(OR(AA$300&lt;$C307,AA$300&lt;$H$2),0,MIN($E307-SUM($G307:Z307),$F307))</f>
        <v>0</v>
      </c>
      <c r="AB307" s="424">
        <f>IF(OR(AB$300&lt;$C307,AB$300&lt;$H$2),0,MIN($E307-SUM($G307:AA307),$F307))</f>
        <v>0</v>
      </c>
      <c r="AC307" s="424">
        <f>IF(OR(AC$300&lt;$C307,AC$300&lt;$H$2),0,MIN($E307-SUM($G307:AB307),$F307))</f>
        <v>0</v>
      </c>
      <c r="AD307" s="424">
        <f>IF(OR(AD$300&lt;$C307,AD$300&lt;$H$2),0,MIN($E307-SUM($G307:AC307),$F307))</f>
        <v>0</v>
      </c>
      <c r="AE307" s="424">
        <f>IF(OR(AE$300&lt;$C307,AE$300&lt;$H$2),0,MIN($E307-SUM($G307:AD307),$F307))</f>
        <v>0</v>
      </c>
      <c r="AF307" s="424">
        <f>IF(OR(AF$300&lt;$C307,AF$300&lt;$H$2),0,MIN($E307-SUM($G307:AE307),$F307))</f>
        <v>0</v>
      </c>
      <c r="AG307" s="424">
        <f>IF(OR(AG$300&lt;$C307,AG$300&lt;$H$2),0,MIN($E307-SUM($G307:AF307),$F307))</f>
        <v>0</v>
      </c>
      <c r="AH307" s="424">
        <f>IF(OR(AH$300&lt;$C307,AH$300&lt;$H$2),0,MIN($E307-SUM($G307:AG307),$F307))</f>
        <v>0</v>
      </c>
      <c r="AI307" s="424">
        <f>IF(OR(AI$300&lt;$C307,AI$300&lt;$H$2),0,MIN($E307-SUM($G307:AH307),$F307))</f>
        <v>0</v>
      </c>
      <c r="AJ307" s="424">
        <f>IF(OR(AJ$300&lt;$C307,AJ$300&lt;$H$2),0,MIN($E307-SUM($G307:AI307),$F307))</f>
        <v>0</v>
      </c>
      <c r="AK307" s="424">
        <f>IF(OR(AK$300&lt;$C307,AK$300&lt;$H$2),0,MIN($E307-SUM($G307:AJ307),$F307))</f>
        <v>0</v>
      </c>
    </row>
    <row r="308" spans="3:37">
      <c r="C308" s="201">
        <v>47853</v>
      </c>
      <c r="D308" s="94" t="s">
        <v>134</v>
      </c>
      <c r="E308" s="424">
        <f t="shared" si="118"/>
        <v>0</v>
      </c>
      <c r="F308" s="209">
        <f t="shared" si="119"/>
        <v>0</v>
      </c>
      <c r="H308" s="424">
        <f>IF(OR(H$300&lt;$C308,H$300&lt;$H$2),0,MIN($E308-SUM($G308:G308),$F308))</f>
        <v>0</v>
      </c>
      <c r="I308" s="424">
        <f>IF(OR(I$300&lt;$C308,I$300&lt;$H$2),0,MIN($E308-SUM($G308:H308),$F308))</f>
        <v>0</v>
      </c>
      <c r="J308" s="424">
        <f>IF(OR(J$300&lt;$C308,J$300&lt;$H$2),0,MIN($E308-SUM($G308:I308),$F308))</f>
        <v>0</v>
      </c>
      <c r="K308" s="424">
        <f>IF(OR(K$300&lt;$C308,K$300&lt;$H$2),0,MIN($E308-SUM($G308:J308),$F308))</f>
        <v>0</v>
      </c>
      <c r="L308" s="424">
        <f>IF(OR(L$300&lt;$C308,L$300&lt;$H$2),0,MIN($E308-SUM($G308:K308),$F308))</f>
        <v>0</v>
      </c>
      <c r="M308" s="424">
        <f>IF(OR(M$300&lt;$C308,M$300&lt;$H$2),0,MIN($E308-SUM($G308:L308),$F308))</f>
        <v>0</v>
      </c>
      <c r="N308" s="424">
        <f>IF(OR(N$300&lt;$C308,N$300&lt;$H$2),0,MIN($E308-SUM($G308:M308),$F308))</f>
        <v>0</v>
      </c>
      <c r="O308" s="424">
        <f>IF(OR(O$300&lt;$C308,O$300&lt;$H$2),0,MIN($E308-SUM($G308:N308),$F308))</f>
        <v>0</v>
      </c>
      <c r="P308" s="424">
        <f>IF(OR(P$300&lt;$C308,P$300&lt;$H$2),0,MIN($E308-SUM($G308:O308),$F308))</f>
        <v>0</v>
      </c>
      <c r="Q308" s="424">
        <f>IF(OR(Q$300&lt;$C308,Q$300&lt;$H$2),0,MIN($E308-SUM($G308:P308),$F308))</f>
        <v>0</v>
      </c>
      <c r="R308" s="424">
        <f>IF(OR(R$300&lt;$C308,R$300&lt;$H$2),0,MIN($E308-SUM($G308:Q308),$F308))</f>
        <v>0</v>
      </c>
      <c r="S308" s="424">
        <f>IF(OR(S$300&lt;$C308,S$300&lt;$H$2),0,MIN($E308-SUM($G308:R308),$F308))</f>
        <v>0</v>
      </c>
      <c r="T308" s="424">
        <f>IF(OR(T$300&lt;$C308,T$300&lt;$H$2),0,MIN($E308-SUM($G308:S308),$F308))</f>
        <v>0</v>
      </c>
      <c r="U308" s="424">
        <f>IF(OR(U$300&lt;$C308,U$300&lt;$H$2),0,MIN($E308-SUM($G308:T308),$F308))</f>
        <v>0</v>
      </c>
      <c r="V308" s="424">
        <f>IF(OR(V$300&lt;$C308,V$300&lt;$H$2),0,MIN($E308-SUM($G308:U308),$F308))</f>
        <v>0</v>
      </c>
      <c r="W308" s="424">
        <f>IF(OR(W$300&lt;$C308,W$300&lt;$H$2),0,MIN($E308-SUM($G308:V308),$F308))</f>
        <v>0</v>
      </c>
      <c r="X308" s="424">
        <f>IF(OR(X$300&lt;$C308,X$300&lt;$H$2),0,MIN($E308-SUM($G308:W308),$F308))</f>
        <v>0</v>
      </c>
      <c r="Y308" s="424">
        <f>IF(OR(Y$300&lt;$C308,Y$300&lt;$H$2),0,MIN($E308-SUM($G308:X308),$F308))</f>
        <v>0</v>
      </c>
      <c r="Z308" s="424">
        <f>IF(OR(Z$300&lt;$C308,Z$300&lt;$H$2),0,MIN($E308-SUM($G308:Y308),$F308))</f>
        <v>0</v>
      </c>
      <c r="AA308" s="424">
        <f>IF(OR(AA$300&lt;$C308,AA$300&lt;$H$2),0,MIN($E308-SUM($G308:Z308),$F308))</f>
        <v>0</v>
      </c>
      <c r="AB308" s="424">
        <f>IF(OR(AB$300&lt;$C308,AB$300&lt;$H$2),0,MIN($E308-SUM($G308:AA308),$F308))</f>
        <v>0</v>
      </c>
      <c r="AC308" s="424">
        <f>IF(OR(AC$300&lt;$C308,AC$300&lt;$H$2),0,MIN($E308-SUM($G308:AB308),$F308))</f>
        <v>0</v>
      </c>
      <c r="AD308" s="424">
        <f>IF(OR(AD$300&lt;$C308,AD$300&lt;$H$2),0,MIN($E308-SUM($G308:AC308),$F308))</f>
        <v>0</v>
      </c>
      <c r="AE308" s="424">
        <f>IF(OR(AE$300&lt;$C308,AE$300&lt;$H$2),0,MIN($E308-SUM($G308:AD308),$F308))</f>
        <v>0</v>
      </c>
      <c r="AF308" s="424">
        <f>IF(OR(AF$300&lt;$C308,AF$300&lt;$H$2),0,MIN($E308-SUM($G308:AE308),$F308))</f>
        <v>0</v>
      </c>
      <c r="AG308" s="424">
        <f>IF(OR(AG$300&lt;$C308,AG$300&lt;$H$2),0,MIN($E308-SUM($G308:AF308),$F308))</f>
        <v>0</v>
      </c>
      <c r="AH308" s="424">
        <f>IF(OR(AH$300&lt;$C308,AH$300&lt;$H$2),0,MIN($E308-SUM($G308:AG308),$F308))</f>
        <v>0</v>
      </c>
      <c r="AI308" s="424">
        <f>IF(OR(AI$300&lt;$C308,AI$300&lt;$H$2),0,MIN($E308-SUM($G308:AH308),$F308))</f>
        <v>0</v>
      </c>
      <c r="AJ308" s="424">
        <f>IF(OR(AJ$300&lt;$C308,AJ$300&lt;$H$2),0,MIN($E308-SUM($G308:AI308),$F308))</f>
        <v>0</v>
      </c>
      <c r="AK308" s="424">
        <f>IF(OR(AK$300&lt;$C308,AK$300&lt;$H$2),0,MIN($E308-SUM($G308:AJ308),$F308))</f>
        <v>0</v>
      </c>
    </row>
    <row r="309" spans="3:37">
      <c r="C309" s="201">
        <v>48219</v>
      </c>
      <c r="D309" s="94" t="s">
        <v>134</v>
      </c>
      <c r="E309" s="424">
        <f t="shared" si="118"/>
        <v>0</v>
      </c>
      <c r="F309" s="209">
        <f t="shared" si="119"/>
        <v>0</v>
      </c>
      <c r="H309" s="424">
        <f>IF(OR(H$300&lt;$C309,H$300&lt;$H$2),0,MIN($E309-SUM($G309:G309),$F309))</f>
        <v>0</v>
      </c>
      <c r="I309" s="424">
        <f>IF(OR(I$300&lt;$C309,I$300&lt;$H$2),0,MIN($E309-SUM($G309:H309),$F309))</f>
        <v>0</v>
      </c>
      <c r="J309" s="424">
        <f>IF(OR(J$300&lt;$C309,J$300&lt;$H$2),0,MIN($E309-SUM($G309:I309),$F309))</f>
        <v>0</v>
      </c>
      <c r="K309" s="424">
        <f>IF(OR(K$300&lt;$C309,K$300&lt;$H$2),0,MIN($E309-SUM($G309:J309),$F309))</f>
        <v>0</v>
      </c>
      <c r="L309" s="424">
        <f>IF(OR(L$300&lt;$C309,L$300&lt;$H$2),0,MIN($E309-SUM($G309:K309),$F309))</f>
        <v>0</v>
      </c>
      <c r="M309" s="424">
        <f>IF(OR(M$300&lt;$C309,M$300&lt;$H$2),0,MIN($E309-SUM($G309:L309),$F309))</f>
        <v>0</v>
      </c>
      <c r="N309" s="424">
        <f>IF(OR(N$300&lt;$C309,N$300&lt;$H$2),0,MIN($E309-SUM($G309:M309),$F309))</f>
        <v>0</v>
      </c>
      <c r="O309" s="424">
        <f>IF(OR(O$300&lt;$C309,O$300&lt;$H$2),0,MIN($E309-SUM($G309:N309),$F309))</f>
        <v>0</v>
      </c>
      <c r="P309" s="424">
        <f>IF(OR(P$300&lt;$C309,P$300&lt;$H$2),0,MIN($E309-SUM($G309:O309),$F309))</f>
        <v>0</v>
      </c>
      <c r="Q309" s="424">
        <f>IF(OR(Q$300&lt;$C309,Q$300&lt;$H$2),0,MIN($E309-SUM($G309:P309),$F309))</f>
        <v>0</v>
      </c>
      <c r="R309" s="424">
        <f>IF(OR(R$300&lt;$C309,R$300&lt;$H$2),0,MIN($E309-SUM($G309:Q309),$F309))</f>
        <v>0</v>
      </c>
      <c r="S309" s="424">
        <f>IF(OR(S$300&lt;$C309,S$300&lt;$H$2),0,MIN($E309-SUM($G309:R309),$F309))</f>
        <v>0</v>
      </c>
      <c r="T309" s="424">
        <f>IF(OR(T$300&lt;$C309,T$300&lt;$H$2),0,MIN($E309-SUM($G309:S309),$F309))</f>
        <v>0</v>
      </c>
      <c r="U309" s="424">
        <f>IF(OR(U$300&lt;$C309,U$300&lt;$H$2),0,MIN($E309-SUM($G309:T309),$F309))</f>
        <v>0</v>
      </c>
      <c r="V309" s="424">
        <f>IF(OR(V$300&lt;$C309,V$300&lt;$H$2),0,MIN($E309-SUM($G309:U309),$F309))</f>
        <v>0</v>
      </c>
      <c r="W309" s="424">
        <f>IF(OR(W$300&lt;$C309,W$300&lt;$H$2),0,MIN($E309-SUM($G309:V309),$F309))</f>
        <v>0</v>
      </c>
      <c r="X309" s="424">
        <f>IF(OR(X$300&lt;$C309,X$300&lt;$H$2),0,MIN($E309-SUM($G309:W309),$F309))</f>
        <v>0</v>
      </c>
      <c r="Y309" s="424">
        <f>IF(OR(Y$300&lt;$C309,Y$300&lt;$H$2),0,MIN($E309-SUM($G309:X309),$F309))</f>
        <v>0</v>
      </c>
      <c r="Z309" s="424">
        <f>IF(OR(Z$300&lt;$C309,Z$300&lt;$H$2),0,MIN($E309-SUM($G309:Y309),$F309))</f>
        <v>0</v>
      </c>
      <c r="AA309" s="424">
        <f>IF(OR(AA$300&lt;$C309,AA$300&lt;$H$2),0,MIN($E309-SUM($G309:Z309),$F309))</f>
        <v>0</v>
      </c>
      <c r="AB309" s="424">
        <f>IF(OR(AB$300&lt;$C309,AB$300&lt;$H$2),0,MIN($E309-SUM($G309:AA309),$F309))</f>
        <v>0</v>
      </c>
      <c r="AC309" s="424">
        <f>IF(OR(AC$300&lt;$C309,AC$300&lt;$H$2),0,MIN($E309-SUM($G309:AB309),$F309))</f>
        <v>0</v>
      </c>
      <c r="AD309" s="424">
        <f>IF(OR(AD$300&lt;$C309,AD$300&lt;$H$2),0,MIN($E309-SUM($G309:AC309),$F309))</f>
        <v>0</v>
      </c>
      <c r="AE309" s="424">
        <f>IF(OR(AE$300&lt;$C309,AE$300&lt;$H$2),0,MIN($E309-SUM($G309:AD309),$F309))</f>
        <v>0</v>
      </c>
      <c r="AF309" s="424">
        <f>IF(OR(AF$300&lt;$C309,AF$300&lt;$H$2),0,MIN($E309-SUM($G309:AE309),$F309))</f>
        <v>0</v>
      </c>
      <c r="AG309" s="424">
        <f>IF(OR(AG$300&lt;$C309,AG$300&lt;$H$2),0,MIN($E309-SUM($G309:AF309),$F309))</f>
        <v>0</v>
      </c>
      <c r="AH309" s="424">
        <f>IF(OR(AH$300&lt;$C309,AH$300&lt;$H$2),0,MIN($E309-SUM($G309:AG309),$F309))</f>
        <v>0</v>
      </c>
      <c r="AI309" s="424">
        <f>IF(OR(AI$300&lt;$C309,AI$300&lt;$H$2),0,MIN($E309-SUM($G309:AH309),$F309))</f>
        <v>0</v>
      </c>
      <c r="AJ309" s="424">
        <f>IF(OR(AJ$300&lt;$C309,AJ$300&lt;$H$2),0,MIN($E309-SUM($G309:AI309),$F309))</f>
        <v>0</v>
      </c>
      <c r="AK309" s="424">
        <f>IF(OR(AK$300&lt;$C309,AK$300&lt;$H$2),0,MIN($E309-SUM($G309:AJ309),$F309))</f>
        <v>0</v>
      </c>
    </row>
    <row r="310" spans="3:37">
      <c r="C310" s="201">
        <v>48585</v>
      </c>
      <c r="D310" s="94" t="s">
        <v>134</v>
      </c>
      <c r="E310" s="424">
        <f t="shared" si="118"/>
        <v>0</v>
      </c>
      <c r="F310" s="209">
        <f t="shared" si="119"/>
        <v>0</v>
      </c>
      <c r="H310" s="424">
        <f>IF(OR(H$300&lt;$C310,H$300&lt;$H$2),0,MIN($E310-SUM($G310:G310),$F310))</f>
        <v>0</v>
      </c>
      <c r="I310" s="424">
        <f>IF(OR(I$300&lt;$C310,I$300&lt;$H$2),0,MIN($E310-SUM($G310:H310),$F310))</f>
        <v>0</v>
      </c>
      <c r="J310" s="424">
        <f>IF(OR(J$300&lt;$C310,J$300&lt;$H$2),0,MIN($E310-SUM($G310:I310),$F310))</f>
        <v>0</v>
      </c>
      <c r="K310" s="424">
        <f>IF(OR(K$300&lt;$C310,K$300&lt;$H$2),0,MIN($E310-SUM($G310:J310),$F310))</f>
        <v>0</v>
      </c>
      <c r="L310" s="424">
        <f>IF(OR(L$300&lt;$C310,L$300&lt;$H$2),0,MIN($E310-SUM($G310:K310),$F310))</f>
        <v>0</v>
      </c>
      <c r="M310" s="424">
        <f>IF(OR(M$300&lt;$C310,M$300&lt;$H$2),0,MIN($E310-SUM($G310:L310),$F310))</f>
        <v>0</v>
      </c>
      <c r="N310" s="424">
        <f>IF(OR(N$300&lt;$C310,N$300&lt;$H$2),0,MIN($E310-SUM($G310:M310),$F310))</f>
        <v>0</v>
      </c>
      <c r="O310" s="424">
        <f>IF(OR(O$300&lt;$C310,O$300&lt;$H$2),0,MIN($E310-SUM($G310:N310),$F310))</f>
        <v>0</v>
      </c>
      <c r="P310" s="424">
        <f>IF(OR(P$300&lt;$C310,P$300&lt;$H$2),0,MIN($E310-SUM($G310:O310),$F310))</f>
        <v>0</v>
      </c>
      <c r="Q310" s="424">
        <f>IF(OR(Q$300&lt;$C310,Q$300&lt;$H$2),0,MIN($E310-SUM($G310:P310),$F310))</f>
        <v>0</v>
      </c>
      <c r="R310" s="424">
        <f>IF(OR(R$300&lt;$C310,R$300&lt;$H$2),0,MIN($E310-SUM($G310:Q310),$F310))</f>
        <v>0</v>
      </c>
      <c r="S310" s="424">
        <f>IF(OR(S$300&lt;$C310,S$300&lt;$H$2),0,MIN($E310-SUM($G310:R310),$F310))</f>
        <v>0</v>
      </c>
      <c r="T310" s="424">
        <f>IF(OR(T$300&lt;$C310,T$300&lt;$H$2),0,MIN($E310-SUM($G310:S310),$F310))</f>
        <v>0</v>
      </c>
      <c r="U310" s="424">
        <f>IF(OR(U$300&lt;$C310,U$300&lt;$H$2),0,MIN($E310-SUM($G310:T310),$F310))</f>
        <v>0</v>
      </c>
      <c r="V310" s="424">
        <f>IF(OR(V$300&lt;$C310,V$300&lt;$H$2),0,MIN($E310-SUM($G310:U310),$F310))</f>
        <v>0</v>
      </c>
      <c r="W310" s="424">
        <f>IF(OR(W$300&lt;$C310,W$300&lt;$H$2),0,MIN($E310-SUM($G310:V310),$F310))</f>
        <v>0</v>
      </c>
      <c r="X310" s="424">
        <f>IF(OR(X$300&lt;$C310,X$300&lt;$H$2),0,MIN($E310-SUM($G310:W310),$F310))</f>
        <v>0</v>
      </c>
      <c r="Y310" s="424">
        <f>IF(OR(Y$300&lt;$C310,Y$300&lt;$H$2),0,MIN($E310-SUM($G310:X310),$F310))</f>
        <v>0</v>
      </c>
      <c r="Z310" s="424">
        <f>IF(OR(Z$300&lt;$C310,Z$300&lt;$H$2),0,MIN($E310-SUM($G310:Y310),$F310))</f>
        <v>0</v>
      </c>
      <c r="AA310" s="424">
        <f>IF(OR(AA$300&lt;$C310,AA$300&lt;$H$2),0,MIN($E310-SUM($G310:Z310),$F310))</f>
        <v>0</v>
      </c>
      <c r="AB310" s="424">
        <f>IF(OR(AB$300&lt;$C310,AB$300&lt;$H$2),0,MIN($E310-SUM($G310:AA310),$F310))</f>
        <v>0</v>
      </c>
      <c r="AC310" s="424">
        <f>IF(OR(AC$300&lt;$C310,AC$300&lt;$H$2),0,MIN($E310-SUM($G310:AB310),$F310))</f>
        <v>0</v>
      </c>
      <c r="AD310" s="424">
        <f>IF(OR(AD$300&lt;$C310,AD$300&lt;$H$2),0,MIN($E310-SUM($G310:AC310),$F310))</f>
        <v>0</v>
      </c>
      <c r="AE310" s="424">
        <f>IF(OR(AE$300&lt;$C310,AE$300&lt;$H$2),0,MIN($E310-SUM($G310:AD310),$F310))</f>
        <v>0</v>
      </c>
      <c r="AF310" s="424">
        <f>IF(OR(AF$300&lt;$C310,AF$300&lt;$H$2),0,MIN($E310-SUM($G310:AE310),$F310))</f>
        <v>0</v>
      </c>
      <c r="AG310" s="424">
        <f>IF(OR(AG$300&lt;$C310,AG$300&lt;$H$2),0,MIN($E310-SUM($G310:AF310),$F310))</f>
        <v>0</v>
      </c>
      <c r="AH310" s="424">
        <f>IF(OR(AH$300&lt;$C310,AH$300&lt;$H$2),0,MIN($E310-SUM($G310:AG310),$F310))</f>
        <v>0</v>
      </c>
      <c r="AI310" s="424">
        <f>IF(OR(AI$300&lt;$C310,AI$300&lt;$H$2),0,MIN($E310-SUM($G310:AH310),$F310))</f>
        <v>0</v>
      </c>
      <c r="AJ310" s="424">
        <f>IF(OR(AJ$300&lt;$C310,AJ$300&lt;$H$2),0,MIN($E310-SUM($G310:AI310),$F310))</f>
        <v>0</v>
      </c>
      <c r="AK310" s="424">
        <f>IF(OR(AK$300&lt;$C310,AK$300&lt;$H$2),0,MIN($E310-SUM($G310:AJ310),$F310))</f>
        <v>0</v>
      </c>
    </row>
    <row r="311" spans="3:37">
      <c r="C311" s="201">
        <v>48951</v>
      </c>
      <c r="D311" s="94" t="s">
        <v>134</v>
      </c>
      <c r="E311" s="424">
        <f t="shared" si="118"/>
        <v>0</v>
      </c>
      <c r="F311" s="209">
        <f t="shared" si="119"/>
        <v>0</v>
      </c>
      <c r="H311" s="424">
        <f>IF(OR(H$300&lt;$C311,H$300&lt;$H$2),0,MIN($E311-SUM($G311:G311),$F311))</f>
        <v>0</v>
      </c>
      <c r="I311" s="424">
        <f>IF(OR(I$300&lt;$C311,I$300&lt;$H$2),0,MIN($E311-SUM($G311:H311),$F311))</f>
        <v>0</v>
      </c>
      <c r="J311" s="424">
        <f>IF(OR(J$300&lt;$C311,J$300&lt;$H$2),0,MIN($E311-SUM($G311:I311),$F311))</f>
        <v>0</v>
      </c>
      <c r="K311" s="424">
        <f>IF(OR(K$300&lt;$C311,K$300&lt;$H$2),0,MIN($E311-SUM($G311:J311),$F311))</f>
        <v>0</v>
      </c>
      <c r="L311" s="424">
        <f>IF(OR(L$300&lt;$C311,L$300&lt;$H$2),0,MIN($E311-SUM($G311:K311),$F311))</f>
        <v>0</v>
      </c>
      <c r="M311" s="424">
        <f>IF(OR(M$300&lt;$C311,M$300&lt;$H$2),0,MIN($E311-SUM($G311:L311),$F311))</f>
        <v>0</v>
      </c>
      <c r="N311" s="424">
        <f>IF(OR(N$300&lt;$C311,N$300&lt;$H$2),0,MIN($E311-SUM($G311:M311),$F311))</f>
        <v>0</v>
      </c>
      <c r="O311" s="424">
        <f>IF(OR(O$300&lt;$C311,O$300&lt;$H$2),0,MIN($E311-SUM($G311:N311),$F311))</f>
        <v>0</v>
      </c>
      <c r="P311" s="424">
        <f>IF(OR(P$300&lt;$C311,P$300&lt;$H$2),0,MIN($E311-SUM($G311:O311),$F311))</f>
        <v>0</v>
      </c>
      <c r="Q311" s="424">
        <f>IF(OR(Q$300&lt;$C311,Q$300&lt;$H$2),0,MIN($E311-SUM($G311:P311),$F311))</f>
        <v>0</v>
      </c>
      <c r="R311" s="424">
        <f>IF(OR(R$300&lt;$C311,R$300&lt;$H$2),0,MIN($E311-SUM($G311:Q311),$F311))</f>
        <v>0</v>
      </c>
      <c r="S311" s="424">
        <f>IF(OR(S$300&lt;$C311,S$300&lt;$H$2),0,MIN($E311-SUM($G311:R311),$F311))</f>
        <v>0</v>
      </c>
      <c r="T311" s="424">
        <f>IF(OR(T$300&lt;$C311,T$300&lt;$H$2),0,MIN($E311-SUM($G311:S311),$F311))</f>
        <v>0</v>
      </c>
      <c r="U311" s="424">
        <f>IF(OR(U$300&lt;$C311,U$300&lt;$H$2),0,MIN($E311-SUM($G311:T311),$F311))</f>
        <v>0</v>
      </c>
      <c r="V311" s="424">
        <f>IF(OR(V$300&lt;$C311,V$300&lt;$H$2),0,MIN($E311-SUM($G311:U311),$F311))</f>
        <v>0</v>
      </c>
      <c r="W311" s="424">
        <f>IF(OR(W$300&lt;$C311,W$300&lt;$H$2),0,MIN($E311-SUM($G311:V311),$F311))</f>
        <v>0</v>
      </c>
      <c r="X311" s="424">
        <f>IF(OR(X$300&lt;$C311,X$300&lt;$H$2),0,MIN($E311-SUM($G311:W311),$F311))</f>
        <v>0</v>
      </c>
      <c r="Y311" s="424">
        <f>IF(OR(Y$300&lt;$C311,Y$300&lt;$H$2),0,MIN($E311-SUM($G311:X311),$F311))</f>
        <v>0</v>
      </c>
      <c r="Z311" s="424">
        <f>IF(OR(Z$300&lt;$C311,Z$300&lt;$H$2),0,MIN($E311-SUM($G311:Y311),$F311))</f>
        <v>0</v>
      </c>
      <c r="AA311" s="424">
        <f>IF(OR(AA$300&lt;$C311,AA$300&lt;$H$2),0,MIN($E311-SUM($G311:Z311),$F311))</f>
        <v>0</v>
      </c>
      <c r="AB311" s="424">
        <f>IF(OR(AB$300&lt;$C311,AB$300&lt;$H$2),0,MIN($E311-SUM($G311:AA311),$F311))</f>
        <v>0</v>
      </c>
      <c r="AC311" s="424">
        <f>IF(OR(AC$300&lt;$C311,AC$300&lt;$H$2),0,MIN($E311-SUM($G311:AB311),$F311))</f>
        <v>0</v>
      </c>
      <c r="AD311" s="424">
        <f>IF(OR(AD$300&lt;$C311,AD$300&lt;$H$2),0,MIN($E311-SUM($G311:AC311),$F311))</f>
        <v>0</v>
      </c>
      <c r="AE311" s="424">
        <f>IF(OR(AE$300&lt;$C311,AE$300&lt;$H$2),0,MIN($E311-SUM($G311:AD311),$F311))</f>
        <v>0</v>
      </c>
      <c r="AF311" s="424">
        <f>IF(OR(AF$300&lt;$C311,AF$300&lt;$H$2),0,MIN($E311-SUM($G311:AE311),$F311))</f>
        <v>0</v>
      </c>
      <c r="AG311" s="424">
        <f>IF(OR(AG$300&lt;$C311,AG$300&lt;$H$2),0,MIN($E311-SUM($G311:AF311),$F311))</f>
        <v>0</v>
      </c>
      <c r="AH311" s="424">
        <f>IF(OR(AH$300&lt;$C311,AH$300&lt;$H$2),0,MIN($E311-SUM($G311:AG311),$F311))</f>
        <v>0</v>
      </c>
      <c r="AI311" s="424">
        <f>IF(OR(AI$300&lt;$C311,AI$300&lt;$H$2),0,MIN($E311-SUM($G311:AH311),$F311))</f>
        <v>0</v>
      </c>
      <c r="AJ311" s="424">
        <f>IF(OR(AJ$300&lt;$C311,AJ$300&lt;$H$2),0,MIN($E311-SUM($G311:AI311),$F311))</f>
        <v>0</v>
      </c>
      <c r="AK311" s="424">
        <f>IF(OR(AK$300&lt;$C311,AK$300&lt;$H$2),0,MIN($E311-SUM($G311:AJ311),$F311))</f>
        <v>0</v>
      </c>
    </row>
    <row r="312" spans="3:37">
      <c r="C312" s="201">
        <v>49317</v>
      </c>
      <c r="D312" s="94" t="s">
        <v>134</v>
      </c>
      <c r="E312" s="424">
        <f t="shared" si="118"/>
        <v>0</v>
      </c>
      <c r="F312" s="209">
        <f t="shared" si="119"/>
        <v>0</v>
      </c>
      <c r="H312" s="424">
        <f>IF(OR(H$300&lt;$C312,H$300&lt;$H$2),0,MIN($E312-SUM($G312:G312),$F312))</f>
        <v>0</v>
      </c>
      <c r="I312" s="424">
        <f>IF(OR(I$300&lt;$C312,I$300&lt;$H$2),0,MIN($E312-SUM($G312:H312),$F312))</f>
        <v>0</v>
      </c>
      <c r="J312" s="424">
        <f>IF(OR(J$300&lt;$C312,J$300&lt;$H$2),0,MIN($E312-SUM($G312:I312),$F312))</f>
        <v>0</v>
      </c>
      <c r="K312" s="424">
        <f>IF(OR(K$300&lt;$C312,K$300&lt;$H$2),0,MIN($E312-SUM($G312:J312),$F312))</f>
        <v>0</v>
      </c>
      <c r="L312" s="424">
        <f>IF(OR(L$300&lt;$C312,L$300&lt;$H$2),0,MIN($E312-SUM($G312:K312),$F312))</f>
        <v>0</v>
      </c>
      <c r="M312" s="424">
        <f>IF(OR(M$300&lt;$C312,M$300&lt;$H$2),0,MIN($E312-SUM($G312:L312),$F312))</f>
        <v>0</v>
      </c>
      <c r="N312" s="424">
        <f>IF(OR(N$300&lt;$C312,N$300&lt;$H$2),0,MIN($E312-SUM($G312:M312),$F312))</f>
        <v>0</v>
      </c>
      <c r="O312" s="424">
        <f>IF(OR(O$300&lt;$C312,O$300&lt;$H$2),0,MIN($E312-SUM($G312:N312),$F312))</f>
        <v>0</v>
      </c>
      <c r="P312" s="424">
        <f>IF(OR(P$300&lt;$C312,P$300&lt;$H$2),0,MIN($E312-SUM($G312:O312),$F312))</f>
        <v>0</v>
      </c>
      <c r="Q312" s="424">
        <f>IF(OR(Q$300&lt;$C312,Q$300&lt;$H$2),0,MIN($E312-SUM($G312:P312),$F312))</f>
        <v>0</v>
      </c>
      <c r="R312" s="424">
        <f>IF(OR(R$300&lt;$C312,R$300&lt;$H$2),0,MIN($E312-SUM($G312:Q312),$F312))</f>
        <v>0</v>
      </c>
      <c r="S312" s="424">
        <f>IF(OR(S$300&lt;$C312,S$300&lt;$H$2),0,MIN($E312-SUM($G312:R312),$F312))</f>
        <v>0</v>
      </c>
      <c r="T312" s="424">
        <f>IF(OR(T$300&lt;$C312,T$300&lt;$H$2),0,MIN($E312-SUM($G312:S312),$F312))</f>
        <v>0</v>
      </c>
      <c r="U312" s="424">
        <f>IF(OR(U$300&lt;$C312,U$300&lt;$H$2),0,MIN($E312-SUM($G312:T312),$F312))</f>
        <v>0</v>
      </c>
      <c r="V312" s="424">
        <f>IF(OR(V$300&lt;$C312,V$300&lt;$H$2),0,MIN($E312-SUM($G312:U312),$F312))</f>
        <v>0</v>
      </c>
      <c r="W312" s="424">
        <f>IF(OR(W$300&lt;$C312,W$300&lt;$H$2),0,MIN($E312-SUM($G312:V312),$F312))</f>
        <v>0</v>
      </c>
      <c r="X312" s="424">
        <f>IF(OR(X$300&lt;$C312,X$300&lt;$H$2),0,MIN($E312-SUM($G312:W312),$F312))</f>
        <v>0</v>
      </c>
      <c r="Y312" s="424">
        <f>IF(OR(Y$300&lt;$C312,Y$300&lt;$H$2),0,MIN($E312-SUM($G312:X312),$F312))</f>
        <v>0</v>
      </c>
      <c r="Z312" s="424">
        <f>IF(OR(Z$300&lt;$C312,Z$300&lt;$H$2),0,MIN($E312-SUM($G312:Y312),$F312))</f>
        <v>0</v>
      </c>
      <c r="AA312" s="424">
        <f>IF(OR(AA$300&lt;$C312,AA$300&lt;$H$2),0,MIN($E312-SUM($G312:Z312),$F312))</f>
        <v>0</v>
      </c>
      <c r="AB312" s="424">
        <f>IF(OR(AB$300&lt;$C312,AB$300&lt;$H$2),0,MIN($E312-SUM($G312:AA312),$F312))</f>
        <v>0</v>
      </c>
      <c r="AC312" s="424">
        <f>IF(OR(AC$300&lt;$C312,AC$300&lt;$H$2),0,MIN($E312-SUM($G312:AB312),$F312))</f>
        <v>0</v>
      </c>
      <c r="AD312" s="424">
        <f>IF(OR(AD$300&lt;$C312,AD$300&lt;$H$2),0,MIN($E312-SUM($G312:AC312),$F312))</f>
        <v>0</v>
      </c>
      <c r="AE312" s="424">
        <f>IF(OR(AE$300&lt;$C312,AE$300&lt;$H$2),0,MIN($E312-SUM($G312:AD312),$F312))</f>
        <v>0</v>
      </c>
      <c r="AF312" s="424">
        <f>IF(OR(AF$300&lt;$C312,AF$300&lt;$H$2),0,MIN($E312-SUM($G312:AE312),$F312))</f>
        <v>0</v>
      </c>
      <c r="AG312" s="424">
        <f>IF(OR(AG$300&lt;$C312,AG$300&lt;$H$2),0,MIN($E312-SUM($G312:AF312),$F312))</f>
        <v>0</v>
      </c>
      <c r="AH312" s="424">
        <f>IF(OR(AH$300&lt;$C312,AH$300&lt;$H$2),0,MIN($E312-SUM($G312:AG312),$F312))</f>
        <v>0</v>
      </c>
      <c r="AI312" s="424">
        <f>IF(OR(AI$300&lt;$C312,AI$300&lt;$H$2),0,MIN($E312-SUM($G312:AH312),$F312))</f>
        <v>0</v>
      </c>
      <c r="AJ312" s="424">
        <f>IF(OR(AJ$300&lt;$C312,AJ$300&lt;$H$2),0,MIN($E312-SUM($G312:AI312),$F312))</f>
        <v>0</v>
      </c>
      <c r="AK312" s="424">
        <f>IF(OR(AK$300&lt;$C312,AK$300&lt;$H$2),0,MIN($E312-SUM($G312:AJ312),$F312))</f>
        <v>0</v>
      </c>
    </row>
    <row r="313" spans="3:37">
      <c r="C313" s="201">
        <v>49683</v>
      </c>
      <c r="D313" s="94" t="s">
        <v>134</v>
      </c>
      <c r="E313" s="424">
        <f t="shared" si="118"/>
        <v>0</v>
      </c>
      <c r="F313" s="209">
        <f t="shared" si="119"/>
        <v>0</v>
      </c>
      <c r="H313" s="424">
        <f>IF(OR(H$300&lt;$C313,H$300&lt;$H$2),0,MIN($E313-SUM($G313:G313),$F313))</f>
        <v>0</v>
      </c>
      <c r="I313" s="424">
        <f>IF(OR(I$300&lt;$C313,I$300&lt;$H$2),0,MIN($E313-SUM($G313:H313),$F313))</f>
        <v>0</v>
      </c>
      <c r="J313" s="424">
        <f>IF(OR(J$300&lt;$C313,J$300&lt;$H$2),0,MIN($E313-SUM($G313:I313),$F313))</f>
        <v>0</v>
      </c>
      <c r="K313" s="424">
        <f>IF(OR(K$300&lt;$C313,K$300&lt;$H$2),0,MIN($E313-SUM($G313:J313),$F313))</f>
        <v>0</v>
      </c>
      <c r="L313" s="424">
        <f>IF(OR(L$300&lt;$C313,L$300&lt;$H$2),0,MIN($E313-SUM($G313:K313),$F313))</f>
        <v>0</v>
      </c>
      <c r="M313" s="424">
        <f>IF(OR(M$300&lt;$C313,M$300&lt;$H$2),0,MIN($E313-SUM($G313:L313),$F313))</f>
        <v>0</v>
      </c>
      <c r="N313" s="424">
        <f>IF(OR(N$300&lt;$C313,N$300&lt;$H$2),0,MIN($E313-SUM($G313:M313),$F313))</f>
        <v>0</v>
      </c>
      <c r="O313" s="424">
        <f>IF(OR(O$300&lt;$C313,O$300&lt;$H$2),0,MIN($E313-SUM($G313:N313),$F313))</f>
        <v>0</v>
      </c>
      <c r="P313" s="424">
        <f>IF(OR(P$300&lt;$C313,P$300&lt;$H$2),0,MIN($E313-SUM($G313:O313),$F313))</f>
        <v>0</v>
      </c>
      <c r="Q313" s="424">
        <f>IF(OR(Q$300&lt;$C313,Q$300&lt;$H$2),0,MIN($E313-SUM($G313:P313),$F313))</f>
        <v>0</v>
      </c>
      <c r="R313" s="424">
        <f>IF(OR(R$300&lt;$C313,R$300&lt;$H$2),0,MIN($E313-SUM($G313:Q313),$F313))</f>
        <v>0</v>
      </c>
      <c r="S313" s="424">
        <f>IF(OR(S$300&lt;$C313,S$300&lt;$H$2),0,MIN($E313-SUM($G313:R313),$F313))</f>
        <v>0</v>
      </c>
      <c r="T313" s="424">
        <f>IF(OR(T$300&lt;$C313,T$300&lt;$H$2),0,MIN($E313-SUM($G313:S313),$F313))</f>
        <v>0</v>
      </c>
      <c r="U313" s="424">
        <f>IF(OR(U$300&lt;$C313,U$300&lt;$H$2),0,MIN($E313-SUM($G313:T313),$F313))</f>
        <v>0</v>
      </c>
      <c r="V313" s="424">
        <f>IF(OR(V$300&lt;$C313,V$300&lt;$H$2),0,MIN($E313-SUM($G313:U313),$F313))</f>
        <v>0</v>
      </c>
      <c r="W313" s="424">
        <f>IF(OR(W$300&lt;$C313,W$300&lt;$H$2),0,MIN($E313-SUM($G313:V313),$F313))</f>
        <v>0</v>
      </c>
      <c r="X313" s="424">
        <f>IF(OR(X$300&lt;$C313,X$300&lt;$H$2),0,MIN($E313-SUM($G313:W313),$F313))</f>
        <v>0</v>
      </c>
      <c r="Y313" s="424">
        <f>IF(OR(Y$300&lt;$C313,Y$300&lt;$H$2),0,MIN($E313-SUM($G313:X313),$F313))</f>
        <v>0</v>
      </c>
      <c r="Z313" s="424">
        <f>IF(OR(Z$300&lt;$C313,Z$300&lt;$H$2),0,MIN($E313-SUM($G313:Y313),$F313))</f>
        <v>0</v>
      </c>
      <c r="AA313" s="424">
        <f>IF(OR(AA$300&lt;$C313,AA$300&lt;$H$2),0,MIN($E313-SUM($G313:Z313),$F313))</f>
        <v>0</v>
      </c>
      <c r="AB313" s="424">
        <f>IF(OR(AB$300&lt;$C313,AB$300&lt;$H$2),0,MIN($E313-SUM($G313:AA313),$F313))</f>
        <v>0</v>
      </c>
      <c r="AC313" s="424">
        <f>IF(OR(AC$300&lt;$C313,AC$300&lt;$H$2),0,MIN($E313-SUM($G313:AB313),$F313))</f>
        <v>0</v>
      </c>
      <c r="AD313" s="424">
        <f>IF(OR(AD$300&lt;$C313,AD$300&lt;$H$2),0,MIN($E313-SUM($G313:AC313),$F313))</f>
        <v>0</v>
      </c>
      <c r="AE313" s="424">
        <f>IF(OR(AE$300&lt;$C313,AE$300&lt;$H$2),0,MIN($E313-SUM($G313:AD313),$F313))</f>
        <v>0</v>
      </c>
      <c r="AF313" s="424">
        <f>IF(OR(AF$300&lt;$C313,AF$300&lt;$H$2),0,MIN($E313-SUM($G313:AE313),$F313))</f>
        <v>0</v>
      </c>
      <c r="AG313" s="424">
        <f>IF(OR(AG$300&lt;$C313,AG$300&lt;$H$2),0,MIN($E313-SUM($G313:AF313),$F313))</f>
        <v>0</v>
      </c>
      <c r="AH313" s="424">
        <f>IF(OR(AH$300&lt;$C313,AH$300&lt;$H$2),0,MIN($E313-SUM($G313:AG313),$F313))</f>
        <v>0</v>
      </c>
      <c r="AI313" s="424">
        <f>IF(OR(AI$300&lt;$C313,AI$300&lt;$H$2),0,MIN($E313-SUM($G313:AH313),$F313))</f>
        <v>0</v>
      </c>
      <c r="AJ313" s="424">
        <f>IF(OR(AJ$300&lt;$C313,AJ$300&lt;$H$2),0,MIN($E313-SUM($G313:AI313),$F313))</f>
        <v>0</v>
      </c>
      <c r="AK313" s="424">
        <f>IF(OR(AK$300&lt;$C313,AK$300&lt;$H$2),0,MIN($E313-SUM($G313:AJ313),$F313))</f>
        <v>0</v>
      </c>
    </row>
    <row r="314" spans="3:37">
      <c r="C314" s="201">
        <v>50049</v>
      </c>
      <c r="D314" s="94" t="s">
        <v>134</v>
      </c>
      <c r="E314" s="424">
        <f t="shared" si="118"/>
        <v>0</v>
      </c>
      <c r="F314" s="209">
        <f t="shared" si="119"/>
        <v>0</v>
      </c>
      <c r="H314" s="424">
        <f>IF(OR(H$300&lt;$C314,H$300&lt;$H$2),0,MIN($E314-SUM($G314:G314),$F314))</f>
        <v>0</v>
      </c>
      <c r="I314" s="424">
        <f>IF(OR(I$300&lt;$C314,I$300&lt;$H$2),0,MIN($E314-SUM($G314:H314),$F314))</f>
        <v>0</v>
      </c>
      <c r="J314" s="424">
        <f>IF(OR(J$300&lt;$C314,J$300&lt;$H$2),0,MIN($E314-SUM($G314:I314),$F314))</f>
        <v>0</v>
      </c>
      <c r="K314" s="424">
        <f>IF(OR(K$300&lt;$C314,K$300&lt;$H$2),0,MIN($E314-SUM($G314:J314),$F314))</f>
        <v>0</v>
      </c>
      <c r="L314" s="424">
        <f>IF(OR(L$300&lt;$C314,L$300&lt;$H$2),0,MIN($E314-SUM($G314:K314),$F314))</f>
        <v>0</v>
      </c>
      <c r="M314" s="424">
        <f>IF(OR(M$300&lt;$C314,M$300&lt;$H$2),0,MIN($E314-SUM($G314:L314),$F314))</f>
        <v>0</v>
      </c>
      <c r="N314" s="424">
        <f>IF(OR(N$300&lt;$C314,N$300&lt;$H$2),0,MIN($E314-SUM($G314:M314),$F314))</f>
        <v>0</v>
      </c>
      <c r="O314" s="424">
        <f>IF(OR(O$300&lt;$C314,O$300&lt;$H$2),0,MIN($E314-SUM($G314:N314),$F314))</f>
        <v>0</v>
      </c>
      <c r="P314" s="424">
        <f>IF(OR(P$300&lt;$C314,P$300&lt;$H$2),0,MIN($E314-SUM($G314:O314),$F314))</f>
        <v>0</v>
      </c>
      <c r="Q314" s="424">
        <f>IF(OR(Q$300&lt;$C314,Q$300&lt;$H$2),0,MIN($E314-SUM($G314:P314),$F314))</f>
        <v>0</v>
      </c>
      <c r="R314" s="424">
        <f>IF(OR(R$300&lt;$C314,R$300&lt;$H$2),0,MIN($E314-SUM($G314:Q314),$F314))</f>
        <v>0</v>
      </c>
      <c r="S314" s="424">
        <f>IF(OR(S$300&lt;$C314,S$300&lt;$H$2),0,MIN($E314-SUM($G314:R314),$F314))</f>
        <v>0</v>
      </c>
      <c r="T314" s="424">
        <f>IF(OR(T$300&lt;$C314,T$300&lt;$H$2),0,MIN($E314-SUM($G314:S314),$F314))</f>
        <v>0</v>
      </c>
      <c r="U314" s="424">
        <f>IF(OR(U$300&lt;$C314,U$300&lt;$H$2),0,MIN($E314-SUM($G314:T314),$F314))</f>
        <v>0</v>
      </c>
      <c r="V314" s="424">
        <f>IF(OR(V$300&lt;$C314,V$300&lt;$H$2),0,MIN($E314-SUM($G314:U314),$F314))</f>
        <v>0</v>
      </c>
      <c r="W314" s="424">
        <f>IF(OR(W$300&lt;$C314,W$300&lt;$H$2),0,MIN($E314-SUM($G314:V314),$F314))</f>
        <v>0</v>
      </c>
      <c r="X314" s="424">
        <f>IF(OR(X$300&lt;$C314,X$300&lt;$H$2),0,MIN($E314-SUM($G314:W314),$F314))</f>
        <v>0</v>
      </c>
      <c r="Y314" s="424">
        <f>IF(OR(Y$300&lt;$C314,Y$300&lt;$H$2),0,MIN($E314-SUM($G314:X314),$F314))</f>
        <v>0</v>
      </c>
      <c r="Z314" s="424">
        <f>IF(OR(Z$300&lt;$C314,Z$300&lt;$H$2),0,MIN($E314-SUM($G314:Y314),$F314))</f>
        <v>0</v>
      </c>
      <c r="AA314" s="424">
        <f>IF(OR(AA$300&lt;$C314,AA$300&lt;$H$2),0,MIN($E314-SUM($G314:Z314),$F314))</f>
        <v>0</v>
      </c>
      <c r="AB314" s="424">
        <f>IF(OR(AB$300&lt;$C314,AB$300&lt;$H$2),0,MIN($E314-SUM($G314:AA314),$F314))</f>
        <v>0</v>
      </c>
      <c r="AC314" s="424">
        <f>IF(OR(AC$300&lt;$C314,AC$300&lt;$H$2),0,MIN($E314-SUM($G314:AB314),$F314))</f>
        <v>0</v>
      </c>
      <c r="AD314" s="424">
        <f>IF(OR(AD$300&lt;$C314,AD$300&lt;$H$2),0,MIN($E314-SUM($G314:AC314),$F314))</f>
        <v>0</v>
      </c>
      <c r="AE314" s="424">
        <f>IF(OR(AE$300&lt;$C314,AE$300&lt;$H$2),0,MIN($E314-SUM($G314:AD314),$F314))</f>
        <v>0</v>
      </c>
      <c r="AF314" s="424">
        <f>IF(OR(AF$300&lt;$C314,AF$300&lt;$H$2),0,MIN($E314-SUM($G314:AE314),$F314))</f>
        <v>0</v>
      </c>
      <c r="AG314" s="424">
        <f>IF(OR(AG$300&lt;$C314,AG$300&lt;$H$2),0,MIN($E314-SUM($G314:AF314),$F314))</f>
        <v>0</v>
      </c>
      <c r="AH314" s="424">
        <f>IF(OR(AH$300&lt;$C314,AH$300&lt;$H$2),0,MIN($E314-SUM($G314:AG314),$F314))</f>
        <v>0</v>
      </c>
      <c r="AI314" s="424">
        <f>IF(OR(AI$300&lt;$C314,AI$300&lt;$H$2),0,MIN($E314-SUM($G314:AH314),$F314))</f>
        <v>0</v>
      </c>
      <c r="AJ314" s="424">
        <f>IF(OR(AJ$300&lt;$C314,AJ$300&lt;$H$2),0,MIN($E314-SUM($G314:AI314),$F314))</f>
        <v>0</v>
      </c>
      <c r="AK314" s="424">
        <f>IF(OR(AK$300&lt;$C314,AK$300&lt;$H$2),0,MIN($E314-SUM($G314:AJ314),$F314))</f>
        <v>0</v>
      </c>
    </row>
    <row r="315" spans="3:37">
      <c r="C315" s="201">
        <v>50415</v>
      </c>
      <c r="D315" s="94" t="s">
        <v>134</v>
      </c>
      <c r="E315" s="424">
        <f t="shared" si="118"/>
        <v>0</v>
      </c>
      <c r="F315" s="209">
        <f t="shared" si="119"/>
        <v>0</v>
      </c>
      <c r="H315" s="424">
        <f>IF(OR(H$300&lt;$C315,H$300&lt;$H$2),0,MIN($E315-SUM($G315:G315),$F315))</f>
        <v>0</v>
      </c>
      <c r="I315" s="424">
        <f>IF(OR(I$300&lt;$C315,I$300&lt;$H$2),0,MIN($E315-SUM($G315:H315),$F315))</f>
        <v>0</v>
      </c>
      <c r="J315" s="424">
        <f>IF(OR(J$300&lt;$C315,J$300&lt;$H$2),0,MIN($E315-SUM($G315:I315),$F315))</f>
        <v>0</v>
      </c>
      <c r="K315" s="424">
        <f>IF(OR(K$300&lt;$C315,K$300&lt;$H$2),0,MIN($E315-SUM($G315:J315),$F315))</f>
        <v>0</v>
      </c>
      <c r="L315" s="424">
        <f>IF(OR(L$300&lt;$C315,L$300&lt;$H$2),0,MIN($E315-SUM($G315:K315),$F315))</f>
        <v>0</v>
      </c>
      <c r="M315" s="424">
        <f>IF(OR(M$300&lt;$C315,M$300&lt;$H$2),0,MIN($E315-SUM($G315:L315),$F315))</f>
        <v>0</v>
      </c>
      <c r="N315" s="424">
        <f>IF(OR(N$300&lt;$C315,N$300&lt;$H$2),0,MIN($E315-SUM($G315:M315),$F315))</f>
        <v>0</v>
      </c>
      <c r="O315" s="424">
        <f>IF(OR(O$300&lt;$C315,O$300&lt;$H$2),0,MIN($E315-SUM($G315:N315),$F315))</f>
        <v>0</v>
      </c>
      <c r="P315" s="424">
        <f>IF(OR(P$300&lt;$C315,P$300&lt;$H$2),0,MIN($E315-SUM($G315:O315),$F315))</f>
        <v>0</v>
      </c>
      <c r="Q315" s="424">
        <f>IF(OR(Q$300&lt;$C315,Q$300&lt;$H$2),0,MIN($E315-SUM($G315:P315),$F315))</f>
        <v>0</v>
      </c>
      <c r="R315" s="424">
        <f>IF(OR(R$300&lt;$C315,R$300&lt;$H$2),0,MIN($E315-SUM($G315:Q315),$F315))</f>
        <v>0</v>
      </c>
      <c r="S315" s="424">
        <f>IF(OR(S$300&lt;$C315,S$300&lt;$H$2),0,MIN($E315-SUM($G315:R315),$F315))</f>
        <v>0</v>
      </c>
      <c r="T315" s="424">
        <f>IF(OR(T$300&lt;$C315,T$300&lt;$H$2),0,MIN($E315-SUM($G315:S315),$F315))</f>
        <v>0</v>
      </c>
      <c r="U315" s="424">
        <f>IF(OR(U$300&lt;$C315,U$300&lt;$H$2),0,MIN($E315-SUM($G315:T315),$F315))</f>
        <v>0</v>
      </c>
      <c r="V315" s="424">
        <f>IF(OR(V$300&lt;$C315,V$300&lt;$H$2),0,MIN($E315-SUM($G315:U315),$F315))</f>
        <v>0</v>
      </c>
      <c r="W315" s="424">
        <f>IF(OR(W$300&lt;$C315,W$300&lt;$H$2),0,MIN($E315-SUM($G315:V315),$F315))</f>
        <v>0</v>
      </c>
      <c r="X315" s="424">
        <f>IF(OR(X$300&lt;$C315,X$300&lt;$H$2),0,MIN($E315-SUM($G315:W315),$F315))</f>
        <v>0</v>
      </c>
      <c r="Y315" s="424">
        <f>IF(OR(Y$300&lt;$C315,Y$300&lt;$H$2),0,MIN($E315-SUM($G315:X315),$F315))</f>
        <v>0</v>
      </c>
      <c r="Z315" s="424">
        <f>IF(OR(Z$300&lt;$C315,Z$300&lt;$H$2),0,MIN($E315-SUM($G315:Y315),$F315))</f>
        <v>0</v>
      </c>
      <c r="AA315" s="424">
        <f>IF(OR(AA$300&lt;$C315,AA$300&lt;$H$2),0,MIN($E315-SUM($G315:Z315),$F315))</f>
        <v>0</v>
      </c>
      <c r="AB315" s="424">
        <f>IF(OR(AB$300&lt;$C315,AB$300&lt;$H$2),0,MIN($E315-SUM($G315:AA315),$F315))</f>
        <v>0</v>
      </c>
      <c r="AC315" s="424">
        <f>IF(OR(AC$300&lt;$C315,AC$300&lt;$H$2),0,MIN($E315-SUM($G315:AB315),$F315))</f>
        <v>0</v>
      </c>
      <c r="AD315" s="424">
        <f>IF(OR(AD$300&lt;$C315,AD$300&lt;$H$2),0,MIN($E315-SUM($G315:AC315),$F315))</f>
        <v>0</v>
      </c>
      <c r="AE315" s="424">
        <f>IF(OR(AE$300&lt;$C315,AE$300&lt;$H$2),0,MIN($E315-SUM($G315:AD315),$F315))</f>
        <v>0</v>
      </c>
      <c r="AF315" s="424">
        <f>IF(OR(AF$300&lt;$C315,AF$300&lt;$H$2),0,MIN($E315-SUM($G315:AE315),$F315))</f>
        <v>0</v>
      </c>
      <c r="AG315" s="424">
        <f>IF(OR(AG$300&lt;$C315,AG$300&lt;$H$2),0,MIN($E315-SUM($G315:AF315),$F315))</f>
        <v>0</v>
      </c>
      <c r="AH315" s="424">
        <f>IF(OR(AH$300&lt;$C315,AH$300&lt;$H$2),0,MIN($E315-SUM($G315:AG315),$F315))</f>
        <v>0</v>
      </c>
      <c r="AI315" s="424">
        <f>IF(OR(AI$300&lt;$C315,AI$300&lt;$H$2),0,MIN($E315-SUM($G315:AH315),$F315))</f>
        <v>0</v>
      </c>
      <c r="AJ315" s="424">
        <f>IF(OR(AJ$300&lt;$C315,AJ$300&lt;$H$2),0,MIN($E315-SUM($G315:AI315),$F315))</f>
        <v>0</v>
      </c>
      <c r="AK315" s="424">
        <f>IF(OR(AK$300&lt;$C315,AK$300&lt;$H$2),0,MIN($E315-SUM($G315:AJ315),$F315))</f>
        <v>0</v>
      </c>
    </row>
    <row r="316" spans="3:37">
      <c r="C316" s="201">
        <v>50781</v>
      </c>
      <c r="D316" s="94" t="s">
        <v>134</v>
      </c>
      <c r="E316" s="424">
        <f t="shared" si="118"/>
        <v>0</v>
      </c>
      <c r="F316" s="209">
        <f t="shared" si="119"/>
        <v>0</v>
      </c>
      <c r="H316" s="424">
        <f>IF(OR(H$300&lt;$C316,H$300&lt;$H$2),0,MIN($E316-SUM($G316:G316),$F316))</f>
        <v>0</v>
      </c>
      <c r="I316" s="424">
        <f>IF(OR(I$300&lt;$C316,I$300&lt;$H$2),0,MIN($E316-SUM($G316:H316),$F316))</f>
        <v>0</v>
      </c>
      <c r="J316" s="424">
        <f>IF(OR(J$300&lt;$C316,J$300&lt;$H$2),0,MIN($E316-SUM($G316:I316),$F316))</f>
        <v>0</v>
      </c>
      <c r="K316" s="424">
        <f>IF(OR(K$300&lt;$C316,K$300&lt;$H$2),0,MIN($E316-SUM($G316:J316),$F316))</f>
        <v>0</v>
      </c>
      <c r="L316" s="424">
        <f>IF(OR(L$300&lt;$C316,L$300&lt;$H$2),0,MIN($E316-SUM($G316:K316),$F316))</f>
        <v>0</v>
      </c>
      <c r="M316" s="424">
        <f>IF(OR(M$300&lt;$C316,M$300&lt;$H$2),0,MIN($E316-SUM($G316:L316),$F316))</f>
        <v>0</v>
      </c>
      <c r="N316" s="424">
        <f>IF(OR(N$300&lt;$C316,N$300&lt;$H$2),0,MIN($E316-SUM($G316:M316),$F316))</f>
        <v>0</v>
      </c>
      <c r="O316" s="424">
        <f>IF(OR(O$300&lt;$C316,O$300&lt;$H$2),0,MIN($E316-SUM($G316:N316),$F316))</f>
        <v>0</v>
      </c>
      <c r="P316" s="424">
        <f>IF(OR(P$300&lt;$C316,P$300&lt;$H$2),0,MIN($E316-SUM($G316:O316),$F316))</f>
        <v>0</v>
      </c>
      <c r="Q316" s="424">
        <f>IF(OR(Q$300&lt;$C316,Q$300&lt;$H$2),0,MIN($E316-SUM($G316:P316),$F316))</f>
        <v>0</v>
      </c>
      <c r="R316" s="424">
        <f>IF(OR(R$300&lt;$C316,R$300&lt;$H$2),0,MIN($E316-SUM($G316:Q316),$F316))</f>
        <v>0</v>
      </c>
      <c r="S316" s="424">
        <f>IF(OR(S$300&lt;$C316,S$300&lt;$H$2),0,MIN($E316-SUM($G316:R316),$F316))</f>
        <v>0</v>
      </c>
      <c r="T316" s="424">
        <f>IF(OR(T$300&lt;$C316,T$300&lt;$H$2),0,MIN($E316-SUM($G316:S316),$F316))</f>
        <v>0</v>
      </c>
      <c r="U316" s="424">
        <f>IF(OR(U$300&lt;$C316,U$300&lt;$H$2),0,MIN($E316-SUM($G316:T316),$F316))</f>
        <v>0</v>
      </c>
      <c r="V316" s="424">
        <f>IF(OR(V$300&lt;$C316,V$300&lt;$H$2),0,MIN($E316-SUM($G316:U316),$F316))</f>
        <v>0</v>
      </c>
      <c r="W316" s="424">
        <f>IF(OR(W$300&lt;$C316,W$300&lt;$H$2),0,MIN($E316-SUM($G316:V316),$F316))</f>
        <v>0</v>
      </c>
      <c r="X316" s="424">
        <f>IF(OR(X$300&lt;$C316,X$300&lt;$H$2),0,MIN($E316-SUM($G316:W316),$F316))</f>
        <v>0</v>
      </c>
      <c r="Y316" s="424">
        <f>IF(OR(Y$300&lt;$C316,Y$300&lt;$H$2),0,MIN($E316-SUM($G316:X316),$F316))</f>
        <v>0</v>
      </c>
      <c r="Z316" s="424">
        <f>IF(OR(Z$300&lt;$C316,Z$300&lt;$H$2),0,MIN($E316-SUM($G316:Y316),$F316))</f>
        <v>0</v>
      </c>
      <c r="AA316" s="424">
        <f>IF(OR(AA$300&lt;$C316,AA$300&lt;$H$2),0,MIN($E316-SUM($G316:Z316),$F316))</f>
        <v>0</v>
      </c>
      <c r="AB316" s="424">
        <f>IF(OR(AB$300&lt;$C316,AB$300&lt;$H$2),0,MIN($E316-SUM($G316:AA316),$F316))</f>
        <v>0</v>
      </c>
      <c r="AC316" s="424">
        <f>IF(OR(AC$300&lt;$C316,AC$300&lt;$H$2),0,MIN($E316-SUM($G316:AB316),$F316))</f>
        <v>0</v>
      </c>
      <c r="AD316" s="424">
        <f>IF(OR(AD$300&lt;$C316,AD$300&lt;$H$2),0,MIN($E316-SUM($G316:AC316),$F316))</f>
        <v>0</v>
      </c>
      <c r="AE316" s="424">
        <f>IF(OR(AE$300&lt;$C316,AE$300&lt;$H$2),0,MIN($E316-SUM($G316:AD316),$F316))</f>
        <v>0</v>
      </c>
      <c r="AF316" s="424">
        <f>IF(OR(AF$300&lt;$C316,AF$300&lt;$H$2),0,MIN($E316-SUM($G316:AE316),$F316))</f>
        <v>0</v>
      </c>
      <c r="AG316" s="424">
        <f>IF(OR(AG$300&lt;$C316,AG$300&lt;$H$2),0,MIN($E316-SUM($G316:AF316),$F316))</f>
        <v>0</v>
      </c>
      <c r="AH316" s="424">
        <f>IF(OR(AH$300&lt;$C316,AH$300&lt;$H$2),0,MIN($E316-SUM($G316:AG316),$F316))</f>
        <v>0</v>
      </c>
      <c r="AI316" s="424">
        <f>IF(OR(AI$300&lt;$C316,AI$300&lt;$H$2),0,MIN($E316-SUM($G316:AH316),$F316))</f>
        <v>0</v>
      </c>
      <c r="AJ316" s="424">
        <f>IF(OR(AJ$300&lt;$C316,AJ$300&lt;$H$2),0,MIN($E316-SUM($G316:AI316),$F316))</f>
        <v>0</v>
      </c>
      <c r="AK316" s="424">
        <f>IF(OR(AK$300&lt;$C316,AK$300&lt;$H$2),0,MIN($E316-SUM($G316:AJ316),$F316))</f>
        <v>0</v>
      </c>
    </row>
    <row r="317" spans="3:37">
      <c r="C317" s="201">
        <v>51147</v>
      </c>
      <c r="D317" s="94" t="s">
        <v>134</v>
      </c>
      <c r="E317" s="424">
        <f t="shared" si="118"/>
        <v>0</v>
      </c>
      <c r="F317" s="209">
        <f t="shared" si="119"/>
        <v>0</v>
      </c>
      <c r="H317" s="424">
        <f>IF(OR(H$300&lt;$C317,H$300&lt;$H$2),0,MIN($E317-SUM($G317:G317),$F317))</f>
        <v>0</v>
      </c>
      <c r="I317" s="424">
        <f>IF(OR(I$300&lt;$C317,I$300&lt;$H$2),0,MIN($E317-SUM($G317:H317),$F317))</f>
        <v>0</v>
      </c>
      <c r="J317" s="424">
        <f>IF(OR(J$300&lt;$C317,J$300&lt;$H$2),0,MIN($E317-SUM($G317:I317),$F317))</f>
        <v>0</v>
      </c>
      <c r="K317" s="424">
        <f>IF(OR(K$300&lt;$C317,K$300&lt;$H$2),0,MIN($E317-SUM($G317:J317),$F317))</f>
        <v>0</v>
      </c>
      <c r="L317" s="424">
        <f>IF(OR(L$300&lt;$C317,L$300&lt;$H$2),0,MIN($E317-SUM($G317:K317),$F317))</f>
        <v>0</v>
      </c>
      <c r="M317" s="424">
        <f>IF(OR(M$300&lt;$C317,M$300&lt;$H$2),0,MIN($E317-SUM($G317:L317),$F317))</f>
        <v>0</v>
      </c>
      <c r="N317" s="424">
        <f>IF(OR(N$300&lt;$C317,N$300&lt;$H$2),0,MIN($E317-SUM($G317:M317),$F317))</f>
        <v>0</v>
      </c>
      <c r="O317" s="424">
        <f>IF(OR(O$300&lt;$C317,O$300&lt;$H$2),0,MIN($E317-SUM($G317:N317),$F317))</f>
        <v>0</v>
      </c>
      <c r="P317" s="424">
        <f>IF(OR(P$300&lt;$C317,P$300&lt;$H$2),0,MIN($E317-SUM($G317:O317),$F317))</f>
        <v>0</v>
      </c>
      <c r="Q317" s="424">
        <f>IF(OR(Q$300&lt;$C317,Q$300&lt;$H$2),0,MIN($E317-SUM($G317:P317),$F317))</f>
        <v>0</v>
      </c>
      <c r="R317" s="424">
        <f>IF(OR(R$300&lt;$C317,R$300&lt;$H$2),0,MIN($E317-SUM($G317:Q317),$F317))</f>
        <v>0</v>
      </c>
      <c r="S317" s="424">
        <f>IF(OR(S$300&lt;$C317,S$300&lt;$H$2),0,MIN($E317-SUM($G317:R317),$F317))</f>
        <v>0</v>
      </c>
      <c r="T317" s="424">
        <f>IF(OR(T$300&lt;$C317,T$300&lt;$H$2),0,MIN($E317-SUM($G317:S317),$F317))</f>
        <v>0</v>
      </c>
      <c r="U317" s="424">
        <f>IF(OR(U$300&lt;$C317,U$300&lt;$H$2),0,MIN($E317-SUM($G317:T317),$F317))</f>
        <v>0</v>
      </c>
      <c r="V317" s="424">
        <f>IF(OR(V$300&lt;$C317,V$300&lt;$H$2),0,MIN($E317-SUM($G317:U317),$F317))</f>
        <v>0</v>
      </c>
      <c r="W317" s="424">
        <f>IF(OR(W$300&lt;$C317,W$300&lt;$H$2),0,MIN($E317-SUM($G317:V317),$F317))</f>
        <v>0</v>
      </c>
      <c r="X317" s="424">
        <f>IF(OR(X$300&lt;$C317,X$300&lt;$H$2),0,MIN($E317-SUM($G317:W317),$F317))</f>
        <v>0</v>
      </c>
      <c r="Y317" s="424">
        <f>IF(OR(Y$300&lt;$C317,Y$300&lt;$H$2),0,MIN($E317-SUM($G317:X317),$F317))</f>
        <v>0</v>
      </c>
      <c r="Z317" s="424">
        <f>IF(OR(Z$300&lt;$C317,Z$300&lt;$H$2),0,MIN($E317-SUM($G317:Y317),$F317))</f>
        <v>0</v>
      </c>
      <c r="AA317" s="424">
        <f>IF(OR(AA$300&lt;$C317,AA$300&lt;$H$2),0,MIN($E317-SUM($G317:Z317),$F317))</f>
        <v>0</v>
      </c>
      <c r="AB317" s="424">
        <f>IF(OR(AB$300&lt;$C317,AB$300&lt;$H$2),0,MIN($E317-SUM($G317:AA317),$F317))</f>
        <v>0</v>
      </c>
      <c r="AC317" s="424">
        <f>IF(OR(AC$300&lt;$C317,AC$300&lt;$H$2),0,MIN($E317-SUM($G317:AB317),$F317))</f>
        <v>0</v>
      </c>
      <c r="AD317" s="424">
        <f>IF(OR(AD$300&lt;$C317,AD$300&lt;$H$2),0,MIN($E317-SUM($G317:AC317),$F317))</f>
        <v>0</v>
      </c>
      <c r="AE317" s="424">
        <f>IF(OR(AE$300&lt;$C317,AE$300&lt;$H$2),0,MIN($E317-SUM($G317:AD317),$F317))</f>
        <v>0</v>
      </c>
      <c r="AF317" s="424">
        <f>IF(OR(AF$300&lt;$C317,AF$300&lt;$H$2),0,MIN($E317-SUM($G317:AE317),$F317))</f>
        <v>0</v>
      </c>
      <c r="AG317" s="424">
        <f>IF(OR(AG$300&lt;$C317,AG$300&lt;$H$2),0,MIN($E317-SUM($G317:AF317),$F317))</f>
        <v>0</v>
      </c>
      <c r="AH317" s="424">
        <f>IF(OR(AH$300&lt;$C317,AH$300&lt;$H$2),0,MIN($E317-SUM($G317:AG317),$F317))</f>
        <v>0</v>
      </c>
      <c r="AI317" s="424">
        <f>IF(OR(AI$300&lt;$C317,AI$300&lt;$H$2),0,MIN($E317-SUM($G317:AH317),$F317))</f>
        <v>0</v>
      </c>
      <c r="AJ317" s="424">
        <f>IF(OR(AJ$300&lt;$C317,AJ$300&lt;$H$2),0,MIN($E317-SUM($G317:AI317),$F317))</f>
        <v>0</v>
      </c>
      <c r="AK317" s="424">
        <f>IF(OR(AK$300&lt;$C317,AK$300&lt;$H$2),0,MIN($E317-SUM($G317:AJ317),$F317))</f>
        <v>0</v>
      </c>
    </row>
    <row r="318" spans="3:37">
      <c r="C318" s="201">
        <v>51513</v>
      </c>
      <c r="D318" s="94" t="s">
        <v>134</v>
      </c>
      <c r="E318" s="424">
        <f t="shared" si="118"/>
        <v>0</v>
      </c>
      <c r="F318" s="209">
        <f t="shared" si="119"/>
        <v>0</v>
      </c>
      <c r="H318" s="424">
        <f>IF(OR(H$300&lt;$C318,H$300&lt;$H$2),0,MIN($E318-SUM($G318:G318),$F318))</f>
        <v>0</v>
      </c>
      <c r="I318" s="424">
        <f>IF(OR(I$300&lt;$C318,I$300&lt;$H$2),0,MIN($E318-SUM($G318:H318),$F318))</f>
        <v>0</v>
      </c>
      <c r="J318" s="424">
        <f>IF(OR(J$300&lt;$C318,J$300&lt;$H$2),0,MIN($E318-SUM($G318:I318),$F318))</f>
        <v>0</v>
      </c>
      <c r="K318" s="424">
        <f>IF(OR(K$300&lt;$C318,K$300&lt;$H$2),0,MIN($E318-SUM($G318:J318),$F318))</f>
        <v>0</v>
      </c>
      <c r="L318" s="424">
        <f>IF(OR(L$300&lt;$C318,L$300&lt;$H$2),0,MIN($E318-SUM($G318:K318),$F318))</f>
        <v>0</v>
      </c>
      <c r="M318" s="424">
        <f>IF(OR(M$300&lt;$C318,M$300&lt;$H$2),0,MIN($E318-SUM($G318:L318),$F318))</f>
        <v>0</v>
      </c>
      <c r="N318" s="424">
        <f>IF(OR(N$300&lt;$C318,N$300&lt;$H$2),0,MIN($E318-SUM($G318:M318),$F318))</f>
        <v>0</v>
      </c>
      <c r="O318" s="424">
        <f>IF(OR(O$300&lt;$C318,O$300&lt;$H$2),0,MIN($E318-SUM($G318:N318),$F318))</f>
        <v>0</v>
      </c>
      <c r="P318" s="424">
        <f>IF(OR(P$300&lt;$C318,P$300&lt;$H$2),0,MIN($E318-SUM($G318:O318),$F318))</f>
        <v>0</v>
      </c>
      <c r="Q318" s="424">
        <f>IF(OR(Q$300&lt;$C318,Q$300&lt;$H$2),0,MIN($E318-SUM($G318:P318),$F318))</f>
        <v>0</v>
      </c>
      <c r="R318" s="424">
        <f>IF(OR(R$300&lt;$C318,R$300&lt;$H$2),0,MIN($E318-SUM($G318:Q318),$F318))</f>
        <v>0</v>
      </c>
      <c r="S318" s="424">
        <f>IF(OR(S$300&lt;$C318,S$300&lt;$H$2),0,MIN($E318-SUM($G318:R318),$F318))</f>
        <v>0</v>
      </c>
      <c r="T318" s="424">
        <f>IF(OR(T$300&lt;$C318,T$300&lt;$H$2),0,MIN($E318-SUM($G318:S318),$F318))</f>
        <v>0</v>
      </c>
      <c r="U318" s="424">
        <f>IF(OR(U$300&lt;$C318,U$300&lt;$H$2),0,MIN($E318-SUM($G318:T318),$F318))</f>
        <v>0</v>
      </c>
      <c r="V318" s="424">
        <f>IF(OR(V$300&lt;$C318,V$300&lt;$H$2),0,MIN($E318-SUM($G318:U318),$F318))</f>
        <v>0</v>
      </c>
      <c r="W318" s="424">
        <f>IF(OR(W$300&lt;$C318,W$300&lt;$H$2),0,MIN($E318-SUM($G318:V318),$F318))</f>
        <v>0</v>
      </c>
      <c r="X318" s="424">
        <f>IF(OR(X$300&lt;$C318,X$300&lt;$H$2),0,MIN($E318-SUM($G318:W318),$F318))</f>
        <v>0</v>
      </c>
      <c r="Y318" s="424">
        <f>IF(OR(Y$300&lt;$C318,Y$300&lt;$H$2),0,MIN($E318-SUM($G318:X318),$F318))</f>
        <v>0</v>
      </c>
      <c r="Z318" s="424">
        <f>IF(OR(Z$300&lt;$C318,Z$300&lt;$H$2),0,MIN($E318-SUM($G318:Y318),$F318))</f>
        <v>0</v>
      </c>
      <c r="AA318" s="424">
        <f>IF(OR(AA$300&lt;$C318,AA$300&lt;$H$2),0,MIN($E318-SUM($G318:Z318),$F318))</f>
        <v>0</v>
      </c>
      <c r="AB318" s="424">
        <f>IF(OR(AB$300&lt;$C318,AB$300&lt;$H$2),0,MIN($E318-SUM($G318:AA318),$F318))</f>
        <v>0</v>
      </c>
      <c r="AC318" s="424">
        <f>IF(OR(AC$300&lt;$C318,AC$300&lt;$H$2),0,MIN($E318-SUM($G318:AB318),$F318))</f>
        <v>0</v>
      </c>
      <c r="AD318" s="424">
        <f>IF(OR(AD$300&lt;$C318,AD$300&lt;$H$2),0,MIN($E318-SUM($G318:AC318),$F318))</f>
        <v>0</v>
      </c>
      <c r="AE318" s="424">
        <f>IF(OR(AE$300&lt;$C318,AE$300&lt;$H$2),0,MIN($E318-SUM($G318:AD318),$F318))</f>
        <v>0</v>
      </c>
      <c r="AF318" s="424">
        <f>IF(OR(AF$300&lt;$C318,AF$300&lt;$H$2),0,MIN($E318-SUM($G318:AE318),$F318))</f>
        <v>0</v>
      </c>
      <c r="AG318" s="424">
        <f>IF(OR(AG$300&lt;$C318,AG$300&lt;$H$2),0,MIN($E318-SUM($G318:AF318),$F318))</f>
        <v>0</v>
      </c>
      <c r="AH318" s="424">
        <f>IF(OR(AH$300&lt;$C318,AH$300&lt;$H$2),0,MIN($E318-SUM($G318:AG318),$F318))</f>
        <v>0</v>
      </c>
      <c r="AI318" s="424">
        <f>IF(OR(AI$300&lt;$C318,AI$300&lt;$H$2),0,MIN($E318-SUM($G318:AH318),$F318))</f>
        <v>0</v>
      </c>
      <c r="AJ318" s="424">
        <f>IF(OR(AJ$300&lt;$C318,AJ$300&lt;$H$2),0,MIN($E318-SUM($G318:AI318),$F318))</f>
        <v>0</v>
      </c>
      <c r="AK318" s="424">
        <f>IF(OR(AK$300&lt;$C318,AK$300&lt;$H$2),0,MIN($E318-SUM($G318:AJ318),$F318))</f>
        <v>0</v>
      </c>
    </row>
    <row r="319" spans="3:37">
      <c r="C319" s="201">
        <v>51879</v>
      </c>
      <c r="D319" s="94" t="s">
        <v>134</v>
      </c>
      <c r="E319" s="424">
        <f t="shared" si="118"/>
        <v>0</v>
      </c>
      <c r="F319" s="209">
        <f t="shared" si="119"/>
        <v>0</v>
      </c>
      <c r="H319" s="424">
        <f>IF(OR(H$300&lt;$C319,H$300&lt;$H$2),0,MIN($E319-SUM($G319:G319),$F319))</f>
        <v>0</v>
      </c>
      <c r="I319" s="424">
        <f>IF(OR(I$300&lt;$C319,I$300&lt;$H$2),0,MIN($E319-SUM($G319:H319),$F319))</f>
        <v>0</v>
      </c>
      <c r="J319" s="424">
        <f>IF(OR(J$300&lt;$C319,J$300&lt;$H$2),0,MIN($E319-SUM($G319:I319),$F319))</f>
        <v>0</v>
      </c>
      <c r="K319" s="424">
        <f>IF(OR(K$300&lt;$C319,K$300&lt;$H$2),0,MIN($E319-SUM($G319:J319),$F319))</f>
        <v>0</v>
      </c>
      <c r="L319" s="424">
        <f>IF(OR(L$300&lt;$C319,L$300&lt;$H$2),0,MIN($E319-SUM($G319:K319),$F319))</f>
        <v>0</v>
      </c>
      <c r="M319" s="424">
        <f>IF(OR(M$300&lt;$C319,M$300&lt;$H$2),0,MIN($E319-SUM($G319:L319),$F319))</f>
        <v>0</v>
      </c>
      <c r="N319" s="424">
        <f>IF(OR(N$300&lt;$C319,N$300&lt;$H$2),0,MIN($E319-SUM($G319:M319),$F319))</f>
        <v>0</v>
      </c>
      <c r="O319" s="424">
        <f>IF(OR(O$300&lt;$C319,O$300&lt;$H$2),0,MIN($E319-SUM($G319:N319),$F319))</f>
        <v>0</v>
      </c>
      <c r="P319" s="424">
        <f>IF(OR(P$300&lt;$C319,P$300&lt;$H$2),0,MIN($E319-SUM($G319:O319),$F319))</f>
        <v>0</v>
      </c>
      <c r="Q319" s="424">
        <f>IF(OR(Q$300&lt;$C319,Q$300&lt;$H$2),0,MIN($E319-SUM($G319:P319),$F319))</f>
        <v>0</v>
      </c>
      <c r="R319" s="424">
        <f>IF(OR(R$300&lt;$C319,R$300&lt;$H$2),0,MIN($E319-SUM($G319:Q319),$F319))</f>
        <v>0</v>
      </c>
      <c r="S319" s="424">
        <f>IF(OR(S$300&lt;$C319,S$300&lt;$H$2),0,MIN($E319-SUM($G319:R319),$F319))</f>
        <v>0</v>
      </c>
      <c r="T319" s="424">
        <f>IF(OR(T$300&lt;$C319,T$300&lt;$H$2),0,MIN($E319-SUM($G319:S319),$F319))</f>
        <v>0</v>
      </c>
      <c r="U319" s="424">
        <f>IF(OR(U$300&lt;$C319,U$300&lt;$H$2),0,MIN($E319-SUM($G319:T319),$F319))</f>
        <v>0</v>
      </c>
      <c r="V319" s="424">
        <f>IF(OR(V$300&lt;$C319,V$300&lt;$H$2),0,MIN($E319-SUM($G319:U319),$F319))</f>
        <v>0</v>
      </c>
      <c r="W319" s="424">
        <f>IF(OR(W$300&lt;$C319,W$300&lt;$H$2),0,MIN($E319-SUM($G319:V319),$F319))</f>
        <v>0</v>
      </c>
      <c r="X319" s="424">
        <f>IF(OR(X$300&lt;$C319,X$300&lt;$H$2),0,MIN($E319-SUM($G319:W319),$F319))</f>
        <v>0</v>
      </c>
      <c r="Y319" s="424">
        <f>IF(OR(Y$300&lt;$C319,Y$300&lt;$H$2),0,MIN($E319-SUM($G319:X319),$F319))</f>
        <v>0</v>
      </c>
      <c r="Z319" s="424">
        <f>IF(OR(Z$300&lt;$C319,Z$300&lt;$H$2),0,MIN($E319-SUM($G319:Y319),$F319))</f>
        <v>0</v>
      </c>
      <c r="AA319" s="424">
        <f>IF(OR(AA$300&lt;$C319,AA$300&lt;$H$2),0,MIN($E319-SUM($G319:Z319),$F319))</f>
        <v>0</v>
      </c>
      <c r="AB319" s="424">
        <f>IF(OR(AB$300&lt;$C319,AB$300&lt;$H$2),0,MIN($E319-SUM($G319:AA319),$F319))</f>
        <v>0</v>
      </c>
      <c r="AC319" s="424">
        <f>IF(OR(AC$300&lt;$C319,AC$300&lt;$H$2),0,MIN($E319-SUM($G319:AB319),$F319))</f>
        <v>0</v>
      </c>
      <c r="AD319" s="424">
        <f>IF(OR(AD$300&lt;$C319,AD$300&lt;$H$2),0,MIN($E319-SUM($G319:AC319),$F319))</f>
        <v>0</v>
      </c>
      <c r="AE319" s="424">
        <f>IF(OR(AE$300&lt;$C319,AE$300&lt;$H$2),0,MIN($E319-SUM($G319:AD319),$F319))</f>
        <v>0</v>
      </c>
      <c r="AF319" s="424">
        <f>IF(OR(AF$300&lt;$C319,AF$300&lt;$H$2),0,MIN($E319-SUM($G319:AE319),$F319))</f>
        <v>0</v>
      </c>
      <c r="AG319" s="424">
        <f>IF(OR(AG$300&lt;$C319,AG$300&lt;$H$2),0,MIN($E319-SUM($G319:AF319),$F319))</f>
        <v>0</v>
      </c>
      <c r="AH319" s="424">
        <f>IF(OR(AH$300&lt;$C319,AH$300&lt;$H$2),0,MIN($E319-SUM($G319:AG319),$F319))</f>
        <v>0</v>
      </c>
      <c r="AI319" s="424">
        <f>IF(OR(AI$300&lt;$C319,AI$300&lt;$H$2),0,MIN($E319-SUM($G319:AH319),$F319))</f>
        <v>0</v>
      </c>
      <c r="AJ319" s="424">
        <f>IF(OR(AJ$300&lt;$C319,AJ$300&lt;$H$2),0,MIN($E319-SUM($G319:AI319),$F319))</f>
        <v>0</v>
      </c>
      <c r="AK319" s="424">
        <f>IF(OR(AK$300&lt;$C319,AK$300&lt;$H$2),0,MIN($E319-SUM($G319:AJ319),$F319))</f>
        <v>0</v>
      </c>
    </row>
    <row r="320" spans="3:37">
      <c r="C320" s="201">
        <v>52245</v>
      </c>
      <c r="D320" s="94" t="s">
        <v>134</v>
      </c>
      <c r="E320" s="424">
        <f t="shared" si="118"/>
        <v>0</v>
      </c>
      <c r="F320" s="209">
        <f t="shared" si="119"/>
        <v>0</v>
      </c>
      <c r="H320" s="424">
        <f>IF(OR(H$300&lt;$C320,H$300&lt;$H$2),0,MIN($E320-SUM($G320:G320),$F320))</f>
        <v>0</v>
      </c>
      <c r="I320" s="424">
        <f>IF(OR(I$300&lt;$C320,I$300&lt;$H$2),0,MIN($E320-SUM($G320:H320),$F320))</f>
        <v>0</v>
      </c>
      <c r="J320" s="424">
        <f>IF(OR(J$300&lt;$C320,J$300&lt;$H$2),0,MIN($E320-SUM($G320:I320),$F320))</f>
        <v>0</v>
      </c>
      <c r="K320" s="424">
        <f>IF(OR(K$300&lt;$C320,K$300&lt;$H$2),0,MIN($E320-SUM($G320:J320),$F320))</f>
        <v>0</v>
      </c>
      <c r="L320" s="424">
        <f>IF(OR(L$300&lt;$C320,L$300&lt;$H$2),0,MIN($E320-SUM($G320:K320),$F320))</f>
        <v>0</v>
      </c>
      <c r="M320" s="424">
        <f>IF(OR(M$300&lt;$C320,M$300&lt;$H$2),0,MIN($E320-SUM($G320:L320),$F320))</f>
        <v>0</v>
      </c>
      <c r="N320" s="424">
        <f>IF(OR(N$300&lt;$C320,N$300&lt;$H$2),0,MIN($E320-SUM($G320:M320),$F320))</f>
        <v>0</v>
      </c>
      <c r="O320" s="424">
        <f>IF(OR(O$300&lt;$C320,O$300&lt;$H$2),0,MIN($E320-SUM($G320:N320),$F320))</f>
        <v>0</v>
      </c>
      <c r="P320" s="424">
        <f>IF(OR(P$300&lt;$C320,P$300&lt;$H$2),0,MIN($E320-SUM($G320:O320),$F320))</f>
        <v>0</v>
      </c>
      <c r="Q320" s="424">
        <f>IF(OR(Q$300&lt;$C320,Q$300&lt;$H$2),0,MIN($E320-SUM($G320:P320),$F320))</f>
        <v>0</v>
      </c>
      <c r="R320" s="424">
        <f>IF(OR(R$300&lt;$C320,R$300&lt;$H$2),0,MIN($E320-SUM($G320:Q320),$F320))</f>
        <v>0</v>
      </c>
      <c r="S320" s="424">
        <f>IF(OR(S$300&lt;$C320,S$300&lt;$H$2),0,MIN($E320-SUM($G320:R320),$F320))</f>
        <v>0</v>
      </c>
      <c r="T320" s="424">
        <f>IF(OR(T$300&lt;$C320,T$300&lt;$H$2),0,MIN($E320-SUM($G320:S320),$F320))</f>
        <v>0</v>
      </c>
      <c r="U320" s="424">
        <f>IF(OR(U$300&lt;$C320,U$300&lt;$H$2),0,MIN($E320-SUM($G320:T320),$F320))</f>
        <v>0</v>
      </c>
      <c r="V320" s="424">
        <f>IF(OR(V$300&lt;$C320,V$300&lt;$H$2),0,MIN($E320-SUM($G320:U320),$F320))</f>
        <v>0</v>
      </c>
      <c r="W320" s="424">
        <f>IF(OR(W$300&lt;$C320,W$300&lt;$H$2),0,MIN($E320-SUM($G320:V320),$F320))</f>
        <v>0</v>
      </c>
      <c r="X320" s="424">
        <f>IF(OR(X$300&lt;$C320,X$300&lt;$H$2),0,MIN($E320-SUM($G320:W320),$F320))</f>
        <v>0</v>
      </c>
      <c r="Y320" s="424">
        <f>IF(OR(Y$300&lt;$C320,Y$300&lt;$H$2),0,MIN($E320-SUM($G320:X320),$F320))</f>
        <v>0</v>
      </c>
      <c r="Z320" s="424">
        <f>IF(OR(Z$300&lt;$C320,Z$300&lt;$H$2),0,MIN($E320-SUM($G320:Y320),$F320))</f>
        <v>0</v>
      </c>
      <c r="AA320" s="424">
        <f>IF(OR(AA$300&lt;$C320,AA$300&lt;$H$2),0,MIN($E320-SUM($G320:Z320),$F320))</f>
        <v>0</v>
      </c>
      <c r="AB320" s="424">
        <f>IF(OR(AB$300&lt;$C320,AB$300&lt;$H$2),0,MIN($E320-SUM($G320:AA320),$F320))</f>
        <v>0</v>
      </c>
      <c r="AC320" s="424">
        <f>IF(OR(AC$300&lt;$C320,AC$300&lt;$H$2),0,MIN($E320-SUM($G320:AB320),$F320))</f>
        <v>0</v>
      </c>
      <c r="AD320" s="424">
        <f>IF(OR(AD$300&lt;$C320,AD$300&lt;$H$2),0,MIN($E320-SUM($G320:AC320),$F320))</f>
        <v>0</v>
      </c>
      <c r="AE320" s="424">
        <f>IF(OR(AE$300&lt;$C320,AE$300&lt;$H$2),0,MIN($E320-SUM($G320:AD320),$F320))</f>
        <v>0</v>
      </c>
      <c r="AF320" s="424">
        <f>IF(OR(AF$300&lt;$C320,AF$300&lt;$H$2),0,MIN($E320-SUM($G320:AE320),$F320))</f>
        <v>0</v>
      </c>
      <c r="AG320" s="424">
        <f>IF(OR(AG$300&lt;$C320,AG$300&lt;$H$2),0,MIN($E320-SUM($G320:AF320),$F320))</f>
        <v>0</v>
      </c>
      <c r="AH320" s="424">
        <f>IF(OR(AH$300&lt;$C320,AH$300&lt;$H$2),0,MIN($E320-SUM($G320:AG320),$F320))</f>
        <v>0</v>
      </c>
      <c r="AI320" s="424">
        <f>IF(OR(AI$300&lt;$C320,AI$300&lt;$H$2),0,MIN($E320-SUM($G320:AH320),$F320))</f>
        <v>0</v>
      </c>
      <c r="AJ320" s="424">
        <f>IF(OR(AJ$300&lt;$C320,AJ$300&lt;$H$2),0,MIN($E320-SUM($G320:AI320),$F320))</f>
        <v>0</v>
      </c>
      <c r="AK320" s="424">
        <f>IF(OR(AK$300&lt;$C320,AK$300&lt;$H$2),0,MIN($E320-SUM($G320:AJ320),$F320))</f>
        <v>0</v>
      </c>
    </row>
    <row r="321" spans="3:37">
      <c r="C321" s="201">
        <v>52611</v>
      </c>
      <c r="D321" s="94" t="s">
        <v>134</v>
      </c>
      <c r="E321" s="424">
        <f t="shared" si="118"/>
        <v>0</v>
      </c>
      <c r="F321" s="209">
        <f t="shared" si="119"/>
        <v>0</v>
      </c>
      <c r="H321" s="424">
        <f>IF(OR(H$300&lt;$C321,H$300&lt;$H$2),0,MIN($E321-SUM($G321:G321),$F321))</f>
        <v>0</v>
      </c>
      <c r="I321" s="424">
        <f>IF(OR(I$300&lt;$C321,I$300&lt;$H$2),0,MIN($E321-SUM($G321:H321),$F321))</f>
        <v>0</v>
      </c>
      <c r="J321" s="424">
        <f>IF(OR(J$300&lt;$C321,J$300&lt;$H$2),0,MIN($E321-SUM($G321:I321),$F321))</f>
        <v>0</v>
      </c>
      <c r="K321" s="424">
        <f>IF(OR(K$300&lt;$C321,K$300&lt;$H$2),0,MIN($E321-SUM($G321:J321),$F321))</f>
        <v>0</v>
      </c>
      <c r="L321" s="424">
        <f>IF(OR(L$300&lt;$C321,L$300&lt;$H$2),0,MIN($E321-SUM($G321:K321),$F321))</f>
        <v>0</v>
      </c>
      <c r="M321" s="424">
        <f>IF(OR(M$300&lt;$C321,M$300&lt;$H$2),0,MIN($E321-SUM($G321:L321),$F321))</f>
        <v>0</v>
      </c>
      <c r="N321" s="424">
        <f>IF(OR(N$300&lt;$C321,N$300&lt;$H$2),0,MIN($E321-SUM($G321:M321),$F321))</f>
        <v>0</v>
      </c>
      <c r="O321" s="424">
        <f>IF(OR(O$300&lt;$C321,O$300&lt;$H$2),0,MIN($E321-SUM($G321:N321),$F321))</f>
        <v>0</v>
      </c>
      <c r="P321" s="424">
        <f>IF(OR(P$300&lt;$C321,P$300&lt;$H$2),0,MIN($E321-SUM($G321:O321),$F321))</f>
        <v>0</v>
      </c>
      <c r="Q321" s="424">
        <f>IF(OR(Q$300&lt;$C321,Q$300&lt;$H$2),0,MIN($E321-SUM($G321:P321),$F321))</f>
        <v>0</v>
      </c>
      <c r="R321" s="424">
        <f>IF(OR(R$300&lt;$C321,R$300&lt;$H$2),0,MIN($E321-SUM($G321:Q321),$F321))</f>
        <v>0</v>
      </c>
      <c r="S321" s="424">
        <f>IF(OR(S$300&lt;$C321,S$300&lt;$H$2),0,MIN($E321-SUM($G321:R321),$F321))</f>
        <v>0</v>
      </c>
      <c r="T321" s="424">
        <f>IF(OR(T$300&lt;$C321,T$300&lt;$H$2),0,MIN($E321-SUM($G321:S321),$F321))</f>
        <v>0</v>
      </c>
      <c r="U321" s="424">
        <f>IF(OR(U$300&lt;$C321,U$300&lt;$H$2),0,MIN($E321-SUM($G321:T321),$F321))</f>
        <v>0</v>
      </c>
      <c r="V321" s="424">
        <f>IF(OR(V$300&lt;$C321,V$300&lt;$H$2),0,MIN($E321-SUM($G321:U321),$F321))</f>
        <v>0</v>
      </c>
      <c r="W321" s="424">
        <f>IF(OR(W$300&lt;$C321,W$300&lt;$H$2),0,MIN($E321-SUM($G321:V321),$F321))</f>
        <v>0</v>
      </c>
      <c r="X321" s="424">
        <f>IF(OR(X$300&lt;$C321,X$300&lt;$H$2),0,MIN($E321-SUM($G321:W321),$F321))</f>
        <v>0</v>
      </c>
      <c r="Y321" s="424">
        <f>IF(OR(Y$300&lt;$C321,Y$300&lt;$H$2),0,MIN($E321-SUM($G321:X321),$F321))</f>
        <v>0</v>
      </c>
      <c r="Z321" s="424">
        <f>IF(OR(Z$300&lt;$C321,Z$300&lt;$H$2),0,MIN($E321-SUM($G321:Y321),$F321))</f>
        <v>0</v>
      </c>
      <c r="AA321" s="424">
        <f>IF(OR(AA$300&lt;$C321,AA$300&lt;$H$2),0,MIN($E321-SUM($G321:Z321),$F321))</f>
        <v>0</v>
      </c>
      <c r="AB321" s="424">
        <f>IF(OR(AB$300&lt;$C321,AB$300&lt;$H$2),0,MIN($E321-SUM($G321:AA321),$F321))</f>
        <v>0</v>
      </c>
      <c r="AC321" s="424">
        <f>IF(OR(AC$300&lt;$C321,AC$300&lt;$H$2),0,MIN($E321-SUM($G321:AB321),$F321))</f>
        <v>0</v>
      </c>
      <c r="AD321" s="424">
        <f>IF(OR(AD$300&lt;$C321,AD$300&lt;$H$2),0,MIN($E321-SUM($G321:AC321),$F321))</f>
        <v>0</v>
      </c>
      <c r="AE321" s="424">
        <f>IF(OR(AE$300&lt;$C321,AE$300&lt;$H$2),0,MIN($E321-SUM($G321:AD321),$F321))</f>
        <v>0</v>
      </c>
      <c r="AF321" s="424">
        <f>IF(OR(AF$300&lt;$C321,AF$300&lt;$H$2),0,MIN($E321-SUM($G321:AE321),$F321))</f>
        <v>0</v>
      </c>
      <c r="AG321" s="424">
        <f>IF(OR(AG$300&lt;$C321,AG$300&lt;$H$2),0,MIN($E321-SUM($G321:AF321),$F321))</f>
        <v>0</v>
      </c>
      <c r="AH321" s="424">
        <f>IF(OR(AH$300&lt;$C321,AH$300&lt;$H$2),0,MIN($E321-SUM($G321:AG321),$F321))</f>
        <v>0</v>
      </c>
      <c r="AI321" s="424">
        <f>IF(OR(AI$300&lt;$C321,AI$300&lt;$H$2),0,MIN($E321-SUM($G321:AH321),$F321))</f>
        <v>0</v>
      </c>
      <c r="AJ321" s="424">
        <f>IF(OR(AJ$300&lt;$C321,AJ$300&lt;$H$2),0,MIN($E321-SUM($G321:AI321),$F321))</f>
        <v>0</v>
      </c>
      <c r="AK321" s="424">
        <f>IF(OR(AK$300&lt;$C321,AK$300&lt;$H$2),0,MIN($E321-SUM($G321:AJ321),$F321))</f>
        <v>0</v>
      </c>
    </row>
    <row r="322" spans="3:37">
      <c r="C322" s="201">
        <v>52977</v>
      </c>
      <c r="D322" s="94" t="s">
        <v>134</v>
      </c>
      <c r="E322" s="424">
        <f t="shared" si="118"/>
        <v>0</v>
      </c>
      <c r="F322" s="209">
        <f t="shared" si="119"/>
        <v>0</v>
      </c>
      <c r="H322" s="424">
        <f>IF(OR(H$300&lt;$C322,H$300&lt;$H$2),0,MIN($E322-SUM($G322:G322),$F322))</f>
        <v>0</v>
      </c>
      <c r="I322" s="424">
        <f>IF(OR(I$300&lt;$C322,I$300&lt;$H$2),0,MIN($E322-SUM($G322:H322),$F322))</f>
        <v>0</v>
      </c>
      <c r="J322" s="424">
        <f>IF(OR(J$300&lt;$C322,J$300&lt;$H$2),0,MIN($E322-SUM($G322:I322),$F322))</f>
        <v>0</v>
      </c>
      <c r="K322" s="424">
        <f>IF(OR(K$300&lt;$C322,K$300&lt;$H$2),0,MIN($E322-SUM($G322:J322),$F322))</f>
        <v>0</v>
      </c>
      <c r="L322" s="424">
        <f>IF(OR(L$300&lt;$C322,L$300&lt;$H$2),0,MIN($E322-SUM($G322:K322),$F322))</f>
        <v>0</v>
      </c>
      <c r="M322" s="424">
        <f>IF(OR(M$300&lt;$C322,M$300&lt;$H$2),0,MIN($E322-SUM($G322:L322),$F322))</f>
        <v>0</v>
      </c>
      <c r="N322" s="424">
        <f>IF(OR(N$300&lt;$C322,N$300&lt;$H$2),0,MIN($E322-SUM($G322:M322),$F322))</f>
        <v>0</v>
      </c>
      <c r="O322" s="424">
        <f>IF(OR(O$300&lt;$C322,O$300&lt;$H$2),0,MIN($E322-SUM($G322:N322),$F322))</f>
        <v>0</v>
      </c>
      <c r="P322" s="424">
        <f>IF(OR(P$300&lt;$C322,P$300&lt;$H$2),0,MIN($E322-SUM($G322:O322),$F322))</f>
        <v>0</v>
      </c>
      <c r="Q322" s="424">
        <f>IF(OR(Q$300&lt;$C322,Q$300&lt;$H$2),0,MIN($E322-SUM($G322:P322),$F322))</f>
        <v>0</v>
      </c>
      <c r="R322" s="424">
        <f>IF(OR(R$300&lt;$C322,R$300&lt;$H$2),0,MIN($E322-SUM($G322:Q322),$F322))</f>
        <v>0</v>
      </c>
      <c r="S322" s="424">
        <f>IF(OR(S$300&lt;$C322,S$300&lt;$H$2),0,MIN($E322-SUM($G322:R322),$F322))</f>
        <v>0</v>
      </c>
      <c r="T322" s="424">
        <f>IF(OR(T$300&lt;$C322,T$300&lt;$H$2),0,MIN($E322-SUM($G322:S322),$F322))</f>
        <v>0</v>
      </c>
      <c r="U322" s="424">
        <f>IF(OR(U$300&lt;$C322,U$300&lt;$H$2),0,MIN($E322-SUM($G322:T322),$F322))</f>
        <v>0</v>
      </c>
      <c r="V322" s="424">
        <f>IF(OR(V$300&lt;$C322,V$300&lt;$H$2),0,MIN($E322-SUM($G322:U322),$F322))</f>
        <v>0</v>
      </c>
      <c r="W322" s="424">
        <f>IF(OR(W$300&lt;$C322,W$300&lt;$H$2),0,MIN($E322-SUM($G322:V322),$F322))</f>
        <v>0</v>
      </c>
      <c r="X322" s="424">
        <f>IF(OR(X$300&lt;$C322,X$300&lt;$H$2),0,MIN($E322-SUM($G322:W322),$F322))</f>
        <v>0</v>
      </c>
      <c r="Y322" s="424">
        <f>IF(OR(Y$300&lt;$C322,Y$300&lt;$H$2),0,MIN($E322-SUM($G322:X322),$F322))</f>
        <v>0</v>
      </c>
      <c r="Z322" s="424">
        <f>IF(OR(Z$300&lt;$C322,Z$300&lt;$H$2),0,MIN($E322-SUM($G322:Y322),$F322))</f>
        <v>0</v>
      </c>
      <c r="AA322" s="424">
        <f>IF(OR(AA$300&lt;$C322,AA$300&lt;$H$2),0,MIN($E322-SUM($G322:Z322),$F322))</f>
        <v>0</v>
      </c>
      <c r="AB322" s="424">
        <f>IF(OR(AB$300&lt;$C322,AB$300&lt;$H$2),0,MIN($E322-SUM($G322:AA322),$F322))</f>
        <v>0</v>
      </c>
      <c r="AC322" s="424">
        <f>IF(OR(AC$300&lt;$C322,AC$300&lt;$H$2),0,MIN($E322-SUM($G322:AB322),$F322))</f>
        <v>0</v>
      </c>
      <c r="AD322" s="424">
        <f>IF(OR(AD$300&lt;$C322,AD$300&lt;$H$2),0,MIN($E322-SUM($G322:AC322),$F322))</f>
        <v>0</v>
      </c>
      <c r="AE322" s="424">
        <f>IF(OR(AE$300&lt;$C322,AE$300&lt;$H$2),0,MIN($E322-SUM($G322:AD322),$F322))</f>
        <v>0</v>
      </c>
      <c r="AF322" s="424">
        <f>IF(OR(AF$300&lt;$C322,AF$300&lt;$H$2),0,MIN($E322-SUM($G322:AE322),$F322))</f>
        <v>0</v>
      </c>
      <c r="AG322" s="424">
        <f>IF(OR(AG$300&lt;$C322,AG$300&lt;$H$2),0,MIN($E322-SUM($G322:AF322),$F322))</f>
        <v>0</v>
      </c>
      <c r="AH322" s="424">
        <f>IF(OR(AH$300&lt;$C322,AH$300&lt;$H$2),0,MIN($E322-SUM($G322:AG322),$F322))</f>
        <v>0</v>
      </c>
      <c r="AI322" s="424">
        <f>IF(OR(AI$300&lt;$C322,AI$300&lt;$H$2),0,MIN($E322-SUM($G322:AH322),$F322))</f>
        <v>0</v>
      </c>
      <c r="AJ322" s="424">
        <f>IF(OR(AJ$300&lt;$C322,AJ$300&lt;$H$2),0,MIN($E322-SUM($G322:AI322),$F322))</f>
        <v>0</v>
      </c>
      <c r="AK322" s="424">
        <f>IF(OR(AK$300&lt;$C322,AK$300&lt;$H$2),0,MIN($E322-SUM($G322:AJ322),$F322))</f>
        <v>0</v>
      </c>
    </row>
    <row r="323" spans="3:37">
      <c r="C323" s="201">
        <v>53343</v>
      </c>
      <c r="D323" s="94" t="s">
        <v>134</v>
      </c>
      <c r="E323" s="424">
        <f t="shared" si="118"/>
        <v>0</v>
      </c>
      <c r="F323" s="209">
        <f t="shared" si="119"/>
        <v>0</v>
      </c>
      <c r="H323" s="424">
        <f>IF(OR(H$300&lt;$C323,H$300&lt;$H$2),0,MIN($E323-SUM($G323:G323),$F323))</f>
        <v>0</v>
      </c>
      <c r="I323" s="424">
        <f>IF(OR(I$300&lt;$C323,I$300&lt;$H$2),0,MIN($E323-SUM($G323:H323),$F323))</f>
        <v>0</v>
      </c>
      <c r="J323" s="424">
        <f>IF(OR(J$300&lt;$C323,J$300&lt;$H$2),0,MIN($E323-SUM($G323:I323),$F323))</f>
        <v>0</v>
      </c>
      <c r="K323" s="424">
        <f>IF(OR(K$300&lt;$C323,K$300&lt;$H$2),0,MIN($E323-SUM($G323:J323),$F323))</f>
        <v>0</v>
      </c>
      <c r="L323" s="424">
        <f>IF(OR(L$300&lt;$C323,L$300&lt;$H$2),0,MIN($E323-SUM($G323:K323),$F323))</f>
        <v>0</v>
      </c>
      <c r="M323" s="424">
        <f>IF(OR(M$300&lt;$C323,M$300&lt;$H$2),0,MIN($E323-SUM($G323:L323),$F323))</f>
        <v>0</v>
      </c>
      <c r="N323" s="424">
        <f>IF(OR(N$300&lt;$C323,N$300&lt;$H$2),0,MIN($E323-SUM($G323:M323),$F323))</f>
        <v>0</v>
      </c>
      <c r="O323" s="424">
        <f>IF(OR(O$300&lt;$C323,O$300&lt;$H$2),0,MIN($E323-SUM($G323:N323),$F323))</f>
        <v>0</v>
      </c>
      <c r="P323" s="424">
        <f>IF(OR(P$300&lt;$C323,P$300&lt;$H$2),0,MIN($E323-SUM($G323:O323),$F323))</f>
        <v>0</v>
      </c>
      <c r="Q323" s="424">
        <f>IF(OR(Q$300&lt;$C323,Q$300&lt;$H$2),0,MIN($E323-SUM($G323:P323),$F323))</f>
        <v>0</v>
      </c>
      <c r="R323" s="424">
        <f>IF(OR(R$300&lt;$C323,R$300&lt;$H$2),0,MIN($E323-SUM($G323:Q323),$F323))</f>
        <v>0</v>
      </c>
      <c r="S323" s="424">
        <f>IF(OR(S$300&lt;$C323,S$300&lt;$H$2),0,MIN($E323-SUM($G323:R323),$F323))</f>
        <v>0</v>
      </c>
      <c r="T323" s="424">
        <f>IF(OR(T$300&lt;$C323,T$300&lt;$H$2),0,MIN($E323-SUM($G323:S323),$F323))</f>
        <v>0</v>
      </c>
      <c r="U323" s="424">
        <f>IF(OR(U$300&lt;$C323,U$300&lt;$H$2),0,MIN($E323-SUM($G323:T323),$F323))</f>
        <v>0</v>
      </c>
      <c r="V323" s="424">
        <f>IF(OR(V$300&lt;$C323,V$300&lt;$H$2),0,MIN($E323-SUM($G323:U323),$F323))</f>
        <v>0</v>
      </c>
      <c r="W323" s="424">
        <f>IF(OR(W$300&lt;$C323,W$300&lt;$H$2),0,MIN($E323-SUM($G323:V323),$F323))</f>
        <v>0</v>
      </c>
      <c r="X323" s="424">
        <f>IF(OR(X$300&lt;$C323,X$300&lt;$H$2),0,MIN($E323-SUM($G323:W323),$F323))</f>
        <v>0</v>
      </c>
      <c r="Y323" s="424">
        <f>IF(OR(Y$300&lt;$C323,Y$300&lt;$H$2),0,MIN($E323-SUM($G323:X323),$F323))</f>
        <v>0</v>
      </c>
      <c r="Z323" s="424">
        <f>IF(OR(Z$300&lt;$C323,Z$300&lt;$H$2),0,MIN($E323-SUM($G323:Y323),$F323))</f>
        <v>0</v>
      </c>
      <c r="AA323" s="424">
        <f>IF(OR(AA$300&lt;$C323,AA$300&lt;$H$2),0,MIN($E323-SUM($G323:Z323),$F323))</f>
        <v>0</v>
      </c>
      <c r="AB323" s="424">
        <f>IF(OR(AB$300&lt;$C323,AB$300&lt;$H$2),0,MIN($E323-SUM($G323:AA323),$F323))</f>
        <v>0</v>
      </c>
      <c r="AC323" s="424">
        <f>IF(OR(AC$300&lt;$C323,AC$300&lt;$H$2),0,MIN($E323-SUM($G323:AB323),$F323))</f>
        <v>0</v>
      </c>
      <c r="AD323" s="424">
        <f>IF(OR(AD$300&lt;$C323,AD$300&lt;$H$2),0,MIN($E323-SUM($G323:AC323),$F323))</f>
        <v>0</v>
      </c>
      <c r="AE323" s="424">
        <f>IF(OR(AE$300&lt;$C323,AE$300&lt;$H$2),0,MIN($E323-SUM($G323:AD323),$F323))</f>
        <v>0</v>
      </c>
      <c r="AF323" s="424">
        <f>IF(OR(AF$300&lt;$C323,AF$300&lt;$H$2),0,MIN($E323-SUM($G323:AE323),$F323))</f>
        <v>0</v>
      </c>
      <c r="AG323" s="424">
        <f>IF(OR(AG$300&lt;$C323,AG$300&lt;$H$2),0,MIN($E323-SUM($G323:AF323),$F323))</f>
        <v>0</v>
      </c>
      <c r="AH323" s="424">
        <f>IF(OR(AH$300&lt;$C323,AH$300&lt;$H$2),0,MIN($E323-SUM($G323:AG323),$F323))</f>
        <v>0</v>
      </c>
      <c r="AI323" s="424">
        <f>IF(OR(AI$300&lt;$C323,AI$300&lt;$H$2),0,MIN($E323-SUM($G323:AH323),$F323))</f>
        <v>0</v>
      </c>
      <c r="AJ323" s="424">
        <f>IF(OR(AJ$300&lt;$C323,AJ$300&lt;$H$2),0,MIN($E323-SUM($G323:AI323),$F323))</f>
        <v>0</v>
      </c>
      <c r="AK323" s="424">
        <f>IF(OR(AK$300&lt;$C323,AK$300&lt;$H$2),0,MIN($E323-SUM($G323:AJ323),$F323))</f>
        <v>0</v>
      </c>
    </row>
    <row r="324" spans="3:37">
      <c r="C324" s="201">
        <v>53709</v>
      </c>
      <c r="D324" s="94" t="s">
        <v>134</v>
      </c>
      <c r="E324" s="424">
        <f t="shared" si="118"/>
        <v>0</v>
      </c>
      <c r="F324" s="209">
        <f t="shared" si="119"/>
        <v>0</v>
      </c>
      <c r="H324" s="424">
        <f>IF(OR(H$300&lt;$C324,H$300&lt;$H$2),0,MIN($E324-SUM($G324:G324),$F324))</f>
        <v>0</v>
      </c>
      <c r="I324" s="424">
        <f>IF(OR(I$300&lt;$C324,I$300&lt;$H$2),0,MIN($E324-SUM($G324:H324),$F324))</f>
        <v>0</v>
      </c>
      <c r="J324" s="424">
        <f>IF(OR(J$300&lt;$C324,J$300&lt;$H$2),0,MIN($E324-SUM($G324:I324),$F324))</f>
        <v>0</v>
      </c>
      <c r="K324" s="424">
        <f>IF(OR(K$300&lt;$C324,K$300&lt;$H$2),0,MIN($E324-SUM($G324:J324),$F324))</f>
        <v>0</v>
      </c>
      <c r="L324" s="424">
        <f>IF(OR(L$300&lt;$C324,L$300&lt;$H$2),0,MIN($E324-SUM($G324:K324),$F324))</f>
        <v>0</v>
      </c>
      <c r="M324" s="424">
        <f>IF(OR(M$300&lt;$C324,M$300&lt;$H$2),0,MIN($E324-SUM($G324:L324),$F324))</f>
        <v>0</v>
      </c>
      <c r="N324" s="424">
        <f>IF(OR(N$300&lt;$C324,N$300&lt;$H$2),0,MIN($E324-SUM($G324:M324),$F324))</f>
        <v>0</v>
      </c>
      <c r="O324" s="424">
        <f>IF(OR(O$300&lt;$C324,O$300&lt;$H$2),0,MIN($E324-SUM($G324:N324),$F324))</f>
        <v>0</v>
      </c>
      <c r="P324" s="424">
        <f>IF(OR(P$300&lt;$C324,P$300&lt;$H$2),0,MIN($E324-SUM($G324:O324),$F324))</f>
        <v>0</v>
      </c>
      <c r="Q324" s="424">
        <f>IF(OR(Q$300&lt;$C324,Q$300&lt;$H$2),0,MIN($E324-SUM($G324:P324),$F324))</f>
        <v>0</v>
      </c>
      <c r="R324" s="424">
        <f>IF(OR(R$300&lt;$C324,R$300&lt;$H$2),0,MIN($E324-SUM($G324:Q324),$F324))</f>
        <v>0</v>
      </c>
      <c r="S324" s="424">
        <f>IF(OR(S$300&lt;$C324,S$300&lt;$H$2),0,MIN($E324-SUM($G324:R324),$F324))</f>
        <v>0</v>
      </c>
      <c r="T324" s="424">
        <f>IF(OR(T$300&lt;$C324,T$300&lt;$H$2),0,MIN($E324-SUM($G324:S324),$F324))</f>
        <v>0</v>
      </c>
      <c r="U324" s="424">
        <f>IF(OR(U$300&lt;$C324,U$300&lt;$H$2),0,MIN($E324-SUM($G324:T324),$F324))</f>
        <v>0</v>
      </c>
      <c r="V324" s="424">
        <f>IF(OR(V$300&lt;$C324,V$300&lt;$H$2),0,MIN($E324-SUM($G324:U324),$F324))</f>
        <v>0</v>
      </c>
      <c r="W324" s="424">
        <f>IF(OR(W$300&lt;$C324,W$300&lt;$H$2),0,MIN($E324-SUM($G324:V324),$F324))</f>
        <v>0</v>
      </c>
      <c r="X324" s="424">
        <f>IF(OR(X$300&lt;$C324,X$300&lt;$H$2),0,MIN($E324-SUM($G324:W324),$F324))</f>
        <v>0</v>
      </c>
      <c r="Y324" s="424">
        <f>IF(OR(Y$300&lt;$C324,Y$300&lt;$H$2),0,MIN($E324-SUM($G324:X324),$F324))</f>
        <v>0</v>
      </c>
      <c r="Z324" s="424">
        <f>IF(OR(Z$300&lt;$C324,Z$300&lt;$H$2),0,MIN($E324-SUM($G324:Y324),$F324))</f>
        <v>0</v>
      </c>
      <c r="AA324" s="424">
        <f>IF(OR(AA$300&lt;$C324,AA$300&lt;$H$2),0,MIN($E324-SUM($G324:Z324),$F324))</f>
        <v>0</v>
      </c>
      <c r="AB324" s="424">
        <f>IF(OR(AB$300&lt;$C324,AB$300&lt;$H$2),0,MIN($E324-SUM($G324:AA324),$F324))</f>
        <v>0</v>
      </c>
      <c r="AC324" s="424">
        <f>IF(OR(AC$300&lt;$C324,AC$300&lt;$H$2),0,MIN($E324-SUM($G324:AB324),$F324))</f>
        <v>0</v>
      </c>
      <c r="AD324" s="424">
        <f>IF(OR(AD$300&lt;$C324,AD$300&lt;$H$2),0,MIN($E324-SUM($G324:AC324),$F324))</f>
        <v>0</v>
      </c>
      <c r="AE324" s="424">
        <f>IF(OR(AE$300&lt;$C324,AE$300&lt;$H$2),0,MIN($E324-SUM($G324:AD324),$F324))</f>
        <v>0</v>
      </c>
      <c r="AF324" s="424">
        <f>IF(OR(AF$300&lt;$C324,AF$300&lt;$H$2),0,MIN($E324-SUM($G324:AE324),$F324))</f>
        <v>0</v>
      </c>
      <c r="AG324" s="424">
        <f>IF(OR(AG$300&lt;$C324,AG$300&lt;$H$2),0,MIN($E324-SUM($G324:AF324),$F324))</f>
        <v>0</v>
      </c>
      <c r="AH324" s="424">
        <f>IF(OR(AH$300&lt;$C324,AH$300&lt;$H$2),0,MIN($E324-SUM($G324:AG324),$F324))</f>
        <v>0</v>
      </c>
      <c r="AI324" s="424">
        <f>IF(OR(AI$300&lt;$C324,AI$300&lt;$H$2),0,MIN($E324-SUM($G324:AH324),$F324))</f>
        <v>0</v>
      </c>
      <c r="AJ324" s="424">
        <f>IF(OR(AJ$300&lt;$C324,AJ$300&lt;$H$2),0,MIN($E324-SUM($G324:AI324),$F324))</f>
        <v>0</v>
      </c>
      <c r="AK324" s="424">
        <f>IF(OR(AK$300&lt;$C324,AK$300&lt;$H$2),0,MIN($E324-SUM($G324:AJ324),$F324))</f>
        <v>0</v>
      </c>
    </row>
    <row r="325" spans="3:37">
      <c r="C325" s="201">
        <v>54075</v>
      </c>
      <c r="D325" s="94" t="s">
        <v>134</v>
      </c>
      <c r="E325" s="424">
        <f t="shared" si="118"/>
        <v>0</v>
      </c>
      <c r="F325" s="209">
        <f t="shared" si="119"/>
        <v>0</v>
      </c>
      <c r="H325" s="424">
        <f>IF(OR(H$300&lt;$C325,H$300&lt;$H$2),0,MIN($E325-SUM($G325:G325),$F325))</f>
        <v>0</v>
      </c>
      <c r="I325" s="424">
        <f>IF(OR(I$300&lt;$C325,I$300&lt;$H$2),0,MIN($E325-SUM($G325:H325),$F325))</f>
        <v>0</v>
      </c>
      <c r="J325" s="424">
        <f>IF(OR(J$300&lt;$C325,J$300&lt;$H$2),0,MIN($E325-SUM($G325:I325),$F325))</f>
        <v>0</v>
      </c>
      <c r="K325" s="424">
        <f>IF(OR(K$300&lt;$C325,K$300&lt;$H$2),0,MIN($E325-SUM($G325:J325),$F325))</f>
        <v>0</v>
      </c>
      <c r="L325" s="424">
        <f>IF(OR(L$300&lt;$C325,L$300&lt;$H$2),0,MIN($E325-SUM($G325:K325),$F325))</f>
        <v>0</v>
      </c>
      <c r="M325" s="424">
        <f>IF(OR(M$300&lt;$C325,M$300&lt;$H$2),0,MIN($E325-SUM($G325:L325),$F325))</f>
        <v>0</v>
      </c>
      <c r="N325" s="424">
        <f>IF(OR(N$300&lt;$C325,N$300&lt;$H$2),0,MIN($E325-SUM($G325:M325),$F325))</f>
        <v>0</v>
      </c>
      <c r="O325" s="424">
        <f>IF(OR(O$300&lt;$C325,O$300&lt;$H$2),0,MIN($E325-SUM($G325:N325),$F325))</f>
        <v>0</v>
      </c>
      <c r="P325" s="424">
        <f>IF(OR(P$300&lt;$C325,P$300&lt;$H$2),0,MIN($E325-SUM($G325:O325),$F325))</f>
        <v>0</v>
      </c>
      <c r="Q325" s="424">
        <f>IF(OR(Q$300&lt;$C325,Q$300&lt;$H$2),0,MIN($E325-SUM($G325:P325),$F325))</f>
        <v>0</v>
      </c>
      <c r="R325" s="424">
        <f>IF(OR(R$300&lt;$C325,R$300&lt;$H$2),0,MIN($E325-SUM($G325:Q325),$F325))</f>
        <v>0</v>
      </c>
      <c r="S325" s="424">
        <f>IF(OR(S$300&lt;$C325,S$300&lt;$H$2),0,MIN($E325-SUM($G325:R325),$F325))</f>
        <v>0</v>
      </c>
      <c r="T325" s="424">
        <f>IF(OR(T$300&lt;$C325,T$300&lt;$H$2),0,MIN($E325-SUM($G325:S325),$F325))</f>
        <v>0</v>
      </c>
      <c r="U325" s="424">
        <f>IF(OR(U$300&lt;$C325,U$300&lt;$H$2),0,MIN($E325-SUM($G325:T325),$F325))</f>
        <v>0</v>
      </c>
      <c r="V325" s="424">
        <f>IF(OR(V$300&lt;$C325,V$300&lt;$H$2),0,MIN($E325-SUM($G325:U325),$F325))</f>
        <v>0</v>
      </c>
      <c r="W325" s="424">
        <f>IF(OR(W$300&lt;$C325,W$300&lt;$H$2),0,MIN($E325-SUM($G325:V325),$F325))</f>
        <v>0</v>
      </c>
      <c r="X325" s="424">
        <f>IF(OR(X$300&lt;$C325,X$300&lt;$H$2),0,MIN($E325-SUM($G325:W325),$F325))</f>
        <v>0</v>
      </c>
      <c r="Y325" s="424">
        <f>IF(OR(Y$300&lt;$C325,Y$300&lt;$H$2),0,MIN($E325-SUM($G325:X325),$F325))</f>
        <v>0</v>
      </c>
      <c r="Z325" s="424">
        <f>IF(OR(Z$300&lt;$C325,Z$300&lt;$H$2),0,MIN($E325-SUM($G325:Y325),$F325))</f>
        <v>0</v>
      </c>
      <c r="AA325" s="424">
        <f>IF(OR(AA$300&lt;$C325,AA$300&lt;$H$2),0,MIN($E325-SUM($G325:Z325),$F325))</f>
        <v>0</v>
      </c>
      <c r="AB325" s="424">
        <f>IF(OR(AB$300&lt;$C325,AB$300&lt;$H$2),0,MIN($E325-SUM($G325:AA325),$F325))</f>
        <v>0</v>
      </c>
      <c r="AC325" s="424">
        <f>IF(OR(AC$300&lt;$C325,AC$300&lt;$H$2),0,MIN($E325-SUM($G325:AB325),$F325))</f>
        <v>0</v>
      </c>
      <c r="AD325" s="424">
        <f>IF(OR(AD$300&lt;$C325,AD$300&lt;$H$2),0,MIN($E325-SUM($G325:AC325),$F325))</f>
        <v>0</v>
      </c>
      <c r="AE325" s="424">
        <f>IF(OR(AE$300&lt;$C325,AE$300&lt;$H$2),0,MIN($E325-SUM($G325:AD325),$F325))</f>
        <v>0</v>
      </c>
      <c r="AF325" s="424">
        <f>IF(OR(AF$300&lt;$C325,AF$300&lt;$H$2),0,MIN($E325-SUM($G325:AE325),$F325))</f>
        <v>0</v>
      </c>
      <c r="AG325" s="424">
        <f>IF(OR(AG$300&lt;$C325,AG$300&lt;$H$2),0,MIN($E325-SUM($G325:AF325),$F325))</f>
        <v>0</v>
      </c>
      <c r="AH325" s="424">
        <f>IF(OR(AH$300&lt;$C325,AH$300&lt;$H$2),0,MIN($E325-SUM($G325:AG325),$F325))</f>
        <v>0</v>
      </c>
      <c r="AI325" s="424">
        <f>IF(OR(AI$300&lt;$C325,AI$300&lt;$H$2),0,MIN($E325-SUM($G325:AH325),$F325))</f>
        <v>0</v>
      </c>
      <c r="AJ325" s="424">
        <f>IF(OR(AJ$300&lt;$C325,AJ$300&lt;$H$2),0,MIN($E325-SUM($G325:AI325),$F325))</f>
        <v>0</v>
      </c>
      <c r="AK325" s="424">
        <f>IF(OR(AK$300&lt;$C325,AK$300&lt;$H$2),0,MIN($E325-SUM($G325:AJ325),$F325))</f>
        <v>0</v>
      </c>
    </row>
    <row r="326" spans="3:37">
      <c r="C326" s="201">
        <v>0</v>
      </c>
      <c r="D326" s="94" t="s">
        <v>134</v>
      </c>
      <c r="E326" s="424">
        <f t="shared" si="118"/>
        <v>0</v>
      </c>
      <c r="F326" s="209">
        <f t="shared" si="119"/>
        <v>0</v>
      </c>
      <c r="H326" s="424">
        <f>IF(OR(H$300&lt;$C326,H$300&lt;$H$2),0,MIN($E326-SUM($G326:G326),$F326))</f>
        <v>0</v>
      </c>
      <c r="I326" s="424">
        <f>IF(OR(I$300&lt;$C326,I$300&lt;$H$2),0,MIN($E326-SUM($G326:H326),$F326))</f>
        <v>0</v>
      </c>
      <c r="J326" s="424">
        <f>IF(OR(J$300&lt;$C326,J$300&lt;$H$2),0,MIN($E326-SUM($G326:I326),$F326))</f>
        <v>0</v>
      </c>
      <c r="K326" s="424">
        <f>IF(OR(K$300&lt;$C326,K$300&lt;$H$2),0,MIN($E326-SUM($G326:J326),$F326))</f>
        <v>0</v>
      </c>
      <c r="L326" s="424">
        <f>IF(OR(L$300&lt;$C326,L$300&lt;$H$2),0,MIN($E326-SUM($G326:K326),$F326))</f>
        <v>0</v>
      </c>
      <c r="M326" s="424">
        <f>IF(OR(M$300&lt;$C326,M$300&lt;$H$2),0,MIN($E326-SUM($G326:L326),$F326))</f>
        <v>0</v>
      </c>
      <c r="N326" s="424">
        <f>IF(OR(N$300&lt;$C326,N$300&lt;$H$2),0,MIN($E326-SUM($G326:M326),$F326))</f>
        <v>0</v>
      </c>
      <c r="O326" s="424">
        <f>IF(OR(O$300&lt;$C326,O$300&lt;$H$2),0,MIN($E326-SUM($G326:N326),$F326))</f>
        <v>0</v>
      </c>
      <c r="P326" s="424">
        <f>IF(OR(P$300&lt;$C326,P$300&lt;$H$2),0,MIN($E326-SUM($G326:O326),$F326))</f>
        <v>0</v>
      </c>
      <c r="Q326" s="424">
        <f>IF(OR(Q$300&lt;$C326,Q$300&lt;$H$2),0,MIN($E326-SUM($G326:P326),$F326))</f>
        <v>0</v>
      </c>
      <c r="R326" s="424">
        <f>IF(OR(R$300&lt;$C326,R$300&lt;$H$2),0,MIN($E326-SUM($G326:Q326),$F326))</f>
        <v>0</v>
      </c>
      <c r="S326" s="424">
        <f>IF(OR(S$300&lt;$C326,S$300&lt;$H$2),0,MIN($E326-SUM($G326:R326),$F326))</f>
        <v>0</v>
      </c>
      <c r="T326" s="424">
        <f>IF(OR(T$300&lt;$C326,T$300&lt;$H$2),0,MIN($E326-SUM($G326:S326),$F326))</f>
        <v>0</v>
      </c>
      <c r="U326" s="424">
        <f>IF(OR(U$300&lt;$C326,U$300&lt;$H$2),0,MIN($E326-SUM($G326:T326),$F326))</f>
        <v>0</v>
      </c>
      <c r="V326" s="424">
        <f>IF(OR(V$300&lt;$C326,V$300&lt;$H$2),0,MIN($E326-SUM($G326:U326),$F326))</f>
        <v>0</v>
      </c>
      <c r="W326" s="424">
        <f>IF(OR(W$300&lt;$C326,W$300&lt;$H$2),0,MIN($E326-SUM($G326:V326),$F326))</f>
        <v>0</v>
      </c>
      <c r="X326" s="424">
        <f>IF(OR(X$300&lt;$C326,X$300&lt;$H$2),0,MIN($E326-SUM($G326:W326),$F326))</f>
        <v>0</v>
      </c>
      <c r="Y326" s="424">
        <f>IF(OR(Y$300&lt;$C326,Y$300&lt;$H$2),0,MIN($E326-SUM($G326:X326),$F326))</f>
        <v>0</v>
      </c>
      <c r="Z326" s="424">
        <f>IF(OR(Z$300&lt;$C326,Z$300&lt;$H$2),0,MIN($E326-SUM($G326:Y326),$F326))</f>
        <v>0</v>
      </c>
      <c r="AA326" s="424">
        <f>IF(OR(AA$300&lt;$C326,AA$300&lt;$H$2),0,MIN($E326-SUM($G326:Z326),$F326))</f>
        <v>0</v>
      </c>
      <c r="AB326" s="424">
        <f>IF(OR(AB$300&lt;$C326,AB$300&lt;$H$2),0,MIN($E326-SUM($G326:AA326),$F326))</f>
        <v>0</v>
      </c>
      <c r="AC326" s="424">
        <f>IF(OR(AC$300&lt;$C326,AC$300&lt;$H$2),0,MIN($E326-SUM($G326:AB326),$F326))</f>
        <v>0</v>
      </c>
      <c r="AD326" s="424">
        <f>IF(OR(AD$300&lt;$C326,AD$300&lt;$H$2),0,MIN($E326-SUM($G326:AC326),$F326))</f>
        <v>0</v>
      </c>
      <c r="AE326" s="424">
        <f>IF(OR(AE$300&lt;$C326,AE$300&lt;$H$2),0,MIN($E326-SUM($G326:AD326),$F326))</f>
        <v>0</v>
      </c>
      <c r="AF326" s="424">
        <f>IF(OR(AF$300&lt;$C326,AF$300&lt;$H$2),0,MIN($E326-SUM($G326:AE326),$F326))</f>
        <v>0</v>
      </c>
      <c r="AG326" s="424">
        <f>IF(OR(AG$300&lt;$C326,AG$300&lt;$H$2),0,MIN($E326-SUM($G326:AF326),$F326))</f>
        <v>0</v>
      </c>
      <c r="AH326" s="424">
        <f>IF(OR(AH$300&lt;$C326,AH$300&lt;$H$2),0,MIN($E326-SUM($G326:AG326),$F326))</f>
        <v>0</v>
      </c>
      <c r="AI326" s="424">
        <f>IF(OR(AI$300&lt;$C326,AI$300&lt;$H$2),0,MIN($E326-SUM($G326:AH326),$F326))</f>
        <v>0</v>
      </c>
      <c r="AJ326" s="424">
        <f>IF(OR(AJ$300&lt;$C326,AJ$300&lt;$H$2),0,MIN($E326-SUM($G326:AI326),$F326))</f>
        <v>0</v>
      </c>
      <c r="AK326" s="424">
        <f>IF(OR(AK$300&lt;$C326,AK$300&lt;$H$2),0,MIN($E326-SUM($G326:AJ326),$F326))</f>
        <v>0</v>
      </c>
    </row>
    <row r="327" spans="3:37">
      <c r="C327" s="201">
        <v>0</v>
      </c>
      <c r="D327" s="94" t="s">
        <v>134</v>
      </c>
      <c r="E327" s="424">
        <f t="shared" si="118"/>
        <v>0</v>
      </c>
      <c r="F327" s="209">
        <f t="shared" si="119"/>
        <v>0</v>
      </c>
      <c r="H327" s="424">
        <f>IF(OR(H$300&lt;$C327,H$300&lt;$H$2),0,MIN($E327-SUM($G327:G327),$F327))</f>
        <v>0</v>
      </c>
      <c r="I327" s="424">
        <f>IF(OR(I$300&lt;$C327,I$300&lt;$H$2),0,MIN($E327-SUM($G327:H327),$F327))</f>
        <v>0</v>
      </c>
      <c r="J327" s="424">
        <f>IF(OR(J$300&lt;$C327,J$300&lt;$H$2),0,MIN($E327-SUM($G327:I327),$F327))</f>
        <v>0</v>
      </c>
      <c r="K327" s="424">
        <f>IF(OR(K$300&lt;$C327,K$300&lt;$H$2),0,MIN($E327-SUM($G327:J327),$F327))</f>
        <v>0</v>
      </c>
      <c r="L327" s="424">
        <f>IF(OR(L$300&lt;$C327,L$300&lt;$H$2),0,MIN($E327-SUM($G327:K327),$F327))</f>
        <v>0</v>
      </c>
      <c r="M327" s="424">
        <f>IF(OR(M$300&lt;$C327,M$300&lt;$H$2),0,MIN($E327-SUM($G327:L327),$F327))</f>
        <v>0</v>
      </c>
      <c r="N327" s="424">
        <f>IF(OR(N$300&lt;$C327,N$300&lt;$H$2),0,MIN($E327-SUM($G327:M327),$F327))</f>
        <v>0</v>
      </c>
      <c r="O327" s="424">
        <f>IF(OR(O$300&lt;$C327,O$300&lt;$H$2),0,MIN($E327-SUM($G327:N327),$F327))</f>
        <v>0</v>
      </c>
      <c r="P327" s="424">
        <f>IF(OR(P$300&lt;$C327,P$300&lt;$H$2),0,MIN($E327-SUM($G327:O327),$F327))</f>
        <v>0</v>
      </c>
      <c r="Q327" s="424">
        <f>IF(OR(Q$300&lt;$C327,Q$300&lt;$H$2),0,MIN($E327-SUM($G327:P327),$F327))</f>
        <v>0</v>
      </c>
      <c r="R327" s="424">
        <f>IF(OR(R$300&lt;$C327,R$300&lt;$H$2),0,MIN($E327-SUM($G327:Q327),$F327))</f>
        <v>0</v>
      </c>
      <c r="S327" s="424">
        <f>IF(OR(S$300&lt;$C327,S$300&lt;$H$2),0,MIN($E327-SUM($G327:R327),$F327))</f>
        <v>0</v>
      </c>
      <c r="T327" s="424">
        <f>IF(OR(T$300&lt;$C327,T$300&lt;$H$2),0,MIN($E327-SUM($G327:S327),$F327))</f>
        <v>0</v>
      </c>
      <c r="U327" s="424">
        <f>IF(OR(U$300&lt;$C327,U$300&lt;$H$2),0,MIN($E327-SUM($G327:T327),$F327))</f>
        <v>0</v>
      </c>
      <c r="V327" s="424">
        <f>IF(OR(V$300&lt;$C327,V$300&lt;$H$2),0,MIN($E327-SUM($G327:U327),$F327))</f>
        <v>0</v>
      </c>
      <c r="W327" s="424">
        <f>IF(OR(W$300&lt;$C327,W$300&lt;$H$2),0,MIN($E327-SUM($G327:V327),$F327))</f>
        <v>0</v>
      </c>
      <c r="X327" s="424">
        <f>IF(OR(X$300&lt;$C327,X$300&lt;$H$2),0,MIN($E327-SUM($G327:W327),$F327))</f>
        <v>0</v>
      </c>
      <c r="Y327" s="424">
        <f>IF(OR(Y$300&lt;$C327,Y$300&lt;$H$2),0,MIN($E327-SUM($G327:X327),$F327))</f>
        <v>0</v>
      </c>
      <c r="Z327" s="424">
        <f>IF(OR(Z$300&lt;$C327,Z$300&lt;$H$2),0,MIN($E327-SUM($G327:Y327),$F327))</f>
        <v>0</v>
      </c>
      <c r="AA327" s="424">
        <f>IF(OR(AA$300&lt;$C327,AA$300&lt;$H$2),0,MIN($E327-SUM($G327:Z327),$F327))</f>
        <v>0</v>
      </c>
      <c r="AB327" s="424">
        <f>IF(OR(AB$300&lt;$C327,AB$300&lt;$H$2),0,MIN($E327-SUM($G327:AA327),$F327))</f>
        <v>0</v>
      </c>
      <c r="AC327" s="424">
        <f>IF(OR(AC$300&lt;$C327,AC$300&lt;$H$2),0,MIN($E327-SUM($G327:AB327),$F327))</f>
        <v>0</v>
      </c>
      <c r="AD327" s="424">
        <f>IF(OR(AD$300&lt;$C327,AD$300&lt;$H$2),0,MIN($E327-SUM($G327:AC327),$F327))</f>
        <v>0</v>
      </c>
      <c r="AE327" s="424">
        <f>IF(OR(AE$300&lt;$C327,AE$300&lt;$H$2),0,MIN($E327-SUM($G327:AD327),$F327))</f>
        <v>0</v>
      </c>
      <c r="AF327" s="424">
        <f>IF(OR(AF$300&lt;$C327,AF$300&lt;$H$2),0,MIN($E327-SUM($G327:AE327),$F327))</f>
        <v>0</v>
      </c>
      <c r="AG327" s="424">
        <f>IF(OR(AG$300&lt;$C327,AG$300&lt;$H$2),0,MIN($E327-SUM($G327:AF327),$F327))</f>
        <v>0</v>
      </c>
      <c r="AH327" s="424">
        <f>IF(OR(AH$300&lt;$C327,AH$300&lt;$H$2),0,MIN($E327-SUM($G327:AG327),$F327))</f>
        <v>0</v>
      </c>
      <c r="AI327" s="424">
        <f>IF(OR(AI$300&lt;$C327,AI$300&lt;$H$2),0,MIN($E327-SUM($G327:AH327),$F327))</f>
        <v>0</v>
      </c>
      <c r="AJ327" s="424">
        <f>IF(OR(AJ$300&lt;$C327,AJ$300&lt;$H$2),0,MIN($E327-SUM($G327:AI327),$F327))</f>
        <v>0</v>
      </c>
      <c r="AK327" s="424">
        <f>IF(OR(AK$300&lt;$C327,AK$300&lt;$H$2),0,MIN($E327-SUM($G327:AJ327),$F327))</f>
        <v>0</v>
      </c>
    </row>
    <row r="328" spans="3:37">
      <c r="C328" s="201">
        <v>0</v>
      </c>
      <c r="D328" s="94" t="s">
        <v>134</v>
      </c>
      <c r="E328" s="424">
        <f t="shared" si="118"/>
        <v>0</v>
      </c>
      <c r="F328" s="209">
        <f t="shared" si="119"/>
        <v>0</v>
      </c>
      <c r="H328" s="424">
        <f>IF(OR(H$300&lt;$C328,H$300&lt;$H$2),0,MIN($E328-SUM($G328:G328),$F328))</f>
        <v>0</v>
      </c>
      <c r="I328" s="424">
        <f>IF(OR(I$300&lt;$C328,I$300&lt;$H$2),0,MIN($E328-SUM($G328:H328),$F328))</f>
        <v>0</v>
      </c>
      <c r="J328" s="424">
        <f>IF(OR(J$300&lt;$C328,J$300&lt;$H$2),0,MIN($E328-SUM($G328:I328),$F328))</f>
        <v>0</v>
      </c>
      <c r="K328" s="424">
        <f>IF(OR(K$300&lt;$C328,K$300&lt;$H$2),0,MIN($E328-SUM($G328:J328),$F328))</f>
        <v>0</v>
      </c>
      <c r="L328" s="424">
        <f>IF(OR(L$300&lt;$C328,L$300&lt;$H$2),0,MIN($E328-SUM($G328:K328),$F328))</f>
        <v>0</v>
      </c>
      <c r="M328" s="424">
        <f>IF(OR(M$300&lt;$C328,M$300&lt;$H$2),0,MIN($E328-SUM($G328:L328),$F328))</f>
        <v>0</v>
      </c>
      <c r="N328" s="424">
        <f>IF(OR(N$300&lt;$C328,N$300&lt;$H$2),0,MIN($E328-SUM($G328:M328),$F328))</f>
        <v>0</v>
      </c>
      <c r="O328" s="424">
        <f>IF(OR(O$300&lt;$C328,O$300&lt;$H$2),0,MIN($E328-SUM($G328:N328),$F328))</f>
        <v>0</v>
      </c>
      <c r="P328" s="424">
        <f>IF(OR(P$300&lt;$C328,P$300&lt;$H$2),0,MIN($E328-SUM($G328:O328),$F328))</f>
        <v>0</v>
      </c>
      <c r="Q328" s="424">
        <f>IF(OR(Q$300&lt;$C328,Q$300&lt;$H$2),0,MIN($E328-SUM($G328:P328),$F328))</f>
        <v>0</v>
      </c>
      <c r="R328" s="424">
        <f>IF(OR(R$300&lt;$C328,R$300&lt;$H$2),0,MIN($E328-SUM($G328:Q328),$F328))</f>
        <v>0</v>
      </c>
      <c r="S328" s="424">
        <f>IF(OR(S$300&lt;$C328,S$300&lt;$H$2),0,MIN($E328-SUM($G328:R328),$F328))</f>
        <v>0</v>
      </c>
      <c r="T328" s="424">
        <f>IF(OR(T$300&lt;$C328,T$300&lt;$H$2),0,MIN($E328-SUM($G328:S328),$F328))</f>
        <v>0</v>
      </c>
      <c r="U328" s="424">
        <f>IF(OR(U$300&lt;$C328,U$300&lt;$H$2),0,MIN($E328-SUM($G328:T328),$F328))</f>
        <v>0</v>
      </c>
      <c r="V328" s="424">
        <f>IF(OR(V$300&lt;$C328,V$300&lt;$H$2),0,MIN($E328-SUM($G328:U328),$F328))</f>
        <v>0</v>
      </c>
      <c r="W328" s="424">
        <f>IF(OR(W$300&lt;$C328,W$300&lt;$H$2),0,MIN($E328-SUM($G328:V328),$F328))</f>
        <v>0</v>
      </c>
      <c r="X328" s="424">
        <f>IF(OR(X$300&lt;$C328,X$300&lt;$H$2),0,MIN($E328-SUM($G328:W328),$F328))</f>
        <v>0</v>
      </c>
      <c r="Y328" s="424">
        <f>IF(OR(Y$300&lt;$C328,Y$300&lt;$H$2),0,MIN($E328-SUM($G328:X328),$F328))</f>
        <v>0</v>
      </c>
      <c r="Z328" s="424">
        <f>IF(OR(Z$300&lt;$C328,Z$300&lt;$H$2),0,MIN($E328-SUM($G328:Y328),$F328))</f>
        <v>0</v>
      </c>
      <c r="AA328" s="424">
        <f>IF(OR(AA$300&lt;$C328,AA$300&lt;$H$2),0,MIN($E328-SUM($G328:Z328),$F328))</f>
        <v>0</v>
      </c>
      <c r="AB328" s="424">
        <f>IF(OR(AB$300&lt;$C328,AB$300&lt;$H$2),0,MIN($E328-SUM($G328:AA328),$F328))</f>
        <v>0</v>
      </c>
      <c r="AC328" s="424">
        <f>IF(OR(AC$300&lt;$C328,AC$300&lt;$H$2),0,MIN($E328-SUM($G328:AB328),$F328))</f>
        <v>0</v>
      </c>
      <c r="AD328" s="424">
        <f>IF(OR(AD$300&lt;$C328,AD$300&lt;$H$2),0,MIN($E328-SUM($G328:AC328),$F328))</f>
        <v>0</v>
      </c>
      <c r="AE328" s="424">
        <f>IF(OR(AE$300&lt;$C328,AE$300&lt;$H$2),0,MIN($E328-SUM($G328:AD328),$F328))</f>
        <v>0</v>
      </c>
      <c r="AF328" s="424">
        <f>IF(OR(AF$300&lt;$C328,AF$300&lt;$H$2),0,MIN($E328-SUM($G328:AE328),$F328))</f>
        <v>0</v>
      </c>
      <c r="AG328" s="424">
        <f>IF(OR(AG$300&lt;$C328,AG$300&lt;$H$2),0,MIN($E328-SUM($G328:AF328),$F328))</f>
        <v>0</v>
      </c>
      <c r="AH328" s="424">
        <f>IF(OR(AH$300&lt;$C328,AH$300&lt;$H$2),0,MIN($E328-SUM($G328:AG328),$F328))</f>
        <v>0</v>
      </c>
      <c r="AI328" s="424">
        <f>IF(OR(AI$300&lt;$C328,AI$300&lt;$H$2),0,MIN($E328-SUM($G328:AH328),$F328))</f>
        <v>0</v>
      </c>
      <c r="AJ328" s="424">
        <f>IF(OR(AJ$300&lt;$C328,AJ$300&lt;$H$2),0,MIN($E328-SUM($G328:AI328),$F328))</f>
        <v>0</v>
      </c>
      <c r="AK328" s="424">
        <f>IF(OR(AK$300&lt;$C328,AK$300&lt;$H$2),0,MIN($E328-SUM($G328:AJ328),$F328))</f>
        <v>0</v>
      </c>
    </row>
    <row r="329" spans="3:37">
      <c r="C329" s="201">
        <v>0</v>
      </c>
      <c r="D329" s="94" t="s">
        <v>134</v>
      </c>
      <c r="E329" s="424">
        <f t="shared" si="118"/>
        <v>0</v>
      </c>
      <c r="F329" s="209">
        <f t="shared" si="119"/>
        <v>0</v>
      </c>
      <c r="H329" s="424">
        <f>IF(OR(H$300&lt;$C329,H$300&lt;$H$2),0,MIN($E329-SUM($G329:G329),$F329))</f>
        <v>0</v>
      </c>
      <c r="I329" s="424">
        <f>IF(OR(I$300&lt;$C329,I$300&lt;$H$2),0,MIN($E329-SUM($G329:H329),$F329))</f>
        <v>0</v>
      </c>
      <c r="J329" s="424">
        <f>IF(OR(J$300&lt;$C329,J$300&lt;$H$2),0,MIN($E329-SUM($G329:I329),$F329))</f>
        <v>0</v>
      </c>
      <c r="K329" s="424">
        <f>IF(OR(K$300&lt;$C329,K$300&lt;$H$2),0,MIN($E329-SUM($G329:J329),$F329))</f>
        <v>0</v>
      </c>
      <c r="L329" s="424">
        <f>IF(OR(L$300&lt;$C329,L$300&lt;$H$2),0,MIN($E329-SUM($G329:K329),$F329))</f>
        <v>0</v>
      </c>
      <c r="M329" s="424">
        <f>IF(OR(M$300&lt;$C329,M$300&lt;$H$2),0,MIN($E329-SUM($G329:L329),$F329))</f>
        <v>0</v>
      </c>
      <c r="N329" s="424">
        <f>IF(OR(N$300&lt;$C329,N$300&lt;$H$2),0,MIN($E329-SUM($G329:M329),$F329))</f>
        <v>0</v>
      </c>
      <c r="O329" s="424">
        <f>IF(OR(O$300&lt;$C329,O$300&lt;$H$2),0,MIN($E329-SUM($G329:N329),$F329))</f>
        <v>0</v>
      </c>
      <c r="P329" s="424">
        <f>IF(OR(P$300&lt;$C329,P$300&lt;$H$2),0,MIN($E329-SUM($G329:O329),$F329))</f>
        <v>0</v>
      </c>
      <c r="Q329" s="424">
        <f>IF(OR(Q$300&lt;$C329,Q$300&lt;$H$2),0,MIN($E329-SUM($G329:P329),$F329))</f>
        <v>0</v>
      </c>
      <c r="R329" s="424">
        <f>IF(OR(R$300&lt;$C329,R$300&lt;$H$2),0,MIN($E329-SUM($G329:Q329),$F329))</f>
        <v>0</v>
      </c>
      <c r="S329" s="424">
        <f>IF(OR(S$300&lt;$C329,S$300&lt;$H$2),0,MIN($E329-SUM($G329:R329),$F329))</f>
        <v>0</v>
      </c>
      <c r="T329" s="424">
        <f>IF(OR(T$300&lt;$C329,T$300&lt;$H$2),0,MIN($E329-SUM($G329:S329),$F329))</f>
        <v>0</v>
      </c>
      <c r="U329" s="424">
        <f>IF(OR(U$300&lt;$C329,U$300&lt;$H$2),0,MIN($E329-SUM($G329:T329),$F329))</f>
        <v>0</v>
      </c>
      <c r="V329" s="424">
        <f>IF(OR(V$300&lt;$C329,V$300&lt;$H$2),0,MIN($E329-SUM($G329:U329),$F329))</f>
        <v>0</v>
      </c>
      <c r="W329" s="424">
        <f>IF(OR(W$300&lt;$C329,W$300&lt;$H$2),0,MIN($E329-SUM($G329:V329),$F329))</f>
        <v>0</v>
      </c>
      <c r="X329" s="424">
        <f>IF(OR(X$300&lt;$C329,X$300&lt;$H$2),0,MIN($E329-SUM($G329:W329),$F329))</f>
        <v>0</v>
      </c>
      <c r="Y329" s="424">
        <f>IF(OR(Y$300&lt;$C329,Y$300&lt;$H$2),0,MIN($E329-SUM($G329:X329),$F329))</f>
        <v>0</v>
      </c>
      <c r="Z329" s="424">
        <f>IF(OR(Z$300&lt;$C329,Z$300&lt;$H$2),0,MIN($E329-SUM($G329:Y329),$F329))</f>
        <v>0</v>
      </c>
      <c r="AA329" s="424">
        <f>IF(OR(AA$300&lt;$C329,AA$300&lt;$H$2),0,MIN($E329-SUM($G329:Z329),$F329))</f>
        <v>0</v>
      </c>
      <c r="AB329" s="424">
        <f>IF(OR(AB$300&lt;$C329,AB$300&lt;$H$2),0,MIN($E329-SUM($G329:AA329),$F329))</f>
        <v>0</v>
      </c>
      <c r="AC329" s="424">
        <f>IF(OR(AC$300&lt;$C329,AC$300&lt;$H$2),0,MIN($E329-SUM($G329:AB329),$F329))</f>
        <v>0</v>
      </c>
      <c r="AD329" s="424">
        <f>IF(OR(AD$300&lt;$C329,AD$300&lt;$H$2),0,MIN($E329-SUM($G329:AC329),$F329))</f>
        <v>0</v>
      </c>
      <c r="AE329" s="424">
        <f>IF(OR(AE$300&lt;$C329,AE$300&lt;$H$2),0,MIN($E329-SUM($G329:AD329),$F329))</f>
        <v>0</v>
      </c>
      <c r="AF329" s="424">
        <f>IF(OR(AF$300&lt;$C329,AF$300&lt;$H$2),0,MIN($E329-SUM($G329:AE329),$F329))</f>
        <v>0</v>
      </c>
      <c r="AG329" s="424">
        <f>IF(OR(AG$300&lt;$C329,AG$300&lt;$H$2),0,MIN($E329-SUM($G329:AF329),$F329))</f>
        <v>0</v>
      </c>
      <c r="AH329" s="424">
        <f>IF(OR(AH$300&lt;$C329,AH$300&lt;$H$2),0,MIN($E329-SUM($G329:AG329),$F329))</f>
        <v>0</v>
      </c>
      <c r="AI329" s="424">
        <f>IF(OR(AI$300&lt;$C329,AI$300&lt;$H$2),0,MIN($E329-SUM($G329:AH329),$F329))</f>
        <v>0</v>
      </c>
      <c r="AJ329" s="424">
        <f>IF(OR(AJ$300&lt;$C329,AJ$300&lt;$H$2),0,MIN($E329-SUM($G329:AI329),$F329))</f>
        <v>0</v>
      </c>
      <c r="AK329" s="424">
        <f>IF(OR(AK$300&lt;$C329,AK$300&lt;$H$2),0,MIN($E329-SUM($G329:AJ329),$F329))</f>
        <v>0</v>
      </c>
    </row>
    <row r="330" spans="3:37">
      <c r="C330" s="201">
        <v>0</v>
      </c>
      <c r="D330" s="94" t="s">
        <v>134</v>
      </c>
      <c r="E330" s="424">
        <f t="shared" si="118"/>
        <v>0</v>
      </c>
      <c r="F330" s="209">
        <f t="shared" si="119"/>
        <v>0</v>
      </c>
      <c r="H330" s="424">
        <f>IF(OR(H$300&lt;$C330,H$300&lt;$H$2),0,MIN($E330-SUM($G330:G330),$F330))</f>
        <v>0</v>
      </c>
      <c r="I330" s="424">
        <f>IF(OR(I$300&lt;$C330,I$300&lt;$H$2),0,MIN($E330-SUM($G330:H330),$F330))</f>
        <v>0</v>
      </c>
      <c r="J330" s="424">
        <f>IF(OR(J$300&lt;$C330,J$300&lt;$H$2),0,MIN($E330-SUM($G330:I330),$F330))</f>
        <v>0</v>
      </c>
      <c r="K330" s="424">
        <f>IF(OR(K$300&lt;$C330,K$300&lt;$H$2),0,MIN($E330-SUM($G330:J330),$F330))</f>
        <v>0</v>
      </c>
      <c r="L330" s="424">
        <f>IF(OR(L$300&lt;$C330,L$300&lt;$H$2),0,MIN($E330-SUM($G330:K330),$F330))</f>
        <v>0</v>
      </c>
      <c r="M330" s="424">
        <f>IF(OR(M$300&lt;$C330,M$300&lt;$H$2),0,MIN($E330-SUM($G330:L330),$F330))</f>
        <v>0</v>
      </c>
      <c r="N330" s="424">
        <f>IF(OR(N$300&lt;$C330,N$300&lt;$H$2),0,MIN($E330-SUM($G330:M330),$F330))</f>
        <v>0</v>
      </c>
      <c r="O330" s="424">
        <f>IF(OR(O$300&lt;$C330,O$300&lt;$H$2),0,MIN($E330-SUM($G330:N330),$F330))</f>
        <v>0</v>
      </c>
      <c r="P330" s="424">
        <f>IF(OR(P$300&lt;$C330,P$300&lt;$H$2),0,MIN($E330-SUM($G330:O330),$F330))</f>
        <v>0</v>
      </c>
      <c r="Q330" s="424">
        <f>IF(OR(Q$300&lt;$C330,Q$300&lt;$H$2),0,MIN($E330-SUM($G330:P330),$F330))</f>
        <v>0</v>
      </c>
      <c r="R330" s="424">
        <f>IF(OR(R$300&lt;$C330,R$300&lt;$H$2),0,MIN($E330-SUM($G330:Q330),$F330))</f>
        <v>0</v>
      </c>
      <c r="S330" s="424">
        <f>IF(OR(S$300&lt;$C330,S$300&lt;$H$2),0,MIN($E330-SUM($G330:R330),$F330))</f>
        <v>0</v>
      </c>
      <c r="T330" s="424">
        <f>IF(OR(T$300&lt;$C330,T$300&lt;$H$2),0,MIN($E330-SUM($G330:S330),$F330))</f>
        <v>0</v>
      </c>
      <c r="U330" s="424">
        <f>IF(OR(U$300&lt;$C330,U$300&lt;$H$2),0,MIN($E330-SUM($G330:T330),$F330))</f>
        <v>0</v>
      </c>
      <c r="V330" s="424">
        <f>IF(OR(V$300&lt;$C330,V$300&lt;$H$2),0,MIN($E330-SUM($G330:U330),$F330))</f>
        <v>0</v>
      </c>
      <c r="W330" s="424">
        <f>IF(OR(W$300&lt;$C330,W$300&lt;$H$2),0,MIN($E330-SUM($G330:V330),$F330))</f>
        <v>0</v>
      </c>
      <c r="X330" s="424">
        <f>IF(OR(X$300&lt;$C330,X$300&lt;$H$2),0,MIN($E330-SUM($G330:W330),$F330))</f>
        <v>0</v>
      </c>
      <c r="Y330" s="424">
        <f>IF(OR(Y$300&lt;$C330,Y$300&lt;$H$2),0,MIN($E330-SUM($G330:X330),$F330))</f>
        <v>0</v>
      </c>
      <c r="Z330" s="424">
        <f>IF(OR(Z$300&lt;$C330,Z$300&lt;$H$2),0,MIN($E330-SUM($G330:Y330),$F330))</f>
        <v>0</v>
      </c>
      <c r="AA330" s="424">
        <f>IF(OR(AA$300&lt;$C330,AA$300&lt;$H$2),0,MIN($E330-SUM($G330:Z330),$F330))</f>
        <v>0</v>
      </c>
      <c r="AB330" s="424">
        <f>IF(OR(AB$300&lt;$C330,AB$300&lt;$H$2),0,MIN($E330-SUM($G330:AA330),$F330))</f>
        <v>0</v>
      </c>
      <c r="AC330" s="424">
        <f>IF(OR(AC$300&lt;$C330,AC$300&lt;$H$2),0,MIN($E330-SUM($G330:AB330),$F330))</f>
        <v>0</v>
      </c>
      <c r="AD330" s="424">
        <f>IF(OR(AD$300&lt;$C330,AD$300&lt;$H$2),0,MIN($E330-SUM($G330:AC330),$F330))</f>
        <v>0</v>
      </c>
      <c r="AE330" s="424">
        <f>IF(OR(AE$300&lt;$C330,AE$300&lt;$H$2),0,MIN($E330-SUM($G330:AD330),$F330))</f>
        <v>0</v>
      </c>
      <c r="AF330" s="424">
        <f>IF(OR(AF$300&lt;$C330,AF$300&lt;$H$2),0,MIN($E330-SUM($G330:AE330),$F330))</f>
        <v>0</v>
      </c>
      <c r="AG330" s="424">
        <f>IF(OR(AG$300&lt;$C330,AG$300&lt;$H$2),0,MIN($E330-SUM($G330:AF330),$F330))</f>
        <v>0</v>
      </c>
      <c r="AH330" s="424">
        <f>IF(OR(AH$300&lt;$C330,AH$300&lt;$H$2),0,MIN($E330-SUM($G330:AG330),$F330))</f>
        <v>0</v>
      </c>
      <c r="AI330" s="424">
        <f>IF(OR(AI$300&lt;$C330,AI$300&lt;$H$2),0,MIN($E330-SUM($G330:AH330),$F330))</f>
        <v>0</v>
      </c>
      <c r="AJ330" s="424">
        <f>IF(OR(AJ$300&lt;$C330,AJ$300&lt;$H$2),0,MIN($E330-SUM($G330:AI330),$F330))</f>
        <v>0</v>
      </c>
      <c r="AK330" s="424">
        <f>IF(OR(AK$300&lt;$C330,AK$300&lt;$H$2),0,MIN($E330-SUM($G330:AJ330),$F330))</f>
        <v>0</v>
      </c>
    </row>
    <row r="331" spans="3:37">
      <c r="C331" s="201">
        <v>0</v>
      </c>
      <c r="D331" s="94" t="s">
        <v>134</v>
      </c>
      <c r="E331" s="424">
        <f t="shared" si="118"/>
        <v>0</v>
      </c>
      <c r="F331" s="209">
        <f t="shared" si="119"/>
        <v>0</v>
      </c>
      <c r="H331" s="424">
        <f>IF(OR(H$300&lt;$C331,H$300&lt;$H$2),0,MIN($E331-SUM($G331:G331),$F331))</f>
        <v>0</v>
      </c>
      <c r="I331" s="424">
        <f>IF(OR(I$300&lt;$C331,I$300&lt;$H$2),0,MIN($E331-SUM($G331:H331),$F331))</f>
        <v>0</v>
      </c>
      <c r="J331" s="424">
        <f>IF(OR(J$300&lt;$C331,J$300&lt;$H$2),0,MIN($E331-SUM($G331:I331),$F331))</f>
        <v>0</v>
      </c>
      <c r="K331" s="424">
        <f>IF(OR(K$300&lt;$C331,K$300&lt;$H$2),0,MIN($E331-SUM($G331:J331),$F331))</f>
        <v>0</v>
      </c>
      <c r="L331" s="424">
        <f>IF(OR(L$300&lt;$C331,L$300&lt;$H$2),0,MIN($E331-SUM($G331:K331),$F331))</f>
        <v>0</v>
      </c>
      <c r="M331" s="424">
        <f>IF(OR(M$300&lt;$C331,M$300&lt;$H$2),0,MIN($E331-SUM($G331:L331),$F331))</f>
        <v>0</v>
      </c>
      <c r="N331" s="424">
        <f>IF(OR(N$300&lt;$C331,N$300&lt;$H$2),0,MIN($E331-SUM($G331:M331),$F331))</f>
        <v>0</v>
      </c>
      <c r="O331" s="424">
        <f>IF(OR(O$300&lt;$C331,O$300&lt;$H$2),0,MIN($E331-SUM($G331:N331),$F331))</f>
        <v>0</v>
      </c>
      <c r="P331" s="424">
        <f>IF(OR(P$300&lt;$C331,P$300&lt;$H$2),0,MIN($E331-SUM($G331:O331),$F331))</f>
        <v>0</v>
      </c>
      <c r="Q331" s="424">
        <f>IF(OR(Q$300&lt;$C331,Q$300&lt;$H$2),0,MIN($E331-SUM($G331:P331),$F331))</f>
        <v>0</v>
      </c>
      <c r="R331" s="424">
        <f>IF(OR(R$300&lt;$C331,R$300&lt;$H$2),0,MIN($E331-SUM($G331:Q331),$F331))</f>
        <v>0</v>
      </c>
      <c r="S331" s="424">
        <f>IF(OR(S$300&lt;$C331,S$300&lt;$H$2),0,MIN($E331-SUM($G331:R331),$F331))</f>
        <v>0</v>
      </c>
      <c r="T331" s="424">
        <f>IF(OR(T$300&lt;$C331,T$300&lt;$H$2),0,MIN($E331-SUM($G331:S331),$F331))</f>
        <v>0</v>
      </c>
      <c r="U331" s="424">
        <f>IF(OR(U$300&lt;$C331,U$300&lt;$H$2),0,MIN($E331-SUM($G331:T331),$F331))</f>
        <v>0</v>
      </c>
      <c r="V331" s="424">
        <f>IF(OR(V$300&lt;$C331,V$300&lt;$H$2),0,MIN($E331-SUM($G331:U331),$F331))</f>
        <v>0</v>
      </c>
      <c r="W331" s="424">
        <f>IF(OR(W$300&lt;$C331,W$300&lt;$H$2),0,MIN($E331-SUM($G331:V331),$F331))</f>
        <v>0</v>
      </c>
      <c r="X331" s="424">
        <f>IF(OR(X$300&lt;$C331,X$300&lt;$H$2),0,MIN($E331-SUM($G331:W331),$F331))</f>
        <v>0</v>
      </c>
      <c r="Y331" s="424">
        <f>IF(OR(Y$300&lt;$C331,Y$300&lt;$H$2),0,MIN($E331-SUM($G331:X331),$F331))</f>
        <v>0</v>
      </c>
      <c r="Z331" s="424">
        <f>IF(OR(Z$300&lt;$C331,Z$300&lt;$H$2),0,MIN($E331-SUM($G331:Y331),$F331))</f>
        <v>0</v>
      </c>
      <c r="AA331" s="424">
        <f>IF(OR(AA$300&lt;$C331,AA$300&lt;$H$2),0,MIN($E331-SUM($G331:Z331),$F331))</f>
        <v>0</v>
      </c>
      <c r="AB331" s="424">
        <f>IF(OR(AB$300&lt;$C331,AB$300&lt;$H$2),0,MIN($E331-SUM($G331:AA331),$F331))</f>
        <v>0</v>
      </c>
      <c r="AC331" s="424">
        <f>IF(OR(AC$300&lt;$C331,AC$300&lt;$H$2),0,MIN($E331-SUM($G331:AB331),$F331))</f>
        <v>0</v>
      </c>
      <c r="AD331" s="424">
        <f>IF(OR(AD$300&lt;$C331,AD$300&lt;$H$2),0,MIN($E331-SUM($G331:AC331),$F331))</f>
        <v>0</v>
      </c>
      <c r="AE331" s="424">
        <f>IF(OR(AE$300&lt;$C331,AE$300&lt;$H$2),0,MIN($E331-SUM($G331:AD331),$F331))</f>
        <v>0</v>
      </c>
      <c r="AF331" s="424">
        <f>IF(OR(AF$300&lt;$C331,AF$300&lt;$H$2),0,MIN($E331-SUM($G331:AE331),$F331))</f>
        <v>0</v>
      </c>
      <c r="AG331" s="424">
        <f>IF(OR(AG$300&lt;$C331,AG$300&lt;$H$2),0,MIN($E331-SUM($G331:AF331),$F331))</f>
        <v>0</v>
      </c>
      <c r="AH331" s="424">
        <f>IF(OR(AH$300&lt;$C331,AH$300&lt;$H$2),0,MIN($E331-SUM($G331:AG331),$F331))</f>
        <v>0</v>
      </c>
      <c r="AI331" s="424">
        <f>IF(OR(AI$300&lt;$C331,AI$300&lt;$H$2),0,MIN($E331-SUM($G331:AH331),$F331))</f>
        <v>0</v>
      </c>
      <c r="AJ331" s="424">
        <f>IF(OR(AJ$300&lt;$C331,AJ$300&lt;$H$2),0,MIN($E331-SUM($G331:AI331),$F331))</f>
        <v>0</v>
      </c>
      <c r="AK331" s="424">
        <f>IF(OR(AK$300&lt;$C331,AK$300&lt;$H$2),0,MIN($E331-SUM($G331:AJ331),$F331))</f>
        <v>0</v>
      </c>
    </row>
    <row r="332" spans="3:37">
      <c r="C332" s="201">
        <v>0</v>
      </c>
      <c r="D332" s="94" t="s">
        <v>134</v>
      </c>
      <c r="E332" s="424">
        <f t="shared" si="118"/>
        <v>0</v>
      </c>
      <c r="F332" s="209">
        <f t="shared" si="119"/>
        <v>0</v>
      </c>
      <c r="H332" s="424">
        <f>IF(OR(H$300&lt;$C332,H$300&lt;$H$2),0,MIN($E332-SUM($G332:G332),$F332))</f>
        <v>0</v>
      </c>
      <c r="I332" s="424">
        <f>IF(OR(I$300&lt;$C332,I$300&lt;$H$2),0,MIN($E332-SUM($G332:H332),$F332))</f>
        <v>0</v>
      </c>
      <c r="J332" s="424">
        <f>IF(OR(J$300&lt;$C332,J$300&lt;$H$2),0,MIN($E332-SUM($G332:I332),$F332))</f>
        <v>0</v>
      </c>
      <c r="K332" s="424">
        <f>IF(OR(K$300&lt;$C332,K$300&lt;$H$2),0,MIN($E332-SUM($G332:J332),$F332))</f>
        <v>0</v>
      </c>
      <c r="L332" s="424">
        <f>IF(OR(L$300&lt;$C332,L$300&lt;$H$2),0,MIN($E332-SUM($G332:K332),$F332))</f>
        <v>0</v>
      </c>
      <c r="M332" s="424">
        <f>IF(OR(M$300&lt;$C332,M$300&lt;$H$2),0,MIN($E332-SUM($G332:L332),$F332))</f>
        <v>0</v>
      </c>
      <c r="N332" s="424">
        <f>IF(OR(N$300&lt;$C332,N$300&lt;$H$2),0,MIN($E332-SUM($G332:M332),$F332))</f>
        <v>0</v>
      </c>
      <c r="O332" s="424">
        <f>IF(OR(O$300&lt;$C332,O$300&lt;$H$2),0,MIN($E332-SUM($G332:N332),$F332))</f>
        <v>0</v>
      </c>
      <c r="P332" s="424">
        <f>IF(OR(P$300&lt;$C332,P$300&lt;$H$2),0,MIN($E332-SUM($G332:O332),$F332))</f>
        <v>0</v>
      </c>
      <c r="Q332" s="424">
        <f>IF(OR(Q$300&lt;$C332,Q$300&lt;$H$2),0,MIN($E332-SUM($G332:P332),$F332))</f>
        <v>0</v>
      </c>
      <c r="R332" s="424">
        <f>IF(OR(R$300&lt;$C332,R$300&lt;$H$2),0,MIN($E332-SUM($G332:Q332),$F332))</f>
        <v>0</v>
      </c>
      <c r="S332" s="424">
        <f>IF(OR(S$300&lt;$C332,S$300&lt;$H$2),0,MIN($E332-SUM($G332:R332),$F332))</f>
        <v>0</v>
      </c>
      <c r="T332" s="424">
        <f>IF(OR(T$300&lt;$C332,T$300&lt;$H$2),0,MIN($E332-SUM($G332:S332),$F332))</f>
        <v>0</v>
      </c>
      <c r="U332" s="424">
        <f>IF(OR(U$300&lt;$C332,U$300&lt;$H$2),0,MIN($E332-SUM($G332:T332),$F332))</f>
        <v>0</v>
      </c>
      <c r="V332" s="424">
        <f>IF(OR(V$300&lt;$C332,V$300&lt;$H$2),0,MIN($E332-SUM($G332:U332),$F332))</f>
        <v>0</v>
      </c>
      <c r="W332" s="424">
        <f>IF(OR(W$300&lt;$C332,W$300&lt;$H$2),0,MIN($E332-SUM($G332:V332),$F332))</f>
        <v>0</v>
      </c>
      <c r="X332" s="424">
        <f>IF(OR(X$300&lt;$C332,X$300&lt;$H$2),0,MIN($E332-SUM($G332:W332),$F332))</f>
        <v>0</v>
      </c>
      <c r="Y332" s="424">
        <f>IF(OR(Y$300&lt;$C332,Y$300&lt;$H$2),0,MIN($E332-SUM($G332:X332),$F332))</f>
        <v>0</v>
      </c>
      <c r="Z332" s="424">
        <f>IF(OR(Z$300&lt;$C332,Z$300&lt;$H$2),0,MIN($E332-SUM($G332:Y332),$F332))</f>
        <v>0</v>
      </c>
      <c r="AA332" s="424">
        <f>IF(OR(AA$300&lt;$C332,AA$300&lt;$H$2),0,MIN($E332-SUM($G332:Z332),$F332))</f>
        <v>0</v>
      </c>
      <c r="AB332" s="424">
        <f>IF(OR(AB$300&lt;$C332,AB$300&lt;$H$2),0,MIN($E332-SUM($G332:AA332),$F332))</f>
        <v>0</v>
      </c>
      <c r="AC332" s="424">
        <f>IF(OR(AC$300&lt;$C332,AC$300&lt;$H$2),0,MIN($E332-SUM($G332:AB332),$F332))</f>
        <v>0</v>
      </c>
      <c r="AD332" s="424">
        <f>IF(OR(AD$300&lt;$C332,AD$300&lt;$H$2),0,MIN($E332-SUM($G332:AC332),$F332))</f>
        <v>0</v>
      </c>
      <c r="AE332" s="424">
        <f>IF(OR(AE$300&lt;$C332,AE$300&lt;$H$2),0,MIN($E332-SUM($G332:AD332),$F332))</f>
        <v>0</v>
      </c>
      <c r="AF332" s="424">
        <f>IF(OR(AF$300&lt;$C332,AF$300&lt;$H$2),0,MIN($E332-SUM($G332:AE332),$F332))</f>
        <v>0</v>
      </c>
      <c r="AG332" s="424">
        <f>IF(OR(AG$300&lt;$C332,AG$300&lt;$H$2),0,MIN($E332-SUM($G332:AF332),$F332))</f>
        <v>0</v>
      </c>
      <c r="AH332" s="424">
        <f>IF(OR(AH$300&lt;$C332,AH$300&lt;$H$2),0,MIN($E332-SUM($G332:AG332),$F332))</f>
        <v>0</v>
      </c>
      <c r="AI332" s="424">
        <f>IF(OR(AI$300&lt;$C332,AI$300&lt;$H$2),0,MIN($E332-SUM($G332:AH332),$F332))</f>
        <v>0</v>
      </c>
      <c r="AJ332" s="424">
        <f>IF(OR(AJ$300&lt;$C332,AJ$300&lt;$H$2),0,MIN($E332-SUM($G332:AI332),$F332))</f>
        <v>0</v>
      </c>
      <c r="AK332" s="424">
        <f>IF(OR(AK$300&lt;$C332,AK$300&lt;$H$2),0,MIN($E332-SUM($G332:AJ332),$F332))</f>
        <v>0</v>
      </c>
    </row>
    <row r="333" spans="3:37" ht="14" thickBot="1">
      <c r="C333" s="240" t="s">
        <v>543</v>
      </c>
      <c r="D333" s="348" t="s">
        <v>134</v>
      </c>
      <c r="E333" s="427">
        <f>SUM(E303:E332)</f>
        <v>0</v>
      </c>
      <c r="F333" s="427">
        <f>SUM(F303:F332)</f>
        <v>0</v>
      </c>
      <c r="G333" s="348"/>
      <c r="H333" s="427">
        <f t="shared" ref="H333:AK333" si="120">SUM(H303:H332)</f>
        <v>0</v>
      </c>
      <c r="I333" s="427">
        <f t="shared" si="120"/>
        <v>0</v>
      </c>
      <c r="J333" s="427">
        <f t="shared" si="120"/>
        <v>0</v>
      </c>
      <c r="K333" s="427">
        <f t="shared" si="120"/>
        <v>0</v>
      </c>
      <c r="L333" s="427">
        <f t="shared" si="120"/>
        <v>0</v>
      </c>
      <c r="M333" s="427">
        <f t="shared" si="120"/>
        <v>0</v>
      </c>
      <c r="N333" s="427">
        <f t="shared" si="120"/>
        <v>0</v>
      </c>
      <c r="O333" s="427">
        <f t="shared" si="120"/>
        <v>0</v>
      </c>
      <c r="P333" s="427">
        <f t="shared" si="120"/>
        <v>0</v>
      </c>
      <c r="Q333" s="427">
        <f t="shared" si="120"/>
        <v>0</v>
      </c>
      <c r="R333" s="427">
        <f t="shared" si="120"/>
        <v>0</v>
      </c>
      <c r="S333" s="427">
        <f t="shared" si="120"/>
        <v>0</v>
      </c>
      <c r="T333" s="427">
        <f t="shared" si="120"/>
        <v>0</v>
      </c>
      <c r="U333" s="427">
        <f t="shared" si="120"/>
        <v>0</v>
      </c>
      <c r="V333" s="427">
        <f t="shared" si="120"/>
        <v>0</v>
      </c>
      <c r="W333" s="427">
        <f t="shared" si="120"/>
        <v>0</v>
      </c>
      <c r="X333" s="427">
        <f t="shared" si="120"/>
        <v>0</v>
      </c>
      <c r="Y333" s="427">
        <f t="shared" si="120"/>
        <v>0</v>
      </c>
      <c r="Z333" s="427">
        <f t="shared" si="120"/>
        <v>0</v>
      </c>
      <c r="AA333" s="427">
        <f t="shared" si="120"/>
        <v>0</v>
      </c>
      <c r="AB333" s="427">
        <f t="shared" si="120"/>
        <v>0</v>
      </c>
      <c r="AC333" s="427">
        <f t="shared" si="120"/>
        <v>0</v>
      </c>
      <c r="AD333" s="427">
        <f t="shared" si="120"/>
        <v>0</v>
      </c>
      <c r="AE333" s="427">
        <f t="shared" si="120"/>
        <v>0</v>
      </c>
      <c r="AF333" s="427">
        <f t="shared" si="120"/>
        <v>0</v>
      </c>
      <c r="AG333" s="427">
        <f t="shared" si="120"/>
        <v>0</v>
      </c>
      <c r="AH333" s="427">
        <f t="shared" si="120"/>
        <v>0</v>
      </c>
      <c r="AI333" s="427">
        <f t="shared" si="120"/>
        <v>0</v>
      </c>
      <c r="AJ333" s="427">
        <f t="shared" si="120"/>
        <v>0</v>
      </c>
      <c r="AK333" s="427">
        <f t="shared" si="120"/>
        <v>0</v>
      </c>
    </row>
    <row r="334" spans="3:37" ht="14" thickTop="1"/>
    <row r="335" spans="3:37" ht="28">
      <c r="C335" s="428" t="s">
        <v>166</v>
      </c>
      <c r="D335" s="428" t="s">
        <v>88</v>
      </c>
      <c r="E335" s="428" t="s">
        <v>555</v>
      </c>
      <c r="F335" s="429" t="s">
        <v>556</v>
      </c>
      <c r="G335" s="430"/>
      <c r="H335" s="201">
        <f t="shared" ref="H335:AK336" si="121">H300</f>
        <v>46023</v>
      </c>
      <c r="I335" s="201">
        <f t="shared" si="121"/>
        <v>46389</v>
      </c>
      <c r="J335" s="201">
        <f t="shared" si="121"/>
        <v>46755</v>
      </c>
      <c r="K335" s="201">
        <f t="shared" si="121"/>
        <v>47121</v>
      </c>
      <c r="L335" s="201">
        <f t="shared" si="121"/>
        <v>47487</v>
      </c>
      <c r="M335" s="201">
        <f t="shared" si="121"/>
        <v>47853</v>
      </c>
      <c r="N335" s="201">
        <f t="shared" si="121"/>
        <v>48219</v>
      </c>
      <c r="O335" s="201">
        <f t="shared" si="121"/>
        <v>48585</v>
      </c>
      <c r="P335" s="201">
        <f t="shared" si="121"/>
        <v>48951</v>
      </c>
      <c r="Q335" s="201">
        <f t="shared" si="121"/>
        <v>49317</v>
      </c>
      <c r="R335" s="201">
        <f t="shared" si="121"/>
        <v>49683</v>
      </c>
      <c r="S335" s="201">
        <f t="shared" si="121"/>
        <v>50049</v>
      </c>
      <c r="T335" s="201">
        <f t="shared" si="121"/>
        <v>50415</v>
      </c>
      <c r="U335" s="201">
        <f t="shared" si="121"/>
        <v>50781</v>
      </c>
      <c r="V335" s="201">
        <f t="shared" si="121"/>
        <v>51147</v>
      </c>
      <c r="W335" s="201">
        <f t="shared" si="121"/>
        <v>51513</v>
      </c>
      <c r="X335" s="201">
        <f t="shared" si="121"/>
        <v>51879</v>
      </c>
      <c r="Y335" s="201">
        <f t="shared" si="121"/>
        <v>52245</v>
      </c>
      <c r="Z335" s="201">
        <f t="shared" si="121"/>
        <v>52611</v>
      </c>
      <c r="AA335" s="201">
        <f t="shared" si="121"/>
        <v>52977</v>
      </c>
      <c r="AB335" s="201">
        <f t="shared" si="121"/>
        <v>53343</v>
      </c>
      <c r="AC335" s="201">
        <f t="shared" si="121"/>
        <v>53709</v>
      </c>
      <c r="AD335" s="201">
        <f t="shared" si="121"/>
        <v>54075</v>
      </c>
      <c r="AE335" s="201">
        <f t="shared" si="121"/>
        <v>0</v>
      </c>
      <c r="AF335" s="201">
        <f t="shared" si="121"/>
        <v>0</v>
      </c>
      <c r="AG335" s="201">
        <f t="shared" si="121"/>
        <v>0</v>
      </c>
      <c r="AH335" s="201">
        <f t="shared" si="121"/>
        <v>0</v>
      </c>
      <c r="AI335" s="201">
        <f t="shared" si="121"/>
        <v>0</v>
      </c>
      <c r="AJ335" s="201">
        <f t="shared" si="121"/>
        <v>0</v>
      </c>
      <c r="AK335" s="201">
        <f t="shared" si="121"/>
        <v>0</v>
      </c>
    </row>
    <row r="336" spans="3:37">
      <c r="C336" s="430"/>
      <c r="D336" s="430"/>
      <c r="E336" s="428" t="s">
        <v>134</v>
      </c>
      <c r="F336" s="428" t="s">
        <v>134</v>
      </c>
      <c r="G336" s="430"/>
      <c r="H336" s="1141">
        <f t="shared" si="121"/>
        <v>-4</v>
      </c>
      <c r="I336" s="1141">
        <f t="shared" si="121"/>
        <v>-3</v>
      </c>
      <c r="J336" s="1141">
        <f t="shared" si="121"/>
        <v>-2</v>
      </c>
      <c r="K336" s="1141">
        <f t="shared" si="121"/>
        <v>-1</v>
      </c>
      <c r="L336" s="1141">
        <f t="shared" si="121"/>
        <v>1</v>
      </c>
      <c r="M336" s="1141">
        <f t="shared" si="121"/>
        <v>2</v>
      </c>
      <c r="N336" s="1141">
        <f t="shared" si="121"/>
        <v>3</v>
      </c>
      <c r="O336" s="1141">
        <f t="shared" si="121"/>
        <v>4</v>
      </c>
      <c r="P336" s="1141">
        <f t="shared" si="121"/>
        <v>5</v>
      </c>
      <c r="Q336" s="1141">
        <f t="shared" si="121"/>
        <v>6</v>
      </c>
      <c r="R336" s="1141">
        <f t="shared" si="121"/>
        <v>7</v>
      </c>
      <c r="S336" s="1141">
        <f t="shared" si="121"/>
        <v>8</v>
      </c>
      <c r="T336" s="1141">
        <f t="shared" si="121"/>
        <v>9</v>
      </c>
      <c r="U336" s="1141">
        <f t="shared" si="121"/>
        <v>10</v>
      </c>
      <c r="V336" s="1141">
        <f t="shared" si="121"/>
        <v>11</v>
      </c>
      <c r="W336" s="1141">
        <f t="shared" si="121"/>
        <v>12</v>
      </c>
      <c r="X336" s="1141">
        <f t="shared" si="121"/>
        <v>13</v>
      </c>
      <c r="Y336" s="1141">
        <f t="shared" si="121"/>
        <v>14</v>
      </c>
      <c r="Z336" s="1141">
        <f t="shared" si="121"/>
        <v>15</v>
      </c>
      <c r="AA336" s="1141">
        <f t="shared" si="121"/>
        <v>16</v>
      </c>
      <c r="AB336" s="1141">
        <f t="shared" si="121"/>
        <v>17</v>
      </c>
      <c r="AC336" s="1141">
        <f t="shared" si="121"/>
        <v>18</v>
      </c>
      <c r="AD336" s="1141">
        <f t="shared" si="121"/>
        <v>19</v>
      </c>
      <c r="AE336" s="1141">
        <f t="shared" si="121"/>
        <v>0</v>
      </c>
      <c r="AF336" s="1141">
        <f t="shared" si="121"/>
        <v>0</v>
      </c>
      <c r="AG336" s="1141">
        <f t="shared" si="121"/>
        <v>0</v>
      </c>
      <c r="AH336" s="1141">
        <f t="shared" si="121"/>
        <v>0</v>
      </c>
      <c r="AI336" s="1141">
        <f t="shared" si="121"/>
        <v>0</v>
      </c>
      <c r="AJ336" s="1141">
        <f t="shared" si="121"/>
        <v>0</v>
      </c>
      <c r="AK336" s="1141">
        <f t="shared" si="121"/>
        <v>0</v>
      </c>
    </row>
    <row r="337" spans="3:37">
      <c r="C337" s="191" t="str">
        <f>C65</f>
        <v>Railway Siding</v>
      </c>
    </row>
    <row r="338" spans="3:37">
      <c r="C338" s="201" cm="1">
        <f t="array" ref="C338:C367">TRANSPOSE(H335:AK335)</f>
        <v>46023</v>
      </c>
      <c r="D338" s="94" t="s">
        <v>134</v>
      </c>
      <c r="E338" s="424">
        <f>HLOOKUP($C338,$H$39:$AP$112,29,FALSE)</f>
        <v>0</v>
      </c>
      <c r="F338" s="209">
        <f>E338*$F$65</f>
        <v>0</v>
      </c>
      <c r="H338" s="424">
        <f>IF(OR(H$335&lt;$C338,H$335&lt;$H$2),0,MIN($E338-SUM($G338:G338),$F338))</f>
        <v>0</v>
      </c>
      <c r="I338" s="424">
        <f>IF(OR(I$335&lt;$C338,I$335&lt;$H$2),0,MIN($E338-SUM($G338:H338),$F338))</f>
        <v>0</v>
      </c>
      <c r="J338" s="424">
        <f>IF(OR(J$335&lt;$C338,J$335&lt;$H$2),0,MIN($E338-SUM($G338:I338),$F338))</f>
        <v>0</v>
      </c>
      <c r="K338" s="424">
        <f>IF(OR(K$335&lt;$C338,K$335&lt;$H$2),0,MIN($E338-SUM($G338:J338),$F338))</f>
        <v>0</v>
      </c>
      <c r="L338" s="424">
        <f>IF(OR(L$335&lt;$C338,L$335&lt;$H$2),0,MIN($E338-SUM($G338:K338),$F338))</f>
        <v>0</v>
      </c>
      <c r="M338" s="424">
        <f>IF(OR(M$335&lt;$C338,M$335&lt;$H$2),0,MIN($E338-SUM($G338:L338),$F338))</f>
        <v>0</v>
      </c>
      <c r="N338" s="424">
        <f>IF(OR(N$335&lt;$C338,N$335&lt;$H$2),0,MIN($E338-SUM($G338:M338),$F338))</f>
        <v>0</v>
      </c>
      <c r="O338" s="424">
        <f>IF(OR(O$335&lt;$C338,O$335&lt;$H$2),0,MIN($E338-SUM($G338:N338),$F338))</f>
        <v>0</v>
      </c>
      <c r="P338" s="424">
        <f>IF(OR(P$335&lt;$C338,P$335&lt;$H$2),0,MIN($E338-SUM($G338:O338),$F338))</f>
        <v>0</v>
      </c>
      <c r="Q338" s="424">
        <f>IF(OR(Q$335&lt;$C338,Q$335&lt;$H$2),0,MIN($E338-SUM($G338:P338),$F338))</f>
        <v>0</v>
      </c>
      <c r="R338" s="424">
        <f>IF(OR(R$335&lt;$C338,R$335&lt;$H$2),0,MIN($E338-SUM($G338:Q338),$F338))</f>
        <v>0</v>
      </c>
      <c r="S338" s="424">
        <f>IF(OR(S$335&lt;$C338,S$335&lt;$H$2),0,MIN($E338-SUM($G338:R338),$F338))</f>
        <v>0</v>
      </c>
      <c r="T338" s="424">
        <f>IF(OR(T$335&lt;$C338,T$335&lt;$H$2),0,MIN($E338-SUM($G338:S338),$F338))</f>
        <v>0</v>
      </c>
      <c r="U338" s="424">
        <f>IF(OR(U$335&lt;$C338,U$335&lt;$H$2),0,MIN($E338-SUM($G338:T338),$F338))</f>
        <v>0</v>
      </c>
      <c r="V338" s="424">
        <f>IF(OR(V$335&lt;$C338,V$335&lt;$H$2),0,MIN($E338-SUM($G338:U338),$F338))</f>
        <v>0</v>
      </c>
      <c r="W338" s="424">
        <f>IF(OR(W$335&lt;$C338,W$335&lt;$H$2),0,MIN($E338-SUM($G338:V338),$F338))</f>
        <v>0</v>
      </c>
      <c r="X338" s="424">
        <f>IF(OR(X$335&lt;$C338,X$335&lt;$H$2),0,MIN($E338-SUM($G338:W338),$F338))</f>
        <v>0</v>
      </c>
      <c r="Y338" s="424">
        <f>IF(OR(Y$335&lt;$C338,Y$335&lt;$H$2),0,MIN($E338-SUM($G338:X338),$F338))</f>
        <v>0</v>
      </c>
      <c r="Z338" s="424">
        <f>IF(OR(Z$335&lt;$C338,Z$335&lt;$H$2),0,MIN($E338-SUM($G338:Y338),$F338))</f>
        <v>0</v>
      </c>
      <c r="AA338" s="424">
        <f>IF(OR(AA$335&lt;$C338,AA$335&lt;$H$2),0,MIN($E338-SUM($G338:Z338),$F338))</f>
        <v>0</v>
      </c>
      <c r="AB338" s="424">
        <f>IF(OR(AB$335&lt;$C338,AB$335&lt;$H$2),0,MIN($E338-SUM($G338:AA338),$F338))</f>
        <v>0</v>
      </c>
      <c r="AC338" s="424">
        <f>IF(OR(AC$335&lt;$C338,AC$335&lt;$H$2),0,MIN($E338-SUM($G338:AB338),$F338))</f>
        <v>0</v>
      </c>
      <c r="AD338" s="424">
        <f>IF(OR(AD$335&lt;$C338,AD$335&lt;$H$2),0,MIN($E338-SUM($G338:AC338),$F338))</f>
        <v>0</v>
      </c>
      <c r="AE338" s="424">
        <f>IF(OR(AE$335&lt;$C338,AE$335&lt;$H$2),0,MIN($E338-SUM($G338:AD338),$F338))</f>
        <v>0</v>
      </c>
      <c r="AF338" s="424">
        <f>IF(OR(AF$335&lt;$C338,AF$335&lt;$H$2),0,MIN($E338-SUM($G338:AE338),$F338))</f>
        <v>0</v>
      </c>
      <c r="AG338" s="424">
        <f>IF(OR(AG$335&lt;$C338,AG$335&lt;$H$2),0,MIN($E338-SUM($G338:AF338),$F338))</f>
        <v>0</v>
      </c>
      <c r="AH338" s="424">
        <f>IF(OR(AH$335&lt;$C338,AH$335&lt;$H$2),0,MIN($E338-SUM($G338:AG338),$F338))</f>
        <v>0</v>
      </c>
      <c r="AI338" s="424">
        <f>IF(OR(AI$335&lt;$C338,AI$335&lt;$H$2),0,MIN($E338-SUM($G338:AH338),$F338))</f>
        <v>0</v>
      </c>
      <c r="AJ338" s="424">
        <f>IF(OR(AJ$335&lt;$C338,AJ$335&lt;$H$2),0,MIN($E338-SUM($G338:AI338),$F338))</f>
        <v>0</v>
      </c>
      <c r="AK338" s="424">
        <f>IF(OR(AK$335&lt;$C338,AK$335&lt;$H$2),0,MIN($E338-SUM($G338:AJ338),$F338))</f>
        <v>0</v>
      </c>
    </row>
    <row r="339" spans="3:37">
      <c r="C339" s="201">
        <v>46389</v>
      </c>
      <c r="D339" s="94" t="s">
        <v>134</v>
      </c>
      <c r="E339" s="424">
        <f t="shared" ref="E339:E367" si="122">HLOOKUP($C339,$H$39:$AP$112,29,FALSE)</f>
        <v>0</v>
      </c>
      <c r="F339" s="209">
        <f t="shared" ref="F339:F367" si="123">E339*$F$65</f>
        <v>0</v>
      </c>
      <c r="H339" s="424">
        <f>IF(OR(H$335&lt;$C339,H$335&lt;$H$2),0,MIN($E339-SUM($G339:G339),$F339))</f>
        <v>0</v>
      </c>
      <c r="I339" s="424">
        <f>IF(OR(I$335&lt;$C339,I$335&lt;$H$2),0,MIN($E339-SUM($G339:H339),$F339))</f>
        <v>0</v>
      </c>
      <c r="J339" s="424">
        <f>IF(OR(J$335&lt;$C339,J$335&lt;$H$2),0,MIN($E339-SUM($G339:I339),$F339))</f>
        <v>0</v>
      </c>
      <c r="K339" s="424">
        <f>IF(OR(K$335&lt;$C339,K$335&lt;$H$2),0,MIN($E339-SUM($G339:J339),$F339))</f>
        <v>0</v>
      </c>
      <c r="L339" s="424">
        <f>IF(OR(L$335&lt;$C339,L$335&lt;$H$2),0,MIN($E339-SUM($G339:K339),$F339))</f>
        <v>0</v>
      </c>
      <c r="M339" s="424">
        <f>IF(OR(M$335&lt;$C339,M$335&lt;$H$2),0,MIN($E339-SUM($G339:L339),$F339))</f>
        <v>0</v>
      </c>
      <c r="N339" s="424">
        <f>IF(OR(N$335&lt;$C339,N$335&lt;$H$2),0,MIN($E339-SUM($G339:M339),$F339))</f>
        <v>0</v>
      </c>
      <c r="O339" s="424">
        <f>IF(OR(O$335&lt;$C339,O$335&lt;$H$2),0,MIN($E339-SUM($G339:N339),$F339))</f>
        <v>0</v>
      </c>
      <c r="P339" s="424">
        <f>IF(OR(P$335&lt;$C339,P$335&lt;$H$2),0,MIN($E339-SUM($G339:O339),$F339))</f>
        <v>0</v>
      </c>
      <c r="Q339" s="424">
        <f>IF(OR(Q$335&lt;$C339,Q$335&lt;$H$2),0,MIN($E339-SUM($G339:P339),$F339))</f>
        <v>0</v>
      </c>
      <c r="R339" s="424">
        <f>IF(OR(R$335&lt;$C339,R$335&lt;$H$2),0,MIN($E339-SUM($G339:Q339),$F339))</f>
        <v>0</v>
      </c>
      <c r="S339" s="424">
        <f>IF(OR(S$335&lt;$C339,S$335&lt;$H$2),0,MIN($E339-SUM($G339:R339),$F339))</f>
        <v>0</v>
      </c>
      <c r="T339" s="424">
        <f>IF(OR(T$335&lt;$C339,T$335&lt;$H$2),0,MIN($E339-SUM($G339:S339),$F339))</f>
        <v>0</v>
      </c>
      <c r="U339" s="424">
        <f>IF(OR(U$335&lt;$C339,U$335&lt;$H$2),0,MIN($E339-SUM($G339:T339),$F339))</f>
        <v>0</v>
      </c>
      <c r="V339" s="424">
        <f>IF(OR(V$335&lt;$C339,V$335&lt;$H$2),0,MIN($E339-SUM($G339:U339),$F339))</f>
        <v>0</v>
      </c>
      <c r="W339" s="424">
        <f>IF(OR(W$335&lt;$C339,W$335&lt;$H$2),0,MIN($E339-SUM($G339:V339),$F339))</f>
        <v>0</v>
      </c>
      <c r="X339" s="424">
        <f>IF(OR(X$335&lt;$C339,X$335&lt;$H$2),0,MIN($E339-SUM($G339:W339),$F339))</f>
        <v>0</v>
      </c>
      <c r="Y339" s="424">
        <f>IF(OR(Y$335&lt;$C339,Y$335&lt;$H$2),0,MIN($E339-SUM($G339:X339),$F339))</f>
        <v>0</v>
      </c>
      <c r="Z339" s="424">
        <f>IF(OR(Z$335&lt;$C339,Z$335&lt;$H$2),0,MIN($E339-SUM($G339:Y339),$F339))</f>
        <v>0</v>
      </c>
      <c r="AA339" s="424">
        <f>IF(OR(AA$335&lt;$C339,AA$335&lt;$H$2),0,MIN($E339-SUM($G339:Z339),$F339))</f>
        <v>0</v>
      </c>
      <c r="AB339" s="424">
        <f>IF(OR(AB$335&lt;$C339,AB$335&lt;$H$2),0,MIN($E339-SUM($G339:AA339),$F339))</f>
        <v>0</v>
      </c>
      <c r="AC339" s="424">
        <f>IF(OR(AC$335&lt;$C339,AC$335&lt;$H$2),0,MIN($E339-SUM($G339:AB339),$F339))</f>
        <v>0</v>
      </c>
      <c r="AD339" s="424">
        <f>IF(OR(AD$335&lt;$C339,AD$335&lt;$H$2),0,MIN($E339-SUM($G339:AC339),$F339))</f>
        <v>0</v>
      </c>
      <c r="AE339" s="424">
        <f>IF(OR(AE$335&lt;$C339,AE$335&lt;$H$2),0,MIN($E339-SUM($G339:AD339),$F339))</f>
        <v>0</v>
      </c>
      <c r="AF339" s="424">
        <f>IF(OR(AF$335&lt;$C339,AF$335&lt;$H$2),0,MIN($E339-SUM($G339:AE339),$F339))</f>
        <v>0</v>
      </c>
      <c r="AG339" s="424">
        <f>IF(OR(AG$335&lt;$C339,AG$335&lt;$H$2),0,MIN($E339-SUM($G339:AF339),$F339))</f>
        <v>0</v>
      </c>
      <c r="AH339" s="424">
        <f>IF(OR(AH$335&lt;$C339,AH$335&lt;$H$2),0,MIN($E339-SUM($G339:AG339),$F339))</f>
        <v>0</v>
      </c>
      <c r="AI339" s="424">
        <f>IF(OR(AI$335&lt;$C339,AI$335&lt;$H$2),0,MIN($E339-SUM($G339:AH339),$F339))</f>
        <v>0</v>
      </c>
      <c r="AJ339" s="424">
        <f>IF(OR(AJ$335&lt;$C339,AJ$335&lt;$H$2),0,MIN($E339-SUM($G339:AI339),$F339))</f>
        <v>0</v>
      </c>
      <c r="AK339" s="424">
        <f>IF(OR(AK$335&lt;$C339,AK$335&lt;$H$2),0,MIN($E339-SUM($G339:AJ339),$F339))</f>
        <v>0</v>
      </c>
    </row>
    <row r="340" spans="3:37">
      <c r="C340" s="201">
        <v>46755</v>
      </c>
      <c r="D340" s="94" t="s">
        <v>134</v>
      </c>
      <c r="E340" s="424">
        <f t="shared" si="122"/>
        <v>0</v>
      </c>
      <c r="F340" s="209">
        <f t="shared" si="123"/>
        <v>0</v>
      </c>
      <c r="H340" s="424">
        <f>IF(OR(H$335&lt;$C340,H$335&lt;$H$2),0,MIN($E340-SUM($G340:G340),$F340))</f>
        <v>0</v>
      </c>
      <c r="I340" s="424">
        <f>IF(OR(I$335&lt;$C340,I$335&lt;$H$2),0,MIN($E340-SUM($G340:H340),$F340))</f>
        <v>0</v>
      </c>
      <c r="J340" s="424">
        <f>IF(OR(J$335&lt;$C340,J$335&lt;$H$2),0,MIN($E340-SUM($G340:I340),$F340))</f>
        <v>0</v>
      </c>
      <c r="K340" s="424">
        <f>IF(OR(K$335&lt;$C340,K$335&lt;$H$2),0,MIN($E340-SUM($G340:J340),$F340))</f>
        <v>0</v>
      </c>
      <c r="L340" s="424">
        <f>IF(OR(L$335&lt;$C340,L$335&lt;$H$2),0,MIN($E340-SUM($G340:K340),$F340))</f>
        <v>0</v>
      </c>
      <c r="M340" s="424">
        <f>IF(OR(M$335&lt;$C340,M$335&lt;$H$2),0,MIN($E340-SUM($G340:L340),$F340))</f>
        <v>0</v>
      </c>
      <c r="N340" s="424">
        <f>IF(OR(N$335&lt;$C340,N$335&lt;$H$2),0,MIN($E340-SUM($G340:M340),$F340))</f>
        <v>0</v>
      </c>
      <c r="O340" s="424">
        <f>IF(OR(O$335&lt;$C340,O$335&lt;$H$2),0,MIN($E340-SUM($G340:N340),$F340))</f>
        <v>0</v>
      </c>
      <c r="P340" s="424">
        <f>IF(OR(P$335&lt;$C340,P$335&lt;$H$2),0,MIN($E340-SUM($G340:O340),$F340))</f>
        <v>0</v>
      </c>
      <c r="Q340" s="424">
        <f>IF(OR(Q$335&lt;$C340,Q$335&lt;$H$2),0,MIN($E340-SUM($G340:P340),$F340))</f>
        <v>0</v>
      </c>
      <c r="R340" s="424">
        <f>IF(OR(R$335&lt;$C340,R$335&lt;$H$2),0,MIN($E340-SUM($G340:Q340),$F340))</f>
        <v>0</v>
      </c>
      <c r="S340" s="424">
        <f>IF(OR(S$335&lt;$C340,S$335&lt;$H$2),0,MIN($E340-SUM($G340:R340),$F340))</f>
        <v>0</v>
      </c>
      <c r="T340" s="424">
        <f>IF(OR(T$335&lt;$C340,T$335&lt;$H$2),0,MIN($E340-SUM($G340:S340),$F340))</f>
        <v>0</v>
      </c>
      <c r="U340" s="424">
        <f>IF(OR(U$335&lt;$C340,U$335&lt;$H$2),0,MIN($E340-SUM($G340:T340),$F340))</f>
        <v>0</v>
      </c>
      <c r="V340" s="424">
        <f>IF(OR(V$335&lt;$C340,V$335&lt;$H$2),0,MIN($E340-SUM($G340:U340),$F340))</f>
        <v>0</v>
      </c>
      <c r="W340" s="424">
        <f>IF(OR(W$335&lt;$C340,W$335&lt;$H$2),0,MIN($E340-SUM($G340:V340),$F340))</f>
        <v>0</v>
      </c>
      <c r="X340" s="424">
        <f>IF(OR(X$335&lt;$C340,X$335&lt;$H$2),0,MIN($E340-SUM($G340:W340),$F340))</f>
        <v>0</v>
      </c>
      <c r="Y340" s="424">
        <f>IF(OR(Y$335&lt;$C340,Y$335&lt;$H$2),0,MIN($E340-SUM($G340:X340),$F340))</f>
        <v>0</v>
      </c>
      <c r="Z340" s="424">
        <f>IF(OR(Z$335&lt;$C340,Z$335&lt;$H$2),0,MIN($E340-SUM($G340:Y340),$F340))</f>
        <v>0</v>
      </c>
      <c r="AA340" s="424">
        <f>IF(OR(AA$335&lt;$C340,AA$335&lt;$H$2),0,MIN($E340-SUM($G340:Z340),$F340))</f>
        <v>0</v>
      </c>
      <c r="AB340" s="424">
        <f>IF(OR(AB$335&lt;$C340,AB$335&lt;$H$2),0,MIN($E340-SUM($G340:AA340),$F340))</f>
        <v>0</v>
      </c>
      <c r="AC340" s="424">
        <f>IF(OR(AC$335&lt;$C340,AC$335&lt;$H$2),0,MIN($E340-SUM($G340:AB340),$F340))</f>
        <v>0</v>
      </c>
      <c r="AD340" s="424">
        <f>IF(OR(AD$335&lt;$C340,AD$335&lt;$H$2),0,MIN($E340-SUM($G340:AC340),$F340))</f>
        <v>0</v>
      </c>
      <c r="AE340" s="424">
        <f>IF(OR(AE$335&lt;$C340,AE$335&lt;$H$2),0,MIN($E340-SUM($G340:AD340),$F340))</f>
        <v>0</v>
      </c>
      <c r="AF340" s="424">
        <f>IF(OR(AF$335&lt;$C340,AF$335&lt;$H$2),0,MIN($E340-SUM($G340:AE340),$F340))</f>
        <v>0</v>
      </c>
      <c r="AG340" s="424">
        <f>IF(OR(AG$335&lt;$C340,AG$335&lt;$H$2),0,MIN($E340-SUM($G340:AF340),$F340))</f>
        <v>0</v>
      </c>
      <c r="AH340" s="424">
        <f>IF(OR(AH$335&lt;$C340,AH$335&lt;$H$2),0,MIN($E340-SUM($G340:AG340),$F340))</f>
        <v>0</v>
      </c>
      <c r="AI340" s="424">
        <f>IF(OR(AI$335&lt;$C340,AI$335&lt;$H$2),0,MIN($E340-SUM($G340:AH340),$F340))</f>
        <v>0</v>
      </c>
      <c r="AJ340" s="424">
        <f>IF(OR(AJ$335&lt;$C340,AJ$335&lt;$H$2),0,MIN($E340-SUM($G340:AI340),$F340))</f>
        <v>0</v>
      </c>
      <c r="AK340" s="424">
        <f>IF(OR(AK$335&lt;$C340,AK$335&lt;$H$2),0,MIN($E340-SUM($G340:AJ340),$F340))</f>
        <v>0</v>
      </c>
    </row>
    <row r="341" spans="3:37">
      <c r="C341" s="201">
        <v>47121</v>
      </c>
      <c r="D341" s="94" t="s">
        <v>134</v>
      </c>
      <c r="E341" s="424">
        <f t="shared" si="122"/>
        <v>0</v>
      </c>
      <c r="F341" s="209">
        <f t="shared" si="123"/>
        <v>0</v>
      </c>
      <c r="H341" s="424">
        <f>IF(OR(H$335&lt;$C341,H$335&lt;$H$2),0,MIN($E341-SUM($G341:G341),$F341))</f>
        <v>0</v>
      </c>
      <c r="I341" s="424">
        <f>IF(OR(I$335&lt;$C341,I$335&lt;$H$2),0,MIN($E341-SUM($G341:H341),$F341))</f>
        <v>0</v>
      </c>
      <c r="J341" s="424">
        <f>IF(OR(J$335&lt;$C341,J$335&lt;$H$2),0,MIN($E341-SUM($G341:I341),$F341))</f>
        <v>0</v>
      </c>
      <c r="K341" s="424">
        <f>IF(OR(K$335&lt;$C341,K$335&lt;$H$2),0,MIN($E341-SUM($G341:J341),$F341))</f>
        <v>0</v>
      </c>
      <c r="L341" s="424">
        <f>IF(OR(L$335&lt;$C341,L$335&lt;$H$2),0,MIN($E341-SUM($G341:K341),$F341))</f>
        <v>0</v>
      </c>
      <c r="M341" s="424">
        <f>IF(OR(M$335&lt;$C341,M$335&lt;$H$2),0,MIN($E341-SUM($G341:L341),$F341))</f>
        <v>0</v>
      </c>
      <c r="N341" s="424">
        <f>IF(OR(N$335&lt;$C341,N$335&lt;$H$2),0,MIN($E341-SUM($G341:M341),$F341))</f>
        <v>0</v>
      </c>
      <c r="O341" s="424">
        <f>IF(OR(O$335&lt;$C341,O$335&lt;$H$2),0,MIN($E341-SUM($G341:N341),$F341))</f>
        <v>0</v>
      </c>
      <c r="P341" s="424">
        <f>IF(OR(P$335&lt;$C341,P$335&lt;$H$2),0,MIN($E341-SUM($G341:O341),$F341))</f>
        <v>0</v>
      </c>
      <c r="Q341" s="424">
        <f>IF(OR(Q$335&lt;$C341,Q$335&lt;$H$2),0,MIN($E341-SUM($G341:P341),$F341))</f>
        <v>0</v>
      </c>
      <c r="R341" s="424">
        <f>IF(OR(R$335&lt;$C341,R$335&lt;$H$2),0,MIN($E341-SUM($G341:Q341),$F341))</f>
        <v>0</v>
      </c>
      <c r="S341" s="424">
        <f>IF(OR(S$335&lt;$C341,S$335&lt;$H$2),0,MIN($E341-SUM($G341:R341),$F341))</f>
        <v>0</v>
      </c>
      <c r="T341" s="424">
        <f>IF(OR(T$335&lt;$C341,T$335&lt;$H$2),0,MIN($E341-SUM($G341:S341),$F341))</f>
        <v>0</v>
      </c>
      <c r="U341" s="424">
        <f>IF(OR(U$335&lt;$C341,U$335&lt;$H$2),0,MIN($E341-SUM($G341:T341),$F341))</f>
        <v>0</v>
      </c>
      <c r="V341" s="424">
        <f>IF(OR(V$335&lt;$C341,V$335&lt;$H$2),0,MIN($E341-SUM($G341:U341),$F341))</f>
        <v>0</v>
      </c>
      <c r="W341" s="424">
        <f>IF(OR(W$335&lt;$C341,W$335&lt;$H$2),0,MIN($E341-SUM($G341:V341),$F341))</f>
        <v>0</v>
      </c>
      <c r="X341" s="424">
        <f>IF(OR(X$335&lt;$C341,X$335&lt;$H$2),0,MIN($E341-SUM($G341:W341),$F341))</f>
        <v>0</v>
      </c>
      <c r="Y341" s="424">
        <f>IF(OR(Y$335&lt;$C341,Y$335&lt;$H$2),0,MIN($E341-SUM($G341:X341),$F341))</f>
        <v>0</v>
      </c>
      <c r="Z341" s="424">
        <f>IF(OR(Z$335&lt;$C341,Z$335&lt;$H$2),0,MIN($E341-SUM($G341:Y341),$F341))</f>
        <v>0</v>
      </c>
      <c r="AA341" s="424">
        <f>IF(OR(AA$335&lt;$C341,AA$335&lt;$H$2),0,MIN($E341-SUM($G341:Z341),$F341))</f>
        <v>0</v>
      </c>
      <c r="AB341" s="424">
        <f>IF(OR(AB$335&lt;$C341,AB$335&lt;$H$2),0,MIN($E341-SUM($G341:AA341),$F341))</f>
        <v>0</v>
      </c>
      <c r="AC341" s="424">
        <f>IF(OR(AC$335&lt;$C341,AC$335&lt;$H$2),0,MIN($E341-SUM($G341:AB341),$F341))</f>
        <v>0</v>
      </c>
      <c r="AD341" s="424">
        <f>IF(OR(AD$335&lt;$C341,AD$335&lt;$H$2),0,MIN($E341-SUM($G341:AC341),$F341))</f>
        <v>0</v>
      </c>
      <c r="AE341" s="424">
        <f>IF(OR(AE$335&lt;$C341,AE$335&lt;$H$2),0,MIN($E341-SUM($G341:AD341),$F341))</f>
        <v>0</v>
      </c>
      <c r="AF341" s="424">
        <f>IF(OR(AF$335&lt;$C341,AF$335&lt;$H$2),0,MIN($E341-SUM($G341:AE341),$F341))</f>
        <v>0</v>
      </c>
      <c r="AG341" s="424">
        <f>IF(OR(AG$335&lt;$C341,AG$335&lt;$H$2),0,MIN($E341-SUM($G341:AF341),$F341))</f>
        <v>0</v>
      </c>
      <c r="AH341" s="424">
        <f>IF(OR(AH$335&lt;$C341,AH$335&lt;$H$2),0,MIN($E341-SUM($G341:AG341),$F341))</f>
        <v>0</v>
      </c>
      <c r="AI341" s="424">
        <f>IF(OR(AI$335&lt;$C341,AI$335&lt;$H$2),0,MIN($E341-SUM($G341:AH341),$F341))</f>
        <v>0</v>
      </c>
      <c r="AJ341" s="424">
        <f>IF(OR(AJ$335&lt;$C341,AJ$335&lt;$H$2),0,MIN($E341-SUM($G341:AI341),$F341))</f>
        <v>0</v>
      </c>
      <c r="AK341" s="424">
        <f>IF(OR(AK$335&lt;$C341,AK$335&lt;$H$2),0,MIN($E341-SUM($G341:AJ341),$F341))</f>
        <v>0</v>
      </c>
    </row>
    <row r="342" spans="3:37">
      <c r="C342" s="201">
        <v>47487</v>
      </c>
      <c r="D342" s="94" t="s">
        <v>134</v>
      </c>
      <c r="E342" s="424">
        <f t="shared" si="122"/>
        <v>0</v>
      </c>
      <c r="F342" s="209">
        <f t="shared" si="123"/>
        <v>0</v>
      </c>
      <c r="H342" s="424">
        <f>IF(OR(H$335&lt;$C342,H$335&lt;$H$2),0,MIN($E342-SUM($G342:G342),$F342))</f>
        <v>0</v>
      </c>
      <c r="I342" s="424">
        <f>IF(OR(I$335&lt;$C342,I$335&lt;$H$2),0,MIN($E342-SUM($G342:H342),$F342))</f>
        <v>0</v>
      </c>
      <c r="J342" s="424">
        <f>IF(OR(J$335&lt;$C342,J$335&lt;$H$2),0,MIN($E342-SUM($G342:I342),$F342))</f>
        <v>0</v>
      </c>
      <c r="K342" s="424">
        <f>IF(OR(K$335&lt;$C342,K$335&lt;$H$2),0,MIN($E342-SUM($G342:J342),$F342))</f>
        <v>0</v>
      </c>
      <c r="L342" s="424">
        <f>IF(OR(L$335&lt;$C342,L$335&lt;$H$2),0,MIN($E342-SUM($G342:K342),$F342))</f>
        <v>0</v>
      </c>
      <c r="M342" s="424">
        <f>IF(OR(M$335&lt;$C342,M$335&lt;$H$2),0,MIN($E342-SUM($G342:L342),$F342))</f>
        <v>0</v>
      </c>
      <c r="N342" s="424">
        <f>IF(OR(N$335&lt;$C342,N$335&lt;$H$2),0,MIN($E342-SUM($G342:M342),$F342))</f>
        <v>0</v>
      </c>
      <c r="O342" s="424">
        <f>IF(OR(O$335&lt;$C342,O$335&lt;$H$2),0,MIN($E342-SUM($G342:N342),$F342))</f>
        <v>0</v>
      </c>
      <c r="P342" s="424">
        <f>IF(OR(P$335&lt;$C342,P$335&lt;$H$2),0,MIN($E342-SUM($G342:O342),$F342))</f>
        <v>0</v>
      </c>
      <c r="Q342" s="424">
        <f>IF(OR(Q$335&lt;$C342,Q$335&lt;$H$2),0,MIN($E342-SUM($G342:P342),$F342))</f>
        <v>0</v>
      </c>
      <c r="R342" s="424">
        <f>IF(OR(R$335&lt;$C342,R$335&lt;$H$2),0,MIN($E342-SUM($G342:Q342),$F342))</f>
        <v>0</v>
      </c>
      <c r="S342" s="424">
        <f>IF(OR(S$335&lt;$C342,S$335&lt;$H$2),0,MIN($E342-SUM($G342:R342),$F342))</f>
        <v>0</v>
      </c>
      <c r="T342" s="424">
        <f>IF(OR(T$335&lt;$C342,T$335&lt;$H$2),0,MIN($E342-SUM($G342:S342),$F342))</f>
        <v>0</v>
      </c>
      <c r="U342" s="424">
        <f>IF(OR(U$335&lt;$C342,U$335&lt;$H$2),0,MIN($E342-SUM($G342:T342),$F342))</f>
        <v>0</v>
      </c>
      <c r="V342" s="424">
        <f>IF(OR(V$335&lt;$C342,V$335&lt;$H$2),0,MIN($E342-SUM($G342:U342),$F342))</f>
        <v>0</v>
      </c>
      <c r="W342" s="424">
        <f>IF(OR(W$335&lt;$C342,W$335&lt;$H$2),0,MIN($E342-SUM($G342:V342),$F342))</f>
        <v>0</v>
      </c>
      <c r="X342" s="424">
        <f>IF(OR(X$335&lt;$C342,X$335&lt;$H$2),0,MIN($E342-SUM($G342:W342),$F342))</f>
        <v>0</v>
      </c>
      <c r="Y342" s="424">
        <f>IF(OR(Y$335&lt;$C342,Y$335&lt;$H$2),0,MIN($E342-SUM($G342:X342),$F342))</f>
        <v>0</v>
      </c>
      <c r="Z342" s="424">
        <f>IF(OR(Z$335&lt;$C342,Z$335&lt;$H$2),0,MIN($E342-SUM($G342:Y342),$F342))</f>
        <v>0</v>
      </c>
      <c r="AA342" s="424">
        <f>IF(OR(AA$335&lt;$C342,AA$335&lt;$H$2),0,MIN($E342-SUM($G342:Z342),$F342))</f>
        <v>0</v>
      </c>
      <c r="AB342" s="424">
        <f>IF(OR(AB$335&lt;$C342,AB$335&lt;$H$2),0,MIN($E342-SUM($G342:AA342),$F342))</f>
        <v>0</v>
      </c>
      <c r="AC342" s="424">
        <f>IF(OR(AC$335&lt;$C342,AC$335&lt;$H$2),0,MIN($E342-SUM($G342:AB342),$F342))</f>
        <v>0</v>
      </c>
      <c r="AD342" s="424">
        <f>IF(OR(AD$335&lt;$C342,AD$335&lt;$H$2),0,MIN($E342-SUM($G342:AC342),$F342))</f>
        <v>0</v>
      </c>
      <c r="AE342" s="424">
        <f>IF(OR(AE$335&lt;$C342,AE$335&lt;$H$2),0,MIN($E342-SUM($G342:AD342),$F342))</f>
        <v>0</v>
      </c>
      <c r="AF342" s="424">
        <f>IF(OR(AF$335&lt;$C342,AF$335&lt;$H$2),0,MIN($E342-SUM($G342:AE342),$F342))</f>
        <v>0</v>
      </c>
      <c r="AG342" s="424">
        <f>IF(OR(AG$335&lt;$C342,AG$335&lt;$H$2),0,MIN($E342-SUM($G342:AF342),$F342))</f>
        <v>0</v>
      </c>
      <c r="AH342" s="424">
        <f>IF(OR(AH$335&lt;$C342,AH$335&lt;$H$2),0,MIN($E342-SUM($G342:AG342),$F342))</f>
        <v>0</v>
      </c>
      <c r="AI342" s="424">
        <f>IF(OR(AI$335&lt;$C342,AI$335&lt;$H$2),0,MIN($E342-SUM($G342:AH342),$F342))</f>
        <v>0</v>
      </c>
      <c r="AJ342" s="424">
        <f>IF(OR(AJ$335&lt;$C342,AJ$335&lt;$H$2),0,MIN($E342-SUM($G342:AI342),$F342))</f>
        <v>0</v>
      </c>
      <c r="AK342" s="424">
        <f>IF(OR(AK$335&lt;$C342,AK$335&lt;$H$2),0,MIN($E342-SUM($G342:AJ342),$F342))</f>
        <v>0</v>
      </c>
    </row>
    <row r="343" spans="3:37">
      <c r="C343" s="201">
        <v>47853</v>
      </c>
      <c r="D343" s="94" t="s">
        <v>134</v>
      </c>
      <c r="E343" s="424">
        <f t="shared" si="122"/>
        <v>0</v>
      </c>
      <c r="F343" s="209">
        <f t="shared" si="123"/>
        <v>0</v>
      </c>
      <c r="H343" s="424">
        <f>IF(OR(H$335&lt;$C343,H$335&lt;$H$2),0,MIN($E343-SUM($G343:G343),$F343))</f>
        <v>0</v>
      </c>
      <c r="I343" s="424">
        <f>IF(OR(I$335&lt;$C343,I$335&lt;$H$2),0,MIN($E343-SUM($G343:H343),$F343))</f>
        <v>0</v>
      </c>
      <c r="J343" s="424">
        <f>IF(OR(J$335&lt;$C343,J$335&lt;$H$2),0,MIN($E343-SUM($G343:I343),$F343))</f>
        <v>0</v>
      </c>
      <c r="K343" s="424">
        <f>IF(OR(K$335&lt;$C343,K$335&lt;$H$2),0,MIN($E343-SUM($G343:J343),$F343))</f>
        <v>0</v>
      </c>
      <c r="L343" s="424">
        <f>IF(OR(L$335&lt;$C343,L$335&lt;$H$2),0,MIN($E343-SUM($G343:K343),$F343))</f>
        <v>0</v>
      </c>
      <c r="M343" s="424">
        <f>IF(OR(M$335&lt;$C343,M$335&lt;$H$2),0,MIN($E343-SUM($G343:L343),$F343))</f>
        <v>0</v>
      </c>
      <c r="N343" s="424">
        <f>IF(OR(N$335&lt;$C343,N$335&lt;$H$2),0,MIN($E343-SUM($G343:M343),$F343))</f>
        <v>0</v>
      </c>
      <c r="O343" s="424">
        <f>IF(OR(O$335&lt;$C343,O$335&lt;$H$2),0,MIN($E343-SUM($G343:N343),$F343))</f>
        <v>0</v>
      </c>
      <c r="P343" s="424">
        <f>IF(OR(P$335&lt;$C343,P$335&lt;$H$2),0,MIN($E343-SUM($G343:O343),$F343))</f>
        <v>0</v>
      </c>
      <c r="Q343" s="424">
        <f>IF(OR(Q$335&lt;$C343,Q$335&lt;$H$2),0,MIN($E343-SUM($G343:P343),$F343))</f>
        <v>0</v>
      </c>
      <c r="R343" s="424">
        <f>IF(OR(R$335&lt;$C343,R$335&lt;$H$2),0,MIN($E343-SUM($G343:Q343),$F343))</f>
        <v>0</v>
      </c>
      <c r="S343" s="424">
        <f>IF(OR(S$335&lt;$C343,S$335&lt;$H$2),0,MIN($E343-SUM($G343:R343),$F343))</f>
        <v>0</v>
      </c>
      <c r="T343" s="424">
        <f>IF(OR(T$335&lt;$C343,T$335&lt;$H$2),0,MIN($E343-SUM($G343:S343),$F343))</f>
        <v>0</v>
      </c>
      <c r="U343" s="424">
        <f>IF(OR(U$335&lt;$C343,U$335&lt;$H$2),0,MIN($E343-SUM($G343:T343),$F343))</f>
        <v>0</v>
      </c>
      <c r="V343" s="424">
        <f>IF(OR(V$335&lt;$C343,V$335&lt;$H$2),0,MIN($E343-SUM($G343:U343),$F343))</f>
        <v>0</v>
      </c>
      <c r="W343" s="424">
        <f>IF(OR(W$335&lt;$C343,W$335&lt;$H$2),0,MIN($E343-SUM($G343:V343),$F343))</f>
        <v>0</v>
      </c>
      <c r="X343" s="424">
        <f>IF(OR(X$335&lt;$C343,X$335&lt;$H$2),0,MIN($E343-SUM($G343:W343),$F343))</f>
        <v>0</v>
      </c>
      <c r="Y343" s="424">
        <f>IF(OR(Y$335&lt;$C343,Y$335&lt;$H$2),0,MIN($E343-SUM($G343:X343),$F343))</f>
        <v>0</v>
      </c>
      <c r="Z343" s="424">
        <f>IF(OR(Z$335&lt;$C343,Z$335&lt;$H$2),0,MIN($E343-SUM($G343:Y343),$F343))</f>
        <v>0</v>
      </c>
      <c r="AA343" s="424">
        <f>IF(OR(AA$335&lt;$C343,AA$335&lt;$H$2),0,MIN($E343-SUM($G343:Z343),$F343))</f>
        <v>0</v>
      </c>
      <c r="AB343" s="424">
        <f>IF(OR(AB$335&lt;$C343,AB$335&lt;$H$2),0,MIN($E343-SUM($G343:AA343),$F343))</f>
        <v>0</v>
      </c>
      <c r="AC343" s="424">
        <f>IF(OR(AC$335&lt;$C343,AC$335&lt;$H$2),0,MIN($E343-SUM($G343:AB343),$F343))</f>
        <v>0</v>
      </c>
      <c r="AD343" s="424">
        <f>IF(OR(AD$335&lt;$C343,AD$335&lt;$H$2),0,MIN($E343-SUM($G343:AC343),$F343))</f>
        <v>0</v>
      </c>
      <c r="AE343" s="424">
        <f>IF(OR(AE$335&lt;$C343,AE$335&lt;$H$2),0,MIN($E343-SUM($G343:AD343),$F343))</f>
        <v>0</v>
      </c>
      <c r="AF343" s="424">
        <f>IF(OR(AF$335&lt;$C343,AF$335&lt;$H$2),0,MIN($E343-SUM($G343:AE343),$F343))</f>
        <v>0</v>
      </c>
      <c r="AG343" s="424">
        <f>IF(OR(AG$335&lt;$C343,AG$335&lt;$H$2),0,MIN($E343-SUM($G343:AF343),$F343))</f>
        <v>0</v>
      </c>
      <c r="AH343" s="424">
        <f>IF(OR(AH$335&lt;$C343,AH$335&lt;$H$2),0,MIN($E343-SUM($G343:AG343),$F343))</f>
        <v>0</v>
      </c>
      <c r="AI343" s="424">
        <f>IF(OR(AI$335&lt;$C343,AI$335&lt;$H$2),0,MIN($E343-SUM($G343:AH343),$F343))</f>
        <v>0</v>
      </c>
      <c r="AJ343" s="424">
        <f>IF(OR(AJ$335&lt;$C343,AJ$335&lt;$H$2),0,MIN($E343-SUM($G343:AI343),$F343))</f>
        <v>0</v>
      </c>
      <c r="AK343" s="424">
        <f>IF(OR(AK$335&lt;$C343,AK$335&lt;$H$2),0,MIN($E343-SUM($G343:AJ343),$F343))</f>
        <v>0</v>
      </c>
    </row>
    <row r="344" spans="3:37">
      <c r="C344" s="201">
        <v>48219</v>
      </c>
      <c r="D344" s="94" t="s">
        <v>134</v>
      </c>
      <c r="E344" s="424">
        <f t="shared" si="122"/>
        <v>0</v>
      </c>
      <c r="F344" s="209">
        <f t="shared" si="123"/>
        <v>0</v>
      </c>
      <c r="H344" s="424">
        <f>IF(OR(H$335&lt;$C344,H$335&lt;$H$2),0,MIN($E344-SUM($G344:G344),$F344))</f>
        <v>0</v>
      </c>
      <c r="I344" s="424">
        <f>IF(OR(I$335&lt;$C344,I$335&lt;$H$2),0,MIN($E344-SUM($G344:H344),$F344))</f>
        <v>0</v>
      </c>
      <c r="J344" s="424">
        <f>IF(OR(J$335&lt;$C344,J$335&lt;$H$2),0,MIN($E344-SUM($G344:I344),$F344))</f>
        <v>0</v>
      </c>
      <c r="K344" s="424">
        <f>IF(OR(K$335&lt;$C344,K$335&lt;$H$2),0,MIN($E344-SUM($G344:J344),$F344))</f>
        <v>0</v>
      </c>
      <c r="L344" s="424">
        <f>IF(OR(L$335&lt;$C344,L$335&lt;$H$2),0,MIN($E344-SUM($G344:K344),$F344))</f>
        <v>0</v>
      </c>
      <c r="M344" s="424">
        <f>IF(OR(M$335&lt;$C344,M$335&lt;$H$2),0,MIN($E344-SUM($G344:L344),$F344))</f>
        <v>0</v>
      </c>
      <c r="N344" s="424">
        <f>IF(OR(N$335&lt;$C344,N$335&lt;$H$2),0,MIN($E344-SUM($G344:M344),$F344))</f>
        <v>0</v>
      </c>
      <c r="O344" s="424">
        <f>IF(OR(O$335&lt;$C344,O$335&lt;$H$2),0,MIN($E344-SUM($G344:N344),$F344))</f>
        <v>0</v>
      </c>
      <c r="P344" s="424">
        <f>IF(OR(P$335&lt;$C344,P$335&lt;$H$2),0,MIN($E344-SUM($G344:O344),$F344))</f>
        <v>0</v>
      </c>
      <c r="Q344" s="424">
        <f>IF(OR(Q$335&lt;$C344,Q$335&lt;$H$2),0,MIN($E344-SUM($G344:P344),$F344))</f>
        <v>0</v>
      </c>
      <c r="R344" s="424">
        <f>IF(OR(R$335&lt;$C344,R$335&lt;$H$2),0,MIN($E344-SUM($G344:Q344),$F344))</f>
        <v>0</v>
      </c>
      <c r="S344" s="424">
        <f>IF(OR(S$335&lt;$C344,S$335&lt;$H$2),0,MIN($E344-SUM($G344:R344),$F344))</f>
        <v>0</v>
      </c>
      <c r="T344" s="424">
        <f>IF(OR(T$335&lt;$C344,T$335&lt;$H$2),0,MIN($E344-SUM($G344:S344),$F344))</f>
        <v>0</v>
      </c>
      <c r="U344" s="424">
        <f>IF(OR(U$335&lt;$C344,U$335&lt;$H$2),0,MIN($E344-SUM($G344:T344),$F344))</f>
        <v>0</v>
      </c>
      <c r="V344" s="424">
        <f>IF(OR(V$335&lt;$C344,V$335&lt;$H$2),0,MIN($E344-SUM($G344:U344),$F344))</f>
        <v>0</v>
      </c>
      <c r="W344" s="424">
        <f>IF(OR(W$335&lt;$C344,W$335&lt;$H$2),0,MIN($E344-SUM($G344:V344),$F344))</f>
        <v>0</v>
      </c>
      <c r="X344" s="424">
        <f>IF(OR(X$335&lt;$C344,X$335&lt;$H$2),0,MIN($E344-SUM($G344:W344),$F344))</f>
        <v>0</v>
      </c>
      <c r="Y344" s="424">
        <f>IF(OR(Y$335&lt;$C344,Y$335&lt;$H$2),0,MIN($E344-SUM($G344:X344),$F344))</f>
        <v>0</v>
      </c>
      <c r="Z344" s="424">
        <f>IF(OR(Z$335&lt;$C344,Z$335&lt;$H$2),0,MIN($E344-SUM($G344:Y344),$F344))</f>
        <v>0</v>
      </c>
      <c r="AA344" s="424">
        <f>IF(OR(AA$335&lt;$C344,AA$335&lt;$H$2),0,MIN($E344-SUM($G344:Z344),$F344))</f>
        <v>0</v>
      </c>
      <c r="AB344" s="424">
        <f>IF(OR(AB$335&lt;$C344,AB$335&lt;$H$2),0,MIN($E344-SUM($G344:AA344),$F344))</f>
        <v>0</v>
      </c>
      <c r="AC344" s="424">
        <f>IF(OR(AC$335&lt;$C344,AC$335&lt;$H$2),0,MIN($E344-SUM($G344:AB344),$F344))</f>
        <v>0</v>
      </c>
      <c r="AD344" s="424">
        <f>IF(OR(AD$335&lt;$C344,AD$335&lt;$H$2),0,MIN($E344-SUM($G344:AC344),$F344))</f>
        <v>0</v>
      </c>
      <c r="AE344" s="424">
        <f>IF(OR(AE$335&lt;$C344,AE$335&lt;$H$2),0,MIN($E344-SUM($G344:AD344),$F344))</f>
        <v>0</v>
      </c>
      <c r="AF344" s="424">
        <f>IF(OR(AF$335&lt;$C344,AF$335&lt;$H$2),0,MIN($E344-SUM($G344:AE344),$F344))</f>
        <v>0</v>
      </c>
      <c r="AG344" s="424">
        <f>IF(OR(AG$335&lt;$C344,AG$335&lt;$H$2),0,MIN($E344-SUM($G344:AF344),$F344))</f>
        <v>0</v>
      </c>
      <c r="AH344" s="424">
        <f>IF(OR(AH$335&lt;$C344,AH$335&lt;$H$2),0,MIN($E344-SUM($G344:AG344),$F344))</f>
        <v>0</v>
      </c>
      <c r="AI344" s="424">
        <f>IF(OR(AI$335&lt;$C344,AI$335&lt;$H$2),0,MIN($E344-SUM($G344:AH344),$F344))</f>
        <v>0</v>
      </c>
      <c r="AJ344" s="424">
        <f>IF(OR(AJ$335&lt;$C344,AJ$335&lt;$H$2),0,MIN($E344-SUM($G344:AI344),$F344))</f>
        <v>0</v>
      </c>
      <c r="AK344" s="424">
        <f>IF(OR(AK$335&lt;$C344,AK$335&lt;$H$2),0,MIN($E344-SUM($G344:AJ344),$F344))</f>
        <v>0</v>
      </c>
    </row>
    <row r="345" spans="3:37">
      <c r="C345" s="201">
        <v>48585</v>
      </c>
      <c r="D345" s="94" t="s">
        <v>134</v>
      </c>
      <c r="E345" s="424">
        <f t="shared" si="122"/>
        <v>0</v>
      </c>
      <c r="F345" s="209">
        <f t="shared" si="123"/>
        <v>0</v>
      </c>
      <c r="H345" s="424">
        <f>IF(OR(H$335&lt;$C345,H$335&lt;$H$2),0,MIN($E345-SUM($G345:G345),$F345))</f>
        <v>0</v>
      </c>
      <c r="I345" s="424">
        <f>IF(OR(I$335&lt;$C345,I$335&lt;$H$2),0,MIN($E345-SUM($G345:H345),$F345))</f>
        <v>0</v>
      </c>
      <c r="J345" s="424">
        <f>IF(OR(J$335&lt;$C345,J$335&lt;$H$2),0,MIN($E345-SUM($G345:I345),$F345))</f>
        <v>0</v>
      </c>
      <c r="K345" s="424">
        <f>IF(OR(K$335&lt;$C345,K$335&lt;$H$2),0,MIN($E345-SUM($G345:J345),$F345))</f>
        <v>0</v>
      </c>
      <c r="L345" s="424">
        <f>IF(OR(L$335&lt;$C345,L$335&lt;$H$2),0,MIN($E345-SUM($G345:K345),$F345))</f>
        <v>0</v>
      </c>
      <c r="M345" s="424">
        <f>IF(OR(M$335&lt;$C345,M$335&lt;$H$2),0,MIN($E345-SUM($G345:L345),$F345))</f>
        <v>0</v>
      </c>
      <c r="N345" s="424">
        <f>IF(OR(N$335&lt;$C345,N$335&lt;$H$2),0,MIN($E345-SUM($G345:M345),$F345))</f>
        <v>0</v>
      </c>
      <c r="O345" s="424">
        <f>IF(OR(O$335&lt;$C345,O$335&lt;$H$2),0,MIN($E345-SUM($G345:N345),$F345))</f>
        <v>0</v>
      </c>
      <c r="P345" s="424">
        <f>IF(OR(P$335&lt;$C345,P$335&lt;$H$2),0,MIN($E345-SUM($G345:O345),$F345))</f>
        <v>0</v>
      </c>
      <c r="Q345" s="424">
        <f>IF(OR(Q$335&lt;$C345,Q$335&lt;$H$2),0,MIN($E345-SUM($G345:P345),$F345))</f>
        <v>0</v>
      </c>
      <c r="R345" s="424">
        <f>IF(OR(R$335&lt;$C345,R$335&lt;$H$2),0,MIN($E345-SUM($G345:Q345),$F345))</f>
        <v>0</v>
      </c>
      <c r="S345" s="424">
        <f>IF(OR(S$335&lt;$C345,S$335&lt;$H$2),0,MIN($E345-SUM($G345:R345),$F345))</f>
        <v>0</v>
      </c>
      <c r="T345" s="424">
        <f>IF(OR(T$335&lt;$C345,T$335&lt;$H$2),0,MIN($E345-SUM($G345:S345),$F345))</f>
        <v>0</v>
      </c>
      <c r="U345" s="424">
        <f>IF(OR(U$335&lt;$C345,U$335&lt;$H$2),0,MIN($E345-SUM($G345:T345),$F345))</f>
        <v>0</v>
      </c>
      <c r="V345" s="424">
        <f>IF(OR(V$335&lt;$C345,V$335&lt;$H$2),0,MIN($E345-SUM($G345:U345),$F345))</f>
        <v>0</v>
      </c>
      <c r="W345" s="424">
        <f>IF(OR(W$335&lt;$C345,W$335&lt;$H$2),0,MIN($E345-SUM($G345:V345),$F345))</f>
        <v>0</v>
      </c>
      <c r="X345" s="424">
        <f>IF(OR(X$335&lt;$C345,X$335&lt;$H$2),0,MIN($E345-SUM($G345:W345),$F345))</f>
        <v>0</v>
      </c>
      <c r="Y345" s="424">
        <f>IF(OR(Y$335&lt;$C345,Y$335&lt;$H$2),0,MIN($E345-SUM($G345:X345),$F345))</f>
        <v>0</v>
      </c>
      <c r="Z345" s="424">
        <f>IF(OR(Z$335&lt;$C345,Z$335&lt;$H$2),0,MIN($E345-SUM($G345:Y345),$F345))</f>
        <v>0</v>
      </c>
      <c r="AA345" s="424">
        <f>IF(OR(AA$335&lt;$C345,AA$335&lt;$H$2),0,MIN($E345-SUM($G345:Z345),$F345))</f>
        <v>0</v>
      </c>
      <c r="AB345" s="424">
        <f>IF(OR(AB$335&lt;$C345,AB$335&lt;$H$2),0,MIN($E345-SUM($G345:AA345),$F345))</f>
        <v>0</v>
      </c>
      <c r="AC345" s="424">
        <f>IF(OR(AC$335&lt;$C345,AC$335&lt;$H$2),0,MIN($E345-SUM($G345:AB345),$F345))</f>
        <v>0</v>
      </c>
      <c r="AD345" s="424">
        <f>IF(OR(AD$335&lt;$C345,AD$335&lt;$H$2),0,MIN($E345-SUM($G345:AC345),$F345))</f>
        <v>0</v>
      </c>
      <c r="AE345" s="424">
        <f>IF(OR(AE$335&lt;$C345,AE$335&lt;$H$2),0,MIN($E345-SUM($G345:AD345),$F345))</f>
        <v>0</v>
      </c>
      <c r="AF345" s="424">
        <f>IF(OR(AF$335&lt;$C345,AF$335&lt;$H$2),0,MIN($E345-SUM($G345:AE345),$F345))</f>
        <v>0</v>
      </c>
      <c r="AG345" s="424">
        <f>IF(OR(AG$335&lt;$C345,AG$335&lt;$H$2),0,MIN($E345-SUM($G345:AF345),$F345))</f>
        <v>0</v>
      </c>
      <c r="AH345" s="424">
        <f>IF(OR(AH$335&lt;$C345,AH$335&lt;$H$2),0,MIN($E345-SUM($G345:AG345),$F345))</f>
        <v>0</v>
      </c>
      <c r="AI345" s="424">
        <f>IF(OR(AI$335&lt;$C345,AI$335&lt;$H$2),0,MIN($E345-SUM($G345:AH345),$F345))</f>
        <v>0</v>
      </c>
      <c r="AJ345" s="424">
        <f>IF(OR(AJ$335&lt;$C345,AJ$335&lt;$H$2),0,MIN($E345-SUM($G345:AI345),$F345))</f>
        <v>0</v>
      </c>
      <c r="AK345" s="424">
        <f>IF(OR(AK$335&lt;$C345,AK$335&lt;$H$2),0,MIN($E345-SUM($G345:AJ345),$F345))</f>
        <v>0</v>
      </c>
    </row>
    <row r="346" spans="3:37">
      <c r="C346" s="201">
        <v>48951</v>
      </c>
      <c r="D346" s="94" t="s">
        <v>134</v>
      </c>
      <c r="E346" s="424">
        <f t="shared" si="122"/>
        <v>0</v>
      </c>
      <c r="F346" s="209">
        <f t="shared" si="123"/>
        <v>0</v>
      </c>
      <c r="H346" s="424">
        <f>IF(OR(H$335&lt;$C346,H$335&lt;$H$2),0,MIN($E346-SUM($G346:G346),$F346))</f>
        <v>0</v>
      </c>
      <c r="I346" s="424">
        <f>IF(OR(I$335&lt;$C346,I$335&lt;$H$2),0,MIN($E346-SUM($G346:H346),$F346))</f>
        <v>0</v>
      </c>
      <c r="J346" s="424">
        <f>IF(OR(J$335&lt;$C346,J$335&lt;$H$2),0,MIN($E346-SUM($G346:I346),$F346))</f>
        <v>0</v>
      </c>
      <c r="K346" s="424">
        <f>IF(OR(K$335&lt;$C346,K$335&lt;$H$2),0,MIN($E346-SUM($G346:J346),$F346))</f>
        <v>0</v>
      </c>
      <c r="L346" s="424">
        <f>IF(OR(L$335&lt;$C346,L$335&lt;$H$2),0,MIN($E346-SUM($G346:K346),$F346))</f>
        <v>0</v>
      </c>
      <c r="M346" s="424">
        <f>IF(OR(M$335&lt;$C346,M$335&lt;$H$2),0,MIN($E346-SUM($G346:L346),$F346))</f>
        <v>0</v>
      </c>
      <c r="N346" s="424">
        <f>IF(OR(N$335&lt;$C346,N$335&lt;$H$2),0,MIN($E346-SUM($G346:M346),$F346))</f>
        <v>0</v>
      </c>
      <c r="O346" s="424">
        <f>IF(OR(O$335&lt;$C346,O$335&lt;$H$2),0,MIN($E346-SUM($G346:N346),$F346))</f>
        <v>0</v>
      </c>
      <c r="P346" s="424">
        <f>IF(OR(P$335&lt;$C346,P$335&lt;$H$2),0,MIN($E346-SUM($G346:O346),$F346))</f>
        <v>0</v>
      </c>
      <c r="Q346" s="424">
        <f>IF(OR(Q$335&lt;$C346,Q$335&lt;$H$2),0,MIN($E346-SUM($G346:P346),$F346))</f>
        <v>0</v>
      </c>
      <c r="R346" s="424">
        <f>IF(OR(R$335&lt;$C346,R$335&lt;$H$2),0,MIN($E346-SUM($G346:Q346),$F346))</f>
        <v>0</v>
      </c>
      <c r="S346" s="424">
        <f>IF(OR(S$335&lt;$C346,S$335&lt;$H$2),0,MIN($E346-SUM($G346:R346),$F346))</f>
        <v>0</v>
      </c>
      <c r="T346" s="424">
        <f>IF(OR(T$335&lt;$C346,T$335&lt;$H$2),0,MIN($E346-SUM($G346:S346),$F346))</f>
        <v>0</v>
      </c>
      <c r="U346" s="424">
        <f>IF(OR(U$335&lt;$C346,U$335&lt;$H$2),0,MIN($E346-SUM($G346:T346),$F346))</f>
        <v>0</v>
      </c>
      <c r="V346" s="424">
        <f>IF(OR(V$335&lt;$C346,V$335&lt;$H$2),0,MIN($E346-SUM($G346:U346),$F346))</f>
        <v>0</v>
      </c>
      <c r="W346" s="424">
        <f>IF(OR(W$335&lt;$C346,W$335&lt;$H$2),0,MIN($E346-SUM($G346:V346),$F346))</f>
        <v>0</v>
      </c>
      <c r="X346" s="424">
        <f>IF(OR(X$335&lt;$C346,X$335&lt;$H$2),0,MIN($E346-SUM($G346:W346),$F346))</f>
        <v>0</v>
      </c>
      <c r="Y346" s="424">
        <f>IF(OR(Y$335&lt;$C346,Y$335&lt;$H$2),0,MIN($E346-SUM($G346:X346),$F346))</f>
        <v>0</v>
      </c>
      <c r="Z346" s="424">
        <f>IF(OR(Z$335&lt;$C346,Z$335&lt;$H$2),0,MIN($E346-SUM($G346:Y346),$F346))</f>
        <v>0</v>
      </c>
      <c r="AA346" s="424">
        <f>IF(OR(AA$335&lt;$C346,AA$335&lt;$H$2),0,MIN($E346-SUM($G346:Z346),$F346))</f>
        <v>0</v>
      </c>
      <c r="AB346" s="424">
        <f>IF(OR(AB$335&lt;$C346,AB$335&lt;$H$2),0,MIN($E346-SUM($G346:AA346),$F346))</f>
        <v>0</v>
      </c>
      <c r="AC346" s="424">
        <f>IF(OR(AC$335&lt;$C346,AC$335&lt;$H$2),0,MIN($E346-SUM($G346:AB346),$F346))</f>
        <v>0</v>
      </c>
      <c r="AD346" s="424">
        <f>IF(OR(AD$335&lt;$C346,AD$335&lt;$H$2),0,MIN($E346-SUM($G346:AC346),$F346))</f>
        <v>0</v>
      </c>
      <c r="AE346" s="424">
        <f>IF(OR(AE$335&lt;$C346,AE$335&lt;$H$2),0,MIN($E346-SUM($G346:AD346),$F346))</f>
        <v>0</v>
      </c>
      <c r="AF346" s="424">
        <f>IF(OR(AF$335&lt;$C346,AF$335&lt;$H$2),0,MIN($E346-SUM($G346:AE346),$F346))</f>
        <v>0</v>
      </c>
      <c r="AG346" s="424">
        <f>IF(OR(AG$335&lt;$C346,AG$335&lt;$H$2),0,MIN($E346-SUM($G346:AF346),$F346))</f>
        <v>0</v>
      </c>
      <c r="AH346" s="424">
        <f>IF(OR(AH$335&lt;$C346,AH$335&lt;$H$2),0,MIN($E346-SUM($G346:AG346),$F346))</f>
        <v>0</v>
      </c>
      <c r="AI346" s="424">
        <f>IF(OR(AI$335&lt;$C346,AI$335&lt;$H$2),0,MIN($E346-SUM($G346:AH346),$F346))</f>
        <v>0</v>
      </c>
      <c r="AJ346" s="424">
        <f>IF(OR(AJ$335&lt;$C346,AJ$335&lt;$H$2),0,MIN($E346-SUM($G346:AI346),$F346))</f>
        <v>0</v>
      </c>
      <c r="AK346" s="424">
        <f>IF(OR(AK$335&lt;$C346,AK$335&lt;$H$2),0,MIN($E346-SUM($G346:AJ346),$F346))</f>
        <v>0</v>
      </c>
    </row>
    <row r="347" spans="3:37">
      <c r="C347" s="201">
        <v>49317</v>
      </c>
      <c r="D347" s="94" t="s">
        <v>134</v>
      </c>
      <c r="E347" s="424">
        <f t="shared" si="122"/>
        <v>0</v>
      </c>
      <c r="F347" s="209">
        <f t="shared" si="123"/>
        <v>0</v>
      </c>
      <c r="H347" s="424">
        <f>IF(OR(H$335&lt;$C347,H$335&lt;$H$2),0,MIN($E347-SUM($G347:G347),$F347))</f>
        <v>0</v>
      </c>
      <c r="I347" s="424">
        <f>IF(OR(I$335&lt;$C347,I$335&lt;$H$2),0,MIN($E347-SUM($G347:H347),$F347))</f>
        <v>0</v>
      </c>
      <c r="J347" s="424">
        <f>IF(OR(J$335&lt;$C347,J$335&lt;$H$2),0,MIN($E347-SUM($G347:I347),$F347))</f>
        <v>0</v>
      </c>
      <c r="K347" s="424">
        <f>IF(OR(K$335&lt;$C347,K$335&lt;$H$2),0,MIN($E347-SUM($G347:J347),$F347))</f>
        <v>0</v>
      </c>
      <c r="L347" s="424">
        <f>IF(OR(L$335&lt;$C347,L$335&lt;$H$2),0,MIN($E347-SUM($G347:K347),$F347))</f>
        <v>0</v>
      </c>
      <c r="M347" s="424">
        <f>IF(OR(M$335&lt;$C347,M$335&lt;$H$2),0,MIN($E347-SUM($G347:L347),$F347))</f>
        <v>0</v>
      </c>
      <c r="N347" s="424">
        <f>IF(OR(N$335&lt;$C347,N$335&lt;$H$2),0,MIN($E347-SUM($G347:M347),$F347))</f>
        <v>0</v>
      </c>
      <c r="O347" s="424">
        <f>IF(OR(O$335&lt;$C347,O$335&lt;$H$2),0,MIN($E347-SUM($G347:N347),$F347))</f>
        <v>0</v>
      </c>
      <c r="P347" s="424">
        <f>IF(OR(P$335&lt;$C347,P$335&lt;$H$2),0,MIN($E347-SUM($G347:O347),$F347))</f>
        <v>0</v>
      </c>
      <c r="Q347" s="424">
        <f>IF(OR(Q$335&lt;$C347,Q$335&lt;$H$2),0,MIN($E347-SUM($G347:P347),$F347))</f>
        <v>0</v>
      </c>
      <c r="R347" s="424">
        <f>IF(OR(R$335&lt;$C347,R$335&lt;$H$2),0,MIN($E347-SUM($G347:Q347),$F347))</f>
        <v>0</v>
      </c>
      <c r="S347" s="424">
        <f>IF(OR(S$335&lt;$C347,S$335&lt;$H$2),0,MIN($E347-SUM($G347:R347),$F347))</f>
        <v>0</v>
      </c>
      <c r="T347" s="424">
        <f>IF(OR(T$335&lt;$C347,T$335&lt;$H$2),0,MIN($E347-SUM($G347:S347),$F347))</f>
        <v>0</v>
      </c>
      <c r="U347" s="424">
        <f>IF(OR(U$335&lt;$C347,U$335&lt;$H$2),0,MIN($E347-SUM($G347:T347),$F347))</f>
        <v>0</v>
      </c>
      <c r="V347" s="424">
        <f>IF(OR(V$335&lt;$C347,V$335&lt;$H$2),0,MIN($E347-SUM($G347:U347),$F347))</f>
        <v>0</v>
      </c>
      <c r="W347" s="424">
        <f>IF(OR(W$335&lt;$C347,W$335&lt;$H$2),0,MIN($E347-SUM($G347:V347),$F347))</f>
        <v>0</v>
      </c>
      <c r="X347" s="424">
        <f>IF(OR(X$335&lt;$C347,X$335&lt;$H$2),0,MIN($E347-SUM($G347:W347),$F347))</f>
        <v>0</v>
      </c>
      <c r="Y347" s="424">
        <f>IF(OR(Y$335&lt;$C347,Y$335&lt;$H$2),0,MIN($E347-SUM($G347:X347),$F347))</f>
        <v>0</v>
      </c>
      <c r="Z347" s="424">
        <f>IF(OR(Z$335&lt;$C347,Z$335&lt;$H$2),0,MIN($E347-SUM($G347:Y347),$F347))</f>
        <v>0</v>
      </c>
      <c r="AA347" s="424">
        <f>IF(OR(AA$335&lt;$C347,AA$335&lt;$H$2),0,MIN($E347-SUM($G347:Z347),$F347))</f>
        <v>0</v>
      </c>
      <c r="AB347" s="424">
        <f>IF(OR(AB$335&lt;$C347,AB$335&lt;$H$2),0,MIN($E347-SUM($G347:AA347),$F347))</f>
        <v>0</v>
      </c>
      <c r="AC347" s="424">
        <f>IF(OR(AC$335&lt;$C347,AC$335&lt;$H$2),0,MIN($E347-SUM($G347:AB347),$F347))</f>
        <v>0</v>
      </c>
      <c r="AD347" s="424">
        <f>IF(OR(AD$335&lt;$C347,AD$335&lt;$H$2),0,MIN($E347-SUM($G347:AC347),$F347))</f>
        <v>0</v>
      </c>
      <c r="AE347" s="424">
        <f>IF(OR(AE$335&lt;$C347,AE$335&lt;$H$2),0,MIN($E347-SUM($G347:AD347),$F347))</f>
        <v>0</v>
      </c>
      <c r="AF347" s="424">
        <f>IF(OR(AF$335&lt;$C347,AF$335&lt;$H$2),0,MIN($E347-SUM($G347:AE347),$F347))</f>
        <v>0</v>
      </c>
      <c r="AG347" s="424">
        <f>IF(OR(AG$335&lt;$C347,AG$335&lt;$H$2),0,MIN($E347-SUM($G347:AF347),$F347))</f>
        <v>0</v>
      </c>
      <c r="AH347" s="424">
        <f>IF(OR(AH$335&lt;$C347,AH$335&lt;$H$2),0,MIN($E347-SUM($G347:AG347),$F347))</f>
        <v>0</v>
      </c>
      <c r="AI347" s="424">
        <f>IF(OR(AI$335&lt;$C347,AI$335&lt;$H$2),0,MIN($E347-SUM($G347:AH347),$F347))</f>
        <v>0</v>
      </c>
      <c r="AJ347" s="424">
        <f>IF(OR(AJ$335&lt;$C347,AJ$335&lt;$H$2),0,MIN($E347-SUM($G347:AI347),$F347))</f>
        <v>0</v>
      </c>
      <c r="AK347" s="424">
        <f>IF(OR(AK$335&lt;$C347,AK$335&lt;$H$2),0,MIN($E347-SUM($G347:AJ347),$F347))</f>
        <v>0</v>
      </c>
    </row>
    <row r="348" spans="3:37">
      <c r="C348" s="201">
        <v>49683</v>
      </c>
      <c r="D348" s="94" t="s">
        <v>134</v>
      </c>
      <c r="E348" s="424">
        <f t="shared" si="122"/>
        <v>0</v>
      </c>
      <c r="F348" s="209">
        <f t="shared" si="123"/>
        <v>0</v>
      </c>
      <c r="H348" s="424">
        <f>IF(OR(H$335&lt;$C348,H$335&lt;$H$2),0,MIN($E348-SUM($G348:G348),$F348))</f>
        <v>0</v>
      </c>
      <c r="I348" s="424">
        <f>IF(OR(I$335&lt;$C348,I$335&lt;$H$2),0,MIN($E348-SUM($G348:H348),$F348))</f>
        <v>0</v>
      </c>
      <c r="J348" s="424">
        <f>IF(OR(J$335&lt;$C348,J$335&lt;$H$2),0,MIN($E348-SUM($G348:I348),$F348))</f>
        <v>0</v>
      </c>
      <c r="K348" s="424">
        <f>IF(OR(K$335&lt;$C348,K$335&lt;$H$2),0,MIN($E348-SUM($G348:J348),$F348))</f>
        <v>0</v>
      </c>
      <c r="L348" s="424">
        <f>IF(OR(L$335&lt;$C348,L$335&lt;$H$2),0,MIN($E348-SUM($G348:K348),$F348))</f>
        <v>0</v>
      </c>
      <c r="M348" s="424">
        <f>IF(OR(M$335&lt;$C348,M$335&lt;$H$2),0,MIN($E348-SUM($G348:L348),$F348))</f>
        <v>0</v>
      </c>
      <c r="N348" s="424">
        <f>IF(OR(N$335&lt;$C348,N$335&lt;$H$2),0,MIN($E348-SUM($G348:M348),$F348))</f>
        <v>0</v>
      </c>
      <c r="O348" s="424">
        <f>IF(OR(O$335&lt;$C348,O$335&lt;$H$2),0,MIN($E348-SUM($G348:N348),$F348))</f>
        <v>0</v>
      </c>
      <c r="P348" s="424">
        <f>IF(OR(P$335&lt;$C348,P$335&lt;$H$2),0,MIN($E348-SUM($G348:O348),$F348))</f>
        <v>0</v>
      </c>
      <c r="Q348" s="424">
        <f>IF(OR(Q$335&lt;$C348,Q$335&lt;$H$2),0,MIN($E348-SUM($G348:P348),$F348))</f>
        <v>0</v>
      </c>
      <c r="R348" s="424">
        <f>IF(OR(R$335&lt;$C348,R$335&lt;$H$2),0,MIN($E348-SUM($G348:Q348),$F348))</f>
        <v>0</v>
      </c>
      <c r="S348" s="424">
        <f>IF(OR(S$335&lt;$C348,S$335&lt;$H$2),0,MIN($E348-SUM($G348:R348),$F348))</f>
        <v>0</v>
      </c>
      <c r="T348" s="424">
        <f>IF(OR(T$335&lt;$C348,T$335&lt;$H$2),0,MIN($E348-SUM($G348:S348),$F348))</f>
        <v>0</v>
      </c>
      <c r="U348" s="424">
        <f>IF(OR(U$335&lt;$C348,U$335&lt;$H$2),0,MIN($E348-SUM($G348:T348),$F348))</f>
        <v>0</v>
      </c>
      <c r="V348" s="424">
        <f>IF(OR(V$335&lt;$C348,V$335&lt;$H$2),0,MIN($E348-SUM($G348:U348),$F348))</f>
        <v>0</v>
      </c>
      <c r="W348" s="424">
        <f>IF(OR(W$335&lt;$C348,W$335&lt;$H$2),0,MIN($E348-SUM($G348:V348),$F348))</f>
        <v>0</v>
      </c>
      <c r="X348" s="424">
        <f>IF(OR(X$335&lt;$C348,X$335&lt;$H$2),0,MIN($E348-SUM($G348:W348),$F348))</f>
        <v>0</v>
      </c>
      <c r="Y348" s="424">
        <f>IF(OR(Y$335&lt;$C348,Y$335&lt;$H$2),0,MIN($E348-SUM($G348:X348),$F348))</f>
        <v>0</v>
      </c>
      <c r="Z348" s="424">
        <f>IF(OR(Z$335&lt;$C348,Z$335&lt;$H$2),0,MIN($E348-SUM($G348:Y348),$F348))</f>
        <v>0</v>
      </c>
      <c r="AA348" s="424">
        <f>IF(OR(AA$335&lt;$C348,AA$335&lt;$H$2),0,MIN($E348-SUM($G348:Z348),$F348))</f>
        <v>0</v>
      </c>
      <c r="AB348" s="424">
        <f>IF(OR(AB$335&lt;$C348,AB$335&lt;$H$2),0,MIN($E348-SUM($G348:AA348),$F348))</f>
        <v>0</v>
      </c>
      <c r="AC348" s="424">
        <f>IF(OR(AC$335&lt;$C348,AC$335&lt;$H$2),0,MIN($E348-SUM($G348:AB348),$F348))</f>
        <v>0</v>
      </c>
      <c r="AD348" s="424">
        <f>IF(OR(AD$335&lt;$C348,AD$335&lt;$H$2),0,MIN($E348-SUM($G348:AC348),$F348))</f>
        <v>0</v>
      </c>
      <c r="AE348" s="424">
        <f>IF(OR(AE$335&lt;$C348,AE$335&lt;$H$2),0,MIN($E348-SUM($G348:AD348),$F348))</f>
        <v>0</v>
      </c>
      <c r="AF348" s="424">
        <f>IF(OR(AF$335&lt;$C348,AF$335&lt;$H$2),0,MIN($E348-SUM($G348:AE348),$F348))</f>
        <v>0</v>
      </c>
      <c r="AG348" s="424">
        <f>IF(OR(AG$335&lt;$C348,AG$335&lt;$H$2),0,MIN($E348-SUM($G348:AF348),$F348))</f>
        <v>0</v>
      </c>
      <c r="AH348" s="424">
        <f>IF(OR(AH$335&lt;$C348,AH$335&lt;$H$2),0,MIN($E348-SUM($G348:AG348),$F348))</f>
        <v>0</v>
      </c>
      <c r="AI348" s="424">
        <f>IF(OR(AI$335&lt;$C348,AI$335&lt;$H$2),0,MIN($E348-SUM($G348:AH348),$F348))</f>
        <v>0</v>
      </c>
      <c r="AJ348" s="424">
        <f>IF(OR(AJ$335&lt;$C348,AJ$335&lt;$H$2),0,MIN($E348-SUM($G348:AI348),$F348))</f>
        <v>0</v>
      </c>
      <c r="AK348" s="424">
        <f>IF(OR(AK$335&lt;$C348,AK$335&lt;$H$2),0,MIN($E348-SUM($G348:AJ348),$F348))</f>
        <v>0</v>
      </c>
    </row>
    <row r="349" spans="3:37">
      <c r="C349" s="201">
        <v>50049</v>
      </c>
      <c r="D349" s="94" t="s">
        <v>134</v>
      </c>
      <c r="E349" s="424">
        <f t="shared" si="122"/>
        <v>0</v>
      </c>
      <c r="F349" s="209">
        <f t="shared" si="123"/>
        <v>0</v>
      </c>
      <c r="H349" s="424">
        <f>IF(OR(H$335&lt;$C349,H$335&lt;$H$2),0,MIN($E349-SUM($G349:G349),$F349))</f>
        <v>0</v>
      </c>
      <c r="I349" s="424">
        <f>IF(OR(I$335&lt;$C349,I$335&lt;$H$2),0,MIN($E349-SUM($G349:H349),$F349))</f>
        <v>0</v>
      </c>
      <c r="J349" s="424">
        <f>IF(OR(J$335&lt;$C349,J$335&lt;$H$2),0,MIN($E349-SUM($G349:I349),$F349))</f>
        <v>0</v>
      </c>
      <c r="K349" s="424">
        <f>IF(OR(K$335&lt;$C349,K$335&lt;$H$2),0,MIN($E349-SUM($G349:J349),$F349))</f>
        <v>0</v>
      </c>
      <c r="L349" s="424">
        <f>IF(OR(L$335&lt;$C349,L$335&lt;$H$2),0,MIN($E349-SUM($G349:K349),$F349))</f>
        <v>0</v>
      </c>
      <c r="M349" s="424">
        <f>IF(OR(M$335&lt;$C349,M$335&lt;$H$2),0,MIN($E349-SUM($G349:L349),$F349))</f>
        <v>0</v>
      </c>
      <c r="N349" s="424">
        <f>IF(OR(N$335&lt;$C349,N$335&lt;$H$2),0,MIN($E349-SUM($G349:M349),$F349))</f>
        <v>0</v>
      </c>
      <c r="O349" s="424">
        <f>IF(OR(O$335&lt;$C349,O$335&lt;$H$2),0,MIN($E349-SUM($G349:N349),$F349))</f>
        <v>0</v>
      </c>
      <c r="P349" s="424">
        <f>IF(OR(P$335&lt;$C349,P$335&lt;$H$2),0,MIN($E349-SUM($G349:O349),$F349))</f>
        <v>0</v>
      </c>
      <c r="Q349" s="424">
        <f>IF(OR(Q$335&lt;$C349,Q$335&lt;$H$2),0,MIN($E349-SUM($G349:P349),$F349))</f>
        <v>0</v>
      </c>
      <c r="R349" s="424">
        <f>IF(OR(R$335&lt;$C349,R$335&lt;$H$2),0,MIN($E349-SUM($G349:Q349),$F349))</f>
        <v>0</v>
      </c>
      <c r="S349" s="424">
        <f>IF(OR(S$335&lt;$C349,S$335&lt;$H$2),0,MIN($E349-SUM($G349:R349),$F349))</f>
        <v>0</v>
      </c>
      <c r="T349" s="424">
        <f>IF(OR(T$335&lt;$C349,T$335&lt;$H$2),0,MIN($E349-SUM($G349:S349),$F349))</f>
        <v>0</v>
      </c>
      <c r="U349" s="424">
        <f>IF(OR(U$335&lt;$C349,U$335&lt;$H$2),0,MIN($E349-SUM($G349:T349),$F349))</f>
        <v>0</v>
      </c>
      <c r="V349" s="424">
        <f>IF(OR(V$335&lt;$C349,V$335&lt;$H$2),0,MIN($E349-SUM($G349:U349),$F349))</f>
        <v>0</v>
      </c>
      <c r="W349" s="424">
        <f>IF(OR(W$335&lt;$C349,W$335&lt;$H$2),0,MIN($E349-SUM($G349:V349),$F349))</f>
        <v>0</v>
      </c>
      <c r="X349" s="424">
        <f>IF(OR(X$335&lt;$C349,X$335&lt;$H$2),0,MIN($E349-SUM($G349:W349),$F349))</f>
        <v>0</v>
      </c>
      <c r="Y349" s="424">
        <f>IF(OR(Y$335&lt;$C349,Y$335&lt;$H$2),0,MIN($E349-SUM($G349:X349),$F349))</f>
        <v>0</v>
      </c>
      <c r="Z349" s="424">
        <f>IF(OR(Z$335&lt;$C349,Z$335&lt;$H$2),0,MIN($E349-SUM($G349:Y349),$F349))</f>
        <v>0</v>
      </c>
      <c r="AA349" s="424">
        <f>IF(OR(AA$335&lt;$C349,AA$335&lt;$H$2),0,MIN($E349-SUM($G349:Z349),$F349))</f>
        <v>0</v>
      </c>
      <c r="AB349" s="424">
        <f>IF(OR(AB$335&lt;$C349,AB$335&lt;$H$2),0,MIN($E349-SUM($G349:AA349),$F349))</f>
        <v>0</v>
      </c>
      <c r="AC349" s="424">
        <f>IF(OR(AC$335&lt;$C349,AC$335&lt;$H$2),0,MIN($E349-SUM($G349:AB349),$F349))</f>
        <v>0</v>
      </c>
      <c r="AD349" s="424">
        <f>IF(OR(AD$335&lt;$C349,AD$335&lt;$H$2),0,MIN($E349-SUM($G349:AC349),$F349))</f>
        <v>0</v>
      </c>
      <c r="AE349" s="424">
        <f>IF(OR(AE$335&lt;$C349,AE$335&lt;$H$2),0,MIN($E349-SUM($G349:AD349),$F349))</f>
        <v>0</v>
      </c>
      <c r="AF349" s="424">
        <f>IF(OR(AF$335&lt;$C349,AF$335&lt;$H$2),0,MIN($E349-SUM($G349:AE349),$F349))</f>
        <v>0</v>
      </c>
      <c r="AG349" s="424">
        <f>IF(OR(AG$335&lt;$C349,AG$335&lt;$H$2),0,MIN($E349-SUM($G349:AF349),$F349))</f>
        <v>0</v>
      </c>
      <c r="AH349" s="424">
        <f>IF(OR(AH$335&lt;$C349,AH$335&lt;$H$2),0,MIN($E349-SUM($G349:AG349),$F349))</f>
        <v>0</v>
      </c>
      <c r="AI349" s="424">
        <f>IF(OR(AI$335&lt;$C349,AI$335&lt;$H$2),0,MIN($E349-SUM($G349:AH349),$F349))</f>
        <v>0</v>
      </c>
      <c r="AJ349" s="424">
        <f>IF(OR(AJ$335&lt;$C349,AJ$335&lt;$H$2),0,MIN($E349-SUM($G349:AI349),$F349))</f>
        <v>0</v>
      </c>
      <c r="AK349" s="424">
        <f>IF(OR(AK$335&lt;$C349,AK$335&lt;$H$2),0,MIN($E349-SUM($G349:AJ349),$F349))</f>
        <v>0</v>
      </c>
    </row>
    <row r="350" spans="3:37">
      <c r="C350" s="201">
        <v>50415</v>
      </c>
      <c r="D350" s="94" t="s">
        <v>134</v>
      </c>
      <c r="E350" s="424">
        <f t="shared" si="122"/>
        <v>0</v>
      </c>
      <c r="F350" s="209">
        <f t="shared" si="123"/>
        <v>0</v>
      </c>
      <c r="H350" s="424">
        <f>IF(OR(H$335&lt;$C350,H$335&lt;$H$2),0,MIN($E350-SUM($G350:G350),$F350))</f>
        <v>0</v>
      </c>
      <c r="I350" s="424">
        <f>IF(OR(I$335&lt;$C350,I$335&lt;$H$2),0,MIN($E350-SUM($G350:H350),$F350))</f>
        <v>0</v>
      </c>
      <c r="J350" s="424">
        <f>IF(OR(J$335&lt;$C350,J$335&lt;$H$2),0,MIN($E350-SUM($G350:I350),$F350))</f>
        <v>0</v>
      </c>
      <c r="K350" s="424">
        <f>IF(OR(K$335&lt;$C350,K$335&lt;$H$2),0,MIN($E350-SUM($G350:J350),$F350))</f>
        <v>0</v>
      </c>
      <c r="L350" s="424">
        <f>IF(OR(L$335&lt;$C350,L$335&lt;$H$2),0,MIN($E350-SUM($G350:K350),$F350))</f>
        <v>0</v>
      </c>
      <c r="M350" s="424">
        <f>IF(OR(M$335&lt;$C350,M$335&lt;$H$2),0,MIN($E350-SUM($G350:L350),$F350))</f>
        <v>0</v>
      </c>
      <c r="N350" s="424">
        <f>IF(OR(N$335&lt;$C350,N$335&lt;$H$2),0,MIN($E350-SUM($G350:M350),$F350))</f>
        <v>0</v>
      </c>
      <c r="O350" s="424">
        <f>IF(OR(O$335&lt;$C350,O$335&lt;$H$2),0,MIN($E350-SUM($G350:N350),$F350))</f>
        <v>0</v>
      </c>
      <c r="P350" s="424">
        <f>IF(OR(P$335&lt;$C350,P$335&lt;$H$2),0,MIN($E350-SUM($G350:O350),$F350))</f>
        <v>0</v>
      </c>
      <c r="Q350" s="424">
        <f>IF(OR(Q$335&lt;$C350,Q$335&lt;$H$2),0,MIN($E350-SUM($G350:P350),$F350))</f>
        <v>0</v>
      </c>
      <c r="R350" s="424">
        <f>IF(OR(R$335&lt;$C350,R$335&lt;$H$2),0,MIN($E350-SUM($G350:Q350),$F350))</f>
        <v>0</v>
      </c>
      <c r="S350" s="424">
        <f>IF(OR(S$335&lt;$C350,S$335&lt;$H$2),0,MIN($E350-SUM($G350:R350),$F350))</f>
        <v>0</v>
      </c>
      <c r="T350" s="424">
        <f>IF(OR(T$335&lt;$C350,T$335&lt;$H$2),0,MIN($E350-SUM($G350:S350),$F350))</f>
        <v>0</v>
      </c>
      <c r="U350" s="424">
        <f>IF(OR(U$335&lt;$C350,U$335&lt;$H$2),0,MIN($E350-SUM($G350:T350),$F350))</f>
        <v>0</v>
      </c>
      <c r="V350" s="424">
        <f>IF(OR(V$335&lt;$C350,V$335&lt;$H$2),0,MIN($E350-SUM($G350:U350),$F350))</f>
        <v>0</v>
      </c>
      <c r="W350" s="424">
        <f>IF(OR(W$335&lt;$C350,W$335&lt;$H$2),0,MIN($E350-SUM($G350:V350),$F350))</f>
        <v>0</v>
      </c>
      <c r="X350" s="424">
        <f>IF(OR(X$335&lt;$C350,X$335&lt;$H$2),0,MIN($E350-SUM($G350:W350),$F350))</f>
        <v>0</v>
      </c>
      <c r="Y350" s="424">
        <f>IF(OR(Y$335&lt;$C350,Y$335&lt;$H$2),0,MIN($E350-SUM($G350:X350),$F350))</f>
        <v>0</v>
      </c>
      <c r="Z350" s="424">
        <f>IF(OR(Z$335&lt;$C350,Z$335&lt;$H$2),0,MIN($E350-SUM($G350:Y350),$F350))</f>
        <v>0</v>
      </c>
      <c r="AA350" s="424">
        <f>IF(OR(AA$335&lt;$C350,AA$335&lt;$H$2),0,MIN($E350-SUM($G350:Z350),$F350))</f>
        <v>0</v>
      </c>
      <c r="AB350" s="424">
        <f>IF(OR(AB$335&lt;$C350,AB$335&lt;$H$2),0,MIN($E350-SUM($G350:AA350),$F350))</f>
        <v>0</v>
      </c>
      <c r="AC350" s="424">
        <f>IF(OR(AC$335&lt;$C350,AC$335&lt;$H$2),0,MIN($E350-SUM($G350:AB350),$F350))</f>
        <v>0</v>
      </c>
      <c r="AD350" s="424">
        <f>IF(OR(AD$335&lt;$C350,AD$335&lt;$H$2),0,MIN($E350-SUM($G350:AC350),$F350))</f>
        <v>0</v>
      </c>
      <c r="AE350" s="424">
        <f>IF(OR(AE$335&lt;$C350,AE$335&lt;$H$2),0,MIN($E350-SUM($G350:AD350),$F350))</f>
        <v>0</v>
      </c>
      <c r="AF350" s="424">
        <f>IF(OR(AF$335&lt;$C350,AF$335&lt;$H$2),0,MIN($E350-SUM($G350:AE350),$F350))</f>
        <v>0</v>
      </c>
      <c r="AG350" s="424">
        <f>IF(OR(AG$335&lt;$C350,AG$335&lt;$H$2),0,MIN($E350-SUM($G350:AF350),$F350))</f>
        <v>0</v>
      </c>
      <c r="AH350" s="424">
        <f>IF(OR(AH$335&lt;$C350,AH$335&lt;$H$2),0,MIN($E350-SUM($G350:AG350),$F350))</f>
        <v>0</v>
      </c>
      <c r="AI350" s="424">
        <f>IF(OR(AI$335&lt;$C350,AI$335&lt;$H$2),0,MIN($E350-SUM($G350:AH350),$F350))</f>
        <v>0</v>
      </c>
      <c r="AJ350" s="424">
        <f>IF(OR(AJ$335&lt;$C350,AJ$335&lt;$H$2),0,MIN($E350-SUM($G350:AI350),$F350))</f>
        <v>0</v>
      </c>
      <c r="AK350" s="424">
        <f>IF(OR(AK$335&lt;$C350,AK$335&lt;$H$2),0,MIN($E350-SUM($G350:AJ350),$F350))</f>
        <v>0</v>
      </c>
    </row>
    <row r="351" spans="3:37">
      <c r="C351" s="201">
        <v>50781</v>
      </c>
      <c r="D351" s="94" t="s">
        <v>134</v>
      </c>
      <c r="E351" s="424">
        <f t="shared" si="122"/>
        <v>0</v>
      </c>
      <c r="F351" s="209">
        <f t="shared" si="123"/>
        <v>0</v>
      </c>
      <c r="H351" s="424">
        <f>IF(OR(H$335&lt;$C351,H$335&lt;$H$2),0,MIN($E351-SUM($G351:G351),$F351))</f>
        <v>0</v>
      </c>
      <c r="I351" s="424">
        <f>IF(OR(I$335&lt;$C351,I$335&lt;$H$2),0,MIN($E351-SUM($G351:H351),$F351))</f>
        <v>0</v>
      </c>
      <c r="J351" s="424">
        <f>IF(OR(J$335&lt;$C351,J$335&lt;$H$2),0,MIN($E351-SUM($G351:I351),$F351))</f>
        <v>0</v>
      </c>
      <c r="K351" s="424">
        <f>IF(OR(K$335&lt;$C351,K$335&lt;$H$2),0,MIN($E351-SUM($G351:J351),$F351))</f>
        <v>0</v>
      </c>
      <c r="L351" s="424">
        <f>IF(OR(L$335&lt;$C351,L$335&lt;$H$2),0,MIN($E351-SUM($G351:K351),$F351))</f>
        <v>0</v>
      </c>
      <c r="M351" s="424">
        <f>IF(OR(M$335&lt;$C351,M$335&lt;$H$2),0,MIN($E351-SUM($G351:L351),$F351))</f>
        <v>0</v>
      </c>
      <c r="N351" s="424">
        <f>IF(OR(N$335&lt;$C351,N$335&lt;$H$2),0,MIN($E351-SUM($G351:M351),$F351))</f>
        <v>0</v>
      </c>
      <c r="O351" s="424">
        <f>IF(OR(O$335&lt;$C351,O$335&lt;$H$2),0,MIN($E351-SUM($G351:N351),$F351))</f>
        <v>0</v>
      </c>
      <c r="P351" s="424">
        <f>IF(OR(P$335&lt;$C351,P$335&lt;$H$2),0,MIN($E351-SUM($G351:O351),$F351))</f>
        <v>0</v>
      </c>
      <c r="Q351" s="424">
        <f>IF(OR(Q$335&lt;$C351,Q$335&lt;$H$2),0,MIN($E351-SUM($G351:P351),$F351))</f>
        <v>0</v>
      </c>
      <c r="R351" s="424">
        <f>IF(OR(R$335&lt;$C351,R$335&lt;$H$2),0,MIN($E351-SUM($G351:Q351),$F351))</f>
        <v>0</v>
      </c>
      <c r="S351" s="424">
        <f>IF(OR(S$335&lt;$C351,S$335&lt;$H$2),0,MIN($E351-SUM($G351:R351),$F351))</f>
        <v>0</v>
      </c>
      <c r="T351" s="424">
        <f>IF(OR(T$335&lt;$C351,T$335&lt;$H$2),0,MIN($E351-SUM($G351:S351),$F351))</f>
        <v>0</v>
      </c>
      <c r="U351" s="424">
        <f>IF(OR(U$335&lt;$C351,U$335&lt;$H$2),0,MIN($E351-SUM($G351:T351),$F351))</f>
        <v>0</v>
      </c>
      <c r="V351" s="424">
        <f>IF(OR(V$335&lt;$C351,V$335&lt;$H$2),0,MIN($E351-SUM($G351:U351),$F351))</f>
        <v>0</v>
      </c>
      <c r="W351" s="424">
        <f>IF(OR(W$335&lt;$C351,W$335&lt;$H$2),0,MIN($E351-SUM($G351:V351),$F351))</f>
        <v>0</v>
      </c>
      <c r="X351" s="424">
        <f>IF(OR(X$335&lt;$C351,X$335&lt;$H$2),0,MIN($E351-SUM($G351:W351),$F351))</f>
        <v>0</v>
      </c>
      <c r="Y351" s="424">
        <f>IF(OR(Y$335&lt;$C351,Y$335&lt;$H$2),0,MIN($E351-SUM($G351:X351),$F351))</f>
        <v>0</v>
      </c>
      <c r="Z351" s="424">
        <f>IF(OR(Z$335&lt;$C351,Z$335&lt;$H$2),0,MIN($E351-SUM($G351:Y351),$F351))</f>
        <v>0</v>
      </c>
      <c r="AA351" s="424">
        <f>IF(OR(AA$335&lt;$C351,AA$335&lt;$H$2),0,MIN($E351-SUM($G351:Z351),$F351))</f>
        <v>0</v>
      </c>
      <c r="AB351" s="424">
        <f>IF(OR(AB$335&lt;$C351,AB$335&lt;$H$2),0,MIN($E351-SUM($G351:AA351),$F351))</f>
        <v>0</v>
      </c>
      <c r="AC351" s="424">
        <f>IF(OR(AC$335&lt;$C351,AC$335&lt;$H$2),0,MIN($E351-SUM($G351:AB351),$F351))</f>
        <v>0</v>
      </c>
      <c r="AD351" s="424">
        <f>IF(OR(AD$335&lt;$C351,AD$335&lt;$H$2),0,MIN($E351-SUM($G351:AC351),$F351))</f>
        <v>0</v>
      </c>
      <c r="AE351" s="424">
        <f>IF(OR(AE$335&lt;$C351,AE$335&lt;$H$2),0,MIN($E351-SUM($G351:AD351),$F351))</f>
        <v>0</v>
      </c>
      <c r="AF351" s="424">
        <f>IF(OR(AF$335&lt;$C351,AF$335&lt;$H$2),0,MIN($E351-SUM($G351:AE351),$F351))</f>
        <v>0</v>
      </c>
      <c r="AG351" s="424">
        <f>IF(OR(AG$335&lt;$C351,AG$335&lt;$H$2),0,MIN($E351-SUM($G351:AF351),$F351))</f>
        <v>0</v>
      </c>
      <c r="AH351" s="424">
        <f>IF(OR(AH$335&lt;$C351,AH$335&lt;$H$2),0,MIN($E351-SUM($G351:AG351),$F351))</f>
        <v>0</v>
      </c>
      <c r="AI351" s="424">
        <f>IF(OR(AI$335&lt;$C351,AI$335&lt;$H$2),0,MIN($E351-SUM($G351:AH351),$F351))</f>
        <v>0</v>
      </c>
      <c r="AJ351" s="424">
        <f>IF(OR(AJ$335&lt;$C351,AJ$335&lt;$H$2),0,MIN($E351-SUM($G351:AI351),$F351))</f>
        <v>0</v>
      </c>
      <c r="AK351" s="424">
        <f>IF(OR(AK$335&lt;$C351,AK$335&lt;$H$2),0,MIN($E351-SUM($G351:AJ351),$F351))</f>
        <v>0</v>
      </c>
    </row>
    <row r="352" spans="3:37">
      <c r="C352" s="201">
        <v>51147</v>
      </c>
      <c r="D352" s="94" t="s">
        <v>134</v>
      </c>
      <c r="E352" s="424">
        <f t="shared" si="122"/>
        <v>0</v>
      </c>
      <c r="F352" s="209">
        <f t="shared" si="123"/>
        <v>0</v>
      </c>
      <c r="H352" s="424">
        <f>IF(OR(H$335&lt;$C352,H$335&lt;$H$2),0,MIN($E352-SUM($G352:G352),$F352))</f>
        <v>0</v>
      </c>
      <c r="I352" s="424">
        <f>IF(OR(I$335&lt;$C352,I$335&lt;$H$2),0,MIN($E352-SUM($G352:H352),$F352))</f>
        <v>0</v>
      </c>
      <c r="J352" s="424">
        <f>IF(OR(J$335&lt;$C352,J$335&lt;$H$2),0,MIN($E352-SUM($G352:I352),$F352))</f>
        <v>0</v>
      </c>
      <c r="K352" s="424">
        <f>IF(OR(K$335&lt;$C352,K$335&lt;$H$2),0,MIN($E352-SUM($G352:J352),$F352))</f>
        <v>0</v>
      </c>
      <c r="L352" s="424">
        <f>IF(OR(L$335&lt;$C352,L$335&lt;$H$2),0,MIN($E352-SUM($G352:K352),$F352))</f>
        <v>0</v>
      </c>
      <c r="M352" s="424">
        <f>IF(OR(M$335&lt;$C352,M$335&lt;$H$2),0,MIN($E352-SUM($G352:L352),$F352))</f>
        <v>0</v>
      </c>
      <c r="N352" s="424">
        <f>IF(OR(N$335&lt;$C352,N$335&lt;$H$2),0,MIN($E352-SUM($G352:M352),$F352))</f>
        <v>0</v>
      </c>
      <c r="O352" s="424">
        <f>IF(OR(O$335&lt;$C352,O$335&lt;$H$2),0,MIN($E352-SUM($G352:N352),$F352))</f>
        <v>0</v>
      </c>
      <c r="P352" s="424">
        <f>IF(OR(P$335&lt;$C352,P$335&lt;$H$2),0,MIN($E352-SUM($G352:O352),$F352))</f>
        <v>0</v>
      </c>
      <c r="Q352" s="424">
        <f>IF(OR(Q$335&lt;$C352,Q$335&lt;$H$2),0,MIN($E352-SUM($G352:P352),$F352))</f>
        <v>0</v>
      </c>
      <c r="R352" s="424">
        <f>IF(OR(R$335&lt;$C352,R$335&lt;$H$2),0,MIN($E352-SUM($G352:Q352),$F352))</f>
        <v>0</v>
      </c>
      <c r="S352" s="424">
        <f>IF(OR(S$335&lt;$C352,S$335&lt;$H$2),0,MIN($E352-SUM($G352:R352),$F352))</f>
        <v>0</v>
      </c>
      <c r="T352" s="424">
        <f>IF(OR(T$335&lt;$C352,T$335&lt;$H$2),0,MIN($E352-SUM($G352:S352),$F352))</f>
        <v>0</v>
      </c>
      <c r="U352" s="424">
        <f>IF(OR(U$335&lt;$C352,U$335&lt;$H$2),0,MIN($E352-SUM($G352:T352),$F352))</f>
        <v>0</v>
      </c>
      <c r="V352" s="424">
        <f>IF(OR(V$335&lt;$C352,V$335&lt;$H$2),0,MIN($E352-SUM($G352:U352),$F352))</f>
        <v>0</v>
      </c>
      <c r="W352" s="424">
        <f>IF(OR(W$335&lt;$C352,W$335&lt;$H$2),0,MIN($E352-SUM($G352:V352),$F352))</f>
        <v>0</v>
      </c>
      <c r="X352" s="424">
        <f>IF(OR(X$335&lt;$C352,X$335&lt;$H$2),0,MIN($E352-SUM($G352:W352),$F352))</f>
        <v>0</v>
      </c>
      <c r="Y352" s="424">
        <f>IF(OR(Y$335&lt;$C352,Y$335&lt;$H$2),0,MIN($E352-SUM($G352:X352),$F352))</f>
        <v>0</v>
      </c>
      <c r="Z352" s="424">
        <f>IF(OR(Z$335&lt;$C352,Z$335&lt;$H$2),0,MIN($E352-SUM($G352:Y352),$F352))</f>
        <v>0</v>
      </c>
      <c r="AA352" s="424">
        <f>IF(OR(AA$335&lt;$C352,AA$335&lt;$H$2),0,MIN($E352-SUM($G352:Z352),$F352))</f>
        <v>0</v>
      </c>
      <c r="AB352" s="424">
        <f>IF(OR(AB$335&lt;$C352,AB$335&lt;$H$2),0,MIN($E352-SUM($G352:AA352),$F352))</f>
        <v>0</v>
      </c>
      <c r="AC352" s="424">
        <f>IF(OR(AC$335&lt;$C352,AC$335&lt;$H$2),0,MIN($E352-SUM($G352:AB352),$F352))</f>
        <v>0</v>
      </c>
      <c r="AD352" s="424">
        <f>IF(OR(AD$335&lt;$C352,AD$335&lt;$H$2),0,MIN($E352-SUM($G352:AC352),$F352))</f>
        <v>0</v>
      </c>
      <c r="AE352" s="424">
        <f>IF(OR(AE$335&lt;$C352,AE$335&lt;$H$2),0,MIN($E352-SUM($G352:AD352),$F352))</f>
        <v>0</v>
      </c>
      <c r="AF352" s="424">
        <f>IF(OR(AF$335&lt;$C352,AF$335&lt;$H$2),0,MIN($E352-SUM($G352:AE352),$F352))</f>
        <v>0</v>
      </c>
      <c r="AG352" s="424">
        <f>IF(OR(AG$335&lt;$C352,AG$335&lt;$H$2),0,MIN($E352-SUM($G352:AF352),$F352))</f>
        <v>0</v>
      </c>
      <c r="AH352" s="424">
        <f>IF(OR(AH$335&lt;$C352,AH$335&lt;$H$2),0,MIN($E352-SUM($G352:AG352),$F352))</f>
        <v>0</v>
      </c>
      <c r="AI352" s="424">
        <f>IF(OR(AI$335&lt;$C352,AI$335&lt;$H$2),0,MIN($E352-SUM($G352:AH352),$F352))</f>
        <v>0</v>
      </c>
      <c r="AJ352" s="424">
        <f>IF(OR(AJ$335&lt;$C352,AJ$335&lt;$H$2),0,MIN($E352-SUM($G352:AI352),$F352))</f>
        <v>0</v>
      </c>
      <c r="AK352" s="424">
        <f>IF(OR(AK$335&lt;$C352,AK$335&lt;$H$2),0,MIN($E352-SUM($G352:AJ352),$F352))</f>
        <v>0</v>
      </c>
    </row>
    <row r="353" spans="3:37">
      <c r="C353" s="201">
        <v>51513</v>
      </c>
      <c r="D353" s="94" t="s">
        <v>134</v>
      </c>
      <c r="E353" s="424">
        <f t="shared" si="122"/>
        <v>0</v>
      </c>
      <c r="F353" s="209">
        <f t="shared" si="123"/>
        <v>0</v>
      </c>
      <c r="H353" s="424">
        <f>IF(OR(H$335&lt;$C353,H$335&lt;$H$2),0,MIN($E353-SUM($G353:G353),$F353))</f>
        <v>0</v>
      </c>
      <c r="I353" s="424">
        <f>IF(OR(I$335&lt;$C353,I$335&lt;$H$2),0,MIN($E353-SUM($G353:H353),$F353))</f>
        <v>0</v>
      </c>
      <c r="J353" s="424">
        <f>IF(OR(J$335&lt;$C353,J$335&lt;$H$2),0,MIN($E353-SUM($G353:I353),$F353))</f>
        <v>0</v>
      </c>
      <c r="K353" s="424">
        <f>IF(OR(K$335&lt;$C353,K$335&lt;$H$2),0,MIN($E353-SUM($G353:J353),$F353))</f>
        <v>0</v>
      </c>
      <c r="L353" s="424">
        <f>IF(OR(L$335&lt;$C353,L$335&lt;$H$2),0,MIN($E353-SUM($G353:K353),$F353))</f>
        <v>0</v>
      </c>
      <c r="M353" s="424">
        <f>IF(OR(M$335&lt;$C353,M$335&lt;$H$2),0,MIN($E353-SUM($G353:L353),$F353))</f>
        <v>0</v>
      </c>
      <c r="N353" s="424">
        <f>IF(OR(N$335&lt;$C353,N$335&lt;$H$2),0,MIN($E353-SUM($G353:M353),$F353))</f>
        <v>0</v>
      </c>
      <c r="O353" s="424">
        <f>IF(OR(O$335&lt;$C353,O$335&lt;$H$2),0,MIN($E353-SUM($G353:N353),$F353))</f>
        <v>0</v>
      </c>
      <c r="P353" s="424">
        <f>IF(OR(P$335&lt;$C353,P$335&lt;$H$2),0,MIN($E353-SUM($G353:O353),$F353))</f>
        <v>0</v>
      </c>
      <c r="Q353" s="424">
        <f>IF(OR(Q$335&lt;$C353,Q$335&lt;$H$2),0,MIN($E353-SUM($G353:P353),$F353))</f>
        <v>0</v>
      </c>
      <c r="R353" s="424">
        <f>IF(OR(R$335&lt;$C353,R$335&lt;$H$2),0,MIN($E353-SUM($G353:Q353),$F353))</f>
        <v>0</v>
      </c>
      <c r="S353" s="424">
        <f>IF(OR(S$335&lt;$C353,S$335&lt;$H$2),0,MIN($E353-SUM($G353:R353),$F353))</f>
        <v>0</v>
      </c>
      <c r="T353" s="424">
        <f>IF(OR(T$335&lt;$C353,T$335&lt;$H$2),0,MIN($E353-SUM($G353:S353),$F353))</f>
        <v>0</v>
      </c>
      <c r="U353" s="424">
        <f>IF(OR(U$335&lt;$C353,U$335&lt;$H$2),0,MIN($E353-SUM($G353:T353),$F353))</f>
        <v>0</v>
      </c>
      <c r="V353" s="424">
        <f>IF(OR(V$335&lt;$C353,V$335&lt;$H$2),0,MIN($E353-SUM($G353:U353),$F353))</f>
        <v>0</v>
      </c>
      <c r="W353" s="424">
        <f>IF(OR(W$335&lt;$C353,W$335&lt;$H$2),0,MIN($E353-SUM($G353:V353),$F353))</f>
        <v>0</v>
      </c>
      <c r="X353" s="424">
        <f>IF(OR(X$335&lt;$C353,X$335&lt;$H$2),0,MIN($E353-SUM($G353:W353),$F353))</f>
        <v>0</v>
      </c>
      <c r="Y353" s="424">
        <f>IF(OR(Y$335&lt;$C353,Y$335&lt;$H$2),0,MIN($E353-SUM($G353:X353),$F353))</f>
        <v>0</v>
      </c>
      <c r="Z353" s="424">
        <f>IF(OR(Z$335&lt;$C353,Z$335&lt;$H$2),0,MIN($E353-SUM($G353:Y353),$F353))</f>
        <v>0</v>
      </c>
      <c r="AA353" s="424">
        <f>IF(OR(AA$335&lt;$C353,AA$335&lt;$H$2),0,MIN($E353-SUM($G353:Z353),$F353))</f>
        <v>0</v>
      </c>
      <c r="AB353" s="424">
        <f>IF(OR(AB$335&lt;$C353,AB$335&lt;$H$2),0,MIN($E353-SUM($G353:AA353),$F353))</f>
        <v>0</v>
      </c>
      <c r="AC353" s="424">
        <f>IF(OR(AC$335&lt;$C353,AC$335&lt;$H$2),0,MIN($E353-SUM($G353:AB353),$F353))</f>
        <v>0</v>
      </c>
      <c r="AD353" s="424">
        <f>IF(OR(AD$335&lt;$C353,AD$335&lt;$H$2),0,MIN($E353-SUM($G353:AC353),$F353))</f>
        <v>0</v>
      </c>
      <c r="AE353" s="424">
        <f>IF(OR(AE$335&lt;$C353,AE$335&lt;$H$2),0,MIN($E353-SUM($G353:AD353),$F353))</f>
        <v>0</v>
      </c>
      <c r="AF353" s="424">
        <f>IF(OR(AF$335&lt;$C353,AF$335&lt;$H$2),0,MIN($E353-SUM($G353:AE353),$F353))</f>
        <v>0</v>
      </c>
      <c r="AG353" s="424">
        <f>IF(OR(AG$335&lt;$C353,AG$335&lt;$H$2),0,MIN($E353-SUM($G353:AF353),$F353))</f>
        <v>0</v>
      </c>
      <c r="AH353" s="424">
        <f>IF(OR(AH$335&lt;$C353,AH$335&lt;$H$2),0,MIN($E353-SUM($G353:AG353),$F353))</f>
        <v>0</v>
      </c>
      <c r="AI353" s="424">
        <f>IF(OR(AI$335&lt;$C353,AI$335&lt;$H$2),0,MIN($E353-SUM($G353:AH353),$F353))</f>
        <v>0</v>
      </c>
      <c r="AJ353" s="424">
        <f>IF(OR(AJ$335&lt;$C353,AJ$335&lt;$H$2),0,MIN($E353-SUM($G353:AI353),$F353))</f>
        <v>0</v>
      </c>
      <c r="AK353" s="424">
        <f>IF(OR(AK$335&lt;$C353,AK$335&lt;$H$2),0,MIN($E353-SUM($G353:AJ353),$F353))</f>
        <v>0</v>
      </c>
    </row>
    <row r="354" spans="3:37">
      <c r="C354" s="201">
        <v>51879</v>
      </c>
      <c r="D354" s="94" t="s">
        <v>134</v>
      </c>
      <c r="E354" s="424">
        <f t="shared" si="122"/>
        <v>0</v>
      </c>
      <c r="F354" s="209">
        <f t="shared" si="123"/>
        <v>0</v>
      </c>
      <c r="H354" s="424">
        <f>IF(OR(H$335&lt;$C354,H$335&lt;$H$2),0,MIN($E354-SUM($G354:G354),$F354))</f>
        <v>0</v>
      </c>
      <c r="I354" s="424">
        <f>IF(OR(I$335&lt;$C354,I$335&lt;$H$2),0,MIN($E354-SUM($G354:H354),$F354))</f>
        <v>0</v>
      </c>
      <c r="J354" s="424">
        <f>IF(OR(J$335&lt;$C354,J$335&lt;$H$2),0,MIN($E354-SUM($G354:I354),$F354))</f>
        <v>0</v>
      </c>
      <c r="K354" s="424">
        <f>IF(OR(K$335&lt;$C354,K$335&lt;$H$2),0,MIN($E354-SUM($G354:J354),$F354))</f>
        <v>0</v>
      </c>
      <c r="L354" s="424">
        <f>IF(OR(L$335&lt;$C354,L$335&lt;$H$2),0,MIN($E354-SUM($G354:K354),$F354))</f>
        <v>0</v>
      </c>
      <c r="M354" s="424">
        <f>IF(OR(M$335&lt;$C354,M$335&lt;$H$2),0,MIN($E354-SUM($G354:L354),$F354))</f>
        <v>0</v>
      </c>
      <c r="N354" s="424">
        <f>IF(OR(N$335&lt;$C354,N$335&lt;$H$2),0,MIN($E354-SUM($G354:M354),$F354))</f>
        <v>0</v>
      </c>
      <c r="O354" s="424">
        <f>IF(OR(O$335&lt;$C354,O$335&lt;$H$2),0,MIN($E354-SUM($G354:N354),$F354))</f>
        <v>0</v>
      </c>
      <c r="P354" s="424">
        <f>IF(OR(P$335&lt;$C354,P$335&lt;$H$2),0,MIN($E354-SUM($G354:O354),$F354))</f>
        <v>0</v>
      </c>
      <c r="Q354" s="424">
        <f>IF(OR(Q$335&lt;$C354,Q$335&lt;$H$2),0,MIN($E354-SUM($G354:P354),$F354))</f>
        <v>0</v>
      </c>
      <c r="R354" s="424">
        <f>IF(OR(R$335&lt;$C354,R$335&lt;$H$2),0,MIN($E354-SUM($G354:Q354),$F354))</f>
        <v>0</v>
      </c>
      <c r="S354" s="424">
        <f>IF(OR(S$335&lt;$C354,S$335&lt;$H$2),0,MIN($E354-SUM($G354:R354),$F354))</f>
        <v>0</v>
      </c>
      <c r="T354" s="424">
        <f>IF(OR(T$335&lt;$C354,T$335&lt;$H$2),0,MIN($E354-SUM($G354:S354),$F354))</f>
        <v>0</v>
      </c>
      <c r="U354" s="424">
        <f>IF(OR(U$335&lt;$C354,U$335&lt;$H$2),0,MIN($E354-SUM($G354:T354),$F354))</f>
        <v>0</v>
      </c>
      <c r="V354" s="424">
        <f>IF(OR(V$335&lt;$C354,V$335&lt;$H$2),0,MIN($E354-SUM($G354:U354),$F354))</f>
        <v>0</v>
      </c>
      <c r="W354" s="424">
        <f>IF(OR(W$335&lt;$C354,W$335&lt;$H$2),0,MIN($E354-SUM($G354:V354),$F354))</f>
        <v>0</v>
      </c>
      <c r="X354" s="424">
        <f>IF(OR(X$335&lt;$C354,X$335&lt;$H$2),0,MIN($E354-SUM($G354:W354),$F354))</f>
        <v>0</v>
      </c>
      <c r="Y354" s="424">
        <f>IF(OR(Y$335&lt;$C354,Y$335&lt;$H$2),0,MIN($E354-SUM($G354:X354),$F354))</f>
        <v>0</v>
      </c>
      <c r="Z354" s="424">
        <f>IF(OR(Z$335&lt;$C354,Z$335&lt;$H$2),0,MIN($E354-SUM($G354:Y354),$F354))</f>
        <v>0</v>
      </c>
      <c r="AA354" s="424">
        <f>IF(OR(AA$335&lt;$C354,AA$335&lt;$H$2),0,MIN($E354-SUM($G354:Z354),$F354))</f>
        <v>0</v>
      </c>
      <c r="AB354" s="424">
        <f>IF(OR(AB$335&lt;$C354,AB$335&lt;$H$2),0,MIN($E354-SUM($G354:AA354),$F354))</f>
        <v>0</v>
      </c>
      <c r="AC354" s="424">
        <f>IF(OR(AC$335&lt;$C354,AC$335&lt;$H$2),0,MIN($E354-SUM($G354:AB354),$F354))</f>
        <v>0</v>
      </c>
      <c r="AD354" s="424">
        <f>IF(OR(AD$335&lt;$C354,AD$335&lt;$H$2),0,MIN($E354-SUM($G354:AC354),$F354))</f>
        <v>0</v>
      </c>
      <c r="AE354" s="424">
        <f>IF(OR(AE$335&lt;$C354,AE$335&lt;$H$2),0,MIN($E354-SUM($G354:AD354),$F354))</f>
        <v>0</v>
      </c>
      <c r="AF354" s="424">
        <f>IF(OR(AF$335&lt;$C354,AF$335&lt;$H$2),0,MIN($E354-SUM($G354:AE354),$F354))</f>
        <v>0</v>
      </c>
      <c r="AG354" s="424">
        <f>IF(OR(AG$335&lt;$C354,AG$335&lt;$H$2),0,MIN($E354-SUM($G354:AF354),$F354))</f>
        <v>0</v>
      </c>
      <c r="AH354" s="424">
        <f>IF(OR(AH$335&lt;$C354,AH$335&lt;$H$2),0,MIN($E354-SUM($G354:AG354),$F354))</f>
        <v>0</v>
      </c>
      <c r="AI354" s="424">
        <f>IF(OR(AI$335&lt;$C354,AI$335&lt;$H$2),0,MIN($E354-SUM($G354:AH354),$F354))</f>
        <v>0</v>
      </c>
      <c r="AJ354" s="424">
        <f>IF(OR(AJ$335&lt;$C354,AJ$335&lt;$H$2),0,MIN($E354-SUM($G354:AI354),$F354))</f>
        <v>0</v>
      </c>
      <c r="AK354" s="424">
        <f>IF(OR(AK$335&lt;$C354,AK$335&lt;$H$2),0,MIN($E354-SUM($G354:AJ354),$F354))</f>
        <v>0</v>
      </c>
    </row>
    <row r="355" spans="3:37">
      <c r="C355" s="201">
        <v>52245</v>
      </c>
      <c r="D355" s="94" t="s">
        <v>134</v>
      </c>
      <c r="E355" s="424">
        <f t="shared" si="122"/>
        <v>0</v>
      </c>
      <c r="F355" s="209">
        <f t="shared" si="123"/>
        <v>0</v>
      </c>
      <c r="H355" s="424">
        <f>IF(OR(H$335&lt;$C355,H$335&lt;$H$2),0,MIN($E355-SUM($G355:G355),$F355))</f>
        <v>0</v>
      </c>
      <c r="I355" s="424">
        <f>IF(OR(I$335&lt;$C355,I$335&lt;$H$2),0,MIN($E355-SUM($G355:H355),$F355))</f>
        <v>0</v>
      </c>
      <c r="J355" s="424">
        <f>IF(OR(J$335&lt;$C355,J$335&lt;$H$2),0,MIN($E355-SUM($G355:I355),$F355))</f>
        <v>0</v>
      </c>
      <c r="K355" s="424">
        <f>IF(OR(K$335&lt;$C355,K$335&lt;$H$2),0,MIN($E355-SUM($G355:J355),$F355))</f>
        <v>0</v>
      </c>
      <c r="L355" s="424">
        <f>IF(OR(L$335&lt;$C355,L$335&lt;$H$2),0,MIN($E355-SUM($G355:K355),$F355))</f>
        <v>0</v>
      </c>
      <c r="M355" s="424">
        <f>IF(OR(M$335&lt;$C355,M$335&lt;$H$2),0,MIN($E355-SUM($G355:L355),$F355))</f>
        <v>0</v>
      </c>
      <c r="N355" s="424">
        <f>IF(OR(N$335&lt;$C355,N$335&lt;$H$2),0,MIN($E355-SUM($G355:M355),$F355))</f>
        <v>0</v>
      </c>
      <c r="O355" s="424">
        <f>IF(OR(O$335&lt;$C355,O$335&lt;$H$2),0,MIN($E355-SUM($G355:N355),$F355))</f>
        <v>0</v>
      </c>
      <c r="P355" s="424">
        <f>IF(OR(P$335&lt;$C355,P$335&lt;$H$2),0,MIN($E355-SUM($G355:O355),$F355))</f>
        <v>0</v>
      </c>
      <c r="Q355" s="424">
        <f>IF(OR(Q$335&lt;$C355,Q$335&lt;$H$2),0,MIN($E355-SUM($G355:P355),$F355))</f>
        <v>0</v>
      </c>
      <c r="R355" s="424">
        <f>IF(OR(R$335&lt;$C355,R$335&lt;$H$2),0,MIN($E355-SUM($G355:Q355),$F355))</f>
        <v>0</v>
      </c>
      <c r="S355" s="424">
        <f>IF(OR(S$335&lt;$C355,S$335&lt;$H$2),0,MIN($E355-SUM($G355:R355),$F355))</f>
        <v>0</v>
      </c>
      <c r="T355" s="424">
        <f>IF(OR(T$335&lt;$C355,T$335&lt;$H$2),0,MIN($E355-SUM($G355:S355),$F355))</f>
        <v>0</v>
      </c>
      <c r="U355" s="424">
        <f>IF(OR(U$335&lt;$C355,U$335&lt;$H$2),0,MIN($E355-SUM($G355:T355),$F355))</f>
        <v>0</v>
      </c>
      <c r="V355" s="424">
        <f>IF(OR(V$335&lt;$C355,V$335&lt;$H$2),0,MIN($E355-SUM($G355:U355),$F355))</f>
        <v>0</v>
      </c>
      <c r="W355" s="424">
        <f>IF(OR(W$335&lt;$C355,W$335&lt;$H$2),0,MIN($E355-SUM($G355:V355),$F355))</f>
        <v>0</v>
      </c>
      <c r="X355" s="424">
        <f>IF(OR(X$335&lt;$C355,X$335&lt;$H$2),0,MIN($E355-SUM($G355:W355),$F355))</f>
        <v>0</v>
      </c>
      <c r="Y355" s="424">
        <f>IF(OR(Y$335&lt;$C355,Y$335&lt;$H$2),0,MIN($E355-SUM($G355:X355),$F355))</f>
        <v>0</v>
      </c>
      <c r="Z355" s="424">
        <f>IF(OR(Z$335&lt;$C355,Z$335&lt;$H$2),0,MIN($E355-SUM($G355:Y355),$F355))</f>
        <v>0</v>
      </c>
      <c r="AA355" s="424">
        <f>IF(OR(AA$335&lt;$C355,AA$335&lt;$H$2),0,MIN($E355-SUM($G355:Z355),$F355))</f>
        <v>0</v>
      </c>
      <c r="AB355" s="424">
        <f>IF(OR(AB$335&lt;$C355,AB$335&lt;$H$2),0,MIN($E355-SUM($G355:AA355),$F355))</f>
        <v>0</v>
      </c>
      <c r="AC355" s="424">
        <f>IF(OR(AC$335&lt;$C355,AC$335&lt;$H$2),0,MIN($E355-SUM($G355:AB355),$F355))</f>
        <v>0</v>
      </c>
      <c r="AD355" s="424">
        <f>IF(OR(AD$335&lt;$C355,AD$335&lt;$H$2),0,MIN($E355-SUM($G355:AC355),$F355))</f>
        <v>0</v>
      </c>
      <c r="AE355" s="424">
        <f>IF(OR(AE$335&lt;$C355,AE$335&lt;$H$2),0,MIN($E355-SUM($G355:AD355),$F355))</f>
        <v>0</v>
      </c>
      <c r="AF355" s="424">
        <f>IF(OR(AF$335&lt;$C355,AF$335&lt;$H$2),0,MIN($E355-SUM($G355:AE355),$F355))</f>
        <v>0</v>
      </c>
      <c r="AG355" s="424">
        <f>IF(OR(AG$335&lt;$C355,AG$335&lt;$H$2),0,MIN($E355-SUM($G355:AF355),$F355))</f>
        <v>0</v>
      </c>
      <c r="AH355" s="424">
        <f>IF(OR(AH$335&lt;$C355,AH$335&lt;$H$2),0,MIN($E355-SUM($G355:AG355),$F355))</f>
        <v>0</v>
      </c>
      <c r="AI355" s="424">
        <f>IF(OR(AI$335&lt;$C355,AI$335&lt;$H$2),0,MIN($E355-SUM($G355:AH355),$F355))</f>
        <v>0</v>
      </c>
      <c r="AJ355" s="424">
        <f>IF(OR(AJ$335&lt;$C355,AJ$335&lt;$H$2),0,MIN($E355-SUM($G355:AI355),$F355))</f>
        <v>0</v>
      </c>
      <c r="AK355" s="424">
        <f>IF(OR(AK$335&lt;$C355,AK$335&lt;$H$2),0,MIN($E355-SUM($G355:AJ355),$F355))</f>
        <v>0</v>
      </c>
    </row>
    <row r="356" spans="3:37">
      <c r="C356" s="201">
        <v>52611</v>
      </c>
      <c r="D356" s="94" t="s">
        <v>134</v>
      </c>
      <c r="E356" s="424">
        <f t="shared" si="122"/>
        <v>0</v>
      </c>
      <c r="F356" s="209">
        <f t="shared" si="123"/>
        <v>0</v>
      </c>
      <c r="H356" s="424">
        <f>IF(OR(H$335&lt;$C356,H$335&lt;$H$2),0,MIN($E356-SUM($G356:G356),$F356))</f>
        <v>0</v>
      </c>
      <c r="I356" s="424">
        <f>IF(OR(I$335&lt;$C356,I$335&lt;$H$2),0,MIN($E356-SUM($G356:H356),$F356))</f>
        <v>0</v>
      </c>
      <c r="J356" s="424">
        <f>IF(OR(J$335&lt;$C356,J$335&lt;$H$2),0,MIN($E356-SUM($G356:I356),$F356))</f>
        <v>0</v>
      </c>
      <c r="K356" s="424">
        <f>IF(OR(K$335&lt;$C356,K$335&lt;$H$2),0,MIN($E356-SUM($G356:J356),$F356))</f>
        <v>0</v>
      </c>
      <c r="L356" s="424">
        <f>IF(OR(L$335&lt;$C356,L$335&lt;$H$2),0,MIN($E356-SUM($G356:K356),$F356))</f>
        <v>0</v>
      </c>
      <c r="M356" s="424">
        <f>IF(OR(M$335&lt;$C356,M$335&lt;$H$2),0,MIN($E356-SUM($G356:L356),$F356))</f>
        <v>0</v>
      </c>
      <c r="N356" s="424">
        <f>IF(OR(N$335&lt;$C356,N$335&lt;$H$2),0,MIN($E356-SUM($G356:M356),$F356))</f>
        <v>0</v>
      </c>
      <c r="O356" s="424">
        <f>IF(OR(O$335&lt;$C356,O$335&lt;$H$2),0,MIN($E356-SUM($G356:N356),$F356))</f>
        <v>0</v>
      </c>
      <c r="P356" s="424">
        <f>IF(OR(P$335&lt;$C356,P$335&lt;$H$2),0,MIN($E356-SUM($G356:O356),$F356))</f>
        <v>0</v>
      </c>
      <c r="Q356" s="424">
        <f>IF(OR(Q$335&lt;$C356,Q$335&lt;$H$2),0,MIN($E356-SUM($G356:P356),$F356))</f>
        <v>0</v>
      </c>
      <c r="R356" s="424">
        <f>IF(OR(R$335&lt;$C356,R$335&lt;$H$2),0,MIN($E356-SUM($G356:Q356),$F356))</f>
        <v>0</v>
      </c>
      <c r="S356" s="424">
        <f>IF(OR(S$335&lt;$C356,S$335&lt;$H$2),0,MIN($E356-SUM($G356:R356),$F356))</f>
        <v>0</v>
      </c>
      <c r="T356" s="424">
        <f>IF(OR(T$335&lt;$C356,T$335&lt;$H$2),0,MIN($E356-SUM($G356:S356),$F356))</f>
        <v>0</v>
      </c>
      <c r="U356" s="424">
        <f>IF(OR(U$335&lt;$C356,U$335&lt;$H$2),0,MIN($E356-SUM($G356:T356),$F356))</f>
        <v>0</v>
      </c>
      <c r="V356" s="424">
        <f>IF(OR(V$335&lt;$C356,V$335&lt;$H$2),0,MIN($E356-SUM($G356:U356),$F356))</f>
        <v>0</v>
      </c>
      <c r="W356" s="424">
        <f>IF(OR(W$335&lt;$C356,W$335&lt;$H$2),0,MIN($E356-SUM($G356:V356),$F356))</f>
        <v>0</v>
      </c>
      <c r="X356" s="424">
        <f>IF(OR(X$335&lt;$C356,X$335&lt;$H$2),0,MIN($E356-SUM($G356:W356),$F356))</f>
        <v>0</v>
      </c>
      <c r="Y356" s="424">
        <f>IF(OR(Y$335&lt;$C356,Y$335&lt;$H$2),0,MIN($E356-SUM($G356:X356),$F356))</f>
        <v>0</v>
      </c>
      <c r="Z356" s="424">
        <f>IF(OR(Z$335&lt;$C356,Z$335&lt;$H$2),0,MIN($E356-SUM($G356:Y356),$F356))</f>
        <v>0</v>
      </c>
      <c r="AA356" s="424">
        <f>IF(OR(AA$335&lt;$C356,AA$335&lt;$H$2),0,MIN($E356-SUM($G356:Z356),$F356))</f>
        <v>0</v>
      </c>
      <c r="AB356" s="424">
        <f>IF(OR(AB$335&lt;$C356,AB$335&lt;$H$2),0,MIN($E356-SUM($G356:AA356),$F356))</f>
        <v>0</v>
      </c>
      <c r="AC356" s="424">
        <f>IF(OR(AC$335&lt;$C356,AC$335&lt;$H$2),0,MIN($E356-SUM($G356:AB356),$F356))</f>
        <v>0</v>
      </c>
      <c r="AD356" s="424">
        <f>IF(OR(AD$335&lt;$C356,AD$335&lt;$H$2),0,MIN($E356-SUM($G356:AC356),$F356))</f>
        <v>0</v>
      </c>
      <c r="AE356" s="424">
        <f>IF(OR(AE$335&lt;$C356,AE$335&lt;$H$2),0,MIN($E356-SUM($G356:AD356),$F356))</f>
        <v>0</v>
      </c>
      <c r="AF356" s="424">
        <f>IF(OR(AF$335&lt;$C356,AF$335&lt;$H$2),0,MIN($E356-SUM($G356:AE356),$F356))</f>
        <v>0</v>
      </c>
      <c r="AG356" s="424">
        <f>IF(OR(AG$335&lt;$C356,AG$335&lt;$H$2),0,MIN($E356-SUM($G356:AF356),$F356))</f>
        <v>0</v>
      </c>
      <c r="AH356" s="424">
        <f>IF(OR(AH$335&lt;$C356,AH$335&lt;$H$2),0,MIN($E356-SUM($G356:AG356),$F356))</f>
        <v>0</v>
      </c>
      <c r="AI356" s="424">
        <f>IF(OR(AI$335&lt;$C356,AI$335&lt;$H$2),0,MIN($E356-SUM($G356:AH356),$F356))</f>
        <v>0</v>
      </c>
      <c r="AJ356" s="424">
        <f>IF(OR(AJ$335&lt;$C356,AJ$335&lt;$H$2),0,MIN($E356-SUM($G356:AI356),$F356))</f>
        <v>0</v>
      </c>
      <c r="AK356" s="424">
        <f>IF(OR(AK$335&lt;$C356,AK$335&lt;$H$2),0,MIN($E356-SUM($G356:AJ356),$F356))</f>
        <v>0</v>
      </c>
    </row>
    <row r="357" spans="3:37">
      <c r="C357" s="201">
        <v>52977</v>
      </c>
      <c r="D357" s="94" t="s">
        <v>134</v>
      </c>
      <c r="E357" s="424">
        <f t="shared" si="122"/>
        <v>0</v>
      </c>
      <c r="F357" s="209">
        <f t="shared" si="123"/>
        <v>0</v>
      </c>
      <c r="H357" s="424">
        <f>IF(OR(H$335&lt;$C357,H$335&lt;$H$2),0,MIN($E357-SUM($G357:G357),$F357))</f>
        <v>0</v>
      </c>
      <c r="I357" s="424">
        <f>IF(OR(I$335&lt;$C357,I$335&lt;$H$2),0,MIN($E357-SUM($G357:H357),$F357))</f>
        <v>0</v>
      </c>
      <c r="J357" s="424">
        <f>IF(OR(J$335&lt;$C357,J$335&lt;$H$2),0,MIN($E357-SUM($G357:I357),$F357))</f>
        <v>0</v>
      </c>
      <c r="K357" s="424">
        <f>IF(OR(K$335&lt;$C357,K$335&lt;$H$2),0,MIN($E357-SUM($G357:J357),$F357))</f>
        <v>0</v>
      </c>
      <c r="L357" s="424">
        <f>IF(OR(L$335&lt;$C357,L$335&lt;$H$2),0,MIN($E357-SUM($G357:K357),$F357))</f>
        <v>0</v>
      </c>
      <c r="M357" s="424">
        <f>IF(OR(M$335&lt;$C357,M$335&lt;$H$2),0,MIN($E357-SUM($G357:L357),$F357))</f>
        <v>0</v>
      </c>
      <c r="N357" s="424">
        <f>IF(OR(N$335&lt;$C357,N$335&lt;$H$2),0,MIN($E357-SUM($G357:M357),$F357))</f>
        <v>0</v>
      </c>
      <c r="O357" s="424">
        <f>IF(OR(O$335&lt;$C357,O$335&lt;$H$2),0,MIN($E357-SUM($G357:N357),$F357))</f>
        <v>0</v>
      </c>
      <c r="P357" s="424">
        <f>IF(OR(P$335&lt;$C357,P$335&lt;$H$2),0,MIN($E357-SUM($G357:O357),$F357))</f>
        <v>0</v>
      </c>
      <c r="Q357" s="424">
        <f>IF(OR(Q$335&lt;$C357,Q$335&lt;$H$2),0,MIN($E357-SUM($G357:P357),$F357))</f>
        <v>0</v>
      </c>
      <c r="R357" s="424">
        <f>IF(OR(R$335&lt;$C357,R$335&lt;$H$2),0,MIN($E357-SUM($G357:Q357),$F357))</f>
        <v>0</v>
      </c>
      <c r="S357" s="424">
        <f>IF(OR(S$335&lt;$C357,S$335&lt;$H$2),0,MIN($E357-SUM($G357:R357),$F357))</f>
        <v>0</v>
      </c>
      <c r="T357" s="424">
        <f>IF(OR(T$335&lt;$C357,T$335&lt;$H$2),0,MIN($E357-SUM($G357:S357),$F357))</f>
        <v>0</v>
      </c>
      <c r="U357" s="424">
        <f>IF(OR(U$335&lt;$C357,U$335&lt;$H$2),0,MIN($E357-SUM($G357:T357),$F357))</f>
        <v>0</v>
      </c>
      <c r="V357" s="424">
        <f>IF(OR(V$335&lt;$C357,V$335&lt;$H$2),0,MIN($E357-SUM($G357:U357),$F357))</f>
        <v>0</v>
      </c>
      <c r="W357" s="424">
        <f>IF(OR(W$335&lt;$C357,W$335&lt;$H$2),0,MIN($E357-SUM($G357:V357),$F357))</f>
        <v>0</v>
      </c>
      <c r="X357" s="424">
        <f>IF(OR(X$335&lt;$C357,X$335&lt;$H$2),0,MIN($E357-SUM($G357:W357),$F357))</f>
        <v>0</v>
      </c>
      <c r="Y357" s="424">
        <f>IF(OR(Y$335&lt;$C357,Y$335&lt;$H$2),0,MIN($E357-SUM($G357:X357),$F357))</f>
        <v>0</v>
      </c>
      <c r="Z357" s="424">
        <f>IF(OR(Z$335&lt;$C357,Z$335&lt;$H$2),0,MIN($E357-SUM($G357:Y357),$F357))</f>
        <v>0</v>
      </c>
      <c r="AA357" s="424">
        <f>IF(OR(AA$335&lt;$C357,AA$335&lt;$H$2),0,MIN($E357-SUM($G357:Z357),$F357))</f>
        <v>0</v>
      </c>
      <c r="AB357" s="424">
        <f>IF(OR(AB$335&lt;$C357,AB$335&lt;$H$2),0,MIN($E357-SUM($G357:AA357),$F357))</f>
        <v>0</v>
      </c>
      <c r="AC357" s="424">
        <f>IF(OR(AC$335&lt;$C357,AC$335&lt;$H$2),0,MIN($E357-SUM($G357:AB357),$F357))</f>
        <v>0</v>
      </c>
      <c r="AD357" s="424">
        <f>IF(OR(AD$335&lt;$C357,AD$335&lt;$H$2),0,MIN($E357-SUM($G357:AC357),$F357))</f>
        <v>0</v>
      </c>
      <c r="AE357" s="424">
        <f>IF(OR(AE$335&lt;$C357,AE$335&lt;$H$2),0,MIN($E357-SUM($G357:AD357),$F357))</f>
        <v>0</v>
      </c>
      <c r="AF357" s="424">
        <f>IF(OR(AF$335&lt;$C357,AF$335&lt;$H$2),0,MIN($E357-SUM($G357:AE357),$F357))</f>
        <v>0</v>
      </c>
      <c r="AG357" s="424">
        <f>IF(OR(AG$335&lt;$C357,AG$335&lt;$H$2),0,MIN($E357-SUM($G357:AF357),$F357))</f>
        <v>0</v>
      </c>
      <c r="AH357" s="424">
        <f>IF(OR(AH$335&lt;$C357,AH$335&lt;$H$2),0,MIN($E357-SUM($G357:AG357),$F357))</f>
        <v>0</v>
      </c>
      <c r="AI357" s="424">
        <f>IF(OR(AI$335&lt;$C357,AI$335&lt;$H$2),0,MIN($E357-SUM($G357:AH357),$F357))</f>
        <v>0</v>
      </c>
      <c r="AJ357" s="424">
        <f>IF(OR(AJ$335&lt;$C357,AJ$335&lt;$H$2),0,MIN($E357-SUM($G357:AI357),$F357))</f>
        <v>0</v>
      </c>
      <c r="AK357" s="424">
        <f>IF(OR(AK$335&lt;$C357,AK$335&lt;$H$2),0,MIN($E357-SUM($G357:AJ357),$F357))</f>
        <v>0</v>
      </c>
    </row>
    <row r="358" spans="3:37">
      <c r="C358" s="201">
        <v>53343</v>
      </c>
      <c r="D358" s="94" t="s">
        <v>134</v>
      </c>
      <c r="E358" s="424">
        <f t="shared" si="122"/>
        <v>0</v>
      </c>
      <c r="F358" s="209">
        <f t="shared" si="123"/>
        <v>0</v>
      </c>
      <c r="H358" s="424">
        <f>IF(OR(H$335&lt;$C358,H$335&lt;$H$2),0,MIN($E358-SUM($G358:G358),$F358))</f>
        <v>0</v>
      </c>
      <c r="I358" s="424">
        <f>IF(OR(I$335&lt;$C358,I$335&lt;$H$2),0,MIN($E358-SUM($G358:H358),$F358))</f>
        <v>0</v>
      </c>
      <c r="J358" s="424">
        <f>IF(OR(J$335&lt;$C358,J$335&lt;$H$2),0,MIN($E358-SUM($G358:I358),$F358))</f>
        <v>0</v>
      </c>
      <c r="K358" s="424">
        <f>IF(OR(K$335&lt;$C358,K$335&lt;$H$2),0,MIN($E358-SUM($G358:J358),$F358))</f>
        <v>0</v>
      </c>
      <c r="L358" s="424">
        <f>IF(OR(L$335&lt;$C358,L$335&lt;$H$2),0,MIN($E358-SUM($G358:K358),$F358))</f>
        <v>0</v>
      </c>
      <c r="M358" s="424">
        <f>IF(OR(M$335&lt;$C358,M$335&lt;$H$2),0,MIN($E358-SUM($G358:L358),$F358))</f>
        <v>0</v>
      </c>
      <c r="N358" s="424">
        <f>IF(OR(N$335&lt;$C358,N$335&lt;$H$2),0,MIN($E358-SUM($G358:M358),$F358))</f>
        <v>0</v>
      </c>
      <c r="O358" s="424">
        <f>IF(OR(O$335&lt;$C358,O$335&lt;$H$2),0,MIN($E358-SUM($G358:N358),$F358))</f>
        <v>0</v>
      </c>
      <c r="P358" s="424">
        <f>IF(OR(P$335&lt;$C358,P$335&lt;$H$2),0,MIN($E358-SUM($G358:O358),$F358))</f>
        <v>0</v>
      </c>
      <c r="Q358" s="424">
        <f>IF(OR(Q$335&lt;$C358,Q$335&lt;$H$2),0,MIN($E358-SUM($G358:P358),$F358))</f>
        <v>0</v>
      </c>
      <c r="R358" s="424">
        <f>IF(OR(R$335&lt;$C358,R$335&lt;$H$2),0,MIN($E358-SUM($G358:Q358),$F358))</f>
        <v>0</v>
      </c>
      <c r="S358" s="424">
        <f>IF(OR(S$335&lt;$C358,S$335&lt;$H$2),0,MIN($E358-SUM($G358:R358),$F358))</f>
        <v>0</v>
      </c>
      <c r="T358" s="424">
        <f>IF(OR(T$335&lt;$C358,T$335&lt;$H$2),0,MIN($E358-SUM($G358:S358),$F358))</f>
        <v>0</v>
      </c>
      <c r="U358" s="424">
        <f>IF(OR(U$335&lt;$C358,U$335&lt;$H$2),0,MIN($E358-SUM($G358:T358),$F358))</f>
        <v>0</v>
      </c>
      <c r="V358" s="424">
        <f>IF(OR(V$335&lt;$C358,V$335&lt;$H$2),0,MIN($E358-SUM($G358:U358),$F358))</f>
        <v>0</v>
      </c>
      <c r="W358" s="424">
        <f>IF(OR(W$335&lt;$C358,W$335&lt;$H$2),0,MIN($E358-SUM($G358:V358),$F358))</f>
        <v>0</v>
      </c>
      <c r="X358" s="424">
        <f>IF(OR(X$335&lt;$C358,X$335&lt;$H$2),0,MIN($E358-SUM($G358:W358),$F358))</f>
        <v>0</v>
      </c>
      <c r="Y358" s="424">
        <f>IF(OR(Y$335&lt;$C358,Y$335&lt;$H$2),0,MIN($E358-SUM($G358:X358),$F358))</f>
        <v>0</v>
      </c>
      <c r="Z358" s="424">
        <f>IF(OR(Z$335&lt;$C358,Z$335&lt;$H$2),0,MIN($E358-SUM($G358:Y358),$F358))</f>
        <v>0</v>
      </c>
      <c r="AA358" s="424">
        <f>IF(OR(AA$335&lt;$C358,AA$335&lt;$H$2),0,MIN($E358-SUM($G358:Z358),$F358))</f>
        <v>0</v>
      </c>
      <c r="AB358" s="424">
        <f>IF(OR(AB$335&lt;$C358,AB$335&lt;$H$2),0,MIN($E358-SUM($G358:AA358),$F358))</f>
        <v>0</v>
      </c>
      <c r="AC358" s="424">
        <f>IF(OR(AC$335&lt;$C358,AC$335&lt;$H$2),0,MIN($E358-SUM($G358:AB358),$F358))</f>
        <v>0</v>
      </c>
      <c r="AD358" s="424">
        <f>IF(OR(AD$335&lt;$C358,AD$335&lt;$H$2),0,MIN($E358-SUM($G358:AC358),$F358))</f>
        <v>0</v>
      </c>
      <c r="AE358" s="424">
        <f>IF(OR(AE$335&lt;$C358,AE$335&lt;$H$2),0,MIN($E358-SUM($G358:AD358),$F358))</f>
        <v>0</v>
      </c>
      <c r="AF358" s="424">
        <f>IF(OR(AF$335&lt;$C358,AF$335&lt;$H$2),0,MIN($E358-SUM($G358:AE358),$F358))</f>
        <v>0</v>
      </c>
      <c r="AG358" s="424">
        <f>IF(OR(AG$335&lt;$C358,AG$335&lt;$H$2),0,MIN($E358-SUM($G358:AF358),$F358))</f>
        <v>0</v>
      </c>
      <c r="AH358" s="424">
        <f>IF(OR(AH$335&lt;$C358,AH$335&lt;$H$2),0,MIN($E358-SUM($G358:AG358),$F358))</f>
        <v>0</v>
      </c>
      <c r="AI358" s="424">
        <f>IF(OR(AI$335&lt;$C358,AI$335&lt;$H$2),0,MIN($E358-SUM($G358:AH358),$F358))</f>
        <v>0</v>
      </c>
      <c r="AJ358" s="424">
        <f>IF(OR(AJ$335&lt;$C358,AJ$335&lt;$H$2),0,MIN($E358-SUM($G358:AI358),$F358))</f>
        <v>0</v>
      </c>
      <c r="AK358" s="424">
        <f>IF(OR(AK$335&lt;$C358,AK$335&lt;$H$2),0,MIN($E358-SUM($G358:AJ358),$F358))</f>
        <v>0</v>
      </c>
    </row>
    <row r="359" spans="3:37">
      <c r="C359" s="201">
        <v>53709</v>
      </c>
      <c r="D359" s="94" t="s">
        <v>134</v>
      </c>
      <c r="E359" s="424">
        <f t="shared" si="122"/>
        <v>0</v>
      </c>
      <c r="F359" s="209">
        <f t="shared" si="123"/>
        <v>0</v>
      </c>
      <c r="H359" s="424">
        <f>IF(OR(H$335&lt;$C359,H$335&lt;$H$2),0,MIN($E359-SUM($G359:G359),$F359))</f>
        <v>0</v>
      </c>
      <c r="I359" s="424">
        <f>IF(OR(I$335&lt;$C359,I$335&lt;$H$2),0,MIN($E359-SUM($G359:H359),$F359))</f>
        <v>0</v>
      </c>
      <c r="J359" s="424">
        <f>IF(OR(J$335&lt;$C359,J$335&lt;$H$2),0,MIN($E359-SUM($G359:I359),$F359))</f>
        <v>0</v>
      </c>
      <c r="K359" s="424">
        <f>IF(OR(K$335&lt;$C359,K$335&lt;$H$2),0,MIN($E359-SUM($G359:J359),$F359))</f>
        <v>0</v>
      </c>
      <c r="L359" s="424">
        <f>IF(OR(L$335&lt;$C359,L$335&lt;$H$2),0,MIN($E359-SUM($G359:K359),$F359))</f>
        <v>0</v>
      </c>
      <c r="M359" s="424">
        <f>IF(OR(M$335&lt;$C359,M$335&lt;$H$2),0,MIN($E359-SUM($G359:L359),$F359))</f>
        <v>0</v>
      </c>
      <c r="N359" s="424">
        <f>IF(OR(N$335&lt;$C359,N$335&lt;$H$2),0,MIN($E359-SUM($G359:M359),$F359))</f>
        <v>0</v>
      </c>
      <c r="O359" s="424">
        <f>IF(OR(O$335&lt;$C359,O$335&lt;$H$2),0,MIN($E359-SUM($G359:N359),$F359))</f>
        <v>0</v>
      </c>
      <c r="P359" s="424">
        <f>IF(OR(P$335&lt;$C359,P$335&lt;$H$2),0,MIN($E359-SUM($G359:O359),$F359))</f>
        <v>0</v>
      </c>
      <c r="Q359" s="424">
        <f>IF(OR(Q$335&lt;$C359,Q$335&lt;$H$2),0,MIN($E359-SUM($G359:P359),$F359))</f>
        <v>0</v>
      </c>
      <c r="R359" s="424">
        <f>IF(OR(R$335&lt;$C359,R$335&lt;$H$2),0,MIN($E359-SUM($G359:Q359),$F359))</f>
        <v>0</v>
      </c>
      <c r="S359" s="424">
        <f>IF(OR(S$335&lt;$C359,S$335&lt;$H$2),0,MIN($E359-SUM($G359:R359),$F359))</f>
        <v>0</v>
      </c>
      <c r="T359" s="424">
        <f>IF(OR(T$335&lt;$C359,T$335&lt;$H$2),0,MIN($E359-SUM($G359:S359),$F359))</f>
        <v>0</v>
      </c>
      <c r="U359" s="424">
        <f>IF(OR(U$335&lt;$C359,U$335&lt;$H$2),0,MIN($E359-SUM($G359:T359),$F359))</f>
        <v>0</v>
      </c>
      <c r="V359" s="424">
        <f>IF(OR(V$335&lt;$C359,V$335&lt;$H$2),0,MIN($E359-SUM($G359:U359),$F359))</f>
        <v>0</v>
      </c>
      <c r="W359" s="424">
        <f>IF(OR(W$335&lt;$C359,W$335&lt;$H$2),0,MIN($E359-SUM($G359:V359),$F359))</f>
        <v>0</v>
      </c>
      <c r="X359" s="424">
        <f>IF(OR(X$335&lt;$C359,X$335&lt;$H$2),0,MIN($E359-SUM($G359:W359),$F359))</f>
        <v>0</v>
      </c>
      <c r="Y359" s="424">
        <f>IF(OR(Y$335&lt;$C359,Y$335&lt;$H$2),0,MIN($E359-SUM($G359:X359),$F359))</f>
        <v>0</v>
      </c>
      <c r="Z359" s="424">
        <f>IF(OR(Z$335&lt;$C359,Z$335&lt;$H$2),0,MIN($E359-SUM($G359:Y359),$F359))</f>
        <v>0</v>
      </c>
      <c r="AA359" s="424">
        <f>IF(OR(AA$335&lt;$C359,AA$335&lt;$H$2),0,MIN($E359-SUM($G359:Z359),$F359))</f>
        <v>0</v>
      </c>
      <c r="AB359" s="424">
        <f>IF(OR(AB$335&lt;$C359,AB$335&lt;$H$2),0,MIN($E359-SUM($G359:AA359),$F359))</f>
        <v>0</v>
      </c>
      <c r="AC359" s="424">
        <f>IF(OR(AC$335&lt;$C359,AC$335&lt;$H$2),0,MIN($E359-SUM($G359:AB359),$F359))</f>
        <v>0</v>
      </c>
      <c r="AD359" s="424">
        <f>IF(OR(AD$335&lt;$C359,AD$335&lt;$H$2),0,MIN($E359-SUM($G359:AC359),$F359))</f>
        <v>0</v>
      </c>
      <c r="AE359" s="424">
        <f>IF(OR(AE$335&lt;$C359,AE$335&lt;$H$2),0,MIN($E359-SUM($G359:AD359),$F359))</f>
        <v>0</v>
      </c>
      <c r="AF359" s="424">
        <f>IF(OR(AF$335&lt;$C359,AF$335&lt;$H$2),0,MIN($E359-SUM($G359:AE359),$F359))</f>
        <v>0</v>
      </c>
      <c r="AG359" s="424">
        <f>IF(OR(AG$335&lt;$C359,AG$335&lt;$H$2),0,MIN($E359-SUM($G359:AF359),$F359))</f>
        <v>0</v>
      </c>
      <c r="AH359" s="424">
        <f>IF(OR(AH$335&lt;$C359,AH$335&lt;$H$2),0,MIN($E359-SUM($G359:AG359),$F359))</f>
        <v>0</v>
      </c>
      <c r="AI359" s="424">
        <f>IF(OR(AI$335&lt;$C359,AI$335&lt;$H$2),0,MIN($E359-SUM($G359:AH359),$F359))</f>
        <v>0</v>
      </c>
      <c r="AJ359" s="424">
        <f>IF(OR(AJ$335&lt;$C359,AJ$335&lt;$H$2),0,MIN($E359-SUM($G359:AI359),$F359))</f>
        <v>0</v>
      </c>
      <c r="AK359" s="424">
        <f>IF(OR(AK$335&lt;$C359,AK$335&lt;$H$2),0,MIN($E359-SUM($G359:AJ359),$F359))</f>
        <v>0</v>
      </c>
    </row>
    <row r="360" spans="3:37">
      <c r="C360" s="201">
        <v>54075</v>
      </c>
      <c r="D360" s="94" t="s">
        <v>134</v>
      </c>
      <c r="E360" s="424">
        <f t="shared" si="122"/>
        <v>0</v>
      </c>
      <c r="F360" s="209">
        <f t="shared" si="123"/>
        <v>0</v>
      </c>
      <c r="H360" s="424">
        <f>IF(OR(H$335&lt;$C360,H$335&lt;$H$2),0,MIN($E360-SUM($G360:G360),$F360))</f>
        <v>0</v>
      </c>
      <c r="I360" s="424">
        <f>IF(OR(I$335&lt;$C360,I$335&lt;$H$2),0,MIN($E360-SUM($G360:H360),$F360))</f>
        <v>0</v>
      </c>
      <c r="J360" s="424">
        <f>IF(OR(J$335&lt;$C360,J$335&lt;$H$2),0,MIN($E360-SUM($G360:I360),$F360))</f>
        <v>0</v>
      </c>
      <c r="K360" s="424">
        <f>IF(OR(K$335&lt;$C360,K$335&lt;$H$2),0,MIN($E360-SUM($G360:J360),$F360))</f>
        <v>0</v>
      </c>
      <c r="L360" s="424">
        <f>IF(OR(L$335&lt;$C360,L$335&lt;$H$2),0,MIN($E360-SUM($G360:K360),$F360))</f>
        <v>0</v>
      </c>
      <c r="M360" s="424">
        <f>IF(OR(M$335&lt;$C360,M$335&lt;$H$2),0,MIN($E360-SUM($G360:L360),$F360))</f>
        <v>0</v>
      </c>
      <c r="N360" s="424">
        <f>IF(OR(N$335&lt;$C360,N$335&lt;$H$2),0,MIN($E360-SUM($G360:M360),$F360))</f>
        <v>0</v>
      </c>
      <c r="O360" s="424">
        <f>IF(OR(O$335&lt;$C360,O$335&lt;$H$2),0,MIN($E360-SUM($G360:N360),$F360))</f>
        <v>0</v>
      </c>
      <c r="P360" s="424">
        <f>IF(OR(P$335&lt;$C360,P$335&lt;$H$2),0,MIN($E360-SUM($G360:O360),$F360))</f>
        <v>0</v>
      </c>
      <c r="Q360" s="424">
        <f>IF(OR(Q$335&lt;$C360,Q$335&lt;$H$2),0,MIN($E360-SUM($G360:P360),$F360))</f>
        <v>0</v>
      </c>
      <c r="R360" s="424">
        <f>IF(OR(R$335&lt;$C360,R$335&lt;$H$2),0,MIN($E360-SUM($G360:Q360),$F360))</f>
        <v>0</v>
      </c>
      <c r="S360" s="424">
        <f>IF(OR(S$335&lt;$C360,S$335&lt;$H$2),0,MIN($E360-SUM($G360:R360),$F360))</f>
        <v>0</v>
      </c>
      <c r="T360" s="424">
        <f>IF(OR(T$335&lt;$C360,T$335&lt;$H$2),0,MIN($E360-SUM($G360:S360),$F360))</f>
        <v>0</v>
      </c>
      <c r="U360" s="424">
        <f>IF(OR(U$335&lt;$C360,U$335&lt;$H$2),0,MIN($E360-SUM($G360:T360),$F360))</f>
        <v>0</v>
      </c>
      <c r="V360" s="424">
        <f>IF(OR(V$335&lt;$C360,V$335&lt;$H$2),0,MIN($E360-SUM($G360:U360),$F360))</f>
        <v>0</v>
      </c>
      <c r="W360" s="424">
        <f>IF(OR(W$335&lt;$C360,W$335&lt;$H$2),0,MIN($E360-SUM($G360:V360),$F360))</f>
        <v>0</v>
      </c>
      <c r="X360" s="424">
        <f>IF(OR(X$335&lt;$C360,X$335&lt;$H$2),0,MIN($E360-SUM($G360:W360),$F360))</f>
        <v>0</v>
      </c>
      <c r="Y360" s="424">
        <f>IF(OR(Y$335&lt;$C360,Y$335&lt;$H$2),0,MIN($E360-SUM($G360:X360),$F360))</f>
        <v>0</v>
      </c>
      <c r="Z360" s="424">
        <f>IF(OR(Z$335&lt;$C360,Z$335&lt;$H$2),0,MIN($E360-SUM($G360:Y360),$F360))</f>
        <v>0</v>
      </c>
      <c r="AA360" s="424">
        <f>IF(OR(AA$335&lt;$C360,AA$335&lt;$H$2),0,MIN($E360-SUM($G360:Z360),$F360))</f>
        <v>0</v>
      </c>
      <c r="AB360" s="424">
        <f>IF(OR(AB$335&lt;$C360,AB$335&lt;$H$2),0,MIN($E360-SUM($G360:AA360),$F360))</f>
        <v>0</v>
      </c>
      <c r="AC360" s="424">
        <f>IF(OR(AC$335&lt;$C360,AC$335&lt;$H$2),0,MIN($E360-SUM($G360:AB360),$F360))</f>
        <v>0</v>
      </c>
      <c r="AD360" s="424">
        <f>IF(OR(AD$335&lt;$C360,AD$335&lt;$H$2),0,MIN($E360-SUM($G360:AC360),$F360))</f>
        <v>0</v>
      </c>
      <c r="AE360" s="424">
        <f>IF(OR(AE$335&lt;$C360,AE$335&lt;$H$2),0,MIN($E360-SUM($G360:AD360),$F360))</f>
        <v>0</v>
      </c>
      <c r="AF360" s="424">
        <f>IF(OR(AF$335&lt;$C360,AF$335&lt;$H$2),0,MIN($E360-SUM($G360:AE360),$F360))</f>
        <v>0</v>
      </c>
      <c r="AG360" s="424">
        <f>IF(OR(AG$335&lt;$C360,AG$335&lt;$H$2),0,MIN($E360-SUM($G360:AF360),$F360))</f>
        <v>0</v>
      </c>
      <c r="AH360" s="424">
        <f>IF(OR(AH$335&lt;$C360,AH$335&lt;$H$2),0,MIN($E360-SUM($G360:AG360),$F360))</f>
        <v>0</v>
      </c>
      <c r="AI360" s="424">
        <f>IF(OR(AI$335&lt;$C360,AI$335&lt;$H$2),0,MIN($E360-SUM($G360:AH360),$F360))</f>
        <v>0</v>
      </c>
      <c r="AJ360" s="424">
        <f>IF(OR(AJ$335&lt;$C360,AJ$335&lt;$H$2),0,MIN($E360-SUM($G360:AI360),$F360))</f>
        <v>0</v>
      </c>
      <c r="AK360" s="424">
        <f>IF(OR(AK$335&lt;$C360,AK$335&lt;$H$2),0,MIN($E360-SUM($G360:AJ360),$F360))</f>
        <v>0</v>
      </c>
    </row>
    <row r="361" spans="3:37">
      <c r="C361" s="201">
        <v>0</v>
      </c>
      <c r="D361" s="94" t="s">
        <v>134</v>
      </c>
      <c r="E361" s="424">
        <f t="shared" si="122"/>
        <v>0</v>
      </c>
      <c r="F361" s="209">
        <f t="shared" si="123"/>
        <v>0</v>
      </c>
      <c r="H361" s="424">
        <f>IF(OR(H$335&lt;$C361,H$335&lt;$H$2),0,MIN($E361-SUM($G361:G361),$F361))</f>
        <v>0</v>
      </c>
      <c r="I361" s="424">
        <f>IF(OR(I$335&lt;$C361,I$335&lt;$H$2),0,MIN($E361-SUM($G361:H361),$F361))</f>
        <v>0</v>
      </c>
      <c r="J361" s="424">
        <f>IF(OR(J$335&lt;$C361,J$335&lt;$H$2),0,MIN($E361-SUM($G361:I361),$F361))</f>
        <v>0</v>
      </c>
      <c r="K361" s="424">
        <f>IF(OR(K$335&lt;$C361,K$335&lt;$H$2),0,MIN($E361-SUM($G361:J361),$F361))</f>
        <v>0</v>
      </c>
      <c r="L361" s="424">
        <f>IF(OR(L$335&lt;$C361,L$335&lt;$H$2),0,MIN($E361-SUM($G361:K361),$F361))</f>
        <v>0</v>
      </c>
      <c r="M361" s="424">
        <f>IF(OR(M$335&lt;$C361,M$335&lt;$H$2),0,MIN($E361-SUM($G361:L361),$F361))</f>
        <v>0</v>
      </c>
      <c r="N361" s="424">
        <f>IF(OR(N$335&lt;$C361,N$335&lt;$H$2),0,MIN($E361-SUM($G361:M361),$F361))</f>
        <v>0</v>
      </c>
      <c r="O361" s="424">
        <f>IF(OR(O$335&lt;$C361,O$335&lt;$H$2),0,MIN($E361-SUM($G361:N361),$F361))</f>
        <v>0</v>
      </c>
      <c r="P361" s="424">
        <f>IF(OR(P$335&lt;$C361,P$335&lt;$H$2),0,MIN($E361-SUM($G361:O361),$F361))</f>
        <v>0</v>
      </c>
      <c r="Q361" s="424">
        <f>IF(OR(Q$335&lt;$C361,Q$335&lt;$H$2),0,MIN($E361-SUM($G361:P361),$F361))</f>
        <v>0</v>
      </c>
      <c r="R361" s="424">
        <f>IF(OR(R$335&lt;$C361,R$335&lt;$H$2),0,MIN($E361-SUM($G361:Q361),$F361))</f>
        <v>0</v>
      </c>
      <c r="S361" s="424">
        <f>IF(OR(S$335&lt;$C361,S$335&lt;$H$2),0,MIN($E361-SUM($G361:R361),$F361))</f>
        <v>0</v>
      </c>
      <c r="T361" s="424">
        <f>IF(OR(T$335&lt;$C361,T$335&lt;$H$2),0,MIN($E361-SUM($G361:S361),$F361))</f>
        <v>0</v>
      </c>
      <c r="U361" s="424">
        <f>IF(OR(U$335&lt;$C361,U$335&lt;$H$2),0,MIN($E361-SUM($G361:T361),$F361))</f>
        <v>0</v>
      </c>
      <c r="V361" s="424">
        <f>IF(OR(V$335&lt;$C361,V$335&lt;$H$2),0,MIN($E361-SUM($G361:U361),$F361))</f>
        <v>0</v>
      </c>
      <c r="W361" s="424">
        <f>IF(OR(W$335&lt;$C361,W$335&lt;$H$2),0,MIN($E361-SUM($G361:V361),$F361))</f>
        <v>0</v>
      </c>
      <c r="X361" s="424">
        <f>IF(OR(X$335&lt;$C361,X$335&lt;$H$2),0,MIN($E361-SUM($G361:W361),$F361))</f>
        <v>0</v>
      </c>
      <c r="Y361" s="424">
        <f>IF(OR(Y$335&lt;$C361,Y$335&lt;$H$2),0,MIN($E361-SUM($G361:X361),$F361))</f>
        <v>0</v>
      </c>
      <c r="Z361" s="424">
        <f>IF(OR(Z$335&lt;$C361,Z$335&lt;$H$2),0,MIN($E361-SUM($G361:Y361),$F361))</f>
        <v>0</v>
      </c>
      <c r="AA361" s="424">
        <f>IF(OR(AA$335&lt;$C361,AA$335&lt;$H$2),0,MIN($E361-SUM($G361:Z361),$F361))</f>
        <v>0</v>
      </c>
      <c r="AB361" s="424">
        <f>IF(OR(AB$335&lt;$C361,AB$335&lt;$H$2),0,MIN($E361-SUM($G361:AA361),$F361))</f>
        <v>0</v>
      </c>
      <c r="AC361" s="424">
        <f>IF(OR(AC$335&lt;$C361,AC$335&lt;$H$2),0,MIN($E361-SUM($G361:AB361),$F361))</f>
        <v>0</v>
      </c>
      <c r="AD361" s="424">
        <f>IF(OR(AD$335&lt;$C361,AD$335&lt;$H$2),0,MIN($E361-SUM($G361:AC361),$F361))</f>
        <v>0</v>
      </c>
      <c r="AE361" s="424">
        <f>IF(OR(AE$335&lt;$C361,AE$335&lt;$H$2),0,MIN($E361-SUM($G361:AD361),$F361))</f>
        <v>0</v>
      </c>
      <c r="AF361" s="424">
        <f>IF(OR(AF$335&lt;$C361,AF$335&lt;$H$2),0,MIN($E361-SUM($G361:AE361),$F361))</f>
        <v>0</v>
      </c>
      <c r="AG361" s="424">
        <f>IF(OR(AG$335&lt;$C361,AG$335&lt;$H$2),0,MIN($E361-SUM($G361:AF361),$F361))</f>
        <v>0</v>
      </c>
      <c r="AH361" s="424">
        <f>IF(OR(AH$335&lt;$C361,AH$335&lt;$H$2),0,MIN($E361-SUM($G361:AG361),$F361))</f>
        <v>0</v>
      </c>
      <c r="AI361" s="424">
        <f>IF(OR(AI$335&lt;$C361,AI$335&lt;$H$2),0,MIN($E361-SUM($G361:AH361),$F361))</f>
        <v>0</v>
      </c>
      <c r="AJ361" s="424">
        <f>IF(OR(AJ$335&lt;$C361,AJ$335&lt;$H$2),0,MIN($E361-SUM($G361:AI361),$F361))</f>
        <v>0</v>
      </c>
      <c r="AK361" s="424">
        <f>IF(OR(AK$335&lt;$C361,AK$335&lt;$H$2),0,MIN($E361-SUM($G361:AJ361),$F361))</f>
        <v>0</v>
      </c>
    </row>
    <row r="362" spans="3:37">
      <c r="C362" s="201">
        <v>0</v>
      </c>
      <c r="D362" s="94" t="s">
        <v>134</v>
      </c>
      <c r="E362" s="424">
        <f t="shared" si="122"/>
        <v>0</v>
      </c>
      <c r="F362" s="209">
        <f t="shared" si="123"/>
        <v>0</v>
      </c>
      <c r="H362" s="424">
        <f>IF(OR(H$335&lt;$C362,H$335&lt;$H$2),0,MIN($E362-SUM($G362:G362),$F362))</f>
        <v>0</v>
      </c>
      <c r="I362" s="424">
        <f>IF(OR(I$335&lt;$C362,I$335&lt;$H$2),0,MIN($E362-SUM($G362:H362),$F362))</f>
        <v>0</v>
      </c>
      <c r="J362" s="424">
        <f>IF(OR(J$335&lt;$C362,J$335&lt;$H$2),0,MIN($E362-SUM($G362:I362),$F362))</f>
        <v>0</v>
      </c>
      <c r="K362" s="424">
        <f>IF(OR(K$335&lt;$C362,K$335&lt;$H$2),0,MIN($E362-SUM($G362:J362),$F362))</f>
        <v>0</v>
      </c>
      <c r="L362" s="424">
        <f>IF(OR(L$335&lt;$C362,L$335&lt;$H$2),0,MIN($E362-SUM($G362:K362),$F362))</f>
        <v>0</v>
      </c>
      <c r="M362" s="424">
        <f>IF(OR(M$335&lt;$C362,M$335&lt;$H$2),0,MIN($E362-SUM($G362:L362),$F362))</f>
        <v>0</v>
      </c>
      <c r="N362" s="424">
        <f>IF(OR(N$335&lt;$C362,N$335&lt;$H$2),0,MIN($E362-SUM($G362:M362),$F362))</f>
        <v>0</v>
      </c>
      <c r="O362" s="424">
        <f>IF(OR(O$335&lt;$C362,O$335&lt;$H$2),0,MIN($E362-SUM($G362:N362),$F362))</f>
        <v>0</v>
      </c>
      <c r="P362" s="424">
        <f>IF(OR(P$335&lt;$C362,P$335&lt;$H$2),0,MIN($E362-SUM($G362:O362),$F362))</f>
        <v>0</v>
      </c>
      <c r="Q362" s="424">
        <f>IF(OR(Q$335&lt;$C362,Q$335&lt;$H$2),0,MIN($E362-SUM($G362:P362),$F362))</f>
        <v>0</v>
      </c>
      <c r="R362" s="424">
        <f>IF(OR(R$335&lt;$C362,R$335&lt;$H$2),0,MIN($E362-SUM($G362:Q362),$F362))</f>
        <v>0</v>
      </c>
      <c r="S362" s="424">
        <f>IF(OR(S$335&lt;$C362,S$335&lt;$H$2),0,MIN($E362-SUM($G362:R362),$F362))</f>
        <v>0</v>
      </c>
      <c r="T362" s="424">
        <f>IF(OR(T$335&lt;$C362,T$335&lt;$H$2),0,MIN($E362-SUM($G362:S362),$F362))</f>
        <v>0</v>
      </c>
      <c r="U362" s="424">
        <f>IF(OR(U$335&lt;$C362,U$335&lt;$H$2),0,MIN($E362-SUM($G362:T362),$F362))</f>
        <v>0</v>
      </c>
      <c r="V362" s="424">
        <f>IF(OR(V$335&lt;$C362,V$335&lt;$H$2),0,MIN($E362-SUM($G362:U362),$F362))</f>
        <v>0</v>
      </c>
      <c r="W362" s="424">
        <f>IF(OR(W$335&lt;$C362,W$335&lt;$H$2),0,MIN($E362-SUM($G362:V362),$F362))</f>
        <v>0</v>
      </c>
      <c r="X362" s="424">
        <f>IF(OR(X$335&lt;$C362,X$335&lt;$H$2),0,MIN($E362-SUM($G362:W362),$F362))</f>
        <v>0</v>
      </c>
      <c r="Y362" s="424">
        <f>IF(OR(Y$335&lt;$C362,Y$335&lt;$H$2),0,MIN($E362-SUM($G362:X362),$F362))</f>
        <v>0</v>
      </c>
      <c r="Z362" s="424">
        <f>IF(OR(Z$335&lt;$C362,Z$335&lt;$H$2),0,MIN($E362-SUM($G362:Y362),$F362))</f>
        <v>0</v>
      </c>
      <c r="AA362" s="424">
        <f>IF(OR(AA$335&lt;$C362,AA$335&lt;$H$2),0,MIN($E362-SUM($G362:Z362),$F362))</f>
        <v>0</v>
      </c>
      <c r="AB362" s="424">
        <f>IF(OR(AB$335&lt;$C362,AB$335&lt;$H$2),0,MIN($E362-SUM($G362:AA362),$F362))</f>
        <v>0</v>
      </c>
      <c r="AC362" s="424">
        <f>IF(OR(AC$335&lt;$C362,AC$335&lt;$H$2),0,MIN($E362-SUM($G362:AB362),$F362))</f>
        <v>0</v>
      </c>
      <c r="AD362" s="424">
        <f>IF(OR(AD$335&lt;$C362,AD$335&lt;$H$2),0,MIN($E362-SUM($G362:AC362),$F362))</f>
        <v>0</v>
      </c>
      <c r="AE362" s="424">
        <f>IF(OR(AE$335&lt;$C362,AE$335&lt;$H$2),0,MIN($E362-SUM($G362:AD362),$F362))</f>
        <v>0</v>
      </c>
      <c r="AF362" s="424">
        <f>IF(OR(AF$335&lt;$C362,AF$335&lt;$H$2),0,MIN($E362-SUM($G362:AE362),$F362))</f>
        <v>0</v>
      </c>
      <c r="AG362" s="424">
        <f>IF(OR(AG$335&lt;$C362,AG$335&lt;$H$2),0,MIN($E362-SUM($G362:AF362),$F362))</f>
        <v>0</v>
      </c>
      <c r="AH362" s="424">
        <f>IF(OR(AH$335&lt;$C362,AH$335&lt;$H$2),0,MIN($E362-SUM($G362:AG362),$F362))</f>
        <v>0</v>
      </c>
      <c r="AI362" s="424">
        <f>IF(OR(AI$335&lt;$C362,AI$335&lt;$H$2),0,MIN($E362-SUM($G362:AH362),$F362))</f>
        <v>0</v>
      </c>
      <c r="AJ362" s="424">
        <f>IF(OR(AJ$335&lt;$C362,AJ$335&lt;$H$2),0,MIN($E362-SUM($G362:AI362),$F362))</f>
        <v>0</v>
      </c>
      <c r="AK362" s="424">
        <f>IF(OR(AK$335&lt;$C362,AK$335&lt;$H$2),0,MIN($E362-SUM($G362:AJ362),$F362))</f>
        <v>0</v>
      </c>
    </row>
    <row r="363" spans="3:37">
      <c r="C363" s="201">
        <v>0</v>
      </c>
      <c r="D363" s="94" t="s">
        <v>134</v>
      </c>
      <c r="E363" s="424">
        <f t="shared" si="122"/>
        <v>0</v>
      </c>
      <c r="F363" s="209">
        <f t="shared" si="123"/>
        <v>0</v>
      </c>
      <c r="H363" s="424">
        <f>IF(OR(H$335&lt;$C363,H$335&lt;$H$2),0,MIN($E363-SUM($G363:G363),$F363))</f>
        <v>0</v>
      </c>
      <c r="I363" s="424">
        <f>IF(OR(I$335&lt;$C363,I$335&lt;$H$2),0,MIN($E363-SUM($G363:H363),$F363))</f>
        <v>0</v>
      </c>
      <c r="J363" s="424">
        <f>IF(OR(J$335&lt;$C363,J$335&lt;$H$2),0,MIN($E363-SUM($G363:I363),$F363))</f>
        <v>0</v>
      </c>
      <c r="K363" s="424">
        <f>IF(OR(K$335&lt;$C363,K$335&lt;$H$2),0,MIN($E363-SUM($G363:J363),$F363))</f>
        <v>0</v>
      </c>
      <c r="L363" s="424">
        <f>IF(OR(L$335&lt;$C363,L$335&lt;$H$2),0,MIN($E363-SUM($G363:K363),$F363))</f>
        <v>0</v>
      </c>
      <c r="M363" s="424">
        <f>IF(OR(M$335&lt;$C363,M$335&lt;$H$2),0,MIN($E363-SUM($G363:L363),$F363))</f>
        <v>0</v>
      </c>
      <c r="N363" s="424">
        <f>IF(OR(N$335&lt;$C363,N$335&lt;$H$2),0,MIN($E363-SUM($G363:M363),$F363))</f>
        <v>0</v>
      </c>
      <c r="O363" s="424">
        <f>IF(OR(O$335&lt;$C363,O$335&lt;$H$2),0,MIN($E363-SUM($G363:N363),$F363))</f>
        <v>0</v>
      </c>
      <c r="P363" s="424">
        <f>IF(OR(P$335&lt;$C363,P$335&lt;$H$2),0,MIN($E363-SUM($G363:O363),$F363))</f>
        <v>0</v>
      </c>
      <c r="Q363" s="424">
        <f>IF(OR(Q$335&lt;$C363,Q$335&lt;$H$2),0,MIN($E363-SUM($G363:P363),$F363))</f>
        <v>0</v>
      </c>
      <c r="R363" s="424">
        <f>IF(OR(R$335&lt;$C363,R$335&lt;$H$2),0,MIN($E363-SUM($G363:Q363),$F363))</f>
        <v>0</v>
      </c>
      <c r="S363" s="424">
        <f>IF(OR(S$335&lt;$C363,S$335&lt;$H$2),0,MIN($E363-SUM($G363:R363),$F363))</f>
        <v>0</v>
      </c>
      <c r="T363" s="424">
        <f>IF(OR(T$335&lt;$C363,T$335&lt;$H$2),0,MIN($E363-SUM($G363:S363),$F363))</f>
        <v>0</v>
      </c>
      <c r="U363" s="424">
        <f>IF(OR(U$335&lt;$C363,U$335&lt;$H$2),0,MIN($E363-SUM($G363:T363),$F363))</f>
        <v>0</v>
      </c>
      <c r="V363" s="424">
        <f>IF(OR(V$335&lt;$C363,V$335&lt;$H$2),0,MIN($E363-SUM($G363:U363),$F363))</f>
        <v>0</v>
      </c>
      <c r="W363" s="424">
        <f>IF(OR(W$335&lt;$C363,W$335&lt;$H$2),0,MIN($E363-SUM($G363:V363),$F363))</f>
        <v>0</v>
      </c>
      <c r="X363" s="424">
        <f>IF(OR(X$335&lt;$C363,X$335&lt;$H$2),0,MIN($E363-SUM($G363:W363),$F363))</f>
        <v>0</v>
      </c>
      <c r="Y363" s="424">
        <f>IF(OR(Y$335&lt;$C363,Y$335&lt;$H$2),0,MIN($E363-SUM($G363:X363),$F363))</f>
        <v>0</v>
      </c>
      <c r="Z363" s="424">
        <f>IF(OR(Z$335&lt;$C363,Z$335&lt;$H$2),0,MIN($E363-SUM($G363:Y363),$F363))</f>
        <v>0</v>
      </c>
      <c r="AA363" s="424">
        <f>IF(OR(AA$335&lt;$C363,AA$335&lt;$H$2),0,MIN($E363-SUM($G363:Z363),$F363))</f>
        <v>0</v>
      </c>
      <c r="AB363" s="424">
        <f>IF(OR(AB$335&lt;$C363,AB$335&lt;$H$2),0,MIN($E363-SUM($G363:AA363),$F363))</f>
        <v>0</v>
      </c>
      <c r="AC363" s="424">
        <f>IF(OR(AC$335&lt;$C363,AC$335&lt;$H$2),0,MIN($E363-SUM($G363:AB363),$F363))</f>
        <v>0</v>
      </c>
      <c r="AD363" s="424">
        <f>IF(OR(AD$335&lt;$C363,AD$335&lt;$H$2),0,MIN($E363-SUM($G363:AC363),$F363))</f>
        <v>0</v>
      </c>
      <c r="AE363" s="424">
        <f>IF(OR(AE$335&lt;$C363,AE$335&lt;$H$2),0,MIN($E363-SUM($G363:AD363),$F363))</f>
        <v>0</v>
      </c>
      <c r="AF363" s="424">
        <f>IF(OR(AF$335&lt;$C363,AF$335&lt;$H$2),0,MIN($E363-SUM($G363:AE363),$F363))</f>
        <v>0</v>
      </c>
      <c r="AG363" s="424">
        <f>IF(OR(AG$335&lt;$C363,AG$335&lt;$H$2),0,MIN($E363-SUM($G363:AF363),$F363))</f>
        <v>0</v>
      </c>
      <c r="AH363" s="424">
        <f>IF(OR(AH$335&lt;$C363,AH$335&lt;$H$2),0,MIN($E363-SUM($G363:AG363),$F363))</f>
        <v>0</v>
      </c>
      <c r="AI363" s="424">
        <f>IF(OR(AI$335&lt;$C363,AI$335&lt;$H$2),0,MIN($E363-SUM($G363:AH363),$F363))</f>
        <v>0</v>
      </c>
      <c r="AJ363" s="424">
        <f>IF(OR(AJ$335&lt;$C363,AJ$335&lt;$H$2),0,MIN($E363-SUM($G363:AI363),$F363))</f>
        <v>0</v>
      </c>
      <c r="AK363" s="424">
        <f>IF(OR(AK$335&lt;$C363,AK$335&lt;$H$2),0,MIN($E363-SUM($G363:AJ363),$F363))</f>
        <v>0</v>
      </c>
    </row>
    <row r="364" spans="3:37">
      <c r="C364" s="201">
        <v>0</v>
      </c>
      <c r="D364" s="94" t="s">
        <v>134</v>
      </c>
      <c r="E364" s="424">
        <f t="shared" si="122"/>
        <v>0</v>
      </c>
      <c r="F364" s="209">
        <f t="shared" si="123"/>
        <v>0</v>
      </c>
      <c r="H364" s="424">
        <f>IF(OR(H$335&lt;$C364,H$335&lt;$H$2),0,MIN($E364-SUM($G364:G364),$F364))</f>
        <v>0</v>
      </c>
      <c r="I364" s="424">
        <f>IF(OR(I$335&lt;$C364,I$335&lt;$H$2),0,MIN($E364-SUM($G364:H364),$F364))</f>
        <v>0</v>
      </c>
      <c r="J364" s="424">
        <f>IF(OR(J$335&lt;$C364,J$335&lt;$H$2),0,MIN($E364-SUM($G364:I364),$F364))</f>
        <v>0</v>
      </c>
      <c r="K364" s="424">
        <f>IF(OR(K$335&lt;$C364,K$335&lt;$H$2),0,MIN($E364-SUM($G364:J364),$F364))</f>
        <v>0</v>
      </c>
      <c r="L364" s="424">
        <f>IF(OR(L$335&lt;$C364,L$335&lt;$H$2),0,MIN($E364-SUM($G364:K364),$F364))</f>
        <v>0</v>
      </c>
      <c r="M364" s="424">
        <f>IF(OR(M$335&lt;$C364,M$335&lt;$H$2),0,MIN($E364-SUM($G364:L364),$F364))</f>
        <v>0</v>
      </c>
      <c r="N364" s="424">
        <f>IF(OR(N$335&lt;$C364,N$335&lt;$H$2),0,MIN($E364-SUM($G364:M364),$F364))</f>
        <v>0</v>
      </c>
      <c r="O364" s="424">
        <f>IF(OR(O$335&lt;$C364,O$335&lt;$H$2),0,MIN($E364-SUM($G364:N364),$F364))</f>
        <v>0</v>
      </c>
      <c r="P364" s="424">
        <f>IF(OR(P$335&lt;$C364,P$335&lt;$H$2),0,MIN($E364-SUM($G364:O364),$F364))</f>
        <v>0</v>
      </c>
      <c r="Q364" s="424">
        <f>IF(OR(Q$335&lt;$C364,Q$335&lt;$H$2),0,MIN($E364-SUM($G364:P364),$F364))</f>
        <v>0</v>
      </c>
      <c r="R364" s="424">
        <f>IF(OR(R$335&lt;$C364,R$335&lt;$H$2),0,MIN($E364-SUM($G364:Q364),$F364))</f>
        <v>0</v>
      </c>
      <c r="S364" s="424">
        <f>IF(OR(S$335&lt;$C364,S$335&lt;$H$2),0,MIN($E364-SUM($G364:R364),$F364))</f>
        <v>0</v>
      </c>
      <c r="T364" s="424">
        <f>IF(OR(T$335&lt;$C364,T$335&lt;$H$2),0,MIN($E364-SUM($G364:S364),$F364))</f>
        <v>0</v>
      </c>
      <c r="U364" s="424">
        <f>IF(OR(U$335&lt;$C364,U$335&lt;$H$2),0,MIN($E364-SUM($G364:T364),$F364))</f>
        <v>0</v>
      </c>
      <c r="V364" s="424">
        <f>IF(OR(V$335&lt;$C364,V$335&lt;$H$2),0,MIN($E364-SUM($G364:U364),$F364))</f>
        <v>0</v>
      </c>
      <c r="W364" s="424">
        <f>IF(OR(W$335&lt;$C364,W$335&lt;$H$2),0,MIN($E364-SUM($G364:V364),$F364))</f>
        <v>0</v>
      </c>
      <c r="X364" s="424">
        <f>IF(OR(X$335&lt;$C364,X$335&lt;$H$2),0,MIN($E364-SUM($G364:W364),$F364))</f>
        <v>0</v>
      </c>
      <c r="Y364" s="424">
        <f>IF(OR(Y$335&lt;$C364,Y$335&lt;$H$2),0,MIN($E364-SUM($G364:X364),$F364))</f>
        <v>0</v>
      </c>
      <c r="Z364" s="424">
        <f>IF(OR(Z$335&lt;$C364,Z$335&lt;$H$2),0,MIN($E364-SUM($G364:Y364),$F364))</f>
        <v>0</v>
      </c>
      <c r="AA364" s="424">
        <f>IF(OR(AA$335&lt;$C364,AA$335&lt;$H$2),0,MIN($E364-SUM($G364:Z364),$F364))</f>
        <v>0</v>
      </c>
      <c r="AB364" s="424">
        <f>IF(OR(AB$335&lt;$C364,AB$335&lt;$H$2),0,MIN($E364-SUM($G364:AA364),$F364))</f>
        <v>0</v>
      </c>
      <c r="AC364" s="424">
        <f>IF(OR(AC$335&lt;$C364,AC$335&lt;$H$2),0,MIN($E364-SUM($G364:AB364),$F364))</f>
        <v>0</v>
      </c>
      <c r="AD364" s="424">
        <f>IF(OR(AD$335&lt;$C364,AD$335&lt;$H$2),0,MIN($E364-SUM($G364:AC364),$F364))</f>
        <v>0</v>
      </c>
      <c r="AE364" s="424">
        <f>IF(OR(AE$335&lt;$C364,AE$335&lt;$H$2),0,MIN($E364-SUM($G364:AD364),$F364))</f>
        <v>0</v>
      </c>
      <c r="AF364" s="424">
        <f>IF(OR(AF$335&lt;$C364,AF$335&lt;$H$2),0,MIN($E364-SUM($G364:AE364),$F364))</f>
        <v>0</v>
      </c>
      <c r="AG364" s="424">
        <f>IF(OR(AG$335&lt;$C364,AG$335&lt;$H$2),0,MIN($E364-SUM($G364:AF364),$F364))</f>
        <v>0</v>
      </c>
      <c r="AH364" s="424">
        <f>IF(OR(AH$335&lt;$C364,AH$335&lt;$H$2),0,MIN($E364-SUM($G364:AG364),$F364))</f>
        <v>0</v>
      </c>
      <c r="AI364" s="424">
        <f>IF(OR(AI$335&lt;$C364,AI$335&lt;$H$2),0,MIN($E364-SUM($G364:AH364),$F364))</f>
        <v>0</v>
      </c>
      <c r="AJ364" s="424">
        <f>IF(OR(AJ$335&lt;$C364,AJ$335&lt;$H$2),0,MIN($E364-SUM($G364:AI364),$F364))</f>
        <v>0</v>
      </c>
      <c r="AK364" s="424">
        <f>IF(OR(AK$335&lt;$C364,AK$335&lt;$H$2),0,MIN($E364-SUM($G364:AJ364),$F364))</f>
        <v>0</v>
      </c>
    </row>
    <row r="365" spans="3:37">
      <c r="C365" s="201">
        <v>0</v>
      </c>
      <c r="D365" s="94" t="s">
        <v>134</v>
      </c>
      <c r="E365" s="424">
        <f t="shared" si="122"/>
        <v>0</v>
      </c>
      <c r="F365" s="209">
        <f t="shared" si="123"/>
        <v>0</v>
      </c>
      <c r="H365" s="424">
        <f>IF(OR(H$335&lt;$C365,H$335&lt;$H$2),0,MIN($E365-SUM($G365:G365),$F365))</f>
        <v>0</v>
      </c>
      <c r="I365" s="424">
        <f>IF(OR(I$335&lt;$C365,I$335&lt;$H$2),0,MIN($E365-SUM($G365:H365),$F365))</f>
        <v>0</v>
      </c>
      <c r="J365" s="424">
        <f>IF(OR(J$335&lt;$C365,J$335&lt;$H$2),0,MIN($E365-SUM($G365:I365),$F365))</f>
        <v>0</v>
      </c>
      <c r="K365" s="424">
        <f>IF(OR(K$335&lt;$C365,K$335&lt;$H$2),0,MIN($E365-SUM($G365:J365),$F365))</f>
        <v>0</v>
      </c>
      <c r="L365" s="424">
        <f>IF(OR(L$335&lt;$C365,L$335&lt;$H$2),0,MIN($E365-SUM($G365:K365),$F365))</f>
        <v>0</v>
      </c>
      <c r="M365" s="424">
        <f>IF(OR(M$335&lt;$C365,M$335&lt;$H$2),0,MIN($E365-SUM($G365:L365),$F365))</f>
        <v>0</v>
      </c>
      <c r="N365" s="424">
        <f>IF(OR(N$335&lt;$C365,N$335&lt;$H$2),0,MIN($E365-SUM($G365:M365),$F365))</f>
        <v>0</v>
      </c>
      <c r="O365" s="424">
        <f>IF(OR(O$335&lt;$C365,O$335&lt;$H$2),0,MIN($E365-SUM($G365:N365),$F365))</f>
        <v>0</v>
      </c>
      <c r="P365" s="424">
        <f>IF(OR(P$335&lt;$C365,P$335&lt;$H$2),0,MIN($E365-SUM($G365:O365),$F365))</f>
        <v>0</v>
      </c>
      <c r="Q365" s="424">
        <f>IF(OR(Q$335&lt;$C365,Q$335&lt;$H$2),0,MIN($E365-SUM($G365:P365),$F365))</f>
        <v>0</v>
      </c>
      <c r="R365" s="424">
        <f>IF(OR(R$335&lt;$C365,R$335&lt;$H$2),0,MIN($E365-SUM($G365:Q365),$F365))</f>
        <v>0</v>
      </c>
      <c r="S365" s="424">
        <f>IF(OR(S$335&lt;$C365,S$335&lt;$H$2),0,MIN($E365-SUM($G365:R365),$F365))</f>
        <v>0</v>
      </c>
      <c r="T365" s="424">
        <f>IF(OR(T$335&lt;$C365,T$335&lt;$H$2),0,MIN($E365-SUM($G365:S365),$F365))</f>
        <v>0</v>
      </c>
      <c r="U365" s="424">
        <f>IF(OR(U$335&lt;$C365,U$335&lt;$H$2),0,MIN($E365-SUM($G365:T365),$F365))</f>
        <v>0</v>
      </c>
      <c r="V365" s="424">
        <f>IF(OR(V$335&lt;$C365,V$335&lt;$H$2),0,MIN($E365-SUM($G365:U365),$F365))</f>
        <v>0</v>
      </c>
      <c r="W365" s="424">
        <f>IF(OR(W$335&lt;$C365,W$335&lt;$H$2),0,MIN($E365-SUM($G365:V365),$F365))</f>
        <v>0</v>
      </c>
      <c r="X365" s="424">
        <f>IF(OR(X$335&lt;$C365,X$335&lt;$H$2),0,MIN($E365-SUM($G365:W365),$F365))</f>
        <v>0</v>
      </c>
      <c r="Y365" s="424">
        <f>IF(OR(Y$335&lt;$C365,Y$335&lt;$H$2),0,MIN($E365-SUM($G365:X365),$F365))</f>
        <v>0</v>
      </c>
      <c r="Z365" s="424">
        <f>IF(OR(Z$335&lt;$C365,Z$335&lt;$H$2),0,MIN($E365-SUM($G365:Y365),$F365))</f>
        <v>0</v>
      </c>
      <c r="AA365" s="424">
        <f>IF(OR(AA$335&lt;$C365,AA$335&lt;$H$2),0,MIN($E365-SUM($G365:Z365),$F365))</f>
        <v>0</v>
      </c>
      <c r="AB365" s="424">
        <f>IF(OR(AB$335&lt;$C365,AB$335&lt;$H$2),0,MIN($E365-SUM($G365:AA365),$F365))</f>
        <v>0</v>
      </c>
      <c r="AC365" s="424">
        <f>IF(OR(AC$335&lt;$C365,AC$335&lt;$H$2),0,MIN($E365-SUM($G365:AB365),$F365))</f>
        <v>0</v>
      </c>
      <c r="AD365" s="424">
        <f>IF(OR(AD$335&lt;$C365,AD$335&lt;$H$2),0,MIN($E365-SUM($G365:AC365),$F365))</f>
        <v>0</v>
      </c>
      <c r="AE365" s="424">
        <f>IF(OR(AE$335&lt;$C365,AE$335&lt;$H$2),0,MIN($E365-SUM($G365:AD365),$F365))</f>
        <v>0</v>
      </c>
      <c r="AF365" s="424">
        <f>IF(OR(AF$335&lt;$C365,AF$335&lt;$H$2),0,MIN($E365-SUM($G365:AE365),$F365))</f>
        <v>0</v>
      </c>
      <c r="AG365" s="424">
        <f>IF(OR(AG$335&lt;$C365,AG$335&lt;$H$2),0,MIN($E365-SUM($G365:AF365),$F365))</f>
        <v>0</v>
      </c>
      <c r="AH365" s="424">
        <f>IF(OR(AH$335&lt;$C365,AH$335&lt;$H$2),0,MIN($E365-SUM($G365:AG365),$F365))</f>
        <v>0</v>
      </c>
      <c r="AI365" s="424">
        <f>IF(OR(AI$335&lt;$C365,AI$335&lt;$H$2),0,MIN($E365-SUM($G365:AH365),$F365))</f>
        <v>0</v>
      </c>
      <c r="AJ365" s="424">
        <f>IF(OR(AJ$335&lt;$C365,AJ$335&lt;$H$2),0,MIN($E365-SUM($G365:AI365),$F365))</f>
        <v>0</v>
      </c>
      <c r="AK365" s="424">
        <f>IF(OR(AK$335&lt;$C365,AK$335&lt;$H$2),0,MIN($E365-SUM($G365:AJ365),$F365))</f>
        <v>0</v>
      </c>
    </row>
    <row r="366" spans="3:37">
      <c r="C366" s="201">
        <v>0</v>
      </c>
      <c r="D366" s="94" t="s">
        <v>134</v>
      </c>
      <c r="E366" s="424">
        <f t="shared" si="122"/>
        <v>0</v>
      </c>
      <c r="F366" s="209">
        <f t="shared" si="123"/>
        <v>0</v>
      </c>
      <c r="H366" s="424">
        <f>IF(OR(H$335&lt;$C366,H$335&lt;$H$2),0,MIN($E366-SUM($G366:G366),$F366))</f>
        <v>0</v>
      </c>
      <c r="I366" s="424">
        <f>IF(OR(I$335&lt;$C366,I$335&lt;$H$2),0,MIN($E366-SUM($G366:H366),$F366))</f>
        <v>0</v>
      </c>
      <c r="J366" s="424">
        <f>IF(OR(J$335&lt;$C366,J$335&lt;$H$2),0,MIN($E366-SUM($G366:I366),$F366))</f>
        <v>0</v>
      </c>
      <c r="K366" s="424">
        <f>IF(OR(K$335&lt;$C366,K$335&lt;$H$2),0,MIN($E366-SUM($G366:J366),$F366))</f>
        <v>0</v>
      </c>
      <c r="L366" s="424">
        <f>IF(OR(L$335&lt;$C366,L$335&lt;$H$2),0,MIN($E366-SUM($G366:K366),$F366))</f>
        <v>0</v>
      </c>
      <c r="M366" s="424">
        <f>IF(OR(M$335&lt;$C366,M$335&lt;$H$2),0,MIN($E366-SUM($G366:L366),$F366))</f>
        <v>0</v>
      </c>
      <c r="N366" s="424">
        <f>IF(OR(N$335&lt;$C366,N$335&lt;$H$2),0,MIN($E366-SUM($G366:M366),$F366))</f>
        <v>0</v>
      </c>
      <c r="O366" s="424">
        <f>IF(OR(O$335&lt;$C366,O$335&lt;$H$2),0,MIN($E366-SUM($G366:N366),$F366))</f>
        <v>0</v>
      </c>
      <c r="P366" s="424">
        <f>IF(OR(P$335&lt;$C366,P$335&lt;$H$2),0,MIN($E366-SUM($G366:O366),$F366))</f>
        <v>0</v>
      </c>
      <c r="Q366" s="424">
        <f>IF(OR(Q$335&lt;$C366,Q$335&lt;$H$2),0,MIN($E366-SUM($G366:P366),$F366))</f>
        <v>0</v>
      </c>
      <c r="R366" s="424">
        <f>IF(OR(R$335&lt;$C366,R$335&lt;$H$2),0,MIN($E366-SUM($G366:Q366),$F366))</f>
        <v>0</v>
      </c>
      <c r="S366" s="424">
        <f>IF(OR(S$335&lt;$C366,S$335&lt;$H$2),0,MIN($E366-SUM($G366:R366),$F366))</f>
        <v>0</v>
      </c>
      <c r="T366" s="424">
        <f>IF(OR(T$335&lt;$C366,T$335&lt;$H$2),0,MIN($E366-SUM($G366:S366),$F366))</f>
        <v>0</v>
      </c>
      <c r="U366" s="424">
        <f>IF(OR(U$335&lt;$C366,U$335&lt;$H$2),0,MIN($E366-SUM($G366:T366),$F366))</f>
        <v>0</v>
      </c>
      <c r="V366" s="424">
        <f>IF(OR(V$335&lt;$C366,V$335&lt;$H$2),0,MIN($E366-SUM($G366:U366),$F366))</f>
        <v>0</v>
      </c>
      <c r="W366" s="424">
        <f>IF(OR(W$335&lt;$C366,W$335&lt;$H$2),0,MIN($E366-SUM($G366:V366),$F366))</f>
        <v>0</v>
      </c>
      <c r="X366" s="424">
        <f>IF(OR(X$335&lt;$C366,X$335&lt;$H$2),0,MIN($E366-SUM($G366:W366),$F366))</f>
        <v>0</v>
      </c>
      <c r="Y366" s="424">
        <f>IF(OR(Y$335&lt;$C366,Y$335&lt;$H$2),0,MIN($E366-SUM($G366:X366),$F366))</f>
        <v>0</v>
      </c>
      <c r="Z366" s="424">
        <f>IF(OR(Z$335&lt;$C366,Z$335&lt;$H$2),0,MIN($E366-SUM($G366:Y366),$F366))</f>
        <v>0</v>
      </c>
      <c r="AA366" s="424">
        <f>IF(OR(AA$335&lt;$C366,AA$335&lt;$H$2),0,MIN($E366-SUM($G366:Z366),$F366))</f>
        <v>0</v>
      </c>
      <c r="AB366" s="424">
        <f>IF(OR(AB$335&lt;$C366,AB$335&lt;$H$2),0,MIN($E366-SUM($G366:AA366),$F366))</f>
        <v>0</v>
      </c>
      <c r="AC366" s="424">
        <f>IF(OR(AC$335&lt;$C366,AC$335&lt;$H$2),0,MIN($E366-SUM($G366:AB366),$F366))</f>
        <v>0</v>
      </c>
      <c r="AD366" s="424">
        <f>IF(OR(AD$335&lt;$C366,AD$335&lt;$H$2),0,MIN($E366-SUM($G366:AC366),$F366))</f>
        <v>0</v>
      </c>
      <c r="AE366" s="424">
        <f>IF(OR(AE$335&lt;$C366,AE$335&lt;$H$2),0,MIN($E366-SUM($G366:AD366),$F366))</f>
        <v>0</v>
      </c>
      <c r="AF366" s="424">
        <f>IF(OR(AF$335&lt;$C366,AF$335&lt;$H$2),0,MIN($E366-SUM($G366:AE366),$F366))</f>
        <v>0</v>
      </c>
      <c r="AG366" s="424">
        <f>IF(OR(AG$335&lt;$C366,AG$335&lt;$H$2),0,MIN($E366-SUM($G366:AF366),$F366))</f>
        <v>0</v>
      </c>
      <c r="AH366" s="424">
        <f>IF(OR(AH$335&lt;$C366,AH$335&lt;$H$2),0,MIN($E366-SUM($G366:AG366),$F366))</f>
        <v>0</v>
      </c>
      <c r="AI366" s="424">
        <f>IF(OR(AI$335&lt;$C366,AI$335&lt;$H$2),0,MIN($E366-SUM($G366:AH366),$F366))</f>
        <v>0</v>
      </c>
      <c r="AJ366" s="424">
        <f>IF(OR(AJ$335&lt;$C366,AJ$335&lt;$H$2),0,MIN($E366-SUM($G366:AI366),$F366))</f>
        <v>0</v>
      </c>
      <c r="AK366" s="424">
        <f>IF(OR(AK$335&lt;$C366,AK$335&lt;$H$2),0,MIN($E366-SUM($G366:AJ366),$F366))</f>
        <v>0</v>
      </c>
    </row>
    <row r="367" spans="3:37">
      <c r="C367" s="201">
        <v>0</v>
      </c>
      <c r="D367" s="94" t="s">
        <v>134</v>
      </c>
      <c r="E367" s="424">
        <f t="shared" si="122"/>
        <v>0</v>
      </c>
      <c r="F367" s="209">
        <f t="shared" si="123"/>
        <v>0</v>
      </c>
      <c r="H367" s="424">
        <f>IF(OR(H$335&lt;$C367,H$335&lt;$H$2),0,MIN($E367-SUM($G367:G367),$F367))</f>
        <v>0</v>
      </c>
      <c r="I367" s="424">
        <f>IF(OR(I$335&lt;$C367,I$335&lt;$H$2),0,MIN($E367-SUM($G367:H367),$F367))</f>
        <v>0</v>
      </c>
      <c r="J367" s="424">
        <f>IF(OR(J$335&lt;$C367,J$335&lt;$H$2),0,MIN($E367-SUM($G367:I367),$F367))</f>
        <v>0</v>
      </c>
      <c r="K367" s="424">
        <f>IF(OR(K$335&lt;$C367,K$335&lt;$H$2),0,MIN($E367-SUM($G367:J367),$F367))</f>
        <v>0</v>
      </c>
      <c r="L367" s="424">
        <f>IF(OR(L$335&lt;$C367,L$335&lt;$H$2),0,MIN($E367-SUM($G367:K367),$F367))</f>
        <v>0</v>
      </c>
      <c r="M367" s="424">
        <f>IF(OR(M$335&lt;$C367,M$335&lt;$H$2),0,MIN($E367-SUM($G367:L367),$F367))</f>
        <v>0</v>
      </c>
      <c r="N367" s="424">
        <f>IF(OR(N$335&lt;$C367,N$335&lt;$H$2),0,MIN($E367-SUM($G367:M367),$F367))</f>
        <v>0</v>
      </c>
      <c r="O367" s="424">
        <f>IF(OR(O$335&lt;$C367,O$335&lt;$H$2),0,MIN($E367-SUM($G367:N367),$F367))</f>
        <v>0</v>
      </c>
      <c r="P367" s="424">
        <f>IF(OR(P$335&lt;$C367,P$335&lt;$H$2),0,MIN($E367-SUM($G367:O367),$F367))</f>
        <v>0</v>
      </c>
      <c r="Q367" s="424">
        <f>IF(OR(Q$335&lt;$C367,Q$335&lt;$H$2),0,MIN($E367-SUM($G367:P367),$F367))</f>
        <v>0</v>
      </c>
      <c r="R367" s="424">
        <f>IF(OR(R$335&lt;$C367,R$335&lt;$H$2),0,MIN($E367-SUM($G367:Q367),$F367))</f>
        <v>0</v>
      </c>
      <c r="S367" s="424">
        <f>IF(OR(S$335&lt;$C367,S$335&lt;$H$2),0,MIN($E367-SUM($G367:R367),$F367))</f>
        <v>0</v>
      </c>
      <c r="T367" s="424">
        <f>IF(OR(T$335&lt;$C367,T$335&lt;$H$2),0,MIN($E367-SUM($G367:S367),$F367))</f>
        <v>0</v>
      </c>
      <c r="U367" s="424">
        <f>IF(OR(U$335&lt;$C367,U$335&lt;$H$2),0,MIN($E367-SUM($G367:T367),$F367))</f>
        <v>0</v>
      </c>
      <c r="V367" s="424">
        <f>IF(OR(V$335&lt;$C367,V$335&lt;$H$2),0,MIN($E367-SUM($G367:U367),$F367))</f>
        <v>0</v>
      </c>
      <c r="W367" s="424">
        <f>IF(OR(W$335&lt;$C367,W$335&lt;$H$2),0,MIN($E367-SUM($G367:V367),$F367))</f>
        <v>0</v>
      </c>
      <c r="X367" s="424">
        <f>IF(OR(X$335&lt;$C367,X$335&lt;$H$2),0,MIN($E367-SUM($G367:W367),$F367))</f>
        <v>0</v>
      </c>
      <c r="Y367" s="424">
        <f>IF(OR(Y$335&lt;$C367,Y$335&lt;$H$2),0,MIN($E367-SUM($G367:X367),$F367))</f>
        <v>0</v>
      </c>
      <c r="Z367" s="424">
        <f>IF(OR(Z$335&lt;$C367,Z$335&lt;$H$2),0,MIN($E367-SUM($G367:Y367),$F367))</f>
        <v>0</v>
      </c>
      <c r="AA367" s="424">
        <f>IF(OR(AA$335&lt;$C367,AA$335&lt;$H$2),0,MIN($E367-SUM($G367:Z367),$F367))</f>
        <v>0</v>
      </c>
      <c r="AB367" s="424">
        <f>IF(OR(AB$335&lt;$C367,AB$335&lt;$H$2),0,MIN($E367-SUM($G367:AA367),$F367))</f>
        <v>0</v>
      </c>
      <c r="AC367" s="424">
        <f>IF(OR(AC$335&lt;$C367,AC$335&lt;$H$2),0,MIN($E367-SUM($G367:AB367),$F367))</f>
        <v>0</v>
      </c>
      <c r="AD367" s="424">
        <f>IF(OR(AD$335&lt;$C367,AD$335&lt;$H$2),0,MIN($E367-SUM($G367:AC367),$F367))</f>
        <v>0</v>
      </c>
      <c r="AE367" s="424">
        <f>IF(OR(AE$335&lt;$C367,AE$335&lt;$H$2),0,MIN($E367-SUM($G367:AD367),$F367))</f>
        <v>0</v>
      </c>
      <c r="AF367" s="424">
        <f>IF(OR(AF$335&lt;$C367,AF$335&lt;$H$2),0,MIN($E367-SUM($G367:AE367),$F367))</f>
        <v>0</v>
      </c>
      <c r="AG367" s="424">
        <f>IF(OR(AG$335&lt;$C367,AG$335&lt;$H$2),0,MIN($E367-SUM($G367:AF367),$F367))</f>
        <v>0</v>
      </c>
      <c r="AH367" s="424">
        <f>IF(OR(AH$335&lt;$C367,AH$335&lt;$H$2),0,MIN($E367-SUM($G367:AG367),$F367))</f>
        <v>0</v>
      </c>
      <c r="AI367" s="424">
        <f>IF(OR(AI$335&lt;$C367,AI$335&lt;$H$2),0,MIN($E367-SUM($G367:AH367),$F367))</f>
        <v>0</v>
      </c>
      <c r="AJ367" s="424">
        <f>IF(OR(AJ$335&lt;$C367,AJ$335&lt;$H$2),0,MIN($E367-SUM($G367:AI367),$F367))</f>
        <v>0</v>
      </c>
      <c r="AK367" s="424">
        <f>IF(OR(AK$335&lt;$C367,AK$335&lt;$H$2),0,MIN($E367-SUM($G367:AJ367),$F367))</f>
        <v>0</v>
      </c>
    </row>
    <row r="368" spans="3:37" ht="14" thickBot="1">
      <c r="C368" s="240" t="s">
        <v>543</v>
      </c>
      <c r="D368" s="348" t="s">
        <v>134</v>
      </c>
      <c r="E368" s="427">
        <f>SUM(E338:E367)</f>
        <v>0</v>
      </c>
      <c r="F368" s="427">
        <f>SUM(F338:F367)</f>
        <v>0</v>
      </c>
      <c r="G368" s="348"/>
      <c r="H368" s="427">
        <f t="shared" ref="H368:AK368" si="124">SUM(H338:H367)</f>
        <v>0</v>
      </c>
      <c r="I368" s="427">
        <f t="shared" si="124"/>
        <v>0</v>
      </c>
      <c r="J368" s="427">
        <f t="shared" si="124"/>
        <v>0</v>
      </c>
      <c r="K368" s="427">
        <f t="shared" si="124"/>
        <v>0</v>
      </c>
      <c r="L368" s="427">
        <f t="shared" si="124"/>
        <v>0</v>
      </c>
      <c r="M368" s="427">
        <f t="shared" si="124"/>
        <v>0</v>
      </c>
      <c r="N368" s="427">
        <f t="shared" si="124"/>
        <v>0</v>
      </c>
      <c r="O368" s="427">
        <f t="shared" si="124"/>
        <v>0</v>
      </c>
      <c r="P368" s="427">
        <f t="shared" si="124"/>
        <v>0</v>
      </c>
      <c r="Q368" s="427">
        <f t="shared" si="124"/>
        <v>0</v>
      </c>
      <c r="R368" s="427">
        <f t="shared" si="124"/>
        <v>0</v>
      </c>
      <c r="S368" s="427">
        <f t="shared" si="124"/>
        <v>0</v>
      </c>
      <c r="T368" s="427">
        <f t="shared" si="124"/>
        <v>0</v>
      </c>
      <c r="U368" s="427">
        <f t="shared" si="124"/>
        <v>0</v>
      </c>
      <c r="V368" s="427">
        <f t="shared" si="124"/>
        <v>0</v>
      </c>
      <c r="W368" s="427">
        <f t="shared" si="124"/>
        <v>0</v>
      </c>
      <c r="X368" s="427">
        <f t="shared" si="124"/>
        <v>0</v>
      </c>
      <c r="Y368" s="427">
        <f t="shared" si="124"/>
        <v>0</v>
      </c>
      <c r="Z368" s="427">
        <f t="shared" si="124"/>
        <v>0</v>
      </c>
      <c r="AA368" s="427">
        <f t="shared" si="124"/>
        <v>0</v>
      </c>
      <c r="AB368" s="427">
        <f t="shared" si="124"/>
        <v>0</v>
      </c>
      <c r="AC368" s="427">
        <f t="shared" si="124"/>
        <v>0</v>
      </c>
      <c r="AD368" s="427">
        <f t="shared" si="124"/>
        <v>0</v>
      </c>
      <c r="AE368" s="427">
        <f t="shared" si="124"/>
        <v>0</v>
      </c>
      <c r="AF368" s="427">
        <f t="shared" si="124"/>
        <v>0</v>
      </c>
      <c r="AG368" s="427">
        <f t="shared" si="124"/>
        <v>0</v>
      </c>
      <c r="AH368" s="427">
        <f t="shared" si="124"/>
        <v>0</v>
      </c>
      <c r="AI368" s="427">
        <f t="shared" si="124"/>
        <v>0</v>
      </c>
      <c r="AJ368" s="427">
        <f t="shared" si="124"/>
        <v>0</v>
      </c>
      <c r="AK368" s="427">
        <f t="shared" si="124"/>
        <v>0</v>
      </c>
    </row>
    <row r="370" spans="3:37" ht="28">
      <c r="C370" s="428" t="s">
        <v>166</v>
      </c>
      <c r="D370" s="428" t="s">
        <v>88</v>
      </c>
      <c r="E370" s="428" t="s">
        <v>555</v>
      </c>
      <c r="F370" s="429" t="s">
        <v>556</v>
      </c>
      <c r="G370" s="430"/>
      <c r="H370" s="201">
        <f t="shared" ref="H370:AK371" si="125">H335</f>
        <v>46023</v>
      </c>
      <c r="I370" s="201">
        <f t="shared" si="125"/>
        <v>46389</v>
      </c>
      <c r="J370" s="201">
        <f t="shared" si="125"/>
        <v>46755</v>
      </c>
      <c r="K370" s="201">
        <f t="shared" si="125"/>
        <v>47121</v>
      </c>
      <c r="L370" s="201">
        <f t="shared" si="125"/>
        <v>47487</v>
      </c>
      <c r="M370" s="201">
        <f t="shared" si="125"/>
        <v>47853</v>
      </c>
      <c r="N370" s="201">
        <f t="shared" si="125"/>
        <v>48219</v>
      </c>
      <c r="O370" s="201">
        <f t="shared" si="125"/>
        <v>48585</v>
      </c>
      <c r="P370" s="201">
        <f t="shared" si="125"/>
        <v>48951</v>
      </c>
      <c r="Q370" s="201">
        <f t="shared" si="125"/>
        <v>49317</v>
      </c>
      <c r="R370" s="201">
        <f t="shared" si="125"/>
        <v>49683</v>
      </c>
      <c r="S370" s="201">
        <f t="shared" si="125"/>
        <v>50049</v>
      </c>
      <c r="T370" s="201">
        <f t="shared" si="125"/>
        <v>50415</v>
      </c>
      <c r="U370" s="201">
        <f t="shared" si="125"/>
        <v>50781</v>
      </c>
      <c r="V370" s="201">
        <f t="shared" si="125"/>
        <v>51147</v>
      </c>
      <c r="W370" s="201">
        <f t="shared" si="125"/>
        <v>51513</v>
      </c>
      <c r="X370" s="201">
        <f t="shared" si="125"/>
        <v>51879</v>
      </c>
      <c r="Y370" s="201">
        <f t="shared" si="125"/>
        <v>52245</v>
      </c>
      <c r="Z370" s="201">
        <f t="shared" si="125"/>
        <v>52611</v>
      </c>
      <c r="AA370" s="201">
        <f t="shared" si="125"/>
        <v>52977</v>
      </c>
      <c r="AB370" s="201">
        <f t="shared" si="125"/>
        <v>53343</v>
      </c>
      <c r="AC370" s="201">
        <f t="shared" si="125"/>
        <v>53709</v>
      </c>
      <c r="AD370" s="201">
        <f t="shared" si="125"/>
        <v>54075</v>
      </c>
      <c r="AE370" s="201">
        <f t="shared" si="125"/>
        <v>0</v>
      </c>
      <c r="AF370" s="201">
        <f t="shared" si="125"/>
        <v>0</v>
      </c>
      <c r="AG370" s="201">
        <f t="shared" si="125"/>
        <v>0</v>
      </c>
      <c r="AH370" s="201">
        <f t="shared" si="125"/>
        <v>0</v>
      </c>
      <c r="AI370" s="201">
        <f t="shared" si="125"/>
        <v>0</v>
      </c>
      <c r="AJ370" s="201">
        <f t="shared" si="125"/>
        <v>0</v>
      </c>
      <c r="AK370" s="201">
        <f t="shared" si="125"/>
        <v>0</v>
      </c>
    </row>
    <row r="371" spans="3:37">
      <c r="C371" s="430"/>
      <c r="D371" s="430"/>
      <c r="E371" s="428" t="s">
        <v>134</v>
      </c>
      <c r="F371" s="428" t="s">
        <v>134</v>
      </c>
      <c r="G371" s="430"/>
      <c r="H371" s="1141">
        <f t="shared" si="125"/>
        <v>-4</v>
      </c>
      <c r="I371" s="1141">
        <f t="shared" si="125"/>
        <v>-3</v>
      </c>
      <c r="J371" s="1141">
        <f t="shared" si="125"/>
        <v>-2</v>
      </c>
      <c r="K371" s="1141">
        <f t="shared" si="125"/>
        <v>-1</v>
      </c>
      <c r="L371" s="1141">
        <f t="shared" si="125"/>
        <v>1</v>
      </c>
      <c r="M371" s="1141">
        <f t="shared" si="125"/>
        <v>2</v>
      </c>
      <c r="N371" s="1141">
        <f t="shared" si="125"/>
        <v>3</v>
      </c>
      <c r="O371" s="1141">
        <f t="shared" si="125"/>
        <v>4</v>
      </c>
      <c r="P371" s="1141">
        <f t="shared" si="125"/>
        <v>5</v>
      </c>
      <c r="Q371" s="1141">
        <f t="shared" si="125"/>
        <v>6</v>
      </c>
      <c r="R371" s="1141">
        <f t="shared" si="125"/>
        <v>7</v>
      </c>
      <c r="S371" s="1141">
        <f t="shared" si="125"/>
        <v>8</v>
      </c>
      <c r="T371" s="1141">
        <f t="shared" si="125"/>
        <v>9</v>
      </c>
      <c r="U371" s="1141">
        <f t="shared" si="125"/>
        <v>10</v>
      </c>
      <c r="V371" s="1141">
        <f t="shared" si="125"/>
        <v>11</v>
      </c>
      <c r="W371" s="1141">
        <f t="shared" si="125"/>
        <v>12</v>
      </c>
      <c r="X371" s="1141">
        <f t="shared" si="125"/>
        <v>13</v>
      </c>
      <c r="Y371" s="1141">
        <f t="shared" si="125"/>
        <v>14</v>
      </c>
      <c r="Z371" s="1141">
        <f t="shared" si="125"/>
        <v>15</v>
      </c>
      <c r="AA371" s="1141">
        <f t="shared" si="125"/>
        <v>16</v>
      </c>
      <c r="AB371" s="1141">
        <f t="shared" si="125"/>
        <v>17</v>
      </c>
      <c r="AC371" s="1141">
        <f t="shared" si="125"/>
        <v>18</v>
      </c>
      <c r="AD371" s="1141">
        <f t="shared" si="125"/>
        <v>19</v>
      </c>
      <c r="AE371" s="1141">
        <f t="shared" si="125"/>
        <v>0</v>
      </c>
      <c r="AF371" s="1141">
        <f t="shared" si="125"/>
        <v>0</v>
      </c>
      <c r="AG371" s="1141">
        <f t="shared" si="125"/>
        <v>0</v>
      </c>
      <c r="AH371" s="1141">
        <f t="shared" si="125"/>
        <v>0</v>
      </c>
      <c r="AI371" s="1141">
        <f t="shared" si="125"/>
        <v>0</v>
      </c>
      <c r="AJ371" s="1141">
        <f t="shared" si="125"/>
        <v>0</v>
      </c>
      <c r="AK371" s="1141">
        <f t="shared" si="125"/>
        <v>0</v>
      </c>
    </row>
    <row r="372" spans="3:37">
      <c r="C372" s="191" t="str">
        <f>C71</f>
        <v>Civil Infrastructure</v>
      </c>
    </row>
    <row r="373" spans="3:37">
      <c r="C373" s="201" cm="1">
        <f t="array" ref="C373:C402">TRANSPOSE(H370:AK370)</f>
        <v>46023</v>
      </c>
      <c r="D373" s="94" t="s">
        <v>134</v>
      </c>
      <c r="E373" s="424">
        <f>HLOOKUP($C373,$H$39:$AP$112,35,FALSE)</f>
        <v>0</v>
      </c>
      <c r="F373" s="209">
        <f>E373*$F$71</f>
        <v>0</v>
      </c>
      <c r="H373" s="424">
        <f>IF(OR(H$370&lt;$C373,H$370&lt;$H$2),0,MIN($E373-SUM($G373:G373),$F373))</f>
        <v>0</v>
      </c>
      <c r="I373" s="424">
        <f>IF(OR(I$370&lt;$C373,I$370&lt;$H$2),0,MIN($E373-SUM($G373:H373),$F373))</f>
        <v>0</v>
      </c>
      <c r="J373" s="424">
        <f>IF(OR(J$370&lt;$C373,J$370&lt;$H$2),0,MIN($E373-SUM($G373:I373),$F373))</f>
        <v>0</v>
      </c>
      <c r="K373" s="424">
        <f>IF(OR(K$370&lt;$C373,K$370&lt;$H$2),0,MIN($E373-SUM($G373:J373),$F373))</f>
        <v>0</v>
      </c>
      <c r="L373" s="424">
        <f>IF(OR(L$370&lt;$C373,L$370&lt;$H$2),0,MIN($E373-SUM($G373:K373),$F373))</f>
        <v>0</v>
      </c>
      <c r="M373" s="424">
        <f>IF(OR(M$370&lt;$C373,M$370&lt;$H$2),0,MIN($E373-SUM($G373:L373),$F373))</f>
        <v>0</v>
      </c>
      <c r="N373" s="424">
        <f>IF(OR(N$370&lt;$C373,N$370&lt;$H$2),0,MIN($E373-SUM($G373:M373),$F373))</f>
        <v>0</v>
      </c>
      <c r="O373" s="424">
        <f>IF(OR(O$370&lt;$C373,O$370&lt;$H$2),0,MIN($E373-SUM($G373:N373),$F373))</f>
        <v>0</v>
      </c>
      <c r="P373" s="424">
        <f>IF(OR(P$370&lt;$C373,P$370&lt;$H$2),0,MIN($E373-SUM($G373:O373),$F373))</f>
        <v>0</v>
      </c>
      <c r="Q373" s="424">
        <f>IF(OR(Q$370&lt;$C373,Q$370&lt;$H$2),0,MIN($E373-SUM($G373:P373),$F373))</f>
        <v>0</v>
      </c>
      <c r="R373" s="424">
        <f>IF(OR(R$370&lt;$C373,R$370&lt;$H$2),0,MIN($E373-SUM($G373:Q373),$F373))</f>
        <v>0</v>
      </c>
      <c r="S373" s="424">
        <f>IF(OR(S$370&lt;$C373,S$370&lt;$H$2),0,MIN($E373-SUM($G373:R373),$F373))</f>
        <v>0</v>
      </c>
      <c r="T373" s="424">
        <f>IF(OR(T$370&lt;$C373,T$370&lt;$H$2),0,MIN($E373-SUM($G373:S373),$F373))</f>
        <v>0</v>
      </c>
      <c r="U373" s="424">
        <f>IF(OR(U$370&lt;$C373,U$370&lt;$H$2),0,MIN($E373-SUM($G373:T373),$F373))</f>
        <v>0</v>
      </c>
      <c r="V373" s="424">
        <f>IF(OR(V$370&lt;$C373,V$370&lt;$H$2),0,MIN($E373-SUM($G373:U373),$F373))</f>
        <v>0</v>
      </c>
      <c r="W373" s="424">
        <f>IF(OR(W$370&lt;$C373,W$370&lt;$H$2),0,MIN($E373-SUM($G373:V373),$F373))</f>
        <v>0</v>
      </c>
      <c r="X373" s="424">
        <f>IF(OR(X$370&lt;$C373,X$370&lt;$H$2),0,MIN($E373-SUM($G373:W373),$F373))</f>
        <v>0</v>
      </c>
      <c r="Y373" s="424">
        <f>IF(OR(Y$370&lt;$C373,Y$370&lt;$H$2),0,MIN($E373-SUM($G373:X373),$F373))</f>
        <v>0</v>
      </c>
      <c r="Z373" s="424">
        <f>IF(OR(Z$370&lt;$C373,Z$370&lt;$H$2),0,MIN($E373-SUM($G373:Y373),$F373))</f>
        <v>0</v>
      </c>
      <c r="AA373" s="424">
        <f>IF(OR(AA$370&lt;$C373,AA$370&lt;$H$2),0,MIN($E373-SUM($G373:Z373),$F373))</f>
        <v>0</v>
      </c>
      <c r="AB373" s="424">
        <f>IF(OR(AB$370&lt;$C373,AB$370&lt;$H$2),0,MIN($E373-SUM($G373:AA373),$F373))</f>
        <v>0</v>
      </c>
      <c r="AC373" s="424">
        <f>IF(OR(AC$370&lt;$C373,AC$370&lt;$H$2),0,MIN($E373-SUM($G373:AB373),$F373))</f>
        <v>0</v>
      </c>
      <c r="AD373" s="424">
        <f>IF(OR(AD$370&lt;$C373,AD$370&lt;$H$2),0,MIN($E373-SUM($G373:AC373),$F373))</f>
        <v>0</v>
      </c>
      <c r="AE373" s="424">
        <f>IF(OR(AE$370&lt;$C373,AE$370&lt;$H$2),0,MIN($E373-SUM($G373:AD373),$F373))</f>
        <v>0</v>
      </c>
      <c r="AF373" s="424">
        <f>IF(OR(AF$370&lt;$C373,AF$370&lt;$H$2),0,MIN($E373-SUM($G373:AE373),$F373))</f>
        <v>0</v>
      </c>
      <c r="AG373" s="424">
        <f>IF(OR(AG$370&lt;$C373,AG$370&lt;$H$2),0,MIN($E373-SUM($G373:AF373),$F373))</f>
        <v>0</v>
      </c>
      <c r="AH373" s="424">
        <f>IF(OR(AH$370&lt;$C373,AH$370&lt;$H$2),0,MIN($E373-SUM($G373:AG373),$F373))</f>
        <v>0</v>
      </c>
      <c r="AI373" s="424">
        <f>IF(OR(AI$370&lt;$C373,AI$370&lt;$H$2),0,MIN($E373-SUM($G373:AH373),$F373))</f>
        <v>0</v>
      </c>
      <c r="AJ373" s="424">
        <f>IF(OR(AJ$370&lt;$C373,AJ$370&lt;$H$2),0,MIN($E373-SUM($G373:AI373),$F373))</f>
        <v>0</v>
      </c>
      <c r="AK373" s="424">
        <f>IF(OR(AK$370&lt;$C373,AK$370&lt;$H$2),0,MIN($E373-SUM($G373:AJ373),$F373))</f>
        <v>0</v>
      </c>
    </row>
    <row r="374" spans="3:37">
      <c r="C374" s="201">
        <v>46389</v>
      </c>
      <c r="D374" s="94" t="s">
        <v>134</v>
      </c>
      <c r="E374" s="424">
        <f t="shared" ref="E374:E402" si="126">HLOOKUP($C374,$H$39:$AP$112,35,FALSE)</f>
        <v>0</v>
      </c>
      <c r="F374" s="209">
        <f t="shared" ref="F374:F402" si="127">E374*$F$71</f>
        <v>0</v>
      </c>
      <c r="H374" s="424">
        <f>IF(OR(H$370&lt;$C374,H$370&lt;$H$2),0,MIN($E374-SUM($G374:G374),$F374))</f>
        <v>0</v>
      </c>
      <c r="I374" s="424">
        <f>IF(OR(I$370&lt;$C374,I$370&lt;$H$2),0,MIN($E374-SUM($G374:H374),$F374))</f>
        <v>0</v>
      </c>
      <c r="J374" s="424">
        <f>IF(OR(J$370&lt;$C374,J$370&lt;$H$2),0,MIN($E374-SUM($G374:I374),$F374))</f>
        <v>0</v>
      </c>
      <c r="K374" s="424">
        <f>IF(OR(K$370&lt;$C374,K$370&lt;$H$2),0,MIN($E374-SUM($G374:J374),$F374))</f>
        <v>0</v>
      </c>
      <c r="L374" s="424">
        <f>IF(OR(L$370&lt;$C374,L$370&lt;$H$2),0,MIN($E374-SUM($G374:K374),$F374))</f>
        <v>0</v>
      </c>
      <c r="M374" s="424">
        <f>IF(OR(M$370&lt;$C374,M$370&lt;$H$2),0,MIN($E374-SUM($G374:L374),$F374))</f>
        <v>0</v>
      </c>
      <c r="N374" s="424">
        <f>IF(OR(N$370&lt;$C374,N$370&lt;$H$2),0,MIN($E374-SUM($G374:M374),$F374))</f>
        <v>0</v>
      </c>
      <c r="O374" s="424">
        <f>IF(OR(O$370&lt;$C374,O$370&lt;$H$2),0,MIN($E374-SUM($G374:N374),$F374))</f>
        <v>0</v>
      </c>
      <c r="P374" s="424">
        <f>IF(OR(P$370&lt;$C374,P$370&lt;$H$2),0,MIN($E374-SUM($G374:O374),$F374))</f>
        <v>0</v>
      </c>
      <c r="Q374" s="424">
        <f>IF(OR(Q$370&lt;$C374,Q$370&lt;$H$2),0,MIN($E374-SUM($G374:P374),$F374))</f>
        <v>0</v>
      </c>
      <c r="R374" s="424">
        <f>IF(OR(R$370&lt;$C374,R$370&lt;$H$2),0,MIN($E374-SUM($G374:Q374),$F374))</f>
        <v>0</v>
      </c>
      <c r="S374" s="424">
        <f>IF(OR(S$370&lt;$C374,S$370&lt;$H$2),0,MIN($E374-SUM($G374:R374),$F374))</f>
        <v>0</v>
      </c>
      <c r="T374" s="424">
        <f>IF(OR(T$370&lt;$C374,T$370&lt;$H$2),0,MIN($E374-SUM($G374:S374),$F374))</f>
        <v>0</v>
      </c>
      <c r="U374" s="424">
        <f>IF(OR(U$370&lt;$C374,U$370&lt;$H$2),0,MIN($E374-SUM($G374:T374),$F374))</f>
        <v>0</v>
      </c>
      <c r="V374" s="424">
        <f>IF(OR(V$370&lt;$C374,V$370&lt;$H$2),0,MIN($E374-SUM($G374:U374),$F374))</f>
        <v>0</v>
      </c>
      <c r="W374" s="424">
        <f>IF(OR(W$370&lt;$C374,W$370&lt;$H$2),0,MIN($E374-SUM($G374:V374),$F374))</f>
        <v>0</v>
      </c>
      <c r="X374" s="424">
        <f>IF(OR(X$370&lt;$C374,X$370&lt;$H$2),0,MIN($E374-SUM($G374:W374),$F374))</f>
        <v>0</v>
      </c>
      <c r="Y374" s="424">
        <f>IF(OR(Y$370&lt;$C374,Y$370&lt;$H$2),0,MIN($E374-SUM($G374:X374),$F374))</f>
        <v>0</v>
      </c>
      <c r="Z374" s="424">
        <f>IF(OR(Z$370&lt;$C374,Z$370&lt;$H$2),0,MIN($E374-SUM($G374:Y374),$F374))</f>
        <v>0</v>
      </c>
      <c r="AA374" s="424">
        <f>IF(OR(AA$370&lt;$C374,AA$370&lt;$H$2),0,MIN($E374-SUM($G374:Z374),$F374))</f>
        <v>0</v>
      </c>
      <c r="AB374" s="424">
        <f>IF(OR(AB$370&lt;$C374,AB$370&lt;$H$2),0,MIN($E374-SUM($G374:AA374),$F374))</f>
        <v>0</v>
      </c>
      <c r="AC374" s="424">
        <f>IF(OR(AC$370&lt;$C374,AC$370&lt;$H$2),0,MIN($E374-SUM($G374:AB374),$F374))</f>
        <v>0</v>
      </c>
      <c r="AD374" s="424">
        <f>IF(OR(AD$370&lt;$C374,AD$370&lt;$H$2),0,MIN($E374-SUM($G374:AC374),$F374))</f>
        <v>0</v>
      </c>
      <c r="AE374" s="424">
        <f>IF(OR(AE$370&lt;$C374,AE$370&lt;$H$2),0,MIN($E374-SUM($G374:AD374),$F374))</f>
        <v>0</v>
      </c>
      <c r="AF374" s="424">
        <f>IF(OR(AF$370&lt;$C374,AF$370&lt;$H$2),0,MIN($E374-SUM($G374:AE374),$F374))</f>
        <v>0</v>
      </c>
      <c r="AG374" s="424">
        <f>IF(OR(AG$370&lt;$C374,AG$370&lt;$H$2),0,MIN($E374-SUM($G374:AF374),$F374))</f>
        <v>0</v>
      </c>
      <c r="AH374" s="424">
        <f>IF(OR(AH$370&lt;$C374,AH$370&lt;$H$2),0,MIN($E374-SUM($G374:AG374),$F374))</f>
        <v>0</v>
      </c>
      <c r="AI374" s="424">
        <f>IF(OR(AI$370&lt;$C374,AI$370&lt;$H$2),0,MIN($E374-SUM($G374:AH374),$F374))</f>
        <v>0</v>
      </c>
      <c r="AJ374" s="424">
        <f>IF(OR(AJ$370&lt;$C374,AJ$370&lt;$H$2),0,MIN($E374-SUM($G374:AI374),$F374))</f>
        <v>0</v>
      </c>
      <c r="AK374" s="424">
        <f>IF(OR(AK$370&lt;$C374,AK$370&lt;$H$2),0,MIN($E374-SUM($G374:AJ374),$F374))</f>
        <v>0</v>
      </c>
    </row>
    <row r="375" spans="3:37">
      <c r="C375" s="201">
        <v>46755</v>
      </c>
      <c r="D375" s="94" t="s">
        <v>134</v>
      </c>
      <c r="E375" s="424">
        <f t="shared" si="126"/>
        <v>0</v>
      </c>
      <c r="F375" s="209">
        <f t="shared" si="127"/>
        <v>0</v>
      </c>
      <c r="H375" s="424">
        <f>IF(OR(H$370&lt;$C375,H$370&lt;$H$2),0,MIN($E375-SUM($G375:G375),$F375))</f>
        <v>0</v>
      </c>
      <c r="I375" s="424">
        <f>IF(OR(I$370&lt;$C375,I$370&lt;$H$2),0,MIN($E375-SUM($G375:H375),$F375))</f>
        <v>0</v>
      </c>
      <c r="J375" s="424">
        <f>IF(OR(J$370&lt;$C375,J$370&lt;$H$2),0,MIN($E375-SUM($G375:I375),$F375))</f>
        <v>0</v>
      </c>
      <c r="K375" s="424">
        <f>IF(OR(K$370&lt;$C375,K$370&lt;$H$2),0,MIN($E375-SUM($G375:J375),$F375))</f>
        <v>0</v>
      </c>
      <c r="L375" s="424">
        <f>IF(OR(L$370&lt;$C375,L$370&lt;$H$2),0,MIN($E375-SUM($G375:K375),$F375))</f>
        <v>0</v>
      </c>
      <c r="M375" s="424">
        <f>IF(OR(M$370&lt;$C375,M$370&lt;$H$2),0,MIN($E375-SUM($G375:L375),$F375))</f>
        <v>0</v>
      </c>
      <c r="N375" s="424">
        <f>IF(OR(N$370&lt;$C375,N$370&lt;$H$2),0,MIN($E375-SUM($G375:M375),$F375))</f>
        <v>0</v>
      </c>
      <c r="O375" s="424">
        <f>IF(OR(O$370&lt;$C375,O$370&lt;$H$2),0,MIN($E375-SUM($G375:N375),$F375))</f>
        <v>0</v>
      </c>
      <c r="P375" s="424">
        <f>IF(OR(P$370&lt;$C375,P$370&lt;$H$2),0,MIN($E375-SUM($G375:O375),$F375))</f>
        <v>0</v>
      </c>
      <c r="Q375" s="424">
        <f>IF(OR(Q$370&lt;$C375,Q$370&lt;$H$2),0,MIN($E375-SUM($G375:P375),$F375))</f>
        <v>0</v>
      </c>
      <c r="R375" s="424">
        <f>IF(OR(R$370&lt;$C375,R$370&lt;$H$2),0,MIN($E375-SUM($G375:Q375),$F375))</f>
        <v>0</v>
      </c>
      <c r="S375" s="424">
        <f>IF(OR(S$370&lt;$C375,S$370&lt;$H$2),0,MIN($E375-SUM($G375:R375),$F375))</f>
        <v>0</v>
      </c>
      <c r="T375" s="424">
        <f>IF(OR(T$370&lt;$C375,T$370&lt;$H$2),0,MIN($E375-SUM($G375:S375),$F375))</f>
        <v>0</v>
      </c>
      <c r="U375" s="424">
        <f>IF(OR(U$370&lt;$C375,U$370&lt;$H$2),0,MIN($E375-SUM($G375:T375),$F375))</f>
        <v>0</v>
      </c>
      <c r="V375" s="424">
        <f>IF(OR(V$370&lt;$C375,V$370&lt;$H$2),0,MIN($E375-SUM($G375:U375),$F375))</f>
        <v>0</v>
      </c>
      <c r="W375" s="424">
        <f>IF(OR(W$370&lt;$C375,W$370&lt;$H$2),0,MIN($E375-SUM($G375:V375),$F375))</f>
        <v>0</v>
      </c>
      <c r="X375" s="424">
        <f>IF(OR(X$370&lt;$C375,X$370&lt;$H$2),0,MIN($E375-SUM($G375:W375),$F375))</f>
        <v>0</v>
      </c>
      <c r="Y375" s="424">
        <f>IF(OR(Y$370&lt;$C375,Y$370&lt;$H$2),0,MIN($E375-SUM($G375:X375),$F375))</f>
        <v>0</v>
      </c>
      <c r="Z375" s="424">
        <f>IF(OR(Z$370&lt;$C375,Z$370&lt;$H$2),0,MIN($E375-SUM($G375:Y375),$F375))</f>
        <v>0</v>
      </c>
      <c r="AA375" s="424">
        <f>IF(OR(AA$370&lt;$C375,AA$370&lt;$H$2),0,MIN($E375-SUM($G375:Z375),$F375))</f>
        <v>0</v>
      </c>
      <c r="AB375" s="424">
        <f>IF(OR(AB$370&lt;$C375,AB$370&lt;$H$2),0,MIN($E375-SUM($G375:AA375),$F375))</f>
        <v>0</v>
      </c>
      <c r="AC375" s="424">
        <f>IF(OR(AC$370&lt;$C375,AC$370&lt;$H$2),0,MIN($E375-SUM($G375:AB375),$F375))</f>
        <v>0</v>
      </c>
      <c r="AD375" s="424">
        <f>IF(OR(AD$370&lt;$C375,AD$370&lt;$H$2),0,MIN($E375-SUM($G375:AC375),$F375))</f>
        <v>0</v>
      </c>
      <c r="AE375" s="424">
        <f>IF(OR(AE$370&lt;$C375,AE$370&lt;$H$2),0,MIN($E375-SUM($G375:AD375),$F375))</f>
        <v>0</v>
      </c>
      <c r="AF375" s="424">
        <f>IF(OR(AF$370&lt;$C375,AF$370&lt;$H$2),0,MIN($E375-SUM($G375:AE375),$F375))</f>
        <v>0</v>
      </c>
      <c r="AG375" s="424">
        <f>IF(OR(AG$370&lt;$C375,AG$370&lt;$H$2),0,MIN($E375-SUM($G375:AF375),$F375))</f>
        <v>0</v>
      </c>
      <c r="AH375" s="424">
        <f>IF(OR(AH$370&lt;$C375,AH$370&lt;$H$2),0,MIN($E375-SUM($G375:AG375),$F375))</f>
        <v>0</v>
      </c>
      <c r="AI375" s="424">
        <f>IF(OR(AI$370&lt;$C375,AI$370&lt;$H$2),0,MIN($E375-SUM($G375:AH375),$F375))</f>
        <v>0</v>
      </c>
      <c r="AJ375" s="424">
        <f>IF(OR(AJ$370&lt;$C375,AJ$370&lt;$H$2),0,MIN($E375-SUM($G375:AI375),$F375))</f>
        <v>0</v>
      </c>
      <c r="AK375" s="424">
        <f>IF(OR(AK$370&lt;$C375,AK$370&lt;$H$2),0,MIN($E375-SUM($G375:AJ375),$F375))</f>
        <v>0</v>
      </c>
    </row>
    <row r="376" spans="3:37">
      <c r="C376" s="201">
        <v>47121</v>
      </c>
      <c r="D376" s="94" t="s">
        <v>134</v>
      </c>
      <c r="E376" s="424">
        <f t="shared" si="126"/>
        <v>0</v>
      </c>
      <c r="F376" s="209">
        <f t="shared" si="127"/>
        <v>0</v>
      </c>
      <c r="H376" s="424">
        <f>IF(OR(H$370&lt;$C376,H$370&lt;$H$2),0,MIN($E376-SUM($G376:G376),$F376))</f>
        <v>0</v>
      </c>
      <c r="I376" s="424">
        <f>IF(OR(I$370&lt;$C376,I$370&lt;$H$2),0,MIN($E376-SUM($G376:H376),$F376))</f>
        <v>0</v>
      </c>
      <c r="J376" s="424">
        <f>IF(OR(J$370&lt;$C376,J$370&lt;$H$2),0,MIN($E376-SUM($G376:I376),$F376))</f>
        <v>0</v>
      </c>
      <c r="K376" s="424">
        <f>IF(OR(K$370&lt;$C376,K$370&lt;$H$2),0,MIN($E376-SUM($G376:J376),$F376))</f>
        <v>0</v>
      </c>
      <c r="L376" s="424">
        <f>IF(OR(L$370&lt;$C376,L$370&lt;$H$2),0,MIN($E376-SUM($G376:K376),$F376))</f>
        <v>0</v>
      </c>
      <c r="M376" s="424">
        <f>IF(OR(M$370&lt;$C376,M$370&lt;$H$2),0,MIN($E376-SUM($G376:L376),$F376))</f>
        <v>0</v>
      </c>
      <c r="N376" s="424">
        <f>IF(OR(N$370&lt;$C376,N$370&lt;$H$2),0,MIN($E376-SUM($G376:M376),$F376))</f>
        <v>0</v>
      </c>
      <c r="O376" s="424">
        <f>IF(OR(O$370&lt;$C376,O$370&lt;$H$2),0,MIN($E376-SUM($G376:N376),$F376))</f>
        <v>0</v>
      </c>
      <c r="P376" s="424">
        <f>IF(OR(P$370&lt;$C376,P$370&lt;$H$2),0,MIN($E376-SUM($G376:O376),$F376))</f>
        <v>0</v>
      </c>
      <c r="Q376" s="424">
        <f>IF(OR(Q$370&lt;$C376,Q$370&lt;$H$2),0,MIN($E376-SUM($G376:P376),$F376))</f>
        <v>0</v>
      </c>
      <c r="R376" s="424">
        <f>IF(OR(R$370&lt;$C376,R$370&lt;$H$2),0,MIN($E376-SUM($G376:Q376),$F376))</f>
        <v>0</v>
      </c>
      <c r="S376" s="424">
        <f>IF(OR(S$370&lt;$C376,S$370&lt;$H$2),0,MIN($E376-SUM($G376:R376),$F376))</f>
        <v>0</v>
      </c>
      <c r="T376" s="424">
        <f>IF(OR(T$370&lt;$C376,T$370&lt;$H$2),0,MIN($E376-SUM($G376:S376),$F376))</f>
        <v>0</v>
      </c>
      <c r="U376" s="424">
        <f>IF(OR(U$370&lt;$C376,U$370&lt;$H$2),0,MIN($E376-SUM($G376:T376),$F376))</f>
        <v>0</v>
      </c>
      <c r="V376" s="424">
        <f>IF(OR(V$370&lt;$C376,V$370&lt;$H$2),0,MIN($E376-SUM($G376:U376),$F376))</f>
        <v>0</v>
      </c>
      <c r="W376" s="424">
        <f>IF(OR(W$370&lt;$C376,W$370&lt;$H$2),0,MIN($E376-SUM($G376:V376),$F376))</f>
        <v>0</v>
      </c>
      <c r="X376" s="424">
        <f>IF(OR(X$370&lt;$C376,X$370&lt;$H$2),0,MIN($E376-SUM($G376:W376),$F376))</f>
        <v>0</v>
      </c>
      <c r="Y376" s="424">
        <f>IF(OR(Y$370&lt;$C376,Y$370&lt;$H$2),0,MIN($E376-SUM($G376:X376),$F376))</f>
        <v>0</v>
      </c>
      <c r="Z376" s="424">
        <f>IF(OR(Z$370&lt;$C376,Z$370&lt;$H$2),0,MIN($E376-SUM($G376:Y376),$F376))</f>
        <v>0</v>
      </c>
      <c r="AA376" s="424">
        <f>IF(OR(AA$370&lt;$C376,AA$370&lt;$H$2),0,MIN($E376-SUM($G376:Z376),$F376))</f>
        <v>0</v>
      </c>
      <c r="AB376" s="424">
        <f>IF(OR(AB$370&lt;$C376,AB$370&lt;$H$2),0,MIN($E376-SUM($G376:AA376),$F376))</f>
        <v>0</v>
      </c>
      <c r="AC376" s="424">
        <f>IF(OR(AC$370&lt;$C376,AC$370&lt;$H$2),0,MIN($E376-SUM($G376:AB376),$F376))</f>
        <v>0</v>
      </c>
      <c r="AD376" s="424">
        <f>IF(OR(AD$370&lt;$C376,AD$370&lt;$H$2),0,MIN($E376-SUM($G376:AC376),$F376))</f>
        <v>0</v>
      </c>
      <c r="AE376" s="424">
        <f>IF(OR(AE$370&lt;$C376,AE$370&lt;$H$2),0,MIN($E376-SUM($G376:AD376),$F376))</f>
        <v>0</v>
      </c>
      <c r="AF376" s="424">
        <f>IF(OR(AF$370&lt;$C376,AF$370&lt;$H$2),0,MIN($E376-SUM($G376:AE376),$F376))</f>
        <v>0</v>
      </c>
      <c r="AG376" s="424">
        <f>IF(OR(AG$370&lt;$C376,AG$370&lt;$H$2),0,MIN($E376-SUM($G376:AF376),$F376))</f>
        <v>0</v>
      </c>
      <c r="AH376" s="424">
        <f>IF(OR(AH$370&lt;$C376,AH$370&lt;$H$2),0,MIN($E376-SUM($G376:AG376),$F376))</f>
        <v>0</v>
      </c>
      <c r="AI376" s="424">
        <f>IF(OR(AI$370&lt;$C376,AI$370&lt;$H$2),0,MIN($E376-SUM($G376:AH376),$F376))</f>
        <v>0</v>
      </c>
      <c r="AJ376" s="424">
        <f>IF(OR(AJ$370&lt;$C376,AJ$370&lt;$H$2),0,MIN($E376-SUM($G376:AI376),$F376))</f>
        <v>0</v>
      </c>
      <c r="AK376" s="424">
        <f>IF(OR(AK$370&lt;$C376,AK$370&lt;$H$2),0,MIN($E376-SUM($G376:AJ376),$F376))</f>
        <v>0</v>
      </c>
    </row>
    <row r="377" spans="3:37">
      <c r="C377" s="201">
        <v>47487</v>
      </c>
      <c r="D377" s="94" t="s">
        <v>134</v>
      </c>
      <c r="E377" s="424">
        <f t="shared" si="126"/>
        <v>0</v>
      </c>
      <c r="F377" s="209">
        <f t="shared" si="127"/>
        <v>0</v>
      </c>
      <c r="H377" s="424">
        <f>IF(OR(H$370&lt;$C377,H$370&lt;$H$2),0,MIN($E377-SUM($G377:G377),$F377))</f>
        <v>0</v>
      </c>
      <c r="I377" s="424">
        <f>IF(OR(I$370&lt;$C377,I$370&lt;$H$2),0,MIN($E377-SUM($G377:H377),$F377))</f>
        <v>0</v>
      </c>
      <c r="J377" s="424">
        <f>IF(OR(J$370&lt;$C377,J$370&lt;$H$2),0,MIN($E377-SUM($G377:I377),$F377))</f>
        <v>0</v>
      </c>
      <c r="K377" s="424">
        <f>IF(OR(K$370&lt;$C377,K$370&lt;$H$2),0,MIN($E377-SUM($G377:J377),$F377))</f>
        <v>0</v>
      </c>
      <c r="L377" s="424">
        <f>IF(OR(L$370&lt;$C377,L$370&lt;$H$2),0,MIN($E377-SUM($G377:K377),$F377))</f>
        <v>0</v>
      </c>
      <c r="M377" s="424">
        <f>IF(OR(M$370&lt;$C377,M$370&lt;$H$2),0,MIN($E377-SUM($G377:L377),$F377))</f>
        <v>0</v>
      </c>
      <c r="N377" s="424">
        <f>IF(OR(N$370&lt;$C377,N$370&lt;$H$2),0,MIN($E377-SUM($G377:M377),$F377))</f>
        <v>0</v>
      </c>
      <c r="O377" s="424">
        <f>IF(OR(O$370&lt;$C377,O$370&lt;$H$2),0,MIN($E377-SUM($G377:N377),$F377))</f>
        <v>0</v>
      </c>
      <c r="P377" s="424">
        <f>IF(OR(P$370&lt;$C377,P$370&lt;$H$2),0,MIN($E377-SUM($G377:O377),$F377))</f>
        <v>0</v>
      </c>
      <c r="Q377" s="424">
        <f>IF(OR(Q$370&lt;$C377,Q$370&lt;$H$2),0,MIN($E377-SUM($G377:P377),$F377))</f>
        <v>0</v>
      </c>
      <c r="R377" s="424">
        <f>IF(OR(R$370&lt;$C377,R$370&lt;$H$2),0,MIN($E377-SUM($G377:Q377),$F377))</f>
        <v>0</v>
      </c>
      <c r="S377" s="424">
        <f>IF(OR(S$370&lt;$C377,S$370&lt;$H$2),0,MIN($E377-SUM($G377:R377),$F377))</f>
        <v>0</v>
      </c>
      <c r="T377" s="424">
        <f>IF(OR(T$370&lt;$C377,T$370&lt;$H$2),0,MIN($E377-SUM($G377:S377),$F377))</f>
        <v>0</v>
      </c>
      <c r="U377" s="424">
        <f>IF(OR(U$370&lt;$C377,U$370&lt;$H$2),0,MIN($E377-SUM($G377:T377),$F377))</f>
        <v>0</v>
      </c>
      <c r="V377" s="424">
        <f>IF(OR(V$370&lt;$C377,V$370&lt;$H$2),0,MIN($E377-SUM($G377:U377),$F377))</f>
        <v>0</v>
      </c>
      <c r="W377" s="424">
        <f>IF(OR(W$370&lt;$C377,W$370&lt;$H$2),0,MIN($E377-SUM($G377:V377),$F377))</f>
        <v>0</v>
      </c>
      <c r="X377" s="424">
        <f>IF(OR(X$370&lt;$C377,X$370&lt;$H$2),0,MIN($E377-SUM($G377:W377),$F377))</f>
        <v>0</v>
      </c>
      <c r="Y377" s="424">
        <f>IF(OR(Y$370&lt;$C377,Y$370&lt;$H$2),0,MIN($E377-SUM($G377:X377),$F377))</f>
        <v>0</v>
      </c>
      <c r="Z377" s="424">
        <f>IF(OR(Z$370&lt;$C377,Z$370&lt;$H$2),0,MIN($E377-SUM($G377:Y377),$F377))</f>
        <v>0</v>
      </c>
      <c r="AA377" s="424">
        <f>IF(OR(AA$370&lt;$C377,AA$370&lt;$H$2),0,MIN($E377-SUM($G377:Z377),$F377))</f>
        <v>0</v>
      </c>
      <c r="AB377" s="424">
        <f>IF(OR(AB$370&lt;$C377,AB$370&lt;$H$2),0,MIN($E377-SUM($G377:AA377),$F377))</f>
        <v>0</v>
      </c>
      <c r="AC377" s="424">
        <f>IF(OR(AC$370&lt;$C377,AC$370&lt;$H$2),0,MIN($E377-SUM($G377:AB377),$F377))</f>
        <v>0</v>
      </c>
      <c r="AD377" s="424">
        <f>IF(OR(AD$370&lt;$C377,AD$370&lt;$H$2),0,MIN($E377-SUM($G377:AC377),$F377))</f>
        <v>0</v>
      </c>
      <c r="AE377" s="424">
        <f>IF(OR(AE$370&lt;$C377,AE$370&lt;$H$2),0,MIN($E377-SUM($G377:AD377),$F377))</f>
        <v>0</v>
      </c>
      <c r="AF377" s="424">
        <f>IF(OR(AF$370&lt;$C377,AF$370&lt;$H$2),0,MIN($E377-SUM($G377:AE377),$F377))</f>
        <v>0</v>
      </c>
      <c r="AG377" s="424">
        <f>IF(OR(AG$370&lt;$C377,AG$370&lt;$H$2),0,MIN($E377-SUM($G377:AF377),$F377))</f>
        <v>0</v>
      </c>
      <c r="AH377" s="424">
        <f>IF(OR(AH$370&lt;$C377,AH$370&lt;$H$2),0,MIN($E377-SUM($G377:AG377),$F377))</f>
        <v>0</v>
      </c>
      <c r="AI377" s="424">
        <f>IF(OR(AI$370&lt;$C377,AI$370&lt;$H$2),0,MIN($E377-SUM($G377:AH377),$F377))</f>
        <v>0</v>
      </c>
      <c r="AJ377" s="424">
        <f>IF(OR(AJ$370&lt;$C377,AJ$370&lt;$H$2),0,MIN($E377-SUM($G377:AI377),$F377))</f>
        <v>0</v>
      </c>
      <c r="AK377" s="424">
        <f>IF(OR(AK$370&lt;$C377,AK$370&lt;$H$2),0,MIN($E377-SUM($G377:AJ377),$F377))</f>
        <v>0</v>
      </c>
    </row>
    <row r="378" spans="3:37">
      <c r="C378" s="201">
        <v>47853</v>
      </c>
      <c r="D378" s="94" t="s">
        <v>134</v>
      </c>
      <c r="E378" s="424">
        <f t="shared" si="126"/>
        <v>0</v>
      </c>
      <c r="F378" s="209">
        <f t="shared" si="127"/>
        <v>0</v>
      </c>
      <c r="H378" s="424">
        <f>IF(OR(H$370&lt;$C378,H$370&lt;$H$2),0,MIN($E378-SUM($G378:G378),$F378))</f>
        <v>0</v>
      </c>
      <c r="I378" s="424">
        <f>IF(OR(I$370&lt;$C378,I$370&lt;$H$2),0,MIN($E378-SUM($G378:H378),$F378))</f>
        <v>0</v>
      </c>
      <c r="J378" s="424">
        <f>IF(OR(J$370&lt;$C378,J$370&lt;$H$2),0,MIN($E378-SUM($G378:I378),$F378))</f>
        <v>0</v>
      </c>
      <c r="K378" s="424">
        <f>IF(OR(K$370&lt;$C378,K$370&lt;$H$2),0,MIN($E378-SUM($G378:J378),$F378))</f>
        <v>0</v>
      </c>
      <c r="L378" s="424">
        <f>IF(OR(L$370&lt;$C378,L$370&lt;$H$2),0,MIN($E378-SUM($G378:K378),$F378))</f>
        <v>0</v>
      </c>
      <c r="M378" s="424">
        <f>IF(OR(M$370&lt;$C378,M$370&lt;$H$2),0,MIN($E378-SUM($G378:L378),$F378))</f>
        <v>0</v>
      </c>
      <c r="N378" s="424">
        <f>IF(OR(N$370&lt;$C378,N$370&lt;$H$2),0,MIN($E378-SUM($G378:M378),$F378))</f>
        <v>0</v>
      </c>
      <c r="O378" s="424">
        <f>IF(OR(O$370&lt;$C378,O$370&lt;$H$2),0,MIN($E378-SUM($G378:N378),$F378))</f>
        <v>0</v>
      </c>
      <c r="P378" s="424">
        <f>IF(OR(P$370&lt;$C378,P$370&lt;$H$2),0,MIN($E378-SUM($G378:O378),$F378))</f>
        <v>0</v>
      </c>
      <c r="Q378" s="424">
        <f>IF(OR(Q$370&lt;$C378,Q$370&lt;$H$2),0,MIN($E378-SUM($G378:P378),$F378))</f>
        <v>0</v>
      </c>
      <c r="R378" s="424">
        <f>IF(OR(R$370&lt;$C378,R$370&lt;$H$2),0,MIN($E378-SUM($G378:Q378),$F378))</f>
        <v>0</v>
      </c>
      <c r="S378" s="424">
        <f>IF(OR(S$370&lt;$C378,S$370&lt;$H$2),0,MIN($E378-SUM($G378:R378),$F378))</f>
        <v>0</v>
      </c>
      <c r="T378" s="424">
        <f>IF(OR(T$370&lt;$C378,T$370&lt;$H$2),0,MIN($E378-SUM($G378:S378),$F378))</f>
        <v>0</v>
      </c>
      <c r="U378" s="424">
        <f>IF(OR(U$370&lt;$C378,U$370&lt;$H$2),0,MIN($E378-SUM($G378:T378),$F378))</f>
        <v>0</v>
      </c>
      <c r="V378" s="424">
        <f>IF(OR(V$370&lt;$C378,V$370&lt;$H$2),0,MIN($E378-SUM($G378:U378),$F378))</f>
        <v>0</v>
      </c>
      <c r="W378" s="424">
        <f>IF(OR(W$370&lt;$C378,W$370&lt;$H$2),0,MIN($E378-SUM($G378:V378),$F378))</f>
        <v>0</v>
      </c>
      <c r="X378" s="424">
        <f>IF(OR(X$370&lt;$C378,X$370&lt;$H$2),0,MIN($E378-SUM($G378:W378),$F378))</f>
        <v>0</v>
      </c>
      <c r="Y378" s="424">
        <f>IF(OR(Y$370&lt;$C378,Y$370&lt;$H$2),0,MIN($E378-SUM($G378:X378),$F378))</f>
        <v>0</v>
      </c>
      <c r="Z378" s="424">
        <f>IF(OR(Z$370&lt;$C378,Z$370&lt;$H$2),0,MIN($E378-SUM($G378:Y378),$F378))</f>
        <v>0</v>
      </c>
      <c r="AA378" s="424">
        <f>IF(OR(AA$370&lt;$C378,AA$370&lt;$H$2),0,MIN($E378-SUM($G378:Z378),$F378))</f>
        <v>0</v>
      </c>
      <c r="AB378" s="424">
        <f>IF(OR(AB$370&lt;$C378,AB$370&lt;$H$2),0,MIN($E378-SUM($G378:AA378),$F378))</f>
        <v>0</v>
      </c>
      <c r="AC378" s="424">
        <f>IF(OR(AC$370&lt;$C378,AC$370&lt;$H$2),0,MIN($E378-SUM($G378:AB378),$F378))</f>
        <v>0</v>
      </c>
      <c r="AD378" s="424">
        <f>IF(OR(AD$370&lt;$C378,AD$370&lt;$H$2),0,MIN($E378-SUM($G378:AC378),$F378))</f>
        <v>0</v>
      </c>
      <c r="AE378" s="424">
        <f>IF(OR(AE$370&lt;$C378,AE$370&lt;$H$2),0,MIN($E378-SUM($G378:AD378),$F378))</f>
        <v>0</v>
      </c>
      <c r="AF378" s="424">
        <f>IF(OR(AF$370&lt;$C378,AF$370&lt;$H$2),0,MIN($E378-SUM($G378:AE378),$F378))</f>
        <v>0</v>
      </c>
      <c r="AG378" s="424">
        <f>IF(OR(AG$370&lt;$C378,AG$370&lt;$H$2),0,MIN($E378-SUM($G378:AF378),$F378))</f>
        <v>0</v>
      </c>
      <c r="AH378" s="424">
        <f>IF(OR(AH$370&lt;$C378,AH$370&lt;$H$2),0,MIN($E378-SUM($G378:AG378),$F378))</f>
        <v>0</v>
      </c>
      <c r="AI378" s="424">
        <f>IF(OR(AI$370&lt;$C378,AI$370&lt;$H$2),0,MIN($E378-SUM($G378:AH378),$F378))</f>
        <v>0</v>
      </c>
      <c r="AJ378" s="424">
        <f>IF(OR(AJ$370&lt;$C378,AJ$370&lt;$H$2),0,MIN($E378-SUM($G378:AI378),$F378))</f>
        <v>0</v>
      </c>
      <c r="AK378" s="424">
        <f>IF(OR(AK$370&lt;$C378,AK$370&lt;$H$2),0,MIN($E378-SUM($G378:AJ378),$F378))</f>
        <v>0</v>
      </c>
    </row>
    <row r="379" spans="3:37">
      <c r="C379" s="201">
        <v>48219</v>
      </c>
      <c r="D379" s="94" t="s">
        <v>134</v>
      </c>
      <c r="E379" s="424">
        <f t="shared" si="126"/>
        <v>0</v>
      </c>
      <c r="F379" s="209">
        <f t="shared" si="127"/>
        <v>0</v>
      </c>
      <c r="H379" s="424">
        <f>IF(OR(H$370&lt;$C379,H$370&lt;$H$2),0,MIN($E379-SUM($G379:G379),$F379))</f>
        <v>0</v>
      </c>
      <c r="I379" s="424">
        <f>IF(OR(I$370&lt;$C379,I$370&lt;$H$2),0,MIN($E379-SUM($G379:H379),$F379))</f>
        <v>0</v>
      </c>
      <c r="J379" s="424">
        <f>IF(OR(J$370&lt;$C379,J$370&lt;$H$2),0,MIN($E379-SUM($G379:I379),$F379))</f>
        <v>0</v>
      </c>
      <c r="K379" s="424">
        <f>IF(OR(K$370&lt;$C379,K$370&lt;$H$2),0,MIN($E379-SUM($G379:J379),$F379))</f>
        <v>0</v>
      </c>
      <c r="L379" s="424">
        <f>IF(OR(L$370&lt;$C379,L$370&lt;$H$2),0,MIN($E379-SUM($G379:K379),$F379))</f>
        <v>0</v>
      </c>
      <c r="M379" s="424">
        <f>IF(OR(M$370&lt;$C379,M$370&lt;$H$2),0,MIN($E379-SUM($G379:L379),$F379))</f>
        <v>0</v>
      </c>
      <c r="N379" s="424">
        <f>IF(OR(N$370&lt;$C379,N$370&lt;$H$2),0,MIN($E379-SUM($G379:M379),$F379))</f>
        <v>0</v>
      </c>
      <c r="O379" s="424">
        <f>IF(OR(O$370&lt;$C379,O$370&lt;$H$2),0,MIN($E379-SUM($G379:N379),$F379))</f>
        <v>0</v>
      </c>
      <c r="P379" s="424">
        <f>IF(OR(P$370&lt;$C379,P$370&lt;$H$2),0,MIN($E379-SUM($G379:O379),$F379))</f>
        <v>0</v>
      </c>
      <c r="Q379" s="424">
        <f>IF(OR(Q$370&lt;$C379,Q$370&lt;$H$2),0,MIN($E379-SUM($G379:P379),$F379))</f>
        <v>0</v>
      </c>
      <c r="R379" s="424">
        <f>IF(OR(R$370&lt;$C379,R$370&lt;$H$2),0,MIN($E379-SUM($G379:Q379),$F379))</f>
        <v>0</v>
      </c>
      <c r="S379" s="424">
        <f>IF(OR(S$370&lt;$C379,S$370&lt;$H$2),0,MIN($E379-SUM($G379:R379),$F379))</f>
        <v>0</v>
      </c>
      <c r="T379" s="424">
        <f>IF(OR(T$370&lt;$C379,T$370&lt;$H$2),0,MIN($E379-SUM($G379:S379),$F379))</f>
        <v>0</v>
      </c>
      <c r="U379" s="424">
        <f>IF(OR(U$370&lt;$C379,U$370&lt;$H$2),0,MIN($E379-SUM($G379:T379),$F379))</f>
        <v>0</v>
      </c>
      <c r="V379" s="424">
        <f>IF(OR(V$370&lt;$C379,V$370&lt;$H$2),0,MIN($E379-SUM($G379:U379),$F379))</f>
        <v>0</v>
      </c>
      <c r="W379" s="424">
        <f>IF(OR(W$370&lt;$C379,W$370&lt;$H$2),0,MIN($E379-SUM($G379:V379),$F379))</f>
        <v>0</v>
      </c>
      <c r="X379" s="424">
        <f>IF(OR(X$370&lt;$C379,X$370&lt;$H$2),0,MIN($E379-SUM($G379:W379),$F379))</f>
        <v>0</v>
      </c>
      <c r="Y379" s="424">
        <f>IF(OR(Y$370&lt;$C379,Y$370&lt;$H$2),0,MIN($E379-SUM($G379:X379),$F379))</f>
        <v>0</v>
      </c>
      <c r="Z379" s="424">
        <f>IF(OR(Z$370&lt;$C379,Z$370&lt;$H$2),0,MIN($E379-SUM($G379:Y379),$F379))</f>
        <v>0</v>
      </c>
      <c r="AA379" s="424">
        <f>IF(OR(AA$370&lt;$C379,AA$370&lt;$H$2),0,MIN($E379-SUM($G379:Z379),$F379))</f>
        <v>0</v>
      </c>
      <c r="AB379" s="424">
        <f>IF(OR(AB$370&lt;$C379,AB$370&lt;$H$2),0,MIN($E379-SUM($G379:AA379),$F379))</f>
        <v>0</v>
      </c>
      <c r="AC379" s="424">
        <f>IF(OR(AC$370&lt;$C379,AC$370&lt;$H$2),0,MIN($E379-SUM($G379:AB379),$F379))</f>
        <v>0</v>
      </c>
      <c r="AD379" s="424">
        <f>IF(OR(AD$370&lt;$C379,AD$370&lt;$H$2),0,MIN($E379-SUM($G379:AC379),$F379))</f>
        <v>0</v>
      </c>
      <c r="AE379" s="424">
        <f>IF(OR(AE$370&lt;$C379,AE$370&lt;$H$2),0,MIN($E379-SUM($G379:AD379),$F379))</f>
        <v>0</v>
      </c>
      <c r="AF379" s="424">
        <f>IF(OR(AF$370&lt;$C379,AF$370&lt;$H$2),0,MIN($E379-SUM($G379:AE379),$F379))</f>
        <v>0</v>
      </c>
      <c r="AG379" s="424">
        <f>IF(OR(AG$370&lt;$C379,AG$370&lt;$H$2),0,MIN($E379-SUM($G379:AF379),$F379))</f>
        <v>0</v>
      </c>
      <c r="AH379" s="424">
        <f>IF(OR(AH$370&lt;$C379,AH$370&lt;$H$2),0,MIN($E379-SUM($G379:AG379),$F379))</f>
        <v>0</v>
      </c>
      <c r="AI379" s="424">
        <f>IF(OR(AI$370&lt;$C379,AI$370&lt;$H$2),0,MIN($E379-SUM($G379:AH379),$F379))</f>
        <v>0</v>
      </c>
      <c r="AJ379" s="424">
        <f>IF(OR(AJ$370&lt;$C379,AJ$370&lt;$H$2),0,MIN($E379-SUM($G379:AI379),$F379))</f>
        <v>0</v>
      </c>
      <c r="AK379" s="424">
        <f>IF(OR(AK$370&lt;$C379,AK$370&lt;$H$2),0,MIN($E379-SUM($G379:AJ379),$F379))</f>
        <v>0</v>
      </c>
    </row>
    <row r="380" spans="3:37">
      <c r="C380" s="201">
        <v>48585</v>
      </c>
      <c r="D380" s="94" t="s">
        <v>134</v>
      </c>
      <c r="E380" s="424">
        <f t="shared" si="126"/>
        <v>0</v>
      </c>
      <c r="F380" s="209">
        <f t="shared" si="127"/>
        <v>0</v>
      </c>
      <c r="H380" s="424">
        <f>IF(OR(H$370&lt;$C380,H$370&lt;$H$2),0,MIN($E380-SUM($G380:G380),$F380))</f>
        <v>0</v>
      </c>
      <c r="I380" s="424">
        <f>IF(OR(I$370&lt;$C380,I$370&lt;$H$2),0,MIN($E380-SUM($G380:H380),$F380))</f>
        <v>0</v>
      </c>
      <c r="J380" s="424">
        <f>IF(OR(J$370&lt;$C380,J$370&lt;$H$2),0,MIN($E380-SUM($G380:I380),$F380))</f>
        <v>0</v>
      </c>
      <c r="K380" s="424">
        <f>IF(OR(K$370&lt;$C380,K$370&lt;$H$2),0,MIN($E380-SUM($G380:J380),$F380))</f>
        <v>0</v>
      </c>
      <c r="L380" s="424">
        <f>IF(OR(L$370&lt;$C380,L$370&lt;$H$2),0,MIN($E380-SUM($G380:K380),$F380))</f>
        <v>0</v>
      </c>
      <c r="M380" s="424">
        <f>IF(OR(M$370&lt;$C380,M$370&lt;$H$2),0,MIN($E380-SUM($G380:L380),$F380))</f>
        <v>0</v>
      </c>
      <c r="N380" s="424">
        <f>IF(OR(N$370&lt;$C380,N$370&lt;$H$2),0,MIN($E380-SUM($G380:M380),$F380))</f>
        <v>0</v>
      </c>
      <c r="O380" s="424">
        <f>IF(OR(O$370&lt;$C380,O$370&lt;$H$2),0,MIN($E380-SUM($G380:N380),$F380))</f>
        <v>0</v>
      </c>
      <c r="P380" s="424">
        <f>IF(OR(P$370&lt;$C380,P$370&lt;$H$2),0,MIN($E380-SUM($G380:O380),$F380))</f>
        <v>0</v>
      </c>
      <c r="Q380" s="424">
        <f>IF(OR(Q$370&lt;$C380,Q$370&lt;$H$2),0,MIN($E380-SUM($G380:P380),$F380))</f>
        <v>0</v>
      </c>
      <c r="R380" s="424">
        <f>IF(OR(R$370&lt;$C380,R$370&lt;$H$2),0,MIN($E380-SUM($G380:Q380),$F380))</f>
        <v>0</v>
      </c>
      <c r="S380" s="424">
        <f>IF(OR(S$370&lt;$C380,S$370&lt;$H$2),0,MIN($E380-SUM($G380:R380),$F380))</f>
        <v>0</v>
      </c>
      <c r="T380" s="424">
        <f>IF(OR(T$370&lt;$C380,T$370&lt;$H$2),0,MIN($E380-SUM($G380:S380),$F380))</f>
        <v>0</v>
      </c>
      <c r="U380" s="424">
        <f>IF(OR(U$370&lt;$C380,U$370&lt;$H$2),0,MIN($E380-SUM($G380:T380),$F380))</f>
        <v>0</v>
      </c>
      <c r="V380" s="424">
        <f>IF(OR(V$370&lt;$C380,V$370&lt;$H$2),0,MIN($E380-SUM($G380:U380),$F380))</f>
        <v>0</v>
      </c>
      <c r="W380" s="424">
        <f>IF(OR(W$370&lt;$C380,W$370&lt;$H$2),0,MIN($E380-SUM($G380:V380),$F380))</f>
        <v>0</v>
      </c>
      <c r="X380" s="424">
        <f>IF(OR(X$370&lt;$C380,X$370&lt;$H$2),0,MIN($E380-SUM($G380:W380),$F380))</f>
        <v>0</v>
      </c>
      <c r="Y380" s="424">
        <f>IF(OR(Y$370&lt;$C380,Y$370&lt;$H$2),0,MIN($E380-SUM($G380:X380),$F380))</f>
        <v>0</v>
      </c>
      <c r="Z380" s="424">
        <f>IF(OR(Z$370&lt;$C380,Z$370&lt;$H$2),0,MIN($E380-SUM($G380:Y380),$F380))</f>
        <v>0</v>
      </c>
      <c r="AA380" s="424">
        <f>IF(OR(AA$370&lt;$C380,AA$370&lt;$H$2),0,MIN($E380-SUM($G380:Z380),$F380))</f>
        <v>0</v>
      </c>
      <c r="AB380" s="424">
        <f>IF(OR(AB$370&lt;$C380,AB$370&lt;$H$2),0,MIN($E380-SUM($G380:AA380),$F380))</f>
        <v>0</v>
      </c>
      <c r="AC380" s="424">
        <f>IF(OR(AC$370&lt;$C380,AC$370&lt;$H$2),0,MIN($E380-SUM($G380:AB380),$F380))</f>
        <v>0</v>
      </c>
      <c r="AD380" s="424">
        <f>IF(OR(AD$370&lt;$C380,AD$370&lt;$H$2),0,MIN($E380-SUM($G380:AC380),$F380))</f>
        <v>0</v>
      </c>
      <c r="AE380" s="424">
        <f>IF(OR(AE$370&lt;$C380,AE$370&lt;$H$2),0,MIN($E380-SUM($G380:AD380),$F380))</f>
        <v>0</v>
      </c>
      <c r="AF380" s="424">
        <f>IF(OR(AF$370&lt;$C380,AF$370&lt;$H$2),0,MIN($E380-SUM($G380:AE380),$F380))</f>
        <v>0</v>
      </c>
      <c r="AG380" s="424">
        <f>IF(OR(AG$370&lt;$C380,AG$370&lt;$H$2),0,MIN($E380-SUM($G380:AF380),$F380))</f>
        <v>0</v>
      </c>
      <c r="AH380" s="424">
        <f>IF(OR(AH$370&lt;$C380,AH$370&lt;$H$2),0,MIN($E380-SUM($G380:AG380),$F380))</f>
        <v>0</v>
      </c>
      <c r="AI380" s="424">
        <f>IF(OR(AI$370&lt;$C380,AI$370&lt;$H$2),0,MIN($E380-SUM($G380:AH380),$F380))</f>
        <v>0</v>
      </c>
      <c r="AJ380" s="424">
        <f>IF(OR(AJ$370&lt;$C380,AJ$370&lt;$H$2),0,MIN($E380-SUM($G380:AI380),$F380))</f>
        <v>0</v>
      </c>
      <c r="AK380" s="424">
        <f>IF(OR(AK$370&lt;$C380,AK$370&lt;$H$2),0,MIN($E380-SUM($G380:AJ380),$F380))</f>
        <v>0</v>
      </c>
    </row>
    <row r="381" spans="3:37">
      <c r="C381" s="201">
        <v>48951</v>
      </c>
      <c r="D381" s="94" t="s">
        <v>134</v>
      </c>
      <c r="E381" s="424">
        <f t="shared" si="126"/>
        <v>0</v>
      </c>
      <c r="F381" s="209">
        <f t="shared" si="127"/>
        <v>0</v>
      </c>
      <c r="H381" s="424">
        <f>IF(OR(H$370&lt;$C381,H$370&lt;$H$2),0,MIN($E381-SUM($G381:G381),$F381))</f>
        <v>0</v>
      </c>
      <c r="I381" s="424">
        <f>IF(OR(I$370&lt;$C381,I$370&lt;$H$2),0,MIN($E381-SUM($G381:H381),$F381))</f>
        <v>0</v>
      </c>
      <c r="J381" s="424">
        <f>IF(OR(J$370&lt;$C381,J$370&lt;$H$2),0,MIN($E381-SUM($G381:I381),$F381))</f>
        <v>0</v>
      </c>
      <c r="K381" s="424">
        <f>IF(OR(K$370&lt;$C381,K$370&lt;$H$2),0,MIN($E381-SUM($G381:J381),$F381))</f>
        <v>0</v>
      </c>
      <c r="L381" s="424">
        <f>IF(OR(L$370&lt;$C381,L$370&lt;$H$2),0,MIN($E381-SUM($G381:K381),$F381))</f>
        <v>0</v>
      </c>
      <c r="M381" s="424">
        <f>IF(OR(M$370&lt;$C381,M$370&lt;$H$2),0,MIN($E381-SUM($G381:L381),$F381))</f>
        <v>0</v>
      </c>
      <c r="N381" s="424">
        <f>IF(OR(N$370&lt;$C381,N$370&lt;$H$2),0,MIN($E381-SUM($G381:M381),$F381))</f>
        <v>0</v>
      </c>
      <c r="O381" s="424">
        <f>IF(OR(O$370&lt;$C381,O$370&lt;$H$2),0,MIN($E381-SUM($G381:N381),$F381))</f>
        <v>0</v>
      </c>
      <c r="P381" s="424">
        <f>IF(OR(P$370&lt;$C381,P$370&lt;$H$2),0,MIN($E381-SUM($G381:O381),$F381))</f>
        <v>0</v>
      </c>
      <c r="Q381" s="424">
        <f>IF(OR(Q$370&lt;$C381,Q$370&lt;$H$2),0,MIN($E381-SUM($G381:P381),$F381))</f>
        <v>0</v>
      </c>
      <c r="R381" s="424">
        <f>IF(OR(R$370&lt;$C381,R$370&lt;$H$2),0,MIN($E381-SUM($G381:Q381),$F381))</f>
        <v>0</v>
      </c>
      <c r="S381" s="424">
        <f>IF(OR(S$370&lt;$C381,S$370&lt;$H$2),0,MIN($E381-SUM($G381:R381),$F381))</f>
        <v>0</v>
      </c>
      <c r="T381" s="424">
        <f>IF(OR(T$370&lt;$C381,T$370&lt;$H$2),0,MIN($E381-SUM($G381:S381),$F381))</f>
        <v>0</v>
      </c>
      <c r="U381" s="424">
        <f>IF(OR(U$370&lt;$C381,U$370&lt;$H$2),0,MIN($E381-SUM($G381:T381),$F381))</f>
        <v>0</v>
      </c>
      <c r="V381" s="424">
        <f>IF(OR(V$370&lt;$C381,V$370&lt;$H$2),0,MIN($E381-SUM($G381:U381),$F381))</f>
        <v>0</v>
      </c>
      <c r="W381" s="424">
        <f>IF(OR(W$370&lt;$C381,W$370&lt;$H$2),0,MIN($E381-SUM($G381:V381),$F381))</f>
        <v>0</v>
      </c>
      <c r="X381" s="424">
        <f>IF(OR(X$370&lt;$C381,X$370&lt;$H$2),0,MIN($E381-SUM($G381:W381),$F381))</f>
        <v>0</v>
      </c>
      <c r="Y381" s="424">
        <f>IF(OR(Y$370&lt;$C381,Y$370&lt;$H$2),0,MIN($E381-SUM($G381:X381),$F381))</f>
        <v>0</v>
      </c>
      <c r="Z381" s="424">
        <f>IF(OR(Z$370&lt;$C381,Z$370&lt;$H$2),0,MIN($E381-SUM($G381:Y381),$F381))</f>
        <v>0</v>
      </c>
      <c r="AA381" s="424">
        <f>IF(OR(AA$370&lt;$C381,AA$370&lt;$H$2),0,MIN($E381-SUM($G381:Z381),$F381))</f>
        <v>0</v>
      </c>
      <c r="AB381" s="424">
        <f>IF(OR(AB$370&lt;$C381,AB$370&lt;$H$2),0,MIN($E381-SUM($G381:AA381),$F381))</f>
        <v>0</v>
      </c>
      <c r="AC381" s="424">
        <f>IF(OR(AC$370&lt;$C381,AC$370&lt;$H$2),0,MIN($E381-SUM($G381:AB381),$F381))</f>
        <v>0</v>
      </c>
      <c r="AD381" s="424">
        <f>IF(OR(AD$370&lt;$C381,AD$370&lt;$H$2),0,MIN($E381-SUM($G381:AC381),$F381))</f>
        <v>0</v>
      </c>
      <c r="AE381" s="424">
        <f>IF(OR(AE$370&lt;$C381,AE$370&lt;$H$2),0,MIN($E381-SUM($G381:AD381),$F381))</f>
        <v>0</v>
      </c>
      <c r="AF381" s="424">
        <f>IF(OR(AF$370&lt;$C381,AF$370&lt;$H$2),0,MIN($E381-SUM($G381:AE381),$F381))</f>
        <v>0</v>
      </c>
      <c r="AG381" s="424">
        <f>IF(OR(AG$370&lt;$C381,AG$370&lt;$H$2),0,MIN($E381-SUM($G381:AF381),$F381))</f>
        <v>0</v>
      </c>
      <c r="AH381" s="424">
        <f>IF(OR(AH$370&lt;$C381,AH$370&lt;$H$2),0,MIN($E381-SUM($G381:AG381),$F381))</f>
        <v>0</v>
      </c>
      <c r="AI381" s="424">
        <f>IF(OR(AI$370&lt;$C381,AI$370&lt;$H$2),0,MIN($E381-SUM($G381:AH381),$F381))</f>
        <v>0</v>
      </c>
      <c r="AJ381" s="424">
        <f>IF(OR(AJ$370&lt;$C381,AJ$370&lt;$H$2),0,MIN($E381-SUM($G381:AI381),$F381))</f>
        <v>0</v>
      </c>
      <c r="AK381" s="424">
        <f>IF(OR(AK$370&lt;$C381,AK$370&lt;$H$2),0,MIN($E381-SUM($G381:AJ381),$F381))</f>
        <v>0</v>
      </c>
    </row>
    <row r="382" spans="3:37">
      <c r="C382" s="201">
        <v>49317</v>
      </c>
      <c r="D382" s="94" t="s">
        <v>134</v>
      </c>
      <c r="E382" s="424">
        <f t="shared" si="126"/>
        <v>0</v>
      </c>
      <c r="F382" s="209">
        <f t="shared" si="127"/>
        <v>0</v>
      </c>
      <c r="H382" s="424">
        <f>IF(OR(H$370&lt;$C382,H$370&lt;$H$2),0,MIN($E382-SUM($G382:G382),$F382))</f>
        <v>0</v>
      </c>
      <c r="I382" s="424">
        <f>IF(OR(I$370&lt;$C382,I$370&lt;$H$2),0,MIN($E382-SUM($G382:H382),$F382))</f>
        <v>0</v>
      </c>
      <c r="J382" s="424">
        <f>IF(OR(J$370&lt;$C382,J$370&lt;$H$2),0,MIN($E382-SUM($G382:I382),$F382))</f>
        <v>0</v>
      </c>
      <c r="K382" s="424">
        <f>IF(OR(K$370&lt;$C382,K$370&lt;$H$2),0,MIN($E382-SUM($G382:J382),$F382))</f>
        <v>0</v>
      </c>
      <c r="L382" s="424">
        <f>IF(OR(L$370&lt;$C382,L$370&lt;$H$2),0,MIN($E382-SUM($G382:K382),$F382))</f>
        <v>0</v>
      </c>
      <c r="M382" s="424">
        <f>IF(OR(M$370&lt;$C382,M$370&lt;$H$2),0,MIN($E382-SUM($G382:L382),$F382))</f>
        <v>0</v>
      </c>
      <c r="N382" s="424">
        <f>IF(OR(N$370&lt;$C382,N$370&lt;$H$2),0,MIN($E382-SUM($G382:M382),$F382))</f>
        <v>0</v>
      </c>
      <c r="O382" s="424">
        <f>IF(OR(O$370&lt;$C382,O$370&lt;$H$2),0,MIN($E382-SUM($G382:N382),$F382))</f>
        <v>0</v>
      </c>
      <c r="P382" s="424">
        <f>IF(OR(P$370&lt;$C382,P$370&lt;$H$2),0,MIN($E382-SUM($G382:O382),$F382))</f>
        <v>0</v>
      </c>
      <c r="Q382" s="424">
        <f>IF(OR(Q$370&lt;$C382,Q$370&lt;$H$2),0,MIN($E382-SUM($G382:P382),$F382))</f>
        <v>0</v>
      </c>
      <c r="R382" s="424">
        <f>IF(OR(R$370&lt;$C382,R$370&lt;$H$2),0,MIN($E382-SUM($G382:Q382),$F382))</f>
        <v>0</v>
      </c>
      <c r="S382" s="424">
        <f>IF(OR(S$370&lt;$C382,S$370&lt;$H$2),0,MIN($E382-SUM($G382:R382),$F382))</f>
        <v>0</v>
      </c>
      <c r="T382" s="424">
        <f>IF(OR(T$370&lt;$C382,T$370&lt;$H$2),0,MIN($E382-SUM($G382:S382),$F382))</f>
        <v>0</v>
      </c>
      <c r="U382" s="424">
        <f>IF(OR(U$370&lt;$C382,U$370&lt;$H$2),0,MIN($E382-SUM($G382:T382),$F382))</f>
        <v>0</v>
      </c>
      <c r="V382" s="424">
        <f>IF(OR(V$370&lt;$C382,V$370&lt;$H$2),0,MIN($E382-SUM($G382:U382),$F382))</f>
        <v>0</v>
      </c>
      <c r="W382" s="424">
        <f>IF(OR(W$370&lt;$C382,W$370&lt;$H$2),0,MIN($E382-SUM($G382:V382),$F382))</f>
        <v>0</v>
      </c>
      <c r="X382" s="424">
        <f>IF(OR(X$370&lt;$C382,X$370&lt;$H$2),0,MIN($E382-SUM($G382:W382),$F382))</f>
        <v>0</v>
      </c>
      <c r="Y382" s="424">
        <f>IF(OR(Y$370&lt;$C382,Y$370&lt;$H$2),0,MIN($E382-SUM($G382:X382),$F382))</f>
        <v>0</v>
      </c>
      <c r="Z382" s="424">
        <f>IF(OR(Z$370&lt;$C382,Z$370&lt;$H$2),0,MIN($E382-SUM($G382:Y382),$F382))</f>
        <v>0</v>
      </c>
      <c r="AA382" s="424">
        <f>IF(OR(AA$370&lt;$C382,AA$370&lt;$H$2),0,MIN($E382-SUM($G382:Z382),$F382))</f>
        <v>0</v>
      </c>
      <c r="AB382" s="424">
        <f>IF(OR(AB$370&lt;$C382,AB$370&lt;$H$2),0,MIN($E382-SUM($G382:AA382),$F382))</f>
        <v>0</v>
      </c>
      <c r="AC382" s="424">
        <f>IF(OR(AC$370&lt;$C382,AC$370&lt;$H$2),0,MIN($E382-SUM($G382:AB382),$F382))</f>
        <v>0</v>
      </c>
      <c r="AD382" s="424">
        <f>IF(OR(AD$370&lt;$C382,AD$370&lt;$H$2),0,MIN($E382-SUM($G382:AC382),$F382))</f>
        <v>0</v>
      </c>
      <c r="AE382" s="424">
        <f>IF(OR(AE$370&lt;$C382,AE$370&lt;$H$2),0,MIN($E382-SUM($G382:AD382),$F382))</f>
        <v>0</v>
      </c>
      <c r="AF382" s="424">
        <f>IF(OR(AF$370&lt;$C382,AF$370&lt;$H$2),0,MIN($E382-SUM($G382:AE382),$F382))</f>
        <v>0</v>
      </c>
      <c r="AG382" s="424">
        <f>IF(OR(AG$370&lt;$C382,AG$370&lt;$H$2),0,MIN($E382-SUM($G382:AF382),$F382))</f>
        <v>0</v>
      </c>
      <c r="AH382" s="424">
        <f>IF(OR(AH$370&lt;$C382,AH$370&lt;$H$2),0,MIN($E382-SUM($G382:AG382),$F382))</f>
        <v>0</v>
      </c>
      <c r="AI382" s="424">
        <f>IF(OR(AI$370&lt;$C382,AI$370&lt;$H$2),0,MIN($E382-SUM($G382:AH382),$F382))</f>
        <v>0</v>
      </c>
      <c r="AJ382" s="424">
        <f>IF(OR(AJ$370&lt;$C382,AJ$370&lt;$H$2),0,MIN($E382-SUM($G382:AI382),$F382))</f>
        <v>0</v>
      </c>
      <c r="AK382" s="424">
        <f>IF(OR(AK$370&lt;$C382,AK$370&lt;$H$2),0,MIN($E382-SUM($G382:AJ382),$F382))</f>
        <v>0</v>
      </c>
    </row>
    <row r="383" spans="3:37">
      <c r="C383" s="201">
        <v>49683</v>
      </c>
      <c r="D383" s="94" t="s">
        <v>134</v>
      </c>
      <c r="E383" s="424">
        <f t="shared" si="126"/>
        <v>0</v>
      </c>
      <c r="F383" s="209">
        <f t="shared" si="127"/>
        <v>0</v>
      </c>
      <c r="H383" s="424">
        <f>IF(OR(H$370&lt;$C383,H$370&lt;$H$2),0,MIN($E383-SUM($G383:G383),$F383))</f>
        <v>0</v>
      </c>
      <c r="I383" s="424">
        <f>IF(OR(I$370&lt;$C383,I$370&lt;$H$2),0,MIN($E383-SUM($G383:H383),$F383))</f>
        <v>0</v>
      </c>
      <c r="J383" s="424">
        <f>IF(OR(J$370&lt;$C383,J$370&lt;$H$2),0,MIN($E383-SUM($G383:I383),$F383))</f>
        <v>0</v>
      </c>
      <c r="K383" s="424">
        <f>IF(OR(K$370&lt;$C383,K$370&lt;$H$2),0,MIN($E383-SUM($G383:J383),$F383))</f>
        <v>0</v>
      </c>
      <c r="L383" s="424">
        <f>IF(OR(L$370&lt;$C383,L$370&lt;$H$2),0,MIN($E383-SUM($G383:K383),$F383))</f>
        <v>0</v>
      </c>
      <c r="M383" s="424">
        <f>IF(OR(M$370&lt;$C383,M$370&lt;$H$2),0,MIN($E383-SUM($G383:L383),$F383))</f>
        <v>0</v>
      </c>
      <c r="N383" s="424">
        <f>IF(OR(N$370&lt;$C383,N$370&lt;$H$2),0,MIN($E383-SUM($G383:M383),$F383))</f>
        <v>0</v>
      </c>
      <c r="O383" s="424">
        <f>IF(OR(O$370&lt;$C383,O$370&lt;$H$2),0,MIN($E383-SUM($G383:N383),$F383))</f>
        <v>0</v>
      </c>
      <c r="P383" s="424">
        <f>IF(OR(P$370&lt;$C383,P$370&lt;$H$2),0,MIN($E383-SUM($G383:O383),$F383))</f>
        <v>0</v>
      </c>
      <c r="Q383" s="424">
        <f>IF(OR(Q$370&lt;$C383,Q$370&lt;$H$2),0,MIN($E383-SUM($G383:P383),$F383))</f>
        <v>0</v>
      </c>
      <c r="R383" s="424">
        <f>IF(OR(R$370&lt;$C383,R$370&lt;$H$2),0,MIN($E383-SUM($G383:Q383),$F383))</f>
        <v>0</v>
      </c>
      <c r="S383" s="424">
        <f>IF(OR(S$370&lt;$C383,S$370&lt;$H$2),0,MIN($E383-SUM($G383:R383),$F383))</f>
        <v>0</v>
      </c>
      <c r="T383" s="424">
        <f>IF(OR(T$370&lt;$C383,T$370&lt;$H$2),0,MIN($E383-SUM($G383:S383),$F383))</f>
        <v>0</v>
      </c>
      <c r="U383" s="424">
        <f>IF(OR(U$370&lt;$C383,U$370&lt;$H$2),0,MIN($E383-SUM($G383:T383),$F383))</f>
        <v>0</v>
      </c>
      <c r="V383" s="424">
        <f>IF(OR(V$370&lt;$C383,V$370&lt;$H$2),0,MIN($E383-SUM($G383:U383),$F383))</f>
        <v>0</v>
      </c>
      <c r="W383" s="424">
        <f>IF(OR(W$370&lt;$C383,W$370&lt;$H$2),0,MIN($E383-SUM($G383:V383),$F383))</f>
        <v>0</v>
      </c>
      <c r="X383" s="424">
        <f>IF(OR(X$370&lt;$C383,X$370&lt;$H$2),0,MIN($E383-SUM($G383:W383),$F383))</f>
        <v>0</v>
      </c>
      <c r="Y383" s="424">
        <f>IF(OR(Y$370&lt;$C383,Y$370&lt;$H$2),0,MIN($E383-SUM($G383:X383),$F383))</f>
        <v>0</v>
      </c>
      <c r="Z383" s="424">
        <f>IF(OR(Z$370&lt;$C383,Z$370&lt;$H$2),0,MIN($E383-SUM($G383:Y383),$F383))</f>
        <v>0</v>
      </c>
      <c r="AA383" s="424">
        <f>IF(OR(AA$370&lt;$C383,AA$370&lt;$H$2),0,MIN($E383-SUM($G383:Z383),$F383))</f>
        <v>0</v>
      </c>
      <c r="AB383" s="424">
        <f>IF(OR(AB$370&lt;$C383,AB$370&lt;$H$2),0,MIN($E383-SUM($G383:AA383),$F383))</f>
        <v>0</v>
      </c>
      <c r="AC383" s="424">
        <f>IF(OR(AC$370&lt;$C383,AC$370&lt;$H$2),0,MIN($E383-SUM($G383:AB383),$F383))</f>
        <v>0</v>
      </c>
      <c r="AD383" s="424">
        <f>IF(OR(AD$370&lt;$C383,AD$370&lt;$H$2),0,MIN($E383-SUM($G383:AC383),$F383))</f>
        <v>0</v>
      </c>
      <c r="AE383" s="424">
        <f>IF(OR(AE$370&lt;$C383,AE$370&lt;$H$2),0,MIN($E383-SUM($G383:AD383),$F383))</f>
        <v>0</v>
      </c>
      <c r="AF383" s="424">
        <f>IF(OR(AF$370&lt;$C383,AF$370&lt;$H$2),0,MIN($E383-SUM($G383:AE383),$F383))</f>
        <v>0</v>
      </c>
      <c r="AG383" s="424">
        <f>IF(OR(AG$370&lt;$C383,AG$370&lt;$H$2),0,MIN($E383-SUM($G383:AF383),$F383))</f>
        <v>0</v>
      </c>
      <c r="AH383" s="424">
        <f>IF(OR(AH$370&lt;$C383,AH$370&lt;$H$2),0,MIN($E383-SUM($G383:AG383),$F383))</f>
        <v>0</v>
      </c>
      <c r="AI383" s="424">
        <f>IF(OR(AI$370&lt;$C383,AI$370&lt;$H$2),0,MIN($E383-SUM($G383:AH383),$F383))</f>
        <v>0</v>
      </c>
      <c r="AJ383" s="424">
        <f>IF(OR(AJ$370&lt;$C383,AJ$370&lt;$H$2),0,MIN($E383-SUM($G383:AI383),$F383))</f>
        <v>0</v>
      </c>
      <c r="AK383" s="424">
        <f>IF(OR(AK$370&lt;$C383,AK$370&lt;$H$2),0,MIN($E383-SUM($G383:AJ383),$F383))</f>
        <v>0</v>
      </c>
    </row>
    <row r="384" spans="3:37">
      <c r="C384" s="201">
        <v>50049</v>
      </c>
      <c r="D384" s="94" t="s">
        <v>134</v>
      </c>
      <c r="E384" s="424">
        <f t="shared" si="126"/>
        <v>0</v>
      </c>
      <c r="F384" s="209">
        <f t="shared" si="127"/>
        <v>0</v>
      </c>
      <c r="H384" s="424">
        <f>IF(OR(H$370&lt;$C384,H$370&lt;$H$2),0,MIN($E384-SUM($G384:G384),$F384))</f>
        <v>0</v>
      </c>
      <c r="I384" s="424">
        <f>IF(OR(I$370&lt;$C384,I$370&lt;$H$2),0,MIN($E384-SUM($G384:H384),$F384))</f>
        <v>0</v>
      </c>
      <c r="J384" s="424">
        <f>IF(OR(J$370&lt;$C384,J$370&lt;$H$2),0,MIN($E384-SUM($G384:I384),$F384))</f>
        <v>0</v>
      </c>
      <c r="K384" s="424">
        <f>IF(OR(K$370&lt;$C384,K$370&lt;$H$2),0,MIN($E384-SUM($G384:J384),$F384))</f>
        <v>0</v>
      </c>
      <c r="L384" s="424">
        <f>IF(OR(L$370&lt;$C384,L$370&lt;$H$2),0,MIN($E384-SUM($G384:K384),$F384))</f>
        <v>0</v>
      </c>
      <c r="M384" s="424">
        <f>IF(OR(M$370&lt;$C384,M$370&lt;$H$2),0,MIN($E384-SUM($G384:L384),$F384))</f>
        <v>0</v>
      </c>
      <c r="N384" s="424">
        <f>IF(OR(N$370&lt;$C384,N$370&lt;$H$2),0,MIN($E384-SUM($G384:M384),$F384))</f>
        <v>0</v>
      </c>
      <c r="O384" s="424">
        <f>IF(OR(O$370&lt;$C384,O$370&lt;$H$2),0,MIN($E384-SUM($G384:N384),$F384))</f>
        <v>0</v>
      </c>
      <c r="P384" s="424">
        <f>IF(OR(P$370&lt;$C384,P$370&lt;$H$2),0,MIN($E384-SUM($G384:O384),$F384))</f>
        <v>0</v>
      </c>
      <c r="Q384" s="424">
        <f>IF(OR(Q$370&lt;$C384,Q$370&lt;$H$2),0,MIN($E384-SUM($G384:P384),$F384))</f>
        <v>0</v>
      </c>
      <c r="R384" s="424">
        <f>IF(OR(R$370&lt;$C384,R$370&lt;$H$2),0,MIN($E384-SUM($G384:Q384),$F384))</f>
        <v>0</v>
      </c>
      <c r="S384" s="424">
        <f>IF(OR(S$370&lt;$C384,S$370&lt;$H$2),0,MIN($E384-SUM($G384:R384),$F384))</f>
        <v>0</v>
      </c>
      <c r="T384" s="424">
        <f>IF(OR(T$370&lt;$C384,T$370&lt;$H$2),0,MIN($E384-SUM($G384:S384),$F384))</f>
        <v>0</v>
      </c>
      <c r="U384" s="424">
        <f>IF(OR(U$370&lt;$C384,U$370&lt;$H$2),0,MIN($E384-SUM($G384:T384),$F384))</f>
        <v>0</v>
      </c>
      <c r="V384" s="424">
        <f>IF(OR(V$370&lt;$C384,V$370&lt;$H$2),0,MIN($E384-SUM($G384:U384),$F384))</f>
        <v>0</v>
      </c>
      <c r="W384" s="424">
        <f>IF(OR(W$370&lt;$C384,W$370&lt;$H$2),0,MIN($E384-SUM($G384:V384),$F384))</f>
        <v>0</v>
      </c>
      <c r="X384" s="424">
        <f>IF(OR(X$370&lt;$C384,X$370&lt;$H$2),0,MIN($E384-SUM($G384:W384),$F384))</f>
        <v>0</v>
      </c>
      <c r="Y384" s="424">
        <f>IF(OR(Y$370&lt;$C384,Y$370&lt;$H$2),0,MIN($E384-SUM($G384:X384),$F384))</f>
        <v>0</v>
      </c>
      <c r="Z384" s="424">
        <f>IF(OR(Z$370&lt;$C384,Z$370&lt;$H$2),0,MIN($E384-SUM($G384:Y384),$F384))</f>
        <v>0</v>
      </c>
      <c r="AA384" s="424">
        <f>IF(OR(AA$370&lt;$C384,AA$370&lt;$H$2),0,MIN($E384-SUM($G384:Z384),$F384))</f>
        <v>0</v>
      </c>
      <c r="AB384" s="424">
        <f>IF(OR(AB$370&lt;$C384,AB$370&lt;$H$2),0,MIN($E384-SUM($G384:AA384),$F384))</f>
        <v>0</v>
      </c>
      <c r="AC384" s="424">
        <f>IF(OR(AC$370&lt;$C384,AC$370&lt;$H$2),0,MIN($E384-SUM($G384:AB384),$F384))</f>
        <v>0</v>
      </c>
      <c r="AD384" s="424">
        <f>IF(OR(AD$370&lt;$C384,AD$370&lt;$H$2),0,MIN($E384-SUM($G384:AC384),$F384))</f>
        <v>0</v>
      </c>
      <c r="AE384" s="424">
        <f>IF(OR(AE$370&lt;$C384,AE$370&lt;$H$2),0,MIN($E384-SUM($G384:AD384),$F384))</f>
        <v>0</v>
      </c>
      <c r="AF384" s="424">
        <f>IF(OR(AF$370&lt;$C384,AF$370&lt;$H$2),0,MIN($E384-SUM($G384:AE384),$F384))</f>
        <v>0</v>
      </c>
      <c r="AG384" s="424">
        <f>IF(OR(AG$370&lt;$C384,AG$370&lt;$H$2),0,MIN($E384-SUM($G384:AF384),$F384))</f>
        <v>0</v>
      </c>
      <c r="AH384" s="424">
        <f>IF(OR(AH$370&lt;$C384,AH$370&lt;$H$2),0,MIN($E384-SUM($G384:AG384),$F384))</f>
        <v>0</v>
      </c>
      <c r="AI384" s="424">
        <f>IF(OR(AI$370&lt;$C384,AI$370&lt;$H$2),0,MIN($E384-SUM($G384:AH384),$F384))</f>
        <v>0</v>
      </c>
      <c r="AJ384" s="424">
        <f>IF(OR(AJ$370&lt;$C384,AJ$370&lt;$H$2),0,MIN($E384-SUM($G384:AI384),$F384))</f>
        <v>0</v>
      </c>
      <c r="AK384" s="424">
        <f>IF(OR(AK$370&lt;$C384,AK$370&lt;$H$2),0,MIN($E384-SUM($G384:AJ384),$F384))</f>
        <v>0</v>
      </c>
    </row>
    <row r="385" spans="3:37">
      <c r="C385" s="201">
        <v>50415</v>
      </c>
      <c r="D385" s="94" t="s">
        <v>134</v>
      </c>
      <c r="E385" s="424">
        <f t="shared" si="126"/>
        <v>0</v>
      </c>
      <c r="F385" s="209">
        <f t="shared" si="127"/>
        <v>0</v>
      </c>
      <c r="H385" s="424">
        <f>IF(OR(H$370&lt;$C385,H$370&lt;$H$2),0,MIN($E385-SUM($G385:G385),$F385))</f>
        <v>0</v>
      </c>
      <c r="I385" s="424">
        <f>IF(OR(I$370&lt;$C385,I$370&lt;$H$2),0,MIN($E385-SUM($G385:H385),$F385))</f>
        <v>0</v>
      </c>
      <c r="J385" s="424">
        <f>IF(OR(J$370&lt;$C385,J$370&lt;$H$2),0,MIN($E385-SUM($G385:I385),$F385))</f>
        <v>0</v>
      </c>
      <c r="K385" s="424">
        <f>IF(OR(K$370&lt;$C385,K$370&lt;$H$2),0,MIN($E385-SUM($G385:J385),$F385))</f>
        <v>0</v>
      </c>
      <c r="L385" s="424">
        <f>IF(OR(L$370&lt;$C385,L$370&lt;$H$2),0,MIN($E385-SUM($G385:K385),$F385))</f>
        <v>0</v>
      </c>
      <c r="M385" s="424">
        <f>IF(OR(M$370&lt;$C385,M$370&lt;$H$2),0,MIN($E385-SUM($G385:L385),$F385))</f>
        <v>0</v>
      </c>
      <c r="N385" s="424">
        <f>IF(OR(N$370&lt;$C385,N$370&lt;$H$2),0,MIN($E385-SUM($G385:M385),$F385))</f>
        <v>0</v>
      </c>
      <c r="O385" s="424">
        <f>IF(OR(O$370&lt;$C385,O$370&lt;$H$2),0,MIN($E385-SUM($G385:N385),$F385))</f>
        <v>0</v>
      </c>
      <c r="P385" s="424">
        <f>IF(OR(P$370&lt;$C385,P$370&lt;$H$2),0,MIN($E385-SUM($G385:O385),$F385))</f>
        <v>0</v>
      </c>
      <c r="Q385" s="424">
        <f>IF(OR(Q$370&lt;$C385,Q$370&lt;$H$2),0,MIN($E385-SUM($G385:P385),$F385))</f>
        <v>0</v>
      </c>
      <c r="R385" s="424">
        <f>IF(OR(R$370&lt;$C385,R$370&lt;$H$2),0,MIN($E385-SUM($G385:Q385),$F385))</f>
        <v>0</v>
      </c>
      <c r="S385" s="424">
        <f>IF(OR(S$370&lt;$C385,S$370&lt;$H$2),0,MIN($E385-SUM($G385:R385),$F385))</f>
        <v>0</v>
      </c>
      <c r="T385" s="424">
        <f>IF(OR(T$370&lt;$C385,T$370&lt;$H$2),0,MIN($E385-SUM($G385:S385),$F385))</f>
        <v>0</v>
      </c>
      <c r="U385" s="424">
        <f>IF(OR(U$370&lt;$C385,U$370&lt;$H$2),0,MIN($E385-SUM($G385:T385),$F385))</f>
        <v>0</v>
      </c>
      <c r="V385" s="424">
        <f>IF(OR(V$370&lt;$C385,V$370&lt;$H$2),0,MIN($E385-SUM($G385:U385),$F385))</f>
        <v>0</v>
      </c>
      <c r="W385" s="424">
        <f>IF(OR(W$370&lt;$C385,W$370&lt;$H$2),0,MIN($E385-SUM($G385:V385),$F385))</f>
        <v>0</v>
      </c>
      <c r="X385" s="424">
        <f>IF(OR(X$370&lt;$C385,X$370&lt;$H$2),0,MIN($E385-SUM($G385:W385),$F385))</f>
        <v>0</v>
      </c>
      <c r="Y385" s="424">
        <f>IF(OR(Y$370&lt;$C385,Y$370&lt;$H$2),0,MIN($E385-SUM($G385:X385),$F385))</f>
        <v>0</v>
      </c>
      <c r="Z385" s="424">
        <f>IF(OR(Z$370&lt;$C385,Z$370&lt;$H$2),0,MIN($E385-SUM($G385:Y385),$F385))</f>
        <v>0</v>
      </c>
      <c r="AA385" s="424">
        <f>IF(OR(AA$370&lt;$C385,AA$370&lt;$H$2),0,MIN($E385-SUM($G385:Z385),$F385))</f>
        <v>0</v>
      </c>
      <c r="AB385" s="424">
        <f>IF(OR(AB$370&lt;$C385,AB$370&lt;$H$2),0,MIN($E385-SUM($G385:AA385),$F385))</f>
        <v>0</v>
      </c>
      <c r="AC385" s="424">
        <f>IF(OR(AC$370&lt;$C385,AC$370&lt;$H$2),0,MIN($E385-SUM($G385:AB385),$F385))</f>
        <v>0</v>
      </c>
      <c r="AD385" s="424">
        <f>IF(OR(AD$370&lt;$C385,AD$370&lt;$H$2),0,MIN($E385-SUM($G385:AC385),$F385))</f>
        <v>0</v>
      </c>
      <c r="AE385" s="424">
        <f>IF(OR(AE$370&lt;$C385,AE$370&lt;$H$2),0,MIN($E385-SUM($G385:AD385),$F385))</f>
        <v>0</v>
      </c>
      <c r="AF385" s="424">
        <f>IF(OR(AF$370&lt;$C385,AF$370&lt;$H$2),0,MIN($E385-SUM($G385:AE385),$F385))</f>
        <v>0</v>
      </c>
      <c r="AG385" s="424">
        <f>IF(OR(AG$370&lt;$C385,AG$370&lt;$H$2),0,MIN($E385-SUM($G385:AF385),$F385))</f>
        <v>0</v>
      </c>
      <c r="AH385" s="424">
        <f>IF(OR(AH$370&lt;$C385,AH$370&lt;$H$2),0,MIN($E385-SUM($G385:AG385),$F385))</f>
        <v>0</v>
      </c>
      <c r="AI385" s="424">
        <f>IF(OR(AI$370&lt;$C385,AI$370&lt;$H$2),0,MIN($E385-SUM($G385:AH385),$F385))</f>
        <v>0</v>
      </c>
      <c r="AJ385" s="424">
        <f>IF(OR(AJ$370&lt;$C385,AJ$370&lt;$H$2),0,MIN($E385-SUM($G385:AI385),$F385))</f>
        <v>0</v>
      </c>
      <c r="AK385" s="424">
        <f>IF(OR(AK$370&lt;$C385,AK$370&lt;$H$2),0,MIN($E385-SUM($G385:AJ385),$F385))</f>
        <v>0</v>
      </c>
    </row>
    <row r="386" spans="3:37">
      <c r="C386" s="201">
        <v>50781</v>
      </c>
      <c r="D386" s="94" t="s">
        <v>134</v>
      </c>
      <c r="E386" s="424">
        <f t="shared" si="126"/>
        <v>0</v>
      </c>
      <c r="F386" s="209">
        <f t="shared" si="127"/>
        <v>0</v>
      </c>
      <c r="H386" s="424">
        <f>IF(OR(H$370&lt;$C386,H$370&lt;$H$2),0,MIN($E386-SUM($G386:G386),$F386))</f>
        <v>0</v>
      </c>
      <c r="I386" s="424">
        <f>IF(OR(I$370&lt;$C386,I$370&lt;$H$2),0,MIN($E386-SUM($G386:H386),$F386))</f>
        <v>0</v>
      </c>
      <c r="J386" s="424">
        <f>IF(OR(J$370&lt;$C386,J$370&lt;$H$2),0,MIN($E386-SUM($G386:I386),$F386))</f>
        <v>0</v>
      </c>
      <c r="K386" s="424">
        <f>IF(OR(K$370&lt;$C386,K$370&lt;$H$2),0,MIN($E386-SUM($G386:J386),$F386))</f>
        <v>0</v>
      </c>
      <c r="L386" s="424">
        <f>IF(OR(L$370&lt;$C386,L$370&lt;$H$2),0,MIN($E386-SUM($G386:K386),$F386))</f>
        <v>0</v>
      </c>
      <c r="M386" s="424">
        <f>IF(OR(M$370&lt;$C386,M$370&lt;$H$2),0,MIN($E386-SUM($G386:L386),$F386))</f>
        <v>0</v>
      </c>
      <c r="N386" s="424">
        <f>IF(OR(N$370&lt;$C386,N$370&lt;$H$2),0,MIN($E386-SUM($G386:M386),$F386))</f>
        <v>0</v>
      </c>
      <c r="O386" s="424">
        <f>IF(OR(O$370&lt;$C386,O$370&lt;$H$2),0,MIN($E386-SUM($G386:N386),$F386))</f>
        <v>0</v>
      </c>
      <c r="P386" s="424">
        <f>IF(OR(P$370&lt;$C386,P$370&lt;$H$2),0,MIN($E386-SUM($G386:O386),$F386))</f>
        <v>0</v>
      </c>
      <c r="Q386" s="424">
        <f>IF(OR(Q$370&lt;$C386,Q$370&lt;$H$2),0,MIN($E386-SUM($G386:P386),$F386))</f>
        <v>0</v>
      </c>
      <c r="R386" s="424">
        <f>IF(OR(R$370&lt;$C386,R$370&lt;$H$2),0,MIN($E386-SUM($G386:Q386),$F386))</f>
        <v>0</v>
      </c>
      <c r="S386" s="424">
        <f>IF(OR(S$370&lt;$C386,S$370&lt;$H$2),0,MIN($E386-SUM($G386:R386),$F386))</f>
        <v>0</v>
      </c>
      <c r="T386" s="424">
        <f>IF(OR(T$370&lt;$C386,T$370&lt;$H$2),0,MIN($E386-SUM($G386:S386),$F386))</f>
        <v>0</v>
      </c>
      <c r="U386" s="424">
        <f>IF(OR(U$370&lt;$C386,U$370&lt;$H$2),0,MIN($E386-SUM($G386:T386),$F386))</f>
        <v>0</v>
      </c>
      <c r="V386" s="424">
        <f>IF(OR(V$370&lt;$C386,V$370&lt;$H$2),0,MIN($E386-SUM($G386:U386),$F386))</f>
        <v>0</v>
      </c>
      <c r="W386" s="424">
        <f>IF(OR(W$370&lt;$C386,W$370&lt;$H$2),0,MIN($E386-SUM($G386:V386),$F386))</f>
        <v>0</v>
      </c>
      <c r="X386" s="424">
        <f>IF(OR(X$370&lt;$C386,X$370&lt;$H$2),0,MIN($E386-SUM($G386:W386),$F386))</f>
        <v>0</v>
      </c>
      <c r="Y386" s="424">
        <f>IF(OR(Y$370&lt;$C386,Y$370&lt;$H$2),0,MIN($E386-SUM($G386:X386),$F386))</f>
        <v>0</v>
      </c>
      <c r="Z386" s="424">
        <f>IF(OR(Z$370&lt;$C386,Z$370&lt;$H$2),0,MIN($E386-SUM($G386:Y386),$F386))</f>
        <v>0</v>
      </c>
      <c r="AA386" s="424">
        <f>IF(OR(AA$370&lt;$C386,AA$370&lt;$H$2),0,MIN($E386-SUM($G386:Z386),$F386))</f>
        <v>0</v>
      </c>
      <c r="AB386" s="424">
        <f>IF(OR(AB$370&lt;$C386,AB$370&lt;$H$2),0,MIN($E386-SUM($G386:AA386),$F386))</f>
        <v>0</v>
      </c>
      <c r="AC386" s="424">
        <f>IF(OR(AC$370&lt;$C386,AC$370&lt;$H$2),0,MIN($E386-SUM($G386:AB386),$F386))</f>
        <v>0</v>
      </c>
      <c r="AD386" s="424">
        <f>IF(OR(AD$370&lt;$C386,AD$370&lt;$H$2),0,MIN($E386-SUM($G386:AC386),$F386))</f>
        <v>0</v>
      </c>
      <c r="AE386" s="424">
        <f>IF(OR(AE$370&lt;$C386,AE$370&lt;$H$2),0,MIN($E386-SUM($G386:AD386),$F386))</f>
        <v>0</v>
      </c>
      <c r="AF386" s="424">
        <f>IF(OR(AF$370&lt;$C386,AF$370&lt;$H$2),0,MIN($E386-SUM($G386:AE386),$F386))</f>
        <v>0</v>
      </c>
      <c r="AG386" s="424">
        <f>IF(OR(AG$370&lt;$C386,AG$370&lt;$H$2),0,MIN($E386-SUM($G386:AF386),$F386))</f>
        <v>0</v>
      </c>
      <c r="AH386" s="424">
        <f>IF(OR(AH$370&lt;$C386,AH$370&lt;$H$2),0,MIN($E386-SUM($G386:AG386),$F386))</f>
        <v>0</v>
      </c>
      <c r="AI386" s="424">
        <f>IF(OR(AI$370&lt;$C386,AI$370&lt;$H$2),0,MIN($E386-SUM($G386:AH386),$F386))</f>
        <v>0</v>
      </c>
      <c r="AJ386" s="424">
        <f>IF(OR(AJ$370&lt;$C386,AJ$370&lt;$H$2),0,MIN($E386-SUM($G386:AI386),$F386))</f>
        <v>0</v>
      </c>
      <c r="AK386" s="424">
        <f>IF(OR(AK$370&lt;$C386,AK$370&lt;$H$2),0,MIN($E386-SUM($G386:AJ386),$F386))</f>
        <v>0</v>
      </c>
    </row>
    <row r="387" spans="3:37">
      <c r="C387" s="201">
        <v>51147</v>
      </c>
      <c r="D387" s="94" t="s">
        <v>134</v>
      </c>
      <c r="E387" s="424">
        <f t="shared" si="126"/>
        <v>0</v>
      </c>
      <c r="F387" s="209">
        <f t="shared" si="127"/>
        <v>0</v>
      </c>
      <c r="H387" s="424">
        <f>IF(OR(H$370&lt;$C387,H$370&lt;$H$2),0,MIN($E387-SUM($G387:G387),$F387))</f>
        <v>0</v>
      </c>
      <c r="I387" s="424">
        <f>IF(OR(I$370&lt;$C387,I$370&lt;$H$2),0,MIN($E387-SUM($G387:H387),$F387))</f>
        <v>0</v>
      </c>
      <c r="J387" s="424">
        <f>IF(OR(J$370&lt;$C387,J$370&lt;$H$2),0,MIN($E387-SUM($G387:I387),$F387))</f>
        <v>0</v>
      </c>
      <c r="K387" s="424">
        <f>IF(OR(K$370&lt;$C387,K$370&lt;$H$2),0,MIN($E387-SUM($G387:J387),$F387))</f>
        <v>0</v>
      </c>
      <c r="L387" s="424">
        <f>IF(OR(L$370&lt;$C387,L$370&lt;$H$2),0,MIN($E387-SUM($G387:K387),$F387))</f>
        <v>0</v>
      </c>
      <c r="M387" s="424">
        <f>IF(OR(M$370&lt;$C387,M$370&lt;$H$2),0,MIN($E387-SUM($G387:L387),$F387))</f>
        <v>0</v>
      </c>
      <c r="N387" s="424">
        <f>IF(OR(N$370&lt;$C387,N$370&lt;$H$2),0,MIN($E387-SUM($G387:M387),$F387))</f>
        <v>0</v>
      </c>
      <c r="O387" s="424">
        <f>IF(OR(O$370&lt;$C387,O$370&lt;$H$2),0,MIN($E387-SUM($G387:N387),$F387))</f>
        <v>0</v>
      </c>
      <c r="P387" s="424">
        <f>IF(OR(P$370&lt;$C387,P$370&lt;$H$2),0,MIN($E387-SUM($G387:O387),$F387))</f>
        <v>0</v>
      </c>
      <c r="Q387" s="424">
        <f>IF(OR(Q$370&lt;$C387,Q$370&lt;$H$2),0,MIN($E387-SUM($G387:P387),$F387))</f>
        <v>0</v>
      </c>
      <c r="R387" s="424">
        <f>IF(OR(R$370&lt;$C387,R$370&lt;$H$2),0,MIN($E387-SUM($G387:Q387),$F387))</f>
        <v>0</v>
      </c>
      <c r="S387" s="424">
        <f>IF(OR(S$370&lt;$C387,S$370&lt;$H$2),0,MIN($E387-SUM($G387:R387),$F387))</f>
        <v>0</v>
      </c>
      <c r="T387" s="424">
        <f>IF(OR(T$370&lt;$C387,T$370&lt;$H$2),0,MIN($E387-SUM($G387:S387),$F387))</f>
        <v>0</v>
      </c>
      <c r="U387" s="424">
        <f>IF(OR(U$370&lt;$C387,U$370&lt;$H$2),0,MIN($E387-SUM($G387:T387),$F387))</f>
        <v>0</v>
      </c>
      <c r="V387" s="424">
        <f>IF(OR(V$370&lt;$C387,V$370&lt;$H$2),0,MIN($E387-SUM($G387:U387),$F387))</f>
        <v>0</v>
      </c>
      <c r="W387" s="424">
        <f>IF(OR(W$370&lt;$C387,W$370&lt;$H$2),0,MIN($E387-SUM($G387:V387),$F387))</f>
        <v>0</v>
      </c>
      <c r="X387" s="424">
        <f>IF(OR(X$370&lt;$C387,X$370&lt;$H$2),0,MIN($E387-SUM($G387:W387),$F387))</f>
        <v>0</v>
      </c>
      <c r="Y387" s="424">
        <f>IF(OR(Y$370&lt;$C387,Y$370&lt;$H$2),0,MIN($E387-SUM($G387:X387),$F387))</f>
        <v>0</v>
      </c>
      <c r="Z387" s="424">
        <f>IF(OR(Z$370&lt;$C387,Z$370&lt;$H$2),0,MIN($E387-SUM($G387:Y387),$F387))</f>
        <v>0</v>
      </c>
      <c r="AA387" s="424">
        <f>IF(OR(AA$370&lt;$C387,AA$370&lt;$H$2),0,MIN($E387-SUM($G387:Z387),$F387))</f>
        <v>0</v>
      </c>
      <c r="AB387" s="424">
        <f>IF(OR(AB$370&lt;$C387,AB$370&lt;$H$2),0,MIN($E387-SUM($G387:AA387),$F387))</f>
        <v>0</v>
      </c>
      <c r="AC387" s="424">
        <f>IF(OR(AC$370&lt;$C387,AC$370&lt;$H$2),0,MIN($E387-SUM($G387:AB387),$F387))</f>
        <v>0</v>
      </c>
      <c r="AD387" s="424">
        <f>IF(OR(AD$370&lt;$C387,AD$370&lt;$H$2),0,MIN($E387-SUM($G387:AC387),$F387))</f>
        <v>0</v>
      </c>
      <c r="AE387" s="424">
        <f>IF(OR(AE$370&lt;$C387,AE$370&lt;$H$2),0,MIN($E387-SUM($G387:AD387),$F387))</f>
        <v>0</v>
      </c>
      <c r="AF387" s="424">
        <f>IF(OR(AF$370&lt;$C387,AF$370&lt;$H$2),0,MIN($E387-SUM($G387:AE387),$F387))</f>
        <v>0</v>
      </c>
      <c r="AG387" s="424">
        <f>IF(OR(AG$370&lt;$C387,AG$370&lt;$H$2),0,MIN($E387-SUM($G387:AF387),$F387))</f>
        <v>0</v>
      </c>
      <c r="AH387" s="424">
        <f>IF(OR(AH$370&lt;$C387,AH$370&lt;$H$2),0,MIN($E387-SUM($G387:AG387),$F387))</f>
        <v>0</v>
      </c>
      <c r="AI387" s="424">
        <f>IF(OR(AI$370&lt;$C387,AI$370&lt;$H$2),0,MIN($E387-SUM($G387:AH387),$F387))</f>
        <v>0</v>
      </c>
      <c r="AJ387" s="424">
        <f>IF(OR(AJ$370&lt;$C387,AJ$370&lt;$H$2),0,MIN($E387-SUM($G387:AI387),$F387))</f>
        <v>0</v>
      </c>
      <c r="AK387" s="424">
        <f>IF(OR(AK$370&lt;$C387,AK$370&lt;$H$2),0,MIN($E387-SUM($G387:AJ387),$F387))</f>
        <v>0</v>
      </c>
    </row>
    <row r="388" spans="3:37">
      <c r="C388" s="201">
        <v>51513</v>
      </c>
      <c r="D388" s="94" t="s">
        <v>134</v>
      </c>
      <c r="E388" s="424">
        <f t="shared" si="126"/>
        <v>0</v>
      </c>
      <c r="F388" s="209">
        <f t="shared" si="127"/>
        <v>0</v>
      </c>
      <c r="H388" s="424">
        <f>IF(OR(H$370&lt;$C388,H$370&lt;$H$2),0,MIN($E388-SUM($G388:G388),$F388))</f>
        <v>0</v>
      </c>
      <c r="I388" s="424">
        <f>IF(OR(I$370&lt;$C388,I$370&lt;$H$2),0,MIN($E388-SUM($G388:H388),$F388))</f>
        <v>0</v>
      </c>
      <c r="J388" s="424">
        <f>IF(OR(J$370&lt;$C388,J$370&lt;$H$2),0,MIN($E388-SUM($G388:I388),$F388))</f>
        <v>0</v>
      </c>
      <c r="K388" s="424">
        <f>IF(OR(K$370&lt;$C388,K$370&lt;$H$2),0,MIN($E388-SUM($G388:J388),$F388))</f>
        <v>0</v>
      </c>
      <c r="L388" s="424">
        <f>IF(OR(L$370&lt;$C388,L$370&lt;$H$2),0,MIN($E388-SUM($G388:K388),$F388))</f>
        <v>0</v>
      </c>
      <c r="M388" s="424">
        <f>IF(OR(M$370&lt;$C388,M$370&lt;$H$2),0,MIN($E388-SUM($G388:L388),$F388))</f>
        <v>0</v>
      </c>
      <c r="N388" s="424">
        <f>IF(OR(N$370&lt;$C388,N$370&lt;$H$2),0,MIN($E388-SUM($G388:M388),$F388))</f>
        <v>0</v>
      </c>
      <c r="O388" s="424">
        <f>IF(OR(O$370&lt;$C388,O$370&lt;$H$2),0,MIN($E388-SUM($G388:N388),$F388))</f>
        <v>0</v>
      </c>
      <c r="P388" s="424">
        <f>IF(OR(P$370&lt;$C388,P$370&lt;$H$2),0,MIN($E388-SUM($G388:O388),$F388))</f>
        <v>0</v>
      </c>
      <c r="Q388" s="424">
        <f>IF(OR(Q$370&lt;$C388,Q$370&lt;$H$2),0,MIN($E388-SUM($G388:P388),$F388))</f>
        <v>0</v>
      </c>
      <c r="R388" s="424">
        <f>IF(OR(R$370&lt;$C388,R$370&lt;$H$2),0,MIN($E388-SUM($G388:Q388),$F388))</f>
        <v>0</v>
      </c>
      <c r="S388" s="424">
        <f>IF(OR(S$370&lt;$C388,S$370&lt;$H$2),0,MIN($E388-SUM($G388:R388),$F388))</f>
        <v>0</v>
      </c>
      <c r="T388" s="424">
        <f>IF(OR(T$370&lt;$C388,T$370&lt;$H$2),0,MIN($E388-SUM($G388:S388),$F388))</f>
        <v>0</v>
      </c>
      <c r="U388" s="424">
        <f>IF(OR(U$370&lt;$C388,U$370&lt;$H$2),0,MIN($E388-SUM($G388:T388),$F388))</f>
        <v>0</v>
      </c>
      <c r="V388" s="424">
        <f>IF(OR(V$370&lt;$C388,V$370&lt;$H$2),0,MIN($E388-SUM($G388:U388),$F388))</f>
        <v>0</v>
      </c>
      <c r="W388" s="424">
        <f>IF(OR(W$370&lt;$C388,W$370&lt;$H$2),0,MIN($E388-SUM($G388:V388),$F388))</f>
        <v>0</v>
      </c>
      <c r="X388" s="424">
        <f>IF(OR(X$370&lt;$C388,X$370&lt;$H$2),0,MIN($E388-SUM($G388:W388),$F388))</f>
        <v>0</v>
      </c>
      <c r="Y388" s="424">
        <f>IF(OR(Y$370&lt;$C388,Y$370&lt;$H$2),0,MIN($E388-SUM($G388:X388),$F388))</f>
        <v>0</v>
      </c>
      <c r="Z388" s="424">
        <f>IF(OR(Z$370&lt;$C388,Z$370&lt;$H$2),0,MIN($E388-SUM($G388:Y388),$F388))</f>
        <v>0</v>
      </c>
      <c r="AA388" s="424">
        <f>IF(OR(AA$370&lt;$C388,AA$370&lt;$H$2),0,MIN($E388-SUM($G388:Z388),$F388))</f>
        <v>0</v>
      </c>
      <c r="AB388" s="424">
        <f>IF(OR(AB$370&lt;$C388,AB$370&lt;$H$2),0,MIN($E388-SUM($G388:AA388),$F388))</f>
        <v>0</v>
      </c>
      <c r="AC388" s="424">
        <f>IF(OR(AC$370&lt;$C388,AC$370&lt;$H$2),0,MIN($E388-SUM($G388:AB388),$F388))</f>
        <v>0</v>
      </c>
      <c r="AD388" s="424">
        <f>IF(OR(AD$370&lt;$C388,AD$370&lt;$H$2),0,MIN($E388-SUM($G388:AC388),$F388))</f>
        <v>0</v>
      </c>
      <c r="AE388" s="424">
        <f>IF(OR(AE$370&lt;$C388,AE$370&lt;$H$2),0,MIN($E388-SUM($G388:AD388),$F388))</f>
        <v>0</v>
      </c>
      <c r="AF388" s="424">
        <f>IF(OR(AF$370&lt;$C388,AF$370&lt;$H$2),0,MIN($E388-SUM($G388:AE388),$F388))</f>
        <v>0</v>
      </c>
      <c r="AG388" s="424">
        <f>IF(OR(AG$370&lt;$C388,AG$370&lt;$H$2),0,MIN($E388-SUM($G388:AF388),$F388))</f>
        <v>0</v>
      </c>
      <c r="AH388" s="424">
        <f>IF(OR(AH$370&lt;$C388,AH$370&lt;$H$2),0,MIN($E388-SUM($G388:AG388),$F388))</f>
        <v>0</v>
      </c>
      <c r="AI388" s="424">
        <f>IF(OR(AI$370&lt;$C388,AI$370&lt;$H$2),0,MIN($E388-SUM($G388:AH388),$F388))</f>
        <v>0</v>
      </c>
      <c r="AJ388" s="424">
        <f>IF(OR(AJ$370&lt;$C388,AJ$370&lt;$H$2),0,MIN($E388-SUM($G388:AI388),$F388))</f>
        <v>0</v>
      </c>
      <c r="AK388" s="424">
        <f>IF(OR(AK$370&lt;$C388,AK$370&lt;$H$2),0,MIN($E388-SUM($G388:AJ388),$F388))</f>
        <v>0</v>
      </c>
    </row>
    <row r="389" spans="3:37">
      <c r="C389" s="201">
        <v>51879</v>
      </c>
      <c r="D389" s="94" t="s">
        <v>134</v>
      </c>
      <c r="E389" s="424">
        <f t="shared" si="126"/>
        <v>0</v>
      </c>
      <c r="F389" s="209">
        <f t="shared" si="127"/>
        <v>0</v>
      </c>
      <c r="H389" s="424">
        <f>IF(OR(H$370&lt;$C389,H$370&lt;$H$2),0,MIN($E389-SUM($G389:G389),$F389))</f>
        <v>0</v>
      </c>
      <c r="I389" s="424">
        <f>IF(OR(I$370&lt;$C389,I$370&lt;$H$2),0,MIN($E389-SUM($G389:H389),$F389))</f>
        <v>0</v>
      </c>
      <c r="J389" s="424">
        <f>IF(OR(J$370&lt;$C389,J$370&lt;$H$2),0,MIN($E389-SUM($G389:I389),$F389))</f>
        <v>0</v>
      </c>
      <c r="K389" s="424">
        <f>IF(OR(K$370&lt;$C389,K$370&lt;$H$2),0,MIN($E389-SUM($G389:J389),$F389))</f>
        <v>0</v>
      </c>
      <c r="L389" s="424">
        <f>IF(OR(L$370&lt;$C389,L$370&lt;$H$2),0,MIN($E389-SUM($G389:K389),$F389))</f>
        <v>0</v>
      </c>
      <c r="M389" s="424">
        <f>IF(OR(M$370&lt;$C389,M$370&lt;$H$2),0,MIN($E389-SUM($G389:L389),$F389))</f>
        <v>0</v>
      </c>
      <c r="N389" s="424">
        <f>IF(OR(N$370&lt;$C389,N$370&lt;$H$2),0,MIN($E389-SUM($G389:M389),$F389))</f>
        <v>0</v>
      </c>
      <c r="O389" s="424">
        <f>IF(OR(O$370&lt;$C389,O$370&lt;$H$2),0,MIN($E389-SUM($G389:N389),$F389))</f>
        <v>0</v>
      </c>
      <c r="P389" s="424">
        <f>IF(OR(P$370&lt;$C389,P$370&lt;$H$2),0,MIN($E389-SUM($G389:O389),$F389))</f>
        <v>0</v>
      </c>
      <c r="Q389" s="424">
        <f>IF(OR(Q$370&lt;$C389,Q$370&lt;$H$2),0,MIN($E389-SUM($G389:P389),$F389))</f>
        <v>0</v>
      </c>
      <c r="R389" s="424">
        <f>IF(OR(R$370&lt;$C389,R$370&lt;$H$2),0,MIN($E389-SUM($G389:Q389),$F389))</f>
        <v>0</v>
      </c>
      <c r="S389" s="424">
        <f>IF(OR(S$370&lt;$C389,S$370&lt;$H$2),0,MIN($E389-SUM($G389:R389),$F389))</f>
        <v>0</v>
      </c>
      <c r="T389" s="424">
        <f>IF(OR(T$370&lt;$C389,T$370&lt;$H$2),0,MIN($E389-SUM($G389:S389),$F389))</f>
        <v>0</v>
      </c>
      <c r="U389" s="424">
        <f>IF(OR(U$370&lt;$C389,U$370&lt;$H$2),0,MIN($E389-SUM($G389:T389),$F389))</f>
        <v>0</v>
      </c>
      <c r="V389" s="424">
        <f>IF(OR(V$370&lt;$C389,V$370&lt;$H$2),0,MIN($E389-SUM($G389:U389),$F389))</f>
        <v>0</v>
      </c>
      <c r="W389" s="424">
        <f>IF(OR(W$370&lt;$C389,W$370&lt;$H$2),0,MIN($E389-SUM($G389:V389),$F389))</f>
        <v>0</v>
      </c>
      <c r="X389" s="424">
        <f>IF(OR(X$370&lt;$C389,X$370&lt;$H$2),0,MIN($E389-SUM($G389:W389),$F389))</f>
        <v>0</v>
      </c>
      <c r="Y389" s="424">
        <f>IF(OR(Y$370&lt;$C389,Y$370&lt;$H$2),0,MIN($E389-SUM($G389:X389),$F389))</f>
        <v>0</v>
      </c>
      <c r="Z389" s="424">
        <f>IF(OR(Z$370&lt;$C389,Z$370&lt;$H$2),0,MIN($E389-SUM($G389:Y389),$F389))</f>
        <v>0</v>
      </c>
      <c r="AA389" s="424">
        <f>IF(OR(AA$370&lt;$C389,AA$370&lt;$H$2),0,MIN($E389-SUM($G389:Z389),$F389))</f>
        <v>0</v>
      </c>
      <c r="AB389" s="424">
        <f>IF(OR(AB$370&lt;$C389,AB$370&lt;$H$2),0,MIN($E389-SUM($G389:AA389),$F389))</f>
        <v>0</v>
      </c>
      <c r="AC389" s="424">
        <f>IF(OR(AC$370&lt;$C389,AC$370&lt;$H$2),0,MIN($E389-SUM($G389:AB389),$F389))</f>
        <v>0</v>
      </c>
      <c r="AD389" s="424">
        <f>IF(OR(AD$370&lt;$C389,AD$370&lt;$H$2),0,MIN($E389-SUM($G389:AC389),$F389))</f>
        <v>0</v>
      </c>
      <c r="AE389" s="424">
        <f>IF(OR(AE$370&lt;$C389,AE$370&lt;$H$2),0,MIN($E389-SUM($G389:AD389),$F389))</f>
        <v>0</v>
      </c>
      <c r="AF389" s="424">
        <f>IF(OR(AF$370&lt;$C389,AF$370&lt;$H$2),0,MIN($E389-SUM($G389:AE389),$F389))</f>
        <v>0</v>
      </c>
      <c r="AG389" s="424">
        <f>IF(OR(AG$370&lt;$C389,AG$370&lt;$H$2),0,MIN($E389-SUM($G389:AF389),$F389))</f>
        <v>0</v>
      </c>
      <c r="AH389" s="424">
        <f>IF(OR(AH$370&lt;$C389,AH$370&lt;$H$2),0,MIN($E389-SUM($G389:AG389),$F389))</f>
        <v>0</v>
      </c>
      <c r="AI389" s="424">
        <f>IF(OR(AI$370&lt;$C389,AI$370&lt;$H$2),0,MIN($E389-SUM($G389:AH389),$F389))</f>
        <v>0</v>
      </c>
      <c r="AJ389" s="424">
        <f>IF(OR(AJ$370&lt;$C389,AJ$370&lt;$H$2),0,MIN($E389-SUM($G389:AI389),$F389))</f>
        <v>0</v>
      </c>
      <c r="AK389" s="424">
        <f>IF(OR(AK$370&lt;$C389,AK$370&lt;$H$2),0,MIN($E389-SUM($G389:AJ389),$F389))</f>
        <v>0</v>
      </c>
    </row>
    <row r="390" spans="3:37">
      <c r="C390" s="201">
        <v>52245</v>
      </c>
      <c r="D390" s="94" t="s">
        <v>134</v>
      </c>
      <c r="E390" s="424">
        <f t="shared" si="126"/>
        <v>0</v>
      </c>
      <c r="F390" s="209">
        <f t="shared" si="127"/>
        <v>0</v>
      </c>
      <c r="H390" s="424">
        <f>IF(OR(H$370&lt;$C390,H$370&lt;$H$2),0,MIN($E390-SUM($G390:G390),$F390))</f>
        <v>0</v>
      </c>
      <c r="I390" s="424">
        <f>IF(OR(I$370&lt;$C390,I$370&lt;$H$2),0,MIN($E390-SUM($G390:H390),$F390))</f>
        <v>0</v>
      </c>
      <c r="J390" s="424">
        <f>IF(OR(J$370&lt;$C390,J$370&lt;$H$2),0,MIN($E390-SUM($G390:I390),$F390))</f>
        <v>0</v>
      </c>
      <c r="K390" s="424">
        <f>IF(OR(K$370&lt;$C390,K$370&lt;$H$2),0,MIN($E390-SUM($G390:J390),$F390))</f>
        <v>0</v>
      </c>
      <c r="L390" s="424">
        <f>IF(OR(L$370&lt;$C390,L$370&lt;$H$2),0,MIN($E390-SUM($G390:K390),$F390))</f>
        <v>0</v>
      </c>
      <c r="M390" s="424">
        <f>IF(OR(M$370&lt;$C390,M$370&lt;$H$2),0,MIN($E390-SUM($G390:L390),$F390))</f>
        <v>0</v>
      </c>
      <c r="N390" s="424">
        <f>IF(OR(N$370&lt;$C390,N$370&lt;$H$2),0,MIN($E390-SUM($G390:M390),$F390))</f>
        <v>0</v>
      </c>
      <c r="O390" s="424">
        <f>IF(OR(O$370&lt;$C390,O$370&lt;$H$2),0,MIN($E390-SUM($G390:N390),$F390))</f>
        <v>0</v>
      </c>
      <c r="P390" s="424">
        <f>IF(OR(P$370&lt;$C390,P$370&lt;$H$2),0,MIN($E390-SUM($G390:O390),$F390))</f>
        <v>0</v>
      </c>
      <c r="Q390" s="424">
        <f>IF(OR(Q$370&lt;$C390,Q$370&lt;$H$2),0,MIN($E390-SUM($G390:P390),$F390))</f>
        <v>0</v>
      </c>
      <c r="R390" s="424">
        <f>IF(OR(R$370&lt;$C390,R$370&lt;$H$2),0,MIN($E390-SUM($G390:Q390),$F390))</f>
        <v>0</v>
      </c>
      <c r="S390" s="424">
        <f>IF(OR(S$370&lt;$C390,S$370&lt;$H$2),0,MIN($E390-SUM($G390:R390),$F390))</f>
        <v>0</v>
      </c>
      <c r="T390" s="424">
        <f>IF(OR(T$370&lt;$C390,T$370&lt;$H$2),0,MIN($E390-SUM($G390:S390),$F390))</f>
        <v>0</v>
      </c>
      <c r="U390" s="424">
        <f>IF(OR(U$370&lt;$C390,U$370&lt;$H$2),0,MIN($E390-SUM($G390:T390),$F390))</f>
        <v>0</v>
      </c>
      <c r="V390" s="424">
        <f>IF(OR(V$370&lt;$C390,V$370&lt;$H$2),0,MIN($E390-SUM($G390:U390),$F390))</f>
        <v>0</v>
      </c>
      <c r="W390" s="424">
        <f>IF(OR(W$370&lt;$C390,W$370&lt;$H$2),0,MIN($E390-SUM($G390:V390),$F390))</f>
        <v>0</v>
      </c>
      <c r="X390" s="424">
        <f>IF(OR(X$370&lt;$C390,X$370&lt;$H$2),0,MIN($E390-SUM($G390:W390),$F390))</f>
        <v>0</v>
      </c>
      <c r="Y390" s="424">
        <f>IF(OR(Y$370&lt;$C390,Y$370&lt;$H$2),0,MIN($E390-SUM($G390:X390),$F390))</f>
        <v>0</v>
      </c>
      <c r="Z390" s="424">
        <f>IF(OR(Z$370&lt;$C390,Z$370&lt;$H$2),0,MIN($E390-SUM($G390:Y390),$F390))</f>
        <v>0</v>
      </c>
      <c r="AA390" s="424">
        <f>IF(OR(AA$370&lt;$C390,AA$370&lt;$H$2),0,MIN($E390-SUM($G390:Z390),$F390))</f>
        <v>0</v>
      </c>
      <c r="AB390" s="424">
        <f>IF(OR(AB$370&lt;$C390,AB$370&lt;$H$2),0,MIN($E390-SUM($G390:AA390),$F390))</f>
        <v>0</v>
      </c>
      <c r="AC390" s="424">
        <f>IF(OR(AC$370&lt;$C390,AC$370&lt;$H$2),0,MIN($E390-SUM($G390:AB390),$F390))</f>
        <v>0</v>
      </c>
      <c r="AD390" s="424">
        <f>IF(OR(AD$370&lt;$C390,AD$370&lt;$H$2),0,MIN($E390-SUM($G390:AC390),$F390))</f>
        <v>0</v>
      </c>
      <c r="AE390" s="424">
        <f>IF(OR(AE$370&lt;$C390,AE$370&lt;$H$2),0,MIN($E390-SUM($G390:AD390),$F390))</f>
        <v>0</v>
      </c>
      <c r="AF390" s="424">
        <f>IF(OR(AF$370&lt;$C390,AF$370&lt;$H$2),0,MIN($E390-SUM($G390:AE390),$F390))</f>
        <v>0</v>
      </c>
      <c r="AG390" s="424">
        <f>IF(OR(AG$370&lt;$C390,AG$370&lt;$H$2),0,MIN($E390-SUM($G390:AF390),$F390))</f>
        <v>0</v>
      </c>
      <c r="AH390" s="424">
        <f>IF(OR(AH$370&lt;$C390,AH$370&lt;$H$2),0,MIN($E390-SUM($G390:AG390),$F390))</f>
        <v>0</v>
      </c>
      <c r="AI390" s="424">
        <f>IF(OR(AI$370&lt;$C390,AI$370&lt;$H$2),0,MIN($E390-SUM($G390:AH390),$F390))</f>
        <v>0</v>
      </c>
      <c r="AJ390" s="424">
        <f>IF(OR(AJ$370&lt;$C390,AJ$370&lt;$H$2),0,MIN($E390-SUM($G390:AI390),$F390))</f>
        <v>0</v>
      </c>
      <c r="AK390" s="424">
        <f>IF(OR(AK$370&lt;$C390,AK$370&lt;$H$2),0,MIN($E390-SUM($G390:AJ390),$F390))</f>
        <v>0</v>
      </c>
    </row>
    <row r="391" spans="3:37">
      <c r="C391" s="201">
        <v>52611</v>
      </c>
      <c r="D391" s="94" t="s">
        <v>134</v>
      </c>
      <c r="E391" s="424">
        <f t="shared" si="126"/>
        <v>0</v>
      </c>
      <c r="F391" s="209">
        <f t="shared" si="127"/>
        <v>0</v>
      </c>
      <c r="H391" s="424">
        <f>IF(OR(H$370&lt;$C391,H$370&lt;$H$2),0,MIN($E391-SUM($G391:G391),$F391))</f>
        <v>0</v>
      </c>
      <c r="I391" s="424">
        <f>IF(OR(I$370&lt;$C391,I$370&lt;$H$2),0,MIN($E391-SUM($G391:H391),$F391))</f>
        <v>0</v>
      </c>
      <c r="J391" s="424">
        <f>IF(OR(J$370&lt;$C391,J$370&lt;$H$2),0,MIN($E391-SUM($G391:I391),$F391))</f>
        <v>0</v>
      </c>
      <c r="K391" s="424">
        <f>IF(OR(K$370&lt;$C391,K$370&lt;$H$2),0,MIN($E391-SUM($G391:J391),$F391))</f>
        <v>0</v>
      </c>
      <c r="L391" s="424">
        <f>IF(OR(L$370&lt;$C391,L$370&lt;$H$2),0,MIN($E391-SUM($G391:K391),$F391))</f>
        <v>0</v>
      </c>
      <c r="M391" s="424">
        <f>IF(OR(M$370&lt;$C391,M$370&lt;$H$2),0,MIN($E391-SUM($G391:L391),$F391))</f>
        <v>0</v>
      </c>
      <c r="N391" s="424">
        <f>IF(OR(N$370&lt;$C391,N$370&lt;$H$2),0,MIN($E391-SUM($G391:M391),$F391))</f>
        <v>0</v>
      </c>
      <c r="O391" s="424">
        <f>IF(OR(O$370&lt;$C391,O$370&lt;$H$2),0,MIN($E391-SUM($G391:N391),$F391))</f>
        <v>0</v>
      </c>
      <c r="P391" s="424">
        <f>IF(OR(P$370&lt;$C391,P$370&lt;$H$2),0,MIN($E391-SUM($G391:O391),$F391))</f>
        <v>0</v>
      </c>
      <c r="Q391" s="424">
        <f>IF(OR(Q$370&lt;$C391,Q$370&lt;$H$2),0,MIN($E391-SUM($G391:P391),$F391))</f>
        <v>0</v>
      </c>
      <c r="R391" s="424">
        <f>IF(OR(R$370&lt;$C391,R$370&lt;$H$2),0,MIN($E391-SUM($G391:Q391),$F391))</f>
        <v>0</v>
      </c>
      <c r="S391" s="424">
        <f>IF(OR(S$370&lt;$C391,S$370&lt;$H$2),0,MIN($E391-SUM($G391:R391),$F391))</f>
        <v>0</v>
      </c>
      <c r="T391" s="424">
        <f>IF(OR(T$370&lt;$C391,T$370&lt;$H$2),0,MIN($E391-SUM($G391:S391),$F391))</f>
        <v>0</v>
      </c>
      <c r="U391" s="424">
        <f>IF(OR(U$370&lt;$C391,U$370&lt;$H$2),0,MIN($E391-SUM($G391:T391),$F391))</f>
        <v>0</v>
      </c>
      <c r="V391" s="424">
        <f>IF(OR(V$370&lt;$C391,V$370&lt;$H$2),0,MIN($E391-SUM($G391:U391),$F391))</f>
        <v>0</v>
      </c>
      <c r="W391" s="424">
        <f>IF(OR(W$370&lt;$C391,W$370&lt;$H$2),0,MIN($E391-SUM($G391:V391),$F391))</f>
        <v>0</v>
      </c>
      <c r="X391" s="424">
        <f>IF(OR(X$370&lt;$C391,X$370&lt;$H$2),0,MIN($E391-SUM($G391:W391),$F391))</f>
        <v>0</v>
      </c>
      <c r="Y391" s="424">
        <f>IF(OR(Y$370&lt;$C391,Y$370&lt;$H$2),0,MIN($E391-SUM($G391:X391),$F391))</f>
        <v>0</v>
      </c>
      <c r="Z391" s="424">
        <f>IF(OR(Z$370&lt;$C391,Z$370&lt;$H$2),0,MIN($E391-SUM($G391:Y391),$F391))</f>
        <v>0</v>
      </c>
      <c r="AA391" s="424">
        <f>IF(OR(AA$370&lt;$C391,AA$370&lt;$H$2),0,MIN($E391-SUM($G391:Z391),$F391))</f>
        <v>0</v>
      </c>
      <c r="AB391" s="424">
        <f>IF(OR(AB$370&lt;$C391,AB$370&lt;$H$2),0,MIN($E391-SUM($G391:AA391),$F391))</f>
        <v>0</v>
      </c>
      <c r="AC391" s="424">
        <f>IF(OR(AC$370&lt;$C391,AC$370&lt;$H$2),0,MIN($E391-SUM($G391:AB391),$F391))</f>
        <v>0</v>
      </c>
      <c r="AD391" s="424">
        <f>IF(OR(AD$370&lt;$C391,AD$370&lt;$H$2),0,MIN($E391-SUM($G391:AC391),$F391))</f>
        <v>0</v>
      </c>
      <c r="AE391" s="424">
        <f>IF(OR(AE$370&lt;$C391,AE$370&lt;$H$2),0,MIN($E391-SUM($G391:AD391),$F391))</f>
        <v>0</v>
      </c>
      <c r="AF391" s="424">
        <f>IF(OR(AF$370&lt;$C391,AF$370&lt;$H$2),0,MIN($E391-SUM($G391:AE391),$F391))</f>
        <v>0</v>
      </c>
      <c r="AG391" s="424">
        <f>IF(OR(AG$370&lt;$C391,AG$370&lt;$H$2),0,MIN($E391-SUM($G391:AF391),$F391))</f>
        <v>0</v>
      </c>
      <c r="AH391" s="424">
        <f>IF(OR(AH$370&lt;$C391,AH$370&lt;$H$2),0,MIN($E391-SUM($G391:AG391),$F391))</f>
        <v>0</v>
      </c>
      <c r="AI391" s="424">
        <f>IF(OR(AI$370&lt;$C391,AI$370&lt;$H$2),0,MIN($E391-SUM($G391:AH391),$F391))</f>
        <v>0</v>
      </c>
      <c r="AJ391" s="424">
        <f>IF(OR(AJ$370&lt;$C391,AJ$370&lt;$H$2),0,MIN($E391-SUM($G391:AI391),$F391))</f>
        <v>0</v>
      </c>
      <c r="AK391" s="424">
        <f>IF(OR(AK$370&lt;$C391,AK$370&lt;$H$2),0,MIN($E391-SUM($G391:AJ391),$F391))</f>
        <v>0</v>
      </c>
    </row>
    <row r="392" spans="3:37">
      <c r="C392" s="201">
        <v>52977</v>
      </c>
      <c r="D392" s="94" t="s">
        <v>134</v>
      </c>
      <c r="E392" s="424">
        <f t="shared" si="126"/>
        <v>0</v>
      </c>
      <c r="F392" s="209">
        <f t="shared" si="127"/>
        <v>0</v>
      </c>
      <c r="H392" s="424">
        <f>IF(OR(H$370&lt;$C392,H$370&lt;$H$2),0,MIN($E392-SUM($G392:G392),$F392))</f>
        <v>0</v>
      </c>
      <c r="I392" s="424">
        <f>IF(OR(I$370&lt;$C392,I$370&lt;$H$2),0,MIN($E392-SUM($G392:H392),$F392))</f>
        <v>0</v>
      </c>
      <c r="J392" s="424">
        <f>IF(OR(J$370&lt;$C392,J$370&lt;$H$2),0,MIN($E392-SUM($G392:I392),$F392))</f>
        <v>0</v>
      </c>
      <c r="K392" s="424">
        <f>IF(OR(K$370&lt;$C392,K$370&lt;$H$2),0,MIN($E392-SUM($G392:J392),$F392))</f>
        <v>0</v>
      </c>
      <c r="L392" s="424">
        <f>IF(OR(L$370&lt;$C392,L$370&lt;$H$2),0,MIN($E392-SUM($G392:K392),$F392))</f>
        <v>0</v>
      </c>
      <c r="M392" s="424">
        <f>IF(OR(M$370&lt;$C392,M$370&lt;$H$2),0,MIN($E392-SUM($G392:L392),$F392))</f>
        <v>0</v>
      </c>
      <c r="N392" s="424">
        <f>IF(OR(N$370&lt;$C392,N$370&lt;$H$2),0,MIN($E392-SUM($G392:M392),$F392))</f>
        <v>0</v>
      </c>
      <c r="O392" s="424">
        <f>IF(OR(O$370&lt;$C392,O$370&lt;$H$2),0,MIN($E392-SUM($G392:N392),$F392))</f>
        <v>0</v>
      </c>
      <c r="P392" s="424">
        <f>IF(OR(P$370&lt;$C392,P$370&lt;$H$2),0,MIN($E392-SUM($G392:O392),$F392))</f>
        <v>0</v>
      </c>
      <c r="Q392" s="424">
        <f>IF(OR(Q$370&lt;$C392,Q$370&lt;$H$2),0,MIN($E392-SUM($G392:P392),$F392))</f>
        <v>0</v>
      </c>
      <c r="R392" s="424">
        <f>IF(OR(R$370&lt;$C392,R$370&lt;$H$2),0,MIN($E392-SUM($G392:Q392),$F392))</f>
        <v>0</v>
      </c>
      <c r="S392" s="424">
        <f>IF(OR(S$370&lt;$C392,S$370&lt;$H$2),0,MIN($E392-SUM($G392:R392),$F392))</f>
        <v>0</v>
      </c>
      <c r="T392" s="424">
        <f>IF(OR(T$370&lt;$C392,T$370&lt;$H$2),0,MIN($E392-SUM($G392:S392),$F392))</f>
        <v>0</v>
      </c>
      <c r="U392" s="424">
        <f>IF(OR(U$370&lt;$C392,U$370&lt;$H$2),0,MIN($E392-SUM($G392:T392),$F392))</f>
        <v>0</v>
      </c>
      <c r="V392" s="424">
        <f>IF(OR(V$370&lt;$C392,V$370&lt;$H$2),0,MIN($E392-SUM($G392:U392),$F392))</f>
        <v>0</v>
      </c>
      <c r="W392" s="424">
        <f>IF(OR(W$370&lt;$C392,W$370&lt;$H$2),0,MIN($E392-SUM($G392:V392),$F392))</f>
        <v>0</v>
      </c>
      <c r="X392" s="424">
        <f>IF(OR(X$370&lt;$C392,X$370&lt;$H$2),0,MIN($E392-SUM($G392:W392),$F392))</f>
        <v>0</v>
      </c>
      <c r="Y392" s="424">
        <f>IF(OR(Y$370&lt;$C392,Y$370&lt;$H$2),0,MIN($E392-SUM($G392:X392),$F392))</f>
        <v>0</v>
      </c>
      <c r="Z392" s="424">
        <f>IF(OR(Z$370&lt;$C392,Z$370&lt;$H$2),0,MIN($E392-SUM($G392:Y392),$F392))</f>
        <v>0</v>
      </c>
      <c r="AA392" s="424">
        <f>IF(OR(AA$370&lt;$C392,AA$370&lt;$H$2),0,MIN($E392-SUM($G392:Z392),$F392))</f>
        <v>0</v>
      </c>
      <c r="AB392" s="424">
        <f>IF(OR(AB$370&lt;$C392,AB$370&lt;$H$2),0,MIN($E392-SUM($G392:AA392),$F392))</f>
        <v>0</v>
      </c>
      <c r="AC392" s="424">
        <f>IF(OR(AC$370&lt;$C392,AC$370&lt;$H$2),0,MIN($E392-SUM($G392:AB392),$F392))</f>
        <v>0</v>
      </c>
      <c r="AD392" s="424">
        <f>IF(OR(AD$370&lt;$C392,AD$370&lt;$H$2),0,MIN($E392-SUM($G392:AC392),$F392))</f>
        <v>0</v>
      </c>
      <c r="AE392" s="424">
        <f>IF(OR(AE$370&lt;$C392,AE$370&lt;$H$2),0,MIN($E392-SUM($G392:AD392),$F392))</f>
        <v>0</v>
      </c>
      <c r="AF392" s="424">
        <f>IF(OR(AF$370&lt;$C392,AF$370&lt;$H$2),0,MIN($E392-SUM($G392:AE392),$F392))</f>
        <v>0</v>
      </c>
      <c r="AG392" s="424">
        <f>IF(OR(AG$370&lt;$C392,AG$370&lt;$H$2),0,MIN($E392-SUM($G392:AF392),$F392))</f>
        <v>0</v>
      </c>
      <c r="AH392" s="424">
        <f>IF(OR(AH$370&lt;$C392,AH$370&lt;$H$2),0,MIN($E392-SUM($G392:AG392),$F392))</f>
        <v>0</v>
      </c>
      <c r="AI392" s="424">
        <f>IF(OR(AI$370&lt;$C392,AI$370&lt;$H$2),0,MIN($E392-SUM($G392:AH392),$F392))</f>
        <v>0</v>
      </c>
      <c r="AJ392" s="424">
        <f>IF(OR(AJ$370&lt;$C392,AJ$370&lt;$H$2),0,MIN($E392-SUM($G392:AI392),$F392))</f>
        <v>0</v>
      </c>
      <c r="AK392" s="424">
        <f>IF(OR(AK$370&lt;$C392,AK$370&lt;$H$2),0,MIN($E392-SUM($G392:AJ392),$F392))</f>
        <v>0</v>
      </c>
    </row>
    <row r="393" spans="3:37">
      <c r="C393" s="201">
        <v>53343</v>
      </c>
      <c r="D393" s="94" t="s">
        <v>134</v>
      </c>
      <c r="E393" s="424">
        <f t="shared" si="126"/>
        <v>0</v>
      </c>
      <c r="F393" s="209">
        <f t="shared" si="127"/>
        <v>0</v>
      </c>
      <c r="H393" s="424">
        <f>IF(OR(H$370&lt;$C393,H$370&lt;$H$2),0,MIN($E393-SUM($G393:G393),$F393))</f>
        <v>0</v>
      </c>
      <c r="I393" s="424">
        <f>IF(OR(I$370&lt;$C393,I$370&lt;$H$2),0,MIN($E393-SUM($G393:H393),$F393))</f>
        <v>0</v>
      </c>
      <c r="J393" s="424">
        <f>IF(OR(J$370&lt;$C393,J$370&lt;$H$2),0,MIN($E393-SUM($G393:I393),$F393))</f>
        <v>0</v>
      </c>
      <c r="K393" s="424">
        <f>IF(OR(K$370&lt;$C393,K$370&lt;$H$2),0,MIN($E393-SUM($G393:J393),$F393))</f>
        <v>0</v>
      </c>
      <c r="L393" s="424">
        <f>IF(OR(L$370&lt;$C393,L$370&lt;$H$2),0,MIN($E393-SUM($G393:K393),$F393))</f>
        <v>0</v>
      </c>
      <c r="M393" s="424">
        <f>IF(OR(M$370&lt;$C393,M$370&lt;$H$2),0,MIN($E393-SUM($G393:L393),$F393))</f>
        <v>0</v>
      </c>
      <c r="N393" s="424">
        <f>IF(OR(N$370&lt;$C393,N$370&lt;$H$2),0,MIN($E393-SUM($G393:M393),$F393))</f>
        <v>0</v>
      </c>
      <c r="O393" s="424">
        <f>IF(OR(O$370&lt;$C393,O$370&lt;$H$2),0,MIN($E393-SUM($G393:N393),$F393))</f>
        <v>0</v>
      </c>
      <c r="P393" s="424">
        <f>IF(OR(P$370&lt;$C393,P$370&lt;$H$2),0,MIN($E393-SUM($G393:O393),$F393))</f>
        <v>0</v>
      </c>
      <c r="Q393" s="424">
        <f>IF(OR(Q$370&lt;$C393,Q$370&lt;$H$2),0,MIN($E393-SUM($G393:P393),$F393))</f>
        <v>0</v>
      </c>
      <c r="R393" s="424">
        <f>IF(OR(R$370&lt;$C393,R$370&lt;$H$2),0,MIN($E393-SUM($G393:Q393),$F393))</f>
        <v>0</v>
      </c>
      <c r="S393" s="424">
        <f>IF(OR(S$370&lt;$C393,S$370&lt;$H$2),0,MIN($E393-SUM($G393:R393),$F393))</f>
        <v>0</v>
      </c>
      <c r="T393" s="424">
        <f>IF(OR(T$370&lt;$C393,T$370&lt;$H$2),0,MIN($E393-SUM($G393:S393),$F393))</f>
        <v>0</v>
      </c>
      <c r="U393" s="424">
        <f>IF(OR(U$370&lt;$C393,U$370&lt;$H$2),0,MIN($E393-SUM($G393:T393),$F393))</f>
        <v>0</v>
      </c>
      <c r="V393" s="424">
        <f>IF(OR(V$370&lt;$C393,V$370&lt;$H$2),0,MIN($E393-SUM($G393:U393),$F393))</f>
        <v>0</v>
      </c>
      <c r="W393" s="424">
        <f>IF(OR(W$370&lt;$C393,W$370&lt;$H$2),0,MIN($E393-SUM($G393:V393),$F393))</f>
        <v>0</v>
      </c>
      <c r="X393" s="424">
        <f>IF(OR(X$370&lt;$C393,X$370&lt;$H$2),0,MIN($E393-SUM($G393:W393),$F393))</f>
        <v>0</v>
      </c>
      <c r="Y393" s="424">
        <f>IF(OR(Y$370&lt;$C393,Y$370&lt;$H$2),0,MIN($E393-SUM($G393:X393),$F393))</f>
        <v>0</v>
      </c>
      <c r="Z393" s="424">
        <f>IF(OR(Z$370&lt;$C393,Z$370&lt;$H$2),0,MIN($E393-SUM($G393:Y393),$F393))</f>
        <v>0</v>
      </c>
      <c r="AA393" s="424">
        <f>IF(OR(AA$370&lt;$C393,AA$370&lt;$H$2),0,MIN($E393-SUM($G393:Z393),$F393))</f>
        <v>0</v>
      </c>
      <c r="AB393" s="424">
        <f>IF(OR(AB$370&lt;$C393,AB$370&lt;$H$2),0,MIN($E393-SUM($G393:AA393),$F393))</f>
        <v>0</v>
      </c>
      <c r="AC393" s="424">
        <f>IF(OR(AC$370&lt;$C393,AC$370&lt;$H$2),0,MIN($E393-SUM($G393:AB393),$F393))</f>
        <v>0</v>
      </c>
      <c r="AD393" s="424">
        <f>IF(OR(AD$370&lt;$C393,AD$370&lt;$H$2),0,MIN($E393-SUM($G393:AC393),$F393))</f>
        <v>0</v>
      </c>
      <c r="AE393" s="424">
        <f>IF(OR(AE$370&lt;$C393,AE$370&lt;$H$2),0,MIN($E393-SUM($G393:AD393),$F393))</f>
        <v>0</v>
      </c>
      <c r="AF393" s="424">
        <f>IF(OR(AF$370&lt;$C393,AF$370&lt;$H$2),0,MIN($E393-SUM($G393:AE393),$F393))</f>
        <v>0</v>
      </c>
      <c r="AG393" s="424">
        <f>IF(OR(AG$370&lt;$C393,AG$370&lt;$H$2),0,MIN($E393-SUM($G393:AF393),$F393))</f>
        <v>0</v>
      </c>
      <c r="AH393" s="424">
        <f>IF(OR(AH$370&lt;$C393,AH$370&lt;$H$2),0,MIN($E393-SUM($G393:AG393),$F393))</f>
        <v>0</v>
      </c>
      <c r="AI393" s="424">
        <f>IF(OR(AI$370&lt;$C393,AI$370&lt;$H$2),0,MIN($E393-SUM($G393:AH393),$F393))</f>
        <v>0</v>
      </c>
      <c r="AJ393" s="424">
        <f>IF(OR(AJ$370&lt;$C393,AJ$370&lt;$H$2),0,MIN($E393-SUM($G393:AI393),$F393))</f>
        <v>0</v>
      </c>
      <c r="AK393" s="424">
        <f>IF(OR(AK$370&lt;$C393,AK$370&lt;$H$2),0,MIN($E393-SUM($G393:AJ393),$F393))</f>
        <v>0</v>
      </c>
    </row>
    <row r="394" spans="3:37">
      <c r="C394" s="201">
        <v>53709</v>
      </c>
      <c r="D394" s="94" t="s">
        <v>134</v>
      </c>
      <c r="E394" s="424">
        <f t="shared" si="126"/>
        <v>0</v>
      </c>
      <c r="F394" s="209">
        <f t="shared" si="127"/>
        <v>0</v>
      </c>
      <c r="H394" s="424">
        <f>IF(OR(H$370&lt;$C394,H$370&lt;$H$2),0,MIN($E394-SUM($G394:G394),$F394))</f>
        <v>0</v>
      </c>
      <c r="I394" s="424">
        <f>IF(OR(I$370&lt;$C394,I$370&lt;$H$2),0,MIN($E394-SUM($G394:H394),$F394))</f>
        <v>0</v>
      </c>
      <c r="J394" s="424">
        <f>IF(OR(J$370&lt;$C394,J$370&lt;$H$2),0,MIN($E394-SUM($G394:I394),$F394))</f>
        <v>0</v>
      </c>
      <c r="K394" s="424">
        <f>IF(OR(K$370&lt;$C394,K$370&lt;$H$2),0,MIN($E394-SUM($G394:J394),$F394))</f>
        <v>0</v>
      </c>
      <c r="L394" s="424">
        <f>IF(OR(L$370&lt;$C394,L$370&lt;$H$2),0,MIN($E394-SUM($G394:K394),$F394))</f>
        <v>0</v>
      </c>
      <c r="M394" s="424">
        <f>IF(OR(M$370&lt;$C394,M$370&lt;$H$2),0,MIN($E394-SUM($G394:L394),$F394))</f>
        <v>0</v>
      </c>
      <c r="N394" s="424">
        <f>IF(OR(N$370&lt;$C394,N$370&lt;$H$2),0,MIN($E394-SUM($G394:M394),$F394))</f>
        <v>0</v>
      </c>
      <c r="O394" s="424">
        <f>IF(OR(O$370&lt;$C394,O$370&lt;$H$2),0,MIN($E394-SUM($G394:N394),$F394))</f>
        <v>0</v>
      </c>
      <c r="P394" s="424">
        <f>IF(OR(P$370&lt;$C394,P$370&lt;$H$2),0,MIN($E394-SUM($G394:O394),$F394))</f>
        <v>0</v>
      </c>
      <c r="Q394" s="424">
        <f>IF(OR(Q$370&lt;$C394,Q$370&lt;$H$2),0,MIN($E394-SUM($G394:P394),$F394))</f>
        <v>0</v>
      </c>
      <c r="R394" s="424">
        <f>IF(OR(R$370&lt;$C394,R$370&lt;$H$2),0,MIN($E394-SUM($G394:Q394),$F394))</f>
        <v>0</v>
      </c>
      <c r="S394" s="424">
        <f>IF(OR(S$370&lt;$C394,S$370&lt;$H$2),0,MIN($E394-SUM($G394:R394),$F394))</f>
        <v>0</v>
      </c>
      <c r="T394" s="424">
        <f>IF(OR(T$370&lt;$C394,T$370&lt;$H$2),0,MIN($E394-SUM($G394:S394),$F394))</f>
        <v>0</v>
      </c>
      <c r="U394" s="424">
        <f>IF(OR(U$370&lt;$C394,U$370&lt;$H$2),0,MIN($E394-SUM($G394:T394),$F394))</f>
        <v>0</v>
      </c>
      <c r="V394" s="424">
        <f>IF(OR(V$370&lt;$C394,V$370&lt;$H$2),0,MIN($E394-SUM($G394:U394),$F394))</f>
        <v>0</v>
      </c>
      <c r="W394" s="424">
        <f>IF(OR(W$370&lt;$C394,W$370&lt;$H$2),0,MIN($E394-SUM($G394:V394),$F394))</f>
        <v>0</v>
      </c>
      <c r="X394" s="424">
        <f>IF(OR(X$370&lt;$C394,X$370&lt;$H$2),0,MIN($E394-SUM($G394:W394),$F394))</f>
        <v>0</v>
      </c>
      <c r="Y394" s="424">
        <f>IF(OR(Y$370&lt;$C394,Y$370&lt;$H$2),0,MIN($E394-SUM($G394:X394),$F394))</f>
        <v>0</v>
      </c>
      <c r="Z394" s="424">
        <f>IF(OR(Z$370&lt;$C394,Z$370&lt;$H$2),0,MIN($E394-SUM($G394:Y394),$F394))</f>
        <v>0</v>
      </c>
      <c r="AA394" s="424">
        <f>IF(OR(AA$370&lt;$C394,AA$370&lt;$H$2),0,MIN($E394-SUM($G394:Z394),$F394))</f>
        <v>0</v>
      </c>
      <c r="AB394" s="424">
        <f>IF(OR(AB$370&lt;$C394,AB$370&lt;$H$2),0,MIN($E394-SUM($G394:AA394),$F394))</f>
        <v>0</v>
      </c>
      <c r="AC394" s="424">
        <f>IF(OR(AC$370&lt;$C394,AC$370&lt;$H$2),0,MIN($E394-SUM($G394:AB394),$F394))</f>
        <v>0</v>
      </c>
      <c r="AD394" s="424">
        <f>IF(OR(AD$370&lt;$C394,AD$370&lt;$H$2),0,MIN($E394-SUM($G394:AC394),$F394))</f>
        <v>0</v>
      </c>
      <c r="AE394" s="424">
        <f>IF(OR(AE$370&lt;$C394,AE$370&lt;$H$2),0,MIN($E394-SUM($G394:AD394),$F394))</f>
        <v>0</v>
      </c>
      <c r="AF394" s="424">
        <f>IF(OR(AF$370&lt;$C394,AF$370&lt;$H$2),0,MIN($E394-SUM($G394:AE394),$F394))</f>
        <v>0</v>
      </c>
      <c r="AG394" s="424">
        <f>IF(OR(AG$370&lt;$C394,AG$370&lt;$H$2),0,MIN($E394-SUM($G394:AF394),$F394))</f>
        <v>0</v>
      </c>
      <c r="AH394" s="424">
        <f>IF(OR(AH$370&lt;$C394,AH$370&lt;$H$2),0,MIN($E394-SUM($G394:AG394),$F394))</f>
        <v>0</v>
      </c>
      <c r="AI394" s="424">
        <f>IF(OR(AI$370&lt;$C394,AI$370&lt;$H$2),0,MIN($E394-SUM($G394:AH394),$F394))</f>
        <v>0</v>
      </c>
      <c r="AJ394" s="424">
        <f>IF(OR(AJ$370&lt;$C394,AJ$370&lt;$H$2),0,MIN($E394-SUM($G394:AI394),$F394))</f>
        <v>0</v>
      </c>
      <c r="AK394" s="424">
        <f>IF(OR(AK$370&lt;$C394,AK$370&lt;$H$2),0,MIN($E394-SUM($G394:AJ394),$F394))</f>
        <v>0</v>
      </c>
    </row>
    <row r="395" spans="3:37">
      <c r="C395" s="201">
        <v>54075</v>
      </c>
      <c r="D395" s="94" t="s">
        <v>134</v>
      </c>
      <c r="E395" s="424">
        <f t="shared" si="126"/>
        <v>0</v>
      </c>
      <c r="F395" s="209">
        <f t="shared" si="127"/>
        <v>0</v>
      </c>
      <c r="H395" s="424">
        <f>IF(OR(H$370&lt;$C395,H$370&lt;$H$2),0,MIN($E395-SUM($G395:G395),$F395))</f>
        <v>0</v>
      </c>
      <c r="I395" s="424">
        <f>IF(OR(I$370&lt;$C395,I$370&lt;$H$2),0,MIN($E395-SUM($G395:H395),$F395))</f>
        <v>0</v>
      </c>
      <c r="J395" s="424">
        <f>IF(OR(J$370&lt;$C395,J$370&lt;$H$2),0,MIN($E395-SUM($G395:I395),$F395))</f>
        <v>0</v>
      </c>
      <c r="K395" s="424">
        <f>IF(OR(K$370&lt;$C395,K$370&lt;$H$2),0,MIN($E395-SUM($G395:J395),$F395))</f>
        <v>0</v>
      </c>
      <c r="L395" s="424">
        <f>IF(OR(L$370&lt;$C395,L$370&lt;$H$2),0,MIN($E395-SUM($G395:K395),$F395))</f>
        <v>0</v>
      </c>
      <c r="M395" s="424">
        <f>IF(OR(M$370&lt;$C395,M$370&lt;$H$2),0,MIN($E395-SUM($G395:L395),$F395))</f>
        <v>0</v>
      </c>
      <c r="N395" s="424">
        <f>IF(OR(N$370&lt;$C395,N$370&lt;$H$2),0,MIN($E395-SUM($G395:M395),$F395))</f>
        <v>0</v>
      </c>
      <c r="O395" s="424">
        <f>IF(OR(O$370&lt;$C395,O$370&lt;$H$2),0,MIN($E395-SUM($G395:N395),$F395))</f>
        <v>0</v>
      </c>
      <c r="P395" s="424">
        <f>IF(OR(P$370&lt;$C395,P$370&lt;$H$2),0,MIN($E395-SUM($G395:O395),$F395))</f>
        <v>0</v>
      </c>
      <c r="Q395" s="424">
        <f>IF(OR(Q$370&lt;$C395,Q$370&lt;$H$2),0,MIN($E395-SUM($G395:P395),$F395))</f>
        <v>0</v>
      </c>
      <c r="R395" s="424">
        <f>IF(OR(R$370&lt;$C395,R$370&lt;$H$2),0,MIN($E395-SUM($G395:Q395),$F395))</f>
        <v>0</v>
      </c>
      <c r="S395" s="424">
        <f>IF(OR(S$370&lt;$C395,S$370&lt;$H$2),0,MIN($E395-SUM($G395:R395),$F395))</f>
        <v>0</v>
      </c>
      <c r="T395" s="424">
        <f>IF(OR(T$370&lt;$C395,T$370&lt;$H$2),0,MIN($E395-SUM($G395:S395),$F395))</f>
        <v>0</v>
      </c>
      <c r="U395" s="424">
        <f>IF(OR(U$370&lt;$C395,U$370&lt;$H$2),0,MIN($E395-SUM($G395:T395),$F395))</f>
        <v>0</v>
      </c>
      <c r="V395" s="424">
        <f>IF(OR(V$370&lt;$C395,V$370&lt;$H$2),0,MIN($E395-SUM($G395:U395),$F395))</f>
        <v>0</v>
      </c>
      <c r="W395" s="424">
        <f>IF(OR(W$370&lt;$C395,W$370&lt;$H$2),0,MIN($E395-SUM($G395:V395),$F395))</f>
        <v>0</v>
      </c>
      <c r="X395" s="424">
        <f>IF(OR(X$370&lt;$C395,X$370&lt;$H$2),0,MIN($E395-SUM($G395:W395),$F395))</f>
        <v>0</v>
      </c>
      <c r="Y395" s="424">
        <f>IF(OR(Y$370&lt;$C395,Y$370&lt;$H$2),0,MIN($E395-SUM($G395:X395),$F395))</f>
        <v>0</v>
      </c>
      <c r="Z395" s="424">
        <f>IF(OR(Z$370&lt;$C395,Z$370&lt;$H$2),0,MIN($E395-SUM($G395:Y395),$F395))</f>
        <v>0</v>
      </c>
      <c r="AA395" s="424">
        <f>IF(OR(AA$370&lt;$C395,AA$370&lt;$H$2),0,MIN($E395-SUM($G395:Z395),$F395))</f>
        <v>0</v>
      </c>
      <c r="AB395" s="424">
        <f>IF(OR(AB$370&lt;$C395,AB$370&lt;$H$2),0,MIN($E395-SUM($G395:AA395),$F395))</f>
        <v>0</v>
      </c>
      <c r="AC395" s="424">
        <f>IF(OR(AC$370&lt;$C395,AC$370&lt;$H$2),0,MIN($E395-SUM($G395:AB395),$F395))</f>
        <v>0</v>
      </c>
      <c r="AD395" s="424">
        <f>IF(OR(AD$370&lt;$C395,AD$370&lt;$H$2),0,MIN($E395-SUM($G395:AC395),$F395))</f>
        <v>0</v>
      </c>
      <c r="AE395" s="424">
        <f>IF(OR(AE$370&lt;$C395,AE$370&lt;$H$2),0,MIN($E395-SUM($G395:AD395),$F395))</f>
        <v>0</v>
      </c>
      <c r="AF395" s="424">
        <f>IF(OR(AF$370&lt;$C395,AF$370&lt;$H$2),0,MIN($E395-SUM($G395:AE395),$F395))</f>
        <v>0</v>
      </c>
      <c r="AG395" s="424">
        <f>IF(OR(AG$370&lt;$C395,AG$370&lt;$H$2),0,MIN($E395-SUM($G395:AF395),$F395))</f>
        <v>0</v>
      </c>
      <c r="AH395" s="424">
        <f>IF(OR(AH$370&lt;$C395,AH$370&lt;$H$2),0,MIN($E395-SUM($G395:AG395),$F395))</f>
        <v>0</v>
      </c>
      <c r="AI395" s="424">
        <f>IF(OR(AI$370&lt;$C395,AI$370&lt;$H$2),0,MIN($E395-SUM($G395:AH395),$F395))</f>
        <v>0</v>
      </c>
      <c r="AJ395" s="424">
        <f>IF(OR(AJ$370&lt;$C395,AJ$370&lt;$H$2),0,MIN($E395-SUM($G395:AI395),$F395))</f>
        <v>0</v>
      </c>
      <c r="AK395" s="424">
        <f>IF(OR(AK$370&lt;$C395,AK$370&lt;$H$2),0,MIN($E395-SUM($G395:AJ395),$F395))</f>
        <v>0</v>
      </c>
    </row>
    <row r="396" spans="3:37">
      <c r="C396" s="201">
        <v>0</v>
      </c>
      <c r="D396" s="94" t="s">
        <v>134</v>
      </c>
      <c r="E396" s="424">
        <f t="shared" si="126"/>
        <v>0</v>
      </c>
      <c r="F396" s="209">
        <f t="shared" si="127"/>
        <v>0</v>
      </c>
      <c r="H396" s="424">
        <f>IF(OR(H$370&lt;$C396,H$370&lt;$H$2),0,MIN($E396-SUM($G396:G396),$F396))</f>
        <v>0</v>
      </c>
      <c r="I396" s="424">
        <f>IF(OR(I$370&lt;$C396,I$370&lt;$H$2),0,MIN($E396-SUM($G396:H396),$F396))</f>
        <v>0</v>
      </c>
      <c r="J396" s="424">
        <f>IF(OR(J$370&lt;$C396,J$370&lt;$H$2),0,MIN($E396-SUM($G396:I396),$F396))</f>
        <v>0</v>
      </c>
      <c r="K396" s="424">
        <f>IF(OR(K$370&lt;$C396,K$370&lt;$H$2),0,MIN($E396-SUM($G396:J396),$F396))</f>
        <v>0</v>
      </c>
      <c r="L396" s="424">
        <f>IF(OR(L$370&lt;$C396,L$370&lt;$H$2),0,MIN($E396-SUM($G396:K396),$F396))</f>
        <v>0</v>
      </c>
      <c r="M396" s="424">
        <f>IF(OR(M$370&lt;$C396,M$370&lt;$H$2),0,MIN($E396-SUM($G396:L396),$F396))</f>
        <v>0</v>
      </c>
      <c r="N396" s="424">
        <f>IF(OR(N$370&lt;$C396,N$370&lt;$H$2),0,MIN($E396-SUM($G396:M396),$F396))</f>
        <v>0</v>
      </c>
      <c r="O396" s="424">
        <f>IF(OR(O$370&lt;$C396,O$370&lt;$H$2),0,MIN($E396-SUM($G396:N396),$F396))</f>
        <v>0</v>
      </c>
      <c r="P396" s="424">
        <f>IF(OR(P$370&lt;$C396,P$370&lt;$H$2),0,MIN($E396-SUM($G396:O396),$F396))</f>
        <v>0</v>
      </c>
      <c r="Q396" s="424">
        <f>IF(OR(Q$370&lt;$C396,Q$370&lt;$H$2),0,MIN($E396-SUM($G396:P396),$F396))</f>
        <v>0</v>
      </c>
      <c r="R396" s="424">
        <f>IF(OR(R$370&lt;$C396,R$370&lt;$H$2),0,MIN($E396-SUM($G396:Q396),$F396))</f>
        <v>0</v>
      </c>
      <c r="S396" s="424">
        <f>IF(OR(S$370&lt;$C396,S$370&lt;$H$2),0,MIN($E396-SUM($G396:R396),$F396))</f>
        <v>0</v>
      </c>
      <c r="T396" s="424">
        <f>IF(OR(T$370&lt;$C396,T$370&lt;$H$2),0,MIN($E396-SUM($G396:S396),$F396))</f>
        <v>0</v>
      </c>
      <c r="U396" s="424">
        <f>IF(OR(U$370&lt;$C396,U$370&lt;$H$2),0,MIN($E396-SUM($G396:T396),$F396))</f>
        <v>0</v>
      </c>
      <c r="V396" s="424">
        <f>IF(OR(V$370&lt;$C396,V$370&lt;$H$2),0,MIN($E396-SUM($G396:U396),$F396))</f>
        <v>0</v>
      </c>
      <c r="W396" s="424">
        <f>IF(OR(W$370&lt;$C396,W$370&lt;$H$2),0,MIN($E396-SUM($G396:V396),$F396))</f>
        <v>0</v>
      </c>
      <c r="X396" s="424">
        <f>IF(OR(X$370&lt;$C396,X$370&lt;$H$2),0,MIN($E396-SUM($G396:W396),$F396))</f>
        <v>0</v>
      </c>
      <c r="Y396" s="424">
        <f>IF(OR(Y$370&lt;$C396,Y$370&lt;$H$2),0,MIN($E396-SUM($G396:X396),$F396))</f>
        <v>0</v>
      </c>
      <c r="Z396" s="424">
        <f>IF(OR(Z$370&lt;$C396,Z$370&lt;$H$2),0,MIN($E396-SUM($G396:Y396),$F396))</f>
        <v>0</v>
      </c>
      <c r="AA396" s="424">
        <f>IF(OR(AA$370&lt;$C396,AA$370&lt;$H$2),0,MIN($E396-SUM($G396:Z396),$F396))</f>
        <v>0</v>
      </c>
      <c r="AB396" s="424">
        <f>IF(OR(AB$370&lt;$C396,AB$370&lt;$H$2),0,MIN($E396-SUM($G396:AA396),$F396))</f>
        <v>0</v>
      </c>
      <c r="AC396" s="424">
        <f>IF(OR(AC$370&lt;$C396,AC$370&lt;$H$2),0,MIN($E396-SUM($G396:AB396),$F396))</f>
        <v>0</v>
      </c>
      <c r="AD396" s="424">
        <f>IF(OR(AD$370&lt;$C396,AD$370&lt;$H$2),0,MIN($E396-SUM($G396:AC396),$F396))</f>
        <v>0</v>
      </c>
      <c r="AE396" s="424">
        <f>IF(OR(AE$370&lt;$C396,AE$370&lt;$H$2),0,MIN($E396-SUM($G396:AD396),$F396))</f>
        <v>0</v>
      </c>
      <c r="AF396" s="424">
        <f>IF(OR(AF$370&lt;$C396,AF$370&lt;$H$2),0,MIN($E396-SUM($G396:AE396),$F396))</f>
        <v>0</v>
      </c>
      <c r="AG396" s="424">
        <f>IF(OR(AG$370&lt;$C396,AG$370&lt;$H$2),0,MIN($E396-SUM($G396:AF396),$F396))</f>
        <v>0</v>
      </c>
      <c r="AH396" s="424">
        <f>IF(OR(AH$370&lt;$C396,AH$370&lt;$H$2),0,MIN($E396-SUM($G396:AG396),$F396))</f>
        <v>0</v>
      </c>
      <c r="AI396" s="424">
        <f>IF(OR(AI$370&lt;$C396,AI$370&lt;$H$2),0,MIN($E396-SUM($G396:AH396),$F396))</f>
        <v>0</v>
      </c>
      <c r="AJ396" s="424">
        <f>IF(OR(AJ$370&lt;$C396,AJ$370&lt;$H$2),0,MIN($E396-SUM($G396:AI396),$F396))</f>
        <v>0</v>
      </c>
      <c r="AK396" s="424">
        <f>IF(OR(AK$370&lt;$C396,AK$370&lt;$H$2),0,MIN($E396-SUM($G396:AJ396),$F396))</f>
        <v>0</v>
      </c>
    </row>
    <row r="397" spans="3:37">
      <c r="C397" s="201">
        <v>0</v>
      </c>
      <c r="D397" s="94" t="s">
        <v>134</v>
      </c>
      <c r="E397" s="424">
        <f t="shared" si="126"/>
        <v>0</v>
      </c>
      <c r="F397" s="209">
        <f t="shared" si="127"/>
        <v>0</v>
      </c>
      <c r="H397" s="424">
        <f>IF(OR(H$370&lt;$C397,H$370&lt;$H$2),0,MIN($E397-SUM($G397:G397),$F397))</f>
        <v>0</v>
      </c>
      <c r="I397" s="424">
        <f>IF(OR(I$370&lt;$C397,I$370&lt;$H$2),0,MIN($E397-SUM($G397:H397),$F397))</f>
        <v>0</v>
      </c>
      <c r="J397" s="424">
        <f>IF(OR(J$370&lt;$C397,J$370&lt;$H$2),0,MIN($E397-SUM($G397:I397),$F397))</f>
        <v>0</v>
      </c>
      <c r="K397" s="424">
        <f>IF(OR(K$370&lt;$C397,K$370&lt;$H$2),0,MIN($E397-SUM($G397:J397),$F397))</f>
        <v>0</v>
      </c>
      <c r="L397" s="424">
        <f>IF(OR(L$370&lt;$C397,L$370&lt;$H$2),0,MIN($E397-SUM($G397:K397),$F397))</f>
        <v>0</v>
      </c>
      <c r="M397" s="424">
        <f>IF(OR(M$370&lt;$C397,M$370&lt;$H$2),0,MIN($E397-SUM($G397:L397),$F397))</f>
        <v>0</v>
      </c>
      <c r="N397" s="424">
        <f>IF(OR(N$370&lt;$C397,N$370&lt;$H$2),0,MIN($E397-SUM($G397:M397),$F397))</f>
        <v>0</v>
      </c>
      <c r="O397" s="424">
        <f>IF(OR(O$370&lt;$C397,O$370&lt;$H$2),0,MIN($E397-SUM($G397:N397),$F397))</f>
        <v>0</v>
      </c>
      <c r="P397" s="424">
        <f>IF(OR(P$370&lt;$C397,P$370&lt;$H$2),0,MIN($E397-SUM($G397:O397),$F397))</f>
        <v>0</v>
      </c>
      <c r="Q397" s="424">
        <f>IF(OR(Q$370&lt;$C397,Q$370&lt;$H$2),0,MIN($E397-SUM($G397:P397),$F397))</f>
        <v>0</v>
      </c>
      <c r="R397" s="424">
        <f>IF(OR(R$370&lt;$C397,R$370&lt;$H$2),0,MIN($E397-SUM($G397:Q397),$F397))</f>
        <v>0</v>
      </c>
      <c r="S397" s="424">
        <f>IF(OR(S$370&lt;$C397,S$370&lt;$H$2),0,MIN($E397-SUM($G397:R397),$F397))</f>
        <v>0</v>
      </c>
      <c r="T397" s="424">
        <f>IF(OR(T$370&lt;$C397,T$370&lt;$H$2),0,MIN($E397-SUM($G397:S397),$F397))</f>
        <v>0</v>
      </c>
      <c r="U397" s="424">
        <f>IF(OR(U$370&lt;$C397,U$370&lt;$H$2),0,MIN($E397-SUM($G397:T397),$F397))</f>
        <v>0</v>
      </c>
      <c r="V397" s="424">
        <f>IF(OR(V$370&lt;$C397,V$370&lt;$H$2),0,MIN($E397-SUM($G397:U397),$F397))</f>
        <v>0</v>
      </c>
      <c r="W397" s="424">
        <f>IF(OR(W$370&lt;$C397,W$370&lt;$H$2),0,MIN($E397-SUM($G397:V397),$F397))</f>
        <v>0</v>
      </c>
      <c r="X397" s="424">
        <f>IF(OR(X$370&lt;$C397,X$370&lt;$H$2),0,MIN($E397-SUM($G397:W397),$F397))</f>
        <v>0</v>
      </c>
      <c r="Y397" s="424">
        <f>IF(OR(Y$370&lt;$C397,Y$370&lt;$H$2),0,MIN($E397-SUM($G397:X397),$F397))</f>
        <v>0</v>
      </c>
      <c r="Z397" s="424">
        <f>IF(OR(Z$370&lt;$C397,Z$370&lt;$H$2),0,MIN($E397-SUM($G397:Y397),$F397))</f>
        <v>0</v>
      </c>
      <c r="AA397" s="424">
        <f>IF(OR(AA$370&lt;$C397,AA$370&lt;$H$2),0,MIN($E397-SUM($G397:Z397),$F397))</f>
        <v>0</v>
      </c>
      <c r="AB397" s="424">
        <f>IF(OR(AB$370&lt;$C397,AB$370&lt;$H$2),0,MIN($E397-SUM($G397:AA397),$F397))</f>
        <v>0</v>
      </c>
      <c r="AC397" s="424">
        <f>IF(OR(AC$370&lt;$C397,AC$370&lt;$H$2),0,MIN($E397-SUM($G397:AB397),$F397))</f>
        <v>0</v>
      </c>
      <c r="AD397" s="424">
        <f>IF(OR(AD$370&lt;$C397,AD$370&lt;$H$2),0,MIN($E397-SUM($G397:AC397),$F397))</f>
        <v>0</v>
      </c>
      <c r="AE397" s="424">
        <f>IF(OR(AE$370&lt;$C397,AE$370&lt;$H$2),0,MIN($E397-SUM($G397:AD397),$F397))</f>
        <v>0</v>
      </c>
      <c r="AF397" s="424">
        <f>IF(OR(AF$370&lt;$C397,AF$370&lt;$H$2),0,MIN($E397-SUM($G397:AE397),$F397))</f>
        <v>0</v>
      </c>
      <c r="AG397" s="424">
        <f>IF(OR(AG$370&lt;$C397,AG$370&lt;$H$2),0,MIN($E397-SUM($G397:AF397),$F397))</f>
        <v>0</v>
      </c>
      <c r="AH397" s="424">
        <f>IF(OR(AH$370&lt;$C397,AH$370&lt;$H$2),0,MIN($E397-SUM($G397:AG397),$F397))</f>
        <v>0</v>
      </c>
      <c r="AI397" s="424">
        <f>IF(OR(AI$370&lt;$C397,AI$370&lt;$H$2),0,MIN($E397-SUM($G397:AH397),$F397))</f>
        <v>0</v>
      </c>
      <c r="AJ397" s="424">
        <f>IF(OR(AJ$370&lt;$C397,AJ$370&lt;$H$2),0,MIN($E397-SUM($G397:AI397),$F397))</f>
        <v>0</v>
      </c>
      <c r="AK397" s="424">
        <f>IF(OR(AK$370&lt;$C397,AK$370&lt;$H$2),0,MIN($E397-SUM($G397:AJ397),$F397))</f>
        <v>0</v>
      </c>
    </row>
    <row r="398" spans="3:37">
      <c r="C398" s="201">
        <v>0</v>
      </c>
      <c r="D398" s="94" t="s">
        <v>134</v>
      </c>
      <c r="E398" s="424">
        <f t="shared" si="126"/>
        <v>0</v>
      </c>
      <c r="F398" s="209">
        <f t="shared" si="127"/>
        <v>0</v>
      </c>
      <c r="H398" s="424">
        <f>IF(OR(H$370&lt;$C398,H$370&lt;$H$2),0,MIN($E398-SUM($G398:G398),$F398))</f>
        <v>0</v>
      </c>
      <c r="I398" s="424">
        <f>IF(OR(I$370&lt;$C398,I$370&lt;$H$2),0,MIN($E398-SUM($G398:H398),$F398))</f>
        <v>0</v>
      </c>
      <c r="J398" s="424">
        <f>IF(OR(J$370&lt;$C398,J$370&lt;$H$2),0,MIN($E398-SUM($G398:I398),$F398))</f>
        <v>0</v>
      </c>
      <c r="K398" s="424">
        <f>IF(OR(K$370&lt;$C398,K$370&lt;$H$2),0,MIN($E398-SUM($G398:J398),$F398))</f>
        <v>0</v>
      </c>
      <c r="L398" s="424">
        <f>IF(OR(L$370&lt;$C398,L$370&lt;$H$2),0,MIN($E398-SUM($G398:K398),$F398))</f>
        <v>0</v>
      </c>
      <c r="M398" s="424">
        <f>IF(OR(M$370&lt;$C398,M$370&lt;$H$2),0,MIN($E398-SUM($G398:L398),$F398))</f>
        <v>0</v>
      </c>
      <c r="N398" s="424">
        <f>IF(OR(N$370&lt;$C398,N$370&lt;$H$2),0,MIN($E398-SUM($G398:M398),$F398))</f>
        <v>0</v>
      </c>
      <c r="O398" s="424">
        <f>IF(OR(O$370&lt;$C398,O$370&lt;$H$2),0,MIN($E398-SUM($G398:N398),$F398))</f>
        <v>0</v>
      </c>
      <c r="P398" s="424">
        <f>IF(OR(P$370&lt;$C398,P$370&lt;$H$2),0,MIN($E398-SUM($G398:O398),$F398))</f>
        <v>0</v>
      </c>
      <c r="Q398" s="424">
        <f>IF(OR(Q$370&lt;$C398,Q$370&lt;$H$2),0,MIN($E398-SUM($G398:P398),$F398))</f>
        <v>0</v>
      </c>
      <c r="R398" s="424">
        <f>IF(OR(R$370&lt;$C398,R$370&lt;$H$2),0,MIN($E398-SUM($G398:Q398),$F398))</f>
        <v>0</v>
      </c>
      <c r="S398" s="424">
        <f>IF(OR(S$370&lt;$C398,S$370&lt;$H$2),0,MIN($E398-SUM($G398:R398),$F398))</f>
        <v>0</v>
      </c>
      <c r="T398" s="424">
        <f>IF(OR(T$370&lt;$C398,T$370&lt;$H$2),0,MIN($E398-SUM($G398:S398),$F398))</f>
        <v>0</v>
      </c>
      <c r="U398" s="424">
        <f>IF(OR(U$370&lt;$C398,U$370&lt;$H$2),0,MIN($E398-SUM($G398:T398),$F398))</f>
        <v>0</v>
      </c>
      <c r="V398" s="424">
        <f>IF(OR(V$370&lt;$C398,V$370&lt;$H$2),0,MIN($E398-SUM($G398:U398),$F398))</f>
        <v>0</v>
      </c>
      <c r="W398" s="424">
        <f>IF(OR(W$370&lt;$C398,W$370&lt;$H$2),0,MIN($E398-SUM($G398:V398),$F398))</f>
        <v>0</v>
      </c>
      <c r="X398" s="424">
        <f>IF(OR(X$370&lt;$C398,X$370&lt;$H$2),0,MIN($E398-SUM($G398:W398),$F398))</f>
        <v>0</v>
      </c>
      <c r="Y398" s="424">
        <f>IF(OR(Y$370&lt;$C398,Y$370&lt;$H$2),0,MIN($E398-SUM($G398:X398),$F398))</f>
        <v>0</v>
      </c>
      <c r="Z398" s="424">
        <f>IF(OR(Z$370&lt;$C398,Z$370&lt;$H$2),0,MIN($E398-SUM($G398:Y398),$F398))</f>
        <v>0</v>
      </c>
      <c r="AA398" s="424">
        <f>IF(OR(AA$370&lt;$C398,AA$370&lt;$H$2),0,MIN($E398-SUM($G398:Z398),$F398))</f>
        <v>0</v>
      </c>
      <c r="AB398" s="424">
        <f>IF(OR(AB$370&lt;$C398,AB$370&lt;$H$2),0,MIN($E398-SUM($G398:AA398),$F398))</f>
        <v>0</v>
      </c>
      <c r="AC398" s="424">
        <f>IF(OR(AC$370&lt;$C398,AC$370&lt;$H$2),0,MIN($E398-SUM($G398:AB398),$F398))</f>
        <v>0</v>
      </c>
      <c r="AD398" s="424">
        <f>IF(OR(AD$370&lt;$C398,AD$370&lt;$H$2),0,MIN($E398-SUM($G398:AC398),$F398))</f>
        <v>0</v>
      </c>
      <c r="AE398" s="424">
        <f>IF(OR(AE$370&lt;$C398,AE$370&lt;$H$2),0,MIN($E398-SUM($G398:AD398),$F398))</f>
        <v>0</v>
      </c>
      <c r="AF398" s="424">
        <f>IF(OR(AF$370&lt;$C398,AF$370&lt;$H$2),0,MIN($E398-SUM($G398:AE398),$F398))</f>
        <v>0</v>
      </c>
      <c r="AG398" s="424">
        <f>IF(OR(AG$370&lt;$C398,AG$370&lt;$H$2),0,MIN($E398-SUM($G398:AF398),$F398))</f>
        <v>0</v>
      </c>
      <c r="AH398" s="424">
        <f>IF(OR(AH$370&lt;$C398,AH$370&lt;$H$2),0,MIN($E398-SUM($G398:AG398),$F398))</f>
        <v>0</v>
      </c>
      <c r="AI398" s="424">
        <f>IF(OR(AI$370&lt;$C398,AI$370&lt;$H$2),0,MIN($E398-SUM($G398:AH398),$F398))</f>
        <v>0</v>
      </c>
      <c r="AJ398" s="424">
        <f>IF(OR(AJ$370&lt;$C398,AJ$370&lt;$H$2),0,MIN($E398-SUM($G398:AI398),$F398))</f>
        <v>0</v>
      </c>
      <c r="AK398" s="424">
        <f>IF(OR(AK$370&lt;$C398,AK$370&lt;$H$2),0,MIN($E398-SUM($G398:AJ398),$F398))</f>
        <v>0</v>
      </c>
    </row>
    <row r="399" spans="3:37">
      <c r="C399" s="201">
        <v>0</v>
      </c>
      <c r="D399" s="94" t="s">
        <v>134</v>
      </c>
      <c r="E399" s="424">
        <f t="shared" si="126"/>
        <v>0</v>
      </c>
      <c r="F399" s="209">
        <f t="shared" si="127"/>
        <v>0</v>
      </c>
      <c r="H399" s="424">
        <f>IF(OR(H$370&lt;$C399,H$370&lt;$H$2),0,MIN($E399-SUM($G399:G399),$F399))</f>
        <v>0</v>
      </c>
      <c r="I399" s="424">
        <f>IF(OR(I$370&lt;$C399,I$370&lt;$H$2),0,MIN($E399-SUM($G399:H399),$F399))</f>
        <v>0</v>
      </c>
      <c r="J399" s="424">
        <f>IF(OR(J$370&lt;$C399,J$370&lt;$H$2),0,MIN($E399-SUM($G399:I399),$F399))</f>
        <v>0</v>
      </c>
      <c r="K399" s="424">
        <f>IF(OR(K$370&lt;$C399,K$370&lt;$H$2),0,MIN($E399-SUM($G399:J399),$F399))</f>
        <v>0</v>
      </c>
      <c r="L399" s="424">
        <f>IF(OR(L$370&lt;$C399,L$370&lt;$H$2),0,MIN($E399-SUM($G399:K399),$F399))</f>
        <v>0</v>
      </c>
      <c r="M399" s="424">
        <f>IF(OR(M$370&lt;$C399,M$370&lt;$H$2),0,MIN($E399-SUM($G399:L399),$F399))</f>
        <v>0</v>
      </c>
      <c r="N399" s="424">
        <f>IF(OR(N$370&lt;$C399,N$370&lt;$H$2),0,MIN($E399-SUM($G399:M399),$F399))</f>
        <v>0</v>
      </c>
      <c r="O399" s="424">
        <f>IF(OR(O$370&lt;$C399,O$370&lt;$H$2),0,MIN($E399-SUM($G399:N399),$F399))</f>
        <v>0</v>
      </c>
      <c r="P399" s="424">
        <f>IF(OR(P$370&lt;$C399,P$370&lt;$H$2),0,MIN($E399-SUM($G399:O399),$F399))</f>
        <v>0</v>
      </c>
      <c r="Q399" s="424">
        <f>IF(OR(Q$370&lt;$C399,Q$370&lt;$H$2),0,MIN($E399-SUM($G399:P399),$F399))</f>
        <v>0</v>
      </c>
      <c r="R399" s="424">
        <f>IF(OR(R$370&lt;$C399,R$370&lt;$H$2),0,MIN($E399-SUM($G399:Q399),$F399))</f>
        <v>0</v>
      </c>
      <c r="S399" s="424">
        <f>IF(OR(S$370&lt;$C399,S$370&lt;$H$2),0,MIN($E399-SUM($G399:R399),$F399))</f>
        <v>0</v>
      </c>
      <c r="T399" s="424">
        <f>IF(OR(T$370&lt;$C399,T$370&lt;$H$2),0,MIN($E399-SUM($G399:S399),$F399))</f>
        <v>0</v>
      </c>
      <c r="U399" s="424">
        <f>IF(OR(U$370&lt;$C399,U$370&lt;$H$2),0,MIN($E399-SUM($G399:T399),$F399))</f>
        <v>0</v>
      </c>
      <c r="V399" s="424">
        <f>IF(OR(V$370&lt;$C399,V$370&lt;$H$2),0,MIN($E399-SUM($G399:U399),$F399))</f>
        <v>0</v>
      </c>
      <c r="W399" s="424">
        <f>IF(OR(W$370&lt;$C399,W$370&lt;$H$2),0,MIN($E399-SUM($G399:V399),$F399))</f>
        <v>0</v>
      </c>
      <c r="X399" s="424">
        <f>IF(OR(X$370&lt;$C399,X$370&lt;$H$2),0,MIN($E399-SUM($G399:W399),$F399))</f>
        <v>0</v>
      </c>
      <c r="Y399" s="424">
        <f>IF(OR(Y$370&lt;$C399,Y$370&lt;$H$2),0,MIN($E399-SUM($G399:X399),$F399))</f>
        <v>0</v>
      </c>
      <c r="Z399" s="424">
        <f>IF(OR(Z$370&lt;$C399,Z$370&lt;$H$2),0,MIN($E399-SUM($G399:Y399),$F399))</f>
        <v>0</v>
      </c>
      <c r="AA399" s="424">
        <f>IF(OR(AA$370&lt;$C399,AA$370&lt;$H$2),0,MIN($E399-SUM($G399:Z399),$F399))</f>
        <v>0</v>
      </c>
      <c r="AB399" s="424">
        <f>IF(OR(AB$370&lt;$C399,AB$370&lt;$H$2),0,MIN($E399-SUM($G399:AA399),$F399))</f>
        <v>0</v>
      </c>
      <c r="AC399" s="424">
        <f>IF(OR(AC$370&lt;$C399,AC$370&lt;$H$2),0,MIN($E399-SUM($G399:AB399),$F399))</f>
        <v>0</v>
      </c>
      <c r="AD399" s="424">
        <f>IF(OR(AD$370&lt;$C399,AD$370&lt;$H$2),0,MIN($E399-SUM($G399:AC399),$F399))</f>
        <v>0</v>
      </c>
      <c r="AE399" s="424">
        <f>IF(OR(AE$370&lt;$C399,AE$370&lt;$H$2),0,MIN($E399-SUM($G399:AD399),$F399))</f>
        <v>0</v>
      </c>
      <c r="AF399" s="424">
        <f>IF(OR(AF$370&lt;$C399,AF$370&lt;$H$2),0,MIN($E399-SUM($G399:AE399),$F399))</f>
        <v>0</v>
      </c>
      <c r="AG399" s="424">
        <f>IF(OR(AG$370&lt;$C399,AG$370&lt;$H$2),0,MIN($E399-SUM($G399:AF399),$F399))</f>
        <v>0</v>
      </c>
      <c r="AH399" s="424">
        <f>IF(OR(AH$370&lt;$C399,AH$370&lt;$H$2),0,MIN($E399-SUM($G399:AG399),$F399))</f>
        <v>0</v>
      </c>
      <c r="AI399" s="424">
        <f>IF(OR(AI$370&lt;$C399,AI$370&lt;$H$2),0,MIN($E399-SUM($G399:AH399),$F399))</f>
        <v>0</v>
      </c>
      <c r="AJ399" s="424">
        <f>IF(OR(AJ$370&lt;$C399,AJ$370&lt;$H$2),0,MIN($E399-SUM($G399:AI399),$F399))</f>
        <v>0</v>
      </c>
      <c r="AK399" s="424">
        <f>IF(OR(AK$370&lt;$C399,AK$370&lt;$H$2),0,MIN($E399-SUM($G399:AJ399),$F399))</f>
        <v>0</v>
      </c>
    </row>
    <row r="400" spans="3:37">
      <c r="C400" s="201">
        <v>0</v>
      </c>
      <c r="D400" s="94" t="s">
        <v>134</v>
      </c>
      <c r="E400" s="424">
        <f t="shared" si="126"/>
        <v>0</v>
      </c>
      <c r="F400" s="209">
        <f t="shared" si="127"/>
        <v>0</v>
      </c>
      <c r="H400" s="424">
        <f>IF(OR(H$370&lt;$C400,H$370&lt;$H$2),0,MIN($E400-SUM($G400:G400),$F400))</f>
        <v>0</v>
      </c>
      <c r="I400" s="424">
        <f>IF(OR(I$370&lt;$C400,I$370&lt;$H$2),0,MIN($E400-SUM($G400:H400),$F400))</f>
        <v>0</v>
      </c>
      <c r="J400" s="424">
        <f>IF(OR(J$370&lt;$C400,J$370&lt;$H$2),0,MIN($E400-SUM($G400:I400),$F400))</f>
        <v>0</v>
      </c>
      <c r="K400" s="424">
        <f>IF(OR(K$370&lt;$C400,K$370&lt;$H$2),0,MIN($E400-SUM($G400:J400),$F400))</f>
        <v>0</v>
      </c>
      <c r="L400" s="424">
        <f>IF(OR(L$370&lt;$C400,L$370&lt;$H$2),0,MIN($E400-SUM($G400:K400),$F400))</f>
        <v>0</v>
      </c>
      <c r="M400" s="424">
        <f>IF(OR(M$370&lt;$C400,M$370&lt;$H$2),0,MIN($E400-SUM($G400:L400),$F400))</f>
        <v>0</v>
      </c>
      <c r="N400" s="424">
        <f>IF(OR(N$370&lt;$C400,N$370&lt;$H$2),0,MIN($E400-SUM($G400:M400),$F400))</f>
        <v>0</v>
      </c>
      <c r="O400" s="424">
        <f>IF(OR(O$370&lt;$C400,O$370&lt;$H$2),0,MIN($E400-SUM($G400:N400),$F400))</f>
        <v>0</v>
      </c>
      <c r="P400" s="424">
        <f>IF(OR(P$370&lt;$C400,P$370&lt;$H$2),0,MIN($E400-SUM($G400:O400),$F400))</f>
        <v>0</v>
      </c>
      <c r="Q400" s="424">
        <f>IF(OR(Q$370&lt;$C400,Q$370&lt;$H$2),0,MIN($E400-SUM($G400:P400),$F400))</f>
        <v>0</v>
      </c>
      <c r="R400" s="424">
        <f>IF(OR(R$370&lt;$C400,R$370&lt;$H$2),0,MIN($E400-SUM($G400:Q400),$F400))</f>
        <v>0</v>
      </c>
      <c r="S400" s="424">
        <f>IF(OR(S$370&lt;$C400,S$370&lt;$H$2),0,MIN($E400-SUM($G400:R400),$F400))</f>
        <v>0</v>
      </c>
      <c r="T400" s="424">
        <f>IF(OR(T$370&lt;$C400,T$370&lt;$H$2),0,MIN($E400-SUM($G400:S400),$F400))</f>
        <v>0</v>
      </c>
      <c r="U400" s="424">
        <f>IF(OR(U$370&lt;$C400,U$370&lt;$H$2),0,MIN($E400-SUM($G400:T400),$F400))</f>
        <v>0</v>
      </c>
      <c r="V400" s="424">
        <f>IF(OR(V$370&lt;$C400,V$370&lt;$H$2),0,MIN($E400-SUM($G400:U400),$F400))</f>
        <v>0</v>
      </c>
      <c r="W400" s="424">
        <f>IF(OR(W$370&lt;$C400,W$370&lt;$H$2),0,MIN($E400-SUM($G400:V400),$F400))</f>
        <v>0</v>
      </c>
      <c r="X400" s="424">
        <f>IF(OR(X$370&lt;$C400,X$370&lt;$H$2),0,MIN($E400-SUM($G400:W400),$F400))</f>
        <v>0</v>
      </c>
      <c r="Y400" s="424">
        <f>IF(OR(Y$370&lt;$C400,Y$370&lt;$H$2),0,MIN($E400-SUM($G400:X400),$F400))</f>
        <v>0</v>
      </c>
      <c r="Z400" s="424">
        <f>IF(OR(Z$370&lt;$C400,Z$370&lt;$H$2),0,MIN($E400-SUM($G400:Y400),$F400))</f>
        <v>0</v>
      </c>
      <c r="AA400" s="424">
        <f>IF(OR(AA$370&lt;$C400,AA$370&lt;$H$2),0,MIN($E400-SUM($G400:Z400),$F400))</f>
        <v>0</v>
      </c>
      <c r="AB400" s="424">
        <f>IF(OR(AB$370&lt;$C400,AB$370&lt;$H$2),0,MIN($E400-SUM($G400:AA400),$F400))</f>
        <v>0</v>
      </c>
      <c r="AC400" s="424">
        <f>IF(OR(AC$370&lt;$C400,AC$370&lt;$H$2),0,MIN($E400-SUM($G400:AB400),$F400))</f>
        <v>0</v>
      </c>
      <c r="AD400" s="424">
        <f>IF(OR(AD$370&lt;$C400,AD$370&lt;$H$2),0,MIN($E400-SUM($G400:AC400),$F400))</f>
        <v>0</v>
      </c>
      <c r="AE400" s="424">
        <f>IF(OR(AE$370&lt;$C400,AE$370&lt;$H$2),0,MIN($E400-SUM($G400:AD400),$F400))</f>
        <v>0</v>
      </c>
      <c r="AF400" s="424">
        <f>IF(OR(AF$370&lt;$C400,AF$370&lt;$H$2),0,MIN($E400-SUM($G400:AE400),$F400))</f>
        <v>0</v>
      </c>
      <c r="AG400" s="424">
        <f>IF(OR(AG$370&lt;$C400,AG$370&lt;$H$2),0,MIN($E400-SUM($G400:AF400),$F400))</f>
        <v>0</v>
      </c>
      <c r="AH400" s="424">
        <f>IF(OR(AH$370&lt;$C400,AH$370&lt;$H$2),0,MIN($E400-SUM($G400:AG400),$F400))</f>
        <v>0</v>
      </c>
      <c r="AI400" s="424">
        <f>IF(OR(AI$370&lt;$C400,AI$370&lt;$H$2),0,MIN($E400-SUM($G400:AH400),$F400))</f>
        <v>0</v>
      </c>
      <c r="AJ400" s="424">
        <f>IF(OR(AJ$370&lt;$C400,AJ$370&lt;$H$2),0,MIN($E400-SUM($G400:AI400),$F400))</f>
        <v>0</v>
      </c>
      <c r="AK400" s="424">
        <f>IF(OR(AK$370&lt;$C400,AK$370&lt;$H$2),0,MIN($E400-SUM($G400:AJ400),$F400))</f>
        <v>0</v>
      </c>
    </row>
    <row r="401" spans="3:37">
      <c r="C401" s="201">
        <v>0</v>
      </c>
      <c r="D401" s="94" t="s">
        <v>134</v>
      </c>
      <c r="E401" s="424">
        <f t="shared" si="126"/>
        <v>0</v>
      </c>
      <c r="F401" s="209">
        <f t="shared" si="127"/>
        <v>0</v>
      </c>
      <c r="H401" s="424">
        <f>IF(OR(H$370&lt;$C401,H$370&lt;$H$2),0,MIN($E401-SUM($G401:G401),$F401))</f>
        <v>0</v>
      </c>
      <c r="I401" s="424">
        <f>IF(OR(I$370&lt;$C401,I$370&lt;$H$2),0,MIN($E401-SUM($G401:H401),$F401))</f>
        <v>0</v>
      </c>
      <c r="J401" s="424">
        <f>IF(OR(J$370&lt;$C401,J$370&lt;$H$2),0,MIN($E401-SUM($G401:I401),$F401))</f>
        <v>0</v>
      </c>
      <c r="K401" s="424">
        <f>IF(OR(K$370&lt;$C401,K$370&lt;$H$2),0,MIN($E401-SUM($G401:J401),$F401))</f>
        <v>0</v>
      </c>
      <c r="L401" s="424">
        <f>IF(OR(L$370&lt;$C401,L$370&lt;$H$2),0,MIN($E401-SUM($G401:K401),$F401))</f>
        <v>0</v>
      </c>
      <c r="M401" s="424">
        <f>IF(OR(M$370&lt;$C401,M$370&lt;$H$2),0,MIN($E401-SUM($G401:L401),$F401))</f>
        <v>0</v>
      </c>
      <c r="N401" s="424">
        <f>IF(OR(N$370&lt;$C401,N$370&lt;$H$2),0,MIN($E401-SUM($G401:M401),$F401))</f>
        <v>0</v>
      </c>
      <c r="O401" s="424">
        <f>IF(OR(O$370&lt;$C401,O$370&lt;$H$2),0,MIN($E401-SUM($G401:N401),$F401))</f>
        <v>0</v>
      </c>
      <c r="P401" s="424">
        <f>IF(OR(P$370&lt;$C401,P$370&lt;$H$2),0,MIN($E401-SUM($G401:O401),$F401))</f>
        <v>0</v>
      </c>
      <c r="Q401" s="424">
        <f>IF(OR(Q$370&lt;$C401,Q$370&lt;$H$2),0,MIN($E401-SUM($G401:P401),$F401))</f>
        <v>0</v>
      </c>
      <c r="R401" s="424">
        <f>IF(OR(R$370&lt;$C401,R$370&lt;$H$2),0,MIN($E401-SUM($G401:Q401),$F401))</f>
        <v>0</v>
      </c>
      <c r="S401" s="424">
        <f>IF(OR(S$370&lt;$C401,S$370&lt;$H$2),0,MIN($E401-SUM($G401:R401),$F401))</f>
        <v>0</v>
      </c>
      <c r="T401" s="424">
        <f>IF(OR(T$370&lt;$C401,T$370&lt;$H$2),0,MIN($E401-SUM($G401:S401),$F401))</f>
        <v>0</v>
      </c>
      <c r="U401" s="424">
        <f>IF(OR(U$370&lt;$C401,U$370&lt;$H$2),0,MIN($E401-SUM($G401:T401),$F401))</f>
        <v>0</v>
      </c>
      <c r="V401" s="424">
        <f>IF(OR(V$370&lt;$C401,V$370&lt;$H$2),0,MIN($E401-SUM($G401:U401),$F401))</f>
        <v>0</v>
      </c>
      <c r="W401" s="424">
        <f>IF(OR(W$370&lt;$C401,W$370&lt;$H$2),0,MIN($E401-SUM($G401:V401),$F401))</f>
        <v>0</v>
      </c>
      <c r="X401" s="424">
        <f>IF(OR(X$370&lt;$C401,X$370&lt;$H$2),0,MIN($E401-SUM($G401:W401),$F401))</f>
        <v>0</v>
      </c>
      <c r="Y401" s="424">
        <f>IF(OR(Y$370&lt;$C401,Y$370&lt;$H$2),0,MIN($E401-SUM($G401:X401),$F401))</f>
        <v>0</v>
      </c>
      <c r="Z401" s="424">
        <f>IF(OR(Z$370&lt;$C401,Z$370&lt;$H$2),0,MIN($E401-SUM($G401:Y401),$F401))</f>
        <v>0</v>
      </c>
      <c r="AA401" s="424">
        <f>IF(OR(AA$370&lt;$C401,AA$370&lt;$H$2),0,MIN($E401-SUM($G401:Z401),$F401))</f>
        <v>0</v>
      </c>
      <c r="AB401" s="424">
        <f>IF(OR(AB$370&lt;$C401,AB$370&lt;$H$2),0,MIN($E401-SUM($G401:AA401),$F401))</f>
        <v>0</v>
      </c>
      <c r="AC401" s="424">
        <f>IF(OR(AC$370&lt;$C401,AC$370&lt;$H$2),0,MIN($E401-SUM($G401:AB401),$F401))</f>
        <v>0</v>
      </c>
      <c r="AD401" s="424">
        <f>IF(OR(AD$370&lt;$C401,AD$370&lt;$H$2),0,MIN($E401-SUM($G401:AC401),$F401))</f>
        <v>0</v>
      </c>
      <c r="AE401" s="424">
        <f>IF(OR(AE$370&lt;$C401,AE$370&lt;$H$2),0,MIN($E401-SUM($G401:AD401),$F401))</f>
        <v>0</v>
      </c>
      <c r="AF401" s="424">
        <f>IF(OR(AF$370&lt;$C401,AF$370&lt;$H$2),0,MIN($E401-SUM($G401:AE401),$F401))</f>
        <v>0</v>
      </c>
      <c r="AG401" s="424">
        <f>IF(OR(AG$370&lt;$C401,AG$370&lt;$H$2),0,MIN($E401-SUM($G401:AF401),$F401))</f>
        <v>0</v>
      </c>
      <c r="AH401" s="424">
        <f>IF(OR(AH$370&lt;$C401,AH$370&lt;$H$2),0,MIN($E401-SUM($G401:AG401),$F401))</f>
        <v>0</v>
      </c>
      <c r="AI401" s="424">
        <f>IF(OR(AI$370&lt;$C401,AI$370&lt;$H$2),0,MIN($E401-SUM($G401:AH401),$F401))</f>
        <v>0</v>
      </c>
      <c r="AJ401" s="424">
        <f>IF(OR(AJ$370&lt;$C401,AJ$370&lt;$H$2),0,MIN($E401-SUM($G401:AI401),$F401))</f>
        <v>0</v>
      </c>
      <c r="AK401" s="424">
        <f>IF(OR(AK$370&lt;$C401,AK$370&lt;$H$2),0,MIN($E401-SUM($G401:AJ401),$F401))</f>
        <v>0</v>
      </c>
    </row>
    <row r="402" spans="3:37">
      <c r="C402" s="201">
        <v>0</v>
      </c>
      <c r="D402" s="94" t="s">
        <v>134</v>
      </c>
      <c r="E402" s="424">
        <f t="shared" si="126"/>
        <v>0</v>
      </c>
      <c r="F402" s="209">
        <f t="shared" si="127"/>
        <v>0</v>
      </c>
      <c r="H402" s="424">
        <f>IF(OR(H$370&lt;$C402,H$370&lt;$H$2),0,MIN($E402-SUM($G402:G402),$F402))</f>
        <v>0</v>
      </c>
      <c r="I402" s="424">
        <f>IF(OR(I$370&lt;$C402,I$370&lt;$H$2),0,MIN($E402-SUM($G402:H402),$F402))</f>
        <v>0</v>
      </c>
      <c r="J402" s="424">
        <f>IF(OR(J$370&lt;$C402,J$370&lt;$H$2),0,MIN($E402-SUM($G402:I402),$F402))</f>
        <v>0</v>
      </c>
      <c r="K402" s="424">
        <f>IF(OR(K$370&lt;$C402,K$370&lt;$H$2),0,MIN($E402-SUM($G402:J402),$F402))</f>
        <v>0</v>
      </c>
      <c r="L402" s="424">
        <f>IF(OR(L$370&lt;$C402,L$370&lt;$H$2),0,MIN($E402-SUM($G402:K402),$F402))</f>
        <v>0</v>
      </c>
      <c r="M402" s="424">
        <f>IF(OR(M$370&lt;$C402,M$370&lt;$H$2),0,MIN($E402-SUM($G402:L402),$F402))</f>
        <v>0</v>
      </c>
      <c r="N402" s="424">
        <f>IF(OR(N$370&lt;$C402,N$370&lt;$H$2),0,MIN($E402-SUM($G402:M402),$F402))</f>
        <v>0</v>
      </c>
      <c r="O402" s="424">
        <f>IF(OR(O$370&lt;$C402,O$370&lt;$H$2),0,MIN($E402-SUM($G402:N402),$F402))</f>
        <v>0</v>
      </c>
      <c r="P402" s="424">
        <f>IF(OR(P$370&lt;$C402,P$370&lt;$H$2),0,MIN($E402-SUM($G402:O402),$F402))</f>
        <v>0</v>
      </c>
      <c r="Q402" s="424">
        <f>IF(OR(Q$370&lt;$C402,Q$370&lt;$H$2),0,MIN($E402-SUM($G402:P402),$F402))</f>
        <v>0</v>
      </c>
      <c r="R402" s="424">
        <f>IF(OR(R$370&lt;$C402,R$370&lt;$H$2),0,MIN($E402-SUM($G402:Q402),$F402))</f>
        <v>0</v>
      </c>
      <c r="S402" s="424">
        <f>IF(OR(S$370&lt;$C402,S$370&lt;$H$2),0,MIN($E402-SUM($G402:R402),$F402))</f>
        <v>0</v>
      </c>
      <c r="T402" s="424">
        <f>IF(OR(T$370&lt;$C402,T$370&lt;$H$2),0,MIN($E402-SUM($G402:S402),$F402))</f>
        <v>0</v>
      </c>
      <c r="U402" s="424">
        <f>IF(OR(U$370&lt;$C402,U$370&lt;$H$2),0,MIN($E402-SUM($G402:T402),$F402))</f>
        <v>0</v>
      </c>
      <c r="V402" s="424">
        <f>IF(OR(V$370&lt;$C402,V$370&lt;$H$2),0,MIN($E402-SUM($G402:U402),$F402))</f>
        <v>0</v>
      </c>
      <c r="W402" s="424">
        <f>IF(OR(W$370&lt;$C402,W$370&lt;$H$2),0,MIN($E402-SUM($G402:V402),$F402))</f>
        <v>0</v>
      </c>
      <c r="X402" s="424">
        <f>IF(OR(X$370&lt;$C402,X$370&lt;$H$2),0,MIN($E402-SUM($G402:W402),$F402))</f>
        <v>0</v>
      </c>
      <c r="Y402" s="424">
        <f>IF(OR(Y$370&lt;$C402,Y$370&lt;$H$2),0,MIN($E402-SUM($G402:X402),$F402))</f>
        <v>0</v>
      </c>
      <c r="Z402" s="424">
        <f>IF(OR(Z$370&lt;$C402,Z$370&lt;$H$2),0,MIN($E402-SUM($G402:Y402),$F402))</f>
        <v>0</v>
      </c>
      <c r="AA402" s="424">
        <f>IF(OR(AA$370&lt;$C402,AA$370&lt;$H$2),0,MIN($E402-SUM($G402:Z402),$F402))</f>
        <v>0</v>
      </c>
      <c r="AB402" s="424">
        <f>IF(OR(AB$370&lt;$C402,AB$370&lt;$H$2),0,MIN($E402-SUM($G402:AA402),$F402))</f>
        <v>0</v>
      </c>
      <c r="AC402" s="424">
        <f>IF(OR(AC$370&lt;$C402,AC$370&lt;$H$2),0,MIN($E402-SUM($G402:AB402),$F402))</f>
        <v>0</v>
      </c>
      <c r="AD402" s="424">
        <f>IF(OR(AD$370&lt;$C402,AD$370&lt;$H$2),0,MIN($E402-SUM($G402:AC402),$F402))</f>
        <v>0</v>
      </c>
      <c r="AE402" s="424">
        <f>IF(OR(AE$370&lt;$C402,AE$370&lt;$H$2),0,MIN($E402-SUM($G402:AD402),$F402))</f>
        <v>0</v>
      </c>
      <c r="AF402" s="424">
        <f>IF(OR(AF$370&lt;$C402,AF$370&lt;$H$2),0,MIN($E402-SUM($G402:AE402),$F402))</f>
        <v>0</v>
      </c>
      <c r="AG402" s="424">
        <f>IF(OR(AG$370&lt;$C402,AG$370&lt;$H$2),0,MIN($E402-SUM($G402:AF402),$F402))</f>
        <v>0</v>
      </c>
      <c r="AH402" s="424">
        <f>IF(OR(AH$370&lt;$C402,AH$370&lt;$H$2),0,MIN($E402-SUM($G402:AG402),$F402))</f>
        <v>0</v>
      </c>
      <c r="AI402" s="424">
        <f>IF(OR(AI$370&lt;$C402,AI$370&lt;$H$2),0,MIN($E402-SUM($G402:AH402),$F402))</f>
        <v>0</v>
      </c>
      <c r="AJ402" s="424">
        <f>IF(OR(AJ$370&lt;$C402,AJ$370&lt;$H$2),0,MIN($E402-SUM($G402:AI402),$F402))</f>
        <v>0</v>
      </c>
      <c r="AK402" s="424">
        <f>IF(OR(AK$370&lt;$C402,AK$370&lt;$H$2),0,MIN($E402-SUM($G402:AJ402),$F402))</f>
        <v>0</v>
      </c>
    </row>
    <row r="403" spans="3:37" ht="14" thickBot="1">
      <c r="C403" s="240" t="s">
        <v>543</v>
      </c>
      <c r="D403" s="348" t="s">
        <v>134</v>
      </c>
      <c r="E403" s="427">
        <f>SUM(E373:E402)</f>
        <v>0</v>
      </c>
      <c r="F403" s="427">
        <f>SUM(F373:F402)</f>
        <v>0</v>
      </c>
      <c r="G403" s="348"/>
      <c r="H403" s="427">
        <f t="shared" ref="H403:AK403" si="128">SUM(H373:H402)</f>
        <v>0</v>
      </c>
      <c r="I403" s="427">
        <f t="shared" si="128"/>
        <v>0</v>
      </c>
      <c r="J403" s="427">
        <f t="shared" si="128"/>
        <v>0</v>
      </c>
      <c r="K403" s="427">
        <f t="shared" si="128"/>
        <v>0</v>
      </c>
      <c r="L403" s="427">
        <f t="shared" si="128"/>
        <v>0</v>
      </c>
      <c r="M403" s="427">
        <f t="shared" si="128"/>
        <v>0</v>
      </c>
      <c r="N403" s="427">
        <f t="shared" si="128"/>
        <v>0</v>
      </c>
      <c r="O403" s="427">
        <f t="shared" si="128"/>
        <v>0</v>
      </c>
      <c r="P403" s="427">
        <f t="shared" si="128"/>
        <v>0</v>
      </c>
      <c r="Q403" s="427">
        <f t="shared" si="128"/>
        <v>0</v>
      </c>
      <c r="R403" s="427">
        <f t="shared" si="128"/>
        <v>0</v>
      </c>
      <c r="S403" s="427">
        <f t="shared" si="128"/>
        <v>0</v>
      </c>
      <c r="T403" s="427">
        <f t="shared" si="128"/>
        <v>0</v>
      </c>
      <c r="U403" s="427">
        <f t="shared" si="128"/>
        <v>0</v>
      </c>
      <c r="V403" s="427">
        <f t="shared" si="128"/>
        <v>0</v>
      </c>
      <c r="W403" s="427">
        <f t="shared" si="128"/>
        <v>0</v>
      </c>
      <c r="X403" s="427">
        <f t="shared" si="128"/>
        <v>0</v>
      </c>
      <c r="Y403" s="427">
        <f t="shared" si="128"/>
        <v>0</v>
      </c>
      <c r="Z403" s="427">
        <f t="shared" si="128"/>
        <v>0</v>
      </c>
      <c r="AA403" s="427">
        <f t="shared" si="128"/>
        <v>0</v>
      </c>
      <c r="AB403" s="427">
        <f t="shared" si="128"/>
        <v>0</v>
      </c>
      <c r="AC403" s="427">
        <f t="shared" si="128"/>
        <v>0</v>
      </c>
      <c r="AD403" s="427">
        <f t="shared" si="128"/>
        <v>0</v>
      </c>
      <c r="AE403" s="427">
        <f t="shared" si="128"/>
        <v>0</v>
      </c>
      <c r="AF403" s="427">
        <f t="shared" si="128"/>
        <v>0</v>
      </c>
      <c r="AG403" s="427">
        <f t="shared" si="128"/>
        <v>0</v>
      </c>
      <c r="AH403" s="427">
        <f t="shared" si="128"/>
        <v>0</v>
      </c>
      <c r="AI403" s="427">
        <f t="shared" si="128"/>
        <v>0</v>
      </c>
      <c r="AJ403" s="427">
        <f t="shared" si="128"/>
        <v>0</v>
      </c>
      <c r="AK403" s="427">
        <f t="shared" si="128"/>
        <v>0</v>
      </c>
    </row>
    <row r="404" spans="3:37" ht="14" thickTop="1"/>
    <row r="405" spans="3:37" ht="28">
      <c r="C405" s="428" t="s">
        <v>166</v>
      </c>
      <c r="D405" s="428" t="s">
        <v>88</v>
      </c>
      <c r="E405" s="428" t="s">
        <v>555</v>
      </c>
      <c r="F405" s="429" t="s">
        <v>556</v>
      </c>
      <c r="G405" s="430"/>
      <c r="H405" s="201">
        <f t="shared" ref="H405:AK406" si="129">H370</f>
        <v>46023</v>
      </c>
      <c r="I405" s="201">
        <f t="shared" si="129"/>
        <v>46389</v>
      </c>
      <c r="J405" s="201">
        <f t="shared" si="129"/>
        <v>46755</v>
      </c>
      <c r="K405" s="201">
        <f t="shared" si="129"/>
        <v>47121</v>
      </c>
      <c r="L405" s="201">
        <f t="shared" si="129"/>
        <v>47487</v>
      </c>
      <c r="M405" s="201">
        <f t="shared" si="129"/>
        <v>47853</v>
      </c>
      <c r="N405" s="201">
        <f t="shared" si="129"/>
        <v>48219</v>
      </c>
      <c r="O405" s="201">
        <f t="shared" si="129"/>
        <v>48585</v>
      </c>
      <c r="P405" s="201">
        <f t="shared" si="129"/>
        <v>48951</v>
      </c>
      <c r="Q405" s="201">
        <f t="shared" si="129"/>
        <v>49317</v>
      </c>
      <c r="R405" s="201">
        <f t="shared" si="129"/>
        <v>49683</v>
      </c>
      <c r="S405" s="201">
        <f t="shared" si="129"/>
        <v>50049</v>
      </c>
      <c r="T405" s="201">
        <f t="shared" si="129"/>
        <v>50415</v>
      </c>
      <c r="U405" s="201">
        <f t="shared" si="129"/>
        <v>50781</v>
      </c>
      <c r="V405" s="201">
        <f t="shared" si="129"/>
        <v>51147</v>
      </c>
      <c r="W405" s="201">
        <f t="shared" si="129"/>
        <v>51513</v>
      </c>
      <c r="X405" s="201">
        <f t="shared" si="129"/>
        <v>51879</v>
      </c>
      <c r="Y405" s="201">
        <f t="shared" si="129"/>
        <v>52245</v>
      </c>
      <c r="Z405" s="201">
        <f t="shared" si="129"/>
        <v>52611</v>
      </c>
      <c r="AA405" s="201">
        <f t="shared" si="129"/>
        <v>52977</v>
      </c>
      <c r="AB405" s="201">
        <f t="shared" si="129"/>
        <v>53343</v>
      </c>
      <c r="AC405" s="201">
        <f t="shared" si="129"/>
        <v>53709</v>
      </c>
      <c r="AD405" s="201">
        <f t="shared" si="129"/>
        <v>54075</v>
      </c>
      <c r="AE405" s="201">
        <f t="shared" si="129"/>
        <v>0</v>
      </c>
      <c r="AF405" s="201">
        <f t="shared" si="129"/>
        <v>0</v>
      </c>
      <c r="AG405" s="201">
        <f t="shared" si="129"/>
        <v>0</v>
      </c>
      <c r="AH405" s="201">
        <f t="shared" si="129"/>
        <v>0</v>
      </c>
      <c r="AI405" s="201">
        <f t="shared" si="129"/>
        <v>0</v>
      </c>
      <c r="AJ405" s="201">
        <f t="shared" si="129"/>
        <v>0</v>
      </c>
      <c r="AK405" s="201">
        <f t="shared" si="129"/>
        <v>0</v>
      </c>
    </row>
    <row r="406" spans="3:37">
      <c r="C406" s="430"/>
      <c r="D406" s="430"/>
      <c r="E406" s="428" t="s">
        <v>134</v>
      </c>
      <c r="F406" s="428" t="s">
        <v>134</v>
      </c>
      <c r="G406" s="430"/>
      <c r="H406" s="1141">
        <f t="shared" si="129"/>
        <v>-4</v>
      </c>
      <c r="I406" s="1141">
        <f t="shared" si="129"/>
        <v>-3</v>
      </c>
      <c r="J406" s="1141">
        <f t="shared" si="129"/>
        <v>-2</v>
      </c>
      <c r="K406" s="1141">
        <f t="shared" si="129"/>
        <v>-1</v>
      </c>
      <c r="L406" s="1141">
        <f t="shared" si="129"/>
        <v>1</v>
      </c>
      <c r="M406" s="1141">
        <f t="shared" si="129"/>
        <v>2</v>
      </c>
      <c r="N406" s="1141">
        <f t="shared" si="129"/>
        <v>3</v>
      </c>
      <c r="O406" s="1141">
        <f t="shared" si="129"/>
        <v>4</v>
      </c>
      <c r="P406" s="1141">
        <f t="shared" si="129"/>
        <v>5</v>
      </c>
      <c r="Q406" s="1141">
        <f t="shared" si="129"/>
        <v>6</v>
      </c>
      <c r="R406" s="1141">
        <f t="shared" si="129"/>
        <v>7</v>
      </c>
      <c r="S406" s="1141">
        <f t="shared" si="129"/>
        <v>8</v>
      </c>
      <c r="T406" s="1141">
        <f t="shared" si="129"/>
        <v>9</v>
      </c>
      <c r="U406" s="1141">
        <f t="shared" si="129"/>
        <v>10</v>
      </c>
      <c r="V406" s="1141">
        <f t="shared" si="129"/>
        <v>11</v>
      </c>
      <c r="W406" s="1141">
        <f t="shared" si="129"/>
        <v>12</v>
      </c>
      <c r="X406" s="1141">
        <f t="shared" si="129"/>
        <v>13</v>
      </c>
      <c r="Y406" s="1141">
        <f t="shared" si="129"/>
        <v>14</v>
      </c>
      <c r="Z406" s="1141">
        <f t="shared" si="129"/>
        <v>15</v>
      </c>
      <c r="AA406" s="1141">
        <f t="shared" si="129"/>
        <v>16</v>
      </c>
      <c r="AB406" s="1141">
        <f t="shared" si="129"/>
        <v>17</v>
      </c>
      <c r="AC406" s="1141">
        <f t="shared" si="129"/>
        <v>18</v>
      </c>
      <c r="AD406" s="1141">
        <f t="shared" si="129"/>
        <v>19</v>
      </c>
      <c r="AE406" s="1141">
        <f t="shared" si="129"/>
        <v>0</v>
      </c>
      <c r="AF406" s="1141">
        <f t="shared" si="129"/>
        <v>0</v>
      </c>
      <c r="AG406" s="1141">
        <f t="shared" si="129"/>
        <v>0</v>
      </c>
      <c r="AH406" s="1141">
        <f t="shared" si="129"/>
        <v>0</v>
      </c>
      <c r="AI406" s="1141">
        <f t="shared" si="129"/>
        <v>0</v>
      </c>
      <c r="AJ406" s="1141">
        <f t="shared" si="129"/>
        <v>0</v>
      </c>
      <c r="AK406" s="1141">
        <f t="shared" si="129"/>
        <v>0</v>
      </c>
    </row>
    <row r="407" spans="3:37">
      <c r="C407" s="191" t="str">
        <f>C77</f>
        <v>Fire Fighting &amp; Dust Suppression</v>
      </c>
    </row>
    <row r="408" spans="3:37">
      <c r="C408" s="201" cm="1">
        <f t="array" ref="C408:C437">TRANSPOSE(H405:AK405)</f>
        <v>46023</v>
      </c>
      <c r="D408" s="94" t="s">
        <v>134</v>
      </c>
      <c r="E408" s="424">
        <f>HLOOKUP($C408,$H$39:$AP$112,41,FALSE)</f>
        <v>0</v>
      </c>
      <c r="F408" s="209">
        <f>E408*$F$77</f>
        <v>0</v>
      </c>
      <c r="H408" s="424">
        <f>IF(OR(H$405&lt;$C408,H$405&lt;$H$2),0,MIN($E408-SUM($G408:G408),$F408))</f>
        <v>0</v>
      </c>
      <c r="I408" s="424">
        <f>IF(OR(I$405&lt;$C408,I$405&lt;$H$2),0,MIN($E408-SUM($G408:H408),$F408))</f>
        <v>0</v>
      </c>
      <c r="J408" s="424">
        <f>IF(OR(J$405&lt;$C408,J$405&lt;$H$2),0,MIN($E408-SUM($G408:I408),$F408))</f>
        <v>0</v>
      </c>
      <c r="K408" s="424">
        <f>IF(OR(K$405&lt;$C408,K$405&lt;$H$2),0,MIN($E408-SUM($G408:J408),$F408))</f>
        <v>0</v>
      </c>
      <c r="L408" s="424">
        <f>IF(OR(L$405&lt;$C408,L$405&lt;$H$2),0,MIN($E408-SUM($G408:K408),$F408))</f>
        <v>0</v>
      </c>
      <c r="M408" s="424">
        <f>IF(OR(M$405&lt;$C408,M$405&lt;$H$2),0,MIN($E408-SUM($G408:L408),$F408))</f>
        <v>0</v>
      </c>
      <c r="N408" s="424">
        <f>IF(OR(N$405&lt;$C408,N$405&lt;$H$2),0,MIN($E408-SUM($G408:M408),$F408))</f>
        <v>0</v>
      </c>
      <c r="O408" s="424">
        <f>IF(OR(O$405&lt;$C408,O$405&lt;$H$2),0,MIN($E408-SUM($G408:N408),$F408))</f>
        <v>0</v>
      </c>
      <c r="P408" s="424">
        <f>IF(OR(P$405&lt;$C408,P$405&lt;$H$2),0,MIN($E408-SUM($G408:O408),$F408))</f>
        <v>0</v>
      </c>
      <c r="Q408" s="424">
        <f>IF(OR(Q$405&lt;$C408,Q$405&lt;$H$2),0,MIN($E408-SUM($G408:P408),$F408))</f>
        <v>0</v>
      </c>
      <c r="R408" s="424">
        <f>IF(OR(R$405&lt;$C408,R$405&lt;$H$2),0,MIN($E408-SUM($G408:Q408),$F408))</f>
        <v>0</v>
      </c>
      <c r="S408" s="424">
        <f>IF(OR(S$405&lt;$C408,S$405&lt;$H$2),0,MIN($E408-SUM($G408:R408),$F408))</f>
        <v>0</v>
      </c>
      <c r="T408" s="424">
        <f>IF(OR(T$405&lt;$C408,T$405&lt;$H$2),0,MIN($E408-SUM($G408:S408),$F408))</f>
        <v>0</v>
      </c>
      <c r="U408" s="424">
        <f>IF(OR(U$405&lt;$C408,U$405&lt;$H$2),0,MIN($E408-SUM($G408:T408),$F408))</f>
        <v>0</v>
      </c>
      <c r="V408" s="424">
        <f>IF(OR(V$405&lt;$C408,V$405&lt;$H$2),0,MIN($E408-SUM($G408:U408),$F408))</f>
        <v>0</v>
      </c>
      <c r="W408" s="424">
        <f>IF(OR(W$405&lt;$C408,W$405&lt;$H$2),0,MIN($E408-SUM($G408:V408),$F408))</f>
        <v>0</v>
      </c>
      <c r="X408" s="424">
        <f>IF(OR(X$405&lt;$C408,X$405&lt;$H$2),0,MIN($E408-SUM($G408:W408),$F408))</f>
        <v>0</v>
      </c>
      <c r="Y408" s="424">
        <f>IF(OR(Y$405&lt;$C408,Y$405&lt;$H$2),0,MIN($E408-SUM($G408:X408),$F408))</f>
        <v>0</v>
      </c>
      <c r="Z408" s="424">
        <f>IF(OR(Z$405&lt;$C408,Z$405&lt;$H$2),0,MIN($E408-SUM($G408:Y408),$F408))</f>
        <v>0</v>
      </c>
      <c r="AA408" s="424">
        <f>IF(OR(AA$405&lt;$C408,AA$405&lt;$H$2),0,MIN($E408-SUM($G408:Z408),$F408))</f>
        <v>0</v>
      </c>
      <c r="AB408" s="424">
        <f>IF(OR(AB$405&lt;$C408,AB$405&lt;$H$2),0,MIN($E408-SUM($G408:AA408),$F408))</f>
        <v>0</v>
      </c>
      <c r="AC408" s="424">
        <f>IF(OR(AC$405&lt;$C408,AC$405&lt;$H$2),0,MIN($E408-SUM($G408:AB408),$F408))</f>
        <v>0</v>
      </c>
      <c r="AD408" s="424">
        <f>IF(OR(AD$405&lt;$C408,AD$405&lt;$H$2),0,MIN($E408-SUM($G408:AC408),$F408))</f>
        <v>0</v>
      </c>
      <c r="AE408" s="424">
        <f>IF(OR(AE$405&lt;$C408,AE$405&lt;$H$2),0,MIN($E408-SUM($G408:AD408),$F408))</f>
        <v>0</v>
      </c>
      <c r="AF408" s="424">
        <f>IF(OR(AF$405&lt;$C408,AF$405&lt;$H$2),0,MIN($E408-SUM($G408:AE408),$F408))</f>
        <v>0</v>
      </c>
      <c r="AG408" s="424">
        <f>IF(OR(AG$405&lt;$C408,AG$405&lt;$H$2),0,MIN($E408-SUM($G408:AF408),$F408))</f>
        <v>0</v>
      </c>
      <c r="AH408" s="424">
        <f>IF(OR(AH$405&lt;$C408,AH$405&lt;$H$2),0,MIN($E408-SUM($G408:AG408),$F408))</f>
        <v>0</v>
      </c>
      <c r="AI408" s="424">
        <f>IF(OR(AI$405&lt;$C408,AI$405&lt;$H$2),0,MIN($E408-SUM($G408:AH408),$F408))</f>
        <v>0</v>
      </c>
      <c r="AJ408" s="424">
        <f>IF(OR(AJ$405&lt;$C408,AJ$405&lt;$H$2),0,MIN($E408-SUM($G408:AI408),$F408))</f>
        <v>0</v>
      </c>
      <c r="AK408" s="424">
        <f>IF(OR(AK$405&lt;$C408,AK$405&lt;$H$2),0,MIN($E408-SUM($G408:AJ408),$F408))</f>
        <v>0</v>
      </c>
    </row>
    <row r="409" spans="3:37">
      <c r="C409" s="201">
        <v>46389</v>
      </c>
      <c r="D409" s="94" t="s">
        <v>134</v>
      </c>
      <c r="E409" s="424">
        <f t="shared" ref="E409:E437" si="130">HLOOKUP($C409,$H$39:$AP$112,41,FALSE)</f>
        <v>0</v>
      </c>
      <c r="F409" s="209">
        <f t="shared" ref="F409:F437" si="131">E409*$F$77</f>
        <v>0</v>
      </c>
      <c r="H409" s="424">
        <f>IF(OR(H$405&lt;$C409,H$405&lt;$H$2),0,MIN($E409-SUM($G409:G409),$F409))</f>
        <v>0</v>
      </c>
      <c r="I409" s="424">
        <f>IF(OR(I$405&lt;$C409,I$405&lt;$H$2),0,MIN($E409-SUM($G409:H409),$F409))</f>
        <v>0</v>
      </c>
      <c r="J409" s="424">
        <f>IF(OR(J$405&lt;$C409,J$405&lt;$H$2),0,MIN($E409-SUM($G409:I409),$F409))</f>
        <v>0</v>
      </c>
      <c r="K409" s="424">
        <f>IF(OR(K$405&lt;$C409,K$405&lt;$H$2),0,MIN($E409-SUM($G409:J409),$F409))</f>
        <v>0</v>
      </c>
      <c r="L409" s="424">
        <f>IF(OR(L$405&lt;$C409,L$405&lt;$H$2),0,MIN($E409-SUM($G409:K409),$F409))</f>
        <v>0</v>
      </c>
      <c r="M409" s="424">
        <f>IF(OR(M$405&lt;$C409,M$405&lt;$H$2),0,MIN($E409-SUM($G409:L409),$F409))</f>
        <v>0</v>
      </c>
      <c r="N409" s="424">
        <f>IF(OR(N$405&lt;$C409,N$405&lt;$H$2),0,MIN($E409-SUM($G409:M409),$F409))</f>
        <v>0</v>
      </c>
      <c r="O409" s="424">
        <f>IF(OR(O$405&lt;$C409,O$405&lt;$H$2),0,MIN($E409-SUM($G409:N409),$F409))</f>
        <v>0</v>
      </c>
      <c r="P409" s="424">
        <f>IF(OR(P$405&lt;$C409,P$405&lt;$H$2),0,MIN($E409-SUM($G409:O409),$F409))</f>
        <v>0</v>
      </c>
      <c r="Q409" s="424">
        <f>IF(OR(Q$405&lt;$C409,Q$405&lt;$H$2),0,MIN($E409-SUM($G409:P409),$F409))</f>
        <v>0</v>
      </c>
      <c r="R409" s="424">
        <f>IF(OR(R$405&lt;$C409,R$405&lt;$H$2),0,MIN($E409-SUM($G409:Q409),$F409))</f>
        <v>0</v>
      </c>
      <c r="S409" s="424">
        <f>IF(OR(S$405&lt;$C409,S$405&lt;$H$2),0,MIN($E409-SUM($G409:R409),$F409))</f>
        <v>0</v>
      </c>
      <c r="T409" s="424">
        <f>IF(OR(T$405&lt;$C409,T$405&lt;$H$2),0,MIN($E409-SUM($G409:S409),$F409))</f>
        <v>0</v>
      </c>
      <c r="U409" s="424">
        <f>IF(OR(U$405&lt;$C409,U$405&lt;$H$2),0,MIN($E409-SUM($G409:T409),$F409))</f>
        <v>0</v>
      </c>
      <c r="V409" s="424">
        <f>IF(OR(V$405&lt;$C409,V$405&lt;$H$2),0,MIN($E409-SUM($G409:U409),$F409))</f>
        <v>0</v>
      </c>
      <c r="W409" s="424">
        <f>IF(OR(W$405&lt;$C409,W$405&lt;$H$2),0,MIN($E409-SUM($G409:V409),$F409))</f>
        <v>0</v>
      </c>
      <c r="X409" s="424">
        <f>IF(OR(X$405&lt;$C409,X$405&lt;$H$2),0,MIN($E409-SUM($G409:W409),$F409))</f>
        <v>0</v>
      </c>
      <c r="Y409" s="424">
        <f>IF(OR(Y$405&lt;$C409,Y$405&lt;$H$2),0,MIN($E409-SUM($G409:X409),$F409))</f>
        <v>0</v>
      </c>
      <c r="Z409" s="424">
        <f>IF(OR(Z$405&lt;$C409,Z$405&lt;$H$2),0,MIN($E409-SUM($G409:Y409),$F409))</f>
        <v>0</v>
      </c>
      <c r="AA409" s="424">
        <f>IF(OR(AA$405&lt;$C409,AA$405&lt;$H$2),0,MIN($E409-SUM($G409:Z409),$F409))</f>
        <v>0</v>
      </c>
      <c r="AB409" s="424">
        <f>IF(OR(AB$405&lt;$C409,AB$405&lt;$H$2),0,MIN($E409-SUM($G409:AA409),$F409))</f>
        <v>0</v>
      </c>
      <c r="AC409" s="424">
        <f>IF(OR(AC$405&lt;$C409,AC$405&lt;$H$2),0,MIN($E409-SUM($G409:AB409),$F409))</f>
        <v>0</v>
      </c>
      <c r="AD409" s="424">
        <f>IF(OR(AD$405&lt;$C409,AD$405&lt;$H$2),0,MIN($E409-SUM($G409:AC409),$F409))</f>
        <v>0</v>
      </c>
      <c r="AE409" s="424">
        <f>IF(OR(AE$405&lt;$C409,AE$405&lt;$H$2),0,MIN($E409-SUM($G409:AD409),$F409))</f>
        <v>0</v>
      </c>
      <c r="AF409" s="424">
        <f>IF(OR(AF$405&lt;$C409,AF$405&lt;$H$2),0,MIN($E409-SUM($G409:AE409),$F409))</f>
        <v>0</v>
      </c>
      <c r="AG409" s="424">
        <f>IF(OR(AG$405&lt;$C409,AG$405&lt;$H$2),0,MIN($E409-SUM($G409:AF409),$F409))</f>
        <v>0</v>
      </c>
      <c r="AH409" s="424">
        <f>IF(OR(AH$405&lt;$C409,AH$405&lt;$H$2),0,MIN($E409-SUM($G409:AG409),$F409))</f>
        <v>0</v>
      </c>
      <c r="AI409" s="424">
        <f>IF(OR(AI$405&lt;$C409,AI$405&lt;$H$2),0,MIN($E409-SUM($G409:AH409),$F409))</f>
        <v>0</v>
      </c>
      <c r="AJ409" s="424">
        <f>IF(OR(AJ$405&lt;$C409,AJ$405&lt;$H$2),0,MIN($E409-SUM($G409:AI409),$F409))</f>
        <v>0</v>
      </c>
      <c r="AK409" s="424">
        <f>IF(OR(AK$405&lt;$C409,AK$405&lt;$H$2),0,MIN($E409-SUM($G409:AJ409),$F409))</f>
        <v>0</v>
      </c>
    </row>
    <row r="410" spans="3:37">
      <c r="C410" s="201">
        <v>46755</v>
      </c>
      <c r="D410" s="94" t="s">
        <v>134</v>
      </c>
      <c r="E410" s="424">
        <f t="shared" si="130"/>
        <v>0</v>
      </c>
      <c r="F410" s="209">
        <f t="shared" si="131"/>
        <v>0</v>
      </c>
      <c r="H410" s="424">
        <f>IF(OR(H$405&lt;$C410,H$405&lt;$H$2),0,MIN($E410-SUM($G410:G410),$F410))</f>
        <v>0</v>
      </c>
      <c r="I410" s="424">
        <f>IF(OR(I$405&lt;$C410,I$405&lt;$H$2),0,MIN($E410-SUM($G410:H410),$F410))</f>
        <v>0</v>
      </c>
      <c r="J410" s="424">
        <f>IF(OR(J$405&lt;$C410,J$405&lt;$H$2),0,MIN($E410-SUM($G410:I410),$F410))</f>
        <v>0</v>
      </c>
      <c r="K410" s="424">
        <f>IF(OR(K$405&lt;$C410,K$405&lt;$H$2),0,MIN($E410-SUM($G410:J410),$F410))</f>
        <v>0</v>
      </c>
      <c r="L410" s="424">
        <f>IF(OR(L$405&lt;$C410,L$405&lt;$H$2),0,MIN($E410-SUM($G410:K410),$F410))</f>
        <v>0</v>
      </c>
      <c r="M410" s="424">
        <f>IF(OR(M$405&lt;$C410,M$405&lt;$H$2),0,MIN($E410-SUM($G410:L410),$F410))</f>
        <v>0</v>
      </c>
      <c r="N410" s="424">
        <f>IF(OR(N$405&lt;$C410,N$405&lt;$H$2),0,MIN($E410-SUM($G410:M410),$F410))</f>
        <v>0</v>
      </c>
      <c r="O410" s="424">
        <f>IF(OR(O$405&lt;$C410,O$405&lt;$H$2),0,MIN($E410-SUM($G410:N410),$F410))</f>
        <v>0</v>
      </c>
      <c r="P410" s="424">
        <f>IF(OR(P$405&lt;$C410,P$405&lt;$H$2),0,MIN($E410-SUM($G410:O410),$F410))</f>
        <v>0</v>
      </c>
      <c r="Q410" s="424">
        <f>IF(OR(Q$405&lt;$C410,Q$405&lt;$H$2),0,MIN($E410-SUM($G410:P410),$F410))</f>
        <v>0</v>
      </c>
      <c r="R410" s="424">
        <f>IF(OR(R$405&lt;$C410,R$405&lt;$H$2),0,MIN($E410-SUM($G410:Q410),$F410))</f>
        <v>0</v>
      </c>
      <c r="S410" s="424">
        <f>IF(OR(S$405&lt;$C410,S$405&lt;$H$2),0,MIN($E410-SUM($G410:R410),$F410))</f>
        <v>0</v>
      </c>
      <c r="T410" s="424">
        <f>IF(OR(T$405&lt;$C410,T$405&lt;$H$2),0,MIN($E410-SUM($G410:S410),$F410))</f>
        <v>0</v>
      </c>
      <c r="U410" s="424">
        <f>IF(OR(U$405&lt;$C410,U$405&lt;$H$2),0,MIN($E410-SUM($G410:T410),$F410))</f>
        <v>0</v>
      </c>
      <c r="V410" s="424">
        <f>IF(OR(V$405&lt;$C410,V$405&lt;$H$2),0,MIN($E410-SUM($G410:U410),$F410))</f>
        <v>0</v>
      </c>
      <c r="W410" s="424">
        <f>IF(OR(W$405&lt;$C410,W$405&lt;$H$2),0,MIN($E410-SUM($G410:V410),$F410))</f>
        <v>0</v>
      </c>
      <c r="X410" s="424">
        <f>IF(OR(X$405&lt;$C410,X$405&lt;$H$2),0,MIN($E410-SUM($G410:W410),$F410))</f>
        <v>0</v>
      </c>
      <c r="Y410" s="424">
        <f>IF(OR(Y$405&lt;$C410,Y$405&lt;$H$2),0,MIN($E410-SUM($G410:X410),$F410))</f>
        <v>0</v>
      </c>
      <c r="Z410" s="424">
        <f>IF(OR(Z$405&lt;$C410,Z$405&lt;$H$2),0,MIN($E410-SUM($G410:Y410),$F410))</f>
        <v>0</v>
      </c>
      <c r="AA410" s="424">
        <f>IF(OR(AA$405&lt;$C410,AA$405&lt;$H$2),0,MIN($E410-SUM($G410:Z410),$F410))</f>
        <v>0</v>
      </c>
      <c r="AB410" s="424">
        <f>IF(OR(AB$405&lt;$C410,AB$405&lt;$H$2),0,MIN($E410-SUM($G410:AA410),$F410))</f>
        <v>0</v>
      </c>
      <c r="AC410" s="424">
        <f>IF(OR(AC$405&lt;$C410,AC$405&lt;$H$2),0,MIN($E410-SUM($G410:AB410),$F410))</f>
        <v>0</v>
      </c>
      <c r="AD410" s="424">
        <f>IF(OR(AD$405&lt;$C410,AD$405&lt;$H$2),0,MIN($E410-SUM($G410:AC410),$F410))</f>
        <v>0</v>
      </c>
      <c r="AE410" s="424">
        <f>IF(OR(AE$405&lt;$C410,AE$405&lt;$H$2),0,MIN($E410-SUM($G410:AD410),$F410))</f>
        <v>0</v>
      </c>
      <c r="AF410" s="424">
        <f>IF(OR(AF$405&lt;$C410,AF$405&lt;$H$2),0,MIN($E410-SUM($G410:AE410),$F410))</f>
        <v>0</v>
      </c>
      <c r="AG410" s="424">
        <f>IF(OR(AG$405&lt;$C410,AG$405&lt;$H$2),0,MIN($E410-SUM($G410:AF410),$F410))</f>
        <v>0</v>
      </c>
      <c r="AH410" s="424">
        <f>IF(OR(AH$405&lt;$C410,AH$405&lt;$H$2),0,MIN($E410-SUM($G410:AG410),$F410))</f>
        <v>0</v>
      </c>
      <c r="AI410" s="424">
        <f>IF(OR(AI$405&lt;$C410,AI$405&lt;$H$2),0,MIN($E410-SUM($G410:AH410),$F410))</f>
        <v>0</v>
      </c>
      <c r="AJ410" s="424">
        <f>IF(OR(AJ$405&lt;$C410,AJ$405&lt;$H$2),0,MIN($E410-SUM($G410:AI410),$F410))</f>
        <v>0</v>
      </c>
      <c r="AK410" s="424">
        <f>IF(OR(AK$405&lt;$C410,AK$405&lt;$H$2),0,MIN($E410-SUM($G410:AJ410),$F410))</f>
        <v>0</v>
      </c>
    </row>
    <row r="411" spans="3:37">
      <c r="C411" s="201">
        <v>47121</v>
      </c>
      <c r="D411" s="94" t="s">
        <v>134</v>
      </c>
      <c r="E411" s="424">
        <f t="shared" si="130"/>
        <v>0</v>
      </c>
      <c r="F411" s="209">
        <f t="shared" si="131"/>
        <v>0</v>
      </c>
      <c r="H411" s="424">
        <f>IF(OR(H$405&lt;$C411,H$405&lt;$H$2),0,MIN($E411-SUM($G411:G411),$F411))</f>
        <v>0</v>
      </c>
      <c r="I411" s="424">
        <f>IF(OR(I$405&lt;$C411,I$405&lt;$H$2),0,MIN($E411-SUM($G411:H411),$F411))</f>
        <v>0</v>
      </c>
      <c r="J411" s="424">
        <f>IF(OR(J$405&lt;$C411,J$405&lt;$H$2),0,MIN($E411-SUM($G411:I411),$F411))</f>
        <v>0</v>
      </c>
      <c r="K411" s="424">
        <f>IF(OR(K$405&lt;$C411,K$405&lt;$H$2),0,MIN($E411-SUM($G411:J411),$F411))</f>
        <v>0</v>
      </c>
      <c r="L411" s="424">
        <f>IF(OR(L$405&lt;$C411,L$405&lt;$H$2),0,MIN($E411-SUM($G411:K411),$F411))</f>
        <v>0</v>
      </c>
      <c r="M411" s="424">
        <f>IF(OR(M$405&lt;$C411,M$405&lt;$H$2),0,MIN($E411-SUM($G411:L411),$F411))</f>
        <v>0</v>
      </c>
      <c r="N411" s="424">
        <f>IF(OR(N$405&lt;$C411,N$405&lt;$H$2),0,MIN($E411-SUM($G411:M411),$F411))</f>
        <v>0</v>
      </c>
      <c r="O411" s="424">
        <f>IF(OR(O$405&lt;$C411,O$405&lt;$H$2),0,MIN($E411-SUM($G411:N411),$F411))</f>
        <v>0</v>
      </c>
      <c r="P411" s="424">
        <f>IF(OR(P$405&lt;$C411,P$405&lt;$H$2),0,MIN($E411-SUM($G411:O411),$F411))</f>
        <v>0</v>
      </c>
      <c r="Q411" s="424">
        <f>IF(OR(Q$405&lt;$C411,Q$405&lt;$H$2),0,MIN($E411-SUM($G411:P411),$F411))</f>
        <v>0</v>
      </c>
      <c r="R411" s="424">
        <f>IF(OR(R$405&lt;$C411,R$405&lt;$H$2),0,MIN($E411-SUM($G411:Q411),$F411))</f>
        <v>0</v>
      </c>
      <c r="S411" s="424">
        <f>IF(OR(S$405&lt;$C411,S$405&lt;$H$2),0,MIN($E411-SUM($G411:R411),$F411))</f>
        <v>0</v>
      </c>
      <c r="T411" s="424">
        <f>IF(OR(T$405&lt;$C411,T$405&lt;$H$2),0,MIN($E411-SUM($G411:S411),$F411))</f>
        <v>0</v>
      </c>
      <c r="U411" s="424">
        <f>IF(OR(U$405&lt;$C411,U$405&lt;$H$2),0,MIN($E411-SUM($G411:T411),$F411))</f>
        <v>0</v>
      </c>
      <c r="V411" s="424">
        <f>IF(OR(V$405&lt;$C411,V$405&lt;$H$2),0,MIN($E411-SUM($G411:U411),$F411))</f>
        <v>0</v>
      </c>
      <c r="W411" s="424">
        <f>IF(OR(W$405&lt;$C411,W$405&lt;$H$2),0,MIN($E411-SUM($G411:V411),$F411))</f>
        <v>0</v>
      </c>
      <c r="X411" s="424">
        <f>IF(OR(X$405&lt;$C411,X$405&lt;$H$2),0,MIN($E411-SUM($G411:W411),$F411))</f>
        <v>0</v>
      </c>
      <c r="Y411" s="424">
        <f>IF(OR(Y$405&lt;$C411,Y$405&lt;$H$2),0,MIN($E411-SUM($G411:X411),$F411))</f>
        <v>0</v>
      </c>
      <c r="Z411" s="424">
        <f>IF(OR(Z$405&lt;$C411,Z$405&lt;$H$2),0,MIN($E411-SUM($G411:Y411),$F411))</f>
        <v>0</v>
      </c>
      <c r="AA411" s="424">
        <f>IF(OR(AA$405&lt;$C411,AA$405&lt;$H$2),0,MIN($E411-SUM($G411:Z411),$F411))</f>
        <v>0</v>
      </c>
      <c r="AB411" s="424">
        <f>IF(OR(AB$405&lt;$C411,AB$405&lt;$H$2),0,MIN($E411-SUM($G411:AA411),$F411))</f>
        <v>0</v>
      </c>
      <c r="AC411" s="424">
        <f>IF(OR(AC$405&lt;$C411,AC$405&lt;$H$2),0,MIN($E411-SUM($G411:AB411),$F411))</f>
        <v>0</v>
      </c>
      <c r="AD411" s="424">
        <f>IF(OR(AD$405&lt;$C411,AD$405&lt;$H$2),0,MIN($E411-SUM($G411:AC411),$F411))</f>
        <v>0</v>
      </c>
      <c r="AE411" s="424">
        <f>IF(OR(AE$405&lt;$C411,AE$405&lt;$H$2),0,MIN($E411-SUM($G411:AD411),$F411))</f>
        <v>0</v>
      </c>
      <c r="AF411" s="424">
        <f>IF(OR(AF$405&lt;$C411,AF$405&lt;$H$2),0,MIN($E411-SUM($G411:AE411),$F411))</f>
        <v>0</v>
      </c>
      <c r="AG411" s="424">
        <f>IF(OR(AG$405&lt;$C411,AG$405&lt;$H$2),0,MIN($E411-SUM($G411:AF411),$F411))</f>
        <v>0</v>
      </c>
      <c r="AH411" s="424">
        <f>IF(OR(AH$405&lt;$C411,AH$405&lt;$H$2),0,MIN($E411-SUM($G411:AG411),$F411))</f>
        <v>0</v>
      </c>
      <c r="AI411" s="424">
        <f>IF(OR(AI$405&lt;$C411,AI$405&lt;$H$2),0,MIN($E411-SUM($G411:AH411),$F411))</f>
        <v>0</v>
      </c>
      <c r="AJ411" s="424">
        <f>IF(OR(AJ$405&lt;$C411,AJ$405&lt;$H$2),0,MIN($E411-SUM($G411:AI411),$F411))</f>
        <v>0</v>
      </c>
      <c r="AK411" s="424">
        <f>IF(OR(AK$405&lt;$C411,AK$405&lt;$H$2),0,MIN($E411-SUM($G411:AJ411),$F411))</f>
        <v>0</v>
      </c>
    </row>
    <row r="412" spans="3:37">
      <c r="C412" s="201">
        <v>47487</v>
      </c>
      <c r="D412" s="94" t="s">
        <v>134</v>
      </c>
      <c r="E412" s="424">
        <f t="shared" si="130"/>
        <v>0</v>
      </c>
      <c r="F412" s="209">
        <f t="shared" si="131"/>
        <v>0</v>
      </c>
      <c r="H412" s="424">
        <f>IF(OR(H$405&lt;$C412,H$405&lt;$H$2),0,MIN($E412-SUM($G412:G412),$F412))</f>
        <v>0</v>
      </c>
      <c r="I412" s="424">
        <f>IF(OR(I$405&lt;$C412,I$405&lt;$H$2),0,MIN($E412-SUM($G412:H412),$F412))</f>
        <v>0</v>
      </c>
      <c r="J412" s="424">
        <f>IF(OR(J$405&lt;$C412,J$405&lt;$H$2),0,MIN($E412-SUM($G412:I412),$F412))</f>
        <v>0</v>
      </c>
      <c r="K412" s="424">
        <f>IF(OR(K$405&lt;$C412,K$405&lt;$H$2),0,MIN($E412-SUM($G412:J412),$F412))</f>
        <v>0</v>
      </c>
      <c r="L412" s="424">
        <f>IF(OR(L$405&lt;$C412,L$405&lt;$H$2),0,MIN($E412-SUM($G412:K412),$F412))</f>
        <v>0</v>
      </c>
      <c r="M412" s="424">
        <f>IF(OR(M$405&lt;$C412,M$405&lt;$H$2),0,MIN($E412-SUM($G412:L412),$F412))</f>
        <v>0</v>
      </c>
      <c r="N412" s="424">
        <f>IF(OR(N$405&lt;$C412,N$405&lt;$H$2),0,MIN($E412-SUM($G412:M412),$F412))</f>
        <v>0</v>
      </c>
      <c r="O412" s="424">
        <f>IF(OR(O$405&lt;$C412,O$405&lt;$H$2),0,MIN($E412-SUM($G412:N412),$F412))</f>
        <v>0</v>
      </c>
      <c r="P412" s="424">
        <f>IF(OR(P$405&lt;$C412,P$405&lt;$H$2),0,MIN($E412-SUM($G412:O412),$F412))</f>
        <v>0</v>
      </c>
      <c r="Q412" s="424">
        <f>IF(OR(Q$405&lt;$C412,Q$405&lt;$H$2),0,MIN($E412-SUM($G412:P412),$F412))</f>
        <v>0</v>
      </c>
      <c r="R412" s="424">
        <f>IF(OR(R$405&lt;$C412,R$405&lt;$H$2),0,MIN($E412-SUM($G412:Q412),$F412))</f>
        <v>0</v>
      </c>
      <c r="S412" s="424">
        <f>IF(OR(S$405&lt;$C412,S$405&lt;$H$2),0,MIN($E412-SUM($G412:R412),$F412))</f>
        <v>0</v>
      </c>
      <c r="T412" s="424">
        <f>IF(OR(T$405&lt;$C412,T$405&lt;$H$2),0,MIN($E412-SUM($G412:S412),$F412))</f>
        <v>0</v>
      </c>
      <c r="U412" s="424">
        <f>IF(OR(U$405&lt;$C412,U$405&lt;$H$2),0,MIN($E412-SUM($G412:T412),$F412))</f>
        <v>0</v>
      </c>
      <c r="V412" s="424">
        <f>IF(OR(V$405&lt;$C412,V$405&lt;$H$2),0,MIN($E412-SUM($G412:U412),$F412))</f>
        <v>0</v>
      </c>
      <c r="W412" s="424">
        <f>IF(OR(W$405&lt;$C412,W$405&lt;$H$2),0,MIN($E412-SUM($G412:V412),$F412))</f>
        <v>0</v>
      </c>
      <c r="X412" s="424">
        <f>IF(OR(X$405&lt;$C412,X$405&lt;$H$2),0,MIN($E412-SUM($G412:W412),$F412))</f>
        <v>0</v>
      </c>
      <c r="Y412" s="424">
        <f>IF(OR(Y$405&lt;$C412,Y$405&lt;$H$2),0,MIN($E412-SUM($G412:X412),$F412))</f>
        <v>0</v>
      </c>
      <c r="Z412" s="424">
        <f>IF(OR(Z$405&lt;$C412,Z$405&lt;$H$2),0,MIN($E412-SUM($G412:Y412),$F412))</f>
        <v>0</v>
      </c>
      <c r="AA412" s="424">
        <f>IF(OR(AA$405&lt;$C412,AA$405&lt;$H$2),0,MIN($E412-SUM($G412:Z412),$F412))</f>
        <v>0</v>
      </c>
      <c r="AB412" s="424">
        <f>IF(OR(AB$405&lt;$C412,AB$405&lt;$H$2),0,MIN($E412-SUM($G412:AA412),$F412))</f>
        <v>0</v>
      </c>
      <c r="AC412" s="424">
        <f>IF(OR(AC$405&lt;$C412,AC$405&lt;$H$2),0,MIN($E412-SUM($G412:AB412),$F412))</f>
        <v>0</v>
      </c>
      <c r="AD412" s="424">
        <f>IF(OR(AD$405&lt;$C412,AD$405&lt;$H$2),0,MIN($E412-SUM($G412:AC412),$F412))</f>
        <v>0</v>
      </c>
      <c r="AE412" s="424">
        <f>IF(OR(AE$405&lt;$C412,AE$405&lt;$H$2),0,MIN($E412-SUM($G412:AD412),$F412))</f>
        <v>0</v>
      </c>
      <c r="AF412" s="424">
        <f>IF(OR(AF$405&lt;$C412,AF$405&lt;$H$2),0,MIN($E412-SUM($G412:AE412),$F412))</f>
        <v>0</v>
      </c>
      <c r="AG412" s="424">
        <f>IF(OR(AG$405&lt;$C412,AG$405&lt;$H$2),0,MIN($E412-SUM($G412:AF412),$F412))</f>
        <v>0</v>
      </c>
      <c r="AH412" s="424">
        <f>IF(OR(AH$405&lt;$C412,AH$405&lt;$H$2),0,MIN($E412-SUM($G412:AG412),$F412))</f>
        <v>0</v>
      </c>
      <c r="AI412" s="424">
        <f>IF(OR(AI$405&lt;$C412,AI$405&lt;$H$2),0,MIN($E412-SUM($G412:AH412),$F412))</f>
        <v>0</v>
      </c>
      <c r="AJ412" s="424">
        <f>IF(OR(AJ$405&lt;$C412,AJ$405&lt;$H$2),0,MIN($E412-SUM($G412:AI412),$F412))</f>
        <v>0</v>
      </c>
      <c r="AK412" s="424">
        <f>IF(OR(AK$405&lt;$C412,AK$405&lt;$H$2),0,MIN($E412-SUM($G412:AJ412),$F412))</f>
        <v>0</v>
      </c>
    </row>
    <row r="413" spans="3:37">
      <c r="C413" s="201">
        <v>47853</v>
      </c>
      <c r="D413" s="94" t="s">
        <v>134</v>
      </c>
      <c r="E413" s="424">
        <f t="shared" si="130"/>
        <v>0</v>
      </c>
      <c r="F413" s="209">
        <f t="shared" si="131"/>
        <v>0</v>
      </c>
      <c r="H413" s="424">
        <f>IF(OR(H$405&lt;$C413,H$405&lt;$H$2),0,MIN($E413-SUM($G413:G413),$F413))</f>
        <v>0</v>
      </c>
      <c r="I413" s="424">
        <f>IF(OR(I$405&lt;$C413,I$405&lt;$H$2),0,MIN($E413-SUM($G413:H413),$F413))</f>
        <v>0</v>
      </c>
      <c r="J413" s="424">
        <f>IF(OR(J$405&lt;$C413,J$405&lt;$H$2),0,MIN($E413-SUM($G413:I413),$F413))</f>
        <v>0</v>
      </c>
      <c r="K413" s="424">
        <f>IF(OR(K$405&lt;$C413,K$405&lt;$H$2),0,MIN($E413-SUM($G413:J413),$F413))</f>
        <v>0</v>
      </c>
      <c r="L413" s="424">
        <f>IF(OR(L$405&lt;$C413,L$405&lt;$H$2),0,MIN($E413-SUM($G413:K413),$F413))</f>
        <v>0</v>
      </c>
      <c r="M413" s="424">
        <f>IF(OR(M$405&lt;$C413,M$405&lt;$H$2),0,MIN($E413-SUM($G413:L413),$F413))</f>
        <v>0</v>
      </c>
      <c r="N413" s="424">
        <f>IF(OR(N$405&lt;$C413,N$405&lt;$H$2),0,MIN($E413-SUM($G413:M413),$F413))</f>
        <v>0</v>
      </c>
      <c r="O413" s="424">
        <f>IF(OR(O$405&lt;$C413,O$405&lt;$H$2),0,MIN($E413-SUM($G413:N413),$F413))</f>
        <v>0</v>
      </c>
      <c r="P413" s="424">
        <f>IF(OR(P$405&lt;$C413,P$405&lt;$H$2),0,MIN($E413-SUM($G413:O413),$F413))</f>
        <v>0</v>
      </c>
      <c r="Q413" s="424">
        <f>IF(OR(Q$405&lt;$C413,Q$405&lt;$H$2),0,MIN($E413-SUM($G413:P413),$F413))</f>
        <v>0</v>
      </c>
      <c r="R413" s="424">
        <f>IF(OR(R$405&lt;$C413,R$405&lt;$H$2),0,MIN($E413-SUM($G413:Q413),$F413))</f>
        <v>0</v>
      </c>
      <c r="S413" s="424">
        <f>IF(OR(S$405&lt;$C413,S$405&lt;$H$2),0,MIN($E413-SUM($G413:R413),$F413))</f>
        <v>0</v>
      </c>
      <c r="T413" s="424">
        <f>IF(OR(T$405&lt;$C413,T$405&lt;$H$2),0,MIN($E413-SUM($G413:S413),$F413))</f>
        <v>0</v>
      </c>
      <c r="U413" s="424">
        <f>IF(OR(U$405&lt;$C413,U$405&lt;$H$2),0,MIN($E413-SUM($G413:T413),$F413))</f>
        <v>0</v>
      </c>
      <c r="V413" s="424">
        <f>IF(OR(V$405&lt;$C413,V$405&lt;$H$2),0,MIN($E413-SUM($G413:U413),$F413))</f>
        <v>0</v>
      </c>
      <c r="W413" s="424">
        <f>IF(OR(W$405&lt;$C413,W$405&lt;$H$2),0,MIN($E413-SUM($G413:V413),$F413))</f>
        <v>0</v>
      </c>
      <c r="X413" s="424">
        <f>IF(OR(X$405&lt;$C413,X$405&lt;$H$2),0,MIN($E413-SUM($G413:W413),$F413))</f>
        <v>0</v>
      </c>
      <c r="Y413" s="424">
        <f>IF(OR(Y$405&lt;$C413,Y$405&lt;$H$2),0,MIN($E413-SUM($G413:X413),$F413))</f>
        <v>0</v>
      </c>
      <c r="Z413" s="424">
        <f>IF(OR(Z$405&lt;$C413,Z$405&lt;$H$2),0,MIN($E413-SUM($G413:Y413),$F413))</f>
        <v>0</v>
      </c>
      <c r="AA413" s="424">
        <f>IF(OR(AA$405&lt;$C413,AA$405&lt;$H$2),0,MIN($E413-SUM($G413:Z413),$F413))</f>
        <v>0</v>
      </c>
      <c r="AB413" s="424">
        <f>IF(OR(AB$405&lt;$C413,AB$405&lt;$H$2),0,MIN($E413-SUM($G413:AA413),$F413))</f>
        <v>0</v>
      </c>
      <c r="AC413" s="424">
        <f>IF(OR(AC$405&lt;$C413,AC$405&lt;$H$2),0,MIN($E413-SUM($G413:AB413),$F413))</f>
        <v>0</v>
      </c>
      <c r="AD413" s="424">
        <f>IF(OR(AD$405&lt;$C413,AD$405&lt;$H$2),0,MIN($E413-SUM($G413:AC413),$F413))</f>
        <v>0</v>
      </c>
      <c r="AE413" s="424">
        <f>IF(OR(AE$405&lt;$C413,AE$405&lt;$H$2),0,MIN($E413-SUM($G413:AD413),$F413))</f>
        <v>0</v>
      </c>
      <c r="AF413" s="424">
        <f>IF(OR(AF$405&lt;$C413,AF$405&lt;$H$2),0,MIN($E413-SUM($G413:AE413),$F413))</f>
        <v>0</v>
      </c>
      <c r="AG413" s="424">
        <f>IF(OR(AG$405&lt;$C413,AG$405&lt;$H$2),0,MIN($E413-SUM($G413:AF413),$F413))</f>
        <v>0</v>
      </c>
      <c r="AH413" s="424">
        <f>IF(OR(AH$405&lt;$C413,AH$405&lt;$H$2),0,MIN($E413-SUM($G413:AG413),$F413))</f>
        <v>0</v>
      </c>
      <c r="AI413" s="424">
        <f>IF(OR(AI$405&lt;$C413,AI$405&lt;$H$2),0,MIN($E413-SUM($G413:AH413),$F413))</f>
        <v>0</v>
      </c>
      <c r="AJ413" s="424">
        <f>IF(OR(AJ$405&lt;$C413,AJ$405&lt;$H$2),0,MIN($E413-SUM($G413:AI413),$F413))</f>
        <v>0</v>
      </c>
      <c r="AK413" s="424">
        <f>IF(OR(AK$405&lt;$C413,AK$405&lt;$H$2),0,MIN($E413-SUM($G413:AJ413),$F413))</f>
        <v>0</v>
      </c>
    </row>
    <row r="414" spans="3:37">
      <c r="C414" s="201">
        <v>48219</v>
      </c>
      <c r="D414" s="94" t="s">
        <v>134</v>
      </c>
      <c r="E414" s="424">
        <f t="shared" si="130"/>
        <v>0</v>
      </c>
      <c r="F414" s="209">
        <f t="shared" si="131"/>
        <v>0</v>
      </c>
      <c r="H414" s="424">
        <f>IF(OR(H$405&lt;$C414,H$405&lt;$H$2),0,MIN($E414-SUM($G414:G414),$F414))</f>
        <v>0</v>
      </c>
      <c r="I414" s="424">
        <f>IF(OR(I$405&lt;$C414,I$405&lt;$H$2),0,MIN($E414-SUM($G414:H414),$F414))</f>
        <v>0</v>
      </c>
      <c r="J414" s="424">
        <f>IF(OR(J$405&lt;$C414,J$405&lt;$H$2),0,MIN($E414-SUM($G414:I414),$F414))</f>
        <v>0</v>
      </c>
      <c r="K414" s="424">
        <f>IF(OR(K$405&lt;$C414,K$405&lt;$H$2),0,MIN($E414-SUM($G414:J414),$F414))</f>
        <v>0</v>
      </c>
      <c r="L414" s="424">
        <f>IF(OR(L$405&lt;$C414,L$405&lt;$H$2),0,MIN($E414-SUM($G414:K414),$F414))</f>
        <v>0</v>
      </c>
      <c r="M414" s="424">
        <f>IF(OR(M$405&lt;$C414,M$405&lt;$H$2),0,MIN($E414-SUM($G414:L414),$F414))</f>
        <v>0</v>
      </c>
      <c r="N414" s="424">
        <f>IF(OR(N$405&lt;$C414,N$405&lt;$H$2),0,MIN($E414-SUM($G414:M414),$F414))</f>
        <v>0</v>
      </c>
      <c r="O414" s="424">
        <f>IF(OR(O$405&lt;$C414,O$405&lt;$H$2),0,MIN($E414-SUM($G414:N414),$F414))</f>
        <v>0</v>
      </c>
      <c r="P414" s="424">
        <f>IF(OR(P$405&lt;$C414,P$405&lt;$H$2),0,MIN($E414-SUM($G414:O414),$F414))</f>
        <v>0</v>
      </c>
      <c r="Q414" s="424">
        <f>IF(OR(Q$405&lt;$C414,Q$405&lt;$H$2),0,MIN($E414-SUM($G414:P414),$F414))</f>
        <v>0</v>
      </c>
      <c r="R414" s="424">
        <f>IF(OR(R$405&lt;$C414,R$405&lt;$H$2),0,MIN($E414-SUM($G414:Q414),$F414))</f>
        <v>0</v>
      </c>
      <c r="S414" s="424">
        <f>IF(OR(S$405&lt;$C414,S$405&lt;$H$2),0,MIN($E414-SUM($G414:R414),$F414))</f>
        <v>0</v>
      </c>
      <c r="T414" s="424">
        <f>IF(OR(T$405&lt;$C414,T$405&lt;$H$2),0,MIN($E414-SUM($G414:S414),$F414))</f>
        <v>0</v>
      </c>
      <c r="U414" s="424">
        <f>IF(OR(U$405&lt;$C414,U$405&lt;$H$2),0,MIN($E414-SUM($G414:T414),$F414))</f>
        <v>0</v>
      </c>
      <c r="V414" s="424">
        <f>IF(OR(V$405&lt;$C414,V$405&lt;$H$2),0,MIN($E414-SUM($G414:U414),$F414))</f>
        <v>0</v>
      </c>
      <c r="W414" s="424">
        <f>IF(OR(W$405&lt;$C414,W$405&lt;$H$2),0,MIN($E414-SUM($G414:V414),$F414))</f>
        <v>0</v>
      </c>
      <c r="X414" s="424">
        <f>IF(OR(X$405&lt;$C414,X$405&lt;$H$2),0,MIN($E414-SUM($G414:W414),$F414))</f>
        <v>0</v>
      </c>
      <c r="Y414" s="424">
        <f>IF(OR(Y$405&lt;$C414,Y$405&lt;$H$2),0,MIN($E414-SUM($G414:X414),$F414))</f>
        <v>0</v>
      </c>
      <c r="Z414" s="424">
        <f>IF(OR(Z$405&lt;$C414,Z$405&lt;$H$2),0,MIN($E414-SUM($G414:Y414),$F414))</f>
        <v>0</v>
      </c>
      <c r="AA414" s="424">
        <f>IF(OR(AA$405&lt;$C414,AA$405&lt;$H$2),0,MIN($E414-SUM($G414:Z414),$F414))</f>
        <v>0</v>
      </c>
      <c r="AB414" s="424">
        <f>IF(OR(AB$405&lt;$C414,AB$405&lt;$H$2),0,MIN($E414-SUM($G414:AA414),$F414))</f>
        <v>0</v>
      </c>
      <c r="AC414" s="424">
        <f>IF(OR(AC$405&lt;$C414,AC$405&lt;$H$2),0,MIN($E414-SUM($G414:AB414),$F414))</f>
        <v>0</v>
      </c>
      <c r="AD414" s="424">
        <f>IF(OR(AD$405&lt;$C414,AD$405&lt;$H$2),0,MIN($E414-SUM($G414:AC414),$F414))</f>
        <v>0</v>
      </c>
      <c r="AE414" s="424">
        <f>IF(OR(AE$405&lt;$C414,AE$405&lt;$H$2),0,MIN($E414-SUM($G414:AD414),$F414))</f>
        <v>0</v>
      </c>
      <c r="AF414" s="424">
        <f>IF(OR(AF$405&lt;$C414,AF$405&lt;$H$2),0,MIN($E414-SUM($G414:AE414),$F414))</f>
        <v>0</v>
      </c>
      <c r="AG414" s="424">
        <f>IF(OR(AG$405&lt;$C414,AG$405&lt;$H$2),0,MIN($E414-SUM($G414:AF414),$F414))</f>
        <v>0</v>
      </c>
      <c r="AH414" s="424">
        <f>IF(OR(AH$405&lt;$C414,AH$405&lt;$H$2),0,MIN($E414-SUM($G414:AG414),$F414))</f>
        <v>0</v>
      </c>
      <c r="AI414" s="424">
        <f>IF(OR(AI$405&lt;$C414,AI$405&lt;$H$2),0,MIN($E414-SUM($G414:AH414),$F414))</f>
        <v>0</v>
      </c>
      <c r="AJ414" s="424">
        <f>IF(OR(AJ$405&lt;$C414,AJ$405&lt;$H$2),0,MIN($E414-SUM($G414:AI414),$F414))</f>
        <v>0</v>
      </c>
      <c r="AK414" s="424">
        <f>IF(OR(AK$405&lt;$C414,AK$405&lt;$H$2),0,MIN($E414-SUM($G414:AJ414),$F414))</f>
        <v>0</v>
      </c>
    </row>
    <row r="415" spans="3:37">
      <c r="C415" s="201">
        <v>48585</v>
      </c>
      <c r="D415" s="94" t="s">
        <v>134</v>
      </c>
      <c r="E415" s="424">
        <f t="shared" si="130"/>
        <v>0</v>
      </c>
      <c r="F415" s="209">
        <f t="shared" si="131"/>
        <v>0</v>
      </c>
      <c r="H415" s="424">
        <f>IF(OR(H$405&lt;$C415,H$405&lt;$H$2),0,MIN($E415-SUM($G415:G415),$F415))</f>
        <v>0</v>
      </c>
      <c r="I415" s="424">
        <f>IF(OR(I$405&lt;$C415,I$405&lt;$H$2),0,MIN($E415-SUM($G415:H415),$F415))</f>
        <v>0</v>
      </c>
      <c r="J415" s="424">
        <f>IF(OR(J$405&lt;$C415,J$405&lt;$H$2),0,MIN($E415-SUM($G415:I415),$F415))</f>
        <v>0</v>
      </c>
      <c r="K415" s="424">
        <f>IF(OR(K$405&lt;$C415,K$405&lt;$H$2),0,MIN($E415-SUM($G415:J415),$F415))</f>
        <v>0</v>
      </c>
      <c r="L415" s="424">
        <f>IF(OR(L$405&lt;$C415,L$405&lt;$H$2),0,MIN($E415-SUM($G415:K415),$F415))</f>
        <v>0</v>
      </c>
      <c r="M415" s="424">
        <f>IF(OR(M$405&lt;$C415,M$405&lt;$H$2),0,MIN($E415-SUM($G415:L415),$F415))</f>
        <v>0</v>
      </c>
      <c r="N415" s="424">
        <f>IF(OR(N$405&lt;$C415,N$405&lt;$H$2),0,MIN($E415-SUM($G415:M415),$F415))</f>
        <v>0</v>
      </c>
      <c r="O415" s="424">
        <f>IF(OR(O$405&lt;$C415,O$405&lt;$H$2),0,MIN($E415-SUM($G415:N415),$F415))</f>
        <v>0</v>
      </c>
      <c r="P415" s="424">
        <f>IF(OR(P$405&lt;$C415,P$405&lt;$H$2),0,MIN($E415-SUM($G415:O415),$F415))</f>
        <v>0</v>
      </c>
      <c r="Q415" s="424">
        <f>IF(OR(Q$405&lt;$C415,Q$405&lt;$H$2),0,MIN($E415-SUM($G415:P415),$F415))</f>
        <v>0</v>
      </c>
      <c r="R415" s="424">
        <f>IF(OR(R$405&lt;$C415,R$405&lt;$H$2),0,MIN($E415-SUM($G415:Q415),$F415))</f>
        <v>0</v>
      </c>
      <c r="S415" s="424">
        <f>IF(OR(S$405&lt;$C415,S$405&lt;$H$2),0,MIN($E415-SUM($G415:R415),$F415))</f>
        <v>0</v>
      </c>
      <c r="T415" s="424">
        <f>IF(OR(T$405&lt;$C415,T$405&lt;$H$2),0,MIN($E415-SUM($G415:S415),$F415))</f>
        <v>0</v>
      </c>
      <c r="U415" s="424">
        <f>IF(OR(U$405&lt;$C415,U$405&lt;$H$2),0,MIN($E415-SUM($G415:T415),$F415))</f>
        <v>0</v>
      </c>
      <c r="V415" s="424">
        <f>IF(OR(V$405&lt;$C415,V$405&lt;$H$2),0,MIN($E415-SUM($G415:U415),$F415))</f>
        <v>0</v>
      </c>
      <c r="W415" s="424">
        <f>IF(OR(W$405&lt;$C415,W$405&lt;$H$2),0,MIN($E415-SUM($G415:V415),$F415))</f>
        <v>0</v>
      </c>
      <c r="X415" s="424">
        <f>IF(OR(X$405&lt;$C415,X$405&lt;$H$2),0,MIN($E415-SUM($G415:W415),$F415))</f>
        <v>0</v>
      </c>
      <c r="Y415" s="424">
        <f>IF(OR(Y$405&lt;$C415,Y$405&lt;$H$2),0,MIN($E415-SUM($G415:X415),$F415))</f>
        <v>0</v>
      </c>
      <c r="Z415" s="424">
        <f>IF(OR(Z$405&lt;$C415,Z$405&lt;$H$2),0,MIN($E415-SUM($G415:Y415),$F415))</f>
        <v>0</v>
      </c>
      <c r="AA415" s="424">
        <f>IF(OR(AA$405&lt;$C415,AA$405&lt;$H$2),0,MIN($E415-SUM($G415:Z415),$F415))</f>
        <v>0</v>
      </c>
      <c r="AB415" s="424">
        <f>IF(OR(AB$405&lt;$C415,AB$405&lt;$H$2),0,MIN($E415-SUM($G415:AA415),$F415))</f>
        <v>0</v>
      </c>
      <c r="AC415" s="424">
        <f>IF(OR(AC$405&lt;$C415,AC$405&lt;$H$2),0,MIN($E415-SUM($G415:AB415),$F415))</f>
        <v>0</v>
      </c>
      <c r="AD415" s="424">
        <f>IF(OR(AD$405&lt;$C415,AD$405&lt;$H$2),0,MIN($E415-SUM($G415:AC415),$F415))</f>
        <v>0</v>
      </c>
      <c r="AE415" s="424">
        <f>IF(OR(AE$405&lt;$C415,AE$405&lt;$H$2),0,MIN($E415-SUM($G415:AD415),$F415))</f>
        <v>0</v>
      </c>
      <c r="AF415" s="424">
        <f>IF(OR(AF$405&lt;$C415,AF$405&lt;$H$2),0,MIN($E415-SUM($G415:AE415),$F415))</f>
        <v>0</v>
      </c>
      <c r="AG415" s="424">
        <f>IF(OR(AG$405&lt;$C415,AG$405&lt;$H$2),0,MIN($E415-SUM($G415:AF415),$F415))</f>
        <v>0</v>
      </c>
      <c r="AH415" s="424">
        <f>IF(OR(AH$405&lt;$C415,AH$405&lt;$H$2),0,MIN($E415-SUM($G415:AG415),$F415))</f>
        <v>0</v>
      </c>
      <c r="AI415" s="424">
        <f>IF(OR(AI$405&lt;$C415,AI$405&lt;$H$2),0,MIN($E415-SUM($G415:AH415),$F415))</f>
        <v>0</v>
      </c>
      <c r="AJ415" s="424">
        <f>IF(OR(AJ$405&lt;$C415,AJ$405&lt;$H$2),0,MIN($E415-SUM($G415:AI415),$F415))</f>
        <v>0</v>
      </c>
      <c r="AK415" s="424">
        <f>IF(OR(AK$405&lt;$C415,AK$405&lt;$H$2),0,MIN($E415-SUM($G415:AJ415),$F415))</f>
        <v>0</v>
      </c>
    </row>
    <row r="416" spans="3:37">
      <c r="C416" s="201">
        <v>48951</v>
      </c>
      <c r="D416" s="94" t="s">
        <v>134</v>
      </c>
      <c r="E416" s="424">
        <f t="shared" si="130"/>
        <v>0</v>
      </c>
      <c r="F416" s="209">
        <f t="shared" si="131"/>
        <v>0</v>
      </c>
      <c r="H416" s="424">
        <f>IF(OR(H$405&lt;$C416,H$405&lt;$H$2),0,MIN($E416-SUM($G416:G416),$F416))</f>
        <v>0</v>
      </c>
      <c r="I416" s="424">
        <f>IF(OR(I$405&lt;$C416,I$405&lt;$H$2),0,MIN($E416-SUM($G416:H416),$F416))</f>
        <v>0</v>
      </c>
      <c r="J416" s="424">
        <f>IF(OR(J$405&lt;$C416,J$405&lt;$H$2),0,MIN($E416-SUM($G416:I416),$F416))</f>
        <v>0</v>
      </c>
      <c r="K416" s="424">
        <f>IF(OR(K$405&lt;$C416,K$405&lt;$H$2),0,MIN($E416-SUM($G416:J416),$F416))</f>
        <v>0</v>
      </c>
      <c r="L416" s="424">
        <f>IF(OR(L$405&lt;$C416,L$405&lt;$H$2),0,MIN($E416-SUM($G416:K416),$F416))</f>
        <v>0</v>
      </c>
      <c r="M416" s="424">
        <f>IF(OR(M$405&lt;$C416,M$405&lt;$H$2),0,MIN($E416-SUM($G416:L416),$F416))</f>
        <v>0</v>
      </c>
      <c r="N416" s="424">
        <f>IF(OR(N$405&lt;$C416,N$405&lt;$H$2),0,MIN($E416-SUM($G416:M416),$F416))</f>
        <v>0</v>
      </c>
      <c r="O416" s="424">
        <f>IF(OR(O$405&lt;$C416,O$405&lt;$H$2),0,MIN($E416-SUM($G416:N416),$F416))</f>
        <v>0</v>
      </c>
      <c r="P416" s="424">
        <f>IF(OR(P$405&lt;$C416,P$405&lt;$H$2),0,MIN($E416-SUM($G416:O416),$F416))</f>
        <v>0</v>
      </c>
      <c r="Q416" s="424">
        <f>IF(OR(Q$405&lt;$C416,Q$405&lt;$H$2),0,MIN($E416-SUM($G416:P416),$F416))</f>
        <v>0</v>
      </c>
      <c r="R416" s="424">
        <f>IF(OR(R$405&lt;$C416,R$405&lt;$H$2),0,MIN($E416-SUM($G416:Q416),$F416))</f>
        <v>0</v>
      </c>
      <c r="S416" s="424">
        <f>IF(OR(S$405&lt;$C416,S$405&lt;$H$2),0,MIN($E416-SUM($G416:R416),$F416))</f>
        <v>0</v>
      </c>
      <c r="T416" s="424">
        <f>IF(OR(T$405&lt;$C416,T$405&lt;$H$2),0,MIN($E416-SUM($G416:S416),$F416))</f>
        <v>0</v>
      </c>
      <c r="U416" s="424">
        <f>IF(OR(U$405&lt;$C416,U$405&lt;$H$2),0,MIN($E416-SUM($G416:T416),$F416))</f>
        <v>0</v>
      </c>
      <c r="V416" s="424">
        <f>IF(OR(V$405&lt;$C416,V$405&lt;$H$2),0,MIN($E416-SUM($G416:U416),$F416))</f>
        <v>0</v>
      </c>
      <c r="W416" s="424">
        <f>IF(OR(W$405&lt;$C416,W$405&lt;$H$2),0,MIN($E416-SUM($G416:V416),$F416))</f>
        <v>0</v>
      </c>
      <c r="X416" s="424">
        <f>IF(OR(X$405&lt;$C416,X$405&lt;$H$2),0,MIN($E416-SUM($G416:W416),$F416))</f>
        <v>0</v>
      </c>
      <c r="Y416" s="424">
        <f>IF(OR(Y$405&lt;$C416,Y$405&lt;$H$2),0,MIN($E416-SUM($G416:X416),$F416))</f>
        <v>0</v>
      </c>
      <c r="Z416" s="424">
        <f>IF(OR(Z$405&lt;$C416,Z$405&lt;$H$2),0,MIN($E416-SUM($G416:Y416),$F416))</f>
        <v>0</v>
      </c>
      <c r="AA416" s="424">
        <f>IF(OR(AA$405&lt;$C416,AA$405&lt;$H$2),0,MIN($E416-SUM($G416:Z416),$F416))</f>
        <v>0</v>
      </c>
      <c r="AB416" s="424">
        <f>IF(OR(AB$405&lt;$C416,AB$405&lt;$H$2),0,MIN($E416-SUM($G416:AA416),$F416))</f>
        <v>0</v>
      </c>
      <c r="AC416" s="424">
        <f>IF(OR(AC$405&lt;$C416,AC$405&lt;$H$2),0,MIN($E416-SUM($G416:AB416),$F416))</f>
        <v>0</v>
      </c>
      <c r="AD416" s="424">
        <f>IF(OR(AD$405&lt;$C416,AD$405&lt;$H$2),0,MIN($E416-SUM($G416:AC416),$F416))</f>
        <v>0</v>
      </c>
      <c r="AE416" s="424">
        <f>IF(OR(AE$405&lt;$C416,AE$405&lt;$H$2),0,MIN($E416-SUM($G416:AD416),$F416))</f>
        <v>0</v>
      </c>
      <c r="AF416" s="424">
        <f>IF(OR(AF$405&lt;$C416,AF$405&lt;$H$2),0,MIN($E416-SUM($G416:AE416),$F416))</f>
        <v>0</v>
      </c>
      <c r="AG416" s="424">
        <f>IF(OR(AG$405&lt;$C416,AG$405&lt;$H$2),0,MIN($E416-SUM($G416:AF416),$F416))</f>
        <v>0</v>
      </c>
      <c r="AH416" s="424">
        <f>IF(OR(AH$405&lt;$C416,AH$405&lt;$H$2),0,MIN($E416-SUM($G416:AG416),$F416))</f>
        <v>0</v>
      </c>
      <c r="AI416" s="424">
        <f>IF(OR(AI$405&lt;$C416,AI$405&lt;$H$2),0,MIN($E416-SUM($G416:AH416),$F416))</f>
        <v>0</v>
      </c>
      <c r="AJ416" s="424">
        <f>IF(OR(AJ$405&lt;$C416,AJ$405&lt;$H$2),0,MIN($E416-SUM($G416:AI416),$F416))</f>
        <v>0</v>
      </c>
      <c r="AK416" s="424">
        <f>IF(OR(AK$405&lt;$C416,AK$405&lt;$H$2),0,MIN($E416-SUM($G416:AJ416),$F416))</f>
        <v>0</v>
      </c>
    </row>
    <row r="417" spans="3:37">
      <c r="C417" s="201">
        <v>49317</v>
      </c>
      <c r="D417" s="94" t="s">
        <v>134</v>
      </c>
      <c r="E417" s="424">
        <f t="shared" si="130"/>
        <v>0</v>
      </c>
      <c r="F417" s="209">
        <f t="shared" si="131"/>
        <v>0</v>
      </c>
      <c r="H417" s="424">
        <f>IF(OR(H$405&lt;$C417,H$405&lt;$H$2),0,MIN($E417-SUM($G417:G417),$F417))</f>
        <v>0</v>
      </c>
      <c r="I417" s="424">
        <f>IF(OR(I$405&lt;$C417,I$405&lt;$H$2),0,MIN($E417-SUM($G417:H417),$F417))</f>
        <v>0</v>
      </c>
      <c r="J417" s="424">
        <f>IF(OR(J$405&lt;$C417,J$405&lt;$H$2),0,MIN($E417-SUM($G417:I417),$F417))</f>
        <v>0</v>
      </c>
      <c r="K417" s="424">
        <f>IF(OR(K$405&lt;$C417,K$405&lt;$H$2),0,MIN($E417-SUM($G417:J417),$F417))</f>
        <v>0</v>
      </c>
      <c r="L417" s="424">
        <f>IF(OR(L$405&lt;$C417,L$405&lt;$H$2),0,MIN($E417-SUM($G417:K417),$F417))</f>
        <v>0</v>
      </c>
      <c r="M417" s="424">
        <f>IF(OR(M$405&lt;$C417,M$405&lt;$H$2),0,MIN($E417-SUM($G417:L417),$F417))</f>
        <v>0</v>
      </c>
      <c r="N417" s="424">
        <f>IF(OR(N$405&lt;$C417,N$405&lt;$H$2),0,MIN($E417-SUM($G417:M417),$F417))</f>
        <v>0</v>
      </c>
      <c r="O417" s="424">
        <f>IF(OR(O$405&lt;$C417,O$405&lt;$H$2),0,MIN($E417-SUM($G417:N417),$F417))</f>
        <v>0</v>
      </c>
      <c r="P417" s="424">
        <f>IF(OR(P$405&lt;$C417,P$405&lt;$H$2),0,MIN($E417-SUM($G417:O417),$F417))</f>
        <v>0</v>
      </c>
      <c r="Q417" s="424">
        <f>IF(OR(Q$405&lt;$C417,Q$405&lt;$H$2),0,MIN($E417-SUM($G417:P417),$F417))</f>
        <v>0</v>
      </c>
      <c r="R417" s="424">
        <f>IF(OR(R$405&lt;$C417,R$405&lt;$H$2),0,MIN($E417-SUM($G417:Q417),$F417))</f>
        <v>0</v>
      </c>
      <c r="S417" s="424">
        <f>IF(OR(S$405&lt;$C417,S$405&lt;$H$2),0,MIN($E417-SUM($G417:R417),$F417))</f>
        <v>0</v>
      </c>
      <c r="T417" s="424">
        <f>IF(OR(T$405&lt;$C417,T$405&lt;$H$2),0,MIN($E417-SUM($G417:S417),$F417))</f>
        <v>0</v>
      </c>
      <c r="U417" s="424">
        <f>IF(OR(U$405&lt;$C417,U$405&lt;$H$2),0,MIN($E417-SUM($G417:T417),$F417))</f>
        <v>0</v>
      </c>
      <c r="V417" s="424">
        <f>IF(OR(V$405&lt;$C417,V$405&lt;$H$2),0,MIN($E417-SUM($G417:U417),$F417))</f>
        <v>0</v>
      </c>
      <c r="W417" s="424">
        <f>IF(OR(W$405&lt;$C417,W$405&lt;$H$2),0,MIN($E417-SUM($G417:V417),$F417))</f>
        <v>0</v>
      </c>
      <c r="X417" s="424">
        <f>IF(OR(X$405&lt;$C417,X$405&lt;$H$2),0,MIN($E417-SUM($G417:W417),$F417))</f>
        <v>0</v>
      </c>
      <c r="Y417" s="424">
        <f>IF(OR(Y$405&lt;$C417,Y$405&lt;$H$2),0,MIN($E417-SUM($G417:X417),$F417))</f>
        <v>0</v>
      </c>
      <c r="Z417" s="424">
        <f>IF(OR(Z$405&lt;$C417,Z$405&lt;$H$2),0,MIN($E417-SUM($G417:Y417),$F417))</f>
        <v>0</v>
      </c>
      <c r="AA417" s="424">
        <f>IF(OR(AA$405&lt;$C417,AA$405&lt;$H$2),0,MIN($E417-SUM($G417:Z417),$F417))</f>
        <v>0</v>
      </c>
      <c r="AB417" s="424">
        <f>IF(OR(AB$405&lt;$C417,AB$405&lt;$H$2),0,MIN($E417-SUM($G417:AA417),$F417))</f>
        <v>0</v>
      </c>
      <c r="AC417" s="424">
        <f>IF(OR(AC$405&lt;$C417,AC$405&lt;$H$2),0,MIN($E417-SUM($G417:AB417),$F417))</f>
        <v>0</v>
      </c>
      <c r="AD417" s="424">
        <f>IF(OR(AD$405&lt;$C417,AD$405&lt;$H$2),0,MIN($E417-SUM($G417:AC417),$F417))</f>
        <v>0</v>
      </c>
      <c r="AE417" s="424">
        <f>IF(OR(AE$405&lt;$C417,AE$405&lt;$H$2),0,MIN($E417-SUM($G417:AD417),$F417))</f>
        <v>0</v>
      </c>
      <c r="AF417" s="424">
        <f>IF(OR(AF$405&lt;$C417,AF$405&lt;$H$2),0,MIN($E417-SUM($G417:AE417),$F417))</f>
        <v>0</v>
      </c>
      <c r="AG417" s="424">
        <f>IF(OR(AG$405&lt;$C417,AG$405&lt;$H$2),0,MIN($E417-SUM($G417:AF417),$F417))</f>
        <v>0</v>
      </c>
      <c r="AH417" s="424">
        <f>IF(OR(AH$405&lt;$C417,AH$405&lt;$H$2),0,MIN($E417-SUM($G417:AG417),$F417))</f>
        <v>0</v>
      </c>
      <c r="AI417" s="424">
        <f>IF(OR(AI$405&lt;$C417,AI$405&lt;$H$2),0,MIN($E417-SUM($G417:AH417),$F417))</f>
        <v>0</v>
      </c>
      <c r="AJ417" s="424">
        <f>IF(OR(AJ$405&lt;$C417,AJ$405&lt;$H$2),0,MIN($E417-SUM($G417:AI417),$F417))</f>
        <v>0</v>
      </c>
      <c r="AK417" s="424">
        <f>IF(OR(AK$405&lt;$C417,AK$405&lt;$H$2),0,MIN($E417-SUM($G417:AJ417),$F417))</f>
        <v>0</v>
      </c>
    </row>
    <row r="418" spans="3:37">
      <c r="C418" s="201">
        <v>49683</v>
      </c>
      <c r="D418" s="94" t="s">
        <v>134</v>
      </c>
      <c r="E418" s="424">
        <f t="shared" si="130"/>
        <v>0</v>
      </c>
      <c r="F418" s="209">
        <f t="shared" si="131"/>
        <v>0</v>
      </c>
      <c r="H418" s="424">
        <f>IF(OR(H$405&lt;$C418,H$405&lt;$H$2),0,MIN($E418-SUM($G418:G418),$F418))</f>
        <v>0</v>
      </c>
      <c r="I418" s="424">
        <f>IF(OR(I$405&lt;$C418,I$405&lt;$H$2),0,MIN($E418-SUM($G418:H418),$F418))</f>
        <v>0</v>
      </c>
      <c r="J418" s="424">
        <f>IF(OR(J$405&lt;$C418,J$405&lt;$H$2),0,MIN($E418-SUM($G418:I418),$F418))</f>
        <v>0</v>
      </c>
      <c r="K418" s="424">
        <f>IF(OR(K$405&lt;$C418,K$405&lt;$H$2),0,MIN($E418-SUM($G418:J418),$F418))</f>
        <v>0</v>
      </c>
      <c r="L418" s="424">
        <f>IF(OR(L$405&lt;$C418,L$405&lt;$H$2),0,MIN($E418-SUM($G418:K418),$F418))</f>
        <v>0</v>
      </c>
      <c r="M418" s="424">
        <f>IF(OR(M$405&lt;$C418,M$405&lt;$H$2),0,MIN($E418-SUM($G418:L418),$F418))</f>
        <v>0</v>
      </c>
      <c r="N418" s="424">
        <f>IF(OR(N$405&lt;$C418,N$405&lt;$H$2),0,MIN($E418-SUM($G418:M418),$F418))</f>
        <v>0</v>
      </c>
      <c r="O418" s="424">
        <f>IF(OR(O$405&lt;$C418,O$405&lt;$H$2),0,MIN($E418-SUM($G418:N418),$F418))</f>
        <v>0</v>
      </c>
      <c r="P418" s="424">
        <f>IF(OR(P$405&lt;$C418,P$405&lt;$H$2),0,MIN($E418-SUM($G418:O418),$F418))</f>
        <v>0</v>
      </c>
      <c r="Q418" s="424">
        <f>IF(OR(Q$405&lt;$C418,Q$405&lt;$H$2),0,MIN($E418-SUM($G418:P418),$F418))</f>
        <v>0</v>
      </c>
      <c r="R418" s="424">
        <f>IF(OR(R$405&lt;$C418,R$405&lt;$H$2),0,MIN($E418-SUM($G418:Q418),$F418))</f>
        <v>0</v>
      </c>
      <c r="S418" s="424">
        <f>IF(OR(S$405&lt;$C418,S$405&lt;$H$2),0,MIN($E418-SUM($G418:R418),$F418))</f>
        <v>0</v>
      </c>
      <c r="T418" s="424">
        <f>IF(OR(T$405&lt;$C418,T$405&lt;$H$2),0,MIN($E418-SUM($G418:S418),$F418))</f>
        <v>0</v>
      </c>
      <c r="U418" s="424">
        <f>IF(OR(U$405&lt;$C418,U$405&lt;$H$2),0,MIN($E418-SUM($G418:T418),$F418))</f>
        <v>0</v>
      </c>
      <c r="V418" s="424">
        <f>IF(OR(V$405&lt;$C418,V$405&lt;$H$2),0,MIN($E418-SUM($G418:U418),$F418))</f>
        <v>0</v>
      </c>
      <c r="W418" s="424">
        <f>IF(OR(W$405&lt;$C418,W$405&lt;$H$2),0,MIN($E418-SUM($G418:V418),$F418))</f>
        <v>0</v>
      </c>
      <c r="X418" s="424">
        <f>IF(OR(X$405&lt;$C418,X$405&lt;$H$2),0,MIN($E418-SUM($G418:W418),$F418))</f>
        <v>0</v>
      </c>
      <c r="Y418" s="424">
        <f>IF(OR(Y$405&lt;$C418,Y$405&lt;$H$2),0,MIN($E418-SUM($G418:X418),$F418))</f>
        <v>0</v>
      </c>
      <c r="Z418" s="424">
        <f>IF(OR(Z$405&lt;$C418,Z$405&lt;$H$2),0,MIN($E418-SUM($G418:Y418),$F418))</f>
        <v>0</v>
      </c>
      <c r="AA418" s="424">
        <f>IF(OR(AA$405&lt;$C418,AA$405&lt;$H$2),0,MIN($E418-SUM($G418:Z418),$F418))</f>
        <v>0</v>
      </c>
      <c r="AB418" s="424">
        <f>IF(OR(AB$405&lt;$C418,AB$405&lt;$H$2),0,MIN($E418-SUM($G418:AA418),$F418))</f>
        <v>0</v>
      </c>
      <c r="AC418" s="424">
        <f>IF(OR(AC$405&lt;$C418,AC$405&lt;$H$2),0,MIN($E418-SUM($G418:AB418),$F418))</f>
        <v>0</v>
      </c>
      <c r="AD418" s="424">
        <f>IF(OR(AD$405&lt;$C418,AD$405&lt;$H$2),0,MIN($E418-SUM($G418:AC418),$F418))</f>
        <v>0</v>
      </c>
      <c r="AE418" s="424">
        <f>IF(OR(AE$405&lt;$C418,AE$405&lt;$H$2),0,MIN($E418-SUM($G418:AD418),$F418))</f>
        <v>0</v>
      </c>
      <c r="AF418" s="424">
        <f>IF(OR(AF$405&lt;$C418,AF$405&lt;$H$2),0,MIN($E418-SUM($G418:AE418),$F418))</f>
        <v>0</v>
      </c>
      <c r="AG418" s="424">
        <f>IF(OR(AG$405&lt;$C418,AG$405&lt;$H$2),0,MIN($E418-SUM($G418:AF418),$F418))</f>
        <v>0</v>
      </c>
      <c r="AH418" s="424">
        <f>IF(OR(AH$405&lt;$C418,AH$405&lt;$H$2),0,MIN($E418-SUM($G418:AG418),$F418))</f>
        <v>0</v>
      </c>
      <c r="AI418" s="424">
        <f>IF(OR(AI$405&lt;$C418,AI$405&lt;$H$2),0,MIN($E418-SUM($G418:AH418),$F418))</f>
        <v>0</v>
      </c>
      <c r="AJ418" s="424">
        <f>IF(OR(AJ$405&lt;$C418,AJ$405&lt;$H$2),0,MIN($E418-SUM($G418:AI418),$F418))</f>
        <v>0</v>
      </c>
      <c r="AK418" s="424">
        <f>IF(OR(AK$405&lt;$C418,AK$405&lt;$H$2),0,MIN($E418-SUM($G418:AJ418),$F418))</f>
        <v>0</v>
      </c>
    </row>
    <row r="419" spans="3:37">
      <c r="C419" s="201">
        <v>50049</v>
      </c>
      <c r="D419" s="94" t="s">
        <v>134</v>
      </c>
      <c r="E419" s="424">
        <f t="shared" si="130"/>
        <v>0</v>
      </c>
      <c r="F419" s="209">
        <f t="shared" si="131"/>
        <v>0</v>
      </c>
      <c r="H419" s="424">
        <f>IF(OR(H$405&lt;$C419,H$405&lt;$H$2),0,MIN($E419-SUM($G419:G419),$F419))</f>
        <v>0</v>
      </c>
      <c r="I419" s="424">
        <f>IF(OR(I$405&lt;$C419,I$405&lt;$H$2),0,MIN($E419-SUM($G419:H419),$F419))</f>
        <v>0</v>
      </c>
      <c r="J419" s="424">
        <f>IF(OR(J$405&lt;$C419,J$405&lt;$H$2),0,MIN($E419-SUM($G419:I419),$F419))</f>
        <v>0</v>
      </c>
      <c r="K419" s="424">
        <f>IF(OR(K$405&lt;$C419,K$405&lt;$H$2),0,MIN($E419-SUM($G419:J419),$F419))</f>
        <v>0</v>
      </c>
      <c r="L419" s="424">
        <f>IF(OR(L$405&lt;$C419,L$405&lt;$H$2),0,MIN($E419-SUM($G419:K419),$F419))</f>
        <v>0</v>
      </c>
      <c r="M419" s="424">
        <f>IF(OR(M$405&lt;$C419,M$405&lt;$H$2),0,MIN($E419-SUM($G419:L419),$F419))</f>
        <v>0</v>
      </c>
      <c r="N419" s="424">
        <f>IF(OR(N$405&lt;$C419,N$405&lt;$H$2),0,MIN($E419-SUM($G419:M419),$F419))</f>
        <v>0</v>
      </c>
      <c r="O419" s="424">
        <f>IF(OR(O$405&lt;$C419,O$405&lt;$H$2),0,MIN($E419-SUM($G419:N419),$F419))</f>
        <v>0</v>
      </c>
      <c r="P419" s="424">
        <f>IF(OR(P$405&lt;$C419,P$405&lt;$H$2),0,MIN($E419-SUM($G419:O419),$F419))</f>
        <v>0</v>
      </c>
      <c r="Q419" s="424">
        <f>IF(OR(Q$405&lt;$C419,Q$405&lt;$H$2),0,MIN($E419-SUM($G419:P419),$F419))</f>
        <v>0</v>
      </c>
      <c r="R419" s="424">
        <f>IF(OR(R$405&lt;$C419,R$405&lt;$H$2),0,MIN($E419-SUM($G419:Q419),$F419))</f>
        <v>0</v>
      </c>
      <c r="S419" s="424">
        <f>IF(OR(S$405&lt;$C419,S$405&lt;$H$2),0,MIN($E419-SUM($G419:R419),$F419))</f>
        <v>0</v>
      </c>
      <c r="T419" s="424">
        <f>IF(OR(T$405&lt;$C419,T$405&lt;$H$2),0,MIN($E419-SUM($G419:S419),$F419))</f>
        <v>0</v>
      </c>
      <c r="U419" s="424">
        <f>IF(OR(U$405&lt;$C419,U$405&lt;$H$2),0,MIN($E419-SUM($G419:T419),$F419))</f>
        <v>0</v>
      </c>
      <c r="V419" s="424">
        <f>IF(OR(V$405&lt;$C419,V$405&lt;$H$2),0,MIN($E419-SUM($G419:U419),$F419))</f>
        <v>0</v>
      </c>
      <c r="W419" s="424">
        <f>IF(OR(W$405&lt;$C419,W$405&lt;$H$2),0,MIN($E419-SUM($G419:V419),$F419))</f>
        <v>0</v>
      </c>
      <c r="X419" s="424">
        <f>IF(OR(X$405&lt;$C419,X$405&lt;$H$2),0,MIN($E419-SUM($G419:W419),$F419))</f>
        <v>0</v>
      </c>
      <c r="Y419" s="424">
        <f>IF(OR(Y$405&lt;$C419,Y$405&lt;$H$2),0,MIN($E419-SUM($G419:X419),$F419))</f>
        <v>0</v>
      </c>
      <c r="Z419" s="424">
        <f>IF(OR(Z$405&lt;$C419,Z$405&lt;$H$2),0,MIN($E419-SUM($G419:Y419),$F419))</f>
        <v>0</v>
      </c>
      <c r="AA419" s="424">
        <f>IF(OR(AA$405&lt;$C419,AA$405&lt;$H$2),0,MIN($E419-SUM($G419:Z419),$F419))</f>
        <v>0</v>
      </c>
      <c r="AB419" s="424">
        <f>IF(OR(AB$405&lt;$C419,AB$405&lt;$H$2),0,MIN($E419-SUM($G419:AA419),$F419))</f>
        <v>0</v>
      </c>
      <c r="AC419" s="424">
        <f>IF(OR(AC$405&lt;$C419,AC$405&lt;$H$2),0,MIN($E419-SUM($G419:AB419),$F419))</f>
        <v>0</v>
      </c>
      <c r="AD419" s="424">
        <f>IF(OR(AD$405&lt;$C419,AD$405&lt;$H$2),0,MIN($E419-SUM($G419:AC419),$F419))</f>
        <v>0</v>
      </c>
      <c r="AE419" s="424">
        <f>IF(OR(AE$405&lt;$C419,AE$405&lt;$H$2),0,MIN($E419-SUM($G419:AD419),$F419))</f>
        <v>0</v>
      </c>
      <c r="AF419" s="424">
        <f>IF(OR(AF$405&lt;$C419,AF$405&lt;$H$2),0,MIN($E419-SUM($G419:AE419),$F419))</f>
        <v>0</v>
      </c>
      <c r="AG419" s="424">
        <f>IF(OR(AG$405&lt;$C419,AG$405&lt;$H$2),0,MIN($E419-SUM($G419:AF419),$F419))</f>
        <v>0</v>
      </c>
      <c r="AH419" s="424">
        <f>IF(OR(AH$405&lt;$C419,AH$405&lt;$H$2),0,MIN($E419-SUM($G419:AG419),$F419))</f>
        <v>0</v>
      </c>
      <c r="AI419" s="424">
        <f>IF(OR(AI$405&lt;$C419,AI$405&lt;$H$2),0,MIN($E419-SUM($G419:AH419),$F419))</f>
        <v>0</v>
      </c>
      <c r="AJ419" s="424">
        <f>IF(OR(AJ$405&lt;$C419,AJ$405&lt;$H$2),0,MIN($E419-SUM($G419:AI419),$F419))</f>
        <v>0</v>
      </c>
      <c r="AK419" s="424">
        <f>IF(OR(AK$405&lt;$C419,AK$405&lt;$H$2),0,MIN($E419-SUM($G419:AJ419),$F419))</f>
        <v>0</v>
      </c>
    </row>
    <row r="420" spans="3:37">
      <c r="C420" s="201">
        <v>50415</v>
      </c>
      <c r="D420" s="94" t="s">
        <v>134</v>
      </c>
      <c r="E420" s="424">
        <f t="shared" si="130"/>
        <v>0</v>
      </c>
      <c r="F420" s="209">
        <f t="shared" si="131"/>
        <v>0</v>
      </c>
      <c r="H420" s="424">
        <f>IF(OR(H$405&lt;$C420,H$405&lt;$H$2),0,MIN($E420-SUM($G420:G420),$F420))</f>
        <v>0</v>
      </c>
      <c r="I420" s="424">
        <f>IF(OR(I$405&lt;$C420,I$405&lt;$H$2),0,MIN($E420-SUM($G420:H420),$F420))</f>
        <v>0</v>
      </c>
      <c r="J420" s="424">
        <f>IF(OR(J$405&lt;$C420,J$405&lt;$H$2),0,MIN($E420-SUM($G420:I420),$F420))</f>
        <v>0</v>
      </c>
      <c r="K420" s="424">
        <f>IF(OR(K$405&lt;$C420,K$405&lt;$H$2),0,MIN($E420-SUM($G420:J420),$F420))</f>
        <v>0</v>
      </c>
      <c r="L420" s="424">
        <f>IF(OR(L$405&lt;$C420,L$405&lt;$H$2),0,MIN($E420-SUM($G420:K420),$F420))</f>
        <v>0</v>
      </c>
      <c r="M420" s="424">
        <f>IF(OR(M$405&lt;$C420,M$405&lt;$H$2),0,MIN($E420-SUM($G420:L420),$F420))</f>
        <v>0</v>
      </c>
      <c r="N420" s="424">
        <f>IF(OR(N$405&lt;$C420,N$405&lt;$H$2),0,MIN($E420-SUM($G420:M420),$F420))</f>
        <v>0</v>
      </c>
      <c r="O420" s="424">
        <f>IF(OR(O$405&lt;$C420,O$405&lt;$H$2),0,MIN($E420-SUM($G420:N420),$F420))</f>
        <v>0</v>
      </c>
      <c r="P420" s="424">
        <f>IF(OR(P$405&lt;$C420,P$405&lt;$H$2),0,MIN($E420-SUM($G420:O420),$F420))</f>
        <v>0</v>
      </c>
      <c r="Q420" s="424">
        <f>IF(OR(Q$405&lt;$C420,Q$405&lt;$H$2),0,MIN($E420-SUM($G420:P420),$F420))</f>
        <v>0</v>
      </c>
      <c r="R420" s="424">
        <f>IF(OR(R$405&lt;$C420,R$405&lt;$H$2),0,MIN($E420-SUM($G420:Q420),$F420))</f>
        <v>0</v>
      </c>
      <c r="S420" s="424">
        <f>IF(OR(S$405&lt;$C420,S$405&lt;$H$2),0,MIN($E420-SUM($G420:R420),$F420))</f>
        <v>0</v>
      </c>
      <c r="T420" s="424">
        <f>IF(OR(T$405&lt;$C420,T$405&lt;$H$2),0,MIN($E420-SUM($G420:S420),$F420))</f>
        <v>0</v>
      </c>
      <c r="U420" s="424">
        <f>IF(OR(U$405&lt;$C420,U$405&lt;$H$2),0,MIN($E420-SUM($G420:T420),$F420))</f>
        <v>0</v>
      </c>
      <c r="V420" s="424">
        <f>IF(OR(V$405&lt;$C420,V$405&lt;$H$2),0,MIN($E420-SUM($G420:U420),$F420))</f>
        <v>0</v>
      </c>
      <c r="W420" s="424">
        <f>IF(OR(W$405&lt;$C420,W$405&lt;$H$2),0,MIN($E420-SUM($G420:V420),$F420))</f>
        <v>0</v>
      </c>
      <c r="X420" s="424">
        <f>IF(OR(X$405&lt;$C420,X$405&lt;$H$2),0,MIN($E420-SUM($G420:W420),$F420))</f>
        <v>0</v>
      </c>
      <c r="Y420" s="424">
        <f>IF(OR(Y$405&lt;$C420,Y$405&lt;$H$2),0,MIN($E420-SUM($G420:X420),$F420))</f>
        <v>0</v>
      </c>
      <c r="Z420" s="424">
        <f>IF(OR(Z$405&lt;$C420,Z$405&lt;$H$2),0,MIN($E420-SUM($G420:Y420),$F420))</f>
        <v>0</v>
      </c>
      <c r="AA420" s="424">
        <f>IF(OR(AA$405&lt;$C420,AA$405&lt;$H$2),0,MIN($E420-SUM($G420:Z420),$F420))</f>
        <v>0</v>
      </c>
      <c r="AB420" s="424">
        <f>IF(OR(AB$405&lt;$C420,AB$405&lt;$H$2),0,MIN($E420-SUM($G420:AA420),$F420))</f>
        <v>0</v>
      </c>
      <c r="AC420" s="424">
        <f>IF(OR(AC$405&lt;$C420,AC$405&lt;$H$2),0,MIN($E420-SUM($G420:AB420),$F420))</f>
        <v>0</v>
      </c>
      <c r="AD420" s="424">
        <f>IF(OR(AD$405&lt;$C420,AD$405&lt;$H$2),0,MIN($E420-SUM($G420:AC420),$F420))</f>
        <v>0</v>
      </c>
      <c r="AE420" s="424">
        <f>IF(OR(AE$405&lt;$C420,AE$405&lt;$H$2),0,MIN($E420-SUM($G420:AD420),$F420))</f>
        <v>0</v>
      </c>
      <c r="AF420" s="424">
        <f>IF(OR(AF$405&lt;$C420,AF$405&lt;$H$2),0,MIN($E420-SUM($G420:AE420),$F420))</f>
        <v>0</v>
      </c>
      <c r="AG420" s="424">
        <f>IF(OR(AG$405&lt;$C420,AG$405&lt;$H$2),0,MIN($E420-SUM($G420:AF420),$F420))</f>
        <v>0</v>
      </c>
      <c r="AH420" s="424">
        <f>IF(OR(AH$405&lt;$C420,AH$405&lt;$H$2),0,MIN($E420-SUM($G420:AG420),$F420))</f>
        <v>0</v>
      </c>
      <c r="AI420" s="424">
        <f>IF(OR(AI$405&lt;$C420,AI$405&lt;$H$2),0,MIN($E420-SUM($G420:AH420),$F420))</f>
        <v>0</v>
      </c>
      <c r="AJ420" s="424">
        <f>IF(OR(AJ$405&lt;$C420,AJ$405&lt;$H$2),0,MIN($E420-SUM($G420:AI420),$F420))</f>
        <v>0</v>
      </c>
      <c r="AK420" s="424">
        <f>IF(OR(AK$405&lt;$C420,AK$405&lt;$H$2),0,MIN($E420-SUM($G420:AJ420),$F420))</f>
        <v>0</v>
      </c>
    </row>
    <row r="421" spans="3:37">
      <c r="C421" s="201">
        <v>50781</v>
      </c>
      <c r="D421" s="94" t="s">
        <v>134</v>
      </c>
      <c r="E421" s="424">
        <f t="shared" si="130"/>
        <v>0</v>
      </c>
      <c r="F421" s="209">
        <f t="shared" si="131"/>
        <v>0</v>
      </c>
      <c r="H421" s="424">
        <f>IF(OR(H$405&lt;$C421,H$405&lt;$H$2),0,MIN($E421-SUM($G421:G421),$F421))</f>
        <v>0</v>
      </c>
      <c r="I421" s="424">
        <f>IF(OR(I$405&lt;$C421,I$405&lt;$H$2),0,MIN($E421-SUM($G421:H421),$F421))</f>
        <v>0</v>
      </c>
      <c r="J421" s="424">
        <f>IF(OR(J$405&lt;$C421,J$405&lt;$H$2),0,MIN($E421-SUM($G421:I421),$F421))</f>
        <v>0</v>
      </c>
      <c r="K421" s="424">
        <f>IF(OR(K$405&lt;$C421,K$405&lt;$H$2),0,MIN($E421-SUM($G421:J421),$F421))</f>
        <v>0</v>
      </c>
      <c r="L421" s="424">
        <f>IF(OR(L$405&lt;$C421,L$405&lt;$H$2),0,MIN($E421-SUM($G421:K421),$F421))</f>
        <v>0</v>
      </c>
      <c r="M421" s="424">
        <f>IF(OR(M$405&lt;$C421,M$405&lt;$H$2),0,MIN($E421-SUM($G421:L421),$F421))</f>
        <v>0</v>
      </c>
      <c r="N421" s="424">
        <f>IF(OR(N$405&lt;$C421,N$405&lt;$H$2),0,MIN($E421-SUM($G421:M421),$F421))</f>
        <v>0</v>
      </c>
      <c r="O421" s="424">
        <f>IF(OR(O$405&lt;$C421,O$405&lt;$H$2),0,MIN($E421-SUM($G421:N421),$F421))</f>
        <v>0</v>
      </c>
      <c r="P421" s="424">
        <f>IF(OR(P$405&lt;$C421,P$405&lt;$H$2),0,MIN($E421-SUM($G421:O421),$F421))</f>
        <v>0</v>
      </c>
      <c r="Q421" s="424">
        <f>IF(OR(Q$405&lt;$C421,Q$405&lt;$H$2),0,MIN($E421-SUM($G421:P421),$F421))</f>
        <v>0</v>
      </c>
      <c r="R421" s="424">
        <f>IF(OR(R$405&lt;$C421,R$405&lt;$H$2),0,MIN($E421-SUM($G421:Q421),$F421))</f>
        <v>0</v>
      </c>
      <c r="S421" s="424">
        <f>IF(OR(S$405&lt;$C421,S$405&lt;$H$2),0,MIN($E421-SUM($G421:R421),$F421))</f>
        <v>0</v>
      </c>
      <c r="T421" s="424">
        <f>IF(OR(T$405&lt;$C421,T$405&lt;$H$2),0,MIN($E421-SUM($G421:S421),$F421))</f>
        <v>0</v>
      </c>
      <c r="U421" s="424">
        <f>IF(OR(U$405&lt;$C421,U$405&lt;$H$2),0,MIN($E421-SUM($G421:T421),$F421))</f>
        <v>0</v>
      </c>
      <c r="V421" s="424">
        <f>IF(OR(V$405&lt;$C421,V$405&lt;$H$2),0,MIN($E421-SUM($G421:U421),$F421))</f>
        <v>0</v>
      </c>
      <c r="W421" s="424">
        <f>IF(OR(W$405&lt;$C421,W$405&lt;$H$2),0,MIN($E421-SUM($G421:V421),$F421))</f>
        <v>0</v>
      </c>
      <c r="X421" s="424">
        <f>IF(OR(X$405&lt;$C421,X$405&lt;$H$2),0,MIN($E421-SUM($G421:W421),$F421))</f>
        <v>0</v>
      </c>
      <c r="Y421" s="424">
        <f>IF(OR(Y$405&lt;$C421,Y$405&lt;$H$2),0,MIN($E421-SUM($G421:X421),$F421))</f>
        <v>0</v>
      </c>
      <c r="Z421" s="424">
        <f>IF(OR(Z$405&lt;$C421,Z$405&lt;$H$2),0,MIN($E421-SUM($G421:Y421),$F421))</f>
        <v>0</v>
      </c>
      <c r="AA421" s="424">
        <f>IF(OR(AA$405&lt;$C421,AA$405&lt;$H$2),0,MIN($E421-SUM($G421:Z421),$F421))</f>
        <v>0</v>
      </c>
      <c r="AB421" s="424">
        <f>IF(OR(AB$405&lt;$C421,AB$405&lt;$H$2),0,MIN($E421-SUM($G421:AA421),$F421))</f>
        <v>0</v>
      </c>
      <c r="AC421" s="424">
        <f>IF(OR(AC$405&lt;$C421,AC$405&lt;$H$2),0,MIN($E421-SUM($G421:AB421),$F421))</f>
        <v>0</v>
      </c>
      <c r="AD421" s="424">
        <f>IF(OR(AD$405&lt;$C421,AD$405&lt;$H$2),0,MIN($E421-SUM($G421:AC421),$F421))</f>
        <v>0</v>
      </c>
      <c r="AE421" s="424">
        <f>IF(OR(AE$405&lt;$C421,AE$405&lt;$H$2),0,MIN($E421-SUM($G421:AD421),$F421))</f>
        <v>0</v>
      </c>
      <c r="AF421" s="424">
        <f>IF(OR(AF$405&lt;$C421,AF$405&lt;$H$2),0,MIN($E421-SUM($G421:AE421),$F421))</f>
        <v>0</v>
      </c>
      <c r="AG421" s="424">
        <f>IF(OR(AG$405&lt;$C421,AG$405&lt;$H$2),0,MIN($E421-SUM($G421:AF421),$F421))</f>
        <v>0</v>
      </c>
      <c r="AH421" s="424">
        <f>IF(OR(AH$405&lt;$C421,AH$405&lt;$H$2),0,MIN($E421-SUM($G421:AG421),$F421))</f>
        <v>0</v>
      </c>
      <c r="AI421" s="424">
        <f>IF(OR(AI$405&lt;$C421,AI$405&lt;$H$2),0,MIN($E421-SUM($G421:AH421),$F421))</f>
        <v>0</v>
      </c>
      <c r="AJ421" s="424">
        <f>IF(OR(AJ$405&lt;$C421,AJ$405&lt;$H$2),0,MIN($E421-SUM($G421:AI421),$F421))</f>
        <v>0</v>
      </c>
      <c r="AK421" s="424">
        <f>IF(OR(AK$405&lt;$C421,AK$405&lt;$H$2),0,MIN($E421-SUM($G421:AJ421),$F421))</f>
        <v>0</v>
      </c>
    </row>
    <row r="422" spans="3:37">
      <c r="C422" s="201">
        <v>51147</v>
      </c>
      <c r="D422" s="94" t="s">
        <v>134</v>
      </c>
      <c r="E422" s="424">
        <f t="shared" si="130"/>
        <v>0</v>
      </c>
      <c r="F422" s="209">
        <f t="shared" si="131"/>
        <v>0</v>
      </c>
      <c r="H422" s="424">
        <f>IF(OR(H$405&lt;$C422,H$405&lt;$H$2),0,MIN($E422-SUM($G422:G422),$F422))</f>
        <v>0</v>
      </c>
      <c r="I422" s="424">
        <f>IF(OR(I$405&lt;$C422,I$405&lt;$H$2),0,MIN($E422-SUM($G422:H422),$F422))</f>
        <v>0</v>
      </c>
      <c r="J422" s="424">
        <f>IF(OR(J$405&lt;$C422,J$405&lt;$H$2),0,MIN($E422-SUM($G422:I422),$F422))</f>
        <v>0</v>
      </c>
      <c r="K422" s="424">
        <f>IF(OR(K$405&lt;$C422,K$405&lt;$H$2),0,MIN($E422-SUM($G422:J422),$F422))</f>
        <v>0</v>
      </c>
      <c r="L422" s="424">
        <f>IF(OR(L$405&lt;$C422,L$405&lt;$H$2),0,MIN($E422-SUM($G422:K422),$F422))</f>
        <v>0</v>
      </c>
      <c r="M422" s="424">
        <f>IF(OR(M$405&lt;$C422,M$405&lt;$H$2),0,MIN($E422-SUM($G422:L422),$F422))</f>
        <v>0</v>
      </c>
      <c r="N422" s="424">
        <f>IF(OR(N$405&lt;$C422,N$405&lt;$H$2),0,MIN($E422-SUM($G422:M422),$F422))</f>
        <v>0</v>
      </c>
      <c r="O422" s="424">
        <f>IF(OR(O$405&lt;$C422,O$405&lt;$H$2),0,MIN($E422-SUM($G422:N422),$F422))</f>
        <v>0</v>
      </c>
      <c r="P422" s="424">
        <f>IF(OR(P$405&lt;$C422,P$405&lt;$H$2),0,MIN($E422-SUM($G422:O422),$F422))</f>
        <v>0</v>
      </c>
      <c r="Q422" s="424">
        <f>IF(OR(Q$405&lt;$C422,Q$405&lt;$H$2),0,MIN($E422-SUM($G422:P422),$F422))</f>
        <v>0</v>
      </c>
      <c r="R422" s="424">
        <f>IF(OR(R$405&lt;$C422,R$405&lt;$H$2),0,MIN($E422-SUM($G422:Q422),$F422))</f>
        <v>0</v>
      </c>
      <c r="S422" s="424">
        <f>IF(OR(S$405&lt;$C422,S$405&lt;$H$2),0,MIN($E422-SUM($G422:R422),$F422))</f>
        <v>0</v>
      </c>
      <c r="T422" s="424">
        <f>IF(OR(T$405&lt;$C422,T$405&lt;$H$2),0,MIN($E422-SUM($G422:S422),$F422))</f>
        <v>0</v>
      </c>
      <c r="U422" s="424">
        <f>IF(OR(U$405&lt;$C422,U$405&lt;$H$2),0,MIN($E422-SUM($G422:T422),$F422))</f>
        <v>0</v>
      </c>
      <c r="V422" s="424">
        <f>IF(OR(V$405&lt;$C422,V$405&lt;$H$2),0,MIN($E422-SUM($G422:U422),$F422))</f>
        <v>0</v>
      </c>
      <c r="W422" s="424">
        <f>IF(OR(W$405&lt;$C422,W$405&lt;$H$2),0,MIN($E422-SUM($G422:V422),$F422))</f>
        <v>0</v>
      </c>
      <c r="X422" s="424">
        <f>IF(OR(X$405&lt;$C422,X$405&lt;$H$2),0,MIN($E422-SUM($G422:W422),$F422))</f>
        <v>0</v>
      </c>
      <c r="Y422" s="424">
        <f>IF(OR(Y$405&lt;$C422,Y$405&lt;$H$2),0,MIN($E422-SUM($G422:X422),$F422))</f>
        <v>0</v>
      </c>
      <c r="Z422" s="424">
        <f>IF(OR(Z$405&lt;$C422,Z$405&lt;$H$2),0,MIN($E422-SUM($G422:Y422),$F422))</f>
        <v>0</v>
      </c>
      <c r="AA422" s="424">
        <f>IF(OR(AA$405&lt;$C422,AA$405&lt;$H$2),0,MIN($E422-SUM($G422:Z422),$F422))</f>
        <v>0</v>
      </c>
      <c r="AB422" s="424">
        <f>IF(OR(AB$405&lt;$C422,AB$405&lt;$H$2),0,MIN($E422-SUM($G422:AA422),$F422))</f>
        <v>0</v>
      </c>
      <c r="AC422" s="424">
        <f>IF(OR(AC$405&lt;$C422,AC$405&lt;$H$2),0,MIN($E422-SUM($G422:AB422),$F422))</f>
        <v>0</v>
      </c>
      <c r="AD422" s="424">
        <f>IF(OR(AD$405&lt;$C422,AD$405&lt;$H$2),0,MIN($E422-SUM($G422:AC422),$F422))</f>
        <v>0</v>
      </c>
      <c r="AE422" s="424">
        <f>IF(OR(AE$405&lt;$C422,AE$405&lt;$H$2),0,MIN($E422-SUM($G422:AD422),$F422))</f>
        <v>0</v>
      </c>
      <c r="AF422" s="424">
        <f>IF(OR(AF$405&lt;$C422,AF$405&lt;$H$2),0,MIN($E422-SUM($G422:AE422),$F422))</f>
        <v>0</v>
      </c>
      <c r="AG422" s="424">
        <f>IF(OR(AG$405&lt;$C422,AG$405&lt;$H$2),0,MIN($E422-SUM($G422:AF422),$F422))</f>
        <v>0</v>
      </c>
      <c r="AH422" s="424">
        <f>IF(OR(AH$405&lt;$C422,AH$405&lt;$H$2),0,MIN($E422-SUM($G422:AG422),$F422))</f>
        <v>0</v>
      </c>
      <c r="AI422" s="424">
        <f>IF(OR(AI$405&lt;$C422,AI$405&lt;$H$2),0,MIN($E422-SUM($G422:AH422),$F422))</f>
        <v>0</v>
      </c>
      <c r="AJ422" s="424">
        <f>IF(OR(AJ$405&lt;$C422,AJ$405&lt;$H$2),0,MIN($E422-SUM($G422:AI422),$F422))</f>
        <v>0</v>
      </c>
      <c r="AK422" s="424">
        <f>IF(OR(AK$405&lt;$C422,AK$405&lt;$H$2),0,MIN($E422-SUM($G422:AJ422),$F422))</f>
        <v>0</v>
      </c>
    </row>
    <row r="423" spans="3:37">
      <c r="C423" s="201">
        <v>51513</v>
      </c>
      <c r="D423" s="94" t="s">
        <v>134</v>
      </c>
      <c r="E423" s="424">
        <f t="shared" si="130"/>
        <v>0</v>
      </c>
      <c r="F423" s="209">
        <f t="shared" si="131"/>
        <v>0</v>
      </c>
      <c r="H423" s="424">
        <f>IF(OR(H$405&lt;$C423,H$405&lt;$H$2),0,MIN($E423-SUM($G423:G423),$F423))</f>
        <v>0</v>
      </c>
      <c r="I423" s="424">
        <f>IF(OR(I$405&lt;$C423,I$405&lt;$H$2),0,MIN($E423-SUM($G423:H423),$F423))</f>
        <v>0</v>
      </c>
      <c r="J423" s="424">
        <f>IF(OR(J$405&lt;$C423,J$405&lt;$H$2),0,MIN($E423-SUM($G423:I423),$F423))</f>
        <v>0</v>
      </c>
      <c r="K423" s="424">
        <f>IF(OR(K$405&lt;$C423,K$405&lt;$H$2),0,MIN($E423-SUM($G423:J423),$F423))</f>
        <v>0</v>
      </c>
      <c r="L423" s="424">
        <f>IF(OR(L$405&lt;$C423,L$405&lt;$H$2),0,MIN($E423-SUM($G423:K423),$F423))</f>
        <v>0</v>
      </c>
      <c r="M423" s="424">
        <f>IF(OR(M$405&lt;$C423,M$405&lt;$H$2),0,MIN($E423-SUM($G423:L423),$F423))</f>
        <v>0</v>
      </c>
      <c r="N423" s="424">
        <f>IF(OR(N$405&lt;$C423,N$405&lt;$H$2),0,MIN($E423-SUM($G423:M423),$F423))</f>
        <v>0</v>
      </c>
      <c r="O423" s="424">
        <f>IF(OR(O$405&lt;$C423,O$405&lt;$H$2),0,MIN($E423-SUM($G423:N423),$F423))</f>
        <v>0</v>
      </c>
      <c r="P423" s="424">
        <f>IF(OR(P$405&lt;$C423,P$405&lt;$H$2),0,MIN($E423-SUM($G423:O423),$F423))</f>
        <v>0</v>
      </c>
      <c r="Q423" s="424">
        <f>IF(OR(Q$405&lt;$C423,Q$405&lt;$H$2),0,MIN($E423-SUM($G423:P423),$F423))</f>
        <v>0</v>
      </c>
      <c r="R423" s="424">
        <f>IF(OR(R$405&lt;$C423,R$405&lt;$H$2),0,MIN($E423-SUM($G423:Q423),$F423))</f>
        <v>0</v>
      </c>
      <c r="S423" s="424">
        <f>IF(OR(S$405&lt;$C423,S$405&lt;$H$2),0,MIN($E423-SUM($G423:R423),$F423))</f>
        <v>0</v>
      </c>
      <c r="T423" s="424">
        <f>IF(OR(T$405&lt;$C423,T$405&lt;$H$2),0,MIN($E423-SUM($G423:S423),$F423))</f>
        <v>0</v>
      </c>
      <c r="U423" s="424">
        <f>IF(OR(U$405&lt;$C423,U$405&lt;$H$2),0,MIN($E423-SUM($G423:T423),$F423))</f>
        <v>0</v>
      </c>
      <c r="V423" s="424">
        <f>IF(OR(V$405&lt;$C423,V$405&lt;$H$2),0,MIN($E423-SUM($G423:U423),$F423))</f>
        <v>0</v>
      </c>
      <c r="W423" s="424">
        <f>IF(OR(W$405&lt;$C423,W$405&lt;$H$2),0,MIN($E423-SUM($G423:V423),$F423))</f>
        <v>0</v>
      </c>
      <c r="X423" s="424">
        <f>IF(OR(X$405&lt;$C423,X$405&lt;$H$2),0,MIN($E423-SUM($G423:W423),$F423))</f>
        <v>0</v>
      </c>
      <c r="Y423" s="424">
        <f>IF(OR(Y$405&lt;$C423,Y$405&lt;$H$2),0,MIN($E423-SUM($G423:X423),$F423))</f>
        <v>0</v>
      </c>
      <c r="Z423" s="424">
        <f>IF(OR(Z$405&lt;$C423,Z$405&lt;$H$2),0,MIN($E423-SUM($G423:Y423),$F423))</f>
        <v>0</v>
      </c>
      <c r="AA423" s="424">
        <f>IF(OR(AA$405&lt;$C423,AA$405&lt;$H$2),0,MIN($E423-SUM($G423:Z423),$F423))</f>
        <v>0</v>
      </c>
      <c r="AB423" s="424">
        <f>IF(OR(AB$405&lt;$C423,AB$405&lt;$H$2),0,MIN($E423-SUM($G423:AA423),$F423))</f>
        <v>0</v>
      </c>
      <c r="AC423" s="424">
        <f>IF(OR(AC$405&lt;$C423,AC$405&lt;$H$2),0,MIN($E423-SUM($G423:AB423),$F423))</f>
        <v>0</v>
      </c>
      <c r="AD423" s="424">
        <f>IF(OR(AD$405&lt;$C423,AD$405&lt;$H$2),0,MIN($E423-SUM($G423:AC423),$F423))</f>
        <v>0</v>
      </c>
      <c r="AE423" s="424">
        <f>IF(OR(AE$405&lt;$C423,AE$405&lt;$H$2),0,MIN($E423-SUM($G423:AD423),$F423))</f>
        <v>0</v>
      </c>
      <c r="AF423" s="424">
        <f>IF(OR(AF$405&lt;$C423,AF$405&lt;$H$2),0,MIN($E423-SUM($G423:AE423),$F423))</f>
        <v>0</v>
      </c>
      <c r="AG423" s="424">
        <f>IF(OR(AG$405&lt;$C423,AG$405&lt;$H$2),0,MIN($E423-SUM($G423:AF423),$F423))</f>
        <v>0</v>
      </c>
      <c r="AH423" s="424">
        <f>IF(OR(AH$405&lt;$C423,AH$405&lt;$H$2),0,MIN($E423-SUM($G423:AG423),$F423))</f>
        <v>0</v>
      </c>
      <c r="AI423" s="424">
        <f>IF(OR(AI$405&lt;$C423,AI$405&lt;$H$2),0,MIN($E423-SUM($G423:AH423),$F423))</f>
        <v>0</v>
      </c>
      <c r="AJ423" s="424">
        <f>IF(OR(AJ$405&lt;$C423,AJ$405&lt;$H$2),0,MIN($E423-SUM($G423:AI423),$F423))</f>
        <v>0</v>
      </c>
      <c r="AK423" s="424">
        <f>IF(OR(AK$405&lt;$C423,AK$405&lt;$H$2),0,MIN($E423-SUM($G423:AJ423),$F423))</f>
        <v>0</v>
      </c>
    </row>
    <row r="424" spans="3:37">
      <c r="C424" s="201">
        <v>51879</v>
      </c>
      <c r="D424" s="94" t="s">
        <v>134</v>
      </c>
      <c r="E424" s="424">
        <f t="shared" si="130"/>
        <v>0</v>
      </c>
      <c r="F424" s="209">
        <f t="shared" si="131"/>
        <v>0</v>
      </c>
      <c r="H424" s="424">
        <f>IF(OR(H$405&lt;$C424,H$405&lt;$H$2),0,MIN($E424-SUM($G424:G424),$F424))</f>
        <v>0</v>
      </c>
      <c r="I424" s="424">
        <f>IF(OR(I$405&lt;$C424,I$405&lt;$H$2),0,MIN($E424-SUM($G424:H424),$F424))</f>
        <v>0</v>
      </c>
      <c r="J424" s="424">
        <f>IF(OR(J$405&lt;$C424,J$405&lt;$H$2),0,MIN($E424-SUM($G424:I424),$F424))</f>
        <v>0</v>
      </c>
      <c r="K424" s="424">
        <f>IF(OR(K$405&lt;$C424,K$405&lt;$H$2),0,MIN($E424-SUM($G424:J424),$F424))</f>
        <v>0</v>
      </c>
      <c r="L424" s="424">
        <f>IF(OR(L$405&lt;$C424,L$405&lt;$H$2),0,MIN($E424-SUM($G424:K424),$F424))</f>
        <v>0</v>
      </c>
      <c r="M424" s="424">
        <f>IF(OR(M$405&lt;$C424,M$405&lt;$H$2),0,MIN($E424-SUM($G424:L424),$F424))</f>
        <v>0</v>
      </c>
      <c r="N424" s="424">
        <f>IF(OR(N$405&lt;$C424,N$405&lt;$H$2),0,MIN($E424-SUM($G424:M424),$F424))</f>
        <v>0</v>
      </c>
      <c r="O424" s="424">
        <f>IF(OR(O$405&lt;$C424,O$405&lt;$H$2),0,MIN($E424-SUM($G424:N424),$F424))</f>
        <v>0</v>
      </c>
      <c r="P424" s="424">
        <f>IF(OR(P$405&lt;$C424,P$405&lt;$H$2),0,MIN($E424-SUM($G424:O424),$F424))</f>
        <v>0</v>
      </c>
      <c r="Q424" s="424">
        <f>IF(OR(Q$405&lt;$C424,Q$405&lt;$H$2),0,MIN($E424-SUM($G424:P424),$F424))</f>
        <v>0</v>
      </c>
      <c r="R424" s="424">
        <f>IF(OR(R$405&lt;$C424,R$405&lt;$H$2),0,MIN($E424-SUM($G424:Q424),$F424))</f>
        <v>0</v>
      </c>
      <c r="S424" s="424">
        <f>IF(OR(S$405&lt;$C424,S$405&lt;$H$2),0,MIN($E424-SUM($G424:R424),$F424))</f>
        <v>0</v>
      </c>
      <c r="T424" s="424">
        <f>IF(OR(T$405&lt;$C424,T$405&lt;$H$2),0,MIN($E424-SUM($G424:S424),$F424))</f>
        <v>0</v>
      </c>
      <c r="U424" s="424">
        <f>IF(OR(U$405&lt;$C424,U$405&lt;$H$2),0,MIN($E424-SUM($G424:T424),$F424))</f>
        <v>0</v>
      </c>
      <c r="V424" s="424">
        <f>IF(OR(V$405&lt;$C424,V$405&lt;$H$2),0,MIN($E424-SUM($G424:U424),$F424))</f>
        <v>0</v>
      </c>
      <c r="W424" s="424">
        <f>IF(OR(W$405&lt;$C424,W$405&lt;$H$2),0,MIN($E424-SUM($G424:V424),$F424))</f>
        <v>0</v>
      </c>
      <c r="X424" s="424">
        <f>IF(OR(X$405&lt;$C424,X$405&lt;$H$2),0,MIN($E424-SUM($G424:W424),$F424))</f>
        <v>0</v>
      </c>
      <c r="Y424" s="424">
        <f>IF(OR(Y$405&lt;$C424,Y$405&lt;$H$2),0,MIN($E424-SUM($G424:X424),$F424))</f>
        <v>0</v>
      </c>
      <c r="Z424" s="424">
        <f>IF(OR(Z$405&lt;$C424,Z$405&lt;$H$2),0,MIN($E424-SUM($G424:Y424),$F424))</f>
        <v>0</v>
      </c>
      <c r="AA424" s="424">
        <f>IF(OR(AA$405&lt;$C424,AA$405&lt;$H$2),0,MIN($E424-SUM($G424:Z424),$F424))</f>
        <v>0</v>
      </c>
      <c r="AB424" s="424">
        <f>IF(OR(AB$405&lt;$C424,AB$405&lt;$H$2),0,MIN($E424-SUM($G424:AA424),$F424))</f>
        <v>0</v>
      </c>
      <c r="AC424" s="424">
        <f>IF(OR(AC$405&lt;$C424,AC$405&lt;$H$2),0,MIN($E424-SUM($G424:AB424),$F424))</f>
        <v>0</v>
      </c>
      <c r="AD424" s="424">
        <f>IF(OR(AD$405&lt;$C424,AD$405&lt;$H$2),0,MIN($E424-SUM($G424:AC424),$F424))</f>
        <v>0</v>
      </c>
      <c r="AE424" s="424">
        <f>IF(OR(AE$405&lt;$C424,AE$405&lt;$H$2),0,MIN($E424-SUM($G424:AD424),$F424))</f>
        <v>0</v>
      </c>
      <c r="AF424" s="424">
        <f>IF(OR(AF$405&lt;$C424,AF$405&lt;$H$2),0,MIN($E424-SUM($G424:AE424),$F424))</f>
        <v>0</v>
      </c>
      <c r="AG424" s="424">
        <f>IF(OR(AG$405&lt;$C424,AG$405&lt;$H$2),0,MIN($E424-SUM($G424:AF424),$F424))</f>
        <v>0</v>
      </c>
      <c r="AH424" s="424">
        <f>IF(OR(AH$405&lt;$C424,AH$405&lt;$H$2),0,MIN($E424-SUM($G424:AG424),$F424))</f>
        <v>0</v>
      </c>
      <c r="AI424" s="424">
        <f>IF(OR(AI$405&lt;$C424,AI$405&lt;$H$2),0,MIN($E424-SUM($G424:AH424),$F424))</f>
        <v>0</v>
      </c>
      <c r="AJ424" s="424">
        <f>IF(OR(AJ$405&lt;$C424,AJ$405&lt;$H$2),0,MIN($E424-SUM($G424:AI424),$F424))</f>
        <v>0</v>
      </c>
      <c r="AK424" s="424">
        <f>IF(OR(AK$405&lt;$C424,AK$405&lt;$H$2),0,MIN($E424-SUM($G424:AJ424),$F424))</f>
        <v>0</v>
      </c>
    </row>
    <row r="425" spans="3:37">
      <c r="C425" s="201">
        <v>52245</v>
      </c>
      <c r="D425" s="94" t="s">
        <v>134</v>
      </c>
      <c r="E425" s="424">
        <f t="shared" si="130"/>
        <v>0</v>
      </c>
      <c r="F425" s="209">
        <f t="shared" si="131"/>
        <v>0</v>
      </c>
      <c r="H425" s="424">
        <f>IF(OR(H$405&lt;$C425,H$405&lt;$H$2),0,MIN($E425-SUM($G425:G425),$F425))</f>
        <v>0</v>
      </c>
      <c r="I425" s="424">
        <f>IF(OR(I$405&lt;$C425,I$405&lt;$H$2),0,MIN($E425-SUM($G425:H425),$F425))</f>
        <v>0</v>
      </c>
      <c r="J425" s="424">
        <f>IF(OR(J$405&lt;$C425,J$405&lt;$H$2),0,MIN($E425-SUM($G425:I425),$F425))</f>
        <v>0</v>
      </c>
      <c r="K425" s="424">
        <f>IF(OR(K$405&lt;$C425,K$405&lt;$H$2),0,MIN($E425-SUM($G425:J425),$F425))</f>
        <v>0</v>
      </c>
      <c r="L425" s="424">
        <f>IF(OR(L$405&lt;$C425,L$405&lt;$H$2),0,MIN($E425-SUM($G425:K425),$F425))</f>
        <v>0</v>
      </c>
      <c r="M425" s="424">
        <f>IF(OR(M$405&lt;$C425,M$405&lt;$H$2),0,MIN($E425-SUM($G425:L425),$F425))</f>
        <v>0</v>
      </c>
      <c r="N425" s="424">
        <f>IF(OR(N$405&lt;$C425,N$405&lt;$H$2),0,MIN($E425-SUM($G425:M425),$F425))</f>
        <v>0</v>
      </c>
      <c r="O425" s="424">
        <f>IF(OR(O$405&lt;$C425,O$405&lt;$H$2),0,MIN($E425-SUM($G425:N425),$F425))</f>
        <v>0</v>
      </c>
      <c r="P425" s="424">
        <f>IF(OR(P$405&lt;$C425,P$405&lt;$H$2),0,MIN($E425-SUM($G425:O425),$F425))</f>
        <v>0</v>
      </c>
      <c r="Q425" s="424">
        <f>IF(OR(Q$405&lt;$C425,Q$405&lt;$H$2),0,MIN($E425-SUM($G425:P425),$F425))</f>
        <v>0</v>
      </c>
      <c r="R425" s="424">
        <f>IF(OR(R$405&lt;$C425,R$405&lt;$H$2),0,MIN($E425-SUM($G425:Q425),$F425))</f>
        <v>0</v>
      </c>
      <c r="S425" s="424">
        <f>IF(OR(S$405&lt;$C425,S$405&lt;$H$2),0,MIN($E425-SUM($G425:R425),$F425))</f>
        <v>0</v>
      </c>
      <c r="T425" s="424">
        <f>IF(OR(T$405&lt;$C425,T$405&lt;$H$2),0,MIN($E425-SUM($G425:S425),$F425))</f>
        <v>0</v>
      </c>
      <c r="U425" s="424">
        <f>IF(OR(U$405&lt;$C425,U$405&lt;$H$2),0,MIN($E425-SUM($G425:T425),$F425))</f>
        <v>0</v>
      </c>
      <c r="V425" s="424">
        <f>IF(OR(V$405&lt;$C425,V$405&lt;$H$2),0,MIN($E425-SUM($G425:U425),$F425))</f>
        <v>0</v>
      </c>
      <c r="W425" s="424">
        <f>IF(OR(W$405&lt;$C425,W$405&lt;$H$2),0,MIN($E425-SUM($G425:V425),$F425))</f>
        <v>0</v>
      </c>
      <c r="X425" s="424">
        <f>IF(OR(X$405&lt;$C425,X$405&lt;$H$2),0,MIN($E425-SUM($G425:W425),$F425))</f>
        <v>0</v>
      </c>
      <c r="Y425" s="424">
        <f>IF(OR(Y$405&lt;$C425,Y$405&lt;$H$2),0,MIN($E425-SUM($G425:X425),$F425))</f>
        <v>0</v>
      </c>
      <c r="Z425" s="424">
        <f>IF(OR(Z$405&lt;$C425,Z$405&lt;$H$2),0,MIN($E425-SUM($G425:Y425),$F425))</f>
        <v>0</v>
      </c>
      <c r="AA425" s="424">
        <f>IF(OR(AA$405&lt;$C425,AA$405&lt;$H$2),0,MIN($E425-SUM($G425:Z425),$F425))</f>
        <v>0</v>
      </c>
      <c r="AB425" s="424">
        <f>IF(OR(AB$405&lt;$C425,AB$405&lt;$H$2),0,MIN($E425-SUM($G425:AA425),$F425))</f>
        <v>0</v>
      </c>
      <c r="AC425" s="424">
        <f>IF(OR(AC$405&lt;$C425,AC$405&lt;$H$2),0,MIN($E425-SUM($G425:AB425),$F425))</f>
        <v>0</v>
      </c>
      <c r="AD425" s="424">
        <f>IF(OR(AD$405&lt;$C425,AD$405&lt;$H$2),0,MIN($E425-SUM($G425:AC425),$F425))</f>
        <v>0</v>
      </c>
      <c r="AE425" s="424">
        <f>IF(OR(AE$405&lt;$C425,AE$405&lt;$H$2),0,MIN($E425-SUM($G425:AD425),$F425))</f>
        <v>0</v>
      </c>
      <c r="AF425" s="424">
        <f>IF(OR(AF$405&lt;$C425,AF$405&lt;$H$2),0,MIN($E425-SUM($G425:AE425),$F425))</f>
        <v>0</v>
      </c>
      <c r="AG425" s="424">
        <f>IF(OR(AG$405&lt;$C425,AG$405&lt;$H$2),0,MIN($E425-SUM($G425:AF425),$F425))</f>
        <v>0</v>
      </c>
      <c r="AH425" s="424">
        <f>IF(OR(AH$405&lt;$C425,AH$405&lt;$H$2),0,MIN($E425-SUM($G425:AG425),$F425))</f>
        <v>0</v>
      </c>
      <c r="AI425" s="424">
        <f>IF(OR(AI$405&lt;$C425,AI$405&lt;$H$2),0,MIN($E425-SUM($G425:AH425),$F425))</f>
        <v>0</v>
      </c>
      <c r="AJ425" s="424">
        <f>IF(OR(AJ$405&lt;$C425,AJ$405&lt;$H$2),0,MIN($E425-SUM($G425:AI425),$F425))</f>
        <v>0</v>
      </c>
      <c r="AK425" s="424">
        <f>IF(OR(AK$405&lt;$C425,AK$405&lt;$H$2),0,MIN($E425-SUM($G425:AJ425),$F425))</f>
        <v>0</v>
      </c>
    </row>
    <row r="426" spans="3:37">
      <c r="C426" s="201">
        <v>52611</v>
      </c>
      <c r="D426" s="94" t="s">
        <v>134</v>
      </c>
      <c r="E426" s="424">
        <f t="shared" si="130"/>
        <v>0</v>
      </c>
      <c r="F426" s="209">
        <f t="shared" si="131"/>
        <v>0</v>
      </c>
      <c r="H426" s="424">
        <f>IF(OR(H$405&lt;$C426,H$405&lt;$H$2),0,MIN($E426-SUM($G426:G426),$F426))</f>
        <v>0</v>
      </c>
      <c r="I426" s="424">
        <f>IF(OR(I$405&lt;$C426,I$405&lt;$H$2),0,MIN($E426-SUM($G426:H426),$F426))</f>
        <v>0</v>
      </c>
      <c r="J426" s="424">
        <f>IF(OR(J$405&lt;$C426,J$405&lt;$H$2),0,MIN($E426-SUM($G426:I426),$F426))</f>
        <v>0</v>
      </c>
      <c r="K426" s="424">
        <f>IF(OR(K$405&lt;$C426,K$405&lt;$H$2),0,MIN($E426-SUM($G426:J426),$F426))</f>
        <v>0</v>
      </c>
      <c r="L426" s="424">
        <f>IF(OR(L$405&lt;$C426,L$405&lt;$H$2),0,MIN($E426-SUM($G426:K426),$F426))</f>
        <v>0</v>
      </c>
      <c r="M426" s="424">
        <f>IF(OR(M$405&lt;$C426,M$405&lt;$H$2),0,MIN($E426-SUM($G426:L426),$F426))</f>
        <v>0</v>
      </c>
      <c r="N426" s="424">
        <f>IF(OR(N$405&lt;$C426,N$405&lt;$H$2),0,MIN($E426-SUM($G426:M426),$F426))</f>
        <v>0</v>
      </c>
      <c r="O426" s="424">
        <f>IF(OR(O$405&lt;$C426,O$405&lt;$H$2),0,MIN($E426-SUM($G426:N426),$F426))</f>
        <v>0</v>
      </c>
      <c r="P426" s="424">
        <f>IF(OR(P$405&lt;$C426,P$405&lt;$H$2),0,MIN($E426-SUM($G426:O426),$F426))</f>
        <v>0</v>
      </c>
      <c r="Q426" s="424">
        <f>IF(OR(Q$405&lt;$C426,Q$405&lt;$H$2),0,MIN($E426-SUM($G426:P426),$F426))</f>
        <v>0</v>
      </c>
      <c r="R426" s="424">
        <f>IF(OR(R$405&lt;$C426,R$405&lt;$H$2),0,MIN($E426-SUM($G426:Q426),$F426))</f>
        <v>0</v>
      </c>
      <c r="S426" s="424">
        <f>IF(OR(S$405&lt;$C426,S$405&lt;$H$2),0,MIN($E426-SUM($G426:R426),$F426))</f>
        <v>0</v>
      </c>
      <c r="T426" s="424">
        <f>IF(OR(T$405&lt;$C426,T$405&lt;$H$2),0,MIN($E426-SUM($G426:S426),$F426))</f>
        <v>0</v>
      </c>
      <c r="U426" s="424">
        <f>IF(OR(U$405&lt;$C426,U$405&lt;$H$2),0,MIN($E426-SUM($G426:T426),$F426))</f>
        <v>0</v>
      </c>
      <c r="V426" s="424">
        <f>IF(OR(V$405&lt;$C426,V$405&lt;$H$2),0,MIN($E426-SUM($G426:U426),$F426))</f>
        <v>0</v>
      </c>
      <c r="W426" s="424">
        <f>IF(OR(W$405&lt;$C426,W$405&lt;$H$2),0,MIN($E426-SUM($G426:V426),$F426))</f>
        <v>0</v>
      </c>
      <c r="X426" s="424">
        <f>IF(OR(X$405&lt;$C426,X$405&lt;$H$2),0,MIN($E426-SUM($G426:W426),$F426))</f>
        <v>0</v>
      </c>
      <c r="Y426" s="424">
        <f>IF(OR(Y$405&lt;$C426,Y$405&lt;$H$2),0,MIN($E426-SUM($G426:X426),$F426))</f>
        <v>0</v>
      </c>
      <c r="Z426" s="424">
        <f>IF(OR(Z$405&lt;$C426,Z$405&lt;$H$2),0,MIN($E426-SUM($G426:Y426),$F426))</f>
        <v>0</v>
      </c>
      <c r="AA426" s="424">
        <f>IF(OR(AA$405&lt;$C426,AA$405&lt;$H$2),0,MIN($E426-SUM($G426:Z426),$F426))</f>
        <v>0</v>
      </c>
      <c r="AB426" s="424">
        <f>IF(OR(AB$405&lt;$C426,AB$405&lt;$H$2),0,MIN($E426-SUM($G426:AA426),$F426))</f>
        <v>0</v>
      </c>
      <c r="AC426" s="424">
        <f>IF(OR(AC$405&lt;$C426,AC$405&lt;$H$2),0,MIN($E426-SUM($G426:AB426),$F426))</f>
        <v>0</v>
      </c>
      <c r="AD426" s="424">
        <f>IF(OR(AD$405&lt;$C426,AD$405&lt;$H$2),0,MIN($E426-SUM($G426:AC426),$F426))</f>
        <v>0</v>
      </c>
      <c r="AE426" s="424">
        <f>IF(OR(AE$405&lt;$C426,AE$405&lt;$H$2),0,MIN($E426-SUM($G426:AD426),$F426))</f>
        <v>0</v>
      </c>
      <c r="AF426" s="424">
        <f>IF(OR(AF$405&lt;$C426,AF$405&lt;$H$2),0,MIN($E426-SUM($G426:AE426),$F426))</f>
        <v>0</v>
      </c>
      <c r="AG426" s="424">
        <f>IF(OR(AG$405&lt;$C426,AG$405&lt;$H$2),0,MIN($E426-SUM($G426:AF426),$F426))</f>
        <v>0</v>
      </c>
      <c r="AH426" s="424">
        <f>IF(OR(AH$405&lt;$C426,AH$405&lt;$H$2),0,MIN($E426-SUM($G426:AG426),$F426))</f>
        <v>0</v>
      </c>
      <c r="AI426" s="424">
        <f>IF(OR(AI$405&lt;$C426,AI$405&lt;$H$2),0,MIN($E426-SUM($G426:AH426),$F426))</f>
        <v>0</v>
      </c>
      <c r="AJ426" s="424">
        <f>IF(OR(AJ$405&lt;$C426,AJ$405&lt;$H$2),0,MIN($E426-SUM($G426:AI426),$F426))</f>
        <v>0</v>
      </c>
      <c r="AK426" s="424">
        <f>IF(OR(AK$405&lt;$C426,AK$405&lt;$H$2),0,MIN($E426-SUM($G426:AJ426),$F426))</f>
        <v>0</v>
      </c>
    </row>
    <row r="427" spans="3:37">
      <c r="C427" s="201">
        <v>52977</v>
      </c>
      <c r="D427" s="94" t="s">
        <v>134</v>
      </c>
      <c r="E427" s="424">
        <f t="shared" si="130"/>
        <v>0</v>
      </c>
      <c r="F427" s="209">
        <f t="shared" si="131"/>
        <v>0</v>
      </c>
      <c r="H427" s="424">
        <f>IF(OR(H$405&lt;$C427,H$405&lt;$H$2),0,MIN($E427-SUM($G427:G427),$F427))</f>
        <v>0</v>
      </c>
      <c r="I427" s="424">
        <f>IF(OR(I$405&lt;$C427,I$405&lt;$H$2),0,MIN($E427-SUM($G427:H427),$F427))</f>
        <v>0</v>
      </c>
      <c r="J427" s="424">
        <f>IF(OR(J$405&lt;$C427,J$405&lt;$H$2),0,MIN($E427-SUM($G427:I427),$F427))</f>
        <v>0</v>
      </c>
      <c r="K427" s="424">
        <f>IF(OR(K$405&lt;$C427,K$405&lt;$H$2),0,MIN($E427-SUM($G427:J427),$F427))</f>
        <v>0</v>
      </c>
      <c r="L427" s="424">
        <f>IF(OR(L$405&lt;$C427,L$405&lt;$H$2),0,MIN($E427-SUM($G427:K427),$F427))</f>
        <v>0</v>
      </c>
      <c r="M427" s="424">
        <f>IF(OR(M$405&lt;$C427,M$405&lt;$H$2),0,MIN($E427-SUM($G427:L427),$F427))</f>
        <v>0</v>
      </c>
      <c r="N427" s="424">
        <f>IF(OR(N$405&lt;$C427,N$405&lt;$H$2),0,MIN($E427-SUM($G427:M427),$F427))</f>
        <v>0</v>
      </c>
      <c r="O427" s="424">
        <f>IF(OR(O$405&lt;$C427,O$405&lt;$H$2),0,MIN($E427-SUM($G427:N427),$F427))</f>
        <v>0</v>
      </c>
      <c r="P427" s="424">
        <f>IF(OR(P$405&lt;$C427,P$405&lt;$H$2),0,MIN($E427-SUM($G427:O427),$F427))</f>
        <v>0</v>
      </c>
      <c r="Q427" s="424">
        <f>IF(OR(Q$405&lt;$C427,Q$405&lt;$H$2),0,MIN($E427-SUM($G427:P427),$F427))</f>
        <v>0</v>
      </c>
      <c r="R427" s="424">
        <f>IF(OR(R$405&lt;$C427,R$405&lt;$H$2),0,MIN($E427-SUM($G427:Q427),$F427))</f>
        <v>0</v>
      </c>
      <c r="S427" s="424">
        <f>IF(OR(S$405&lt;$C427,S$405&lt;$H$2),0,MIN($E427-SUM($G427:R427),$F427))</f>
        <v>0</v>
      </c>
      <c r="T427" s="424">
        <f>IF(OR(T$405&lt;$C427,T$405&lt;$H$2),0,MIN($E427-SUM($G427:S427),$F427))</f>
        <v>0</v>
      </c>
      <c r="U427" s="424">
        <f>IF(OR(U$405&lt;$C427,U$405&lt;$H$2),0,MIN($E427-SUM($G427:T427),$F427))</f>
        <v>0</v>
      </c>
      <c r="V427" s="424">
        <f>IF(OR(V$405&lt;$C427,V$405&lt;$H$2),0,MIN($E427-SUM($G427:U427),$F427))</f>
        <v>0</v>
      </c>
      <c r="W427" s="424">
        <f>IF(OR(W$405&lt;$C427,W$405&lt;$H$2),0,MIN($E427-SUM($G427:V427),$F427))</f>
        <v>0</v>
      </c>
      <c r="X427" s="424">
        <f>IF(OR(X$405&lt;$C427,X$405&lt;$H$2),0,MIN($E427-SUM($G427:W427),$F427))</f>
        <v>0</v>
      </c>
      <c r="Y427" s="424">
        <f>IF(OR(Y$405&lt;$C427,Y$405&lt;$H$2),0,MIN($E427-SUM($G427:X427),$F427))</f>
        <v>0</v>
      </c>
      <c r="Z427" s="424">
        <f>IF(OR(Z$405&lt;$C427,Z$405&lt;$H$2),0,MIN($E427-SUM($G427:Y427),$F427))</f>
        <v>0</v>
      </c>
      <c r="AA427" s="424">
        <f>IF(OR(AA$405&lt;$C427,AA$405&lt;$H$2),0,MIN($E427-SUM($G427:Z427),$F427))</f>
        <v>0</v>
      </c>
      <c r="AB427" s="424">
        <f>IF(OR(AB$405&lt;$C427,AB$405&lt;$H$2),0,MIN($E427-SUM($G427:AA427),$F427))</f>
        <v>0</v>
      </c>
      <c r="AC427" s="424">
        <f>IF(OR(AC$405&lt;$C427,AC$405&lt;$H$2),0,MIN($E427-SUM($G427:AB427),$F427))</f>
        <v>0</v>
      </c>
      <c r="AD427" s="424">
        <f>IF(OR(AD$405&lt;$C427,AD$405&lt;$H$2),0,MIN($E427-SUM($G427:AC427),$F427))</f>
        <v>0</v>
      </c>
      <c r="AE427" s="424">
        <f>IF(OR(AE$405&lt;$C427,AE$405&lt;$H$2),0,MIN($E427-SUM($G427:AD427),$F427))</f>
        <v>0</v>
      </c>
      <c r="AF427" s="424">
        <f>IF(OR(AF$405&lt;$C427,AF$405&lt;$H$2),0,MIN($E427-SUM($G427:AE427),$F427))</f>
        <v>0</v>
      </c>
      <c r="AG427" s="424">
        <f>IF(OR(AG$405&lt;$C427,AG$405&lt;$H$2),0,MIN($E427-SUM($G427:AF427),$F427))</f>
        <v>0</v>
      </c>
      <c r="AH427" s="424">
        <f>IF(OR(AH$405&lt;$C427,AH$405&lt;$H$2),0,MIN($E427-SUM($G427:AG427),$F427))</f>
        <v>0</v>
      </c>
      <c r="AI427" s="424">
        <f>IF(OR(AI$405&lt;$C427,AI$405&lt;$H$2),0,MIN($E427-SUM($G427:AH427),$F427))</f>
        <v>0</v>
      </c>
      <c r="AJ427" s="424">
        <f>IF(OR(AJ$405&lt;$C427,AJ$405&lt;$H$2),0,MIN($E427-SUM($G427:AI427),$F427))</f>
        <v>0</v>
      </c>
      <c r="AK427" s="424">
        <f>IF(OR(AK$405&lt;$C427,AK$405&lt;$H$2),0,MIN($E427-SUM($G427:AJ427),$F427))</f>
        <v>0</v>
      </c>
    </row>
    <row r="428" spans="3:37">
      <c r="C428" s="201">
        <v>53343</v>
      </c>
      <c r="D428" s="94" t="s">
        <v>134</v>
      </c>
      <c r="E428" s="424">
        <f t="shared" si="130"/>
        <v>0</v>
      </c>
      <c r="F428" s="209">
        <f t="shared" si="131"/>
        <v>0</v>
      </c>
      <c r="H428" s="424">
        <f>IF(OR(H$405&lt;$C428,H$405&lt;$H$2),0,MIN($E428-SUM($G428:G428),$F428))</f>
        <v>0</v>
      </c>
      <c r="I428" s="424">
        <f>IF(OR(I$405&lt;$C428,I$405&lt;$H$2),0,MIN($E428-SUM($G428:H428),$F428))</f>
        <v>0</v>
      </c>
      <c r="J428" s="424">
        <f>IF(OR(J$405&lt;$C428,J$405&lt;$H$2),0,MIN($E428-SUM($G428:I428),$F428))</f>
        <v>0</v>
      </c>
      <c r="K428" s="424">
        <f>IF(OR(K$405&lt;$C428,K$405&lt;$H$2),0,MIN($E428-SUM($G428:J428),$F428))</f>
        <v>0</v>
      </c>
      <c r="L428" s="424">
        <f>IF(OR(L$405&lt;$C428,L$405&lt;$H$2),0,MIN($E428-SUM($G428:K428),$F428))</f>
        <v>0</v>
      </c>
      <c r="M428" s="424">
        <f>IF(OR(M$405&lt;$C428,M$405&lt;$H$2),0,MIN($E428-SUM($G428:L428),$F428))</f>
        <v>0</v>
      </c>
      <c r="N428" s="424">
        <f>IF(OR(N$405&lt;$C428,N$405&lt;$H$2),0,MIN($E428-SUM($G428:M428),$F428))</f>
        <v>0</v>
      </c>
      <c r="O428" s="424">
        <f>IF(OR(O$405&lt;$C428,O$405&lt;$H$2),0,MIN($E428-SUM($G428:N428),$F428))</f>
        <v>0</v>
      </c>
      <c r="P428" s="424">
        <f>IF(OR(P$405&lt;$C428,P$405&lt;$H$2),0,MIN($E428-SUM($G428:O428),$F428))</f>
        <v>0</v>
      </c>
      <c r="Q428" s="424">
        <f>IF(OR(Q$405&lt;$C428,Q$405&lt;$H$2),0,MIN($E428-SUM($G428:P428),$F428))</f>
        <v>0</v>
      </c>
      <c r="R428" s="424">
        <f>IF(OR(R$405&lt;$C428,R$405&lt;$H$2),0,MIN($E428-SUM($G428:Q428),$F428))</f>
        <v>0</v>
      </c>
      <c r="S428" s="424">
        <f>IF(OR(S$405&lt;$C428,S$405&lt;$H$2),0,MIN($E428-SUM($G428:R428),$F428))</f>
        <v>0</v>
      </c>
      <c r="T428" s="424">
        <f>IF(OR(T$405&lt;$C428,T$405&lt;$H$2),0,MIN($E428-SUM($G428:S428),$F428))</f>
        <v>0</v>
      </c>
      <c r="U428" s="424">
        <f>IF(OR(U$405&lt;$C428,U$405&lt;$H$2),0,MIN($E428-SUM($G428:T428),$F428))</f>
        <v>0</v>
      </c>
      <c r="V428" s="424">
        <f>IF(OR(V$405&lt;$C428,V$405&lt;$H$2),0,MIN($E428-SUM($G428:U428),$F428))</f>
        <v>0</v>
      </c>
      <c r="W428" s="424">
        <f>IF(OR(W$405&lt;$C428,W$405&lt;$H$2),0,MIN($E428-SUM($G428:V428),$F428))</f>
        <v>0</v>
      </c>
      <c r="X428" s="424">
        <f>IF(OR(X$405&lt;$C428,X$405&lt;$H$2),0,MIN($E428-SUM($G428:W428),$F428))</f>
        <v>0</v>
      </c>
      <c r="Y428" s="424">
        <f>IF(OR(Y$405&lt;$C428,Y$405&lt;$H$2),0,MIN($E428-SUM($G428:X428),$F428))</f>
        <v>0</v>
      </c>
      <c r="Z428" s="424">
        <f>IF(OR(Z$405&lt;$C428,Z$405&lt;$H$2),0,MIN($E428-SUM($G428:Y428),$F428))</f>
        <v>0</v>
      </c>
      <c r="AA428" s="424">
        <f>IF(OR(AA$405&lt;$C428,AA$405&lt;$H$2),0,MIN($E428-SUM($G428:Z428),$F428))</f>
        <v>0</v>
      </c>
      <c r="AB428" s="424">
        <f>IF(OR(AB$405&lt;$C428,AB$405&lt;$H$2),0,MIN($E428-SUM($G428:AA428),$F428))</f>
        <v>0</v>
      </c>
      <c r="AC428" s="424">
        <f>IF(OR(AC$405&lt;$C428,AC$405&lt;$H$2),0,MIN($E428-SUM($G428:AB428),$F428))</f>
        <v>0</v>
      </c>
      <c r="AD428" s="424">
        <f>IF(OR(AD$405&lt;$C428,AD$405&lt;$H$2),0,MIN($E428-SUM($G428:AC428),$F428))</f>
        <v>0</v>
      </c>
      <c r="AE428" s="424">
        <f>IF(OR(AE$405&lt;$C428,AE$405&lt;$H$2),0,MIN($E428-SUM($G428:AD428),$F428))</f>
        <v>0</v>
      </c>
      <c r="AF428" s="424">
        <f>IF(OR(AF$405&lt;$C428,AF$405&lt;$H$2),0,MIN($E428-SUM($G428:AE428),$F428))</f>
        <v>0</v>
      </c>
      <c r="AG428" s="424">
        <f>IF(OR(AG$405&lt;$C428,AG$405&lt;$H$2),0,MIN($E428-SUM($G428:AF428),$F428))</f>
        <v>0</v>
      </c>
      <c r="AH428" s="424">
        <f>IF(OR(AH$405&lt;$C428,AH$405&lt;$H$2),0,MIN($E428-SUM($G428:AG428),$F428))</f>
        <v>0</v>
      </c>
      <c r="AI428" s="424">
        <f>IF(OR(AI$405&lt;$C428,AI$405&lt;$H$2),0,MIN($E428-SUM($G428:AH428),$F428))</f>
        <v>0</v>
      </c>
      <c r="AJ428" s="424">
        <f>IF(OR(AJ$405&lt;$C428,AJ$405&lt;$H$2),0,MIN($E428-SUM($G428:AI428),$F428))</f>
        <v>0</v>
      </c>
      <c r="AK428" s="424">
        <f>IF(OR(AK$405&lt;$C428,AK$405&lt;$H$2),0,MIN($E428-SUM($G428:AJ428),$F428))</f>
        <v>0</v>
      </c>
    </row>
    <row r="429" spans="3:37">
      <c r="C429" s="201">
        <v>53709</v>
      </c>
      <c r="D429" s="94" t="s">
        <v>134</v>
      </c>
      <c r="E429" s="424">
        <f t="shared" si="130"/>
        <v>0</v>
      </c>
      <c r="F429" s="209">
        <f t="shared" si="131"/>
        <v>0</v>
      </c>
      <c r="H429" s="424">
        <f>IF(OR(H$405&lt;$C429,H$405&lt;$H$2),0,MIN($E429-SUM($G429:G429),$F429))</f>
        <v>0</v>
      </c>
      <c r="I429" s="424">
        <f>IF(OR(I$405&lt;$C429,I$405&lt;$H$2),0,MIN($E429-SUM($G429:H429),$F429))</f>
        <v>0</v>
      </c>
      <c r="J429" s="424">
        <f>IF(OR(J$405&lt;$C429,J$405&lt;$H$2),0,MIN($E429-SUM($G429:I429),$F429))</f>
        <v>0</v>
      </c>
      <c r="K429" s="424">
        <f>IF(OR(K$405&lt;$C429,K$405&lt;$H$2),0,MIN($E429-SUM($G429:J429),$F429))</f>
        <v>0</v>
      </c>
      <c r="L429" s="424">
        <f>IF(OR(L$405&lt;$C429,L$405&lt;$H$2),0,MIN($E429-SUM($G429:K429),$F429))</f>
        <v>0</v>
      </c>
      <c r="M429" s="424">
        <f>IF(OR(M$405&lt;$C429,M$405&lt;$H$2),0,MIN($E429-SUM($G429:L429),$F429))</f>
        <v>0</v>
      </c>
      <c r="N429" s="424">
        <f>IF(OR(N$405&lt;$C429,N$405&lt;$H$2),0,MIN($E429-SUM($G429:M429),$F429))</f>
        <v>0</v>
      </c>
      <c r="O429" s="424">
        <f>IF(OR(O$405&lt;$C429,O$405&lt;$H$2),0,MIN($E429-SUM($G429:N429),$F429))</f>
        <v>0</v>
      </c>
      <c r="P429" s="424">
        <f>IF(OR(P$405&lt;$C429,P$405&lt;$H$2),0,MIN($E429-SUM($G429:O429),$F429))</f>
        <v>0</v>
      </c>
      <c r="Q429" s="424">
        <f>IF(OR(Q$405&lt;$C429,Q$405&lt;$H$2),0,MIN($E429-SUM($G429:P429),$F429))</f>
        <v>0</v>
      </c>
      <c r="R429" s="424">
        <f>IF(OR(R$405&lt;$C429,R$405&lt;$H$2),0,MIN($E429-SUM($G429:Q429),$F429))</f>
        <v>0</v>
      </c>
      <c r="S429" s="424">
        <f>IF(OR(S$405&lt;$C429,S$405&lt;$H$2),0,MIN($E429-SUM($G429:R429),$F429))</f>
        <v>0</v>
      </c>
      <c r="T429" s="424">
        <f>IF(OR(T$405&lt;$C429,T$405&lt;$H$2),0,MIN($E429-SUM($G429:S429),$F429))</f>
        <v>0</v>
      </c>
      <c r="U429" s="424">
        <f>IF(OR(U$405&lt;$C429,U$405&lt;$H$2),0,MIN($E429-SUM($G429:T429),$F429))</f>
        <v>0</v>
      </c>
      <c r="V429" s="424">
        <f>IF(OR(V$405&lt;$C429,V$405&lt;$H$2),0,MIN($E429-SUM($G429:U429),$F429))</f>
        <v>0</v>
      </c>
      <c r="W429" s="424">
        <f>IF(OR(W$405&lt;$C429,W$405&lt;$H$2),0,MIN($E429-SUM($G429:V429),$F429))</f>
        <v>0</v>
      </c>
      <c r="X429" s="424">
        <f>IF(OR(X$405&lt;$C429,X$405&lt;$H$2),0,MIN($E429-SUM($G429:W429),$F429))</f>
        <v>0</v>
      </c>
      <c r="Y429" s="424">
        <f>IF(OR(Y$405&lt;$C429,Y$405&lt;$H$2),0,MIN($E429-SUM($G429:X429),$F429))</f>
        <v>0</v>
      </c>
      <c r="Z429" s="424">
        <f>IF(OR(Z$405&lt;$C429,Z$405&lt;$H$2),0,MIN($E429-SUM($G429:Y429),$F429))</f>
        <v>0</v>
      </c>
      <c r="AA429" s="424">
        <f>IF(OR(AA$405&lt;$C429,AA$405&lt;$H$2),0,MIN($E429-SUM($G429:Z429),$F429))</f>
        <v>0</v>
      </c>
      <c r="AB429" s="424">
        <f>IF(OR(AB$405&lt;$C429,AB$405&lt;$H$2),0,MIN($E429-SUM($G429:AA429),$F429))</f>
        <v>0</v>
      </c>
      <c r="AC429" s="424">
        <f>IF(OR(AC$405&lt;$C429,AC$405&lt;$H$2),0,MIN($E429-SUM($G429:AB429),$F429))</f>
        <v>0</v>
      </c>
      <c r="AD429" s="424">
        <f>IF(OR(AD$405&lt;$C429,AD$405&lt;$H$2),0,MIN($E429-SUM($G429:AC429),$F429))</f>
        <v>0</v>
      </c>
      <c r="AE429" s="424">
        <f>IF(OR(AE$405&lt;$C429,AE$405&lt;$H$2),0,MIN($E429-SUM($G429:AD429),$F429))</f>
        <v>0</v>
      </c>
      <c r="AF429" s="424">
        <f>IF(OR(AF$405&lt;$C429,AF$405&lt;$H$2),0,MIN($E429-SUM($G429:AE429),$F429))</f>
        <v>0</v>
      </c>
      <c r="AG429" s="424">
        <f>IF(OR(AG$405&lt;$C429,AG$405&lt;$H$2),0,MIN($E429-SUM($G429:AF429),$F429))</f>
        <v>0</v>
      </c>
      <c r="AH429" s="424">
        <f>IF(OR(AH$405&lt;$C429,AH$405&lt;$H$2),0,MIN($E429-SUM($G429:AG429),$F429))</f>
        <v>0</v>
      </c>
      <c r="AI429" s="424">
        <f>IF(OR(AI$405&lt;$C429,AI$405&lt;$H$2),0,MIN($E429-SUM($G429:AH429),$F429))</f>
        <v>0</v>
      </c>
      <c r="AJ429" s="424">
        <f>IF(OR(AJ$405&lt;$C429,AJ$405&lt;$H$2),0,MIN($E429-SUM($G429:AI429),$F429))</f>
        <v>0</v>
      </c>
      <c r="AK429" s="424">
        <f>IF(OR(AK$405&lt;$C429,AK$405&lt;$H$2),0,MIN($E429-SUM($G429:AJ429),$F429))</f>
        <v>0</v>
      </c>
    </row>
    <row r="430" spans="3:37">
      <c r="C430" s="201">
        <v>54075</v>
      </c>
      <c r="D430" s="94" t="s">
        <v>134</v>
      </c>
      <c r="E430" s="424">
        <f t="shared" si="130"/>
        <v>0</v>
      </c>
      <c r="F430" s="209">
        <f t="shared" si="131"/>
        <v>0</v>
      </c>
      <c r="H430" s="424">
        <f>IF(OR(H$405&lt;$C430,H$405&lt;$H$2),0,MIN($E430-SUM($G430:G430),$F430))</f>
        <v>0</v>
      </c>
      <c r="I430" s="424">
        <f>IF(OR(I$405&lt;$C430,I$405&lt;$H$2),0,MIN($E430-SUM($G430:H430),$F430))</f>
        <v>0</v>
      </c>
      <c r="J430" s="424">
        <f>IF(OR(J$405&lt;$C430,J$405&lt;$H$2),0,MIN($E430-SUM($G430:I430),$F430))</f>
        <v>0</v>
      </c>
      <c r="K430" s="424">
        <f>IF(OR(K$405&lt;$C430,K$405&lt;$H$2),0,MIN($E430-SUM($G430:J430),$F430))</f>
        <v>0</v>
      </c>
      <c r="L430" s="424">
        <f>IF(OR(L$405&lt;$C430,L$405&lt;$H$2),0,MIN($E430-SUM($G430:K430),$F430))</f>
        <v>0</v>
      </c>
      <c r="M430" s="424">
        <f>IF(OR(M$405&lt;$C430,M$405&lt;$H$2),0,MIN($E430-SUM($G430:L430),$F430))</f>
        <v>0</v>
      </c>
      <c r="N430" s="424">
        <f>IF(OR(N$405&lt;$C430,N$405&lt;$H$2),0,MIN($E430-SUM($G430:M430),$F430))</f>
        <v>0</v>
      </c>
      <c r="O430" s="424">
        <f>IF(OR(O$405&lt;$C430,O$405&lt;$H$2),0,MIN($E430-SUM($G430:N430),$F430))</f>
        <v>0</v>
      </c>
      <c r="P430" s="424">
        <f>IF(OR(P$405&lt;$C430,P$405&lt;$H$2),0,MIN($E430-SUM($G430:O430),$F430))</f>
        <v>0</v>
      </c>
      <c r="Q430" s="424">
        <f>IF(OR(Q$405&lt;$C430,Q$405&lt;$H$2),0,MIN($E430-SUM($G430:P430),$F430))</f>
        <v>0</v>
      </c>
      <c r="R430" s="424">
        <f>IF(OR(R$405&lt;$C430,R$405&lt;$H$2),0,MIN($E430-SUM($G430:Q430),$F430))</f>
        <v>0</v>
      </c>
      <c r="S430" s="424">
        <f>IF(OR(S$405&lt;$C430,S$405&lt;$H$2),0,MIN($E430-SUM($G430:R430),$F430))</f>
        <v>0</v>
      </c>
      <c r="T430" s="424">
        <f>IF(OR(T$405&lt;$C430,T$405&lt;$H$2),0,MIN($E430-SUM($G430:S430),$F430))</f>
        <v>0</v>
      </c>
      <c r="U430" s="424">
        <f>IF(OR(U$405&lt;$C430,U$405&lt;$H$2),0,MIN($E430-SUM($G430:T430),$F430))</f>
        <v>0</v>
      </c>
      <c r="V430" s="424">
        <f>IF(OR(V$405&lt;$C430,V$405&lt;$H$2),0,MIN($E430-SUM($G430:U430),$F430))</f>
        <v>0</v>
      </c>
      <c r="W430" s="424">
        <f>IF(OR(W$405&lt;$C430,W$405&lt;$H$2),0,MIN($E430-SUM($G430:V430),$F430))</f>
        <v>0</v>
      </c>
      <c r="X430" s="424">
        <f>IF(OR(X$405&lt;$C430,X$405&lt;$H$2),0,MIN($E430-SUM($G430:W430),$F430))</f>
        <v>0</v>
      </c>
      <c r="Y430" s="424">
        <f>IF(OR(Y$405&lt;$C430,Y$405&lt;$H$2),0,MIN($E430-SUM($G430:X430),$F430))</f>
        <v>0</v>
      </c>
      <c r="Z430" s="424">
        <f>IF(OR(Z$405&lt;$C430,Z$405&lt;$H$2),0,MIN($E430-SUM($G430:Y430),$F430))</f>
        <v>0</v>
      </c>
      <c r="AA430" s="424">
        <f>IF(OR(AA$405&lt;$C430,AA$405&lt;$H$2),0,MIN($E430-SUM($G430:Z430),$F430))</f>
        <v>0</v>
      </c>
      <c r="AB430" s="424">
        <f>IF(OR(AB$405&lt;$C430,AB$405&lt;$H$2),0,MIN($E430-SUM($G430:AA430),$F430))</f>
        <v>0</v>
      </c>
      <c r="AC430" s="424">
        <f>IF(OR(AC$405&lt;$C430,AC$405&lt;$H$2),0,MIN($E430-SUM($G430:AB430),$F430))</f>
        <v>0</v>
      </c>
      <c r="AD430" s="424">
        <f>IF(OR(AD$405&lt;$C430,AD$405&lt;$H$2),0,MIN($E430-SUM($G430:AC430),$F430))</f>
        <v>0</v>
      </c>
      <c r="AE430" s="424">
        <f>IF(OR(AE$405&lt;$C430,AE$405&lt;$H$2),0,MIN($E430-SUM($G430:AD430),$F430))</f>
        <v>0</v>
      </c>
      <c r="AF430" s="424">
        <f>IF(OR(AF$405&lt;$C430,AF$405&lt;$H$2),0,MIN($E430-SUM($G430:AE430),$F430))</f>
        <v>0</v>
      </c>
      <c r="AG430" s="424">
        <f>IF(OR(AG$405&lt;$C430,AG$405&lt;$H$2),0,MIN($E430-SUM($G430:AF430),$F430))</f>
        <v>0</v>
      </c>
      <c r="AH430" s="424">
        <f>IF(OR(AH$405&lt;$C430,AH$405&lt;$H$2),0,MIN($E430-SUM($G430:AG430),$F430))</f>
        <v>0</v>
      </c>
      <c r="AI430" s="424">
        <f>IF(OR(AI$405&lt;$C430,AI$405&lt;$H$2),0,MIN($E430-SUM($G430:AH430),$F430))</f>
        <v>0</v>
      </c>
      <c r="AJ430" s="424">
        <f>IF(OR(AJ$405&lt;$C430,AJ$405&lt;$H$2),0,MIN($E430-SUM($G430:AI430),$F430))</f>
        <v>0</v>
      </c>
      <c r="AK430" s="424">
        <f>IF(OR(AK$405&lt;$C430,AK$405&lt;$H$2),0,MIN($E430-SUM($G430:AJ430),$F430))</f>
        <v>0</v>
      </c>
    </row>
    <row r="431" spans="3:37">
      <c r="C431" s="201">
        <v>0</v>
      </c>
      <c r="D431" s="94" t="s">
        <v>134</v>
      </c>
      <c r="E431" s="424">
        <f t="shared" si="130"/>
        <v>0</v>
      </c>
      <c r="F431" s="209">
        <f t="shared" si="131"/>
        <v>0</v>
      </c>
      <c r="H431" s="424">
        <f>IF(OR(H$405&lt;$C431,H$405&lt;$H$2),0,MIN($E431-SUM($G431:G431),$F431))</f>
        <v>0</v>
      </c>
      <c r="I431" s="424">
        <f>IF(OR(I$405&lt;$C431,I$405&lt;$H$2),0,MIN($E431-SUM($G431:H431),$F431))</f>
        <v>0</v>
      </c>
      <c r="J431" s="424">
        <f>IF(OR(J$405&lt;$C431,J$405&lt;$H$2),0,MIN($E431-SUM($G431:I431),$F431))</f>
        <v>0</v>
      </c>
      <c r="K431" s="424">
        <f>IF(OR(K$405&lt;$C431,K$405&lt;$H$2),0,MIN($E431-SUM($G431:J431),$F431))</f>
        <v>0</v>
      </c>
      <c r="L431" s="424">
        <f>IF(OR(L$405&lt;$C431,L$405&lt;$H$2),0,MIN($E431-SUM($G431:K431),$F431))</f>
        <v>0</v>
      </c>
      <c r="M431" s="424">
        <f>IF(OR(M$405&lt;$C431,M$405&lt;$H$2),0,MIN($E431-SUM($G431:L431),$F431))</f>
        <v>0</v>
      </c>
      <c r="N431" s="424">
        <f>IF(OR(N$405&lt;$C431,N$405&lt;$H$2),0,MIN($E431-SUM($G431:M431),$F431))</f>
        <v>0</v>
      </c>
      <c r="O431" s="424">
        <f>IF(OR(O$405&lt;$C431,O$405&lt;$H$2),0,MIN($E431-SUM($G431:N431),$F431))</f>
        <v>0</v>
      </c>
      <c r="P431" s="424">
        <f>IF(OR(P$405&lt;$C431,P$405&lt;$H$2),0,MIN($E431-SUM($G431:O431),$F431))</f>
        <v>0</v>
      </c>
      <c r="Q431" s="424">
        <f>IF(OR(Q$405&lt;$C431,Q$405&lt;$H$2),0,MIN($E431-SUM($G431:P431),$F431))</f>
        <v>0</v>
      </c>
      <c r="R431" s="424">
        <f>IF(OR(R$405&lt;$C431,R$405&lt;$H$2),0,MIN($E431-SUM($G431:Q431),$F431))</f>
        <v>0</v>
      </c>
      <c r="S431" s="424">
        <f>IF(OR(S$405&lt;$C431,S$405&lt;$H$2),0,MIN($E431-SUM($G431:R431),$F431))</f>
        <v>0</v>
      </c>
      <c r="T431" s="424">
        <f>IF(OR(T$405&lt;$C431,T$405&lt;$H$2),0,MIN($E431-SUM($G431:S431),$F431))</f>
        <v>0</v>
      </c>
      <c r="U431" s="424">
        <f>IF(OR(U$405&lt;$C431,U$405&lt;$H$2),0,MIN($E431-SUM($G431:T431),$F431))</f>
        <v>0</v>
      </c>
      <c r="V431" s="424">
        <f>IF(OR(V$405&lt;$C431,V$405&lt;$H$2),0,MIN($E431-SUM($G431:U431),$F431))</f>
        <v>0</v>
      </c>
      <c r="W431" s="424">
        <f>IF(OR(W$405&lt;$C431,W$405&lt;$H$2),0,MIN($E431-SUM($G431:V431),$F431))</f>
        <v>0</v>
      </c>
      <c r="X431" s="424">
        <f>IF(OR(X$405&lt;$C431,X$405&lt;$H$2),0,MIN($E431-SUM($G431:W431),$F431))</f>
        <v>0</v>
      </c>
      <c r="Y431" s="424">
        <f>IF(OR(Y$405&lt;$C431,Y$405&lt;$H$2),0,MIN($E431-SUM($G431:X431),$F431))</f>
        <v>0</v>
      </c>
      <c r="Z431" s="424">
        <f>IF(OR(Z$405&lt;$C431,Z$405&lt;$H$2),0,MIN($E431-SUM($G431:Y431),$F431))</f>
        <v>0</v>
      </c>
      <c r="AA431" s="424">
        <f>IF(OR(AA$405&lt;$C431,AA$405&lt;$H$2),0,MIN($E431-SUM($G431:Z431),$F431))</f>
        <v>0</v>
      </c>
      <c r="AB431" s="424">
        <f>IF(OR(AB$405&lt;$C431,AB$405&lt;$H$2),0,MIN($E431-SUM($G431:AA431),$F431))</f>
        <v>0</v>
      </c>
      <c r="AC431" s="424">
        <f>IF(OR(AC$405&lt;$C431,AC$405&lt;$H$2),0,MIN($E431-SUM($G431:AB431),$F431))</f>
        <v>0</v>
      </c>
      <c r="AD431" s="424">
        <f>IF(OR(AD$405&lt;$C431,AD$405&lt;$H$2),0,MIN($E431-SUM($G431:AC431),$F431))</f>
        <v>0</v>
      </c>
      <c r="AE431" s="424">
        <f>IF(OR(AE$405&lt;$C431,AE$405&lt;$H$2),0,MIN($E431-SUM($G431:AD431),$F431))</f>
        <v>0</v>
      </c>
      <c r="AF431" s="424">
        <f>IF(OR(AF$405&lt;$C431,AF$405&lt;$H$2),0,MIN($E431-SUM($G431:AE431),$F431))</f>
        <v>0</v>
      </c>
      <c r="AG431" s="424">
        <f>IF(OR(AG$405&lt;$C431,AG$405&lt;$H$2),0,MIN($E431-SUM($G431:AF431),$F431))</f>
        <v>0</v>
      </c>
      <c r="AH431" s="424">
        <f>IF(OR(AH$405&lt;$C431,AH$405&lt;$H$2),0,MIN($E431-SUM($G431:AG431),$F431))</f>
        <v>0</v>
      </c>
      <c r="AI431" s="424">
        <f>IF(OR(AI$405&lt;$C431,AI$405&lt;$H$2),0,MIN($E431-SUM($G431:AH431),$F431))</f>
        <v>0</v>
      </c>
      <c r="AJ431" s="424">
        <f>IF(OR(AJ$405&lt;$C431,AJ$405&lt;$H$2),0,MIN($E431-SUM($G431:AI431),$F431))</f>
        <v>0</v>
      </c>
      <c r="AK431" s="424">
        <f>IF(OR(AK$405&lt;$C431,AK$405&lt;$H$2),0,MIN($E431-SUM($G431:AJ431),$F431))</f>
        <v>0</v>
      </c>
    </row>
    <row r="432" spans="3:37">
      <c r="C432" s="201">
        <v>0</v>
      </c>
      <c r="D432" s="94" t="s">
        <v>134</v>
      </c>
      <c r="E432" s="424">
        <f t="shared" si="130"/>
        <v>0</v>
      </c>
      <c r="F432" s="209">
        <f t="shared" si="131"/>
        <v>0</v>
      </c>
      <c r="H432" s="424">
        <f>IF(OR(H$405&lt;$C432,H$405&lt;$H$2),0,MIN($E432-SUM($G432:G432),$F432))</f>
        <v>0</v>
      </c>
      <c r="I432" s="424">
        <f>IF(OR(I$405&lt;$C432,I$405&lt;$H$2),0,MIN($E432-SUM($G432:H432),$F432))</f>
        <v>0</v>
      </c>
      <c r="J432" s="424">
        <f>IF(OR(J$405&lt;$C432,J$405&lt;$H$2),0,MIN($E432-SUM($G432:I432),$F432))</f>
        <v>0</v>
      </c>
      <c r="K432" s="424">
        <f>IF(OR(K$405&lt;$C432,K$405&lt;$H$2),0,MIN($E432-SUM($G432:J432),$F432))</f>
        <v>0</v>
      </c>
      <c r="L432" s="424">
        <f>IF(OR(L$405&lt;$C432,L$405&lt;$H$2),0,MIN($E432-SUM($G432:K432),$F432))</f>
        <v>0</v>
      </c>
      <c r="M432" s="424">
        <f>IF(OR(M$405&lt;$C432,M$405&lt;$H$2),0,MIN($E432-SUM($G432:L432),$F432))</f>
        <v>0</v>
      </c>
      <c r="N432" s="424">
        <f>IF(OR(N$405&lt;$C432,N$405&lt;$H$2),0,MIN($E432-SUM($G432:M432),$F432))</f>
        <v>0</v>
      </c>
      <c r="O432" s="424">
        <f>IF(OR(O$405&lt;$C432,O$405&lt;$H$2),0,MIN($E432-SUM($G432:N432),$F432))</f>
        <v>0</v>
      </c>
      <c r="P432" s="424">
        <f>IF(OR(P$405&lt;$C432,P$405&lt;$H$2),0,MIN($E432-SUM($G432:O432),$F432))</f>
        <v>0</v>
      </c>
      <c r="Q432" s="424">
        <f>IF(OR(Q$405&lt;$C432,Q$405&lt;$H$2),0,MIN($E432-SUM($G432:P432),$F432))</f>
        <v>0</v>
      </c>
      <c r="R432" s="424">
        <f>IF(OR(R$405&lt;$C432,R$405&lt;$H$2),0,MIN($E432-SUM($G432:Q432),$F432))</f>
        <v>0</v>
      </c>
      <c r="S432" s="424">
        <f>IF(OR(S$405&lt;$C432,S$405&lt;$H$2),0,MIN($E432-SUM($G432:R432),$F432))</f>
        <v>0</v>
      </c>
      <c r="T432" s="424">
        <f>IF(OR(T$405&lt;$C432,T$405&lt;$H$2),0,MIN($E432-SUM($G432:S432),$F432))</f>
        <v>0</v>
      </c>
      <c r="U432" s="424">
        <f>IF(OR(U$405&lt;$C432,U$405&lt;$H$2),0,MIN($E432-SUM($G432:T432),$F432))</f>
        <v>0</v>
      </c>
      <c r="V432" s="424">
        <f>IF(OR(V$405&lt;$C432,V$405&lt;$H$2),0,MIN($E432-SUM($G432:U432),$F432))</f>
        <v>0</v>
      </c>
      <c r="W432" s="424">
        <f>IF(OR(W$405&lt;$C432,W$405&lt;$H$2),0,MIN($E432-SUM($G432:V432),$F432))</f>
        <v>0</v>
      </c>
      <c r="X432" s="424">
        <f>IF(OR(X$405&lt;$C432,X$405&lt;$H$2),0,MIN($E432-SUM($G432:W432),$F432))</f>
        <v>0</v>
      </c>
      <c r="Y432" s="424">
        <f>IF(OR(Y$405&lt;$C432,Y$405&lt;$H$2),0,MIN($E432-SUM($G432:X432),$F432))</f>
        <v>0</v>
      </c>
      <c r="Z432" s="424">
        <f>IF(OR(Z$405&lt;$C432,Z$405&lt;$H$2),0,MIN($E432-SUM($G432:Y432),$F432))</f>
        <v>0</v>
      </c>
      <c r="AA432" s="424">
        <f>IF(OR(AA$405&lt;$C432,AA$405&lt;$H$2),0,MIN($E432-SUM($G432:Z432),$F432))</f>
        <v>0</v>
      </c>
      <c r="AB432" s="424">
        <f>IF(OR(AB$405&lt;$C432,AB$405&lt;$H$2),0,MIN($E432-SUM($G432:AA432),$F432))</f>
        <v>0</v>
      </c>
      <c r="AC432" s="424">
        <f>IF(OR(AC$405&lt;$C432,AC$405&lt;$H$2),0,MIN($E432-SUM($G432:AB432),$F432))</f>
        <v>0</v>
      </c>
      <c r="AD432" s="424">
        <f>IF(OR(AD$405&lt;$C432,AD$405&lt;$H$2),0,MIN($E432-SUM($G432:AC432),$F432))</f>
        <v>0</v>
      </c>
      <c r="AE432" s="424">
        <f>IF(OR(AE$405&lt;$C432,AE$405&lt;$H$2),0,MIN($E432-SUM($G432:AD432),$F432))</f>
        <v>0</v>
      </c>
      <c r="AF432" s="424">
        <f>IF(OR(AF$405&lt;$C432,AF$405&lt;$H$2),0,MIN($E432-SUM($G432:AE432),$F432))</f>
        <v>0</v>
      </c>
      <c r="AG432" s="424">
        <f>IF(OR(AG$405&lt;$C432,AG$405&lt;$H$2),0,MIN($E432-SUM($G432:AF432),$F432))</f>
        <v>0</v>
      </c>
      <c r="AH432" s="424">
        <f>IF(OR(AH$405&lt;$C432,AH$405&lt;$H$2),0,MIN($E432-SUM($G432:AG432),$F432))</f>
        <v>0</v>
      </c>
      <c r="AI432" s="424">
        <f>IF(OR(AI$405&lt;$C432,AI$405&lt;$H$2),0,MIN($E432-SUM($G432:AH432),$F432))</f>
        <v>0</v>
      </c>
      <c r="AJ432" s="424">
        <f>IF(OR(AJ$405&lt;$C432,AJ$405&lt;$H$2),0,MIN($E432-SUM($G432:AI432),$F432))</f>
        <v>0</v>
      </c>
      <c r="AK432" s="424">
        <f>IF(OR(AK$405&lt;$C432,AK$405&lt;$H$2),0,MIN($E432-SUM($G432:AJ432),$F432))</f>
        <v>0</v>
      </c>
    </row>
    <row r="433" spans="3:37">
      <c r="C433" s="201">
        <v>0</v>
      </c>
      <c r="D433" s="94" t="s">
        <v>134</v>
      </c>
      <c r="E433" s="424">
        <f t="shared" si="130"/>
        <v>0</v>
      </c>
      <c r="F433" s="209">
        <f t="shared" si="131"/>
        <v>0</v>
      </c>
      <c r="H433" s="424">
        <f>IF(OR(H$405&lt;$C433,H$405&lt;$H$2),0,MIN($E433-SUM($G433:G433),$F433))</f>
        <v>0</v>
      </c>
      <c r="I433" s="424">
        <f>IF(OR(I$405&lt;$C433,I$405&lt;$H$2),0,MIN($E433-SUM($G433:H433),$F433))</f>
        <v>0</v>
      </c>
      <c r="J433" s="424">
        <f>IF(OR(J$405&lt;$C433,J$405&lt;$H$2),0,MIN($E433-SUM($G433:I433),$F433))</f>
        <v>0</v>
      </c>
      <c r="K433" s="424">
        <f>IF(OR(K$405&lt;$C433,K$405&lt;$H$2),0,MIN($E433-SUM($G433:J433),$F433))</f>
        <v>0</v>
      </c>
      <c r="L433" s="424">
        <f>IF(OR(L$405&lt;$C433,L$405&lt;$H$2),0,MIN($E433-SUM($G433:K433),$F433))</f>
        <v>0</v>
      </c>
      <c r="M433" s="424">
        <f>IF(OR(M$405&lt;$C433,M$405&lt;$H$2),0,MIN($E433-SUM($G433:L433),$F433))</f>
        <v>0</v>
      </c>
      <c r="N433" s="424">
        <f>IF(OR(N$405&lt;$C433,N$405&lt;$H$2),0,MIN($E433-SUM($G433:M433),$F433))</f>
        <v>0</v>
      </c>
      <c r="O433" s="424">
        <f>IF(OR(O$405&lt;$C433,O$405&lt;$H$2),0,MIN($E433-SUM($G433:N433),$F433))</f>
        <v>0</v>
      </c>
      <c r="P433" s="424">
        <f>IF(OR(P$405&lt;$C433,P$405&lt;$H$2),0,MIN($E433-SUM($G433:O433),$F433))</f>
        <v>0</v>
      </c>
      <c r="Q433" s="424">
        <f>IF(OR(Q$405&lt;$C433,Q$405&lt;$H$2),0,MIN($E433-SUM($G433:P433),$F433))</f>
        <v>0</v>
      </c>
      <c r="R433" s="424">
        <f>IF(OR(R$405&lt;$C433,R$405&lt;$H$2),0,MIN($E433-SUM($G433:Q433),$F433))</f>
        <v>0</v>
      </c>
      <c r="S433" s="424">
        <f>IF(OR(S$405&lt;$C433,S$405&lt;$H$2),0,MIN($E433-SUM($G433:R433),$F433))</f>
        <v>0</v>
      </c>
      <c r="T433" s="424">
        <f>IF(OR(T$405&lt;$C433,T$405&lt;$H$2),0,MIN($E433-SUM($G433:S433),$F433))</f>
        <v>0</v>
      </c>
      <c r="U433" s="424">
        <f>IF(OR(U$405&lt;$C433,U$405&lt;$H$2),0,MIN($E433-SUM($G433:T433),$F433))</f>
        <v>0</v>
      </c>
      <c r="V433" s="424">
        <f>IF(OR(V$405&lt;$C433,V$405&lt;$H$2),0,MIN($E433-SUM($G433:U433),$F433))</f>
        <v>0</v>
      </c>
      <c r="W433" s="424">
        <f>IF(OR(W$405&lt;$C433,W$405&lt;$H$2),0,MIN($E433-SUM($G433:V433),$F433))</f>
        <v>0</v>
      </c>
      <c r="X433" s="424">
        <f>IF(OR(X$405&lt;$C433,X$405&lt;$H$2),0,MIN($E433-SUM($G433:W433),$F433))</f>
        <v>0</v>
      </c>
      <c r="Y433" s="424">
        <f>IF(OR(Y$405&lt;$C433,Y$405&lt;$H$2),0,MIN($E433-SUM($G433:X433),$F433))</f>
        <v>0</v>
      </c>
      <c r="Z433" s="424">
        <f>IF(OR(Z$405&lt;$C433,Z$405&lt;$H$2),0,MIN($E433-SUM($G433:Y433),$F433))</f>
        <v>0</v>
      </c>
      <c r="AA433" s="424">
        <f>IF(OR(AA$405&lt;$C433,AA$405&lt;$H$2),0,MIN($E433-SUM($G433:Z433),$F433))</f>
        <v>0</v>
      </c>
      <c r="AB433" s="424">
        <f>IF(OR(AB$405&lt;$C433,AB$405&lt;$H$2),0,MIN($E433-SUM($G433:AA433),$F433))</f>
        <v>0</v>
      </c>
      <c r="AC433" s="424">
        <f>IF(OR(AC$405&lt;$C433,AC$405&lt;$H$2),0,MIN($E433-SUM($G433:AB433),$F433))</f>
        <v>0</v>
      </c>
      <c r="AD433" s="424">
        <f>IF(OR(AD$405&lt;$C433,AD$405&lt;$H$2),0,MIN($E433-SUM($G433:AC433),$F433))</f>
        <v>0</v>
      </c>
      <c r="AE433" s="424">
        <f>IF(OR(AE$405&lt;$C433,AE$405&lt;$H$2),0,MIN($E433-SUM($G433:AD433),$F433))</f>
        <v>0</v>
      </c>
      <c r="AF433" s="424">
        <f>IF(OR(AF$405&lt;$C433,AF$405&lt;$H$2),0,MIN($E433-SUM($G433:AE433),$F433))</f>
        <v>0</v>
      </c>
      <c r="AG433" s="424">
        <f>IF(OR(AG$405&lt;$C433,AG$405&lt;$H$2),0,MIN($E433-SUM($G433:AF433),$F433))</f>
        <v>0</v>
      </c>
      <c r="AH433" s="424">
        <f>IF(OR(AH$405&lt;$C433,AH$405&lt;$H$2),0,MIN($E433-SUM($G433:AG433),$F433))</f>
        <v>0</v>
      </c>
      <c r="AI433" s="424">
        <f>IF(OR(AI$405&lt;$C433,AI$405&lt;$H$2),0,MIN($E433-SUM($G433:AH433),$F433))</f>
        <v>0</v>
      </c>
      <c r="AJ433" s="424">
        <f>IF(OR(AJ$405&lt;$C433,AJ$405&lt;$H$2),0,MIN($E433-SUM($G433:AI433),$F433))</f>
        <v>0</v>
      </c>
      <c r="AK433" s="424">
        <f>IF(OR(AK$405&lt;$C433,AK$405&lt;$H$2),0,MIN($E433-SUM($G433:AJ433),$F433))</f>
        <v>0</v>
      </c>
    </row>
    <row r="434" spans="3:37">
      <c r="C434" s="201">
        <v>0</v>
      </c>
      <c r="D434" s="94" t="s">
        <v>134</v>
      </c>
      <c r="E434" s="424">
        <f t="shared" si="130"/>
        <v>0</v>
      </c>
      <c r="F434" s="209">
        <f t="shared" si="131"/>
        <v>0</v>
      </c>
      <c r="H434" s="424">
        <f>IF(OR(H$405&lt;$C434,H$405&lt;$H$2),0,MIN($E434-SUM($G434:G434),$F434))</f>
        <v>0</v>
      </c>
      <c r="I434" s="424">
        <f>IF(OR(I$405&lt;$C434,I$405&lt;$H$2),0,MIN($E434-SUM($G434:H434),$F434))</f>
        <v>0</v>
      </c>
      <c r="J434" s="424">
        <f>IF(OR(J$405&lt;$C434,J$405&lt;$H$2),0,MIN($E434-SUM($G434:I434),$F434))</f>
        <v>0</v>
      </c>
      <c r="K434" s="424">
        <f>IF(OR(K$405&lt;$C434,K$405&lt;$H$2),0,MIN($E434-SUM($G434:J434),$F434))</f>
        <v>0</v>
      </c>
      <c r="L434" s="424">
        <f>IF(OR(L$405&lt;$C434,L$405&lt;$H$2),0,MIN($E434-SUM($G434:K434),$F434))</f>
        <v>0</v>
      </c>
      <c r="M434" s="424">
        <f>IF(OR(M$405&lt;$C434,M$405&lt;$H$2),0,MIN($E434-SUM($G434:L434),$F434))</f>
        <v>0</v>
      </c>
      <c r="N434" s="424">
        <f>IF(OR(N$405&lt;$C434,N$405&lt;$H$2),0,MIN($E434-SUM($G434:M434),$F434))</f>
        <v>0</v>
      </c>
      <c r="O434" s="424">
        <f>IF(OR(O$405&lt;$C434,O$405&lt;$H$2),0,MIN($E434-SUM($G434:N434),$F434))</f>
        <v>0</v>
      </c>
      <c r="P434" s="424">
        <f>IF(OR(P$405&lt;$C434,P$405&lt;$H$2),0,MIN($E434-SUM($G434:O434),$F434))</f>
        <v>0</v>
      </c>
      <c r="Q434" s="424">
        <f>IF(OR(Q$405&lt;$C434,Q$405&lt;$H$2),0,MIN($E434-SUM($G434:P434),$F434))</f>
        <v>0</v>
      </c>
      <c r="R434" s="424">
        <f>IF(OR(R$405&lt;$C434,R$405&lt;$H$2),0,MIN($E434-SUM($G434:Q434),$F434))</f>
        <v>0</v>
      </c>
      <c r="S434" s="424">
        <f>IF(OR(S$405&lt;$C434,S$405&lt;$H$2),0,MIN($E434-SUM($G434:R434),$F434))</f>
        <v>0</v>
      </c>
      <c r="T434" s="424">
        <f>IF(OR(T$405&lt;$C434,T$405&lt;$H$2),0,MIN($E434-SUM($G434:S434),$F434))</f>
        <v>0</v>
      </c>
      <c r="U434" s="424">
        <f>IF(OR(U$405&lt;$C434,U$405&lt;$H$2),0,MIN($E434-SUM($G434:T434),$F434))</f>
        <v>0</v>
      </c>
      <c r="V434" s="424">
        <f>IF(OR(V$405&lt;$C434,V$405&lt;$H$2),0,MIN($E434-SUM($G434:U434),$F434))</f>
        <v>0</v>
      </c>
      <c r="W434" s="424">
        <f>IF(OR(W$405&lt;$C434,W$405&lt;$H$2),0,MIN($E434-SUM($G434:V434),$F434))</f>
        <v>0</v>
      </c>
      <c r="X434" s="424">
        <f>IF(OR(X$405&lt;$C434,X$405&lt;$H$2),0,MIN($E434-SUM($G434:W434),$F434))</f>
        <v>0</v>
      </c>
      <c r="Y434" s="424">
        <f>IF(OR(Y$405&lt;$C434,Y$405&lt;$H$2),0,MIN($E434-SUM($G434:X434),$F434))</f>
        <v>0</v>
      </c>
      <c r="Z434" s="424">
        <f>IF(OR(Z$405&lt;$C434,Z$405&lt;$H$2),0,MIN($E434-SUM($G434:Y434),$F434))</f>
        <v>0</v>
      </c>
      <c r="AA434" s="424">
        <f>IF(OR(AA$405&lt;$C434,AA$405&lt;$H$2),0,MIN($E434-SUM($G434:Z434),$F434))</f>
        <v>0</v>
      </c>
      <c r="AB434" s="424">
        <f>IF(OR(AB$405&lt;$C434,AB$405&lt;$H$2),0,MIN($E434-SUM($G434:AA434),$F434))</f>
        <v>0</v>
      </c>
      <c r="AC434" s="424">
        <f>IF(OR(AC$405&lt;$C434,AC$405&lt;$H$2),0,MIN($E434-SUM($G434:AB434),$F434))</f>
        <v>0</v>
      </c>
      <c r="AD434" s="424">
        <f>IF(OR(AD$405&lt;$C434,AD$405&lt;$H$2),0,MIN($E434-SUM($G434:AC434),$F434))</f>
        <v>0</v>
      </c>
      <c r="AE434" s="424">
        <f>IF(OR(AE$405&lt;$C434,AE$405&lt;$H$2),0,MIN($E434-SUM($G434:AD434),$F434))</f>
        <v>0</v>
      </c>
      <c r="AF434" s="424">
        <f>IF(OR(AF$405&lt;$C434,AF$405&lt;$H$2),0,MIN($E434-SUM($G434:AE434),$F434))</f>
        <v>0</v>
      </c>
      <c r="AG434" s="424">
        <f>IF(OR(AG$405&lt;$C434,AG$405&lt;$H$2),0,MIN($E434-SUM($G434:AF434),$F434))</f>
        <v>0</v>
      </c>
      <c r="AH434" s="424">
        <f>IF(OR(AH$405&lt;$C434,AH$405&lt;$H$2),0,MIN($E434-SUM($G434:AG434),$F434))</f>
        <v>0</v>
      </c>
      <c r="AI434" s="424">
        <f>IF(OR(AI$405&lt;$C434,AI$405&lt;$H$2),0,MIN($E434-SUM($G434:AH434),$F434))</f>
        <v>0</v>
      </c>
      <c r="AJ434" s="424">
        <f>IF(OR(AJ$405&lt;$C434,AJ$405&lt;$H$2),0,MIN($E434-SUM($G434:AI434),$F434))</f>
        <v>0</v>
      </c>
      <c r="AK434" s="424">
        <f>IF(OR(AK$405&lt;$C434,AK$405&lt;$H$2),0,MIN($E434-SUM($G434:AJ434),$F434))</f>
        <v>0</v>
      </c>
    </row>
    <row r="435" spans="3:37">
      <c r="C435" s="201">
        <v>0</v>
      </c>
      <c r="D435" s="94" t="s">
        <v>134</v>
      </c>
      <c r="E435" s="424">
        <f t="shared" si="130"/>
        <v>0</v>
      </c>
      <c r="F435" s="209">
        <f t="shared" si="131"/>
        <v>0</v>
      </c>
      <c r="H435" s="424">
        <f>IF(OR(H$405&lt;$C435,H$405&lt;$H$2),0,MIN($E435-SUM($G435:G435),$F435))</f>
        <v>0</v>
      </c>
      <c r="I435" s="424">
        <f>IF(OR(I$405&lt;$C435,I$405&lt;$H$2),0,MIN($E435-SUM($G435:H435),$F435))</f>
        <v>0</v>
      </c>
      <c r="J435" s="424">
        <f>IF(OR(J$405&lt;$C435,J$405&lt;$H$2),0,MIN($E435-SUM($G435:I435),$F435))</f>
        <v>0</v>
      </c>
      <c r="K435" s="424">
        <f>IF(OR(K$405&lt;$C435,K$405&lt;$H$2),0,MIN($E435-SUM($G435:J435),$F435))</f>
        <v>0</v>
      </c>
      <c r="L435" s="424">
        <f>IF(OR(L$405&lt;$C435,L$405&lt;$H$2),0,MIN($E435-SUM($G435:K435),$F435))</f>
        <v>0</v>
      </c>
      <c r="M435" s="424">
        <f>IF(OR(M$405&lt;$C435,M$405&lt;$H$2),0,MIN($E435-SUM($G435:L435),$F435))</f>
        <v>0</v>
      </c>
      <c r="N435" s="424">
        <f>IF(OR(N$405&lt;$C435,N$405&lt;$H$2),0,MIN($E435-SUM($G435:M435),$F435))</f>
        <v>0</v>
      </c>
      <c r="O435" s="424">
        <f>IF(OR(O$405&lt;$C435,O$405&lt;$H$2),0,MIN($E435-SUM($G435:N435),$F435))</f>
        <v>0</v>
      </c>
      <c r="P435" s="424">
        <f>IF(OR(P$405&lt;$C435,P$405&lt;$H$2),0,MIN($E435-SUM($G435:O435),$F435))</f>
        <v>0</v>
      </c>
      <c r="Q435" s="424">
        <f>IF(OR(Q$405&lt;$C435,Q$405&lt;$H$2),0,MIN($E435-SUM($G435:P435),$F435))</f>
        <v>0</v>
      </c>
      <c r="R435" s="424">
        <f>IF(OR(R$405&lt;$C435,R$405&lt;$H$2),0,MIN($E435-SUM($G435:Q435),$F435))</f>
        <v>0</v>
      </c>
      <c r="S435" s="424">
        <f>IF(OR(S$405&lt;$C435,S$405&lt;$H$2),0,MIN($E435-SUM($G435:R435),$F435))</f>
        <v>0</v>
      </c>
      <c r="T435" s="424">
        <f>IF(OR(T$405&lt;$C435,T$405&lt;$H$2),0,MIN($E435-SUM($G435:S435),$F435))</f>
        <v>0</v>
      </c>
      <c r="U435" s="424">
        <f>IF(OR(U$405&lt;$C435,U$405&lt;$H$2),0,MIN($E435-SUM($G435:T435),$F435))</f>
        <v>0</v>
      </c>
      <c r="V435" s="424">
        <f>IF(OR(V$405&lt;$C435,V$405&lt;$H$2),0,MIN($E435-SUM($G435:U435),$F435))</f>
        <v>0</v>
      </c>
      <c r="W435" s="424">
        <f>IF(OR(W$405&lt;$C435,W$405&lt;$H$2),0,MIN($E435-SUM($G435:V435),$F435))</f>
        <v>0</v>
      </c>
      <c r="X435" s="424">
        <f>IF(OR(X$405&lt;$C435,X$405&lt;$H$2),0,MIN($E435-SUM($G435:W435),$F435))</f>
        <v>0</v>
      </c>
      <c r="Y435" s="424">
        <f>IF(OR(Y$405&lt;$C435,Y$405&lt;$H$2),0,MIN($E435-SUM($G435:X435),$F435))</f>
        <v>0</v>
      </c>
      <c r="Z435" s="424">
        <f>IF(OR(Z$405&lt;$C435,Z$405&lt;$H$2),0,MIN($E435-SUM($G435:Y435),$F435))</f>
        <v>0</v>
      </c>
      <c r="AA435" s="424">
        <f>IF(OR(AA$405&lt;$C435,AA$405&lt;$H$2),0,MIN($E435-SUM($G435:Z435),$F435))</f>
        <v>0</v>
      </c>
      <c r="AB435" s="424">
        <f>IF(OR(AB$405&lt;$C435,AB$405&lt;$H$2),0,MIN($E435-SUM($G435:AA435),$F435))</f>
        <v>0</v>
      </c>
      <c r="AC435" s="424">
        <f>IF(OR(AC$405&lt;$C435,AC$405&lt;$H$2),0,MIN($E435-SUM($G435:AB435),$F435))</f>
        <v>0</v>
      </c>
      <c r="AD435" s="424">
        <f>IF(OR(AD$405&lt;$C435,AD$405&lt;$H$2),0,MIN($E435-SUM($G435:AC435),$F435))</f>
        <v>0</v>
      </c>
      <c r="AE435" s="424">
        <f>IF(OR(AE$405&lt;$C435,AE$405&lt;$H$2),0,MIN($E435-SUM($G435:AD435),$F435))</f>
        <v>0</v>
      </c>
      <c r="AF435" s="424">
        <f>IF(OR(AF$405&lt;$C435,AF$405&lt;$H$2),0,MIN($E435-SUM($G435:AE435),$F435))</f>
        <v>0</v>
      </c>
      <c r="AG435" s="424">
        <f>IF(OR(AG$405&lt;$C435,AG$405&lt;$H$2),0,MIN($E435-SUM($G435:AF435),$F435))</f>
        <v>0</v>
      </c>
      <c r="AH435" s="424">
        <f>IF(OR(AH$405&lt;$C435,AH$405&lt;$H$2),0,MIN($E435-SUM($G435:AG435),$F435))</f>
        <v>0</v>
      </c>
      <c r="AI435" s="424">
        <f>IF(OR(AI$405&lt;$C435,AI$405&lt;$H$2),0,MIN($E435-SUM($G435:AH435),$F435))</f>
        <v>0</v>
      </c>
      <c r="AJ435" s="424">
        <f>IF(OR(AJ$405&lt;$C435,AJ$405&lt;$H$2),0,MIN($E435-SUM($G435:AI435),$F435))</f>
        <v>0</v>
      </c>
      <c r="AK435" s="424">
        <f>IF(OR(AK$405&lt;$C435,AK$405&lt;$H$2),0,MIN($E435-SUM($G435:AJ435),$F435))</f>
        <v>0</v>
      </c>
    </row>
    <row r="436" spans="3:37">
      <c r="C436" s="201">
        <v>0</v>
      </c>
      <c r="D436" s="94" t="s">
        <v>134</v>
      </c>
      <c r="E436" s="424">
        <f t="shared" si="130"/>
        <v>0</v>
      </c>
      <c r="F436" s="209">
        <f t="shared" si="131"/>
        <v>0</v>
      </c>
      <c r="H436" s="424">
        <f>IF(OR(H$405&lt;$C436,H$405&lt;$H$2),0,MIN($E436-SUM($G436:G436),$F436))</f>
        <v>0</v>
      </c>
      <c r="I436" s="424">
        <f>IF(OR(I$405&lt;$C436,I$405&lt;$H$2),0,MIN($E436-SUM($G436:H436),$F436))</f>
        <v>0</v>
      </c>
      <c r="J436" s="424">
        <f>IF(OR(J$405&lt;$C436,J$405&lt;$H$2),0,MIN($E436-SUM($G436:I436),$F436))</f>
        <v>0</v>
      </c>
      <c r="K436" s="424">
        <f>IF(OR(K$405&lt;$C436,K$405&lt;$H$2),0,MIN($E436-SUM($G436:J436),$F436))</f>
        <v>0</v>
      </c>
      <c r="L436" s="424">
        <f>IF(OR(L$405&lt;$C436,L$405&lt;$H$2),0,MIN($E436-SUM($G436:K436),$F436))</f>
        <v>0</v>
      </c>
      <c r="M436" s="424">
        <f>IF(OR(M$405&lt;$C436,M$405&lt;$H$2),0,MIN($E436-SUM($G436:L436),$F436))</f>
        <v>0</v>
      </c>
      <c r="N436" s="424">
        <f>IF(OR(N$405&lt;$C436,N$405&lt;$H$2),0,MIN($E436-SUM($G436:M436),$F436))</f>
        <v>0</v>
      </c>
      <c r="O436" s="424">
        <f>IF(OR(O$405&lt;$C436,O$405&lt;$H$2),0,MIN($E436-SUM($G436:N436),$F436))</f>
        <v>0</v>
      </c>
      <c r="P436" s="424">
        <f>IF(OR(P$405&lt;$C436,P$405&lt;$H$2),0,MIN($E436-SUM($G436:O436),$F436))</f>
        <v>0</v>
      </c>
      <c r="Q436" s="424">
        <f>IF(OR(Q$405&lt;$C436,Q$405&lt;$H$2),0,MIN($E436-SUM($G436:P436),$F436))</f>
        <v>0</v>
      </c>
      <c r="R436" s="424">
        <f>IF(OR(R$405&lt;$C436,R$405&lt;$H$2),0,MIN($E436-SUM($G436:Q436),$F436))</f>
        <v>0</v>
      </c>
      <c r="S436" s="424">
        <f>IF(OR(S$405&lt;$C436,S$405&lt;$H$2),0,MIN($E436-SUM($G436:R436),$F436))</f>
        <v>0</v>
      </c>
      <c r="T436" s="424">
        <f>IF(OR(T$405&lt;$C436,T$405&lt;$H$2),0,MIN($E436-SUM($G436:S436),$F436))</f>
        <v>0</v>
      </c>
      <c r="U436" s="424">
        <f>IF(OR(U$405&lt;$C436,U$405&lt;$H$2),0,MIN($E436-SUM($G436:T436),$F436))</f>
        <v>0</v>
      </c>
      <c r="V436" s="424">
        <f>IF(OR(V$405&lt;$C436,V$405&lt;$H$2),0,MIN($E436-SUM($G436:U436),$F436))</f>
        <v>0</v>
      </c>
      <c r="W436" s="424">
        <f>IF(OR(W$405&lt;$C436,W$405&lt;$H$2),0,MIN($E436-SUM($G436:V436),$F436))</f>
        <v>0</v>
      </c>
      <c r="X436" s="424">
        <f>IF(OR(X$405&lt;$C436,X$405&lt;$H$2),0,MIN($E436-SUM($G436:W436),$F436))</f>
        <v>0</v>
      </c>
      <c r="Y436" s="424">
        <f>IF(OR(Y$405&lt;$C436,Y$405&lt;$H$2),0,MIN($E436-SUM($G436:X436),$F436))</f>
        <v>0</v>
      </c>
      <c r="Z436" s="424">
        <f>IF(OR(Z$405&lt;$C436,Z$405&lt;$H$2),0,MIN($E436-SUM($G436:Y436),$F436))</f>
        <v>0</v>
      </c>
      <c r="AA436" s="424">
        <f>IF(OR(AA$405&lt;$C436,AA$405&lt;$H$2),0,MIN($E436-SUM($G436:Z436),$F436))</f>
        <v>0</v>
      </c>
      <c r="AB436" s="424">
        <f>IF(OR(AB$405&lt;$C436,AB$405&lt;$H$2),0,MIN($E436-SUM($G436:AA436),$F436))</f>
        <v>0</v>
      </c>
      <c r="AC436" s="424">
        <f>IF(OR(AC$405&lt;$C436,AC$405&lt;$H$2),0,MIN($E436-SUM($G436:AB436),$F436))</f>
        <v>0</v>
      </c>
      <c r="AD436" s="424">
        <f>IF(OR(AD$405&lt;$C436,AD$405&lt;$H$2),0,MIN($E436-SUM($G436:AC436),$F436))</f>
        <v>0</v>
      </c>
      <c r="AE436" s="424">
        <f>IF(OR(AE$405&lt;$C436,AE$405&lt;$H$2),0,MIN($E436-SUM($G436:AD436),$F436))</f>
        <v>0</v>
      </c>
      <c r="AF436" s="424">
        <f>IF(OR(AF$405&lt;$C436,AF$405&lt;$H$2),0,MIN($E436-SUM($G436:AE436),$F436))</f>
        <v>0</v>
      </c>
      <c r="AG436" s="424">
        <f>IF(OR(AG$405&lt;$C436,AG$405&lt;$H$2),0,MIN($E436-SUM($G436:AF436),$F436))</f>
        <v>0</v>
      </c>
      <c r="AH436" s="424">
        <f>IF(OR(AH$405&lt;$C436,AH$405&lt;$H$2),0,MIN($E436-SUM($G436:AG436),$F436))</f>
        <v>0</v>
      </c>
      <c r="AI436" s="424">
        <f>IF(OR(AI$405&lt;$C436,AI$405&lt;$H$2),0,MIN($E436-SUM($G436:AH436),$F436))</f>
        <v>0</v>
      </c>
      <c r="AJ436" s="424">
        <f>IF(OR(AJ$405&lt;$C436,AJ$405&lt;$H$2),0,MIN($E436-SUM($G436:AI436),$F436))</f>
        <v>0</v>
      </c>
      <c r="AK436" s="424">
        <f>IF(OR(AK$405&lt;$C436,AK$405&lt;$H$2),0,MIN($E436-SUM($G436:AJ436),$F436))</f>
        <v>0</v>
      </c>
    </row>
    <row r="437" spans="3:37">
      <c r="C437" s="201">
        <v>0</v>
      </c>
      <c r="D437" s="94" t="s">
        <v>134</v>
      </c>
      <c r="E437" s="424">
        <f t="shared" si="130"/>
        <v>0</v>
      </c>
      <c r="F437" s="209">
        <f t="shared" si="131"/>
        <v>0</v>
      </c>
      <c r="H437" s="424">
        <f>IF(OR(H$405&lt;$C437,H$405&lt;$H$2),0,MIN($E437-SUM($G437:G437),$F437))</f>
        <v>0</v>
      </c>
      <c r="I437" s="424">
        <f>IF(OR(I$405&lt;$C437,I$405&lt;$H$2),0,MIN($E437-SUM($G437:H437),$F437))</f>
        <v>0</v>
      </c>
      <c r="J437" s="424">
        <f>IF(OR(J$405&lt;$C437,J$405&lt;$H$2),0,MIN($E437-SUM($G437:I437),$F437))</f>
        <v>0</v>
      </c>
      <c r="K437" s="424">
        <f>IF(OR(K$405&lt;$C437,K$405&lt;$H$2),0,MIN($E437-SUM($G437:J437),$F437))</f>
        <v>0</v>
      </c>
      <c r="L437" s="424">
        <f>IF(OR(L$405&lt;$C437,L$405&lt;$H$2),0,MIN($E437-SUM($G437:K437),$F437))</f>
        <v>0</v>
      </c>
      <c r="M437" s="424">
        <f>IF(OR(M$405&lt;$C437,M$405&lt;$H$2),0,MIN($E437-SUM($G437:L437),$F437))</f>
        <v>0</v>
      </c>
      <c r="N437" s="424">
        <f>IF(OR(N$405&lt;$C437,N$405&lt;$H$2),0,MIN($E437-SUM($G437:M437),$F437))</f>
        <v>0</v>
      </c>
      <c r="O437" s="424">
        <f>IF(OR(O$405&lt;$C437,O$405&lt;$H$2),0,MIN($E437-SUM($G437:N437),$F437))</f>
        <v>0</v>
      </c>
      <c r="P437" s="424">
        <f>IF(OR(P$405&lt;$C437,P$405&lt;$H$2),0,MIN($E437-SUM($G437:O437),$F437))</f>
        <v>0</v>
      </c>
      <c r="Q437" s="424">
        <f>IF(OR(Q$405&lt;$C437,Q$405&lt;$H$2),0,MIN($E437-SUM($G437:P437),$F437))</f>
        <v>0</v>
      </c>
      <c r="R437" s="424">
        <f>IF(OR(R$405&lt;$C437,R$405&lt;$H$2),0,MIN($E437-SUM($G437:Q437),$F437))</f>
        <v>0</v>
      </c>
      <c r="S437" s="424">
        <f>IF(OR(S$405&lt;$C437,S$405&lt;$H$2),0,MIN($E437-SUM($G437:R437),$F437))</f>
        <v>0</v>
      </c>
      <c r="T437" s="424">
        <f>IF(OR(T$405&lt;$C437,T$405&lt;$H$2),0,MIN($E437-SUM($G437:S437),$F437))</f>
        <v>0</v>
      </c>
      <c r="U437" s="424">
        <f>IF(OR(U$405&lt;$C437,U$405&lt;$H$2),0,MIN($E437-SUM($G437:T437),$F437))</f>
        <v>0</v>
      </c>
      <c r="V437" s="424">
        <f>IF(OR(V$405&lt;$C437,V$405&lt;$H$2),0,MIN($E437-SUM($G437:U437),$F437))</f>
        <v>0</v>
      </c>
      <c r="W437" s="424">
        <f>IF(OR(W$405&lt;$C437,W$405&lt;$H$2),0,MIN($E437-SUM($G437:V437),$F437))</f>
        <v>0</v>
      </c>
      <c r="X437" s="424">
        <f>IF(OR(X$405&lt;$C437,X$405&lt;$H$2),0,MIN($E437-SUM($G437:W437),$F437))</f>
        <v>0</v>
      </c>
      <c r="Y437" s="424">
        <f>IF(OR(Y$405&lt;$C437,Y$405&lt;$H$2),0,MIN($E437-SUM($G437:X437),$F437))</f>
        <v>0</v>
      </c>
      <c r="Z437" s="424">
        <f>IF(OR(Z$405&lt;$C437,Z$405&lt;$H$2),0,MIN($E437-SUM($G437:Y437),$F437))</f>
        <v>0</v>
      </c>
      <c r="AA437" s="424">
        <f>IF(OR(AA$405&lt;$C437,AA$405&lt;$H$2),0,MIN($E437-SUM($G437:Z437),$F437))</f>
        <v>0</v>
      </c>
      <c r="AB437" s="424">
        <f>IF(OR(AB$405&lt;$C437,AB$405&lt;$H$2),0,MIN($E437-SUM($G437:AA437),$F437))</f>
        <v>0</v>
      </c>
      <c r="AC437" s="424">
        <f>IF(OR(AC$405&lt;$C437,AC$405&lt;$H$2),0,MIN($E437-SUM($G437:AB437),$F437))</f>
        <v>0</v>
      </c>
      <c r="AD437" s="424">
        <f>IF(OR(AD$405&lt;$C437,AD$405&lt;$H$2),0,MIN($E437-SUM($G437:AC437),$F437))</f>
        <v>0</v>
      </c>
      <c r="AE437" s="424">
        <f>IF(OR(AE$405&lt;$C437,AE$405&lt;$H$2),0,MIN($E437-SUM($G437:AD437),$F437))</f>
        <v>0</v>
      </c>
      <c r="AF437" s="424">
        <f>IF(OR(AF$405&lt;$C437,AF$405&lt;$H$2),0,MIN($E437-SUM($G437:AE437),$F437))</f>
        <v>0</v>
      </c>
      <c r="AG437" s="424">
        <f>IF(OR(AG$405&lt;$C437,AG$405&lt;$H$2),0,MIN($E437-SUM($G437:AF437),$F437))</f>
        <v>0</v>
      </c>
      <c r="AH437" s="424">
        <f>IF(OR(AH$405&lt;$C437,AH$405&lt;$H$2),0,MIN($E437-SUM($G437:AG437),$F437))</f>
        <v>0</v>
      </c>
      <c r="AI437" s="424">
        <f>IF(OR(AI$405&lt;$C437,AI$405&lt;$H$2),0,MIN($E437-SUM($G437:AH437),$F437))</f>
        <v>0</v>
      </c>
      <c r="AJ437" s="424">
        <f>IF(OR(AJ$405&lt;$C437,AJ$405&lt;$H$2),0,MIN($E437-SUM($G437:AI437),$F437))</f>
        <v>0</v>
      </c>
      <c r="AK437" s="424">
        <f>IF(OR(AK$405&lt;$C437,AK$405&lt;$H$2),0,MIN($E437-SUM($G437:AJ437),$F437))</f>
        <v>0</v>
      </c>
    </row>
    <row r="438" spans="3:37" ht="14" thickBot="1">
      <c r="C438" s="240" t="s">
        <v>543</v>
      </c>
      <c r="D438" s="348" t="s">
        <v>134</v>
      </c>
      <c r="E438" s="427">
        <f>SUM(E408:E437)</f>
        <v>0</v>
      </c>
      <c r="F438" s="427">
        <f>SUM(F408:F437)</f>
        <v>0</v>
      </c>
      <c r="G438" s="348"/>
      <c r="H438" s="427">
        <f t="shared" ref="H438:AK438" si="132">SUM(H408:H437)</f>
        <v>0</v>
      </c>
      <c r="I438" s="427">
        <f t="shared" si="132"/>
        <v>0</v>
      </c>
      <c r="J438" s="427">
        <f t="shared" si="132"/>
        <v>0</v>
      </c>
      <c r="K438" s="427">
        <f t="shared" si="132"/>
        <v>0</v>
      </c>
      <c r="L438" s="427">
        <f t="shared" si="132"/>
        <v>0</v>
      </c>
      <c r="M438" s="427">
        <f t="shared" si="132"/>
        <v>0</v>
      </c>
      <c r="N438" s="427">
        <f t="shared" si="132"/>
        <v>0</v>
      </c>
      <c r="O438" s="427">
        <f t="shared" si="132"/>
        <v>0</v>
      </c>
      <c r="P438" s="427">
        <f t="shared" si="132"/>
        <v>0</v>
      </c>
      <c r="Q438" s="427">
        <f t="shared" si="132"/>
        <v>0</v>
      </c>
      <c r="R438" s="427">
        <f t="shared" si="132"/>
        <v>0</v>
      </c>
      <c r="S438" s="427">
        <f t="shared" si="132"/>
        <v>0</v>
      </c>
      <c r="T438" s="427">
        <f t="shared" si="132"/>
        <v>0</v>
      </c>
      <c r="U438" s="427">
        <f t="shared" si="132"/>
        <v>0</v>
      </c>
      <c r="V438" s="427">
        <f t="shared" si="132"/>
        <v>0</v>
      </c>
      <c r="W438" s="427">
        <f t="shared" si="132"/>
        <v>0</v>
      </c>
      <c r="X438" s="427">
        <f t="shared" si="132"/>
        <v>0</v>
      </c>
      <c r="Y438" s="427">
        <f t="shared" si="132"/>
        <v>0</v>
      </c>
      <c r="Z438" s="427">
        <f t="shared" si="132"/>
        <v>0</v>
      </c>
      <c r="AA438" s="427">
        <f t="shared" si="132"/>
        <v>0</v>
      </c>
      <c r="AB438" s="427">
        <f t="shared" si="132"/>
        <v>0</v>
      </c>
      <c r="AC438" s="427">
        <f t="shared" si="132"/>
        <v>0</v>
      </c>
      <c r="AD438" s="427">
        <f t="shared" si="132"/>
        <v>0</v>
      </c>
      <c r="AE438" s="427">
        <f t="shared" si="132"/>
        <v>0</v>
      </c>
      <c r="AF438" s="427">
        <f t="shared" si="132"/>
        <v>0</v>
      </c>
      <c r="AG438" s="427">
        <f t="shared" si="132"/>
        <v>0</v>
      </c>
      <c r="AH438" s="427">
        <f t="shared" si="132"/>
        <v>0</v>
      </c>
      <c r="AI438" s="427">
        <f t="shared" si="132"/>
        <v>0</v>
      </c>
      <c r="AJ438" s="427">
        <f t="shared" si="132"/>
        <v>0</v>
      </c>
      <c r="AK438" s="427">
        <f t="shared" si="132"/>
        <v>0</v>
      </c>
    </row>
    <row r="439" spans="3:37" ht="14" thickTop="1"/>
    <row r="440" spans="3:37" ht="28">
      <c r="C440" s="428" t="s">
        <v>166</v>
      </c>
      <c r="D440" s="428" t="s">
        <v>88</v>
      </c>
      <c r="E440" s="428" t="s">
        <v>555</v>
      </c>
      <c r="F440" s="429" t="s">
        <v>556</v>
      </c>
      <c r="G440" s="430"/>
      <c r="H440" s="201">
        <f t="shared" ref="H440:AK441" si="133">H405</f>
        <v>46023</v>
      </c>
      <c r="I440" s="201">
        <f t="shared" si="133"/>
        <v>46389</v>
      </c>
      <c r="J440" s="201">
        <f t="shared" si="133"/>
        <v>46755</v>
      </c>
      <c r="K440" s="201">
        <f t="shared" si="133"/>
        <v>47121</v>
      </c>
      <c r="L440" s="201">
        <f t="shared" si="133"/>
        <v>47487</v>
      </c>
      <c r="M440" s="201">
        <f t="shared" si="133"/>
        <v>47853</v>
      </c>
      <c r="N440" s="201">
        <f t="shared" si="133"/>
        <v>48219</v>
      </c>
      <c r="O440" s="201">
        <f t="shared" si="133"/>
        <v>48585</v>
      </c>
      <c r="P440" s="201">
        <f t="shared" si="133"/>
        <v>48951</v>
      </c>
      <c r="Q440" s="201">
        <f t="shared" si="133"/>
        <v>49317</v>
      </c>
      <c r="R440" s="201">
        <f t="shared" si="133"/>
        <v>49683</v>
      </c>
      <c r="S440" s="201">
        <f t="shared" si="133"/>
        <v>50049</v>
      </c>
      <c r="T440" s="201">
        <f t="shared" si="133"/>
        <v>50415</v>
      </c>
      <c r="U440" s="201">
        <f t="shared" si="133"/>
        <v>50781</v>
      </c>
      <c r="V440" s="201">
        <f t="shared" si="133"/>
        <v>51147</v>
      </c>
      <c r="W440" s="201">
        <f t="shared" si="133"/>
        <v>51513</v>
      </c>
      <c r="X440" s="201">
        <f t="shared" si="133"/>
        <v>51879</v>
      </c>
      <c r="Y440" s="201">
        <f t="shared" si="133"/>
        <v>52245</v>
      </c>
      <c r="Z440" s="201">
        <f t="shared" si="133"/>
        <v>52611</v>
      </c>
      <c r="AA440" s="201">
        <f t="shared" si="133"/>
        <v>52977</v>
      </c>
      <c r="AB440" s="201">
        <f t="shared" si="133"/>
        <v>53343</v>
      </c>
      <c r="AC440" s="201">
        <f t="shared" si="133"/>
        <v>53709</v>
      </c>
      <c r="AD440" s="201">
        <f t="shared" si="133"/>
        <v>54075</v>
      </c>
      <c r="AE440" s="201">
        <f t="shared" si="133"/>
        <v>0</v>
      </c>
      <c r="AF440" s="201">
        <f t="shared" si="133"/>
        <v>0</v>
      </c>
      <c r="AG440" s="201">
        <f t="shared" si="133"/>
        <v>0</v>
      </c>
      <c r="AH440" s="201">
        <f t="shared" si="133"/>
        <v>0</v>
      </c>
      <c r="AI440" s="201">
        <f t="shared" si="133"/>
        <v>0</v>
      </c>
      <c r="AJ440" s="201">
        <f t="shared" si="133"/>
        <v>0</v>
      </c>
      <c r="AK440" s="201">
        <f t="shared" si="133"/>
        <v>0</v>
      </c>
    </row>
    <row r="441" spans="3:37">
      <c r="C441" s="430"/>
      <c r="D441" s="430"/>
      <c r="E441" s="428" t="s">
        <v>134</v>
      </c>
      <c r="F441" s="428" t="s">
        <v>134</v>
      </c>
      <c r="G441" s="430"/>
      <c r="H441" s="1141">
        <f t="shared" si="133"/>
        <v>-4</v>
      </c>
      <c r="I441" s="1141">
        <f t="shared" si="133"/>
        <v>-3</v>
      </c>
      <c r="J441" s="1141">
        <f t="shared" si="133"/>
        <v>-2</v>
      </c>
      <c r="K441" s="1141">
        <f t="shared" si="133"/>
        <v>-1</v>
      </c>
      <c r="L441" s="1141">
        <f t="shared" si="133"/>
        <v>1</v>
      </c>
      <c r="M441" s="1141">
        <f t="shared" si="133"/>
        <v>2</v>
      </c>
      <c r="N441" s="1141">
        <f t="shared" si="133"/>
        <v>3</v>
      </c>
      <c r="O441" s="1141">
        <f t="shared" si="133"/>
        <v>4</v>
      </c>
      <c r="P441" s="1141">
        <f t="shared" si="133"/>
        <v>5</v>
      </c>
      <c r="Q441" s="1141">
        <f t="shared" si="133"/>
        <v>6</v>
      </c>
      <c r="R441" s="1141">
        <f t="shared" si="133"/>
        <v>7</v>
      </c>
      <c r="S441" s="1141">
        <f t="shared" si="133"/>
        <v>8</v>
      </c>
      <c r="T441" s="1141">
        <f t="shared" si="133"/>
        <v>9</v>
      </c>
      <c r="U441" s="1141">
        <f t="shared" si="133"/>
        <v>10</v>
      </c>
      <c r="V441" s="1141">
        <f t="shared" si="133"/>
        <v>11</v>
      </c>
      <c r="W441" s="1141">
        <f t="shared" si="133"/>
        <v>12</v>
      </c>
      <c r="X441" s="1141">
        <f t="shared" si="133"/>
        <v>13</v>
      </c>
      <c r="Y441" s="1141">
        <f t="shared" si="133"/>
        <v>14</v>
      </c>
      <c r="Z441" s="1141">
        <f t="shared" si="133"/>
        <v>15</v>
      </c>
      <c r="AA441" s="1141">
        <f t="shared" si="133"/>
        <v>16</v>
      </c>
      <c r="AB441" s="1141">
        <f t="shared" si="133"/>
        <v>17</v>
      </c>
      <c r="AC441" s="1141">
        <f t="shared" si="133"/>
        <v>18</v>
      </c>
      <c r="AD441" s="1141">
        <f t="shared" si="133"/>
        <v>19</v>
      </c>
      <c r="AE441" s="1141">
        <f t="shared" si="133"/>
        <v>0</v>
      </c>
      <c r="AF441" s="1141">
        <f t="shared" si="133"/>
        <v>0</v>
      </c>
      <c r="AG441" s="1141">
        <f t="shared" si="133"/>
        <v>0</v>
      </c>
      <c r="AH441" s="1141">
        <f t="shared" si="133"/>
        <v>0</v>
      </c>
      <c r="AI441" s="1141">
        <f t="shared" si="133"/>
        <v>0</v>
      </c>
      <c r="AJ441" s="1141">
        <f t="shared" si="133"/>
        <v>0</v>
      </c>
      <c r="AK441" s="1141">
        <f t="shared" si="133"/>
        <v>0</v>
      </c>
    </row>
    <row r="442" spans="3:37">
      <c r="C442" s="191" t="str">
        <f>C83</f>
        <v>Workshop and Store</v>
      </c>
    </row>
    <row r="443" spans="3:37">
      <c r="C443" s="201" cm="1">
        <f t="array" ref="C443:C472">TRANSPOSE(H440:AK440)</f>
        <v>46023</v>
      </c>
      <c r="D443" s="94" t="s">
        <v>134</v>
      </c>
      <c r="E443" s="424">
        <f>HLOOKUP($C443,$H$39:$AP$112,47,FALSE)</f>
        <v>0</v>
      </c>
      <c r="F443" s="209">
        <f>E443*$F$83</f>
        <v>0</v>
      </c>
      <c r="H443" s="424">
        <f>IF(OR(H$440&lt;$C443,H$440&lt;$H$2),0,MIN($E443-SUM($G443:G443),$F443))</f>
        <v>0</v>
      </c>
      <c r="I443" s="424">
        <f>IF(OR(I$440&lt;$C443,I$440&lt;$H$2),0,MIN($E443-SUM($G443:H443),$F443))</f>
        <v>0</v>
      </c>
      <c r="J443" s="424">
        <f>IF(OR(J$440&lt;$C443,J$440&lt;$H$2),0,MIN($E443-SUM($G443:I443),$F443))</f>
        <v>0</v>
      </c>
      <c r="K443" s="424">
        <f>IF(OR(K$440&lt;$C443,K$440&lt;$H$2),0,MIN($E443-SUM($G443:J443),$F443))</f>
        <v>0</v>
      </c>
      <c r="L443" s="424">
        <f>IF(OR(L$440&lt;$C443,L$440&lt;$H$2),0,MIN($E443-SUM($G443:K443),$F443))</f>
        <v>0</v>
      </c>
      <c r="M443" s="424">
        <f>IF(OR(M$440&lt;$C443,M$440&lt;$H$2),0,MIN($E443-SUM($G443:L443),$F443))</f>
        <v>0</v>
      </c>
      <c r="N443" s="424">
        <f>IF(OR(N$440&lt;$C443,N$440&lt;$H$2),0,MIN($E443-SUM($G443:M443),$F443))</f>
        <v>0</v>
      </c>
      <c r="O443" s="424">
        <f>IF(OR(O$440&lt;$C443,O$440&lt;$H$2),0,MIN($E443-SUM($G443:N443),$F443))</f>
        <v>0</v>
      </c>
      <c r="P443" s="424">
        <f>IF(OR(P$440&lt;$C443,P$440&lt;$H$2),0,MIN($E443-SUM($G443:O443),$F443))</f>
        <v>0</v>
      </c>
      <c r="Q443" s="424">
        <f>IF(OR(Q$440&lt;$C443,Q$440&lt;$H$2),0,MIN($E443-SUM($G443:P443),$F443))</f>
        <v>0</v>
      </c>
      <c r="R443" s="424">
        <f>IF(OR(R$440&lt;$C443,R$440&lt;$H$2),0,MIN($E443-SUM($G443:Q443),$F443))</f>
        <v>0</v>
      </c>
      <c r="S443" s="424">
        <f>IF(OR(S$440&lt;$C443,S$440&lt;$H$2),0,MIN($E443-SUM($G443:R443),$F443))</f>
        <v>0</v>
      </c>
      <c r="T443" s="424">
        <f>IF(OR(T$440&lt;$C443,T$440&lt;$H$2),0,MIN($E443-SUM($G443:S443),$F443))</f>
        <v>0</v>
      </c>
      <c r="U443" s="424">
        <f>IF(OR(U$440&lt;$C443,U$440&lt;$H$2),0,MIN($E443-SUM($G443:T443),$F443))</f>
        <v>0</v>
      </c>
      <c r="V443" s="424">
        <f>IF(OR(V$440&lt;$C443,V$440&lt;$H$2),0,MIN($E443-SUM($G443:U443),$F443))</f>
        <v>0</v>
      </c>
      <c r="W443" s="424">
        <f>IF(OR(W$440&lt;$C443,W$440&lt;$H$2),0,MIN($E443-SUM($G443:V443),$F443))</f>
        <v>0</v>
      </c>
      <c r="X443" s="424">
        <f>IF(OR(X$440&lt;$C443,X$440&lt;$H$2),0,MIN($E443-SUM($G443:W443),$F443))</f>
        <v>0</v>
      </c>
      <c r="Y443" s="424">
        <f>IF(OR(Y$440&lt;$C443,Y$440&lt;$H$2),0,MIN($E443-SUM($G443:X443),$F443))</f>
        <v>0</v>
      </c>
      <c r="Z443" s="424">
        <f>IF(OR(Z$440&lt;$C443,Z$440&lt;$H$2),0,MIN($E443-SUM($G443:Y443),$F443))</f>
        <v>0</v>
      </c>
      <c r="AA443" s="424">
        <f>IF(OR(AA$440&lt;$C443,AA$440&lt;$H$2),0,MIN($E443-SUM($G443:Z443),$F443))</f>
        <v>0</v>
      </c>
      <c r="AB443" s="424">
        <f>IF(OR(AB$440&lt;$C443,AB$440&lt;$H$2),0,MIN($E443-SUM($G443:AA443),$F443))</f>
        <v>0</v>
      </c>
      <c r="AC443" s="424">
        <f>IF(OR(AC$440&lt;$C443,AC$440&lt;$H$2),0,MIN($E443-SUM($G443:AB443),$F443))</f>
        <v>0</v>
      </c>
      <c r="AD443" s="424">
        <f>IF(OR(AD$440&lt;$C443,AD$440&lt;$H$2),0,MIN($E443-SUM($G443:AC443),$F443))</f>
        <v>0</v>
      </c>
      <c r="AE443" s="424">
        <f>IF(OR(AE$440&lt;$C443,AE$440&lt;$H$2),0,MIN($E443-SUM($G443:AD443),$F443))</f>
        <v>0</v>
      </c>
      <c r="AF443" s="424">
        <f>IF(OR(AF$440&lt;$C443,AF$440&lt;$H$2),0,MIN($E443-SUM($G443:AE443),$F443))</f>
        <v>0</v>
      </c>
      <c r="AG443" s="424">
        <f>IF(OR(AG$440&lt;$C443,AG$440&lt;$H$2),0,MIN($E443-SUM($G443:AF443),$F443))</f>
        <v>0</v>
      </c>
      <c r="AH443" s="424">
        <f>IF(OR(AH$440&lt;$C443,AH$440&lt;$H$2),0,MIN($E443-SUM($G443:AG443),$F443))</f>
        <v>0</v>
      </c>
      <c r="AI443" s="424">
        <f>IF(OR(AI$440&lt;$C443,AI$440&lt;$H$2),0,MIN($E443-SUM($G443:AH443),$F443))</f>
        <v>0</v>
      </c>
      <c r="AJ443" s="424">
        <f>IF(OR(AJ$440&lt;$C443,AJ$440&lt;$H$2),0,MIN($E443-SUM($G443:AI443),$F443))</f>
        <v>0</v>
      </c>
      <c r="AK443" s="424">
        <f>IF(OR(AK$440&lt;$C443,AK$440&lt;$H$2),0,MIN($E443-SUM($G443:AJ443),$F443))</f>
        <v>0</v>
      </c>
    </row>
    <row r="444" spans="3:37">
      <c r="C444" s="201">
        <v>46389</v>
      </c>
      <c r="D444" s="94" t="s">
        <v>134</v>
      </c>
      <c r="E444" s="424">
        <f t="shared" ref="E444:E472" si="134">HLOOKUP($C444,$H$39:$AP$112,47,FALSE)</f>
        <v>0</v>
      </c>
      <c r="F444" s="209">
        <f t="shared" ref="F444:F472" si="135">E444*$F$83</f>
        <v>0</v>
      </c>
      <c r="H444" s="424">
        <f>IF(OR(H$440&lt;$C444,H$440&lt;$H$2),0,MIN($E444-SUM($G444:G444),$F444))</f>
        <v>0</v>
      </c>
      <c r="I444" s="424">
        <f>IF(OR(I$440&lt;$C444,I$440&lt;$H$2),0,MIN($E444-SUM($G444:H444),$F444))</f>
        <v>0</v>
      </c>
      <c r="J444" s="424">
        <f>IF(OR(J$440&lt;$C444,J$440&lt;$H$2),0,MIN($E444-SUM($G444:I444),$F444))</f>
        <v>0</v>
      </c>
      <c r="K444" s="424">
        <f>IF(OR(K$440&lt;$C444,K$440&lt;$H$2),0,MIN($E444-SUM($G444:J444),$F444))</f>
        <v>0</v>
      </c>
      <c r="L444" s="424">
        <f>IF(OR(L$440&lt;$C444,L$440&lt;$H$2),0,MIN($E444-SUM($G444:K444),$F444))</f>
        <v>0</v>
      </c>
      <c r="M444" s="424">
        <f>IF(OR(M$440&lt;$C444,M$440&lt;$H$2),0,MIN($E444-SUM($G444:L444),$F444))</f>
        <v>0</v>
      </c>
      <c r="N444" s="424">
        <f>IF(OR(N$440&lt;$C444,N$440&lt;$H$2),0,MIN($E444-SUM($G444:M444),$F444))</f>
        <v>0</v>
      </c>
      <c r="O444" s="424">
        <f>IF(OR(O$440&lt;$C444,O$440&lt;$H$2),0,MIN($E444-SUM($G444:N444),$F444))</f>
        <v>0</v>
      </c>
      <c r="P444" s="424">
        <f>IF(OR(P$440&lt;$C444,P$440&lt;$H$2),0,MIN($E444-SUM($G444:O444),$F444))</f>
        <v>0</v>
      </c>
      <c r="Q444" s="424">
        <f>IF(OR(Q$440&lt;$C444,Q$440&lt;$H$2),0,MIN($E444-SUM($G444:P444),$F444))</f>
        <v>0</v>
      </c>
      <c r="R444" s="424">
        <f>IF(OR(R$440&lt;$C444,R$440&lt;$H$2),0,MIN($E444-SUM($G444:Q444),$F444))</f>
        <v>0</v>
      </c>
      <c r="S444" s="424">
        <f>IF(OR(S$440&lt;$C444,S$440&lt;$H$2),0,MIN($E444-SUM($G444:R444),$F444))</f>
        <v>0</v>
      </c>
      <c r="T444" s="424">
        <f>IF(OR(T$440&lt;$C444,T$440&lt;$H$2),0,MIN($E444-SUM($G444:S444),$F444))</f>
        <v>0</v>
      </c>
      <c r="U444" s="424">
        <f>IF(OR(U$440&lt;$C444,U$440&lt;$H$2),0,MIN($E444-SUM($G444:T444),$F444))</f>
        <v>0</v>
      </c>
      <c r="V444" s="424">
        <f>IF(OR(V$440&lt;$C444,V$440&lt;$H$2),0,MIN($E444-SUM($G444:U444),$F444))</f>
        <v>0</v>
      </c>
      <c r="W444" s="424">
        <f>IF(OR(W$440&lt;$C444,W$440&lt;$H$2),0,MIN($E444-SUM($G444:V444),$F444))</f>
        <v>0</v>
      </c>
      <c r="X444" s="424">
        <f>IF(OR(X$440&lt;$C444,X$440&lt;$H$2),0,MIN($E444-SUM($G444:W444),$F444))</f>
        <v>0</v>
      </c>
      <c r="Y444" s="424">
        <f>IF(OR(Y$440&lt;$C444,Y$440&lt;$H$2),0,MIN($E444-SUM($G444:X444),$F444))</f>
        <v>0</v>
      </c>
      <c r="Z444" s="424">
        <f>IF(OR(Z$440&lt;$C444,Z$440&lt;$H$2),0,MIN($E444-SUM($G444:Y444),$F444))</f>
        <v>0</v>
      </c>
      <c r="AA444" s="424">
        <f>IF(OR(AA$440&lt;$C444,AA$440&lt;$H$2),0,MIN($E444-SUM($G444:Z444),$F444))</f>
        <v>0</v>
      </c>
      <c r="AB444" s="424">
        <f>IF(OR(AB$440&lt;$C444,AB$440&lt;$H$2),0,MIN($E444-SUM($G444:AA444),$F444))</f>
        <v>0</v>
      </c>
      <c r="AC444" s="424">
        <f>IF(OR(AC$440&lt;$C444,AC$440&lt;$H$2),0,MIN($E444-SUM($G444:AB444),$F444))</f>
        <v>0</v>
      </c>
      <c r="AD444" s="424">
        <f>IF(OR(AD$440&lt;$C444,AD$440&lt;$H$2),0,MIN($E444-SUM($G444:AC444),$F444))</f>
        <v>0</v>
      </c>
      <c r="AE444" s="424">
        <f>IF(OR(AE$440&lt;$C444,AE$440&lt;$H$2),0,MIN($E444-SUM($G444:AD444),$F444))</f>
        <v>0</v>
      </c>
      <c r="AF444" s="424">
        <f>IF(OR(AF$440&lt;$C444,AF$440&lt;$H$2),0,MIN($E444-SUM($G444:AE444),$F444))</f>
        <v>0</v>
      </c>
      <c r="AG444" s="424">
        <f>IF(OR(AG$440&lt;$C444,AG$440&lt;$H$2),0,MIN($E444-SUM($G444:AF444),$F444))</f>
        <v>0</v>
      </c>
      <c r="AH444" s="424">
        <f>IF(OR(AH$440&lt;$C444,AH$440&lt;$H$2),0,MIN($E444-SUM($G444:AG444),$F444))</f>
        <v>0</v>
      </c>
      <c r="AI444" s="424">
        <f>IF(OR(AI$440&lt;$C444,AI$440&lt;$H$2),0,MIN($E444-SUM($G444:AH444),$F444))</f>
        <v>0</v>
      </c>
      <c r="AJ444" s="424">
        <f>IF(OR(AJ$440&lt;$C444,AJ$440&lt;$H$2),0,MIN($E444-SUM($G444:AI444),$F444))</f>
        <v>0</v>
      </c>
      <c r="AK444" s="424">
        <f>IF(OR(AK$440&lt;$C444,AK$440&lt;$H$2),0,MIN($E444-SUM($G444:AJ444),$F444))</f>
        <v>0</v>
      </c>
    </row>
    <row r="445" spans="3:37">
      <c r="C445" s="201">
        <v>46755</v>
      </c>
      <c r="D445" s="94" t="s">
        <v>134</v>
      </c>
      <c r="E445" s="424">
        <f t="shared" si="134"/>
        <v>0</v>
      </c>
      <c r="F445" s="209">
        <f t="shared" si="135"/>
        <v>0</v>
      </c>
      <c r="H445" s="424">
        <f>IF(OR(H$440&lt;$C445,H$440&lt;$H$2),0,MIN($E445-SUM($G445:G445),$F445))</f>
        <v>0</v>
      </c>
      <c r="I445" s="424">
        <f>IF(OR(I$440&lt;$C445,I$440&lt;$H$2),0,MIN($E445-SUM($G445:H445),$F445))</f>
        <v>0</v>
      </c>
      <c r="J445" s="424">
        <f>IF(OR(J$440&lt;$C445,J$440&lt;$H$2),0,MIN($E445-SUM($G445:I445),$F445))</f>
        <v>0</v>
      </c>
      <c r="K445" s="424">
        <f>IF(OR(K$440&lt;$C445,K$440&lt;$H$2),0,MIN($E445-SUM($G445:J445),$F445))</f>
        <v>0</v>
      </c>
      <c r="L445" s="424">
        <f>IF(OR(L$440&lt;$C445,L$440&lt;$H$2),0,MIN($E445-SUM($G445:K445),$F445))</f>
        <v>0</v>
      </c>
      <c r="M445" s="424">
        <f>IF(OR(M$440&lt;$C445,M$440&lt;$H$2),0,MIN($E445-SUM($G445:L445),$F445))</f>
        <v>0</v>
      </c>
      <c r="N445" s="424">
        <f>IF(OR(N$440&lt;$C445,N$440&lt;$H$2),0,MIN($E445-SUM($G445:M445),$F445))</f>
        <v>0</v>
      </c>
      <c r="O445" s="424">
        <f>IF(OR(O$440&lt;$C445,O$440&lt;$H$2),0,MIN($E445-SUM($G445:N445),$F445))</f>
        <v>0</v>
      </c>
      <c r="P445" s="424">
        <f>IF(OR(P$440&lt;$C445,P$440&lt;$H$2),0,MIN($E445-SUM($G445:O445),$F445))</f>
        <v>0</v>
      </c>
      <c r="Q445" s="424">
        <f>IF(OR(Q$440&lt;$C445,Q$440&lt;$H$2),0,MIN($E445-SUM($G445:P445),$F445))</f>
        <v>0</v>
      </c>
      <c r="R445" s="424">
        <f>IF(OR(R$440&lt;$C445,R$440&lt;$H$2),0,MIN($E445-SUM($G445:Q445),$F445))</f>
        <v>0</v>
      </c>
      <c r="S445" s="424">
        <f>IF(OR(S$440&lt;$C445,S$440&lt;$H$2),0,MIN($E445-SUM($G445:R445),$F445))</f>
        <v>0</v>
      </c>
      <c r="T445" s="424">
        <f>IF(OR(T$440&lt;$C445,T$440&lt;$H$2),0,MIN($E445-SUM($G445:S445),$F445))</f>
        <v>0</v>
      </c>
      <c r="U445" s="424">
        <f>IF(OR(U$440&lt;$C445,U$440&lt;$H$2),0,MIN($E445-SUM($G445:T445),$F445))</f>
        <v>0</v>
      </c>
      <c r="V445" s="424">
        <f>IF(OR(V$440&lt;$C445,V$440&lt;$H$2),0,MIN($E445-SUM($G445:U445),$F445))</f>
        <v>0</v>
      </c>
      <c r="W445" s="424">
        <f>IF(OR(W$440&lt;$C445,W$440&lt;$H$2),0,MIN($E445-SUM($G445:V445),$F445))</f>
        <v>0</v>
      </c>
      <c r="X445" s="424">
        <f>IF(OR(X$440&lt;$C445,X$440&lt;$H$2),0,MIN($E445-SUM($G445:W445),$F445))</f>
        <v>0</v>
      </c>
      <c r="Y445" s="424">
        <f>IF(OR(Y$440&lt;$C445,Y$440&lt;$H$2),0,MIN($E445-SUM($G445:X445),$F445))</f>
        <v>0</v>
      </c>
      <c r="Z445" s="424">
        <f>IF(OR(Z$440&lt;$C445,Z$440&lt;$H$2),0,MIN($E445-SUM($G445:Y445),$F445))</f>
        <v>0</v>
      </c>
      <c r="AA445" s="424">
        <f>IF(OR(AA$440&lt;$C445,AA$440&lt;$H$2),0,MIN($E445-SUM($G445:Z445),$F445))</f>
        <v>0</v>
      </c>
      <c r="AB445" s="424">
        <f>IF(OR(AB$440&lt;$C445,AB$440&lt;$H$2),0,MIN($E445-SUM($G445:AA445),$F445))</f>
        <v>0</v>
      </c>
      <c r="AC445" s="424">
        <f>IF(OR(AC$440&lt;$C445,AC$440&lt;$H$2),0,MIN($E445-SUM($G445:AB445),$F445))</f>
        <v>0</v>
      </c>
      <c r="AD445" s="424">
        <f>IF(OR(AD$440&lt;$C445,AD$440&lt;$H$2),0,MIN($E445-SUM($G445:AC445),$F445))</f>
        <v>0</v>
      </c>
      <c r="AE445" s="424">
        <f>IF(OR(AE$440&lt;$C445,AE$440&lt;$H$2),0,MIN($E445-SUM($G445:AD445),$F445))</f>
        <v>0</v>
      </c>
      <c r="AF445" s="424">
        <f>IF(OR(AF$440&lt;$C445,AF$440&lt;$H$2),0,MIN($E445-SUM($G445:AE445),$F445))</f>
        <v>0</v>
      </c>
      <c r="AG445" s="424">
        <f>IF(OR(AG$440&lt;$C445,AG$440&lt;$H$2),0,MIN($E445-SUM($G445:AF445),$F445))</f>
        <v>0</v>
      </c>
      <c r="AH445" s="424">
        <f>IF(OR(AH$440&lt;$C445,AH$440&lt;$H$2),0,MIN($E445-SUM($G445:AG445),$F445))</f>
        <v>0</v>
      </c>
      <c r="AI445" s="424">
        <f>IF(OR(AI$440&lt;$C445,AI$440&lt;$H$2),0,MIN($E445-SUM($G445:AH445),$F445))</f>
        <v>0</v>
      </c>
      <c r="AJ445" s="424">
        <f>IF(OR(AJ$440&lt;$C445,AJ$440&lt;$H$2),0,MIN($E445-SUM($G445:AI445),$F445))</f>
        <v>0</v>
      </c>
      <c r="AK445" s="424">
        <f>IF(OR(AK$440&lt;$C445,AK$440&lt;$H$2),0,MIN($E445-SUM($G445:AJ445),$F445))</f>
        <v>0</v>
      </c>
    </row>
    <row r="446" spans="3:37">
      <c r="C446" s="201">
        <v>47121</v>
      </c>
      <c r="D446" s="94" t="s">
        <v>134</v>
      </c>
      <c r="E446" s="424">
        <f t="shared" si="134"/>
        <v>0</v>
      </c>
      <c r="F446" s="209">
        <f t="shared" si="135"/>
        <v>0</v>
      </c>
      <c r="H446" s="424">
        <f>IF(OR(H$440&lt;$C446,H$440&lt;$H$2),0,MIN($E446-SUM($G446:G446),$F446))</f>
        <v>0</v>
      </c>
      <c r="I446" s="424">
        <f>IF(OR(I$440&lt;$C446,I$440&lt;$H$2),0,MIN($E446-SUM($G446:H446),$F446))</f>
        <v>0</v>
      </c>
      <c r="J446" s="424">
        <f>IF(OR(J$440&lt;$C446,J$440&lt;$H$2),0,MIN($E446-SUM($G446:I446),$F446))</f>
        <v>0</v>
      </c>
      <c r="K446" s="424">
        <f>IF(OR(K$440&lt;$C446,K$440&lt;$H$2),0,MIN($E446-SUM($G446:J446),$F446))</f>
        <v>0</v>
      </c>
      <c r="L446" s="424">
        <f>IF(OR(L$440&lt;$C446,L$440&lt;$H$2),0,MIN($E446-SUM($G446:K446),$F446))</f>
        <v>0</v>
      </c>
      <c r="M446" s="424">
        <f>IF(OR(M$440&lt;$C446,M$440&lt;$H$2),0,MIN($E446-SUM($G446:L446),$F446))</f>
        <v>0</v>
      </c>
      <c r="N446" s="424">
        <f>IF(OR(N$440&lt;$C446,N$440&lt;$H$2),0,MIN($E446-SUM($G446:M446),$F446))</f>
        <v>0</v>
      </c>
      <c r="O446" s="424">
        <f>IF(OR(O$440&lt;$C446,O$440&lt;$H$2),0,MIN($E446-SUM($G446:N446),$F446))</f>
        <v>0</v>
      </c>
      <c r="P446" s="424">
        <f>IF(OR(P$440&lt;$C446,P$440&lt;$H$2),0,MIN($E446-SUM($G446:O446),$F446))</f>
        <v>0</v>
      </c>
      <c r="Q446" s="424">
        <f>IF(OR(Q$440&lt;$C446,Q$440&lt;$H$2),0,MIN($E446-SUM($G446:P446),$F446))</f>
        <v>0</v>
      </c>
      <c r="R446" s="424">
        <f>IF(OR(R$440&lt;$C446,R$440&lt;$H$2),0,MIN($E446-SUM($G446:Q446),$F446))</f>
        <v>0</v>
      </c>
      <c r="S446" s="424">
        <f>IF(OR(S$440&lt;$C446,S$440&lt;$H$2),0,MIN($E446-SUM($G446:R446),$F446))</f>
        <v>0</v>
      </c>
      <c r="T446" s="424">
        <f>IF(OR(T$440&lt;$C446,T$440&lt;$H$2),0,MIN($E446-SUM($G446:S446),$F446))</f>
        <v>0</v>
      </c>
      <c r="U446" s="424">
        <f>IF(OR(U$440&lt;$C446,U$440&lt;$H$2),0,MIN($E446-SUM($G446:T446),$F446))</f>
        <v>0</v>
      </c>
      <c r="V446" s="424">
        <f>IF(OR(V$440&lt;$C446,V$440&lt;$H$2),0,MIN($E446-SUM($G446:U446),$F446))</f>
        <v>0</v>
      </c>
      <c r="W446" s="424">
        <f>IF(OR(W$440&lt;$C446,W$440&lt;$H$2),0,MIN($E446-SUM($G446:V446),$F446))</f>
        <v>0</v>
      </c>
      <c r="X446" s="424">
        <f>IF(OR(X$440&lt;$C446,X$440&lt;$H$2),0,MIN($E446-SUM($G446:W446),$F446))</f>
        <v>0</v>
      </c>
      <c r="Y446" s="424">
        <f>IF(OR(Y$440&lt;$C446,Y$440&lt;$H$2),0,MIN($E446-SUM($G446:X446),$F446))</f>
        <v>0</v>
      </c>
      <c r="Z446" s="424">
        <f>IF(OR(Z$440&lt;$C446,Z$440&lt;$H$2),0,MIN($E446-SUM($G446:Y446),$F446))</f>
        <v>0</v>
      </c>
      <c r="AA446" s="424">
        <f>IF(OR(AA$440&lt;$C446,AA$440&lt;$H$2),0,MIN($E446-SUM($G446:Z446),$F446))</f>
        <v>0</v>
      </c>
      <c r="AB446" s="424">
        <f>IF(OR(AB$440&lt;$C446,AB$440&lt;$H$2),0,MIN($E446-SUM($G446:AA446),$F446))</f>
        <v>0</v>
      </c>
      <c r="AC446" s="424">
        <f>IF(OR(AC$440&lt;$C446,AC$440&lt;$H$2),0,MIN($E446-SUM($G446:AB446),$F446))</f>
        <v>0</v>
      </c>
      <c r="AD446" s="424">
        <f>IF(OR(AD$440&lt;$C446,AD$440&lt;$H$2),0,MIN($E446-SUM($G446:AC446),$F446))</f>
        <v>0</v>
      </c>
      <c r="AE446" s="424">
        <f>IF(OR(AE$440&lt;$C446,AE$440&lt;$H$2),0,MIN($E446-SUM($G446:AD446),$F446))</f>
        <v>0</v>
      </c>
      <c r="AF446" s="424">
        <f>IF(OR(AF$440&lt;$C446,AF$440&lt;$H$2),0,MIN($E446-SUM($G446:AE446),$F446))</f>
        <v>0</v>
      </c>
      <c r="AG446" s="424">
        <f>IF(OR(AG$440&lt;$C446,AG$440&lt;$H$2),0,MIN($E446-SUM($G446:AF446),$F446))</f>
        <v>0</v>
      </c>
      <c r="AH446" s="424">
        <f>IF(OR(AH$440&lt;$C446,AH$440&lt;$H$2),0,MIN($E446-SUM($G446:AG446),$F446))</f>
        <v>0</v>
      </c>
      <c r="AI446" s="424">
        <f>IF(OR(AI$440&lt;$C446,AI$440&lt;$H$2),0,MIN($E446-SUM($G446:AH446),$F446))</f>
        <v>0</v>
      </c>
      <c r="AJ446" s="424">
        <f>IF(OR(AJ$440&lt;$C446,AJ$440&lt;$H$2),0,MIN($E446-SUM($G446:AI446),$F446))</f>
        <v>0</v>
      </c>
      <c r="AK446" s="424">
        <f>IF(OR(AK$440&lt;$C446,AK$440&lt;$H$2),0,MIN($E446-SUM($G446:AJ446),$F446))</f>
        <v>0</v>
      </c>
    </row>
    <row r="447" spans="3:37">
      <c r="C447" s="201">
        <v>47487</v>
      </c>
      <c r="D447" s="94" t="s">
        <v>134</v>
      </c>
      <c r="E447" s="424">
        <f t="shared" si="134"/>
        <v>0</v>
      </c>
      <c r="F447" s="209">
        <f t="shared" si="135"/>
        <v>0</v>
      </c>
      <c r="H447" s="424">
        <f>IF(OR(H$440&lt;$C447,H$440&lt;$H$2),0,MIN($E447-SUM($G447:G447),$F447))</f>
        <v>0</v>
      </c>
      <c r="I447" s="424">
        <f>IF(OR(I$440&lt;$C447,I$440&lt;$H$2),0,MIN($E447-SUM($G447:H447),$F447))</f>
        <v>0</v>
      </c>
      <c r="J447" s="424">
        <f>IF(OR(J$440&lt;$C447,J$440&lt;$H$2),0,MIN($E447-SUM($G447:I447),$F447))</f>
        <v>0</v>
      </c>
      <c r="K447" s="424">
        <f>IF(OR(K$440&lt;$C447,K$440&lt;$H$2),0,MIN($E447-SUM($G447:J447),$F447))</f>
        <v>0</v>
      </c>
      <c r="L447" s="424">
        <f>IF(OR(L$440&lt;$C447,L$440&lt;$H$2),0,MIN($E447-SUM($G447:K447),$F447))</f>
        <v>0</v>
      </c>
      <c r="M447" s="424">
        <f>IF(OR(M$440&lt;$C447,M$440&lt;$H$2),0,MIN($E447-SUM($G447:L447),$F447))</f>
        <v>0</v>
      </c>
      <c r="N447" s="424">
        <f>IF(OR(N$440&lt;$C447,N$440&lt;$H$2),0,MIN($E447-SUM($G447:M447),$F447))</f>
        <v>0</v>
      </c>
      <c r="O447" s="424">
        <f>IF(OR(O$440&lt;$C447,O$440&lt;$H$2),0,MIN($E447-SUM($G447:N447),$F447))</f>
        <v>0</v>
      </c>
      <c r="P447" s="424">
        <f>IF(OR(P$440&lt;$C447,P$440&lt;$H$2),0,MIN($E447-SUM($G447:O447),$F447))</f>
        <v>0</v>
      </c>
      <c r="Q447" s="424">
        <f>IF(OR(Q$440&lt;$C447,Q$440&lt;$H$2),0,MIN($E447-SUM($G447:P447),$F447))</f>
        <v>0</v>
      </c>
      <c r="R447" s="424">
        <f>IF(OR(R$440&lt;$C447,R$440&lt;$H$2),0,MIN($E447-SUM($G447:Q447),$F447))</f>
        <v>0</v>
      </c>
      <c r="S447" s="424">
        <f>IF(OR(S$440&lt;$C447,S$440&lt;$H$2),0,MIN($E447-SUM($G447:R447),$F447))</f>
        <v>0</v>
      </c>
      <c r="T447" s="424">
        <f>IF(OR(T$440&lt;$C447,T$440&lt;$H$2),0,MIN($E447-SUM($G447:S447),$F447))</f>
        <v>0</v>
      </c>
      <c r="U447" s="424">
        <f>IF(OR(U$440&lt;$C447,U$440&lt;$H$2),0,MIN($E447-SUM($G447:T447),$F447))</f>
        <v>0</v>
      </c>
      <c r="V447" s="424">
        <f>IF(OR(V$440&lt;$C447,V$440&lt;$H$2),0,MIN($E447-SUM($G447:U447),$F447))</f>
        <v>0</v>
      </c>
      <c r="W447" s="424">
        <f>IF(OR(W$440&lt;$C447,W$440&lt;$H$2),0,MIN($E447-SUM($G447:V447),$F447))</f>
        <v>0</v>
      </c>
      <c r="X447" s="424">
        <f>IF(OR(X$440&lt;$C447,X$440&lt;$H$2),0,MIN($E447-SUM($G447:W447),$F447))</f>
        <v>0</v>
      </c>
      <c r="Y447" s="424">
        <f>IF(OR(Y$440&lt;$C447,Y$440&lt;$H$2),0,MIN($E447-SUM($G447:X447),$F447))</f>
        <v>0</v>
      </c>
      <c r="Z447" s="424">
        <f>IF(OR(Z$440&lt;$C447,Z$440&lt;$H$2),0,MIN($E447-SUM($G447:Y447),$F447))</f>
        <v>0</v>
      </c>
      <c r="AA447" s="424">
        <f>IF(OR(AA$440&lt;$C447,AA$440&lt;$H$2),0,MIN($E447-SUM($G447:Z447),$F447))</f>
        <v>0</v>
      </c>
      <c r="AB447" s="424">
        <f>IF(OR(AB$440&lt;$C447,AB$440&lt;$H$2),0,MIN($E447-SUM($G447:AA447),$F447))</f>
        <v>0</v>
      </c>
      <c r="AC447" s="424">
        <f>IF(OR(AC$440&lt;$C447,AC$440&lt;$H$2),0,MIN($E447-SUM($G447:AB447),$F447))</f>
        <v>0</v>
      </c>
      <c r="AD447" s="424">
        <f>IF(OR(AD$440&lt;$C447,AD$440&lt;$H$2),0,MIN($E447-SUM($G447:AC447),$F447))</f>
        <v>0</v>
      </c>
      <c r="AE447" s="424">
        <f>IF(OR(AE$440&lt;$C447,AE$440&lt;$H$2),0,MIN($E447-SUM($G447:AD447),$F447))</f>
        <v>0</v>
      </c>
      <c r="AF447" s="424">
        <f>IF(OR(AF$440&lt;$C447,AF$440&lt;$H$2),0,MIN($E447-SUM($G447:AE447),$F447))</f>
        <v>0</v>
      </c>
      <c r="AG447" s="424">
        <f>IF(OR(AG$440&lt;$C447,AG$440&lt;$H$2),0,MIN($E447-SUM($G447:AF447),$F447))</f>
        <v>0</v>
      </c>
      <c r="AH447" s="424">
        <f>IF(OR(AH$440&lt;$C447,AH$440&lt;$H$2),0,MIN($E447-SUM($G447:AG447),$F447))</f>
        <v>0</v>
      </c>
      <c r="AI447" s="424">
        <f>IF(OR(AI$440&lt;$C447,AI$440&lt;$H$2),0,MIN($E447-SUM($G447:AH447),$F447))</f>
        <v>0</v>
      </c>
      <c r="AJ447" s="424">
        <f>IF(OR(AJ$440&lt;$C447,AJ$440&lt;$H$2),0,MIN($E447-SUM($G447:AI447),$F447))</f>
        <v>0</v>
      </c>
      <c r="AK447" s="424">
        <f>IF(OR(AK$440&lt;$C447,AK$440&lt;$H$2),0,MIN($E447-SUM($G447:AJ447),$F447))</f>
        <v>0</v>
      </c>
    </row>
    <row r="448" spans="3:37">
      <c r="C448" s="201">
        <v>47853</v>
      </c>
      <c r="D448" s="94" t="s">
        <v>134</v>
      </c>
      <c r="E448" s="424">
        <f t="shared" si="134"/>
        <v>0</v>
      </c>
      <c r="F448" s="209">
        <f t="shared" si="135"/>
        <v>0</v>
      </c>
      <c r="H448" s="424">
        <f>IF(OR(H$440&lt;$C448,H$440&lt;$H$2),0,MIN($E448-SUM($G448:G448),$F448))</f>
        <v>0</v>
      </c>
      <c r="I448" s="424">
        <f>IF(OR(I$440&lt;$C448,I$440&lt;$H$2),0,MIN($E448-SUM($G448:H448),$F448))</f>
        <v>0</v>
      </c>
      <c r="J448" s="424">
        <f>IF(OR(J$440&lt;$C448,J$440&lt;$H$2),0,MIN($E448-SUM($G448:I448),$F448))</f>
        <v>0</v>
      </c>
      <c r="K448" s="424">
        <f>IF(OR(K$440&lt;$C448,K$440&lt;$H$2),0,MIN($E448-SUM($G448:J448),$F448))</f>
        <v>0</v>
      </c>
      <c r="L448" s="424">
        <f>IF(OR(L$440&lt;$C448,L$440&lt;$H$2),0,MIN($E448-SUM($G448:K448),$F448))</f>
        <v>0</v>
      </c>
      <c r="M448" s="424">
        <f>IF(OR(M$440&lt;$C448,M$440&lt;$H$2),0,MIN($E448-SUM($G448:L448),$F448))</f>
        <v>0</v>
      </c>
      <c r="N448" s="424">
        <f>IF(OR(N$440&lt;$C448,N$440&lt;$H$2),0,MIN($E448-SUM($G448:M448),$F448))</f>
        <v>0</v>
      </c>
      <c r="O448" s="424">
        <f>IF(OR(O$440&lt;$C448,O$440&lt;$H$2),0,MIN($E448-SUM($G448:N448),$F448))</f>
        <v>0</v>
      </c>
      <c r="P448" s="424">
        <f>IF(OR(P$440&lt;$C448,P$440&lt;$H$2),0,MIN($E448-SUM($G448:O448),$F448))</f>
        <v>0</v>
      </c>
      <c r="Q448" s="424">
        <f>IF(OR(Q$440&lt;$C448,Q$440&lt;$H$2),0,MIN($E448-SUM($G448:P448),$F448))</f>
        <v>0</v>
      </c>
      <c r="R448" s="424">
        <f>IF(OR(R$440&lt;$C448,R$440&lt;$H$2),0,MIN($E448-SUM($G448:Q448),$F448))</f>
        <v>0</v>
      </c>
      <c r="S448" s="424">
        <f>IF(OR(S$440&lt;$C448,S$440&lt;$H$2),0,MIN($E448-SUM($G448:R448),$F448))</f>
        <v>0</v>
      </c>
      <c r="T448" s="424">
        <f>IF(OR(T$440&lt;$C448,T$440&lt;$H$2),0,MIN($E448-SUM($G448:S448),$F448))</f>
        <v>0</v>
      </c>
      <c r="U448" s="424">
        <f>IF(OR(U$440&lt;$C448,U$440&lt;$H$2),0,MIN($E448-SUM($G448:T448),$F448))</f>
        <v>0</v>
      </c>
      <c r="V448" s="424">
        <f>IF(OR(V$440&lt;$C448,V$440&lt;$H$2),0,MIN($E448-SUM($G448:U448),$F448))</f>
        <v>0</v>
      </c>
      <c r="W448" s="424">
        <f>IF(OR(W$440&lt;$C448,W$440&lt;$H$2),0,MIN($E448-SUM($G448:V448),$F448))</f>
        <v>0</v>
      </c>
      <c r="X448" s="424">
        <f>IF(OR(X$440&lt;$C448,X$440&lt;$H$2),0,MIN($E448-SUM($G448:W448),$F448))</f>
        <v>0</v>
      </c>
      <c r="Y448" s="424">
        <f>IF(OR(Y$440&lt;$C448,Y$440&lt;$H$2),0,MIN($E448-SUM($G448:X448),$F448))</f>
        <v>0</v>
      </c>
      <c r="Z448" s="424">
        <f>IF(OR(Z$440&lt;$C448,Z$440&lt;$H$2),0,MIN($E448-SUM($G448:Y448),$F448))</f>
        <v>0</v>
      </c>
      <c r="AA448" s="424">
        <f>IF(OR(AA$440&lt;$C448,AA$440&lt;$H$2),0,MIN($E448-SUM($G448:Z448),$F448))</f>
        <v>0</v>
      </c>
      <c r="AB448" s="424">
        <f>IF(OR(AB$440&lt;$C448,AB$440&lt;$H$2),0,MIN($E448-SUM($G448:AA448),$F448))</f>
        <v>0</v>
      </c>
      <c r="AC448" s="424">
        <f>IF(OR(AC$440&lt;$C448,AC$440&lt;$H$2),0,MIN($E448-SUM($G448:AB448),$F448))</f>
        <v>0</v>
      </c>
      <c r="AD448" s="424">
        <f>IF(OR(AD$440&lt;$C448,AD$440&lt;$H$2),0,MIN($E448-SUM($G448:AC448),$F448))</f>
        <v>0</v>
      </c>
      <c r="AE448" s="424">
        <f>IF(OR(AE$440&lt;$C448,AE$440&lt;$H$2),0,MIN($E448-SUM($G448:AD448),$F448))</f>
        <v>0</v>
      </c>
      <c r="AF448" s="424">
        <f>IF(OR(AF$440&lt;$C448,AF$440&lt;$H$2),0,MIN($E448-SUM($G448:AE448),$F448))</f>
        <v>0</v>
      </c>
      <c r="AG448" s="424">
        <f>IF(OR(AG$440&lt;$C448,AG$440&lt;$H$2),0,MIN($E448-SUM($G448:AF448),$F448))</f>
        <v>0</v>
      </c>
      <c r="AH448" s="424">
        <f>IF(OR(AH$440&lt;$C448,AH$440&lt;$H$2),0,MIN($E448-SUM($G448:AG448),$F448))</f>
        <v>0</v>
      </c>
      <c r="AI448" s="424">
        <f>IF(OR(AI$440&lt;$C448,AI$440&lt;$H$2),0,MIN($E448-SUM($G448:AH448),$F448))</f>
        <v>0</v>
      </c>
      <c r="AJ448" s="424">
        <f>IF(OR(AJ$440&lt;$C448,AJ$440&lt;$H$2),0,MIN($E448-SUM($G448:AI448),$F448))</f>
        <v>0</v>
      </c>
      <c r="AK448" s="424">
        <f>IF(OR(AK$440&lt;$C448,AK$440&lt;$H$2),0,MIN($E448-SUM($G448:AJ448),$F448))</f>
        <v>0</v>
      </c>
    </row>
    <row r="449" spans="3:37">
      <c r="C449" s="201">
        <v>48219</v>
      </c>
      <c r="D449" s="94" t="s">
        <v>134</v>
      </c>
      <c r="E449" s="424">
        <f t="shared" si="134"/>
        <v>0</v>
      </c>
      <c r="F449" s="209">
        <f t="shared" si="135"/>
        <v>0</v>
      </c>
      <c r="H449" s="424">
        <f>IF(OR(H$440&lt;$C449,H$440&lt;$H$2),0,MIN($E449-SUM($G449:G449),$F449))</f>
        <v>0</v>
      </c>
      <c r="I449" s="424">
        <f>IF(OR(I$440&lt;$C449,I$440&lt;$H$2),0,MIN($E449-SUM($G449:H449),$F449))</f>
        <v>0</v>
      </c>
      <c r="J449" s="424">
        <f>IF(OR(J$440&lt;$C449,J$440&lt;$H$2),0,MIN($E449-SUM($G449:I449),$F449))</f>
        <v>0</v>
      </c>
      <c r="K449" s="424">
        <f>IF(OR(K$440&lt;$C449,K$440&lt;$H$2),0,MIN($E449-SUM($G449:J449),$F449))</f>
        <v>0</v>
      </c>
      <c r="L449" s="424">
        <f>IF(OR(L$440&lt;$C449,L$440&lt;$H$2),0,MIN($E449-SUM($G449:K449),$F449))</f>
        <v>0</v>
      </c>
      <c r="M449" s="424">
        <f>IF(OR(M$440&lt;$C449,M$440&lt;$H$2),0,MIN($E449-SUM($G449:L449),$F449))</f>
        <v>0</v>
      </c>
      <c r="N449" s="424">
        <f>IF(OR(N$440&lt;$C449,N$440&lt;$H$2),0,MIN($E449-SUM($G449:M449),$F449))</f>
        <v>0</v>
      </c>
      <c r="O449" s="424">
        <f>IF(OR(O$440&lt;$C449,O$440&lt;$H$2),0,MIN($E449-SUM($G449:N449),$F449))</f>
        <v>0</v>
      </c>
      <c r="P449" s="424">
        <f>IF(OR(P$440&lt;$C449,P$440&lt;$H$2),0,MIN($E449-SUM($G449:O449),$F449))</f>
        <v>0</v>
      </c>
      <c r="Q449" s="424">
        <f>IF(OR(Q$440&lt;$C449,Q$440&lt;$H$2),0,MIN($E449-SUM($G449:P449),$F449))</f>
        <v>0</v>
      </c>
      <c r="R449" s="424">
        <f>IF(OR(R$440&lt;$C449,R$440&lt;$H$2),0,MIN($E449-SUM($G449:Q449),$F449))</f>
        <v>0</v>
      </c>
      <c r="S449" s="424">
        <f>IF(OR(S$440&lt;$C449,S$440&lt;$H$2),0,MIN($E449-SUM($G449:R449),$F449))</f>
        <v>0</v>
      </c>
      <c r="T449" s="424">
        <f>IF(OR(T$440&lt;$C449,T$440&lt;$H$2),0,MIN($E449-SUM($G449:S449),$F449))</f>
        <v>0</v>
      </c>
      <c r="U449" s="424">
        <f>IF(OR(U$440&lt;$C449,U$440&lt;$H$2),0,MIN($E449-SUM($G449:T449),$F449))</f>
        <v>0</v>
      </c>
      <c r="V449" s="424">
        <f>IF(OR(V$440&lt;$C449,V$440&lt;$H$2),0,MIN($E449-SUM($G449:U449),$F449))</f>
        <v>0</v>
      </c>
      <c r="W449" s="424">
        <f>IF(OR(W$440&lt;$C449,W$440&lt;$H$2),0,MIN($E449-SUM($G449:V449),$F449))</f>
        <v>0</v>
      </c>
      <c r="X449" s="424">
        <f>IF(OR(X$440&lt;$C449,X$440&lt;$H$2),0,MIN($E449-SUM($G449:W449),$F449))</f>
        <v>0</v>
      </c>
      <c r="Y449" s="424">
        <f>IF(OR(Y$440&lt;$C449,Y$440&lt;$H$2),0,MIN($E449-SUM($G449:X449),$F449))</f>
        <v>0</v>
      </c>
      <c r="Z449" s="424">
        <f>IF(OR(Z$440&lt;$C449,Z$440&lt;$H$2),0,MIN($E449-SUM($G449:Y449),$F449))</f>
        <v>0</v>
      </c>
      <c r="AA449" s="424">
        <f>IF(OR(AA$440&lt;$C449,AA$440&lt;$H$2),0,MIN($E449-SUM($G449:Z449),$F449))</f>
        <v>0</v>
      </c>
      <c r="AB449" s="424">
        <f>IF(OR(AB$440&lt;$C449,AB$440&lt;$H$2),0,MIN($E449-SUM($G449:AA449),$F449))</f>
        <v>0</v>
      </c>
      <c r="AC449" s="424">
        <f>IF(OR(AC$440&lt;$C449,AC$440&lt;$H$2),0,MIN($E449-SUM($G449:AB449),$F449))</f>
        <v>0</v>
      </c>
      <c r="AD449" s="424">
        <f>IF(OR(AD$440&lt;$C449,AD$440&lt;$H$2),0,MIN($E449-SUM($G449:AC449),$F449))</f>
        <v>0</v>
      </c>
      <c r="AE449" s="424">
        <f>IF(OR(AE$440&lt;$C449,AE$440&lt;$H$2),0,MIN($E449-SUM($G449:AD449),$F449))</f>
        <v>0</v>
      </c>
      <c r="AF449" s="424">
        <f>IF(OR(AF$440&lt;$C449,AF$440&lt;$H$2),0,MIN($E449-SUM($G449:AE449),$F449))</f>
        <v>0</v>
      </c>
      <c r="AG449" s="424">
        <f>IF(OR(AG$440&lt;$C449,AG$440&lt;$H$2),0,MIN($E449-SUM($G449:AF449),$F449))</f>
        <v>0</v>
      </c>
      <c r="AH449" s="424">
        <f>IF(OR(AH$440&lt;$C449,AH$440&lt;$H$2),0,MIN($E449-SUM($G449:AG449),$F449))</f>
        <v>0</v>
      </c>
      <c r="AI449" s="424">
        <f>IF(OR(AI$440&lt;$C449,AI$440&lt;$H$2),0,MIN($E449-SUM($G449:AH449),$F449))</f>
        <v>0</v>
      </c>
      <c r="AJ449" s="424">
        <f>IF(OR(AJ$440&lt;$C449,AJ$440&lt;$H$2),0,MIN($E449-SUM($G449:AI449),$F449))</f>
        <v>0</v>
      </c>
      <c r="AK449" s="424">
        <f>IF(OR(AK$440&lt;$C449,AK$440&lt;$H$2),0,MIN($E449-SUM($G449:AJ449),$F449))</f>
        <v>0</v>
      </c>
    </row>
    <row r="450" spans="3:37">
      <c r="C450" s="201">
        <v>48585</v>
      </c>
      <c r="D450" s="94" t="s">
        <v>134</v>
      </c>
      <c r="E450" s="424">
        <f t="shared" si="134"/>
        <v>0</v>
      </c>
      <c r="F450" s="209">
        <f t="shared" si="135"/>
        <v>0</v>
      </c>
      <c r="H450" s="424">
        <f>IF(OR(H$440&lt;$C450,H$440&lt;$H$2),0,MIN($E450-SUM($G450:G450),$F450))</f>
        <v>0</v>
      </c>
      <c r="I450" s="424">
        <f>IF(OR(I$440&lt;$C450,I$440&lt;$H$2),0,MIN($E450-SUM($G450:H450),$F450))</f>
        <v>0</v>
      </c>
      <c r="J450" s="424">
        <f>IF(OR(J$440&lt;$C450,J$440&lt;$H$2),0,MIN($E450-SUM($G450:I450),$F450))</f>
        <v>0</v>
      </c>
      <c r="K450" s="424">
        <f>IF(OR(K$440&lt;$C450,K$440&lt;$H$2),0,MIN($E450-SUM($G450:J450),$F450))</f>
        <v>0</v>
      </c>
      <c r="L450" s="424">
        <f>IF(OR(L$440&lt;$C450,L$440&lt;$H$2),0,MIN($E450-SUM($G450:K450),$F450))</f>
        <v>0</v>
      </c>
      <c r="M450" s="424">
        <f>IF(OR(M$440&lt;$C450,M$440&lt;$H$2),0,MIN($E450-SUM($G450:L450),$F450))</f>
        <v>0</v>
      </c>
      <c r="N450" s="424">
        <f>IF(OR(N$440&lt;$C450,N$440&lt;$H$2),0,MIN($E450-SUM($G450:M450),$F450))</f>
        <v>0</v>
      </c>
      <c r="O450" s="424">
        <f>IF(OR(O$440&lt;$C450,O$440&lt;$H$2),0,MIN($E450-SUM($G450:N450),$F450))</f>
        <v>0</v>
      </c>
      <c r="P450" s="424">
        <f>IF(OR(P$440&lt;$C450,P$440&lt;$H$2),0,MIN($E450-SUM($G450:O450),$F450))</f>
        <v>0</v>
      </c>
      <c r="Q450" s="424">
        <f>IF(OR(Q$440&lt;$C450,Q$440&lt;$H$2),0,MIN($E450-SUM($G450:P450),$F450))</f>
        <v>0</v>
      </c>
      <c r="R450" s="424">
        <f>IF(OR(R$440&lt;$C450,R$440&lt;$H$2),0,MIN($E450-SUM($G450:Q450),$F450))</f>
        <v>0</v>
      </c>
      <c r="S450" s="424">
        <f>IF(OR(S$440&lt;$C450,S$440&lt;$H$2),0,MIN($E450-SUM($G450:R450),$F450))</f>
        <v>0</v>
      </c>
      <c r="T450" s="424">
        <f>IF(OR(T$440&lt;$C450,T$440&lt;$H$2),0,MIN($E450-SUM($G450:S450),$F450))</f>
        <v>0</v>
      </c>
      <c r="U450" s="424">
        <f>IF(OR(U$440&lt;$C450,U$440&lt;$H$2),0,MIN($E450-SUM($G450:T450),$F450))</f>
        <v>0</v>
      </c>
      <c r="V450" s="424">
        <f>IF(OR(V$440&lt;$C450,V$440&lt;$H$2),0,MIN($E450-SUM($G450:U450),$F450))</f>
        <v>0</v>
      </c>
      <c r="W450" s="424">
        <f>IF(OR(W$440&lt;$C450,W$440&lt;$H$2),0,MIN($E450-SUM($G450:V450),$F450))</f>
        <v>0</v>
      </c>
      <c r="X450" s="424">
        <f>IF(OR(X$440&lt;$C450,X$440&lt;$H$2),0,MIN($E450-SUM($G450:W450),$F450))</f>
        <v>0</v>
      </c>
      <c r="Y450" s="424">
        <f>IF(OR(Y$440&lt;$C450,Y$440&lt;$H$2),0,MIN($E450-SUM($G450:X450),$F450))</f>
        <v>0</v>
      </c>
      <c r="Z450" s="424">
        <f>IF(OR(Z$440&lt;$C450,Z$440&lt;$H$2),0,MIN($E450-SUM($G450:Y450),$F450))</f>
        <v>0</v>
      </c>
      <c r="AA450" s="424">
        <f>IF(OR(AA$440&lt;$C450,AA$440&lt;$H$2),0,MIN($E450-SUM($G450:Z450),$F450))</f>
        <v>0</v>
      </c>
      <c r="AB450" s="424">
        <f>IF(OR(AB$440&lt;$C450,AB$440&lt;$H$2),0,MIN($E450-SUM($G450:AA450),$F450))</f>
        <v>0</v>
      </c>
      <c r="AC450" s="424">
        <f>IF(OR(AC$440&lt;$C450,AC$440&lt;$H$2),0,MIN($E450-SUM($G450:AB450),$F450))</f>
        <v>0</v>
      </c>
      <c r="AD450" s="424">
        <f>IF(OR(AD$440&lt;$C450,AD$440&lt;$H$2),0,MIN($E450-SUM($G450:AC450),$F450))</f>
        <v>0</v>
      </c>
      <c r="AE450" s="424">
        <f>IF(OR(AE$440&lt;$C450,AE$440&lt;$H$2),0,MIN($E450-SUM($G450:AD450),$F450))</f>
        <v>0</v>
      </c>
      <c r="AF450" s="424">
        <f>IF(OR(AF$440&lt;$C450,AF$440&lt;$H$2),0,MIN($E450-SUM($G450:AE450),$F450))</f>
        <v>0</v>
      </c>
      <c r="AG450" s="424">
        <f>IF(OR(AG$440&lt;$C450,AG$440&lt;$H$2),0,MIN($E450-SUM($G450:AF450),$F450))</f>
        <v>0</v>
      </c>
      <c r="AH450" s="424">
        <f>IF(OR(AH$440&lt;$C450,AH$440&lt;$H$2),0,MIN($E450-SUM($G450:AG450),$F450))</f>
        <v>0</v>
      </c>
      <c r="AI450" s="424">
        <f>IF(OR(AI$440&lt;$C450,AI$440&lt;$H$2),0,MIN($E450-SUM($G450:AH450),$F450))</f>
        <v>0</v>
      </c>
      <c r="AJ450" s="424">
        <f>IF(OR(AJ$440&lt;$C450,AJ$440&lt;$H$2),0,MIN($E450-SUM($G450:AI450),$F450))</f>
        <v>0</v>
      </c>
      <c r="AK450" s="424">
        <f>IF(OR(AK$440&lt;$C450,AK$440&lt;$H$2),0,MIN($E450-SUM($G450:AJ450),$F450))</f>
        <v>0</v>
      </c>
    </row>
    <row r="451" spans="3:37">
      <c r="C451" s="201">
        <v>48951</v>
      </c>
      <c r="D451" s="94" t="s">
        <v>134</v>
      </c>
      <c r="E451" s="424">
        <f t="shared" si="134"/>
        <v>0</v>
      </c>
      <c r="F451" s="209">
        <f t="shared" si="135"/>
        <v>0</v>
      </c>
      <c r="H451" s="424">
        <f>IF(OR(H$440&lt;$C451,H$440&lt;$H$2),0,MIN($E451-SUM($G451:G451),$F451))</f>
        <v>0</v>
      </c>
      <c r="I451" s="424">
        <f>IF(OR(I$440&lt;$C451,I$440&lt;$H$2),0,MIN($E451-SUM($G451:H451),$F451))</f>
        <v>0</v>
      </c>
      <c r="J451" s="424">
        <f>IF(OR(J$440&lt;$C451,J$440&lt;$H$2),0,MIN($E451-SUM($G451:I451),$F451))</f>
        <v>0</v>
      </c>
      <c r="K451" s="424">
        <f>IF(OR(K$440&lt;$C451,K$440&lt;$H$2),0,MIN($E451-SUM($G451:J451),$F451))</f>
        <v>0</v>
      </c>
      <c r="L451" s="424">
        <f>IF(OR(L$440&lt;$C451,L$440&lt;$H$2),0,MIN($E451-SUM($G451:K451),$F451))</f>
        <v>0</v>
      </c>
      <c r="M451" s="424">
        <f>IF(OR(M$440&lt;$C451,M$440&lt;$H$2),0,MIN($E451-SUM($G451:L451),$F451))</f>
        <v>0</v>
      </c>
      <c r="N451" s="424">
        <f>IF(OR(N$440&lt;$C451,N$440&lt;$H$2),0,MIN($E451-SUM($G451:M451),$F451))</f>
        <v>0</v>
      </c>
      <c r="O451" s="424">
        <f>IF(OR(O$440&lt;$C451,O$440&lt;$H$2),0,MIN($E451-SUM($G451:N451),$F451))</f>
        <v>0</v>
      </c>
      <c r="P451" s="424">
        <f>IF(OR(P$440&lt;$C451,P$440&lt;$H$2),0,MIN($E451-SUM($G451:O451),$F451))</f>
        <v>0</v>
      </c>
      <c r="Q451" s="424">
        <f>IF(OR(Q$440&lt;$C451,Q$440&lt;$H$2),0,MIN($E451-SUM($G451:P451),$F451))</f>
        <v>0</v>
      </c>
      <c r="R451" s="424">
        <f>IF(OR(R$440&lt;$C451,R$440&lt;$H$2),0,MIN($E451-SUM($G451:Q451),$F451))</f>
        <v>0</v>
      </c>
      <c r="S451" s="424">
        <f>IF(OR(S$440&lt;$C451,S$440&lt;$H$2),0,MIN($E451-SUM($G451:R451),$F451))</f>
        <v>0</v>
      </c>
      <c r="T451" s="424">
        <f>IF(OR(T$440&lt;$C451,T$440&lt;$H$2),0,MIN($E451-SUM($G451:S451),$F451))</f>
        <v>0</v>
      </c>
      <c r="U451" s="424">
        <f>IF(OR(U$440&lt;$C451,U$440&lt;$H$2),0,MIN($E451-SUM($G451:T451),$F451))</f>
        <v>0</v>
      </c>
      <c r="V451" s="424">
        <f>IF(OR(V$440&lt;$C451,V$440&lt;$H$2),0,MIN($E451-SUM($G451:U451),$F451))</f>
        <v>0</v>
      </c>
      <c r="W451" s="424">
        <f>IF(OR(W$440&lt;$C451,W$440&lt;$H$2),0,MIN($E451-SUM($G451:V451),$F451))</f>
        <v>0</v>
      </c>
      <c r="X451" s="424">
        <f>IF(OR(X$440&lt;$C451,X$440&lt;$H$2),0,MIN($E451-SUM($G451:W451),$F451))</f>
        <v>0</v>
      </c>
      <c r="Y451" s="424">
        <f>IF(OR(Y$440&lt;$C451,Y$440&lt;$H$2),0,MIN($E451-SUM($G451:X451),$F451))</f>
        <v>0</v>
      </c>
      <c r="Z451" s="424">
        <f>IF(OR(Z$440&lt;$C451,Z$440&lt;$H$2),0,MIN($E451-SUM($G451:Y451),$F451))</f>
        <v>0</v>
      </c>
      <c r="AA451" s="424">
        <f>IF(OR(AA$440&lt;$C451,AA$440&lt;$H$2),0,MIN($E451-SUM($G451:Z451),$F451))</f>
        <v>0</v>
      </c>
      <c r="AB451" s="424">
        <f>IF(OR(AB$440&lt;$C451,AB$440&lt;$H$2),0,MIN($E451-SUM($G451:AA451),$F451))</f>
        <v>0</v>
      </c>
      <c r="AC451" s="424">
        <f>IF(OR(AC$440&lt;$C451,AC$440&lt;$H$2),0,MIN($E451-SUM($G451:AB451),$F451))</f>
        <v>0</v>
      </c>
      <c r="AD451" s="424">
        <f>IF(OR(AD$440&lt;$C451,AD$440&lt;$H$2),0,MIN($E451-SUM($G451:AC451),$F451))</f>
        <v>0</v>
      </c>
      <c r="AE451" s="424">
        <f>IF(OR(AE$440&lt;$C451,AE$440&lt;$H$2),0,MIN($E451-SUM($G451:AD451),$F451))</f>
        <v>0</v>
      </c>
      <c r="AF451" s="424">
        <f>IF(OR(AF$440&lt;$C451,AF$440&lt;$H$2),0,MIN($E451-SUM($G451:AE451),$F451))</f>
        <v>0</v>
      </c>
      <c r="AG451" s="424">
        <f>IF(OR(AG$440&lt;$C451,AG$440&lt;$H$2),0,MIN($E451-SUM($G451:AF451),$F451))</f>
        <v>0</v>
      </c>
      <c r="AH451" s="424">
        <f>IF(OR(AH$440&lt;$C451,AH$440&lt;$H$2),0,MIN($E451-SUM($G451:AG451),$F451))</f>
        <v>0</v>
      </c>
      <c r="AI451" s="424">
        <f>IF(OR(AI$440&lt;$C451,AI$440&lt;$H$2),0,MIN($E451-SUM($G451:AH451),$F451))</f>
        <v>0</v>
      </c>
      <c r="AJ451" s="424">
        <f>IF(OR(AJ$440&lt;$C451,AJ$440&lt;$H$2),0,MIN($E451-SUM($G451:AI451),$F451))</f>
        <v>0</v>
      </c>
      <c r="AK451" s="424">
        <f>IF(OR(AK$440&lt;$C451,AK$440&lt;$H$2),0,MIN($E451-SUM($G451:AJ451),$F451))</f>
        <v>0</v>
      </c>
    </row>
    <row r="452" spans="3:37">
      <c r="C452" s="201">
        <v>49317</v>
      </c>
      <c r="D452" s="94" t="s">
        <v>134</v>
      </c>
      <c r="E452" s="424">
        <f t="shared" si="134"/>
        <v>0</v>
      </c>
      <c r="F452" s="209">
        <f t="shared" si="135"/>
        <v>0</v>
      </c>
      <c r="H452" s="424">
        <f>IF(OR(H$440&lt;$C452,H$440&lt;$H$2),0,MIN($E452-SUM($G452:G452),$F452))</f>
        <v>0</v>
      </c>
      <c r="I452" s="424">
        <f>IF(OR(I$440&lt;$C452,I$440&lt;$H$2),0,MIN($E452-SUM($G452:H452),$F452))</f>
        <v>0</v>
      </c>
      <c r="J452" s="424">
        <f>IF(OR(J$440&lt;$C452,J$440&lt;$H$2),0,MIN($E452-SUM($G452:I452),$F452))</f>
        <v>0</v>
      </c>
      <c r="K452" s="424">
        <f>IF(OR(K$440&lt;$C452,K$440&lt;$H$2),0,MIN($E452-SUM($G452:J452),$F452))</f>
        <v>0</v>
      </c>
      <c r="L452" s="424">
        <f>IF(OR(L$440&lt;$C452,L$440&lt;$H$2),0,MIN($E452-SUM($G452:K452),$F452))</f>
        <v>0</v>
      </c>
      <c r="M452" s="424">
        <f>IF(OR(M$440&lt;$C452,M$440&lt;$H$2),0,MIN($E452-SUM($G452:L452),$F452))</f>
        <v>0</v>
      </c>
      <c r="N452" s="424">
        <f>IF(OR(N$440&lt;$C452,N$440&lt;$H$2),0,MIN($E452-SUM($G452:M452),$F452))</f>
        <v>0</v>
      </c>
      <c r="O452" s="424">
        <f>IF(OR(O$440&lt;$C452,O$440&lt;$H$2),0,MIN($E452-SUM($G452:N452),$F452))</f>
        <v>0</v>
      </c>
      <c r="P452" s="424">
        <f>IF(OR(P$440&lt;$C452,P$440&lt;$H$2),0,MIN($E452-SUM($G452:O452),$F452))</f>
        <v>0</v>
      </c>
      <c r="Q452" s="424">
        <f>IF(OR(Q$440&lt;$C452,Q$440&lt;$H$2),0,MIN($E452-SUM($G452:P452),$F452))</f>
        <v>0</v>
      </c>
      <c r="R452" s="424">
        <f>IF(OR(R$440&lt;$C452,R$440&lt;$H$2),0,MIN($E452-SUM($G452:Q452),$F452))</f>
        <v>0</v>
      </c>
      <c r="S452" s="424">
        <f>IF(OR(S$440&lt;$C452,S$440&lt;$H$2),0,MIN($E452-SUM($G452:R452),$F452))</f>
        <v>0</v>
      </c>
      <c r="T452" s="424">
        <f>IF(OR(T$440&lt;$C452,T$440&lt;$H$2),0,MIN($E452-SUM($G452:S452),$F452))</f>
        <v>0</v>
      </c>
      <c r="U452" s="424">
        <f>IF(OR(U$440&lt;$C452,U$440&lt;$H$2),0,MIN($E452-SUM($G452:T452),$F452))</f>
        <v>0</v>
      </c>
      <c r="V452" s="424">
        <f>IF(OR(V$440&lt;$C452,V$440&lt;$H$2),0,MIN($E452-SUM($G452:U452),$F452))</f>
        <v>0</v>
      </c>
      <c r="W452" s="424">
        <f>IF(OR(W$440&lt;$C452,W$440&lt;$H$2),0,MIN($E452-SUM($G452:V452),$F452))</f>
        <v>0</v>
      </c>
      <c r="X452" s="424">
        <f>IF(OR(X$440&lt;$C452,X$440&lt;$H$2),0,MIN($E452-SUM($G452:W452),$F452))</f>
        <v>0</v>
      </c>
      <c r="Y452" s="424">
        <f>IF(OR(Y$440&lt;$C452,Y$440&lt;$H$2),0,MIN($E452-SUM($G452:X452),$F452))</f>
        <v>0</v>
      </c>
      <c r="Z452" s="424">
        <f>IF(OR(Z$440&lt;$C452,Z$440&lt;$H$2),0,MIN($E452-SUM($G452:Y452),$F452))</f>
        <v>0</v>
      </c>
      <c r="AA452" s="424">
        <f>IF(OR(AA$440&lt;$C452,AA$440&lt;$H$2),0,MIN($E452-SUM($G452:Z452),$F452))</f>
        <v>0</v>
      </c>
      <c r="AB452" s="424">
        <f>IF(OR(AB$440&lt;$C452,AB$440&lt;$H$2),0,MIN($E452-SUM($G452:AA452),$F452))</f>
        <v>0</v>
      </c>
      <c r="AC452" s="424">
        <f>IF(OR(AC$440&lt;$C452,AC$440&lt;$H$2),0,MIN($E452-SUM($G452:AB452),$F452))</f>
        <v>0</v>
      </c>
      <c r="AD452" s="424">
        <f>IF(OR(AD$440&lt;$C452,AD$440&lt;$H$2),0,MIN($E452-SUM($G452:AC452),$F452))</f>
        <v>0</v>
      </c>
      <c r="AE452" s="424">
        <f>IF(OR(AE$440&lt;$C452,AE$440&lt;$H$2),0,MIN($E452-SUM($G452:AD452),$F452))</f>
        <v>0</v>
      </c>
      <c r="AF452" s="424">
        <f>IF(OR(AF$440&lt;$C452,AF$440&lt;$H$2),0,MIN($E452-SUM($G452:AE452),$F452))</f>
        <v>0</v>
      </c>
      <c r="AG452" s="424">
        <f>IF(OR(AG$440&lt;$C452,AG$440&lt;$H$2),0,MIN($E452-SUM($G452:AF452),$F452))</f>
        <v>0</v>
      </c>
      <c r="AH452" s="424">
        <f>IF(OR(AH$440&lt;$C452,AH$440&lt;$H$2),0,MIN($E452-SUM($G452:AG452),$F452))</f>
        <v>0</v>
      </c>
      <c r="AI452" s="424">
        <f>IF(OR(AI$440&lt;$C452,AI$440&lt;$H$2),0,MIN($E452-SUM($G452:AH452),$F452))</f>
        <v>0</v>
      </c>
      <c r="AJ452" s="424">
        <f>IF(OR(AJ$440&lt;$C452,AJ$440&lt;$H$2),0,MIN($E452-SUM($G452:AI452),$F452))</f>
        <v>0</v>
      </c>
      <c r="AK452" s="424">
        <f>IF(OR(AK$440&lt;$C452,AK$440&lt;$H$2),0,MIN($E452-SUM($G452:AJ452),$F452))</f>
        <v>0</v>
      </c>
    </row>
    <row r="453" spans="3:37">
      <c r="C453" s="201">
        <v>49683</v>
      </c>
      <c r="D453" s="94" t="s">
        <v>134</v>
      </c>
      <c r="E453" s="424">
        <f t="shared" si="134"/>
        <v>0</v>
      </c>
      <c r="F453" s="209">
        <f t="shared" si="135"/>
        <v>0</v>
      </c>
      <c r="H453" s="424">
        <f>IF(OR(H$440&lt;$C453,H$440&lt;$H$2),0,MIN($E453-SUM($G453:G453),$F453))</f>
        <v>0</v>
      </c>
      <c r="I453" s="424">
        <f>IF(OR(I$440&lt;$C453,I$440&lt;$H$2),0,MIN($E453-SUM($G453:H453),$F453))</f>
        <v>0</v>
      </c>
      <c r="J453" s="424">
        <f>IF(OR(J$440&lt;$C453,J$440&lt;$H$2),0,MIN($E453-SUM($G453:I453),$F453))</f>
        <v>0</v>
      </c>
      <c r="K453" s="424">
        <f>IF(OR(K$440&lt;$C453,K$440&lt;$H$2),0,MIN($E453-SUM($G453:J453),$F453))</f>
        <v>0</v>
      </c>
      <c r="L453" s="424">
        <f>IF(OR(L$440&lt;$C453,L$440&lt;$H$2),0,MIN($E453-SUM($G453:K453),$F453))</f>
        <v>0</v>
      </c>
      <c r="M453" s="424">
        <f>IF(OR(M$440&lt;$C453,M$440&lt;$H$2),0,MIN($E453-SUM($G453:L453),$F453))</f>
        <v>0</v>
      </c>
      <c r="N453" s="424">
        <f>IF(OR(N$440&lt;$C453,N$440&lt;$H$2),0,MIN($E453-SUM($G453:M453),$F453))</f>
        <v>0</v>
      </c>
      <c r="O453" s="424">
        <f>IF(OR(O$440&lt;$C453,O$440&lt;$H$2),0,MIN($E453-SUM($G453:N453),$F453))</f>
        <v>0</v>
      </c>
      <c r="P453" s="424">
        <f>IF(OR(P$440&lt;$C453,P$440&lt;$H$2),0,MIN($E453-SUM($G453:O453),$F453))</f>
        <v>0</v>
      </c>
      <c r="Q453" s="424">
        <f>IF(OR(Q$440&lt;$C453,Q$440&lt;$H$2),0,MIN($E453-SUM($G453:P453),$F453))</f>
        <v>0</v>
      </c>
      <c r="R453" s="424">
        <f>IF(OR(R$440&lt;$C453,R$440&lt;$H$2),0,MIN($E453-SUM($G453:Q453),$F453))</f>
        <v>0</v>
      </c>
      <c r="S453" s="424">
        <f>IF(OR(S$440&lt;$C453,S$440&lt;$H$2),0,MIN($E453-SUM($G453:R453),$F453))</f>
        <v>0</v>
      </c>
      <c r="T453" s="424">
        <f>IF(OR(T$440&lt;$C453,T$440&lt;$H$2),0,MIN($E453-SUM($G453:S453),$F453))</f>
        <v>0</v>
      </c>
      <c r="U453" s="424">
        <f>IF(OR(U$440&lt;$C453,U$440&lt;$H$2),0,MIN($E453-SUM($G453:T453),$F453))</f>
        <v>0</v>
      </c>
      <c r="V453" s="424">
        <f>IF(OR(V$440&lt;$C453,V$440&lt;$H$2),0,MIN($E453-SUM($G453:U453),$F453))</f>
        <v>0</v>
      </c>
      <c r="W453" s="424">
        <f>IF(OR(W$440&lt;$C453,W$440&lt;$H$2),0,MIN($E453-SUM($G453:V453),$F453))</f>
        <v>0</v>
      </c>
      <c r="X453" s="424">
        <f>IF(OR(X$440&lt;$C453,X$440&lt;$H$2),0,MIN($E453-SUM($G453:W453),$F453))</f>
        <v>0</v>
      </c>
      <c r="Y453" s="424">
        <f>IF(OR(Y$440&lt;$C453,Y$440&lt;$H$2),0,MIN($E453-SUM($G453:X453),$F453))</f>
        <v>0</v>
      </c>
      <c r="Z453" s="424">
        <f>IF(OR(Z$440&lt;$C453,Z$440&lt;$H$2),0,MIN($E453-SUM($G453:Y453),$F453))</f>
        <v>0</v>
      </c>
      <c r="AA453" s="424">
        <f>IF(OR(AA$440&lt;$C453,AA$440&lt;$H$2),0,MIN($E453-SUM($G453:Z453),$F453))</f>
        <v>0</v>
      </c>
      <c r="AB453" s="424">
        <f>IF(OR(AB$440&lt;$C453,AB$440&lt;$H$2),0,MIN($E453-SUM($G453:AA453),$F453))</f>
        <v>0</v>
      </c>
      <c r="AC453" s="424">
        <f>IF(OR(AC$440&lt;$C453,AC$440&lt;$H$2),0,MIN($E453-SUM($G453:AB453),$F453))</f>
        <v>0</v>
      </c>
      <c r="AD453" s="424">
        <f>IF(OR(AD$440&lt;$C453,AD$440&lt;$H$2),0,MIN($E453-SUM($G453:AC453),$F453))</f>
        <v>0</v>
      </c>
      <c r="AE453" s="424">
        <f>IF(OR(AE$440&lt;$C453,AE$440&lt;$H$2),0,MIN($E453-SUM($G453:AD453),$F453))</f>
        <v>0</v>
      </c>
      <c r="AF453" s="424">
        <f>IF(OR(AF$440&lt;$C453,AF$440&lt;$H$2),0,MIN($E453-SUM($G453:AE453),$F453))</f>
        <v>0</v>
      </c>
      <c r="AG453" s="424">
        <f>IF(OR(AG$440&lt;$C453,AG$440&lt;$H$2),0,MIN($E453-SUM($G453:AF453),$F453))</f>
        <v>0</v>
      </c>
      <c r="AH453" s="424">
        <f>IF(OR(AH$440&lt;$C453,AH$440&lt;$H$2),0,MIN($E453-SUM($G453:AG453),$F453))</f>
        <v>0</v>
      </c>
      <c r="AI453" s="424">
        <f>IF(OR(AI$440&lt;$C453,AI$440&lt;$H$2),0,MIN($E453-SUM($G453:AH453),$F453))</f>
        <v>0</v>
      </c>
      <c r="AJ453" s="424">
        <f>IF(OR(AJ$440&lt;$C453,AJ$440&lt;$H$2),0,MIN($E453-SUM($G453:AI453),$F453))</f>
        <v>0</v>
      </c>
      <c r="AK453" s="424">
        <f>IF(OR(AK$440&lt;$C453,AK$440&lt;$H$2),0,MIN($E453-SUM($G453:AJ453),$F453))</f>
        <v>0</v>
      </c>
    </row>
    <row r="454" spans="3:37">
      <c r="C454" s="201">
        <v>50049</v>
      </c>
      <c r="D454" s="94" t="s">
        <v>134</v>
      </c>
      <c r="E454" s="424">
        <f t="shared" si="134"/>
        <v>0</v>
      </c>
      <c r="F454" s="209">
        <f t="shared" si="135"/>
        <v>0</v>
      </c>
      <c r="H454" s="424">
        <f>IF(OR(H$440&lt;$C454,H$440&lt;$H$2),0,MIN($E454-SUM($G454:G454),$F454))</f>
        <v>0</v>
      </c>
      <c r="I454" s="424">
        <f>IF(OR(I$440&lt;$C454,I$440&lt;$H$2),0,MIN($E454-SUM($G454:H454),$F454))</f>
        <v>0</v>
      </c>
      <c r="J454" s="424">
        <f>IF(OR(J$440&lt;$C454,J$440&lt;$H$2),0,MIN($E454-SUM($G454:I454),$F454))</f>
        <v>0</v>
      </c>
      <c r="K454" s="424">
        <f>IF(OR(K$440&lt;$C454,K$440&lt;$H$2),0,MIN($E454-SUM($G454:J454),$F454))</f>
        <v>0</v>
      </c>
      <c r="L454" s="424">
        <f>IF(OR(L$440&lt;$C454,L$440&lt;$H$2),0,MIN($E454-SUM($G454:K454),$F454))</f>
        <v>0</v>
      </c>
      <c r="M454" s="424">
        <f>IF(OR(M$440&lt;$C454,M$440&lt;$H$2),0,MIN($E454-SUM($G454:L454),$F454))</f>
        <v>0</v>
      </c>
      <c r="N454" s="424">
        <f>IF(OR(N$440&lt;$C454,N$440&lt;$H$2),0,MIN($E454-SUM($G454:M454),$F454))</f>
        <v>0</v>
      </c>
      <c r="O454" s="424">
        <f>IF(OR(O$440&lt;$C454,O$440&lt;$H$2),0,MIN($E454-SUM($G454:N454),$F454))</f>
        <v>0</v>
      </c>
      <c r="P454" s="424">
        <f>IF(OR(P$440&lt;$C454,P$440&lt;$H$2),0,MIN($E454-SUM($G454:O454),$F454))</f>
        <v>0</v>
      </c>
      <c r="Q454" s="424">
        <f>IF(OR(Q$440&lt;$C454,Q$440&lt;$H$2),0,MIN($E454-SUM($G454:P454),$F454))</f>
        <v>0</v>
      </c>
      <c r="R454" s="424">
        <f>IF(OR(R$440&lt;$C454,R$440&lt;$H$2),0,MIN($E454-SUM($G454:Q454),$F454))</f>
        <v>0</v>
      </c>
      <c r="S454" s="424">
        <f>IF(OR(S$440&lt;$C454,S$440&lt;$H$2),0,MIN($E454-SUM($G454:R454),$F454))</f>
        <v>0</v>
      </c>
      <c r="T454" s="424">
        <f>IF(OR(T$440&lt;$C454,T$440&lt;$H$2),0,MIN($E454-SUM($G454:S454),$F454))</f>
        <v>0</v>
      </c>
      <c r="U454" s="424">
        <f>IF(OR(U$440&lt;$C454,U$440&lt;$H$2),0,MIN($E454-SUM($G454:T454),$F454))</f>
        <v>0</v>
      </c>
      <c r="V454" s="424">
        <f>IF(OR(V$440&lt;$C454,V$440&lt;$H$2),0,MIN($E454-SUM($G454:U454),$F454))</f>
        <v>0</v>
      </c>
      <c r="W454" s="424">
        <f>IF(OR(W$440&lt;$C454,W$440&lt;$H$2),0,MIN($E454-SUM($G454:V454),$F454))</f>
        <v>0</v>
      </c>
      <c r="X454" s="424">
        <f>IF(OR(X$440&lt;$C454,X$440&lt;$H$2),0,MIN($E454-SUM($G454:W454),$F454))</f>
        <v>0</v>
      </c>
      <c r="Y454" s="424">
        <f>IF(OR(Y$440&lt;$C454,Y$440&lt;$H$2),0,MIN($E454-SUM($G454:X454),$F454))</f>
        <v>0</v>
      </c>
      <c r="Z454" s="424">
        <f>IF(OR(Z$440&lt;$C454,Z$440&lt;$H$2),0,MIN($E454-SUM($G454:Y454),$F454))</f>
        <v>0</v>
      </c>
      <c r="AA454" s="424">
        <f>IF(OR(AA$440&lt;$C454,AA$440&lt;$H$2),0,MIN($E454-SUM($G454:Z454),$F454))</f>
        <v>0</v>
      </c>
      <c r="AB454" s="424">
        <f>IF(OR(AB$440&lt;$C454,AB$440&lt;$H$2),0,MIN($E454-SUM($G454:AA454),$F454))</f>
        <v>0</v>
      </c>
      <c r="AC454" s="424">
        <f>IF(OR(AC$440&lt;$C454,AC$440&lt;$H$2),0,MIN($E454-SUM($G454:AB454),$F454))</f>
        <v>0</v>
      </c>
      <c r="AD454" s="424">
        <f>IF(OR(AD$440&lt;$C454,AD$440&lt;$H$2),0,MIN($E454-SUM($G454:AC454),$F454))</f>
        <v>0</v>
      </c>
      <c r="AE454" s="424">
        <f>IF(OR(AE$440&lt;$C454,AE$440&lt;$H$2),0,MIN($E454-SUM($G454:AD454),$F454))</f>
        <v>0</v>
      </c>
      <c r="AF454" s="424">
        <f>IF(OR(AF$440&lt;$C454,AF$440&lt;$H$2),0,MIN($E454-SUM($G454:AE454),$F454))</f>
        <v>0</v>
      </c>
      <c r="AG454" s="424">
        <f>IF(OR(AG$440&lt;$C454,AG$440&lt;$H$2),0,MIN($E454-SUM($G454:AF454),$F454))</f>
        <v>0</v>
      </c>
      <c r="AH454" s="424">
        <f>IF(OR(AH$440&lt;$C454,AH$440&lt;$H$2),0,MIN($E454-SUM($G454:AG454),$F454))</f>
        <v>0</v>
      </c>
      <c r="AI454" s="424">
        <f>IF(OR(AI$440&lt;$C454,AI$440&lt;$H$2),0,MIN($E454-SUM($G454:AH454),$F454))</f>
        <v>0</v>
      </c>
      <c r="AJ454" s="424">
        <f>IF(OR(AJ$440&lt;$C454,AJ$440&lt;$H$2),0,MIN($E454-SUM($G454:AI454),$F454))</f>
        <v>0</v>
      </c>
      <c r="AK454" s="424">
        <f>IF(OR(AK$440&lt;$C454,AK$440&lt;$H$2),0,MIN($E454-SUM($G454:AJ454),$F454))</f>
        <v>0</v>
      </c>
    </row>
    <row r="455" spans="3:37">
      <c r="C455" s="201">
        <v>50415</v>
      </c>
      <c r="D455" s="94" t="s">
        <v>134</v>
      </c>
      <c r="E455" s="424">
        <f t="shared" si="134"/>
        <v>0</v>
      </c>
      <c r="F455" s="209">
        <f t="shared" si="135"/>
        <v>0</v>
      </c>
      <c r="H455" s="424">
        <f>IF(OR(H$440&lt;$C455,H$440&lt;$H$2),0,MIN($E455-SUM($G455:G455),$F455))</f>
        <v>0</v>
      </c>
      <c r="I455" s="424">
        <f>IF(OR(I$440&lt;$C455,I$440&lt;$H$2),0,MIN($E455-SUM($G455:H455),$F455))</f>
        <v>0</v>
      </c>
      <c r="J455" s="424">
        <f>IF(OR(J$440&lt;$C455,J$440&lt;$H$2),0,MIN($E455-SUM($G455:I455),$F455))</f>
        <v>0</v>
      </c>
      <c r="K455" s="424">
        <f>IF(OR(K$440&lt;$C455,K$440&lt;$H$2),0,MIN($E455-SUM($G455:J455),$F455))</f>
        <v>0</v>
      </c>
      <c r="L455" s="424">
        <f>IF(OR(L$440&lt;$C455,L$440&lt;$H$2),0,MIN($E455-SUM($G455:K455),$F455))</f>
        <v>0</v>
      </c>
      <c r="M455" s="424">
        <f>IF(OR(M$440&lt;$C455,M$440&lt;$H$2),0,MIN($E455-SUM($G455:L455),$F455))</f>
        <v>0</v>
      </c>
      <c r="N455" s="424">
        <f>IF(OR(N$440&lt;$C455,N$440&lt;$H$2),0,MIN($E455-SUM($G455:M455),$F455))</f>
        <v>0</v>
      </c>
      <c r="O455" s="424">
        <f>IF(OR(O$440&lt;$C455,O$440&lt;$H$2),0,MIN($E455-SUM($G455:N455),$F455))</f>
        <v>0</v>
      </c>
      <c r="P455" s="424">
        <f>IF(OR(P$440&lt;$C455,P$440&lt;$H$2),0,MIN($E455-SUM($G455:O455),$F455))</f>
        <v>0</v>
      </c>
      <c r="Q455" s="424">
        <f>IF(OR(Q$440&lt;$C455,Q$440&lt;$H$2),0,MIN($E455-SUM($G455:P455),$F455))</f>
        <v>0</v>
      </c>
      <c r="R455" s="424">
        <f>IF(OR(R$440&lt;$C455,R$440&lt;$H$2),0,MIN($E455-SUM($G455:Q455),$F455))</f>
        <v>0</v>
      </c>
      <c r="S455" s="424">
        <f>IF(OR(S$440&lt;$C455,S$440&lt;$H$2),0,MIN($E455-SUM($G455:R455),$F455))</f>
        <v>0</v>
      </c>
      <c r="T455" s="424">
        <f>IF(OR(T$440&lt;$C455,T$440&lt;$H$2),0,MIN($E455-SUM($G455:S455),$F455))</f>
        <v>0</v>
      </c>
      <c r="U455" s="424">
        <f>IF(OR(U$440&lt;$C455,U$440&lt;$H$2),0,MIN($E455-SUM($G455:T455),$F455))</f>
        <v>0</v>
      </c>
      <c r="V455" s="424">
        <f>IF(OR(V$440&lt;$C455,V$440&lt;$H$2),0,MIN($E455-SUM($G455:U455),$F455))</f>
        <v>0</v>
      </c>
      <c r="W455" s="424">
        <f>IF(OR(W$440&lt;$C455,W$440&lt;$H$2),0,MIN($E455-SUM($G455:V455),$F455))</f>
        <v>0</v>
      </c>
      <c r="X455" s="424">
        <f>IF(OR(X$440&lt;$C455,X$440&lt;$H$2),0,MIN($E455-SUM($G455:W455),$F455))</f>
        <v>0</v>
      </c>
      <c r="Y455" s="424">
        <f>IF(OR(Y$440&lt;$C455,Y$440&lt;$H$2),0,MIN($E455-SUM($G455:X455),$F455))</f>
        <v>0</v>
      </c>
      <c r="Z455" s="424">
        <f>IF(OR(Z$440&lt;$C455,Z$440&lt;$H$2),0,MIN($E455-SUM($G455:Y455),$F455))</f>
        <v>0</v>
      </c>
      <c r="AA455" s="424">
        <f>IF(OR(AA$440&lt;$C455,AA$440&lt;$H$2),0,MIN($E455-SUM($G455:Z455),$F455))</f>
        <v>0</v>
      </c>
      <c r="AB455" s="424">
        <f>IF(OR(AB$440&lt;$C455,AB$440&lt;$H$2),0,MIN($E455-SUM($G455:AA455),$F455))</f>
        <v>0</v>
      </c>
      <c r="AC455" s="424">
        <f>IF(OR(AC$440&lt;$C455,AC$440&lt;$H$2),0,MIN($E455-SUM($G455:AB455),$F455))</f>
        <v>0</v>
      </c>
      <c r="AD455" s="424">
        <f>IF(OR(AD$440&lt;$C455,AD$440&lt;$H$2),0,MIN($E455-SUM($G455:AC455),$F455))</f>
        <v>0</v>
      </c>
      <c r="AE455" s="424">
        <f>IF(OR(AE$440&lt;$C455,AE$440&lt;$H$2),0,MIN($E455-SUM($G455:AD455),$F455))</f>
        <v>0</v>
      </c>
      <c r="AF455" s="424">
        <f>IF(OR(AF$440&lt;$C455,AF$440&lt;$H$2),0,MIN($E455-SUM($G455:AE455),$F455))</f>
        <v>0</v>
      </c>
      <c r="AG455" s="424">
        <f>IF(OR(AG$440&lt;$C455,AG$440&lt;$H$2),0,MIN($E455-SUM($G455:AF455),$F455))</f>
        <v>0</v>
      </c>
      <c r="AH455" s="424">
        <f>IF(OR(AH$440&lt;$C455,AH$440&lt;$H$2),0,MIN($E455-SUM($G455:AG455),$F455))</f>
        <v>0</v>
      </c>
      <c r="AI455" s="424">
        <f>IF(OR(AI$440&lt;$C455,AI$440&lt;$H$2),0,MIN($E455-SUM($G455:AH455),$F455))</f>
        <v>0</v>
      </c>
      <c r="AJ455" s="424">
        <f>IF(OR(AJ$440&lt;$C455,AJ$440&lt;$H$2),0,MIN($E455-SUM($G455:AI455),$F455))</f>
        <v>0</v>
      </c>
      <c r="AK455" s="424">
        <f>IF(OR(AK$440&lt;$C455,AK$440&lt;$H$2),0,MIN($E455-SUM($G455:AJ455),$F455))</f>
        <v>0</v>
      </c>
    </row>
    <row r="456" spans="3:37">
      <c r="C456" s="201">
        <v>50781</v>
      </c>
      <c r="D456" s="94" t="s">
        <v>134</v>
      </c>
      <c r="E456" s="424">
        <f t="shared" si="134"/>
        <v>0</v>
      </c>
      <c r="F456" s="209">
        <f t="shared" si="135"/>
        <v>0</v>
      </c>
      <c r="H456" s="424">
        <f>IF(OR(H$440&lt;$C456,H$440&lt;$H$2),0,MIN($E456-SUM($G456:G456),$F456))</f>
        <v>0</v>
      </c>
      <c r="I456" s="424">
        <f>IF(OR(I$440&lt;$C456,I$440&lt;$H$2),0,MIN($E456-SUM($G456:H456),$F456))</f>
        <v>0</v>
      </c>
      <c r="J456" s="424">
        <f>IF(OR(J$440&lt;$C456,J$440&lt;$H$2),0,MIN($E456-SUM($G456:I456),$F456))</f>
        <v>0</v>
      </c>
      <c r="K456" s="424">
        <f>IF(OR(K$440&lt;$C456,K$440&lt;$H$2),0,MIN($E456-SUM($G456:J456),$F456))</f>
        <v>0</v>
      </c>
      <c r="L456" s="424">
        <f>IF(OR(L$440&lt;$C456,L$440&lt;$H$2),0,MIN($E456-SUM($G456:K456),$F456))</f>
        <v>0</v>
      </c>
      <c r="M456" s="424">
        <f>IF(OR(M$440&lt;$C456,M$440&lt;$H$2),0,MIN($E456-SUM($G456:L456),$F456))</f>
        <v>0</v>
      </c>
      <c r="N456" s="424">
        <f>IF(OR(N$440&lt;$C456,N$440&lt;$H$2),0,MIN($E456-SUM($G456:M456),$F456))</f>
        <v>0</v>
      </c>
      <c r="O456" s="424">
        <f>IF(OR(O$440&lt;$C456,O$440&lt;$H$2),0,MIN($E456-SUM($G456:N456),$F456))</f>
        <v>0</v>
      </c>
      <c r="P456" s="424">
        <f>IF(OR(P$440&lt;$C456,P$440&lt;$H$2),0,MIN($E456-SUM($G456:O456),$F456))</f>
        <v>0</v>
      </c>
      <c r="Q456" s="424">
        <f>IF(OR(Q$440&lt;$C456,Q$440&lt;$H$2),0,MIN($E456-SUM($G456:P456),$F456))</f>
        <v>0</v>
      </c>
      <c r="R456" s="424">
        <f>IF(OR(R$440&lt;$C456,R$440&lt;$H$2),0,MIN($E456-SUM($G456:Q456),$F456))</f>
        <v>0</v>
      </c>
      <c r="S456" s="424">
        <f>IF(OR(S$440&lt;$C456,S$440&lt;$H$2),0,MIN($E456-SUM($G456:R456),$F456))</f>
        <v>0</v>
      </c>
      <c r="T456" s="424">
        <f>IF(OR(T$440&lt;$C456,T$440&lt;$H$2),0,MIN($E456-SUM($G456:S456),$F456))</f>
        <v>0</v>
      </c>
      <c r="U456" s="424">
        <f>IF(OR(U$440&lt;$C456,U$440&lt;$H$2),0,MIN($E456-SUM($G456:T456),$F456))</f>
        <v>0</v>
      </c>
      <c r="V456" s="424">
        <f>IF(OR(V$440&lt;$C456,V$440&lt;$H$2),0,MIN($E456-SUM($G456:U456),$F456))</f>
        <v>0</v>
      </c>
      <c r="W456" s="424">
        <f>IF(OR(W$440&lt;$C456,W$440&lt;$H$2),0,MIN($E456-SUM($G456:V456),$F456))</f>
        <v>0</v>
      </c>
      <c r="X456" s="424">
        <f>IF(OR(X$440&lt;$C456,X$440&lt;$H$2),0,MIN($E456-SUM($G456:W456),$F456))</f>
        <v>0</v>
      </c>
      <c r="Y456" s="424">
        <f>IF(OR(Y$440&lt;$C456,Y$440&lt;$H$2),0,MIN($E456-SUM($G456:X456),$F456))</f>
        <v>0</v>
      </c>
      <c r="Z456" s="424">
        <f>IF(OR(Z$440&lt;$C456,Z$440&lt;$H$2),0,MIN($E456-SUM($G456:Y456),$F456))</f>
        <v>0</v>
      </c>
      <c r="AA456" s="424">
        <f>IF(OR(AA$440&lt;$C456,AA$440&lt;$H$2),0,MIN($E456-SUM($G456:Z456),$F456))</f>
        <v>0</v>
      </c>
      <c r="AB456" s="424">
        <f>IF(OR(AB$440&lt;$C456,AB$440&lt;$H$2),0,MIN($E456-SUM($G456:AA456),$F456))</f>
        <v>0</v>
      </c>
      <c r="AC456" s="424">
        <f>IF(OR(AC$440&lt;$C456,AC$440&lt;$H$2),0,MIN($E456-SUM($G456:AB456),$F456))</f>
        <v>0</v>
      </c>
      <c r="AD456" s="424">
        <f>IF(OR(AD$440&lt;$C456,AD$440&lt;$H$2),0,MIN($E456-SUM($G456:AC456),$F456))</f>
        <v>0</v>
      </c>
      <c r="AE456" s="424">
        <f>IF(OR(AE$440&lt;$C456,AE$440&lt;$H$2),0,MIN($E456-SUM($G456:AD456),$F456))</f>
        <v>0</v>
      </c>
      <c r="AF456" s="424">
        <f>IF(OR(AF$440&lt;$C456,AF$440&lt;$H$2),0,MIN($E456-SUM($G456:AE456),$F456))</f>
        <v>0</v>
      </c>
      <c r="AG456" s="424">
        <f>IF(OR(AG$440&lt;$C456,AG$440&lt;$H$2),0,MIN($E456-SUM($G456:AF456),$F456))</f>
        <v>0</v>
      </c>
      <c r="AH456" s="424">
        <f>IF(OR(AH$440&lt;$C456,AH$440&lt;$H$2),0,MIN($E456-SUM($G456:AG456),$F456))</f>
        <v>0</v>
      </c>
      <c r="AI456" s="424">
        <f>IF(OR(AI$440&lt;$C456,AI$440&lt;$H$2),0,MIN($E456-SUM($G456:AH456),$F456))</f>
        <v>0</v>
      </c>
      <c r="AJ456" s="424">
        <f>IF(OR(AJ$440&lt;$C456,AJ$440&lt;$H$2),0,MIN($E456-SUM($G456:AI456),$F456))</f>
        <v>0</v>
      </c>
      <c r="AK456" s="424">
        <f>IF(OR(AK$440&lt;$C456,AK$440&lt;$H$2),0,MIN($E456-SUM($G456:AJ456),$F456))</f>
        <v>0</v>
      </c>
    </row>
    <row r="457" spans="3:37">
      <c r="C457" s="201">
        <v>51147</v>
      </c>
      <c r="D457" s="94" t="s">
        <v>134</v>
      </c>
      <c r="E457" s="424">
        <f t="shared" si="134"/>
        <v>0</v>
      </c>
      <c r="F457" s="209">
        <f t="shared" si="135"/>
        <v>0</v>
      </c>
      <c r="H457" s="424">
        <f>IF(OR(H$440&lt;$C457,H$440&lt;$H$2),0,MIN($E457-SUM($G457:G457),$F457))</f>
        <v>0</v>
      </c>
      <c r="I457" s="424">
        <f>IF(OR(I$440&lt;$C457,I$440&lt;$H$2),0,MIN($E457-SUM($G457:H457),$F457))</f>
        <v>0</v>
      </c>
      <c r="J457" s="424">
        <f>IF(OR(J$440&lt;$C457,J$440&lt;$H$2),0,MIN($E457-SUM($G457:I457),$F457))</f>
        <v>0</v>
      </c>
      <c r="K457" s="424">
        <f>IF(OR(K$440&lt;$C457,K$440&lt;$H$2),0,MIN($E457-SUM($G457:J457),$F457))</f>
        <v>0</v>
      </c>
      <c r="L457" s="424">
        <f>IF(OR(L$440&lt;$C457,L$440&lt;$H$2),0,MIN($E457-SUM($G457:K457),$F457))</f>
        <v>0</v>
      </c>
      <c r="M457" s="424">
        <f>IF(OR(M$440&lt;$C457,M$440&lt;$H$2),0,MIN($E457-SUM($G457:L457),$F457))</f>
        <v>0</v>
      </c>
      <c r="N457" s="424">
        <f>IF(OR(N$440&lt;$C457,N$440&lt;$H$2),0,MIN($E457-SUM($G457:M457),$F457))</f>
        <v>0</v>
      </c>
      <c r="O457" s="424">
        <f>IF(OR(O$440&lt;$C457,O$440&lt;$H$2),0,MIN($E457-SUM($G457:N457),$F457))</f>
        <v>0</v>
      </c>
      <c r="P457" s="424">
        <f>IF(OR(P$440&lt;$C457,P$440&lt;$H$2),0,MIN($E457-SUM($G457:O457),$F457))</f>
        <v>0</v>
      </c>
      <c r="Q457" s="424">
        <f>IF(OR(Q$440&lt;$C457,Q$440&lt;$H$2),0,MIN($E457-SUM($G457:P457),$F457))</f>
        <v>0</v>
      </c>
      <c r="R457" s="424">
        <f>IF(OR(R$440&lt;$C457,R$440&lt;$H$2),0,MIN($E457-SUM($G457:Q457),$F457))</f>
        <v>0</v>
      </c>
      <c r="S457" s="424">
        <f>IF(OR(S$440&lt;$C457,S$440&lt;$H$2),0,MIN($E457-SUM($G457:R457),$F457))</f>
        <v>0</v>
      </c>
      <c r="T457" s="424">
        <f>IF(OR(T$440&lt;$C457,T$440&lt;$H$2),0,MIN($E457-SUM($G457:S457),$F457))</f>
        <v>0</v>
      </c>
      <c r="U457" s="424">
        <f>IF(OR(U$440&lt;$C457,U$440&lt;$H$2),0,MIN($E457-SUM($G457:T457),$F457))</f>
        <v>0</v>
      </c>
      <c r="V457" s="424">
        <f>IF(OR(V$440&lt;$C457,V$440&lt;$H$2),0,MIN($E457-SUM($G457:U457),$F457))</f>
        <v>0</v>
      </c>
      <c r="W457" s="424">
        <f>IF(OR(W$440&lt;$C457,W$440&lt;$H$2),0,MIN($E457-SUM($G457:V457),$F457))</f>
        <v>0</v>
      </c>
      <c r="X457" s="424">
        <f>IF(OR(X$440&lt;$C457,X$440&lt;$H$2),0,MIN($E457-SUM($G457:W457),$F457))</f>
        <v>0</v>
      </c>
      <c r="Y457" s="424">
        <f>IF(OR(Y$440&lt;$C457,Y$440&lt;$H$2),0,MIN($E457-SUM($G457:X457),$F457))</f>
        <v>0</v>
      </c>
      <c r="Z457" s="424">
        <f>IF(OR(Z$440&lt;$C457,Z$440&lt;$H$2),0,MIN($E457-SUM($G457:Y457),$F457))</f>
        <v>0</v>
      </c>
      <c r="AA457" s="424">
        <f>IF(OR(AA$440&lt;$C457,AA$440&lt;$H$2),0,MIN($E457-SUM($G457:Z457),$F457))</f>
        <v>0</v>
      </c>
      <c r="AB457" s="424">
        <f>IF(OR(AB$440&lt;$C457,AB$440&lt;$H$2),0,MIN($E457-SUM($G457:AA457),$F457))</f>
        <v>0</v>
      </c>
      <c r="AC457" s="424">
        <f>IF(OR(AC$440&lt;$C457,AC$440&lt;$H$2),0,MIN($E457-SUM($G457:AB457),$F457))</f>
        <v>0</v>
      </c>
      <c r="AD457" s="424">
        <f>IF(OR(AD$440&lt;$C457,AD$440&lt;$H$2),0,MIN($E457-SUM($G457:AC457),$F457))</f>
        <v>0</v>
      </c>
      <c r="AE457" s="424">
        <f>IF(OR(AE$440&lt;$C457,AE$440&lt;$H$2),0,MIN($E457-SUM($G457:AD457),$F457))</f>
        <v>0</v>
      </c>
      <c r="AF457" s="424">
        <f>IF(OR(AF$440&lt;$C457,AF$440&lt;$H$2),0,MIN($E457-SUM($G457:AE457),$F457))</f>
        <v>0</v>
      </c>
      <c r="AG457" s="424">
        <f>IF(OR(AG$440&lt;$C457,AG$440&lt;$H$2),0,MIN($E457-SUM($G457:AF457),$F457))</f>
        <v>0</v>
      </c>
      <c r="AH457" s="424">
        <f>IF(OR(AH$440&lt;$C457,AH$440&lt;$H$2),0,MIN($E457-SUM($G457:AG457),$F457))</f>
        <v>0</v>
      </c>
      <c r="AI457" s="424">
        <f>IF(OR(AI$440&lt;$C457,AI$440&lt;$H$2),0,MIN($E457-SUM($G457:AH457),$F457))</f>
        <v>0</v>
      </c>
      <c r="AJ457" s="424">
        <f>IF(OR(AJ$440&lt;$C457,AJ$440&lt;$H$2),0,MIN($E457-SUM($G457:AI457),$F457))</f>
        <v>0</v>
      </c>
      <c r="AK457" s="424">
        <f>IF(OR(AK$440&lt;$C457,AK$440&lt;$H$2),0,MIN($E457-SUM($G457:AJ457),$F457))</f>
        <v>0</v>
      </c>
    </row>
    <row r="458" spans="3:37">
      <c r="C458" s="201">
        <v>51513</v>
      </c>
      <c r="D458" s="94" t="s">
        <v>134</v>
      </c>
      <c r="E458" s="424">
        <f t="shared" si="134"/>
        <v>0</v>
      </c>
      <c r="F458" s="209">
        <f t="shared" si="135"/>
        <v>0</v>
      </c>
      <c r="H458" s="424">
        <f>IF(OR(H$440&lt;$C458,H$440&lt;$H$2),0,MIN($E458-SUM($G458:G458),$F458))</f>
        <v>0</v>
      </c>
      <c r="I458" s="424">
        <f>IF(OR(I$440&lt;$C458,I$440&lt;$H$2),0,MIN($E458-SUM($G458:H458),$F458))</f>
        <v>0</v>
      </c>
      <c r="J458" s="424">
        <f>IF(OR(J$440&lt;$C458,J$440&lt;$H$2),0,MIN($E458-SUM($G458:I458),$F458))</f>
        <v>0</v>
      </c>
      <c r="K458" s="424">
        <f>IF(OR(K$440&lt;$C458,K$440&lt;$H$2),0,MIN($E458-SUM($G458:J458),$F458))</f>
        <v>0</v>
      </c>
      <c r="L458" s="424">
        <f>IF(OR(L$440&lt;$C458,L$440&lt;$H$2),0,MIN($E458-SUM($G458:K458),$F458))</f>
        <v>0</v>
      </c>
      <c r="M458" s="424">
        <f>IF(OR(M$440&lt;$C458,M$440&lt;$H$2),0,MIN($E458-SUM($G458:L458),$F458))</f>
        <v>0</v>
      </c>
      <c r="N458" s="424">
        <f>IF(OR(N$440&lt;$C458,N$440&lt;$H$2),0,MIN($E458-SUM($G458:M458),$F458))</f>
        <v>0</v>
      </c>
      <c r="O458" s="424">
        <f>IF(OR(O$440&lt;$C458,O$440&lt;$H$2),0,MIN($E458-SUM($G458:N458),$F458))</f>
        <v>0</v>
      </c>
      <c r="P458" s="424">
        <f>IF(OR(P$440&lt;$C458,P$440&lt;$H$2),0,MIN($E458-SUM($G458:O458),$F458))</f>
        <v>0</v>
      </c>
      <c r="Q458" s="424">
        <f>IF(OR(Q$440&lt;$C458,Q$440&lt;$H$2),0,MIN($E458-SUM($G458:P458),$F458))</f>
        <v>0</v>
      </c>
      <c r="R458" s="424">
        <f>IF(OR(R$440&lt;$C458,R$440&lt;$H$2),0,MIN($E458-SUM($G458:Q458),$F458))</f>
        <v>0</v>
      </c>
      <c r="S458" s="424">
        <f>IF(OR(S$440&lt;$C458,S$440&lt;$H$2),0,MIN($E458-SUM($G458:R458),$F458))</f>
        <v>0</v>
      </c>
      <c r="T458" s="424">
        <f>IF(OR(T$440&lt;$C458,T$440&lt;$H$2),0,MIN($E458-SUM($G458:S458),$F458))</f>
        <v>0</v>
      </c>
      <c r="U458" s="424">
        <f>IF(OR(U$440&lt;$C458,U$440&lt;$H$2),0,MIN($E458-SUM($G458:T458),$F458))</f>
        <v>0</v>
      </c>
      <c r="V458" s="424">
        <f>IF(OR(V$440&lt;$C458,V$440&lt;$H$2),0,MIN($E458-SUM($G458:U458),$F458))</f>
        <v>0</v>
      </c>
      <c r="W458" s="424">
        <f>IF(OR(W$440&lt;$C458,W$440&lt;$H$2),0,MIN($E458-SUM($G458:V458),$F458))</f>
        <v>0</v>
      </c>
      <c r="X458" s="424">
        <f>IF(OR(X$440&lt;$C458,X$440&lt;$H$2),0,MIN($E458-SUM($G458:W458),$F458))</f>
        <v>0</v>
      </c>
      <c r="Y458" s="424">
        <f>IF(OR(Y$440&lt;$C458,Y$440&lt;$H$2),0,MIN($E458-SUM($G458:X458),$F458))</f>
        <v>0</v>
      </c>
      <c r="Z458" s="424">
        <f>IF(OR(Z$440&lt;$C458,Z$440&lt;$H$2),0,MIN($E458-SUM($G458:Y458),$F458))</f>
        <v>0</v>
      </c>
      <c r="AA458" s="424">
        <f>IF(OR(AA$440&lt;$C458,AA$440&lt;$H$2),0,MIN($E458-SUM($G458:Z458),$F458))</f>
        <v>0</v>
      </c>
      <c r="AB458" s="424">
        <f>IF(OR(AB$440&lt;$C458,AB$440&lt;$H$2),0,MIN($E458-SUM($G458:AA458),$F458))</f>
        <v>0</v>
      </c>
      <c r="AC458" s="424">
        <f>IF(OR(AC$440&lt;$C458,AC$440&lt;$H$2),0,MIN($E458-SUM($G458:AB458),$F458))</f>
        <v>0</v>
      </c>
      <c r="AD458" s="424">
        <f>IF(OR(AD$440&lt;$C458,AD$440&lt;$H$2),0,MIN($E458-SUM($G458:AC458),$F458))</f>
        <v>0</v>
      </c>
      <c r="AE458" s="424">
        <f>IF(OR(AE$440&lt;$C458,AE$440&lt;$H$2),0,MIN($E458-SUM($G458:AD458),$F458))</f>
        <v>0</v>
      </c>
      <c r="AF458" s="424">
        <f>IF(OR(AF$440&lt;$C458,AF$440&lt;$H$2),0,MIN($E458-SUM($G458:AE458),$F458))</f>
        <v>0</v>
      </c>
      <c r="AG458" s="424">
        <f>IF(OR(AG$440&lt;$C458,AG$440&lt;$H$2),0,MIN($E458-SUM($G458:AF458),$F458))</f>
        <v>0</v>
      </c>
      <c r="AH458" s="424">
        <f>IF(OR(AH$440&lt;$C458,AH$440&lt;$H$2),0,MIN($E458-SUM($G458:AG458),$F458))</f>
        <v>0</v>
      </c>
      <c r="AI458" s="424">
        <f>IF(OR(AI$440&lt;$C458,AI$440&lt;$H$2),0,MIN($E458-SUM($G458:AH458),$F458))</f>
        <v>0</v>
      </c>
      <c r="AJ458" s="424">
        <f>IF(OR(AJ$440&lt;$C458,AJ$440&lt;$H$2),0,MIN($E458-SUM($G458:AI458),$F458))</f>
        <v>0</v>
      </c>
      <c r="AK458" s="424">
        <f>IF(OR(AK$440&lt;$C458,AK$440&lt;$H$2),0,MIN($E458-SUM($G458:AJ458),$F458))</f>
        <v>0</v>
      </c>
    </row>
    <row r="459" spans="3:37">
      <c r="C459" s="201">
        <v>51879</v>
      </c>
      <c r="D459" s="94" t="s">
        <v>134</v>
      </c>
      <c r="E459" s="424">
        <f t="shared" si="134"/>
        <v>0</v>
      </c>
      <c r="F459" s="209">
        <f t="shared" si="135"/>
        <v>0</v>
      </c>
      <c r="H459" s="424">
        <f>IF(OR(H$440&lt;$C459,H$440&lt;$H$2),0,MIN($E459-SUM($G459:G459),$F459))</f>
        <v>0</v>
      </c>
      <c r="I459" s="424">
        <f>IF(OR(I$440&lt;$C459,I$440&lt;$H$2),0,MIN($E459-SUM($G459:H459),$F459))</f>
        <v>0</v>
      </c>
      <c r="J459" s="424">
        <f>IF(OR(J$440&lt;$C459,J$440&lt;$H$2),0,MIN($E459-SUM($G459:I459),$F459))</f>
        <v>0</v>
      </c>
      <c r="K459" s="424">
        <f>IF(OR(K$440&lt;$C459,K$440&lt;$H$2),0,MIN($E459-SUM($G459:J459),$F459))</f>
        <v>0</v>
      </c>
      <c r="L459" s="424">
        <f>IF(OR(L$440&lt;$C459,L$440&lt;$H$2),0,MIN($E459-SUM($G459:K459),$F459))</f>
        <v>0</v>
      </c>
      <c r="M459" s="424">
        <f>IF(OR(M$440&lt;$C459,M$440&lt;$H$2),0,MIN($E459-SUM($G459:L459),$F459))</f>
        <v>0</v>
      </c>
      <c r="N459" s="424">
        <f>IF(OR(N$440&lt;$C459,N$440&lt;$H$2),0,MIN($E459-SUM($G459:M459),$F459))</f>
        <v>0</v>
      </c>
      <c r="O459" s="424">
        <f>IF(OR(O$440&lt;$C459,O$440&lt;$H$2),0,MIN($E459-SUM($G459:N459),$F459))</f>
        <v>0</v>
      </c>
      <c r="P459" s="424">
        <f>IF(OR(P$440&lt;$C459,P$440&lt;$H$2),0,MIN($E459-SUM($G459:O459),$F459))</f>
        <v>0</v>
      </c>
      <c r="Q459" s="424">
        <f>IF(OR(Q$440&lt;$C459,Q$440&lt;$H$2),0,MIN($E459-SUM($G459:P459),$F459))</f>
        <v>0</v>
      </c>
      <c r="R459" s="424">
        <f>IF(OR(R$440&lt;$C459,R$440&lt;$H$2),0,MIN($E459-SUM($G459:Q459),$F459))</f>
        <v>0</v>
      </c>
      <c r="S459" s="424">
        <f>IF(OR(S$440&lt;$C459,S$440&lt;$H$2),0,MIN($E459-SUM($G459:R459),$F459))</f>
        <v>0</v>
      </c>
      <c r="T459" s="424">
        <f>IF(OR(T$440&lt;$C459,T$440&lt;$H$2),0,MIN($E459-SUM($G459:S459),$F459))</f>
        <v>0</v>
      </c>
      <c r="U459" s="424">
        <f>IF(OR(U$440&lt;$C459,U$440&lt;$H$2),0,MIN($E459-SUM($G459:T459),$F459))</f>
        <v>0</v>
      </c>
      <c r="V459" s="424">
        <f>IF(OR(V$440&lt;$C459,V$440&lt;$H$2),0,MIN($E459-SUM($G459:U459),$F459))</f>
        <v>0</v>
      </c>
      <c r="W459" s="424">
        <f>IF(OR(W$440&lt;$C459,W$440&lt;$H$2),0,MIN($E459-SUM($G459:V459),$F459))</f>
        <v>0</v>
      </c>
      <c r="X459" s="424">
        <f>IF(OR(X$440&lt;$C459,X$440&lt;$H$2),0,MIN($E459-SUM($G459:W459),$F459))</f>
        <v>0</v>
      </c>
      <c r="Y459" s="424">
        <f>IF(OR(Y$440&lt;$C459,Y$440&lt;$H$2),0,MIN($E459-SUM($G459:X459),$F459))</f>
        <v>0</v>
      </c>
      <c r="Z459" s="424">
        <f>IF(OR(Z$440&lt;$C459,Z$440&lt;$H$2),0,MIN($E459-SUM($G459:Y459),$F459))</f>
        <v>0</v>
      </c>
      <c r="AA459" s="424">
        <f>IF(OR(AA$440&lt;$C459,AA$440&lt;$H$2),0,MIN($E459-SUM($G459:Z459),$F459))</f>
        <v>0</v>
      </c>
      <c r="AB459" s="424">
        <f>IF(OR(AB$440&lt;$C459,AB$440&lt;$H$2),0,MIN($E459-SUM($G459:AA459),$F459))</f>
        <v>0</v>
      </c>
      <c r="AC459" s="424">
        <f>IF(OR(AC$440&lt;$C459,AC$440&lt;$H$2),0,MIN($E459-SUM($G459:AB459),$F459))</f>
        <v>0</v>
      </c>
      <c r="AD459" s="424">
        <f>IF(OR(AD$440&lt;$C459,AD$440&lt;$H$2),0,MIN($E459-SUM($G459:AC459),$F459))</f>
        <v>0</v>
      </c>
      <c r="AE459" s="424">
        <f>IF(OR(AE$440&lt;$C459,AE$440&lt;$H$2),0,MIN($E459-SUM($G459:AD459),$F459))</f>
        <v>0</v>
      </c>
      <c r="AF459" s="424">
        <f>IF(OR(AF$440&lt;$C459,AF$440&lt;$H$2),0,MIN($E459-SUM($G459:AE459),$F459))</f>
        <v>0</v>
      </c>
      <c r="AG459" s="424">
        <f>IF(OR(AG$440&lt;$C459,AG$440&lt;$H$2),0,MIN($E459-SUM($G459:AF459),$F459))</f>
        <v>0</v>
      </c>
      <c r="AH459" s="424">
        <f>IF(OR(AH$440&lt;$C459,AH$440&lt;$H$2),0,MIN($E459-SUM($G459:AG459),$F459))</f>
        <v>0</v>
      </c>
      <c r="AI459" s="424">
        <f>IF(OR(AI$440&lt;$C459,AI$440&lt;$H$2),0,MIN($E459-SUM($G459:AH459),$F459))</f>
        <v>0</v>
      </c>
      <c r="AJ459" s="424">
        <f>IF(OR(AJ$440&lt;$C459,AJ$440&lt;$H$2),0,MIN($E459-SUM($G459:AI459),$F459))</f>
        <v>0</v>
      </c>
      <c r="AK459" s="424">
        <f>IF(OR(AK$440&lt;$C459,AK$440&lt;$H$2),0,MIN($E459-SUM($G459:AJ459),$F459))</f>
        <v>0</v>
      </c>
    </row>
    <row r="460" spans="3:37">
      <c r="C460" s="201">
        <v>52245</v>
      </c>
      <c r="D460" s="94" t="s">
        <v>134</v>
      </c>
      <c r="E460" s="424">
        <f t="shared" si="134"/>
        <v>0</v>
      </c>
      <c r="F460" s="209">
        <f t="shared" si="135"/>
        <v>0</v>
      </c>
      <c r="H460" s="424">
        <f>IF(OR(H$440&lt;$C460,H$440&lt;$H$2),0,MIN($E460-SUM($G460:G460),$F460))</f>
        <v>0</v>
      </c>
      <c r="I460" s="424">
        <f>IF(OR(I$440&lt;$C460,I$440&lt;$H$2),0,MIN($E460-SUM($G460:H460),$F460))</f>
        <v>0</v>
      </c>
      <c r="J460" s="424">
        <f>IF(OR(J$440&lt;$C460,J$440&lt;$H$2),0,MIN($E460-SUM($G460:I460),$F460))</f>
        <v>0</v>
      </c>
      <c r="K460" s="424">
        <f>IF(OR(K$440&lt;$C460,K$440&lt;$H$2),0,MIN($E460-SUM($G460:J460),$F460))</f>
        <v>0</v>
      </c>
      <c r="L460" s="424">
        <f>IF(OR(L$440&lt;$C460,L$440&lt;$H$2),0,MIN($E460-SUM($G460:K460),$F460))</f>
        <v>0</v>
      </c>
      <c r="M460" s="424">
        <f>IF(OR(M$440&lt;$C460,M$440&lt;$H$2),0,MIN($E460-SUM($G460:L460),$F460))</f>
        <v>0</v>
      </c>
      <c r="N460" s="424">
        <f>IF(OR(N$440&lt;$C460,N$440&lt;$H$2),0,MIN($E460-SUM($G460:M460),$F460))</f>
        <v>0</v>
      </c>
      <c r="O460" s="424">
        <f>IF(OR(O$440&lt;$C460,O$440&lt;$H$2),0,MIN($E460-SUM($G460:N460),$F460))</f>
        <v>0</v>
      </c>
      <c r="P460" s="424">
        <f>IF(OR(P$440&lt;$C460,P$440&lt;$H$2),0,MIN($E460-SUM($G460:O460),$F460))</f>
        <v>0</v>
      </c>
      <c r="Q460" s="424">
        <f>IF(OR(Q$440&lt;$C460,Q$440&lt;$H$2),0,MIN($E460-SUM($G460:P460),$F460))</f>
        <v>0</v>
      </c>
      <c r="R460" s="424">
        <f>IF(OR(R$440&lt;$C460,R$440&lt;$H$2),0,MIN($E460-SUM($G460:Q460),$F460))</f>
        <v>0</v>
      </c>
      <c r="S460" s="424">
        <f>IF(OR(S$440&lt;$C460,S$440&lt;$H$2),0,MIN($E460-SUM($G460:R460),$F460))</f>
        <v>0</v>
      </c>
      <c r="T460" s="424">
        <f>IF(OR(T$440&lt;$C460,T$440&lt;$H$2),0,MIN($E460-SUM($G460:S460),$F460))</f>
        <v>0</v>
      </c>
      <c r="U460" s="424">
        <f>IF(OR(U$440&lt;$C460,U$440&lt;$H$2),0,MIN($E460-SUM($G460:T460),$F460))</f>
        <v>0</v>
      </c>
      <c r="V460" s="424">
        <f>IF(OR(V$440&lt;$C460,V$440&lt;$H$2),0,MIN($E460-SUM($G460:U460),$F460))</f>
        <v>0</v>
      </c>
      <c r="W460" s="424">
        <f>IF(OR(W$440&lt;$C460,W$440&lt;$H$2),0,MIN($E460-SUM($G460:V460),$F460))</f>
        <v>0</v>
      </c>
      <c r="X460" s="424">
        <f>IF(OR(X$440&lt;$C460,X$440&lt;$H$2),0,MIN($E460-SUM($G460:W460),$F460))</f>
        <v>0</v>
      </c>
      <c r="Y460" s="424">
        <f>IF(OR(Y$440&lt;$C460,Y$440&lt;$H$2),0,MIN($E460-SUM($G460:X460),$F460))</f>
        <v>0</v>
      </c>
      <c r="Z460" s="424">
        <f>IF(OR(Z$440&lt;$C460,Z$440&lt;$H$2),0,MIN($E460-SUM($G460:Y460),$F460))</f>
        <v>0</v>
      </c>
      <c r="AA460" s="424">
        <f>IF(OR(AA$440&lt;$C460,AA$440&lt;$H$2),0,MIN($E460-SUM($G460:Z460),$F460))</f>
        <v>0</v>
      </c>
      <c r="AB460" s="424">
        <f>IF(OR(AB$440&lt;$C460,AB$440&lt;$H$2),0,MIN($E460-SUM($G460:AA460),$F460))</f>
        <v>0</v>
      </c>
      <c r="AC460" s="424">
        <f>IF(OR(AC$440&lt;$C460,AC$440&lt;$H$2),0,MIN($E460-SUM($G460:AB460),$F460))</f>
        <v>0</v>
      </c>
      <c r="AD460" s="424">
        <f>IF(OR(AD$440&lt;$C460,AD$440&lt;$H$2),0,MIN($E460-SUM($G460:AC460),$F460))</f>
        <v>0</v>
      </c>
      <c r="AE460" s="424">
        <f>IF(OR(AE$440&lt;$C460,AE$440&lt;$H$2),0,MIN($E460-SUM($G460:AD460),$F460))</f>
        <v>0</v>
      </c>
      <c r="AF460" s="424">
        <f>IF(OR(AF$440&lt;$C460,AF$440&lt;$H$2),0,MIN($E460-SUM($G460:AE460),$F460))</f>
        <v>0</v>
      </c>
      <c r="AG460" s="424">
        <f>IF(OR(AG$440&lt;$C460,AG$440&lt;$H$2),0,MIN($E460-SUM($G460:AF460),$F460))</f>
        <v>0</v>
      </c>
      <c r="AH460" s="424">
        <f>IF(OR(AH$440&lt;$C460,AH$440&lt;$H$2),0,MIN($E460-SUM($G460:AG460),$F460))</f>
        <v>0</v>
      </c>
      <c r="AI460" s="424">
        <f>IF(OR(AI$440&lt;$C460,AI$440&lt;$H$2),0,MIN($E460-SUM($G460:AH460),$F460))</f>
        <v>0</v>
      </c>
      <c r="AJ460" s="424">
        <f>IF(OR(AJ$440&lt;$C460,AJ$440&lt;$H$2),0,MIN($E460-SUM($G460:AI460),$F460))</f>
        <v>0</v>
      </c>
      <c r="AK460" s="424">
        <f>IF(OR(AK$440&lt;$C460,AK$440&lt;$H$2),0,MIN($E460-SUM($G460:AJ460),$F460))</f>
        <v>0</v>
      </c>
    </row>
    <row r="461" spans="3:37">
      <c r="C461" s="201">
        <v>52611</v>
      </c>
      <c r="D461" s="94" t="s">
        <v>134</v>
      </c>
      <c r="E461" s="424">
        <f t="shared" si="134"/>
        <v>0</v>
      </c>
      <c r="F461" s="209">
        <f t="shared" si="135"/>
        <v>0</v>
      </c>
      <c r="H461" s="424">
        <f>IF(OR(H$440&lt;$C461,H$440&lt;$H$2),0,MIN($E461-SUM($G461:G461),$F461))</f>
        <v>0</v>
      </c>
      <c r="I461" s="424">
        <f>IF(OR(I$440&lt;$C461,I$440&lt;$H$2),0,MIN($E461-SUM($G461:H461),$F461))</f>
        <v>0</v>
      </c>
      <c r="J461" s="424">
        <f>IF(OR(J$440&lt;$C461,J$440&lt;$H$2),0,MIN($E461-SUM($G461:I461),$F461))</f>
        <v>0</v>
      </c>
      <c r="K461" s="424">
        <f>IF(OR(K$440&lt;$C461,K$440&lt;$H$2),0,MIN($E461-SUM($G461:J461),$F461))</f>
        <v>0</v>
      </c>
      <c r="L461" s="424">
        <f>IF(OR(L$440&lt;$C461,L$440&lt;$H$2),0,MIN($E461-SUM($G461:K461),$F461))</f>
        <v>0</v>
      </c>
      <c r="M461" s="424">
        <f>IF(OR(M$440&lt;$C461,M$440&lt;$H$2),0,MIN($E461-SUM($G461:L461),$F461))</f>
        <v>0</v>
      </c>
      <c r="N461" s="424">
        <f>IF(OR(N$440&lt;$C461,N$440&lt;$H$2),0,MIN($E461-SUM($G461:M461),$F461))</f>
        <v>0</v>
      </c>
      <c r="O461" s="424">
        <f>IF(OR(O$440&lt;$C461,O$440&lt;$H$2),0,MIN($E461-SUM($G461:N461),$F461))</f>
        <v>0</v>
      </c>
      <c r="P461" s="424">
        <f>IF(OR(P$440&lt;$C461,P$440&lt;$H$2),0,MIN($E461-SUM($G461:O461),$F461))</f>
        <v>0</v>
      </c>
      <c r="Q461" s="424">
        <f>IF(OR(Q$440&lt;$C461,Q$440&lt;$H$2),0,MIN($E461-SUM($G461:P461),$F461))</f>
        <v>0</v>
      </c>
      <c r="R461" s="424">
        <f>IF(OR(R$440&lt;$C461,R$440&lt;$H$2),0,MIN($E461-SUM($G461:Q461),$F461))</f>
        <v>0</v>
      </c>
      <c r="S461" s="424">
        <f>IF(OR(S$440&lt;$C461,S$440&lt;$H$2),0,MIN($E461-SUM($G461:R461),$F461))</f>
        <v>0</v>
      </c>
      <c r="T461" s="424">
        <f>IF(OR(T$440&lt;$C461,T$440&lt;$H$2),0,MIN($E461-SUM($G461:S461),$F461))</f>
        <v>0</v>
      </c>
      <c r="U461" s="424">
        <f>IF(OR(U$440&lt;$C461,U$440&lt;$H$2),0,MIN($E461-SUM($G461:T461),$F461))</f>
        <v>0</v>
      </c>
      <c r="V461" s="424">
        <f>IF(OR(V$440&lt;$C461,V$440&lt;$H$2),0,MIN($E461-SUM($G461:U461),$F461))</f>
        <v>0</v>
      </c>
      <c r="W461" s="424">
        <f>IF(OR(W$440&lt;$C461,W$440&lt;$H$2),0,MIN($E461-SUM($G461:V461),$F461))</f>
        <v>0</v>
      </c>
      <c r="X461" s="424">
        <f>IF(OR(X$440&lt;$C461,X$440&lt;$H$2),0,MIN($E461-SUM($G461:W461),$F461))</f>
        <v>0</v>
      </c>
      <c r="Y461" s="424">
        <f>IF(OR(Y$440&lt;$C461,Y$440&lt;$H$2),0,MIN($E461-SUM($G461:X461),$F461))</f>
        <v>0</v>
      </c>
      <c r="Z461" s="424">
        <f>IF(OR(Z$440&lt;$C461,Z$440&lt;$H$2),0,MIN($E461-SUM($G461:Y461),$F461))</f>
        <v>0</v>
      </c>
      <c r="AA461" s="424">
        <f>IF(OR(AA$440&lt;$C461,AA$440&lt;$H$2),0,MIN($E461-SUM($G461:Z461),$F461))</f>
        <v>0</v>
      </c>
      <c r="AB461" s="424">
        <f>IF(OR(AB$440&lt;$C461,AB$440&lt;$H$2),0,MIN($E461-SUM($G461:AA461),$F461))</f>
        <v>0</v>
      </c>
      <c r="AC461" s="424">
        <f>IF(OR(AC$440&lt;$C461,AC$440&lt;$H$2),0,MIN($E461-SUM($G461:AB461),$F461))</f>
        <v>0</v>
      </c>
      <c r="AD461" s="424">
        <f>IF(OR(AD$440&lt;$C461,AD$440&lt;$H$2),0,MIN($E461-SUM($G461:AC461),$F461))</f>
        <v>0</v>
      </c>
      <c r="AE461" s="424">
        <f>IF(OR(AE$440&lt;$C461,AE$440&lt;$H$2),0,MIN($E461-SUM($G461:AD461),$F461))</f>
        <v>0</v>
      </c>
      <c r="AF461" s="424">
        <f>IF(OR(AF$440&lt;$C461,AF$440&lt;$H$2),0,MIN($E461-SUM($G461:AE461),$F461))</f>
        <v>0</v>
      </c>
      <c r="AG461" s="424">
        <f>IF(OR(AG$440&lt;$C461,AG$440&lt;$H$2),0,MIN($E461-SUM($G461:AF461),$F461))</f>
        <v>0</v>
      </c>
      <c r="AH461" s="424">
        <f>IF(OR(AH$440&lt;$C461,AH$440&lt;$H$2),0,MIN($E461-SUM($G461:AG461),$F461))</f>
        <v>0</v>
      </c>
      <c r="AI461" s="424">
        <f>IF(OR(AI$440&lt;$C461,AI$440&lt;$H$2),0,MIN($E461-SUM($G461:AH461),$F461))</f>
        <v>0</v>
      </c>
      <c r="AJ461" s="424">
        <f>IF(OR(AJ$440&lt;$C461,AJ$440&lt;$H$2),0,MIN($E461-SUM($G461:AI461),$F461))</f>
        <v>0</v>
      </c>
      <c r="AK461" s="424">
        <f>IF(OR(AK$440&lt;$C461,AK$440&lt;$H$2),0,MIN($E461-SUM($G461:AJ461),$F461))</f>
        <v>0</v>
      </c>
    </row>
    <row r="462" spans="3:37">
      <c r="C462" s="201">
        <v>52977</v>
      </c>
      <c r="D462" s="94" t="s">
        <v>134</v>
      </c>
      <c r="E462" s="424">
        <f t="shared" si="134"/>
        <v>0</v>
      </c>
      <c r="F462" s="209">
        <f t="shared" si="135"/>
        <v>0</v>
      </c>
      <c r="H462" s="424">
        <f>IF(OR(H$440&lt;$C462,H$440&lt;$H$2),0,MIN($E462-SUM($G462:G462),$F462))</f>
        <v>0</v>
      </c>
      <c r="I462" s="424">
        <f>IF(OR(I$440&lt;$C462,I$440&lt;$H$2),0,MIN($E462-SUM($G462:H462),$F462))</f>
        <v>0</v>
      </c>
      <c r="J462" s="424">
        <f>IF(OR(J$440&lt;$C462,J$440&lt;$H$2),0,MIN($E462-SUM($G462:I462),$F462))</f>
        <v>0</v>
      </c>
      <c r="K462" s="424">
        <f>IF(OR(K$440&lt;$C462,K$440&lt;$H$2),0,MIN($E462-SUM($G462:J462),$F462))</f>
        <v>0</v>
      </c>
      <c r="L462" s="424">
        <f>IF(OR(L$440&lt;$C462,L$440&lt;$H$2),0,MIN($E462-SUM($G462:K462),$F462))</f>
        <v>0</v>
      </c>
      <c r="M462" s="424">
        <f>IF(OR(M$440&lt;$C462,M$440&lt;$H$2),0,MIN($E462-SUM($G462:L462),$F462))</f>
        <v>0</v>
      </c>
      <c r="N462" s="424">
        <f>IF(OR(N$440&lt;$C462,N$440&lt;$H$2),0,MIN($E462-SUM($G462:M462),$F462))</f>
        <v>0</v>
      </c>
      <c r="O462" s="424">
        <f>IF(OR(O$440&lt;$C462,O$440&lt;$H$2),0,MIN($E462-SUM($G462:N462),$F462))</f>
        <v>0</v>
      </c>
      <c r="P462" s="424">
        <f>IF(OR(P$440&lt;$C462,P$440&lt;$H$2),0,MIN($E462-SUM($G462:O462),$F462))</f>
        <v>0</v>
      </c>
      <c r="Q462" s="424">
        <f>IF(OR(Q$440&lt;$C462,Q$440&lt;$H$2),0,MIN($E462-SUM($G462:P462),$F462))</f>
        <v>0</v>
      </c>
      <c r="R462" s="424">
        <f>IF(OR(R$440&lt;$C462,R$440&lt;$H$2),0,MIN($E462-SUM($G462:Q462),$F462))</f>
        <v>0</v>
      </c>
      <c r="S462" s="424">
        <f>IF(OR(S$440&lt;$C462,S$440&lt;$H$2),0,MIN($E462-SUM($G462:R462),$F462))</f>
        <v>0</v>
      </c>
      <c r="T462" s="424">
        <f>IF(OR(T$440&lt;$C462,T$440&lt;$H$2),0,MIN($E462-SUM($G462:S462),$F462))</f>
        <v>0</v>
      </c>
      <c r="U462" s="424">
        <f>IF(OR(U$440&lt;$C462,U$440&lt;$H$2),0,MIN($E462-SUM($G462:T462),$F462))</f>
        <v>0</v>
      </c>
      <c r="V462" s="424">
        <f>IF(OR(V$440&lt;$C462,V$440&lt;$H$2),0,MIN($E462-SUM($G462:U462),$F462))</f>
        <v>0</v>
      </c>
      <c r="W462" s="424">
        <f>IF(OR(W$440&lt;$C462,W$440&lt;$H$2),0,MIN($E462-SUM($G462:V462),$F462))</f>
        <v>0</v>
      </c>
      <c r="X462" s="424">
        <f>IF(OR(X$440&lt;$C462,X$440&lt;$H$2),0,MIN($E462-SUM($G462:W462),$F462))</f>
        <v>0</v>
      </c>
      <c r="Y462" s="424">
        <f>IF(OR(Y$440&lt;$C462,Y$440&lt;$H$2),0,MIN($E462-SUM($G462:X462),$F462))</f>
        <v>0</v>
      </c>
      <c r="Z462" s="424">
        <f>IF(OR(Z$440&lt;$C462,Z$440&lt;$H$2),0,MIN($E462-SUM($G462:Y462),$F462))</f>
        <v>0</v>
      </c>
      <c r="AA462" s="424">
        <f>IF(OR(AA$440&lt;$C462,AA$440&lt;$H$2),0,MIN($E462-SUM($G462:Z462),$F462))</f>
        <v>0</v>
      </c>
      <c r="AB462" s="424">
        <f>IF(OR(AB$440&lt;$C462,AB$440&lt;$H$2),0,MIN($E462-SUM($G462:AA462),$F462))</f>
        <v>0</v>
      </c>
      <c r="AC462" s="424">
        <f>IF(OR(AC$440&lt;$C462,AC$440&lt;$H$2),0,MIN($E462-SUM($G462:AB462),$F462))</f>
        <v>0</v>
      </c>
      <c r="AD462" s="424">
        <f>IF(OR(AD$440&lt;$C462,AD$440&lt;$H$2),0,MIN($E462-SUM($G462:AC462),$F462))</f>
        <v>0</v>
      </c>
      <c r="AE462" s="424">
        <f>IF(OR(AE$440&lt;$C462,AE$440&lt;$H$2),0,MIN($E462-SUM($G462:AD462),$F462))</f>
        <v>0</v>
      </c>
      <c r="AF462" s="424">
        <f>IF(OR(AF$440&lt;$C462,AF$440&lt;$H$2),0,MIN($E462-SUM($G462:AE462),$F462))</f>
        <v>0</v>
      </c>
      <c r="AG462" s="424">
        <f>IF(OR(AG$440&lt;$C462,AG$440&lt;$H$2),0,MIN($E462-SUM($G462:AF462),$F462))</f>
        <v>0</v>
      </c>
      <c r="AH462" s="424">
        <f>IF(OR(AH$440&lt;$C462,AH$440&lt;$H$2),0,MIN($E462-SUM($G462:AG462),$F462))</f>
        <v>0</v>
      </c>
      <c r="AI462" s="424">
        <f>IF(OR(AI$440&lt;$C462,AI$440&lt;$H$2),0,MIN($E462-SUM($G462:AH462),$F462))</f>
        <v>0</v>
      </c>
      <c r="AJ462" s="424">
        <f>IF(OR(AJ$440&lt;$C462,AJ$440&lt;$H$2),0,MIN($E462-SUM($G462:AI462),$F462))</f>
        <v>0</v>
      </c>
      <c r="AK462" s="424">
        <f>IF(OR(AK$440&lt;$C462,AK$440&lt;$H$2),0,MIN($E462-SUM($G462:AJ462),$F462))</f>
        <v>0</v>
      </c>
    </row>
    <row r="463" spans="3:37">
      <c r="C463" s="201">
        <v>53343</v>
      </c>
      <c r="D463" s="94" t="s">
        <v>134</v>
      </c>
      <c r="E463" s="424">
        <f t="shared" si="134"/>
        <v>0</v>
      </c>
      <c r="F463" s="209">
        <f t="shared" si="135"/>
        <v>0</v>
      </c>
      <c r="H463" s="424">
        <f>IF(OR(H$440&lt;$C463,H$440&lt;$H$2),0,MIN($E463-SUM($G463:G463),$F463))</f>
        <v>0</v>
      </c>
      <c r="I463" s="424">
        <f>IF(OR(I$440&lt;$C463,I$440&lt;$H$2),0,MIN($E463-SUM($G463:H463),$F463))</f>
        <v>0</v>
      </c>
      <c r="J463" s="424">
        <f>IF(OR(J$440&lt;$C463,J$440&lt;$H$2),0,MIN($E463-SUM($G463:I463),$F463))</f>
        <v>0</v>
      </c>
      <c r="K463" s="424">
        <f>IF(OR(K$440&lt;$C463,K$440&lt;$H$2),0,MIN($E463-SUM($G463:J463),$F463))</f>
        <v>0</v>
      </c>
      <c r="L463" s="424">
        <f>IF(OR(L$440&lt;$C463,L$440&lt;$H$2),0,MIN($E463-SUM($G463:K463),$F463))</f>
        <v>0</v>
      </c>
      <c r="M463" s="424">
        <f>IF(OR(M$440&lt;$C463,M$440&lt;$H$2),0,MIN($E463-SUM($G463:L463),$F463))</f>
        <v>0</v>
      </c>
      <c r="N463" s="424">
        <f>IF(OR(N$440&lt;$C463,N$440&lt;$H$2),0,MIN($E463-SUM($G463:M463),$F463))</f>
        <v>0</v>
      </c>
      <c r="O463" s="424">
        <f>IF(OR(O$440&lt;$C463,O$440&lt;$H$2),0,MIN($E463-SUM($G463:N463),$F463))</f>
        <v>0</v>
      </c>
      <c r="P463" s="424">
        <f>IF(OR(P$440&lt;$C463,P$440&lt;$H$2),0,MIN($E463-SUM($G463:O463),$F463))</f>
        <v>0</v>
      </c>
      <c r="Q463" s="424">
        <f>IF(OR(Q$440&lt;$C463,Q$440&lt;$H$2),0,MIN($E463-SUM($G463:P463),$F463))</f>
        <v>0</v>
      </c>
      <c r="R463" s="424">
        <f>IF(OR(R$440&lt;$C463,R$440&lt;$H$2),0,MIN($E463-SUM($G463:Q463),$F463))</f>
        <v>0</v>
      </c>
      <c r="S463" s="424">
        <f>IF(OR(S$440&lt;$C463,S$440&lt;$H$2),0,MIN($E463-SUM($G463:R463),$F463))</f>
        <v>0</v>
      </c>
      <c r="T463" s="424">
        <f>IF(OR(T$440&lt;$C463,T$440&lt;$H$2),0,MIN($E463-SUM($G463:S463),$F463))</f>
        <v>0</v>
      </c>
      <c r="U463" s="424">
        <f>IF(OR(U$440&lt;$C463,U$440&lt;$H$2),0,MIN($E463-SUM($G463:T463),$F463))</f>
        <v>0</v>
      </c>
      <c r="V463" s="424">
        <f>IF(OR(V$440&lt;$C463,V$440&lt;$H$2),0,MIN($E463-SUM($G463:U463),$F463))</f>
        <v>0</v>
      </c>
      <c r="W463" s="424">
        <f>IF(OR(W$440&lt;$C463,W$440&lt;$H$2),0,MIN($E463-SUM($G463:V463),$F463))</f>
        <v>0</v>
      </c>
      <c r="X463" s="424">
        <f>IF(OR(X$440&lt;$C463,X$440&lt;$H$2),0,MIN($E463-SUM($G463:W463),$F463))</f>
        <v>0</v>
      </c>
      <c r="Y463" s="424">
        <f>IF(OR(Y$440&lt;$C463,Y$440&lt;$H$2),0,MIN($E463-SUM($G463:X463),$F463))</f>
        <v>0</v>
      </c>
      <c r="Z463" s="424">
        <f>IF(OR(Z$440&lt;$C463,Z$440&lt;$H$2),0,MIN($E463-SUM($G463:Y463),$F463))</f>
        <v>0</v>
      </c>
      <c r="AA463" s="424">
        <f>IF(OR(AA$440&lt;$C463,AA$440&lt;$H$2),0,MIN($E463-SUM($G463:Z463),$F463))</f>
        <v>0</v>
      </c>
      <c r="AB463" s="424">
        <f>IF(OR(AB$440&lt;$C463,AB$440&lt;$H$2),0,MIN($E463-SUM($G463:AA463),$F463))</f>
        <v>0</v>
      </c>
      <c r="AC463" s="424">
        <f>IF(OR(AC$440&lt;$C463,AC$440&lt;$H$2),0,MIN($E463-SUM($G463:AB463),$F463))</f>
        <v>0</v>
      </c>
      <c r="AD463" s="424">
        <f>IF(OR(AD$440&lt;$C463,AD$440&lt;$H$2),0,MIN($E463-SUM($G463:AC463),$F463))</f>
        <v>0</v>
      </c>
      <c r="AE463" s="424">
        <f>IF(OR(AE$440&lt;$C463,AE$440&lt;$H$2),0,MIN($E463-SUM($G463:AD463),$F463))</f>
        <v>0</v>
      </c>
      <c r="AF463" s="424">
        <f>IF(OR(AF$440&lt;$C463,AF$440&lt;$H$2),0,MIN($E463-SUM($G463:AE463),$F463))</f>
        <v>0</v>
      </c>
      <c r="AG463" s="424">
        <f>IF(OR(AG$440&lt;$C463,AG$440&lt;$H$2),0,MIN($E463-SUM($G463:AF463),$F463))</f>
        <v>0</v>
      </c>
      <c r="AH463" s="424">
        <f>IF(OR(AH$440&lt;$C463,AH$440&lt;$H$2),0,MIN($E463-SUM($G463:AG463),$F463))</f>
        <v>0</v>
      </c>
      <c r="AI463" s="424">
        <f>IF(OR(AI$440&lt;$C463,AI$440&lt;$H$2),0,MIN($E463-SUM($G463:AH463),$F463))</f>
        <v>0</v>
      </c>
      <c r="AJ463" s="424">
        <f>IF(OR(AJ$440&lt;$C463,AJ$440&lt;$H$2),0,MIN($E463-SUM($G463:AI463),$F463))</f>
        <v>0</v>
      </c>
      <c r="AK463" s="424">
        <f>IF(OR(AK$440&lt;$C463,AK$440&lt;$H$2),0,MIN($E463-SUM($G463:AJ463),$F463))</f>
        <v>0</v>
      </c>
    </row>
    <row r="464" spans="3:37">
      <c r="C464" s="201">
        <v>53709</v>
      </c>
      <c r="D464" s="94" t="s">
        <v>134</v>
      </c>
      <c r="E464" s="424">
        <f t="shared" si="134"/>
        <v>0</v>
      </c>
      <c r="F464" s="209">
        <f t="shared" si="135"/>
        <v>0</v>
      </c>
      <c r="H464" s="424">
        <f>IF(OR(H$440&lt;$C464,H$440&lt;$H$2),0,MIN($E464-SUM($G464:G464),$F464))</f>
        <v>0</v>
      </c>
      <c r="I464" s="424">
        <f>IF(OR(I$440&lt;$C464,I$440&lt;$H$2),0,MIN($E464-SUM($G464:H464),$F464))</f>
        <v>0</v>
      </c>
      <c r="J464" s="424">
        <f>IF(OR(J$440&lt;$C464,J$440&lt;$H$2),0,MIN($E464-SUM($G464:I464),$F464))</f>
        <v>0</v>
      </c>
      <c r="K464" s="424">
        <f>IF(OR(K$440&lt;$C464,K$440&lt;$H$2),0,MIN($E464-SUM($G464:J464),$F464))</f>
        <v>0</v>
      </c>
      <c r="L464" s="424">
        <f>IF(OR(L$440&lt;$C464,L$440&lt;$H$2),0,MIN($E464-SUM($G464:K464),$F464))</f>
        <v>0</v>
      </c>
      <c r="M464" s="424">
        <f>IF(OR(M$440&lt;$C464,M$440&lt;$H$2),0,MIN($E464-SUM($G464:L464),$F464))</f>
        <v>0</v>
      </c>
      <c r="N464" s="424">
        <f>IF(OR(N$440&lt;$C464,N$440&lt;$H$2),0,MIN($E464-SUM($G464:M464),$F464))</f>
        <v>0</v>
      </c>
      <c r="O464" s="424">
        <f>IF(OR(O$440&lt;$C464,O$440&lt;$H$2),0,MIN($E464-SUM($G464:N464),$F464))</f>
        <v>0</v>
      </c>
      <c r="P464" s="424">
        <f>IF(OR(P$440&lt;$C464,P$440&lt;$H$2),0,MIN($E464-SUM($G464:O464),$F464))</f>
        <v>0</v>
      </c>
      <c r="Q464" s="424">
        <f>IF(OR(Q$440&lt;$C464,Q$440&lt;$H$2),0,MIN($E464-SUM($G464:P464),$F464))</f>
        <v>0</v>
      </c>
      <c r="R464" s="424">
        <f>IF(OR(R$440&lt;$C464,R$440&lt;$H$2),0,MIN($E464-SUM($G464:Q464),$F464))</f>
        <v>0</v>
      </c>
      <c r="S464" s="424">
        <f>IF(OR(S$440&lt;$C464,S$440&lt;$H$2),0,MIN($E464-SUM($G464:R464),$F464))</f>
        <v>0</v>
      </c>
      <c r="T464" s="424">
        <f>IF(OR(T$440&lt;$C464,T$440&lt;$H$2),0,MIN($E464-SUM($G464:S464),$F464))</f>
        <v>0</v>
      </c>
      <c r="U464" s="424">
        <f>IF(OR(U$440&lt;$C464,U$440&lt;$H$2),0,MIN($E464-SUM($G464:T464),$F464))</f>
        <v>0</v>
      </c>
      <c r="V464" s="424">
        <f>IF(OR(V$440&lt;$C464,V$440&lt;$H$2),0,MIN($E464-SUM($G464:U464),$F464))</f>
        <v>0</v>
      </c>
      <c r="W464" s="424">
        <f>IF(OR(W$440&lt;$C464,W$440&lt;$H$2),0,MIN($E464-SUM($G464:V464),$F464))</f>
        <v>0</v>
      </c>
      <c r="X464" s="424">
        <f>IF(OR(X$440&lt;$C464,X$440&lt;$H$2),0,MIN($E464-SUM($G464:W464),$F464))</f>
        <v>0</v>
      </c>
      <c r="Y464" s="424">
        <f>IF(OR(Y$440&lt;$C464,Y$440&lt;$H$2),0,MIN($E464-SUM($G464:X464),$F464))</f>
        <v>0</v>
      </c>
      <c r="Z464" s="424">
        <f>IF(OR(Z$440&lt;$C464,Z$440&lt;$H$2),0,MIN($E464-SUM($G464:Y464),$F464))</f>
        <v>0</v>
      </c>
      <c r="AA464" s="424">
        <f>IF(OR(AA$440&lt;$C464,AA$440&lt;$H$2),0,MIN($E464-SUM($G464:Z464),$F464))</f>
        <v>0</v>
      </c>
      <c r="AB464" s="424">
        <f>IF(OR(AB$440&lt;$C464,AB$440&lt;$H$2),0,MIN($E464-SUM($G464:AA464),$F464))</f>
        <v>0</v>
      </c>
      <c r="AC464" s="424">
        <f>IF(OR(AC$440&lt;$C464,AC$440&lt;$H$2),0,MIN($E464-SUM($G464:AB464),$F464))</f>
        <v>0</v>
      </c>
      <c r="AD464" s="424">
        <f>IF(OR(AD$440&lt;$C464,AD$440&lt;$H$2),0,MIN($E464-SUM($G464:AC464),$F464))</f>
        <v>0</v>
      </c>
      <c r="AE464" s="424">
        <f>IF(OR(AE$440&lt;$C464,AE$440&lt;$H$2),0,MIN($E464-SUM($G464:AD464),$F464))</f>
        <v>0</v>
      </c>
      <c r="AF464" s="424">
        <f>IF(OR(AF$440&lt;$C464,AF$440&lt;$H$2),0,MIN($E464-SUM($G464:AE464),$F464))</f>
        <v>0</v>
      </c>
      <c r="AG464" s="424">
        <f>IF(OR(AG$440&lt;$C464,AG$440&lt;$H$2),0,MIN($E464-SUM($G464:AF464),$F464))</f>
        <v>0</v>
      </c>
      <c r="AH464" s="424">
        <f>IF(OR(AH$440&lt;$C464,AH$440&lt;$H$2),0,MIN($E464-SUM($G464:AG464),$F464))</f>
        <v>0</v>
      </c>
      <c r="AI464" s="424">
        <f>IF(OR(AI$440&lt;$C464,AI$440&lt;$H$2),0,MIN($E464-SUM($G464:AH464),$F464))</f>
        <v>0</v>
      </c>
      <c r="AJ464" s="424">
        <f>IF(OR(AJ$440&lt;$C464,AJ$440&lt;$H$2),0,MIN($E464-SUM($G464:AI464),$F464))</f>
        <v>0</v>
      </c>
      <c r="AK464" s="424">
        <f>IF(OR(AK$440&lt;$C464,AK$440&lt;$H$2),0,MIN($E464-SUM($G464:AJ464),$F464))</f>
        <v>0</v>
      </c>
    </row>
    <row r="465" spans="3:37">
      <c r="C465" s="201">
        <v>54075</v>
      </c>
      <c r="D465" s="94" t="s">
        <v>134</v>
      </c>
      <c r="E465" s="424">
        <f t="shared" si="134"/>
        <v>0</v>
      </c>
      <c r="F465" s="209">
        <f t="shared" si="135"/>
        <v>0</v>
      </c>
      <c r="H465" s="424">
        <f>IF(OR(H$440&lt;$C465,H$440&lt;$H$2),0,MIN($E465-SUM($G465:G465),$F465))</f>
        <v>0</v>
      </c>
      <c r="I465" s="424">
        <f>IF(OR(I$440&lt;$C465,I$440&lt;$H$2),0,MIN($E465-SUM($G465:H465),$F465))</f>
        <v>0</v>
      </c>
      <c r="J465" s="424">
        <f>IF(OR(J$440&lt;$C465,J$440&lt;$H$2),0,MIN($E465-SUM($G465:I465),$F465))</f>
        <v>0</v>
      </c>
      <c r="K465" s="424">
        <f>IF(OR(K$440&lt;$C465,K$440&lt;$H$2),0,MIN($E465-SUM($G465:J465),$F465))</f>
        <v>0</v>
      </c>
      <c r="L465" s="424">
        <f>IF(OR(L$440&lt;$C465,L$440&lt;$H$2),0,MIN($E465-SUM($G465:K465),$F465))</f>
        <v>0</v>
      </c>
      <c r="M465" s="424">
        <f>IF(OR(M$440&lt;$C465,M$440&lt;$H$2),0,MIN($E465-SUM($G465:L465),$F465))</f>
        <v>0</v>
      </c>
      <c r="N465" s="424">
        <f>IF(OR(N$440&lt;$C465,N$440&lt;$H$2),0,MIN($E465-SUM($G465:M465),$F465))</f>
        <v>0</v>
      </c>
      <c r="O465" s="424">
        <f>IF(OR(O$440&lt;$C465,O$440&lt;$H$2),0,MIN($E465-SUM($G465:N465),$F465))</f>
        <v>0</v>
      </c>
      <c r="P465" s="424">
        <f>IF(OR(P$440&lt;$C465,P$440&lt;$H$2),0,MIN($E465-SUM($G465:O465),$F465))</f>
        <v>0</v>
      </c>
      <c r="Q465" s="424">
        <f>IF(OR(Q$440&lt;$C465,Q$440&lt;$H$2),0,MIN($E465-SUM($G465:P465),$F465))</f>
        <v>0</v>
      </c>
      <c r="R465" s="424">
        <f>IF(OR(R$440&lt;$C465,R$440&lt;$H$2),0,MIN($E465-SUM($G465:Q465),$F465))</f>
        <v>0</v>
      </c>
      <c r="S465" s="424">
        <f>IF(OR(S$440&lt;$C465,S$440&lt;$H$2),0,MIN($E465-SUM($G465:R465),$F465))</f>
        <v>0</v>
      </c>
      <c r="T465" s="424">
        <f>IF(OR(T$440&lt;$C465,T$440&lt;$H$2),0,MIN($E465-SUM($G465:S465),$F465))</f>
        <v>0</v>
      </c>
      <c r="U465" s="424">
        <f>IF(OR(U$440&lt;$C465,U$440&lt;$H$2),0,MIN($E465-SUM($G465:T465),$F465))</f>
        <v>0</v>
      </c>
      <c r="V465" s="424">
        <f>IF(OR(V$440&lt;$C465,V$440&lt;$H$2),0,MIN($E465-SUM($G465:U465),$F465))</f>
        <v>0</v>
      </c>
      <c r="W465" s="424">
        <f>IF(OR(W$440&lt;$C465,W$440&lt;$H$2),0,MIN($E465-SUM($G465:V465),$F465))</f>
        <v>0</v>
      </c>
      <c r="X465" s="424">
        <f>IF(OR(X$440&lt;$C465,X$440&lt;$H$2),0,MIN($E465-SUM($G465:W465),$F465))</f>
        <v>0</v>
      </c>
      <c r="Y465" s="424">
        <f>IF(OR(Y$440&lt;$C465,Y$440&lt;$H$2),0,MIN($E465-SUM($G465:X465),$F465))</f>
        <v>0</v>
      </c>
      <c r="Z465" s="424">
        <f>IF(OR(Z$440&lt;$C465,Z$440&lt;$H$2),0,MIN($E465-SUM($G465:Y465),$F465))</f>
        <v>0</v>
      </c>
      <c r="AA465" s="424">
        <f>IF(OR(AA$440&lt;$C465,AA$440&lt;$H$2),0,MIN($E465-SUM($G465:Z465),$F465))</f>
        <v>0</v>
      </c>
      <c r="AB465" s="424">
        <f>IF(OR(AB$440&lt;$C465,AB$440&lt;$H$2),0,MIN($E465-SUM($G465:AA465),$F465))</f>
        <v>0</v>
      </c>
      <c r="AC465" s="424">
        <f>IF(OR(AC$440&lt;$C465,AC$440&lt;$H$2),0,MIN($E465-SUM($G465:AB465),$F465))</f>
        <v>0</v>
      </c>
      <c r="AD465" s="424">
        <f>IF(OR(AD$440&lt;$C465,AD$440&lt;$H$2),0,MIN($E465-SUM($G465:AC465),$F465))</f>
        <v>0</v>
      </c>
      <c r="AE465" s="424">
        <f>IF(OR(AE$440&lt;$C465,AE$440&lt;$H$2),0,MIN($E465-SUM($G465:AD465),$F465))</f>
        <v>0</v>
      </c>
      <c r="AF465" s="424">
        <f>IF(OR(AF$440&lt;$C465,AF$440&lt;$H$2),0,MIN($E465-SUM($G465:AE465),$F465))</f>
        <v>0</v>
      </c>
      <c r="AG465" s="424">
        <f>IF(OR(AG$440&lt;$C465,AG$440&lt;$H$2),0,MIN($E465-SUM($G465:AF465),$F465))</f>
        <v>0</v>
      </c>
      <c r="AH465" s="424">
        <f>IF(OR(AH$440&lt;$C465,AH$440&lt;$H$2),0,MIN($E465-SUM($G465:AG465),$F465))</f>
        <v>0</v>
      </c>
      <c r="AI465" s="424">
        <f>IF(OR(AI$440&lt;$C465,AI$440&lt;$H$2),0,MIN($E465-SUM($G465:AH465),$F465))</f>
        <v>0</v>
      </c>
      <c r="AJ465" s="424">
        <f>IF(OR(AJ$440&lt;$C465,AJ$440&lt;$H$2),0,MIN($E465-SUM($G465:AI465),$F465))</f>
        <v>0</v>
      </c>
      <c r="AK465" s="424">
        <f>IF(OR(AK$440&lt;$C465,AK$440&lt;$H$2),0,MIN($E465-SUM($G465:AJ465),$F465))</f>
        <v>0</v>
      </c>
    </row>
    <row r="466" spans="3:37">
      <c r="C466" s="201">
        <v>0</v>
      </c>
      <c r="D466" s="94" t="s">
        <v>134</v>
      </c>
      <c r="E466" s="424">
        <f t="shared" si="134"/>
        <v>0</v>
      </c>
      <c r="F466" s="209">
        <f t="shared" si="135"/>
        <v>0</v>
      </c>
      <c r="H466" s="424">
        <f>IF(OR(H$440&lt;$C466,H$440&lt;$H$2),0,MIN($E466-SUM($G466:G466),$F466))</f>
        <v>0</v>
      </c>
      <c r="I466" s="424">
        <f>IF(OR(I$440&lt;$C466,I$440&lt;$H$2),0,MIN($E466-SUM($G466:H466),$F466))</f>
        <v>0</v>
      </c>
      <c r="J466" s="424">
        <f>IF(OR(J$440&lt;$C466,J$440&lt;$H$2),0,MIN($E466-SUM($G466:I466),$F466))</f>
        <v>0</v>
      </c>
      <c r="K466" s="424">
        <f>IF(OR(K$440&lt;$C466,K$440&lt;$H$2),0,MIN($E466-SUM($G466:J466),$F466))</f>
        <v>0</v>
      </c>
      <c r="L466" s="424">
        <f>IF(OR(L$440&lt;$C466,L$440&lt;$H$2),0,MIN($E466-SUM($G466:K466),$F466))</f>
        <v>0</v>
      </c>
      <c r="M466" s="424">
        <f>IF(OR(M$440&lt;$C466,M$440&lt;$H$2),0,MIN($E466-SUM($G466:L466),$F466))</f>
        <v>0</v>
      </c>
      <c r="N466" s="424">
        <f>IF(OR(N$440&lt;$C466,N$440&lt;$H$2),0,MIN($E466-SUM($G466:M466),$F466))</f>
        <v>0</v>
      </c>
      <c r="O466" s="424">
        <f>IF(OR(O$440&lt;$C466,O$440&lt;$H$2),0,MIN($E466-SUM($G466:N466),$F466))</f>
        <v>0</v>
      </c>
      <c r="P466" s="424">
        <f>IF(OR(P$440&lt;$C466,P$440&lt;$H$2),0,MIN($E466-SUM($G466:O466),$F466))</f>
        <v>0</v>
      </c>
      <c r="Q466" s="424">
        <f>IF(OR(Q$440&lt;$C466,Q$440&lt;$H$2),0,MIN($E466-SUM($G466:P466),$F466))</f>
        <v>0</v>
      </c>
      <c r="R466" s="424">
        <f>IF(OR(R$440&lt;$C466,R$440&lt;$H$2),0,MIN($E466-SUM($G466:Q466),$F466))</f>
        <v>0</v>
      </c>
      <c r="S466" s="424">
        <f>IF(OR(S$440&lt;$C466,S$440&lt;$H$2),0,MIN($E466-SUM($G466:R466),$F466))</f>
        <v>0</v>
      </c>
      <c r="T466" s="424">
        <f>IF(OR(T$440&lt;$C466,T$440&lt;$H$2),0,MIN($E466-SUM($G466:S466),$F466))</f>
        <v>0</v>
      </c>
      <c r="U466" s="424">
        <f>IF(OR(U$440&lt;$C466,U$440&lt;$H$2),0,MIN($E466-SUM($G466:T466),$F466))</f>
        <v>0</v>
      </c>
      <c r="V466" s="424">
        <f>IF(OR(V$440&lt;$C466,V$440&lt;$H$2),0,MIN($E466-SUM($G466:U466),$F466))</f>
        <v>0</v>
      </c>
      <c r="W466" s="424">
        <f>IF(OR(W$440&lt;$C466,W$440&lt;$H$2),0,MIN($E466-SUM($G466:V466),$F466))</f>
        <v>0</v>
      </c>
      <c r="X466" s="424">
        <f>IF(OR(X$440&lt;$C466,X$440&lt;$H$2),0,MIN($E466-SUM($G466:W466),$F466))</f>
        <v>0</v>
      </c>
      <c r="Y466" s="424">
        <f>IF(OR(Y$440&lt;$C466,Y$440&lt;$H$2),0,MIN($E466-SUM($G466:X466),$F466))</f>
        <v>0</v>
      </c>
      <c r="Z466" s="424">
        <f>IF(OR(Z$440&lt;$C466,Z$440&lt;$H$2),0,MIN($E466-SUM($G466:Y466),$F466))</f>
        <v>0</v>
      </c>
      <c r="AA466" s="424">
        <f>IF(OR(AA$440&lt;$C466,AA$440&lt;$H$2),0,MIN($E466-SUM($G466:Z466),$F466))</f>
        <v>0</v>
      </c>
      <c r="AB466" s="424">
        <f>IF(OR(AB$440&lt;$C466,AB$440&lt;$H$2),0,MIN($E466-SUM($G466:AA466),$F466))</f>
        <v>0</v>
      </c>
      <c r="AC466" s="424">
        <f>IF(OR(AC$440&lt;$C466,AC$440&lt;$H$2),0,MIN($E466-SUM($G466:AB466),$F466))</f>
        <v>0</v>
      </c>
      <c r="AD466" s="424">
        <f>IF(OR(AD$440&lt;$C466,AD$440&lt;$H$2),0,MIN($E466-SUM($G466:AC466),$F466))</f>
        <v>0</v>
      </c>
      <c r="AE466" s="424">
        <f>IF(OR(AE$440&lt;$C466,AE$440&lt;$H$2),0,MIN($E466-SUM($G466:AD466),$F466))</f>
        <v>0</v>
      </c>
      <c r="AF466" s="424">
        <f>IF(OR(AF$440&lt;$C466,AF$440&lt;$H$2),0,MIN($E466-SUM($G466:AE466),$F466))</f>
        <v>0</v>
      </c>
      <c r="AG466" s="424">
        <f>IF(OR(AG$440&lt;$C466,AG$440&lt;$H$2),0,MIN($E466-SUM($G466:AF466),$F466))</f>
        <v>0</v>
      </c>
      <c r="AH466" s="424">
        <f>IF(OR(AH$440&lt;$C466,AH$440&lt;$H$2),0,MIN($E466-SUM($G466:AG466),$F466))</f>
        <v>0</v>
      </c>
      <c r="AI466" s="424">
        <f>IF(OR(AI$440&lt;$C466,AI$440&lt;$H$2),0,MIN($E466-SUM($G466:AH466),$F466))</f>
        <v>0</v>
      </c>
      <c r="AJ466" s="424">
        <f>IF(OR(AJ$440&lt;$C466,AJ$440&lt;$H$2),0,MIN($E466-SUM($G466:AI466),$F466))</f>
        <v>0</v>
      </c>
      <c r="AK466" s="424">
        <f>IF(OR(AK$440&lt;$C466,AK$440&lt;$H$2),0,MIN($E466-SUM($G466:AJ466),$F466))</f>
        <v>0</v>
      </c>
    </row>
    <row r="467" spans="3:37">
      <c r="C467" s="201">
        <v>0</v>
      </c>
      <c r="D467" s="94" t="s">
        <v>134</v>
      </c>
      <c r="E467" s="424">
        <f t="shared" si="134"/>
        <v>0</v>
      </c>
      <c r="F467" s="209">
        <f t="shared" si="135"/>
        <v>0</v>
      </c>
      <c r="H467" s="424">
        <f>IF(OR(H$440&lt;$C467,H$440&lt;$H$2),0,MIN($E467-SUM($G467:G467),$F467))</f>
        <v>0</v>
      </c>
      <c r="I467" s="424">
        <f>IF(OR(I$440&lt;$C467,I$440&lt;$H$2),0,MIN($E467-SUM($G467:H467),$F467))</f>
        <v>0</v>
      </c>
      <c r="J467" s="424">
        <f>IF(OR(J$440&lt;$C467,J$440&lt;$H$2),0,MIN($E467-SUM($G467:I467),$F467))</f>
        <v>0</v>
      </c>
      <c r="K467" s="424">
        <f>IF(OR(K$440&lt;$C467,K$440&lt;$H$2),0,MIN($E467-SUM($G467:J467),$F467))</f>
        <v>0</v>
      </c>
      <c r="L467" s="424">
        <f>IF(OR(L$440&lt;$C467,L$440&lt;$H$2),0,MIN($E467-SUM($G467:K467),$F467))</f>
        <v>0</v>
      </c>
      <c r="M467" s="424">
        <f>IF(OR(M$440&lt;$C467,M$440&lt;$H$2),0,MIN($E467-SUM($G467:L467),$F467))</f>
        <v>0</v>
      </c>
      <c r="N467" s="424">
        <f>IF(OR(N$440&lt;$C467,N$440&lt;$H$2),0,MIN($E467-SUM($G467:M467),$F467))</f>
        <v>0</v>
      </c>
      <c r="O467" s="424">
        <f>IF(OR(O$440&lt;$C467,O$440&lt;$H$2),0,MIN($E467-SUM($G467:N467),$F467))</f>
        <v>0</v>
      </c>
      <c r="P467" s="424">
        <f>IF(OR(P$440&lt;$C467,P$440&lt;$H$2),0,MIN($E467-SUM($G467:O467),$F467))</f>
        <v>0</v>
      </c>
      <c r="Q467" s="424">
        <f>IF(OR(Q$440&lt;$C467,Q$440&lt;$H$2),0,MIN($E467-SUM($G467:P467),$F467))</f>
        <v>0</v>
      </c>
      <c r="R467" s="424">
        <f>IF(OR(R$440&lt;$C467,R$440&lt;$H$2),0,MIN($E467-SUM($G467:Q467),$F467))</f>
        <v>0</v>
      </c>
      <c r="S467" s="424">
        <f>IF(OR(S$440&lt;$C467,S$440&lt;$H$2),0,MIN($E467-SUM($G467:R467),$F467))</f>
        <v>0</v>
      </c>
      <c r="T467" s="424">
        <f>IF(OR(T$440&lt;$C467,T$440&lt;$H$2),0,MIN($E467-SUM($G467:S467),$F467))</f>
        <v>0</v>
      </c>
      <c r="U467" s="424">
        <f>IF(OR(U$440&lt;$C467,U$440&lt;$H$2),0,MIN($E467-SUM($G467:T467),$F467))</f>
        <v>0</v>
      </c>
      <c r="V467" s="424">
        <f>IF(OR(V$440&lt;$C467,V$440&lt;$H$2),0,MIN($E467-SUM($G467:U467),$F467))</f>
        <v>0</v>
      </c>
      <c r="W467" s="424">
        <f>IF(OR(W$440&lt;$C467,W$440&lt;$H$2),0,MIN($E467-SUM($G467:V467),$F467))</f>
        <v>0</v>
      </c>
      <c r="X467" s="424">
        <f>IF(OR(X$440&lt;$C467,X$440&lt;$H$2),0,MIN($E467-SUM($G467:W467),$F467))</f>
        <v>0</v>
      </c>
      <c r="Y467" s="424">
        <f>IF(OR(Y$440&lt;$C467,Y$440&lt;$H$2),0,MIN($E467-SUM($G467:X467),$F467))</f>
        <v>0</v>
      </c>
      <c r="Z467" s="424">
        <f>IF(OR(Z$440&lt;$C467,Z$440&lt;$H$2),0,MIN($E467-SUM($G467:Y467),$F467))</f>
        <v>0</v>
      </c>
      <c r="AA467" s="424">
        <f>IF(OR(AA$440&lt;$C467,AA$440&lt;$H$2),0,MIN($E467-SUM($G467:Z467),$F467))</f>
        <v>0</v>
      </c>
      <c r="AB467" s="424">
        <f>IF(OR(AB$440&lt;$C467,AB$440&lt;$H$2),0,MIN($E467-SUM($G467:AA467),$F467))</f>
        <v>0</v>
      </c>
      <c r="AC467" s="424">
        <f>IF(OR(AC$440&lt;$C467,AC$440&lt;$H$2),0,MIN($E467-SUM($G467:AB467),$F467))</f>
        <v>0</v>
      </c>
      <c r="AD467" s="424">
        <f>IF(OR(AD$440&lt;$C467,AD$440&lt;$H$2),0,MIN($E467-SUM($G467:AC467),$F467))</f>
        <v>0</v>
      </c>
      <c r="AE467" s="424">
        <f>IF(OR(AE$440&lt;$C467,AE$440&lt;$H$2),0,MIN($E467-SUM($G467:AD467),$F467))</f>
        <v>0</v>
      </c>
      <c r="AF467" s="424">
        <f>IF(OR(AF$440&lt;$C467,AF$440&lt;$H$2),0,MIN($E467-SUM($G467:AE467),$F467))</f>
        <v>0</v>
      </c>
      <c r="AG467" s="424">
        <f>IF(OR(AG$440&lt;$C467,AG$440&lt;$H$2),0,MIN($E467-SUM($G467:AF467),$F467))</f>
        <v>0</v>
      </c>
      <c r="AH467" s="424">
        <f>IF(OR(AH$440&lt;$C467,AH$440&lt;$H$2),0,MIN($E467-SUM($G467:AG467),$F467))</f>
        <v>0</v>
      </c>
      <c r="AI467" s="424">
        <f>IF(OR(AI$440&lt;$C467,AI$440&lt;$H$2),0,MIN($E467-SUM($G467:AH467),$F467))</f>
        <v>0</v>
      </c>
      <c r="AJ467" s="424">
        <f>IF(OR(AJ$440&lt;$C467,AJ$440&lt;$H$2),0,MIN($E467-SUM($G467:AI467),$F467))</f>
        <v>0</v>
      </c>
      <c r="AK467" s="424">
        <f>IF(OR(AK$440&lt;$C467,AK$440&lt;$H$2),0,MIN($E467-SUM($G467:AJ467),$F467))</f>
        <v>0</v>
      </c>
    </row>
    <row r="468" spans="3:37">
      <c r="C468" s="201">
        <v>0</v>
      </c>
      <c r="D468" s="94" t="s">
        <v>134</v>
      </c>
      <c r="E468" s="424">
        <f t="shared" si="134"/>
        <v>0</v>
      </c>
      <c r="F468" s="209">
        <f t="shared" si="135"/>
        <v>0</v>
      </c>
      <c r="H468" s="424">
        <f>IF(OR(H$440&lt;$C468,H$440&lt;$H$2),0,MIN($E468-SUM($G468:G468),$F468))</f>
        <v>0</v>
      </c>
      <c r="I468" s="424">
        <f>IF(OR(I$440&lt;$C468,I$440&lt;$H$2),0,MIN($E468-SUM($G468:H468),$F468))</f>
        <v>0</v>
      </c>
      <c r="J468" s="424">
        <f>IF(OR(J$440&lt;$C468,J$440&lt;$H$2),0,MIN($E468-SUM($G468:I468),$F468))</f>
        <v>0</v>
      </c>
      <c r="K468" s="424">
        <f>IF(OR(K$440&lt;$C468,K$440&lt;$H$2),0,MIN($E468-SUM($G468:J468),$F468))</f>
        <v>0</v>
      </c>
      <c r="L468" s="424">
        <f>IF(OR(L$440&lt;$C468,L$440&lt;$H$2),0,MIN($E468-SUM($G468:K468),$F468))</f>
        <v>0</v>
      </c>
      <c r="M468" s="424">
        <f>IF(OR(M$440&lt;$C468,M$440&lt;$H$2),0,MIN($E468-SUM($G468:L468),$F468))</f>
        <v>0</v>
      </c>
      <c r="N468" s="424">
        <f>IF(OR(N$440&lt;$C468,N$440&lt;$H$2),0,MIN($E468-SUM($G468:M468),$F468))</f>
        <v>0</v>
      </c>
      <c r="O468" s="424">
        <f>IF(OR(O$440&lt;$C468,O$440&lt;$H$2),0,MIN($E468-SUM($G468:N468),$F468))</f>
        <v>0</v>
      </c>
      <c r="P468" s="424">
        <f>IF(OR(P$440&lt;$C468,P$440&lt;$H$2),0,MIN($E468-SUM($G468:O468),$F468))</f>
        <v>0</v>
      </c>
      <c r="Q468" s="424">
        <f>IF(OR(Q$440&lt;$C468,Q$440&lt;$H$2),0,MIN($E468-SUM($G468:P468),$F468))</f>
        <v>0</v>
      </c>
      <c r="R468" s="424">
        <f>IF(OR(R$440&lt;$C468,R$440&lt;$H$2),0,MIN($E468-SUM($G468:Q468),$F468))</f>
        <v>0</v>
      </c>
      <c r="S468" s="424">
        <f>IF(OR(S$440&lt;$C468,S$440&lt;$H$2),0,MIN($E468-SUM($G468:R468),$F468))</f>
        <v>0</v>
      </c>
      <c r="T468" s="424">
        <f>IF(OR(T$440&lt;$C468,T$440&lt;$H$2),0,MIN($E468-SUM($G468:S468),$F468))</f>
        <v>0</v>
      </c>
      <c r="U468" s="424">
        <f>IF(OR(U$440&lt;$C468,U$440&lt;$H$2),0,MIN($E468-SUM($G468:T468),$F468))</f>
        <v>0</v>
      </c>
      <c r="V468" s="424">
        <f>IF(OR(V$440&lt;$C468,V$440&lt;$H$2),0,MIN($E468-SUM($G468:U468),$F468))</f>
        <v>0</v>
      </c>
      <c r="W468" s="424">
        <f>IF(OR(W$440&lt;$C468,W$440&lt;$H$2),0,MIN($E468-SUM($G468:V468),$F468))</f>
        <v>0</v>
      </c>
      <c r="X468" s="424">
        <f>IF(OR(X$440&lt;$C468,X$440&lt;$H$2),0,MIN($E468-SUM($G468:W468),$F468))</f>
        <v>0</v>
      </c>
      <c r="Y468" s="424">
        <f>IF(OR(Y$440&lt;$C468,Y$440&lt;$H$2),0,MIN($E468-SUM($G468:X468),$F468))</f>
        <v>0</v>
      </c>
      <c r="Z468" s="424">
        <f>IF(OR(Z$440&lt;$C468,Z$440&lt;$H$2),0,MIN($E468-SUM($G468:Y468),$F468))</f>
        <v>0</v>
      </c>
      <c r="AA468" s="424">
        <f>IF(OR(AA$440&lt;$C468,AA$440&lt;$H$2),0,MIN($E468-SUM($G468:Z468),$F468))</f>
        <v>0</v>
      </c>
      <c r="AB468" s="424">
        <f>IF(OR(AB$440&lt;$C468,AB$440&lt;$H$2),0,MIN($E468-SUM($G468:AA468),$F468))</f>
        <v>0</v>
      </c>
      <c r="AC468" s="424">
        <f>IF(OR(AC$440&lt;$C468,AC$440&lt;$H$2),0,MIN($E468-SUM($G468:AB468),$F468))</f>
        <v>0</v>
      </c>
      <c r="AD468" s="424">
        <f>IF(OR(AD$440&lt;$C468,AD$440&lt;$H$2),0,MIN($E468-SUM($G468:AC468),$F468))</f>
        <v>0</v>
      </c>
      <c r="AE468" s="424">
        <f>IF(OR(AE$440&lt;$C468,AE$440&lt;$H$2),0,MIN($E468-SUM($G468:AD468),$F468))</f>
        <v>0</v>
      </c>
      <c r="AF468" s="424">
        <f>IF(OR(AF$440&lt;$C468,AF$440&lt;$H$2),0,MIN($E468-SUM($G468:AE468),$F468))</f>
        <v>0</v>
      </c>
      <c r="AG468" s="424">
        <f>IF(OR(AG$440&lt;$C468,AG$440&lt;$H$2),0,MIN($E468-SUM($G468:AF468),$F468))</f>
        <v>0</v>
      </c>
      <c r="AH468" s="424">
        <f>IF(OR(AH$440&lt;$C468,AH$440&lt;$H$2),0,MIN($E468-SUM($G468:AG468),$F468))</f>
        <v>0</v>
      </c>
      <c r="AI468" s="424">
        <f>IF(OR(AI$440&lt;$C468,AI$440&lt;$H$2),0,MIN($E468-SUM($G468:AH468),$F468))</f>
        <v>0</v>
      </c>
      <c r="AJ468" s="424">
        <f>IF(OR(AJ$440&lt;$C468,AJ$440&lt;$H$2),0,MIN($E468-SUM($G468:AI468),$F468))</f>
        <v>0</v>
      </c>
      <c r="AK468" s="424">
        <f>IF(OR(AK$440&lt;$C468,AK$440&lt;$H$2),0,MIN($E468-SUM($G468:AJ468),$F468))</f>
        <v>0</v>
      </c>
    </row>
    <row r="469" spans="3:37">
      <c r="C469" s="201">
        <v>0</v>
      </c>
      <c r="D469" s="94" t="s">
        <v>134</v>
      </c>
      <c r="E469" s="424">
        <f t="shared" si="134"/>
        <v>0</v>
      </c>
      <c r="F469" s="209">
        <f t="shared" si="135"/>
        <v>0</v>
      </c>
      <c r="H469" s="424">
        <f>IF(OR(H$440&lt;$C469,H$440&lt;$H$2),0,MIN($E469-SUM($G469:G469),$F469))</f>
        <v>0</v>
      </c>
      <c r="I469" s="424">
        <f>IF(OR(I$440&lt;$C469,I$440&lt;$H$2),0,MIN($E469-SUM($G469:H469),$F469))</f>
        <v>0</v>
      </c>
      <c r="J469" s="424">
        <f>IF(OR(J$440&lt;$C469,J$440&lt;$H$2),0,MIN($E469-SUM($G469:I469),$F469))</f>
        <v>0</v>
      </c>
      <c r="K469" s="424">
        <f>IF(OR(K$440&lt;$C469,K$440&lt;$H$2),0,MIN($E469-SUM($G469:J469),$F469))</f>
        <v>0</v>
      </c>
      <c r="L469" s="424">
        <f>IF(OR(L$440&lt;$C469,L$440&lt;$H$2),0,MIN($E469-SUM($G469:K469),$F469))</f>
        <v>0</v>
      </c>
      <c r="M469" s="424">
        <f>IF(OR(M$440&lt;$C469,M$440&lt;$H$2),0,MIN($E469-SUM($G469:L469),$F469))</f>
        <v>0</v>
      </c>
      <c r="N469" s="424">
        <f>IF(OR(N$440&lt;$C469,N$440&lt;$H$2),0,MIN($E469-SUM($G469:M469),$F469))</f>
        <v>0</v>
      </c>
      <c r="O469" s="424">
        <f>IF(OR(O$440&lt;$C469,O$440&lt;$H$2),0,MIN($E469-SUM($G469:N469),$F469))</f>
        <v>0</v>
      </c>
      <c r="P469" s="424">
        <f>IF(OR(P$440&lt;$C469,P$440&lt;$H$2),0,MIN($E469-SUM($G469:O469),$F469))</f>
        <v>0</v>
      </c>
      <c r="Q469" s="424">
        <f>IF(OR(Q$440&lt;$C469,Q$440&lt;$H$2),0,MIN($E469-SUM($G469:P469),$F469))</f>
        <v>0</v>
      </c>
      <c r="R469" s="424">
        <f>IF(OR(R$440&lt;$C469,R$440&lt;$H$2),0,MIN($E469-SUM($G469:Q469),$F469))</f>
        <v>0</v>
      </c>
      <c r="S469" s="424">
        <f>IF(OR(S$440&lt;$C469,S$440&lt;$H$2),0,MIN($E469-SUM($G469:R469),$F469))</f>
        <v>0</v>
      </c>
      <c r="T469" s="424">
        <f>IF(OR(T$440&lt;$C469,T$440&lt;$H$2),0,MIN($E469-SUM($G469:S469),$F469))</f>
        <v>0</v>
      </c>
      <c r="U469" s="424">
        <f>IF(OR(U$440&lt;$C469,U$440&lt;$H$2),0,MIN($E469-SUM($G469:T469),$F469))</f>
        <v>0</v>
      </c>
      <c r="V469" s="424">
        <f>IF(OR(V$440&lt;$C469,V$440&lt;$H$2),0,MIN($E469-SUM($G469:U469),$F469))</f>
        <v>0</v>
      </c>
      <c r="W469" s="424">
        <f>IF(OR(W$440&lt;$C469,W$440&lt;$H$2),0,MIN($E469-SUM($G469:V469),$F469))</f>
        <v>0</v>
      </c>
      <c r="X469" s="424">
        <f>IF(OR(X$440&lt;$C469,X$440&lt;$H$2),0,MIN($E469-SUM($G469:W469),$F469))</f>
        <v>0</v>
      </c>
      <c r="Y469" s="424">
        <f>IF(OR(Y$440&lt;$C469,Y$440&lt;$H$2),0,MIN($E469-SUM($G469:X469),$F469))</f>
        <v>0</v>
      </c>
      <c r="Z469" s="424">
        <f>IF(OR(Z$440&lt;$C469,Z$440&lt;$H$2),0,MIN($E469-SUM($G469:Y469),$F469))</f>
        <v>0</v>
      </c>
      <c r="AA469" s="424">
        <f>IF(OR(AA$440&lt;$C469,AA$440&lt;$H$2),0,MIN($E469-SUM($G469:Z469),$F469))</f>
        <v>0</v>
      </c>
      <c r="AB469" s="424">
        <f>IF(OR(AB$440&lt;$C469,AB$440&lt;$H$2),0,MIN($E469-SUM($G469:AA469),$F469))</f>
        <v>0</v>
      </c>
      <c r="AC469" s="424">
        <f>IF(OR(AC$440&lt;$C469,AC$440&lt;$H$2),0,MIN($E469-SUM($G469:AB469),$F469))</f>
        <v>0</v>
      </c>
      <c r="AD469" s="424">
        <f>IF(OR(AD$440&lt;$C469,AD$440&lt;$H$2),0,MIN($E469-SUM($G469:AC469),$F469))</f>
        <v>0</v>
      </c>
      <c r="AE469" s="424">
        <f>IF(OR(AE$440&lt;$C469,AE$440&lt;$H$2),0,MIN($E469-SUM($G469:AD469),$F469))</f>
        <v>0</v>
      </c>
      <c r="AF469" s="424">
        <f>IF(OR(AF$440&lt;$C469,AF$440&lt;$H$2),0,MIN($E469-SUM($G469:AE469),$F469))</f>
        <v>0</v>
      </c>
      <c r="AG469" s="424">
        <f>IF(OR(AG$440&lt;$C469,AG$440&lt;$H$2),0,MIN($E469-SUM($G469:AF469),$F469))</f>
        <v>0</v>
      </c>
      <c r="AH469" s="424">
        <f>IF(OR(AH$440&lt;$C469,AH$440&lt;$H$2),0,MIN($E469-SUM($G469:AG469),$F469))</f>
        <v>0</v>
      </c>
      <c r="AI469" s="424">
        <f>IF(OR(AI$440&lt;$C469,AI$440&lt;$H$2),0,MIN($E469-SUM($G469:AH469),$F469))</f>
        <v>0</v>
      </c>
      <c r="AJ469" s="424">
        <f>IF(OR(AJ$440&lt;$C469,AJ$440&lt;$H$2),0,MIN($E469-SUM($G469:AI469),$F469))</f>
        <v>0</v>
      </c>
      <c r="AK469" s="424">
        <f>IF(OR(AK$440&lt;$C469,AK$440&lt;$H$2),0,MIN($E469-SUM($G469:AJ469),$F469))</f>
        <v>0</v>
      </c>
    </row>
    <row r="470" spans="3:37">
      <c r="C470" s="201">
        <v>0</v>
      </c>
      <c r="D470" s="94" t="s">
        <v>134</v>
      </c>
      <c r="E470" s="424">
        <f t="shared" si="134"/>
        <v>0</v>
      </c>
      <c r="F470" s="209">
        <f t="shared" si="135"/>
        <v>0</v>
      </c>
      <c r="H470" s="424">
        <f>IF(OR(H$440&lt;$C470,H$440&lt;$H$2),0,MIN($E470-SUM($G470:G470),$F470))</f>
        <v>0</v>
      </c>
      <c r="I470" s="424">
        <f>IF(OR(I$440&lt;$C470,I$440&lt;$H$2),0,MIN($E470-SUM($G470:H470),$F470))</f>
        <v>0</v>
      </c>
      <c r="J470" s="424">
        <f>IF(OR(J$440&lt;$C470,J$440&lt;$H$2),0,MIN($E470-SUM($G470:I470),$F470))</f>
        <v>0</v>
      </c>
      <c r="K470" s="424">
        <f>IF(OR(K$440&lt;$C470,K$440&lt;$H$2),0,MIN($E470-SUM($G470:J470),$F470))</f>
        <v>0</v>
      </c>
      <c r="L470" s="424">
        <f>IF(OR(L$440&lt;$C470,L$440&lt;$H$2),0,MIN($E470-SUM($G470:K470),$F470))</f>
        <v>0</v>
      </c>
      <c r="M470" s="424">
        <f>IF(OR(M$440&lt;$C470,M$440&lt;$H$2),0,MIN($E470-SUM($G470:L470),$F470))</f>
        <v>0</v>
      </c>
      <c r="N470" s="424">
        <f>IF(OR(N$440&lt;$C470,N$440&lt;$H$2),0,MIN($E470-SUM($G470:M470),$F470))</f>
        <v>0</v>
      </c>
      <c r="O470" s="424">
        <f>IF(OR(O$440&lt;$C470,O$440&lt;$H$2),0,MIN($E470-SUM($G470:N470),$F470))</f>
        <v>0</v>
      </c>
      <c r="P470" s="424">
        <f>IF(OR(P$440&lt;$C470,P$440&lt;$H$2),0,MIN($E470-SUM($G470:O470),$F470))</f>
        <v>0</v>
      </c>
      <c r="Q470" s="424">
        <f>IF(OR(Q$440&lt;$C470,Q$440&lt;$H$2),0,MIN($E470-SUM($G470:P470),$F470))</f>
        <v>0</v>
      </c>
      <c r="R470" s="424">
        <f>IF(OR(R$440&lt;$C470,R$440&lt;$H$2),0,MIN($E470-SUM($G470:Q470),$F470))</f>
        <v>0</v>
      </c>
      <c r="S470" s="424">
        <f>IF(OR(S$440&lt;$C470,S$440&lt;$H$2),0,MIN($E470-SUM($G470:R470),$F470))</f>
        <v>0</v>
      </c>
      <c r="T470" s="424">
        <f>IF(OR(T$440&lt;$C470,T$440&lt;$H$2),0,MIN($E470-SUM($G470:S470),$F470))</f>
        <v>0</v>
      </c>
      <c r="U470" s="424">
        <f>IF(OR(U$440&lt;$C470,U$440&lt;$H$2),0,MIN($E470-SUM($G470:T470),$F470))</f>
        <v>0</v>
      </c>
      <c r="V470" s="424">
        <f>IF(OR(V$440&lt;$C470,V$440&lt;$H$2),0,MIN($E470-SUM($G470:U470),$F470))</f>
        <v>0</v>
      </c>
      <c r="W470" s="424">
        <f>IF(OR(W$440&lt;$C470,W$440&lt;$H$2),0,MIN($E470-SUM($G470:V470),$F470))</f>
        <v>0</v>
      </c>
      <c r="X470" s="424">
        <f>IF(OR(X$440&lt;$C470,X$440&lt;$H$2),0,MIN($E470-SUM($G470:W470),$F470))</f>
        <v>0</v>
      </c>
      <c r="Y470" s="424">
        <f>IF(OR(Y$440&lt;$C470,Y$440&lt;$H$2),0,MIN($E470-SUM($G470:X470),$F470))</f>
        <v>0</v>
      </c>
      <c r="Z470" s="424">
        <f>IF(OR(Z$440&lt;$C470,Z$440&lt;$H$2),0,MIN($E470-SUM($G470:Y470),$F470))</f>
        <v>0</v>
      </c>
      <c r="AA470" s="424">
        <f>IF(OR(AA$440&lt;$C470,AA$440&lt;$H$2),0,MIN($E470-SUM($G470:Z470),$F470))</f>
        <v>0</v>
      </c>
      <c r="AB470" s="424">
        <f>IF(OR(AB$440&lt;$C470,AB$440&lt;$H$2),0,MIN($E470-SUM($G470:AA470),$F470))</f>
        <v>0</v>
      </c>
      <c r="AC470" s="424">
        <f>IF(OR(AC$440&lt;$C470,AC$440&lt;$H$2),0,MIN($E470-SUM($G470:AB470),$F470))</f>
        <v>0</v>
      </c>
      <c r="AD470" s="424">
        <f>IF(OR(AD$440&lt;$C470,AD$440&lt;$H$2),0,MIN($E470-SUM($G470:AC470),$F470))</f>
        <v>0</v>
      </c>
      <c r="AE470" s="424">
        <f>IF(OR(AE$440&lt;$C470,AE$440&lt;$H$2),0,MIN($E470-SUM($G470:AD470),$F470))</f>
        <v>0</v>
      </c>
      <c r="AF470" s="424">
        <f>IF(OR(AF$440&lt;$C470,AF$440&lt;$H$2),0,MIN($E470-SUM($G470:AE470),$F470))</f>
        <v>0</v>
      </c>
      <c r="AG470" s="424">
        <f>IF(OR(AG$440&lt;$C470,AG$440&lt;$H$2),0,MIN($E470-SUM($G470:AF470),$F470))</f>
        <v>0</v>
      </c>
      <c r="AH470" s="424">
        <f>IF(OR(AH$440&lt;$C470,AH$440&lt;$H$2),0,MIN($E470-SUM($G470:AG470),$F470))</f>
        <v>0</v>
      </c>
      <c r="AI470" s="424">
        <f>IF(OR(AI$440&lt;$C470,AI$440&lt;$H$2),0,MIN($E470-SUM($G470:AH470),$F470))</f>
        <v>0</v>
      </c>
      <c r="AJ470" s="424">
        <f>IF(OR(AJ$440&lt;$C470,AJ$440&lt;$H$2),0,MIN($E470-SUM($G470:AI470),$F470))</f>
        <v>0</v>
      </c>
      <c r="AK470" s="424">
        <f>IF(OR(AK$440&lt;$C470,AK$440&lt;$H$2),0,MIN($E470-SUM($G470:AJ470),$F470))</f>
        <v>0</v>
      </c>
    </row>
    <row r="471" spans="3:37">
      <c r="C471" s="201">
        <v>0</v>
      </c>
      <c r="D471" s="94" t="s">
        <v>134</v>
      </c>
      <c r="E471" s="424">
        <f t="shared" si="134"/>
        <v>0</v>
      </c>
      <c r="F471" s="209">
        <f t="shared" si="135"/>
        <v>0</v>
      </c>
      <c r="H471" s="424">
        <f>IF(OR(H$440&lt;$C471,H$440&lt;$H$2),0,MIN($E471-SUM($G471:G471),$F471))</f>
        <v>0</v>
      </c>
      <c r="I471" s="424">
        <f>IF(OR(I$440&lt;$C471,I$440&lt;$H$2),0,MIN($E471-SUM($G471:H471),$F471))</f>
        <v>0</v>
      </c>
      <c r="J471" s="424">
        <f>IF(OR(J$440&lt;$C471,J$440&lt;$H$2),0,MIN($E471-SUM($G471:I471),$F471))</f>
        <v>0</v>
      </c>
      <c r="K471" s="424">
        <f>IF(OR(K$440&lt;$C471,K$440&lt;$H$2),0,MIN($E471-SUM($G471:J471),$F471))</f>
        <v>0</v>
      </c>
      <c r="L471" s="424">
        <f>IF(OR(L$440&lt;$C471,L$440&lt;$H$2),0,MIN($E471-SUM($G471:K471),$F471))</f>
        <v>0</v>
      </c>
      <c r="M471" s="424">
        <f>IF(OR(M$440&lt;$C471,M$440&lt;$H$2),0,MIN($E471-SUM($G471:L471),$F471))</f>
        <v>0</v>
      </c>
      <c r="N471" s="424">
        <f>IF(OR(N$440&lt;$C471,N$440&lt;$H$2),0,MIN($E471-SUM($G471:M471),$F471))</f>
        <v>0</v>
      </c>
      <c r="O471" s="424">
        <f>IF(OR(O$440&lt;$C471,O$440&lt;$H$2),0,MIN($E471-SUM($G471:N471),$F471))</f>
        <v>0</v>
      </c>
      <c r="P471" s="424">
        <f>IF(OR(P$440&lt;$C471,P$440&lt;$H$2),0,MIN($E471-SUM($G471:O471),$F471))</f>
        <v>0</v>
      </c>
      <c r="Q471" s="424">
        <f>IF(OR(Q$440&lt;$C471,Q$440&lt;$H$2),0,MIN($E471-SUM($G471:P471),$F471))</f>
        <v>0</v>
      </c>
      <c r="R471" s="424">
        <f>IF(OR(R$440&lt;$C471,R$440&lt;$H$2),0,MIN($E471-SUM($G471:Q471),$F471))</f>
        <v>0</v>
      </c>
      <c r="S471" s="424">
        <f>IF(OR(S$440&lt;$C471,S$440&lt;$H$2),0,MIN($E471-SUM($G471:R471),$F471))</f>
        <v>0</v>
      </c>
      <c r="T471" s="424">
        <f>IF(OR(T$440&lt;$C471,T$440&lt;$H$2),0,MIN($E471-SUM($G471:S471),$F471))</f>
        <v>0</v>
      </c>
      <c r="U471" s="424">
        <f>IF(OR(U$440&lt;$C471,U$440&lt;$H$2),0,MIN($E471-SUM($G471:T471),$F471))</f>
        <v>0</v>
      </c>
      <c r="V471" s="424">
        <f>IF(OR(V$440&lt;$C471,V$440&lt;$H$2),0,MIN($E471-SUM($G471:U471),$F471))</f>
        <v>0</v>
      </c>
      <c r="W471" s="424">
        <f>IF(OR(W$440&lt;$C471,W$440&lt;$H$2),0,MIN($E471-SUM($G471:V471),$F471))</f>
        <v>0</v>
      </c>
      <c r="X471" s="424">
        <f>IF(OR(X$440&lt;$C471,X$440&lt;$H$2),0,MIN($E471-SUM($G471:W471),$F471))</f>
        <v>0</v>
      </c>
      <c r="Y471" s="424">
        <f>IF(OR(Y$440&lt;$C471,Y$440&lt;$H$2),0,MIN($E471-SUM($G471:X471),$F471))</f>
        <v>0</v>
      </c>
      <c r="Z471" s="424">
        <f>IF(OR(Z$440&lt;$C471,Z$440&lt;$H$2),0,MIN($E471-SUM($G471:Y471),$F471))</f>
        <v>0</v>
      </c>
      <c r="AA471" s="424">
        <f>IF(OR(AA$440&lt;$C471,AA$440&lt;$H$2),0,MIN($E471-SUM($G471:Z471),$F471))</f>
        <v>0</v>
      </c>
      <c r="AB471" s="424">
        <f>IF(OR(AB$440&lt;$C471,AB$440&lt;$H$2),0,MIN($E471-SUM($G471:AA471),$F471))</f>
        <v>0</v>
      </c>
      <c r="AC471" s="424">
        <f>IF(OR(AC$440&lt;$C471,AC$440&lt;$H$2),0,MIN($E471-SUM($G471:AB471),$F471))</f>
        <v>0</v>
      </c>
      <c r="AD471" s="424">
        <f>IF(OR(AD$440&lt;$C471,AD$440&lt;$H$2),0,MIN($E471-SUM($G471:AC471),$F471))</f>
        <v>0</v>
      </c>
      <c r="AE471" s="424">
        <f>IF(OR(AE$440&lt;$C471,AE$440&lt;$H$2),0,MIN($E471-SUM($G471:AD471),$F471))</f>
        <v>0</v>
      </c>
      <c r="AF471" s="424">
        <f>IF(OR(AF$440&lt;$C471,AF$440&lt;$H$2),0,MIN($E471-SUM($G471:AE471),$F471))</f>
        <v>0</v>
      </c>
      <c r="AG471" s="424">
        <f>IF(OR(AG$440&lt;$C471,AG$440&lt;$H$2),0,MIN($E471-SUM($G471:AF471),$F471))</f>
        <v>0</v>
      </c>
      <c r="AH471" s="424">
        <f>IF(OR(AH$440&lt;$C471,AH$440&lt;$H$2),0,MIN($E471-SUM($G471:AG471),$F471))</f>
        <v>0</v>
      </c>
      <c r="AI471" s="424">
        <f>IF(OR(AI$440&lt;$C471,AI$440&lt;$H$2),0,MIN($E471-SUM($G471:AH471),$F471))</f>
        <v>0</v>
      </c>
      <c r="AJ471" s="424">
        <f>IF(OR(AJ$440&lt;$C471,AJ$440&lt;$H$2),0,MIN($E471-SUM($G471:AI471),$F471))</f>
        <v>0</v>
      </c>
      <c r="AK471" s="424">
        <f>IF(OR(AK$440&lt;$C471,AK$440&lt;$H$2),0,MIN($E471-SUM($G471:AJ471),$F471))</f>
        <v>0</v>
      </c>
    </row>
    <row r="472" spans="3:37">
      <c r="C472" s="201">
        <v>0</v>
      </c>
      <c r="D472" s="94" t="s">
        <v>134</v>
      </c>
      <c r="E472" s="424">
        <f t="shared" si="134"/>
        <v>0</v>
      </c>
      <c r="F472" s="209">
        <f t="shared" si="135"/>
        <v>0</v>
      </c>
      <c r="H472" s="424">
        <f>IF(OR(H$440&lt;$C472,H$440&lt;$H$2),0,MIN($E472-SUM($G472:G472),$F472))</f>
        <v>0</v>
      </c>
      <c r="I472" s="424">
        <f>IF(OR(I$440&lt;$C472,I$440&lt;$H$2),0,MIN($E472-SUM($G472:H472),$F472))</f>
        <v>0</v>
      </c>
      <c r="J472" s="424">
        <f>IF(OR(J$440&lt;$C472,J$440&lt;$H$2),0,MIN($E472-SUM($G472:I472),$F472))</f>
        <v>0</v>
      </c>
      <c r="K472" s="424">
        <f>IF(OR(K$440&lt;$C472,K$440&lt;$H$2),0,MIN($E472-SUM($G472:J472),$F472))</f>
        <v>0</v>
      </c>
      <c r="L472" s="424">
        <f>IF(OR(L$440&lt;$C472,L$440&lt;$H$2),0,MIN($E472-SUM($G472:K472),$F472))</f>
        <v>0</v>
      </c>
      <c r="M472" s="424">
        <f>IF(OR(M$440&lt;$C472,M$440&lt;$H$2),0,MIN($E472-SUM($G472:L472),$F472))</f>
        <v>0</v>
      </c>
      <c r="N472" s="424">
        <f>IF(OR(N$440&lt;$C472,N$440&lt;$H$2),0,MIN($E472-SUM($G472:M472),$F472))</f>
        <v>0</v>
      </c>
      <c r="O472" s="424">
        <f>IF(OR(O$440&lt;$C472,O$440&lt;$H$2),0,MIN($E472-SUM($G472:N472),$F472))</f>
        <v>0</v>
      </c>
      <c r="P472" s="424">
        <f>IF(OR(P$440&lt;$C472,P$440&lt;$H$2),0,MIN($E472-SUM($G472:O472),$F472))</f>
        <v>0</v>
      </c>
      <c r="Q472" s="424">
        <f>IF(OR(Q$440&lt;$C472,Q$440&lt;$H$2),0,MIN($E472-SUM($G472:P472),$F472))</f>
        <v>0</v>
      </c>
      <c r="R472" s="424">
        <f>IF(OR(R$440&lt;$C472,R$440&lt;$H$2),0,MIN($E472-SUM($G472:Q472),$F472))</f>
        <v>0</v>
      </c>
      <c r="S472" s="424">
        <f>IF(OR(S$440&lt;$C472,S$440&lt;$H$2),0,MIN($E472-SUM($G472:R472),$F472))</f>
        <v>0</v>
      </c>
      <c r="T472" s="424">
        <f>IF(OR(T$440&lt;$C472,T$440&lt;$H$2),0,MIN($E472-SUM($G472:S472),$F472))</f>
        <v>0</v>
      </c>
      <c r="U472" s="424">
        <f>IF(OR(U$440&lt;$C472,U$440&lt;$H$2),0,MIN($E472-SUM($G472:T472),$F472))</f>
        <v>0</v>
      </c>
      <c r="V472" s="424">
        <f>IF(OR(V$440&lt;$C472,V$440&lt;$H$2),0,MIN($E472-SUM($G472:U472),$F472))</f>
        <v>0</v>
      </c>
      <c r="W472" s="424">
        <f>IF(OR(W$440&lt;$C472,W$440&lt;$H$2),0,MIN($E472-SUM($G472:V472),$F472))</f>
        <v>0</v>
      </c>
      <c r="X472" s="424">
        <f>IF(OR(X$440&lt;$C472,X$440&lt;$H$2),0,MIN($E472-SUM($G472:W472),$F472))</f>
        <v>0</v>
      </c>
      <c r="Y472" s="424">
        <f>IF(OR(Y$440&lt;$C472,Y$440&lt;$H$2),0,MIN($E472-SUM($G472:X472),$F472))</f>
        <v>0</v>
      </c>
      <c r="Z472" s="424">
        <f>IF(OR(Z$440&lt;$C472,Z$440&lt;$H$2),0,MIN($E472-SUM($G472:Y472),$F472))</f>
        <v>0</v>
      </c>
      <c r="AA472" s="424">
        <f>IF(OR(AA$440&lt;$C472,AA$440&lt;$H$2),0,MIN($E472-SUM($G472:Z472),$F472))</f>
        <v>0</v>
      </c>
      <c r="AB472" s="424">
        <f>IF(OR(AB$440&lt;$C472,AB$440&lt;$H$2),0,MIN($E472-SUM($G472:AA472),$F472))</f>
        <v>0</v>
      </c>
      <c r="AC472" s="424">
        <f>IF(OR(AC$440&lt;$C472,AC$440&lt;$H$2),0,MIN($E472-SUM($G472:AB472),$F472))</f>
        <v>0</v>
      </c>
      <c r="AD472" s="424">
        <f>IF(OR(AD$440&lt;$C472,AD$440&lt;$H$2),0,MIN($E472-SUM($G472:AC472),$F472))</f>
        <v>0</v>
      </c>
      <c r="AE472" s="424">
        <f>IF(OR(AE$440&lt;$C472,AE$440&lt;$H$2),0,MIN($E472-SUM($G472:AD472),$F472))</f>
        <v>0</v>
      </c>
      <c r="AF472" s="424">
        <f>IF(OR(AF$440&lt;$C472,AF$440&lt;$H$2),0,MIN($E472-SUM($G472:AE472),$F472))</f>
        <v>0</v>
      </c>
      <c r="AG472" s="424">
        <f>IF(OR(AG$440&lt;$C472,AG$440&lt;$H$2),0,MIN($E472-SUM($G472:AF472),$F472))</f>
        <v>0</v>
      </c>
      <c r="AH472" s="424">
        <f>IF(OR(AH$440&lt;$C472,AH$440&lt;$H$2),0,MIN($E472-SUM($G472:AG472),$F472))</f>
        <v>0</v>
      </c>
      <c r="AI472" s="424">
        <f>IF(OR(AI$440&lt;$C472,AI$440&lt;$H$2),0,MIN($E472-SUM($G472:AH472),$F472))</f>
        <v>0</v>
      </c>
      <c r="AJ472" s="424">
        <f>IF(OR(AJ$440&lt;$C472,AJ$440&lt;$H$2),0,MIN($E472-SUM($G472:AI472),$F472))</f>
        <v>0</v>
      </c>
      <c r="AK472" s="424">
        <f>IF(OR(AK$440&lt;$C472,AK$440&lt;$H$2),0,MIN($E472-SUM($G472:AJ472),$F472))</f>
        <v>0</v>
      </c>
    </row>
    <row r="473" spans="3:37" ht="14" thickBot="1">
      <c r="C473" s="240" t="s">
        <v>543</v>
      </c>
      <c r="D473" s="348" t="s">
        <v>134</v>
      </c>
      <c r="E473" s="427">
        <f>SUM(E443:E472)</f>
        <v>0</v>
      </c>
      <c r="F473" s="427">
        <f>SUM(F443:F472)</f>
        <v>0</v>
      </c>
      <c r="G473" s="348"/>
      <c r="H473" s="427">
        <f t="shared" ref="H473:AK473" si="136">SUM(H443:H472)</f>
        <v>0</v>
      </c>
      <c r="I473" s="427">
        <f t="shared" si="136"/>
        <v>0</v>
      </c>
      <c r="J473" s="427">
        <f t="shared" si="136"/>
        <v>0</v>
      </c>
      <c r="K473" s="427">
        <f t="shared" si="136"/>
        <v>0</v>
      </c>
      <c r="L473" s="427">
        <f t="shared" si="136"/>
        <v>0</v>
      </c>
      <c r="M473" s="427">
        <f t="shared" si="136"/>
        <v>0</v>
      </c>
      <c r="N473" s="427">
        <f t="shared" si="136"/>
        <v>0</v>
      </c>
      <c r="O473" s="427">
        <f t="shared" si="136"/>
        <v>0</v>
      </c>
      <c r="P473" s="427">
        <f t="shared" si="136"/>
        <v>0</v>
      </c>
      <c r="Q473" s="427">
        <f t="shared" si="136"/>
        <v>0</v>
      </c>
      <c r="R473" s="427">
        <f t="shared" si="136"/>
        <v>0</v>
      </c>
      <c r="S473" s="427">
        <f t="shared" si="136"/>
        <v>0</v>
      </c>
      <c r="T473" s="427">
        <f t="shared" si="136"/>
        <v>0</v>
      </c>
      <c r="U473" s="427">
        <f t="shared" si="136"/>
        <v>0</v>
      </c>
      <c r="V473" s="427">
        <f t="shared" si="136"/>
        <v>0</v>
      </c>
      <c r="W473" s="427">
        <f t="shared" si="136"/>
        <v>0</v>
      </c>
      <c r="X473" s="427">
        <f t="shared" si="136"/>
        <v>0</v>
      </c>
      <c r="Y473" s="427">
        <f t="shared" si="136"/>
        <v>0</v>
      </c>
      <c r="Z473" s="427">
        <f t="shared" si="136"/>
        <v>0</v>
      </c>
      <c r="AA473" s="427">
        <f t="shared" si="136"/>
        <v>0</v>
      </c>
      <c r="AB473" s="427">
        <f t="shared" si="136"/>
        <v>0</v>
      </c>
      <c r="AC473" s="427">
        <f t="shared" si="136"/>
        <v>0</v>
      </c>
      <c r="AD473" s="427">
        <f t="shared" si="136"/>
        <v>0</v>
      </c>
      <c r="AE473" s="427">
        <f t="shared" si="136"/>
        <v>0</v>
      </c>
      <c r="AF473" s="427">
        <f t="shared" si="136"/>
        <v>0</v>
      </c>
      <c r="AG473" s="427">
        <f t="shared" si="136"/>
        <v>0</v>
      </c>
      <c r="AH473" s="427">
        <f t="shared" si="136"/>
        <v>0</v>
      </c>
      <c r="AI473" s="427">
        <f t="shared" si="136"/>
        <v>0</v>
      </c>
      <c r="AJ473" s="427">
        <f t="shared" si="136"/>
        <v>0</v>
      </c>
      <c r="AK473" s="427">
        <f t="shared" si="136"/>
        <v>0</v>
      </c>
    </row>
    <row r="474" spans="3:37" ht="14" thickTop="1"/>
    <row r="475" spans="3:37" ht="28">
      <c r="C475" s="428" t="s">
        <v>166</v>
      </c>
      <c r="D475" s="428" t="s">
        <v>88</v>
      </c>
      <c r="E475" s="428" t="s">
        <v>555</v>
      </c>
      <c r="F475" s="429" t="s">
        <v>556</v>
      </c>
      <c r="G475" s="430"/>
      <c r="H475" s="201">
        <f t="shared" ref="H475:AK476" si="137">H440</f>
        <v>46023</v>
      </c>
      <c r="I475" s="201">
        <f t="shared" si="137"/>
        <v>46389</v>
      </c>
      <c r="J475" s="201">
        <f t="shared" si="137"/>
        <v>46755</v>
      </c>
      <c r="K475" s="201">
        <f t="shared" si="137"/>
        <v>47121</v>
      </c>
      <c r="L475" s="201">
        <f t="shared" si="137"/>
        <v>47487</v>
      </c>
      <c r="M475" s="201">
        <f t="shared" si="137"/>
        <v>47853</v>
      </c>
      <c r="N475" s="201">
        <f t="shared" si="137"/>
        <v>48219</v>
      </c>
      <c r="O475" s="201">
        <f t="shared" si="137"/>
        <v>48585</v>
      </c>
      <c r="P475" s="201">
        <f t="shared" si="137"/>
        <v>48951</v>
      </c>
      <c r="Q475" s="201">
        <f t="shared" si="137"/>
        <v>49317</v>
      </c>
      <c r="R475" s="201">
        <f t="shared" si="137"/>
        <v>49683</v>
      </c>
      <c r="S475" s="201">
        <f t="shared" si="137"/>
        <v>50049</v>
      </c>
      <c r="T475" s="201">
        <f t="shared" si="137"/>
        <v>50415</v>
      </c>
      <c r="U475" s="201">
        <f t="shared" si="137"/>
        <v>50781</v>
      </c>
      <c r="V475" s="201">
        <f t="shared" si="137"/>
        <v>51147</v>
      </c>
      <c r="W475" s="201">
        <f t="shared" si="137"/>
        <v>51513</v>
      </c>
      <c r="X475" s="201">
        <f t="shared" si="137"/>
        <v>51879</v>
      </c>
      <c r="Y475" s="201">
        <f t="shared" si="137"/>
        <v>52245</v>
      </c>
      <c r="Z475" s="201">
        <f t="shared" si="137"/>
        <v>52611</v>
      </c>
      <c r="AA475" s="201">
        <f t="shared" si="137"/>
        <v>52977</v>
      </c>
      <c r="AB475" s="201">
        <f t="shared" si="137"/>
        <v>53343</v>
      </c>
      <c r="AC475" s="201">
        <f t="shared" si="137"/>
        <v>53709</v>
      </c>
      <c r="AD475" s="201">
        <f t="shared" si="137"/>
        <v>54075</v>
      </c>
      <c r="AE475" s="201">
        <f t="shared" si="137"/>
        <v>0</v>
      </c>
      <c r="AF475" s="201">
        <f t="shared" si="137"/>
        <v>0</v>
      </c>
      <c r="AG475" s="201">
        <f t="shared" si="137"/>
        <v>0</v>
      </c>
      <c r="AH475" s="201">
        <f t="shared" si="137"/>
        <v>0</v>
      </c>
      <c r="AI475" s="201">
        <f t="shared" si="137"/>
        <v>0</v>
      </c>
      <c r="AJ475" s="201">
        <f t="shared" si="137"/>
        <v>0</v>
      </c>
      <c r="AK475" s="201">
        <f t="shared" si="137"/>
        <v>0</v>
      </c>
    </row>
    <row r="476" spans="3:37">
      <c r="C476" s="430"/>
      <c r="D476" s="430"/>
      <c r="E476" s="428" t="s">
        <v>134</v>
      </c>
      <c r="F476" s="428" t="s">
        <v>134</v>
      </c>
      <c r="G476" s="430"/>
      <c r="H476" s="1141">
        <f t="shared" si="137"/>
        <v>-4</v>
      </c>
      <c r="I476" s="1141">
        <f t="shared" si="137"/>
        <v>-3</v>
      </c>
      <c r="J476" s="1141">
        <f t="shared" si="137"/>
        <v>-2</v>
      </c>
      <c r="K476" s="1141">
        <f t="shared" si="137"/>
        <v>-1</v>
      </c>
      <c r="L476" s="1141">
        <f t="shared" si="137"/>
        <v>1</v>
      </c>
      <c r="M476" s="1141">
        <f t="shared" si="137"/>
        <v>2</v>
      </c>
      <c r="N476" s="1141">
        <f t="shared" si="137"/>
        <v>3</v>
      </c>
      <c r="O476" s="1141">
        <f t="shared" si="137"/>
        <v>4</v>
      </c>
      <c r="P476" s="1141">
        <f t="shared" si="137"/>
        <v>5</v>
      </c>
      <c r="Q476" s="1141">
        <f t="shared" si="137"/>
        <v>6</v>
      </c>
      <c r="R476" s="1141">
        <f t="shared" si="137"/>
        <v>7</v>
      </c>
      <c r="S476" s="1141">
        <f t="shared" si="137"/>
        <v>8</v>
      </c>
      <c r="T476" s="1141">
        <f t="shared" si="137"/>
        <v>9</v>
      </c>
      <c r="U476" s="1141">
        <f t="shared" si="137"/>
        <v>10</v>
      </c>
      <c r="V476" s="1141">
        <f t="shared" si="137"/>
        <v>11</v>
      </c>
      <c r="W476" s="1141">
        <f t="shared" si="137"/>
        <v>12</v>
      </c>
      <c r="X476" s="1141">
        <f t="shared" si="137"/>
        <v>13</v>
      </c>
      <c r="Y476" s="1141">
        <f t="shared" si="137"/>
        <v>14</v>
      </c>
      <c r="Z476" s="1141">
        <f t="shared" si="137"/>
        <v>15</v>
      </c>
      <c r="AA476" s="1141">
        <f t="shared" si="137"/>
        <v>16</v>
      </c>
      <c r="AB476" s="1141">
        <f t="shared" si="137"/>
        <v>17</v>
      </c>
      <c r="AC476" s="1141">
        <f t="shared" si="137"/>
        <v>18</v>
      </c>
      <c r="AD476" s="1141">
        <f t="shared" si="137"/>
        <v>19</v>
      </c>
      <c r="AE476" s="1141">
        <f t="shared" si="137"/>
        <v>0</v>
      </c>
      <c r="AF476" s="1141">
        <f t="shared" si="137"/>
        <v>0</v>
      </c>
      <c r="AG476" s="1141">
        <f t="shared" si="137"/>
        <v>0</v>
      </c>
      <c r="AH476" s="1141">
        <f t="shared" si="137"/>
        <v>0</v>
      </c>
      <c r="AI476" s="1141">
        <f t="shared" si="137"/>
        <v>0</v>
      </c>
      <c r="AJ476" s="1141">
        <f t="shared" si="137"/>
        <v>0</v>
      </c>
      <c r="AK476" s="1141">
        <f t="shared" si="137"/>
        <v>0</v>
      </c>
    </row>
    <row r="477" spans="3:37">
      <c r="C477" s="191" t="str">
        <f>C89</f>
        <v xml:space="preserve">Electrical </v>
      </c>
    </row>
    <row r="478" spans="3:37">
      <c r="C478" s="201" cm="1">
        <f t="array" ref="C478:C507">TRANSPOSE(H475:AK475)</f>
        <v>46023</v>
      </c>
      <c r="D478" s="94" t="s">
        <v>134</v>
      </c>
      <c r="E478" s="424">
        <f>HLOOKUP($C478,$H$39:$AP$112,53,FALSE)</f>
        <v>0</v>
      </c>
      <c r="F478" s="209">
        <f>E478*$F$89</f>
        <v>0</v>
      </c>
      <c r="H478" s="424">
        <f>IF(OR(H$475&lt;$C478,H$475&lt;$H$2),0,MIN($E478-SUM($G478:G478),$F478))</f>
        <v>0</v>
      </c>
      <c r="I478" s="424">
        <f>IF(OR(I$475&lt;$C478,I$475&lt;$H$2),0,MIN($E478-SUM($G478:H478),$F478))</f>
        <v>0</v>
      </c>
      <c r="J478" s="424">
        <f>IF(OR(J$475&lt;$C478,J$475&lt;$H$2),0,MIN($E478-SUM($G478:I478),$F478))</f>
        <v>0</v>
      </c>
      <c r="K478" s="424">
        <f>IF(OR(K$475&lt;$C478,K$475&lt;$H$2),0,MIN($E478-SUM($G478:J478),$F478))</f>
        <v>0</v>
      </c>
      <c r="L478" s="424">
        <f>IF(OR(L$475&lt;$C478,L$475&lt;$H$2),0,MIN($E478-SUM($G478:K478),$F478))</f>
        <v>0</v>
      </c>
      <c r="M478" s="424">
        <f>IF(OR(M$475&lt;$C478,M$475&lt;$H$2),0,MIN($E478-SUM($G478:L478),$F478))</f>
        <v>0</v>
      </c>
      <c r="N478" s="424">
        <f>IF(OR(N$475&lt;$C478,N$475&lt;$H$2),0,MIN($E478-SUM($G478:M478),$F478))</f>
        <v>0</v>
      </c>
      <c r="O478" s="424">
        <f>IF(OR(O$475&lt;$C478,O$475&lt;$H$2),0,MIN($E478-SUM($G478:N478),$F478))</f>
        <v>0</v>
      </c>
      <c r="P478" s="424">
        <f>IF(OR(P$475&lt;$C478,P$475&lt;$H$2),0,MIN($E478-SUM($G478:O478),$F478))</f>
        <v>0</v>
      </c>
      <c r="Q478" s="424">
        <f>IF(OR(Q$475&lt;$C478,Q$475&lt;$H$2),0,MIN($E478-SUM($G478:P478),$F478))</f>
        <v>0</v>
      </c>
      <c r="R478" s="424">
        <f>IF(OR(R$475&lt;$C478,R$475&lt;$H$2),0,MIN($E478-SUM($G478:Q478),$F478))</f>
        <v>0</v>
      </c>
      <c r="S478" s="424">
        <f>IF(OR(S$475&lt;$C478,S$475&lt;$H$2),0,MIN($E478-SUM($G478:R478),$F478))</f>
        <v>0</v>
      </c>
      <c r="T478" s="424">
        <f>IF(OR(T$475&lt;$C478,T$475&lt;$H$2),0,MIN($E478-SUM($G478:S478),$F478))</f>
        <v>0</v>
      </c>
      <c r="U478" s="424">
        <f>IF(OR(U$475&lt;$C478,U$475&lt;$H$2),0,MIN($E478-SUM($G478:T478),$F478))</f>
        <v>0</v>
      </c>
      <c r="V478" s="424">
        <f>IF(OR(V$475&lt;$C478,V$475&lt;$H$2),0,MIN($E478-SUM($G478:U478),$F478))</f>
        <v>0</v>
      </c>
      <c r="W478" s="424">
        <f>IF(OR(W$475&lt;$C478,W$475&lt;$H$2),0,MIN($E478-SUM($G478:V478),$F478))</f>
        <v>0</v>
      </c>
      <c r="X478" s="424">
        <f>IF(OR(X$475&lt;$C478,X$475&lt;$H$2),0,MIN($E478-SUM($G478:W478),$F478))</f>
        <v>0</v>
      </c>
      <c r="Y478" s="424">
        <f>IF(OR(Y$475&lt;$C478,Y$475&lt;$H$2),0,MIN($E478-SUM($G478:X478),$F478))</f>
        <v>0</v>
      </c>
      <c r="Z478" s="424">
        <f>IF(OR(Z$475&lt;$C478,Z$475&lt;$H$2),0,MIN($E478-SUM($G478:Y478),$F478))</f>
        <v>0</v>
      </c>
      <c r="AA478" s="424">
        <f>IF(OR(AA$475&lt;$C478,AA$475&lt;$H$2),0,MIN($E478-SUM($G478:Z478),$F478))</f>
        <v>0</v>
      </c>
      <c r="AB478" s="424">
        <f>IF(OR(AB$475&lt;$C478,AB$475&lt;$H$2),0,MIN($E478-SUM($G478:AA478),$F478))</f>
        <v>0</v>
      </c>
      <c r="AC478" s="424">
        <f>IF(OR(AC$475&lt;$C478,AC$475&lt;$H$2),0,MIN($E478-SUM($G478:AB478),$F478))</f>
        <v>0</v>
      </c>
      <c r="AD478" s="424">
        <f>IF(OR(AD$475&lt;$C478,AD$475&lt;$H$2),0,MIN($E478-SUM($G478:AC478),$F478))</f>
        <v>0</v>
      </c>
      <c r="AE478" s="424">
        <f>IF(OR(AE$475&lt;$C478,AE$475&lt;$H$2),0,MIN($E478-SUM($G478:AD478),$F478))</f>
        <v>0</v>
      </c>
      <c r="AF478" s="424">
        <f>IF(OR(AF$475&lt;$C478,AF$475&lt;$H$2),0,MIN($E478-SUM($G478:AE478),$F478))</f>
        <v>0</v>
      </c>
      <c r="AG478" s="424">
        <f>IF(OR(AG$475&lt;$C478,AG$475&lt;$H$2),0,MIN($E478-SUM($G478:AF478),$F478))</f>
        <v>0</v>
      </c>
      <c r="AH478" s="424">
        <f>IF(OR(AH$475&lt;$C478,AH$475&lt;$H$2),0,MIN($E478-SUM($G478:AG478),$F478))</f>
        <v>0</v>
      </c>
      <c r="AI478" s="424">
        <f>IF(OR(AI$475&lt;$C478,AI$475&lt;$H$2),0,MIN($E478-SUM($G478:AH478),$F478))</f>
        <v>0</v>
      </c>
      <c r="AJ478" s="424">
        <f>IF(OR(AJ$475&lt;$C478,AJ$475&lt;$H$2),0,MIN($E478-SUM($G478:AI478),$F478))</f>
        <v>0</v>
      </c>
      <c r="AK478" s="424">
        <f>IF(OR(AK$475&lt;$C478,AK$475&lt;$H$2),0,MIN($E478-SUM($G478:AJ478),$F478))</f>
        <v>0</v>
      </c>
    </row>
    <row r="479" spans="3:37">
      <c r="C479" s="201">
        <v>46389</v>
      </c>
      <c r="D479" s="94" t="s">
        <v>134</v>
      </c>
      <c r="E479" s="424">
        <f t="shared" ref="E479:E507" si="138">HLOOKUP($C479,$H$39:$AP$112,53,FALSE)</f>
        <v>0</v>
      </c>
      <c r="F479" s="209">
        <f t="shared" ref="F479:F507" si="139">E479*$F$89</f>
        <v>0</v>
      </c>
      <c r="H479" s="424">
        <f>IF(OR(H$475&lt;$C479,H$475&lt;$H$2),0,MIN($E479-SUM($G479:G479),$F479))</f>
        <v>0</v>
      </c>
      <c r="I479" s="424">
        <f>IF(OR(I$475&lt;$C479,I$475&lt;$H$2),0,MIN($E479-SUM($G479:H479),$F479))</f>
        <v>0</v>
      </c>
      <c r="J479" s="424">
        <f>IF(OR(J$475&lt;$C479,J$475&lt;$H$2),0,MIN($E479-SUM($G479:I479),$F479))</f>
        <v>0</v>
      </c>
      <c r="K479" s="424">
        <f>IF(OR(K$475&lt;$C479,K$475&lt;$H$2),0,MIN($E479-SUM($G479:J479),$F479))</f>
        <v>0</v>
      </c>
      <c r="L479" s="424">
        <f>IF(OR(L$475&lt;$C479,L$475&lt;$H$2),0,MIN($E479-SUM($G479:K479),$F479))</f>
        <v>0</v>
      </c>
      <c r="M479" s="424">
        <f>IF(OR(M$475&lt;$C479,M$475&lt;$H$2),0,MIN($E479-SUM($G479:L479),$F479))</f>
        <v>0</v>
      </c>
      <c r="N479" s="424">
        <f>IF(OR(N$475&lt;$C479,N$475&lt;$H$2),0,MIN($E479-SUM($G479:M479),$F479))</f>
        <v>0</v>
      </c>
      <c r="O479" s="424">
        <f>IF(OR(O$475&lt;$C479,O$475&lt;$H$2),0,MIN($E479-SUM($G479:N479),$F479))</f>
        <v>0</v>
      </c>
      <c r="P479" s="424">
        <f>IF(OR(P$475&lt;$C479,P$475&lt;$H$2),0,MIN($E479-SUM($G479:O479),$F479))</f>
        <v>0</v>
      </c>
      <c r="Q479" s="424">
        <f>IF(OR(Q$475&lt;$C479,Q$475&lt;$H$2),0,MIN($E479-SUM($G479:P479),$F479))</f>
        <v>0</v>
      </c>
      <c r="R479" s="424">
        <f>IF(OR(R$475&lt;$C479,R$475&lt;$H$2),0,MIN($E479-SUM($G479:Q479),$F479))</f>
        <v>0</v>
      </c>
      <c r="S479" s="424">
        <f>IF(OR(S$475&lt;$C479,S$475&lt;$H$2),0,MIN($E479-SUM($G479:R479),$F479))</f>
        <v>0</v>
      </c>
      <c r="T479" s="424">
        <f>IF(OR(T$475&lt;$C479,T$475&lt;$H$2),0,MIN($E479-SUM($G479:S479),$F479))</f>
        <v>0</v>
      </c>
      <c r="U479" s="424">
        <f>IF(OR(U$475&lt;$C479,U$475&lt;$H$2),0,MIN($E479-SUM($G479:T479),$F479))</f>
        <v>0</v>
      </c>
      <c r="V479" s="424">
        <f>IF(OR(V$475&lt;$C479,V$475&lt;$H$2),0,MIN($E479-SUM($G479:U479),$F479))</f>
        <v>0</v>
      </c>
      <c r="W479" s="424">
        <f>IF(OR(W$475&lt;$C479,W$475&lt;$H$2),0,MIN($E479-SUM($G479:V479),$F479))</f>
        <v>0</v>
      </c>
      <c r="X479" s="424">
        <f>IF(OR(X$475&lt;$C479,X$475&lt;$H$2),0,MIN($E479-SUM($G479:W479),$F479))</f>
        <v>0</v>
      </c>
      <c r="Y479" s="424">
        <f>IF(OR(Y$475&lt;$C479,Y$475&lt;$H$2),0,MIN($E479-SUM($G479:X479),$F479))</f>
        <v>0</v>
      </c>
      <c r="Z479" s="424">
        <f>IF(OR(Z$475&lt;$C479,Z$475&lt;$H$2),0,MIN($E479-SUM($G479:Y479),$F479))</f>
        <v>0</v>
      </c>
      <c r="AA479" s="424">
        <f>IF(OR(AA$475&lt;$C479,AA$475&lt;$H$2),0,MIN($E479-SUM($G479:Z479),$F479))</f>
        <v>0</v>
      </c>
      <c r="AB479" s="424">
        <f>IF(OR(AB$475&lt;$C479,AB$475&lt;$H$2),0,MIN($E479-SUM($G479:AA479),$F479))</f>
        <v>0</v>
      </c>
      <c r="AC479" s="424">
        <f>IF(OR(AC$475&lt;$C479,AC$475&lt;$H$2),0,MIN($E479-SUM($G479:AB479),$F479))</f>
        <v>0</v>
      </c>
      <c r="AD479" s="424">
        <f>IF(OR(AD$475&lt;$C479,AD$475&lt;$H$2),0,MIN($E479-SUM($G479:AC479),$F479))</f>
        <v>0</v>
      </c>
      <c r="AE479" s="424">
        <f>IF(OR(AE$475&lt;$C479,AE$475&lt;$H$2),0,MIN($E479-SUM($G479:AD479),$F479))</f>
        <v>0</v>
      </c>
      <c r="AF479" s="424">
        <f>IF(OR(AF$475&lt;$C479,AF$475&lt;$H$2),0,MIN($E479-SUM($G479:AE479),$F479))</f>
        <v>0</v>
      </c>
      <c r="AG479" s="424">
        <f>IF(OR(AG$475&lt;$C479,AG$475&lt;$H$2),0,MIN($E479-SUM($G479:AF479),$F479))</f>
        <v>0</v>
      </c>
      <c r="AH479" s="424">
        <f>IF(OR(AH$475&lt;$C479,AH$475&lt;$H$2),0,MIN($E479-SUM($G479:AG479),$F479))</f>
        <v>0</v>
      </c>
      <c r="AI479" s="424">
        <f>IF(OR(AI$475&lt;$C479,AI$475&lt;$H$2),0,MIN($E479-SUM($G479:AH479),$F479))</f>
        <v>0</v>
      </c>
      <c r="AJ479" s="424">
        <f>IF(OR(AJ$475&lt;$C479,AJ$475&lt;$H$2),0,MIN($E479-SUM($G479:AI479),$F479))</f>
        <v>0</v>
      </c>
      <c r="AK479" s="424">
        <f>IF(OR(AK$475&lt;$C479,AK$475&lt;$H$2),0,MIN($E479-SUM($G479:AJ479),$F479))</f>
        <v>0</v>
      </c>
    </row>
    <row r="480" spans="3:37">
      <c r="C480" s="201">
        <v>46755</v>
      </c>
      <c r="D480" s="94" t="s">
        <v>134</v>
      </c>
      <c r="E480" s="424">
        <f t="shared" si="138"/>
        <v>0</v>
      </c>
      <c r="F480" s="209">
        <f t="shared" si="139"/>
        <v>0</v>
      </c>
      <c r="H480" s="424">
        <f>IF(OR(H$475&lt;$C480,H$475&lt;$H$2),0,MIN($E480-SUM($G480:G480),$F480))</f>
        <v>0</v>
      </c>
      <c r="I480" s="424">
        <f>IF(OR(I$475&lt;$C480,I$475&lt;$H$2),0,MIN($E480-SUM($G480:H480),$F480))</f>
        <v>0</v>
      </c>
      <c r="J480" s="424">
        <f>IF(OR(J$475&lt;$C480,J$475&lt;$H$2),0,MIN($E480-SUM($G480:I480),$F480))</f>
        <v>0</v>
      </c>
      <c r="K480" s="424">
        <f>IF(OR(K$475&lt;$C480,K$475&lt;$H$2),0,MIN($E480-SUM($G480:J480),$F480))</f>
        <v>0</v>
      </c>
      <c r="L480" s="424">
        <f>IF(OR(L$475&lt;$C480,L$475&lt;$H$2),0,MIN($E480-SUM($G480:K480),$F480))</f>
        <v>0</v>
      </c>
      <c r="M480" s="424">
        <f>IF(OR(M$475&lt;$C480,M$475&lt;$H$2),0,MIN($E480-SUM($G480:L480),$F480))</f>
        <v>0</v>
      </c>
      <c r="N480" s="424">
        <f>IF(OR(N$475&lt;$C480,N$475&lt;$H$2),0,MIN($E480-SUM($G480:M480),$F480))</f>
        <v>0</v>
      </c>
      <c r="O480" s="424">
        <f>IF(OR(O$475&lt;$C480,O$475&lt;$H$2),0,MIN($E480-SUM($G480:N480),$F480))</f>
        <v>0</v>
      </c>
      <c r="P480" s="424">
        <f>IF(OR(P$475&lt;$C480,P$475&lt;$H$2),0,MIN($E480-SUM($G480:O480),$F480))</f>
        <v>0</v>
      </c>
      <c r="Q480" s="424">
        <f>IF(OR(Q$475&lt;$C480,Q$475&lt;$H$2),0,MIN($E480-SUM($G480:P480),$F480))</f>
        <v>0</v>
      </c>
      <c r="R480" s="424">
        <f>IF(OR(R$475&lt;$C480,R$475&lt;$H$2),0,MIN($E480-SUM($G480:Q480),$F480))</f>
        <v>0</v>
      </c>
      <c r="S480" s="424">
        <f>IF(OR(S$475&lt;$C480,S$475&lt;$H$2),0,MIN($E480-SUM($G480:R480),$F480))</f>
        <v>0</v>
      </c>
      <c r="T480" s="424">
        <f>IF(OR(T$475&lt;$C480,T$475&lt;$H$2),0,MIN($E480-SUM($G480:S480),$F480))</f>
        <v>0</v>
      </c>
      <c r="U480" s="424">
        <f>IF(OR(U$475&lt;$C480,U$475&lt;$H$2),0,MIN($E480-SUM($G480:T480),$F480))</f>
        <v>0</v>
      </c>
      <c r="V480" s="424">
        <f>IF(OR(V$475&lt;$C480,V$475&lt;$H$2),0,MIN($E480-SUM($G480:U480),$F480))</f>
        <v>0</v>
      </c>
      <c r="W480" s="424">
        <f>IF(OR(W$475&lt;$C480,W$475&lt;$H$2),0,MIN($E480-SUM($G480:V480),$F480))</f>
        <v>0</v>
      </c>
      <c r="X480" s="424">
        <f>IF(OR(X$475&lt;$C480,X$475&lt;$H$2),0,MIN($E480-SUM($G480:W480),$F480))</f>
        <v>0</v>
      </c>
      <c r="Y480" s="424">
        <f>IF(OR(Y$475&lt;$C480,Y$475&lt;$H$2),0,MIN($E480-SUM($G480:X480),$F480))</f>
        <v>0</v>
      </c>
      <c r="Z480" s="424">
        <f>IF(OR(Z$475&lt;$C480,Z$475&lt;$H$2),0,MIN($E480-SUM($G480:Y480),$F480))</f>
        <v>0</v>
      </c>
      <c r="AA480" s="424">
        <f>IF(OR(AA$475&lt;$C480,AA$475&lt;$H$2),0,MIN($E480-SUM($G480:Z480),$F480))</f>
        <v>0</v>
      </c>
      <c r="AB480" s="424">
        <f>IF(OR(AB$475&lt;$C480,AB$475&lt;$H$2),0,MIN($E480-SUM($G480:AA480),$F480))</f>
        <v>0</v>
      </c>
      <c r="AC480" s="424">
        <f>IF(OR(AC$475&lt;$C480,AC$475&lt;$H$2),0,MIN($E480-SUM($G480:AB480),$F480))</f>
        <v>0</v>
      </c>
      <c r="AD480" s="424">
        <f>IF(OR(AD$475&lt;$C480,AD$475&lt;$H$2),0,MIN($E480-SUM($G480:AC480),$F480))</f>
        <v>0</v>
      </c>
      <c r="AE480" s="424">
        <f>IF(OR(AE$475&lt;$C480,AE$475&lt;$H$2),0,MIN($E480-SUM($G480:AD480),$F480))</f>
        <v>0</v>
      </c>
      <c r="AF480" s="424">
        <f>IF(OR(AF$475&lt;$C480,AF$475&lt;$H$2),0,MIN($E480-SUM($G480:AE480),$F480))</f>
        <v>0</v>
      </c>
      <c r="AG480" s="424">
        <f>IF(OR(AG$475&lt;$C480,AG$475&lt;$H$2),0,MIN($E480-SUM($G480:AF480),$F480))</f>
        <v>0</v>
      </c>
      <c r="AH480" s="424">
        <f>IF(OR(AH$475&lt;$C480,AH$475&lt;$H$2),0,MIN($E480-SUM($G480:AG480),$F480))</f>
        <v>0</v>
      </c>
      <c r="AI480" s="424">
        <f>IF(OR(AI$475&lt;$C480,AI$475&lt;$H$2),0,MIN($E480-SUM($G480:AH480),$F480))</f>
        <v>0</v>
      </c>
      <c r="AJ480" s="424">
        <f>IF(OR(AJ$475&lt;$C480,AJ$475&lt;$H$2),0,MIN($E480-SUM($G480:AI480),$F480))</f>
        <v>0</v>
      </c>
      <c r="AK480" s="424">
        <f>IF(OR(AK$475&lt;$C480,AK$475&lt;$H$2),0,MIN($E480-SUM($G480:AJ480),$F480))</f>
        <v>0</v>
      </c>
    </row>
    <row r="481" spans="3:37">
      <c r="C481" s="201">
        <v>47121</v>
      </c>
      <c r="D481" s="94" t="s">
        <v>134</v>
      </c>
      <c r="E481" s="424">
        <f t="shared" si="138"/>
        <v>0</v>
      </c>
      <c r="F481" s="209">
        <f t="shared" si="139"/>
        <v>0</v>
      </c>
      <c r="H481" s="424">
        <f>IF(OR(H$475&lt;$C481,H$475&lt;$H$2),0,MIN($E481-SUM($G481:G481),$F481))</f>
        <v>0</v>
      </c>
      <c r="I481" s="424">
        <f>IF(OR(I$475&lt;$C481,I$475&lt;$H$2),0,MIN($E481-SUM($G481:H481),$F481))</f>
        <v>0</v>
      </c>
      <c r="J481" s="424">
        <f>IF(OR(J$475&lt;$C481,J$475&lt;$H$2),0,MIN($E481-SUM($G481:I481),$F481))</f>
        <v>0</v>
      </c>
      <c r="K481" s="424">
        <f>IF(OR(K$475&lt;$C481,K$475&lt;$H$2),0,MIN($E481-SUM($G481:J481),$F481))</f>
        <v>0</v>
      </c>
      <c r="L481" s="424">
        <f>IF(OR(L$475&lt;$C481,L$475&lt;$H$2),0,MIN($E481-SUM($G481:K481),$F481))</f>
        <v>0</v>
      </c>
      <c r="M481" s="424">
        <f>IF(OR(M$475&lt;$C481,M$475&lt;$H$2),0,MIN($E481-SUM($G481:L481),$F481))</f>
        <v>0</v>
      </c>
      <c r="N481" s="424">
        <f>IF(OR(N$475&lt;$C481,N$475&lt;$H$2),0,MIN($E481-SUM($G481:M481),$F481))</f>
        <v>0</v>
      </c>
      <c r="O481" s="424">
        <f>IF(OR(O$475&lt;$C481,O$475&lt;$H$2),0,MIN($E481-SUM($G481:N481),$F481))</f>
        <v>0</v>
      </c>
      <c r="P481" s="424">
        <f>IF(OR(P$475&lt;$C481,P$475&lt;$H$2),0,MIN($E481-SUM($G481:O481),$F481))</f>
        <v>0</v>
      </c>
      <c r="Q481" s="424">
        <f>IF(OR(Q$475&lt;$C481,Q$475&lt;$H$2),0,MIN($E481-SUM($G481:P481),$F481))</f>
        <v>0</v>
      </c>
      <c r="R481" s="424">
        <f>IF(OR(R$475&lt;$C481,R$475&lt;$H$2),0,MIN($E481-SUM($G481:Q481),$F481))</f>
        <v>0</v>
      </c>
      <c r="S481" s="424">
        <f>IF(OR(S$475&lt;$C481,S$475&lt;$H$2),0,MIN($E481-SUM($G481:R481),$F481))</f>
        <v>0</v>
      </c>
      <c r="T481" s="424">
        <f>IF(OR(T$475&lt;$C481,T$475&lt;$H$2),0,MIN($E481-SUM($G481:S481),$F481))</f>
        <v>0</v>
      </c>
      <c r="U481" s="424">
        <f>IF(OR(U$475&lt;$C481,U$475&lt;$H$2),0,MIN($E481-SUM($G481:T481),$F481))</f>
        <v>0</v>
      </c>
      <c r="V481" s="424">
        <f>IF(OR(V$475&lt;$C481,V$475&lt;$H$2),0,MIN($E481-SUM($G481:U481),$F481))</f>
        <v>0</v>
      </c>
      <c r="W481" s="424">
        <f>IF(OR(W$475&lt;$C481,W$475&lt;$H$2),0,MIN($E481-SUM($G481:V481),$F481))</f>
        <v>0</v>
      </c>
      <c r="X481" s="424">
        <f>IF(OR(X$475&lt;$C481,X$475&lt;$H$2),0,MIN($E481-SUM($G481:W481),$F481))</f>
        <v>0</v>
      </c>
      <c r="Y481" s="424">
        <f>IF(OR(Y$475&lt;$C481,Y$475&lt;$H$2),0,MIN($E481-SUM($G481:X481),$F481))</f>
        <v>0</v>
      </c>
      <c r="Z481" s="424">
        <f>IF(OR(Z$475&lt;$C481,Z$475&lt;$H$2),0,MIN($E481-SUM($G481:Y481),$F481))</f>
        <v>0</v>
      </c>
      <c r="AA481" s="424">
        <f>IF(OR(AA$475&lt;$C481,AA$475&lt;$H$2),0,MIN($E481-SUM($G481:Z481),$F481))</f>
        <v>0</v>
      </c>
      <c r="AB481" s="424">
        <f>IF(OR(AB$475&lt;$C481,AB$475&lt;$H$2),0,MIN($E481-SUM($G481:AA481),$F481))</f>
        <v>0</v>
      </c>
      <c r="AC481" s="424">
        <f>IF(OR(AC$475&lt;$C481,AC$475&lt;$H$2),0,MIN($E481-SUM($G481:AB481),$F481))</f>
        <v>0</v>
      </c>
      <c r="AD481" s="424">
        <f>IF(OR(AD$475&lt;$C481,AD$475&lt;$H$2),0,MIN($E481-SUM($G481:AC481),$F481))</f>
        <v>0</v>
      </c>
      <c r="AE481" s="424">
        <f>IF(OR(AE$475&lt;$C481,AE$475&lt;$H$2),0,MIN($E481-SUM($G481:AD481),$F481))</f>
        <v>0</v>
      </c>
      <c r="AF481" s="424">
        <f>IF(OR(AF$475&lt;$C481,AF$475&lt;$H$2),0,MIN($E481-SUM($G481:AE481),$F481))</f>
        <v>0</v>
      </c>
      <c r="AG481" s="424">
        <f>IF(OR(AG$475&lt;$C481,AG$475&lt;$H$2),0,MIN($E481-SUM($G481:AF481),$F481))</f>
        <v>0</v>
      </c>
      <c r="AH481" s="424">
        <f>IF(OR(AH$475&lt;$C481,AH$475&lt;$H$2),0,MIN($E481-SUM($G481:AG481),$F481))</f>
        <v>0</v>
      </c>
      <c r="AI481" s="424">
        <f>IF(OR(AI$475&lt;$C481,AI$475&lt;$H$2),0,MIN($E481-SUM($G481:AH481),$F481))</f>
        <v>0</v>
      </c>
      <c r="AJ481" s="424">
        <f>IF(OR(AJ$475&lt;$C481,AJ$475&lt;$H$2),0,MIN($E481-SUM($G481:AI481),$F481))</f>
        <v>0</v>
      </c>
      <c r="AK481" s="424">
        <f>IF(OR(AK$475&lt;$C481,AK$475&lt;$H$2),0,MIN($E481-SUM($G481:AJ481),$F481))</f>
        <v>0</v>
      </c>
    </row>
    <row r="482" spans="3:37">
      <c r="C482" s="201">
        <v>47487</v>
      </c>
      <c r="D482" s="94" t="s">
        <v>134</v>
      </c>
      <c r="E482" s="424">
        <f t="shared" si="138"/>
        <v>0</v>
      </c>
      <c r="F482" s="209">
        <f t="shared" si="139"/>
        <v>0</v>
      </c>
      <c r="H482" s="424">
        <f>IF(OR(H$475&lt;$C482,H$475&lt;$H$2),0,MIN($E482-SUM($G482:G482),$F482))</f>
        <v>0</v>
      </c>
      <c r="I482" s="424">
        <f>IF(OR(I$475&lt;$C482,I$475&lt;$H$2),0,MIN($E482-SUM($G482:H482),$F482))</f>
        <v>0</v>
      </c>
      <c r="J482" s="424">
        <f>IF(OR(J$475&lt;$C482,J$475&lt;$H$2),0,MIN($E482-SUM($G482:I482),$F482))</f>
        <v>0</v>
      </c>
      <c r="K482" s="424">
        <f>IF(OR(K$475&lt;$C482,K$475&lt;$H$2),0,MIN($E482-SUM($G482:J482),$F482))</f>
        <v>0</v>
      </c>
      <c r="L482" s="424">
        <f>IF(OR(L$475&lt;$C482,L$475&lt;$H$2),0,MIN($E482-SUM($G482:K482),$F482))</f>
        <v>0</v>
      </c>
      <c r="M482" s="424">
        <f>IF(OR(M$475&lt;$C482,M$475&lt;$H$2),0,MIN($E482-SUM($G482:L482),$F482))</f>
        <v>0</v>
      </c>
      <c r="N482" s="424">
        <f>IF(OR(N$475&lt;$C482,N$475&lt;$H$2),0,MIN($E482-SUM($G482:M482),$F482))</f>
        <v>0</v>
      </c>
      <c r="O482" s="424">
        <f>IF(OR(O$475&lt;$C482,O$475&lt;$H$2),0,MIN($E482-SUM($G482:N482),$F482))</f>
        <v>0</v>
      </c>
      <c r="P482" s="424">
        <f>IF(OR(P$475&lt;$C482,P$475&lt;$H$2),0,MIN($E482-SUM($G482:O482),$F482))</f>
        <v>0</v>
      </c>
      <c r="Q482" s="424">
        <f>IF(OR(Q$475&lt;$C482,Q$475&lt;$H$2),0,MIN($E482-SUM($G482:P482),$F482))</f>
        <v>0</v>
      </c>
      <c r="R482" s="424">
        <f>IF(OR(R$475&lt;$C482,R$475&lt;$H$2),0,MIN($E482-SUM($G482:Q482),$F482))</f>
        <v>0</v>
      </c>
      <c r="S482" s="424">
        <f>IF(OR(S$475&lt;$C482,S$475&lt;$H$2),0,MIN($E482-SUM($G482:R482),$F482))</f>
        <v>0</v>
      </c>
      <c r="T482" s="424">
        <f>IF(OR(T$475&lt;$C482,T$475&lt;$H$2),0,MIN($E482-SUM($G482:S482),$F482))</f>
        <v>0</v>
      </c>
      <c r="U482" s="424">
        <f>IF(OR(U$475&lt;$C482,U$475&lt;$H$2),0,MIN($E482-SUM($G482:T482),$F482))</f>
        <v>0</v>
      </c>
      <c r="V482" s="424">
        <f>IF(OR(V$475&lt;$C482,V$475&lt;$H$2),0,MIN($E482-SUM($G482:U482),$F482))</f>
        <v>0</v>
      </c>
      <c r="W482" s="424">
        <f>IF(OR(W$475&lt;$C482,W$475&lt;$H$2),0,MIN($E482-SUM($G482:V482),$F482))</f>
        <v>0</v>
      </c>
      <c r="X482" s="424">
        <f>IF(OR(X$475&lt;$C482,X$475&lt;$H$2),0,MIN($E482-SUM($G482:W482),$F482))</f>
        <v>0</v>
      </c>
      <c r="Y482" s="424">
        <f>IF(OR(Y$475&lt;$C482,Y$475&lt;$H$2),0,MIN($E482-SUM($G482:X482),$F482))</f>
        <v>0</v>
      </c>
      <c r="Z482" s="424">
        <f>IF(OR(Z$475&lt;$C482,Z$475&lt;$H$2),0,MIN($E482-SUM($G482:Y482),$F482))</f>
        <v>0</v>
      </c>
      <c r="AA482" s="424">
        <f>IF(OR(AA$475&lt;$C482,AA$475&lt;$H$2),0,MIN($E482-SUM($G482:Z482),$F482))</f>
        <v>0</v>
      </c>
      <c r="AB482" s="424">
        <f>IF(OR(AB$475&lt;$C482,AB$475&lt;$H$2),0,MIN($E482-SUM($G482:AA482),$F482))</f>
        <v>0</v>
      </c>
      <c r="AC482" s="424">
        <f>IF(OR(AC$475&lt;$C482,AC$475&lt;$H$2),0,MIN($E482-SUM($G482:AB482),$F482))</f>
        <v>0</v>
      </c>
      <c r="AD482" s="424">
        <f>IF(OR(AD$475&lt;$C482,AD$475&lt;$H$2),0,MIN($E482-SUM($G482:AC482),$F482))</f>
        <v>0</v>
      </c>
      <c r="AE482" s="424">
        <f>IF(OR(AE$475&lt;$C482,AE$475&lt;$H$2),0,MIN($E482-SUM($G482:AD482),$F482))</f>
        <v>0</v>
      </c>
      <c r="AF482" s="424">
        <f>IF(OR(AF$475&lt;$C482,AF$475&lt;$H$2),0,MIN($E482-SUM($G482:AE482),$F482))</f>
        <v>0</v>
      </c>
      <c r="AG482" s="424">
        <f>IF(OR(AG$475&lt;$C482,AG$475&lt;$H$2),0,MIN($E482-SUM($G482:AF482),$F482))</f>
        <v>0</v>
      </c>
      <c r="AH482" s="424">
        <f>IF(OR(AH$475&lt;$C482,AH$475&lt;$H$2),0,MIN($E482-SUM($G482:AG482),$F482))</f>
        <v>0</v>
      </c>
      <c r="AI482" s="424">
        <f>IF(OR(AI$475&lt;$C482,AI$475&lt;$H$2),0,MIN($E482-SUM($G482:AH482),$F482))</f>
        <v>0</v>
      </c>
      <c r="AJ482" s="424">
        <f>IF(OR(AJ$475&lt;$C482,AJ$475&lt;$H$2),0,MIN($E482-SUM($G482:AI482),$F482))</f>
        <v>0</v>
      </c>
      <c r="AK482" s="424">
        <f>IF(OR(AK$475&lt;$C482,AK$475&lt;$H$2),0,MIN($E482-SUM($G482:AJ482),$F482))</f>
        <v>0</v>
      </c>
    </row>
    <row r="483" spans="3:37">
      <c r="C483" s="201">
        <v>47853</v>
      </c>
      <c r="D483" s="94" t="s">
        <v>134</v>
      </c>
      <c r="E483" s="424">
        <f t="shared" si="138"/>
        <v>0</v>
      </c>
      <c r="F483" s="209">
        <f t="shared" si="139"/>
        <v>0</v>
      </c>
      <c r="H483" s="424">
        <f>IF(OR(H$475&lt;$C483,H$475&lt;$H$2),0,MIN($E483-SUM($G483:G483),$F483))</f>
        <v>0</v>
      </c>
      <c r="I483" s="424">
        <f>IF(OR(I$475&lt;$C483,I$475&lt;$H$2),0,MIN($E483-SUM($G483:H483),$F483))</f>
        <v>0</v>
      </c>
      <c r="J483" s="424">
        <f>IF(OR(J$475&lt;$C483,J$475&lt;$H$2),0,MIN($E483-SUM($G483:I483),$F483))</f>
        <v>0</v>
      </c>
      <c r="K483" s="424">
        <f>IF(OR(K$475&lt;$C483,K$475&lt;$H$2),0,MIN($E483-SUM($G483:J483),$F483))</f>
        <v>0</v>
      </c>
      <c r="L483" s="424">
        <f>IF(OR(L$475&lt;$C483,L$475&lt;$H$2),0,MIN($E483-SUM($G483:K483),$F483))</f>
        <v>0</v>
      </c>
      <c r="M483" s="424">
        <f>IF(OR(M$475&lt;$C483,M$475&lt;$H$2),0,MIN($E483-SUM($G483:L483),$F483))</f>
        <v>0</v>
      </c>
      <c r="N483" s="424">
        <f>IF(OR(N$475&lt;$C483,N$475&lt;$H$2),0,MIN($E483-SUM($G483:M483),$F483))</f>
        <v>0</v>
      </c>
      <c r="O483" s="424">
        <f>IF(OR(O$475&lt;$C483,O$475&lt;$H$2),0,MIN($E483-SUM($G483:N483),$F483))</f>
        <v>0</v>
      </c>
      <c r="P483" s="424">
        <f>IF(OR(P$475&lt;$C483,P$475&lt;$H$2),0,MIN($E483-SUM($G483:O483),$F483))</f>
        <v>0</v>
      </c>
      <c r="Q483" s="424">
        <f>IF(OR(Q$475&lt;$C483,Q$475&lt;$H$2),0,MIN($E483-SUM($G483:P483),$F483))</f>
        <v>0</v>
      </c>
      <c r="R483" s="424">
        <f>IF(OR(R$475&lt;$C483,R$475&lt;$H$2),0,MIN($E483-SUM($G483:Q483),$F483))</f>
        <v>0</v>
      </c>
      <c r="S483" s="424">
        <f>IF(OR(S$475&lt;$C483,S$475&lt;$H$2),0,MIN($E483-SUM($G483:R483),$F483))</f>
        <v>0</v>
      </c>
      <c r="T483" s="424">
        <f>IF(OR(T$475&lt;$C483,T$475&lt;$H$2),0,MIN($E483-SUM($G483:S483),$F483))</f>
        <v>0</v>
      </c>
      <c r="U483" s="424">
        <f>IF(OR(U$475&lt;$C483,U$475&lt;$H$2),0,MIN($E483-SUM($G483:T483),$F483))</f>
        <v>0</v>
      </c>
      <c r="V483" s="424">
        <f>IF(OR(V$475&lt;$C483,V$475&lt;$H$2),0,MIN($E483-SUM($G483:U483),$F483))</f>
        <v>0</v>
      </c>
      <c r="W483" s="424">
        <f>IF(OR(W$475&lt;$C483,W$475&lt;$H$2),0,MIN($E483-SUM($G483:V483),$F483))</f>
        <v>0</v>
      </c>
      <c r="X483" s="424">
        <f>IF(OR(X$475&lt;$C483,X$475&lt;$H$2),0,MIN($E483-SUM($G483:W483),$F483))</f>
        <v>0</v>
      </c>
      <c r="Y483" s="424">
        <f>IF(OR(Y$475&lt;$C483,Y$475&lt;$H$2),0,MIN($E483-SUM($G483:X483),$F483))</f>
        <v>0</v>
      </c>
      <c r="Z483" s="424">
        <f>IF(OR(Z$475&lt;$C483,Z$475&lt;$H$2),0,MIN($E483-SUM($G483:Y483),$F483))</f>
        <v>0</v>
      </c>
      <c r="AA483" s="424">
        <f>IF(OR(AA$475&lt;$C483,AA$475&lt;$H$2),0,MIN($E483-SUM($G483:Z483),$F483))</f>
        <v>0</v>
      </c>
      <c r="AB483" s="424">
        <f>IF(OR(AB$475&lt;$C483,AB$475&lt;$H$2),0,MIN($E483-SUM($G483:AA483),$F483))</f>
        <v>0</v>
      </c>
      <c r="AC483" s="424">
        <f>IF(OR(AC$475&lt;$C483,AC$475&lt;$H$2),0,MIN($E483-SUM($G483:AB483),$F483))</f>
        <v>0</v>
      </c>
      <c r="AD483" s="424">
        <f>IF(OR(AD$475&lt;$C483,AD$475&lt;$H$2),0,MIN($E483-SUM($G483:AC483),$F483))</f>
        <v>0</v>
      </c>
      <c r="AE483" s="424">
        <f>IF(OR(AE$475&lt;$C483,AE$475&lt;$H$2),0,MIN($E483-SUM($G483:AD483),$F483))</f>
        <v>0</v>
      </c>
      <c r="AF483" s="424">
        <f>IF(OR(AF$475&lt;$C483,AF$475&lt;$H$2),0,MIN($E483-SUM($G483:AE483),$F483))</f>
        <v>0</v>
      </c>
      <c r="AG483" s="424">
        <f>IF(OR(AG$475&lt;$C483,AG$475&lt;$H$2),0,MIN($E483-SUM($G483:AF483),$F483))</f>
        <v>0</v>
      </c>
      <c r="AH483" s="424">
        <f>IF(OR(AH$475&lt;$C483,AH$475&lt;$H$2),0,MIN($E483-SUM($G483:AG483),$F483))</f>
        <v>0</v>
      </c>
      <c r="AI483" s="424">
        <f>IF(OR(AI$475&lt;$C483,AI$475&lt;$H$2),0,MIN($E483-SUM($G483:AH483),$F483))</f>
        <v>0</v>
      </c>
      <c r="AJ483" s="424">
        <f>IF(OR(AJ$475&lt;$C483,AJ$475&lt;$H$2),0,MIN($E483-SUM($G483:AI483),$F483))</f>
        <v>0</v>
      </c>
      <c r="AK483" s="424">
        <f>IF(OR(AK$475&lt;$C483,AK$475&lt;$H$2),0,MIN($E483-SUM($G483:AJ483),$F483))</f>
        <v>0</v>
      </c>
    </row>
    <row r="484" spans="3:37">
      <c r="C484" s="201">
        <v>48219</v>
      </c>
      <c r="D484" s="94" t="s">
        <v>134</v>
      </c>
      <c r="E484" s="424">
        <f t="shared" si="138"/>
        <v>0</v>
      </c>
      <c r="F484" s="209">
        <f t="shared" si="139"/>
        <v>0</v>
      </c>
      <c r="H484" s="424">
        <f>IF(OR(H$475&lt;$C484,H$475&lt;$H$2),0,MIN($E484-SUM($G484:G484),$F484))</f>
        <v>0</v>
      </c>
      <c r="I484" s="424">
        <f>IF(OR(I$475&lt;$C484,I$475&lt;$H$2),0,MIN($E484-SUM($G484:H484),$F484))</f>
        <v>0</v>
      </c>
      <c r="J484" s="424">
        <f>IF(OR(J$475&lt;$C484,J$475&lt;$H$2),0,MIN($E484-SUM($G484:I484),$F484))</f>
        <v>0</v>
      </c>
      <c r="K484" s="424">
        <f>IF(OR(K$475&lt;$C484,K$475&lt;$H$2),0,MIN($E484-SUM($G484:J484),$F484))</f>
        <v>0</v>
      </c>
      <c r="L484" s="424">
        <f>IF(OR(L$475&lt;$C484,L$475&lt;$H$2),0,MIN($E484-SUM($G484:K484),$F484))</f>
        <v>0</v>
      </c>
      <c r="M484" s="424">
        <f>IF(OR(M$475&lt;$C484,M$475&lt;$H$2),0,MIN($E484-SUM($G484:L484),$F484))</f>
        <v>0</v>
      </c>
      <c r="N484" s="424">
        <f>IF(OR(N$475&lt;$C484,N$475&lt;$H$2),0,MIN($E484-SUM($G484:M484),$F484))</f>
        <v>0</v>
      </c>
      <c r="O484" s="424">
        <f>IF(OR(O$475&lt;$C484,O$475&lt;$H$2),0,MIN($E484-SUM($G484:N484),$F484))</f>
        <v>0</v>
      </c>
      <c r="P484" s="424">
        <f>IF(OR(P$475&lt;$C484,P$475&lt;$H$2),0,MIN($E484-SUM($G484:O484),$F484))</f>
        <v>0</v>
      </c>
      <c r="Q484" s="424">
        <f>IF(OR(Q$475&lt;$C484,Q$475&lt;$H$2),0,MIN($E484-SUM($G484:P484),$F484))</f>
        <v>0</v>
      </c>
      <c r="R484" s="424">
        <f>IF(OR(R$475&lt;$C484,R$475&lt;$H$2),0,MIN($E484-SUM($G484:Q484),$F484))</f>
        <v>0</v>
      </c>
      <c r="S484" s="424">
        <f>IF(OR(S$475&lt;$C484,S$475&lt;$H$2),0,MIN($E484-SUM($G484:R484),$F484))</f>
        <v>0</v>
      </c>
      <c r="T484" s="424">
        <f>IF(OR(T$475&lt;$C484,T$475&lt;$H$2),0,MIN($E484-SUM($G484:S484),$F484))</f>
        <v>0</v>
      </c>
      <c r="U484" s="424">
        <f>IF(OR(U$475&lt;$C484,U$475&lt;$H$2),0,MIN($E484-SUM($G484:T484),$F484))</f>
        <v>0</v>
      </c>
      <c r="V484" s="424">
        <f>IF(OR(V$475&lt;$C484,V$475&lt;$H$2),0,MIN($E484-SUM($G484:U484),$F484))</f>
        <v>0</v>
      </c>
      <c r="W484" s="424">
        <f>IF(OR(W$475&lt;$C484,W$475&lt;$H$2),0,MIN($E484-SUM($G484:V484),$F484))</f>
        <v>0</v>
      </c>
      <c r="X484" s="424">
        <f>IF(OR(X$475&lt;$C484,X$475&lt;$H$2),0,MIN($E484-SUM($G484:W484),$F484))</f>
        <v>0</v>
      </c>
      <c r="Y484" s="424">
        <f>IF(OR(Y$475&lt;$C484,Y$475&lt;$H$2),0,MIN($E484-SUM($G484:X484),$F484))</f>
        <v>0</v>
      </c>
      <c r="Z484" s="424">
        <f>IF(OR(Z$475&lt;$C484,Z$475&lt;$H$2),0,MIN($E484-SUM($G484:Y484),$F484))</f>
        <v>0</v>
      </c>
      <c r="AA484" s="424">
        <f>IF(OR(AA$475&lt;$C484,AA$475&lt;$H$2),0,MIN($E484-SUM($G484:Z484),$F484))</f>
        <v>0</v>
      </c>
      <c r="AB484" s="424">
        <f>IF(OR(AB$475&lt;$C484,AB$475&lt;$H$2),0,MIN($E484-SUM($G484:AA484),$F484))</f>
        <v>0</v>
      </c>
      <c r="AC484" s="424">
        <f>IF(OR(AC$475&lt;$C484,AC$475&lt;$H$2),0,MIN($E484-SUM($G484:AB484),$F484))</f>
        <v>0</v>
      </c>
      <c r="AD484" s="424">
        <f>IF(OR(AD$475&lt;$C484,AD$475&lt;$H$2),0,MIN($E484-SUM($G484:AC484),$F484))</f>
        <v>0</v>
      </c>
      <c r="AE484" s="424">
        <f>IF(OR(AE$475&lt;$C484,AE$475&lt;$H$2),0,MIN($E484-SUM($G484:AD484),$F484))</f>
        <v>0</v>
      </c>
      <c r="AF484" s="424">
        <f>IF(OR(AF$475&lt;$C484,AF$475&lt;$H$2),0,MIN($E484-SUM($G484:AE484),$F484))</f>
        <v>0</v>
      </c>
      <c r="AG484" s="424">
        <f>IF(OR(AG$475&lt;$C484,AG$475&lt;$H$2),0,MIN($E484-SUM($G484:AF484),$F484))</f>
        <v>0</v>
      </c>
      <c r="AH484" s="424">
        <f>IF(OR(AH$475&lt;$C484,AH$475&lt;$H$2),0,MIN($E484-SUM($G484:AG484),$F484))</f>
        <v>0</v>
      </c>
      <c r="AI484" s="424">
        <f>IF(OR(AI$475&lt;$C484,AI$475&lt;$H$2),0,MIN($E484-SUM($G484:AH484),$F484))</f>
        <v>0</v>
      </c>
      <c r="AJ484" s="424">
        <f>IF(OR(AJ$475&lt;$C484,AJ$475&lt;$H$2),0,MIN($E484-SUM($G484:AI484),$F484))</f>
        <v>0</v>
      </c>
      <c r="AK484" s="424">
        <f>IF(OR(AK$475&lt;$C484,AK$475&lt;$H$2),0,MIN($E484-SUM($G484:AJ484),$F484))</f>
        <v>0</v>
      </c>
    </row>
    <row r="485" spans="3:37">
      <c r="C485" s="201">
        <v>48585</v>
      </c>
      <c r="D485" s="94" t="s">
        <v>134</v>
      </c>
      <c r="E485" s="424">
        <f t="shared" si="138"/>
        <v>0</v>
      </c>
      <c r="F485" s="209">
        <f t="shared" si="139"/>
        <v>0</v>
      </c>
      <c r="H485" s="424">
        <f>IF(OR(H$475&lt;$C485,H$475&lt;$H$2),0,MIN($E485-SUM($G485:G485),$F485))</f>
        <v>0</v>
      </c>
      <c r="I485" s="424">
        <f>IF(OR(I$475&lt;$C485,I$475&lt;$H$2),0,MIN($E485-SUM($G485:H485),$F485))</f>
        <v>0</v>
      </c>
      <c r="J485" s="424">
        <f>IF(OR(J$475&lt;$C485,J$475&lt;$H$2),0,MIN($E485-SUM($G485:I485),$F485))</f>
        <v>0</v>
      </c>
      <c r="K485" s="424">
        <f>IF(OR(K$475&lt;$C485,K$475&lt;$H$2),0,MIN($E485-SUM($G485:J485),$F485))</f>
        <v>0</v>
      </c>
      <c r="L485" s="424">
        <f>IF(OR(L$475&lt;$C485,L$475&lt;$H$2),0,MIN($E485-SUM($G485:K485),$F485))</f>
        <v>0</v>
      </c>
      <c r="M485" s="424">
        <f>IF(OR(M$475&lt;$C485,M$475&lt;$H$2),0,MIN($E485-SUM($G485:L485),$F485))</f>
        <v>0</v>
      </c>
      <c r="N485" s="424">
        <f>IF(OR(N$475&lt;$C485,N$475&lt;$H$2),0,MIN($E485-SUM($G485:M485),$F485))</f>
        <v>0</v>
      </c>
      <c r="O485" s="424">
        <f>IF(OR(O$475&lt;$C485,O$475&lt;$H$2),0,MIN($E485-SUM($G485:N485),$F485))</f>
        <v>0</v>
      </c>
      <c r="P485" s="424">
        <f>IF(OR(P$475&lt;$C485,P$475&lt;$H$2),0,MIN($E485-SUM($G485:O485),$F485))</f>
        <v>0</v>
      </c>
      <c r="Q485" s="424">
        <f>IF(OR(Q$475&lt;$C485,Q$475&lt;$H$2),0,MIN($E485-SUM($G485:P485),$F485))</f>
        <v>0</v>
      </c>
      <c r="R485" s="424">
        <f>IF(OR(R$475&lt;$C485,R$475&lt;$H$2),0,MIN($E485-SUM($G485:Q485),$F485))</f>
        <v>0</v>
      </c>
      <c r="S485" s="424">
        <f>IF(OR(S$475&lt;$C485,S$475&lt;$H$2),0,MIN($E485-SUM($G485:R485),$F485))</f>
        <v>0</v>
      </c>
      <c r="T485" s="424">
        <f>IF(OR(T$475&lt;$C485,T$475&lt;$H$2),0,MIN($E485-SUM($G485:S485),$F485))</f>
        <v>0</v>
      </c>
      <c r="U485" s="424">
        <f>IF(OR(U$475&lt;$C485,U$475&lt;$H$2),0,MIN($E485-SUM($G485:T485),$F485))</f>
        <v>0</v>
      </c>
      <c r="V485" s="424">
        <f>IF(OR(V$475&lt;$C485,V$475&lt;$H$2),0,MIN($E485-SUM($G485:U485),$F485))</f>
        <v>0</v>
      </c>
      <c r="W485" s="424">
        <f>IF(OR(W$475&lt;$C485,W$475&lt;$H$2),0,MIN($E485-SUM($G485:V485),$F485))</f>
        <v>0</v>
      </c>
      <c r="X485" s="424">
        <f>IF(OR(X$475&lt;$C485,X$475&lt;$H$2),0,MIN($E485-SUM($G485:W485),$F485))</f>
        <v>0</v>
      </c>
      <c r="Y485" s="424">
        <f>IF(OR(Y$475&lt;$C485,Y$475&lt;$H$2),0,MIN($E485-SUM($G485:X485),$F485))</f>
        <v>0</v>
      </c>
      <c r="Z485" s="424">
        <f>IF(OR(Z$475&lt;$C485,Z$475&lt;$H$2),0,MIN($E485-SUM($G485:Y485),$F485))</f>
        <v>0</v>
      </c>
      <c r="AA485" s="424">
        <f>IF(OR(AA$475&lt;$C485,AA$475&lt;$H$2),0,MIN($E485-SUM($G485:Z485),$F485))</f>
        <v>0</v>
      </c>
      <c r="AB485" s="424">
        <f>IF(OR(AB$475&lt;$C485,AB$475&lt;$H$2),0,MIN($E485-SUM($G485:AA485),$F485))</f>
        <v>0</v>
      </c>
      <c r="AC485" s="424">
        <f>IF(OR(AC$475&lt;$C485,AC$475&lt;$H$2),0,MIN($E485-SUM($G485:AB485),$F485))</f>
        <v>0</v>
      </c>
      <c r="AD485" s="424">
        <f>IF(OR(AD$475&lt;$C485,AD$475&lt;$H$2),0,MIN($E485-SUM($G485:AC485),$F485))</f>
        <v>0</v>
      </c>
      <c r="AE485" s="424">
        <f>IF(OR(AE$475&lt;$C485,AE$475&lt;$H$2),0,MIN($E485-SUM($G485:AD485),$F485))</f>
        <v>0</v>
      </c>
      <c r="AF485" s="424">
        <f>IF(OR(AF$475&lt;$C485,AF$475&lt;$H$2),0,MIN($E485-SUM($G485:AE485),$F485))</f>
        <v>0</v>
      </c>
      <c r="AG485" s="424">
        <f>IF(OR(AG$475&lt;$C485,AG$475&lt;$H$2),0,MIN($E485-SUM($G485:AF485),$F485))</f>
        <v>0</v>
      </c>
      <c r="AH485" s="424">
        <f>IF(OR(AH$475&lt;$C485,AH$475&lt;$H$2),0,MIN($E485-SUM($G485:AG485),$F485))</f>
        <v>0</v>
      </c>
      <c r="AI485" s="424">
        <f>IF(OR(AI$475&lt;$C485,AI$475&lt;$H$2),0,MIN($E485-SUM($G485:AH485),$F485))</f>
        <v>0</v>
      </c>
      <c r="AJ485" s="424">
        <f>IF(OR(AJ$475&lt;$C485,AJ$475&lt;$H$2),0,MIN($E485-SUM($G485:AI485),$F485))</f>
        <v>0</v>
      </c>
      <c r="AK485" s="424">
        <f>IF(OR(AK$475&lt;$C485,AK$475&lt;$H$2),0,MIN($E485-SUM($G485:AJ485),$F485))</f>
        <v>0</v>
      </c>
    </row>
    <row r="486" spans="3:37">
      <c r="C486" s="201">
        <v>48951</v>
      </c>
      <c r="D486" s="94" t="s">
        <v>134</v>
      </c>
      <c r="E486" s="424">
        <f t="shared" si="138"/>
        <v>0</v>
      </c>
      <c r="F486" s="209">
        <f t="shared" si="139"/>
        <v>0</v>
      </c>
      <c r="H486" s="424">
        <f>IF(OR(H$475&lt;$C486,H$475&lt;$H$2),0,MIN($E486-SUM($G486:G486),$F486))</f>
        <v>0</v>
      </c>
      <c r="I486" s="424">
        <f>IF(OR(I$475&lt;$C486,I$475&lt;$H$2),0,MIN($E486-SUM($G486:H486),$F486))</f>
        <v>0</v>
      </c>
      <c r="J486" s="424">
        <f>IF(OR(J$475&lt;$C486,J$475&lt;$H$2),0,MIN($E486-SUM($G486:I486),$F486))</f>
        <v>0</v>
      </c>
      <c r="K486" s="424">
        <f>IF(OR(K$475&lt;$C486,K$475&lt;$H$2),0,MIN($E486-SUM($G486:J486),$F486))</f>
        <v>0</v>
      </c>
      <c r="L486" s="424">
        <f>IF(OR(L$475&lt;$C486,L$475&lt;$H$2),0,MIN($E486-SUM($G486:K486),$F486))</f>
        <v>0</v>
      </c>
      <c r="M486" s="424">
        <f>IF(OR(M$475&lt;$C486,M$475&lt;$H$2),0,MIN($E486-SUM($G486:L486),$F486))</f>
        <v>0</v>
      </c>
      <c r="N486" s="424">
        <f>IF(OR(N$475&lt;$C486,N$475&lt;$H$2),0,MIN($E486-SUM($G486:M486),$F486))</f>
        <v>0</v>
      </c>
      <c r="O486" s="424">
        <f>IF(OR(O$475&lt;$C486,O$475&lt;$H$2),0,MIN($E486-SUM($G486:N486),$F486))</f>
        <v>0</v>
      </c>
      <c r="P486" s="424">
        <f>IF(OR(P$475&lt;$C486,P$475&lt;$H$2),0,MIN($E486-SUM($G486:O486),$F486))</f>
        <v>0</v>
      </c>
      <c r="Q486" s="424">
        <f>IF(OR(Q$475&lt;$C486,Q$475&lt;$H$2),0,MIN($E486-SUM($G486:P486),$F486))</f>
        <v>0</v>
      </c>
      <c r="R486" s="424">
        <f>IF(OR(R$475&lt;$C486,R$475&lt;$H$2),0,MIN($E486-SUM($G486:Q486),$F486))</f>
        <v>0</v>
      </c>
      <c r="S486" s="424">
        <f>IF(OR(S$475&lt;$C486,S$475&lt;$H$2),0,MIN($E486-SUM($G486:R486),$F486))</f>
        <v>0</v>
      </c>
      <c r="T486" s="424">
        <f>IF(OR(T$475&lt;$C486,T$475&lt;$H$2),0,MIN($E486-SUM($G486:S486),$F486))</f>
        <v>0</v>
      </c>
      <c r="U486" s="424">
        <f>IF(OR(U$475&lt;$C486,U$475&lt;$H$2),0,MIN($E486-SUM($G486:T486),$F486))</f>
        <v>0</v>
      </c>
      <c r="V486" s="424">
        <f>IF(OR(V$475&lt;$C486,V$475&lt;$H$2),0,MIN($E486-SUM($G486:U486),$F486))</f>
        <v>0</v>
      </c>
      <c r="W486" s="424">
        <f>IF(OR(W$475&lt;$C486,W$475&lt;$H$2),0,MIN($E486-SUM($G486:V486),$F486))</f>
        <v>0</v>
      </c>
      <c r="X486" s="424">
        <f>IF(OR(X$475&lt;$C486,X$475&lt;$H$2),0,MIN($E486-SUM($G486:W486),$F486))</f>
        <v>0</v>
      </c>
      <c r="Y486" s="424">
        <f>IF(OR(Y$475&lt;$C486,Y$475&lt;$H$2),0,MIN($E486-SUM($G486:X486),$F486))</f>
        <v>0</v>
      </c>
      <c r="Z486" s="424">
        <f>IF(OR(Z$475&lt;$C486,Z$475&lt;$H$2),0,MIN($E486-SUM($G486:Y486),$F486))</f>
        <v>0</v>
      </c>
      <c r="AA486" s="424">
        <f>IF(OR(AA$475&lt;$C486,AA$475&lt;$H$2),0,MIN($E486-SUM($G486:Z486),$F486))</f>
        <v>0</v>
      </c>
      <c r="AB486" s="424">
        <f>IF(OR(AB$475&lt;$C486,AB$475&lt;$H$2),0,MIN($E486-SUM($G486:AA486),$F486))</f>
        <v>0</v>
      </c>
      <c r="AC486" s="424">
        <f>IF(OR(AC$475&lt;$C486,AC$475&lt;$H$2),0,MIN($E486-SUM($G486:AB486),$F486))</f>
        <v>0</v>
      </c>
      <c r="AD486" s="424">
        <f>IF(OR(AD$475&lt;$C486,AD$475&lt;$H$2),0,MIN($E486-SUM($G486:AC486),$F486))</f>
        <v>0</v>
      </c>
      <c r="AE486" s="424">
        <f>IF(OR(AE$475&lt;$C486,AE$475&lt;$H$2),0,MIN($E486-SUM($G486:AD486),$F486))</f>
        <v>0</v>
      </c>
      <c r="AF486" s="424">
        <f>IF(OR(AF$475&lt;$C486,AF$475&lt;$H$2),0,MIN($E486-SUM($G486:AE486),$F486))</f>
        <v>0</v>
      </c>
      <c r="AG486" s="424">
        <f>IF(OR(AG$475&lt;$C486,AG$475&lt;$H$2),0,MIN($E486-SUM($G486:AF486),$F486))</f>
        <v>0</v>
      </c>
      <c r="AH486" s="424">
        <f>IF(OR(AH$475&lt;$C486,AH$475&lt;$H$2),0,MIN($E486-SUM($G486:AG486),$F486))</f>
        <v>0</v>
      </c>
      <c r="AI486" s="424">
        <f>IF(OR(AI$475&lt;$C486,AI$475&lt;$H$2),0,MIN($E486-SUM($G486:AH486),$F486))</f>
        <v>0</v>
      </c>
      <c r="AJ486" s="424">
        <f>IF(OR(AJ$475&lt;$C486,AJ$475&lt;$H$2),0,MIN($E486-SUM($G486:AI486),$F486))</f>
        <v>0</v>
      </c>
      <c r="AK486" s="424">
        <f>IF(OR(AK$475&lt;$C486,AK$475&lt;$H$2),0,MIN($E486-SUM($G486:AJ486),$F486))</f>
        <v>0</v>
      </c>
    </row>
    <row r="487" spans="3:37">
      <c r="C487" s="201">
        <v>49317</v>
      </c>
      <c r="D487" s="94" t="s">
        <v>134</v>
      </c>
      <c r="E487" s="424">
        <f t="shared" si="138"/>
        <v>0</v>
      </c>
      <c r="F487" s="209">
        <f t="shared" si="139"/>
        <v>0</v>
      </c>
      <c r="H487" s="424">
        <f>IF(OR(H$475&lt;$C487,H$475&lt;$H$2),0,MIN($E487-SUM($G487:G487),$F487))</f>
        <v>0</v>
      </c>
      <c r="I487" s="424">
        <f>IF(OR(I$475&lt;$C487,I$475&lt;$H$2),0,MIN($E487-SUM($G487:H487),$F487))</f>
        <v>0</v>
      </c>
      <c r="J487" s="424">
        <f>IF(OR(J$475&lt;$C487,J$475&lt;$H$2),0,MIN($E487-SUM($G487:I487),$F487))</f>
        <v>0</v>
      </c>
      <c r="K487" s="424">
        <f>IF(OR(K$475&lt;$C487,K$475&lt;$H$2),0,MIN($E487-SUM($G487:J487),$F487))</f>
        <v>0</v>
      </c>
      <c r="L487" s="424">
        <f>IF(OR(L$475&lt;$C487,L$475&lt;$H$2),0,MIN($E487-SUM($G487:K487),$F487))</f>
        <v>0</v>
      </c>
      <c r="M487" s="424">
        <f>IF(OR(M$475&lt;$C487,M$475&lt;$H$2),0,MIN($E487-SUM($G487:L487),$F487))</f>
        <v>0</v>
      </c>
      <c r="N487" s="424">
        <f>IF(OR(N$475&lt;$C487,N$475&lt;$H$2),0,MIN($E487-SUM($G487:M487),$F487))</f>
        <v>0</v>
      </c>
      <c r="O487" s="424">
        <f>IF(OR(O$475&lt;$C487,O$475&lt;$H$2),0,MIN($E487-SUM($G487:N487),$F487))</f>
        <v>0</v>
      </c>
      <c r="P487" s="424">
        <f>IF(OR(P$475&lt;$C487,P$475&lt;$H$2),0,MIN($E487-SUM($G487:O487),$F487))</f>
        <v>0</v>
      </c>
      <c r="Q487" s="424">
        <f>IF(OR(Q$475&lt;$C487,Q$475&lt;$H$2),0,MIN($E487-SUM($G487:P487),$F487))</f>
        <v>0</v>
      </c>
      <c r="R487" s="424">
        <f>IF(OR(R$475&lt;$C487,R$475&lt;$H$2),0,MIN($E487-SUM($G487:Q487),$F487))</f>
        <v>0</v>
      </c>
      <c r="S487" s="424">
        <f>IF(OR(S$475&lt;$C487,S$475&lt;$H$2),0,MIN($E487-SUM($G487:R487),$F487))</f>
        <v>0</v>
      </c>
      <c r="T487" s="424">
        <f>IF(OR(T$475&lt;$C487,T$475&lt;$H$2),0,MIN($E487-SUM($G487:S487),$F487))</f>
        <v>0</v>
      </c>
      <c r="U487" s="424">
        <f>IF(OR(U$475&lt;$C487,U$475&lt;$H$2),0,MIN($E487-SUM($G487:T487),$F487))</f>
        <v>0</v>
      </c>
      <c r="V487" s="424">
        <f>IF(OR(V$475&lt;$C487,V$475&lt;$H$2),0,MIN($E487-SUM($G487:U487),$F487))</f>
        <v>0</v>
      </c>
      <c r="W487" s="424">
        <f>IF(OR(W$475&lt;$C487,W$475&lt;$H$2),0,MIN($E487-SUM($G487:V487),$F487))</f>
        <v>0</v>
      </c>
      <c r="X487" s="424">
        <f>IF(OR(X$475&lt;$C487,X$475&lt;$H$2),0,MIN($E487-SUM($G487:W487),$F487))</f>
        <v>0</v>
      </c>
      <c r="Y487" s="424">
        <f>IF(OR(Y$475&lt;$C487,Y$475&lt;$H$2),0,MIN($E487-SUM($G487:X487),$F487))</f>
        <v>0</v>
      </c>
      <c r="Z487" s="424">
        <f>IF(OR(Z$475&lt;$C487,Z$475&lt;$H$2),0,MIN($E487-SUM($G487:Y487),$F487))</f>
        <v>0</v>
      </c>
      <c r="AA487" s="424">
        <f>IF(OR(AA$475&lt;$C487,AA$475&lt;$H$2),0,MIN($E487-SUM($G487:Z487),$F487))</f>
        <v>0</v>
      </c>
      <c r="AB487" s="424">
        <f>IF(OR(AB$475&lt;$C487,AB$475&lt;$H$2),0,MIN($E487-SUM($G487:AA487),$F487))</f>
        <v>0</v>
      </c>
      <c r="AC487" s="424">
        <f>IF(OR(AC$475&lt;$C487,AC$475&lt;$H$2),0,MIN($E487-SUM($G487:AB487),$F487))</f>
        <v>0</v>
      </c>
      <c r="AD487" s="424">
        <f>IF(OR(AD$475&lt;$C487,AD$475&lt;$H$2),0,MIN($E487-SUM($G487:AC487),$F487))</f>
        <v>0</v>
      </c>
      <c r="AE487" s="424">
        <f>IF(OR(AE$475&lt;$C487,AE$475&lt;$H$2),0,MIN($E487-SUM($G487:AD487),$F487))</f>
        <v>0</v>
      </c>
      <c r="AF487" s="424">
        <f>IF(OR(AF$475&lt;$C487,AF$475&lt;$H$2),0,MIN($E487-SUM($G487:AE487),$F487))</f>
        <v>0</v>
      </c>
      <c r="AG487" s="424">
        <f>IF(OR(AG$475&lt;$C487,AG$475&lt;$H$2),0,MIN($E487-SUM($G487:AF487),$F487))</f>
        <v>0</v>
      </c>
      <c r="AH487" s="424">
        <f>IF(OR(AH$475&lt;$C487,AH$475&lt;$H$2),0,MIN($E487-SUM($G487:AG487),$F487))</f>
        <v>0</v>
      </c>
      <c r="AI487" s="424">
        <f>IF(OR(AI$475&lt;$C487,AI$475&lt;$H$2),0,MIN($E487-SUM($G487:AH487),$F487))</f>
        <v>0</v>
      </c>
      <c r="AJ487" s="424">
        <f>IF(OR(AJ$475&lt;$C487,AJ$475&lt;$H$2),0,MIN($E487-SUM($G487:AI487),$F487))</f>
        <v>0</v>
      </c>
      <c r="AK487" s="424">
        <f>IF(OR(AK$475&lt;$C487,AK$475&lt;$H$2),0,MIN($E487-SUM($G487:AJ487),$F487))</f>
        <v>0</v>
      </c>
    </row>
    <row r="488" spans="3:37">
      <c r="C488" s="201">
        <v>49683</v>
      </c>
      <c r="D488" s="94" t="s">
        <v>134</v>
      </c>
      <c r="E488" s="424">
        <f t="shared" si="138"/>
        <v>0</v>
      </c>
      <c r="F488" s="209">
        <f t="shared" si="139"/>
        <v>0</v>
      </c>
      <c r="H488" s="424">
        <f>IF(OR(H$475&lt;$C488,H$475&lt;$H$2),0,MIN($E488-SUM($G488:G488),$F488))</f>
        <v>0</v>
      </c>
      <c r="I488" s="424">
        <f>IF(OR(I$475&lt;$C488,I$475&lt;$H$2),0,MIN($E488-SUM($G488:H488),$F488))</f>
        <v>0</v>
      </c>
      <c r="J488" s="424">
        <f>IF(OR(J$475&lt;$C488,J$475&lt;$H$2),0,MIN($E488-SUM($G488:I488),$F488))</f>
        <v>0</v>
      </c>
      <c r="K488" s="424">
        <f>IF(OR(K$475&lt;$C488,K$475&lt;$H$2),0,MIN($E488-SUM($G488:J488),$F488))</f>
        <v>0</v>
      </c>
      <c r="L488" s="424">
        <f>IF(OR(L$475&lt;$C488,L$475&lt;$H$2),0,MIN($E488-SUM($G488:K488),$F488))</f>
        <v>0</v>
      </c>
      <c r="M488" s="424">
        <f>IF(OR(M$475&lt;$C488,M$475&lt;$H$2),0,MIN($E488-SUM($G488:L488),$F488))</f>
        <v>0</v>
      </c>
      <c r="N488" s="424">
        <f>IF(OR(N$475&lt;$C488,N$475&lt;$H$2),0,MIN($E488-SUM($G488:M488),$F488))</f>
        <v>0</v>
      </c>
      <c r="O488" s="424">
        <f>IF(OR(O$475&lt;$C488,O$475&lt;$H$2),0,MIN($E488-SUM($G488:N488),$F488))</f>
        <v>0</v>
      </c>
      <c r="P488" s="424">
        <f>IF(OR(P$475&lt;$C488,P$475&lt;$H$2),0,MIN($E488-SUM($G488:O488),$F488))</f>
        <v>0</v>
      </c>
      <c r="Q488" s="424">
        <f>IF(OR(Q$475&lt;$C488,Q$475&lt;$H$2),0,MIN($E488-SUM($G488:P488),$F488))</f>
        <v>0</v>
      </c>
      <c r="R488" s="424">
        <f>IF(OR(R$475&lt;$C488,R$475&lt;$H$2),0,MIN($E488-SUM($G488:Q488),$F488))</f>
        <v>0</v>
      </c>
      <c r="S488" s="424">
        <f>IF(OR(S$475&lt;$C488,S$475&lt;$H$2),0,MIN($E488-SUM($G488:R488),$F488))</f>
        <v>0</v>
      </c>
      <c r="T488" s="424">
        <f>IF(OR(T$475&lt;$C488,T$475&lt;$H$2),0,MIN($E488-SUM($G488:S488),$F488))</f>
        <v>0</v>
      </c>
      <c r="U488" s="424">
        <f>IF(OR(U$475&lt;$C488,U$475&lt;$H$2),0,MIN($E488-SUM($G488:T488),$F488))</f>
        <v>0</v>
      </c>
      <c r="V488" s="424">
        <f>IF(OR(V$475&lt;$C488,V$475&lt;$H$2),0,MIN($E488-SUM($G488:U488),$F488))</f>
        <v>0</v>
      </c>
      <c r="W488" s="424">
        <f>IF(OR(W$475&lt;$C488,W$475&lt;$H$2),0,MIN($E488-SUM($G488:V488),$F488))</f>
        <v>0</v>
      </c>
      <c r="X488" s="424">
        <f>IF(OR(X$475&lt;$C488,X$475&lt;$H$2),0,MIN($E488-SUM($G488:W488),$F488))</f>
        <v>0</v>
      </c>
      <c r="Y488" s="424">
        <f>IF(OR(Y$475&lt;$C488,Y$475&lt;$H$2),0,MIN($E488-SUM($G488:X488),$F488))</f>
        <v>0</v>
      </c>
      <c r="Z488" s="424">
        <f>IF(OR(Z$475&lt;$C488,Z$475&lt;$H$2),0,MIN($E488-SUM($G488:Y488),$F488))</f>
        <v>0</v>
      </c>
      <c r="AA488" s="424">
        <f>IF(OR(AA$475&lt;$C488,AA$475&lt;$H$2),0,MIN($E488-SUM($G488:Z488),$F488))</f>
        <v>0</v>
      </c>
      <c r="AB488" s="424">
        <f>IF(OR(AB$475&lt;$C488,AB$475&lt;$H$2),0,MIN($E488-SUM($G488:AA488),$F488))</f>
        <v>0</v>
      </c>
      <c r="AC488" s="424">
        <f>IF(OR(AC$475&lt;$C488,AC$475&lt;$H$2),0,MIN($E488-SUM($G488:AB488),$F488))</f>
        <v>0</v>
      </c>
      <c r="AD488" s="424">
        <f>IF(OR(AD$475&lt;$C488,AD$475&lt;$H$2),0,MIN($E488-SUM($G488:AC488),$F488))</f>
        <v>0</v>
      </c>
      <c r="AE488" s="424">
        <f>IF(OR(AE$475&lt;$C488,AE$475&lt;$H$2),0,MIN($E488-SUM($G488:AD488),$F488))</f>
        <v>0</v>
      </c>
      <c r="AF488" s="424">
        <f>IF(OR(AF$475&lt;$C488,AF$475&lt;$H$2),0,MIN($E488-SUM($G488:AE488),$F488))</f>
        <v>0</v>
      </c>
      <c r="AG488" s="424">
        <f>IF(OR(AG$475&lt;$C488,AG$475&lt;$H$2),0,MIN($E488-SUM($G488:AF488),$F488))</f>
        <v>0</v>
      </c>
      <c r="AH488" s="424">
        <f>IF(OR(AH$475&lt;$C488,AH$475&lt;$H$2),0,MIN($E488-SUM($G488:AG488),$F488))</f>
        <v>0</v>
      </c>
      <c r="AI488" s="424">
        <f>IF(OR(AI$475&lt;$C488,AI$475&lt;$H$2),0,MIN($E488-SUM($G488:AH488),$F488))</f>
        <v>0</v>
      </c>
      <c r="AJ488" s="424">
        <f>IF(OR(AJ$475&lt;$C488,AJ$475&lt;$H$2),0,MIN($E488-SUM($G488:AI488),$F488))</f>
        <v>0</v>
      </c>
      <c r="AK488" s="424">
        <f>IF(OR(AK$475&lt;$C488,AK$475&lt;$H$2),0,MIN($E488-SUM($G488:AJ488),$F488))</f>
        <v>0</v>
      </c>
    </row>
    <row r="489" spans="3:37">
      <c r="C489" s="201">
        <v>50049</v>
      </c>
      <c r="D489" s="94" t="s">
        <v>134</v>
      </c>
      <c r="E489" s="424">
        <f t="shared" si="138"/>
        <v>0</v>
      </c>
      <c r="F489" s="209">
        <f t="shared" si="139"/>
        <v>0</v>
      </c>
      <c r="H489" s="424">
        <f>IF(OR(H$475&lt;$C489,H$475&lt;$H$2),0,MIN($E489-SUM($G489:G489),$F489))</f>
        <v>0</v>
      </c>
      <c r="I489" s="424">
        <f>IF(OR(I$475&lt;$C489,I$475&lt;$H$2),0,MIN($E489-SUM($G489:H489),$F489))</f>
        <v>0</v>
      </c>
      <c r="J489" s="424">
        <f>IF(OR(J$475&lt;$C489,J$475&lt;$H$2),0,MIN($E489-SUM($G489:I489),$F489))</f>
        <v>0</v>
      </c>
      <c r="K489" s="424">
        <f>IF(OR(K$475&lt;$C489,K$475&lt;$H$2),0,MIN($E489-SUM($G489:J489),$F489))</f>
        <v>0</v>
      </c>
      <c r="L489" s="424">
        <f>IF(OR(L$475&lt;$C489,L$475&lt;$H$2),0,MIN($E489-SUM($G489:K489),$F489))</f>
        <v>0</v>
      </c>
      <c r="M489" s="424">
        <f>IF(OR(M$475&lt;$C489,M$475&lt;$H$2),0,MIN($E489-SUM($G489:L489),$F489))</f>
        <v>0</v>
      </c>
      <c r="N489" s="424">
        <f>IF(OR(N$475&lt;$C489,N$475&lt;$H$2),0,MIN($E489-SUM($G489:M489),$F489))</f>
        <v>0</v>
      </c>
      <c r="O489" s="424">
        <f>IF(OR(O$475&lt;$C489,O$475&lt;$H$2),0,MIN($E489-SUM($G489:N489),$F489))</f>
        <v>0</v>
      </c>
      <c r="P489" s="424">
        <f>IF(OR(P$475&lt;$C489,P$475&lt;$H$2),0,MIN($E489-SUM($G489:O489),$F489))</f>
        <v>0</v>
      </c>
      <c r="Q489" s="424">
        <f>IF(OR(Q$475&lt;$C489,Q$475&lt;$H$2),0,MIN($E489-SUM($G489:P489),$F489))</f>
        <v>0</v>
      </c>
      <c r="R489" s="424">
        <f>IF(OR(R$475&lt;$C489,R$475&lt;$H$2),0,MIN($E489-SUM($G489:Q489),$F489))</f>
        <v>0</v>
      </c>
      <c r="S489" s="424">
        <f>IF(OR(S$475&lt;$C489,S$475&lt;$H$2),0,MIN($E489-SUM($G489:R489),$F489))</f>
        <v>0</v>
      </c>
      <c r="T489" s="424">
        <f>IF(OR(T$475&lt;$C489,T$475&lt;$H$2),0,MIN($E489-SUM($G489:S489),$F489))</f>
        <v>0</v>
      </c>
      <c r="U489" s="424">
        <f>IF(OR(U$475&lt;$C489,U$475&lt;$H$2),0,MIN($E489-SUM($G489:T489),$F489))</f>
        <v>0</v>
      </c>
      <c r="V489" s="424">
        <f>IF(OR(V$475&lt;$C489,V$475&lt;$H$2),0,MIN($E489-SUM($G489:U489),$F489))</f>
        <v>0</v>
      </c>
      <c r="W489" s="424">
        <f>IF(OR(W$475&lt;$C489,W$475&lt;$H$2),0,MIN($E489-SUM($G489:V489),$F489))</f>
        <v>0</v>
      </c>
      <c r="X489" s="424">
        <f>IF(OR(X$475&lt;$C489,X$475&lt;$H$2),0,MIN($E489-SUM($G489:W489),$F489))</f>
        <v>0</v>
      </c>
      <c r="Y489" s="424">
        <f>IF(OR(Y$475&lt;$C489,Y$475&lt;$H$2),0,MIN($E489-SUM($G489:X489),$F489))</f>
        <v>0</v>
      </c>
      <c r="Z489" s="424">
        <f>IF(OR(Z$475&lt;$C489,Z$475&lt;$H$2),0,MIN($E489-SUM($G489:Y489),$F489))</f>
        <v>0</v>
      </c>
      <c r="AA489" s="424">
        <f>IF(OR(AA$475&lt;$C489,AA$475&lt;$H$2),0,MIN($E489-SUM($G489:Z489),$F489))</f>
        <v>0</v>
      </c>
      <c r="AB489" s="424">
        <f>IF(OR(AB$475&lt;$C489,AB$475&lt;$H$2),0,MIN($E489-SUM($G489:AA489),$F489))</f>
        <v>0</v>
      </c>
      <c r="AC489" s="424">
        <f>IF(OR(AC$475&lt;$C489,AC$475&lt;$H$2),0,MIN($E489-SUM($G489:AB489),$F489))</f>
        <v>0</v>
      </c>
      <c r="AD489" s="424">
        <f>IF(OR(AD$475&lt;$C489,AD$475&lt;$H$2),0,MIN($E489-SUM($G489:AC489),$F489))</f>
        <v>0</v>
      </c>
      <c r="AE489" s="424">
        <f>IF(OR(AE$475&lt;$C489,AE$475&lt;$H$2),0,MIN($E489-SUM($G489:AD489),$F489))</f>
        <v>0</v>
      </c>
      <c r="AF489" s="424">
        <f>IF(OR(AF$475&lt;$C489,AF$475&lt;$H$2),0,MIN($E489-SUM($G489:AE489),$F489))</f>
        <v>0</v>
      </c>
      <c r="AG489" s="424">
        <f>IF(OR(AG$475&lt;$C489,AG$475&lt;$H$2),0,MIN($E489-SUM($G489:AF489),$F489))</f>
        <v>0</v>
      </c>
      <c r="AH489" s="424">
        <f>IF(OR(AH$475&lt;$C489,AH$475&lt;$H$2),0,MIN($E489-SUM($G489:AG489),$F489))</f>
        <v>0</v>
      </c>
      <c r="AI489" s="424">
        <f>IF(OR(AI$475&lt;$C489,AI$475&lt;$H$2),0,MIN($E489-SUM($G489:AH489),$F489))</f>
        <v>0</v>
      </c>
      <c r="AJ489" s="424">
        <f>IF(OR(AJ$475&lt;$C489,AJ$475&lt;$H$2),0,MIN($E489-SUM($G489:AI489),$F489))</f>
        <v>0</v>
      </c>
      <c r="AK489" s="424">
        <f>IF(OR(AK$475&lt;$C489,AK$475&lt;$H$2),0,MIN($E489-SUM($G489:AJ489),$F489))</f>
        <v>0</v>
      </c>
    </row>
    <row r="490" spans="3:37">
      <c r="C490" s="201">
        <v>50415</v>
      </c>
      <c r="D490" s="94" t="s">
        <v>134</v>
      </c>
      <c r="E490" s="424">
        <f t="shared" si="138"/>
        <v>0</v>
      </c>
      <c r="F490" s="209">
        <f t="shared" si="139"/>
        <v>0</v>
      </c>
      <c r="H490" s="424">
        <f>IF(OR(H$475&lt;$C490,H$475&lt;$H$2),0,MIN($E490-SUM($G490:G490),$F490))</f>
        <v>0</v>
      </c>
      <c r="I490" s="424">
        <f>IF(OR(I$475&lt;$C490,I$475&lt;$H$2),0,MIN($E490-SUM($G490:H490),$F490))</f>
        <v>0</v>
      </c>
      <c r="J490" s="424">
        <f>IF(OR(J$475&lt;$C490,J$475&lt;$H$2),0,MIN($E490-SUM($G490:I490),$F490))</f>
        <v>0</v>
      </c>
      <c r="K490" s="424">
        <f>IF(OR(K$475&lt;$C490,K$475&lt;$H$2),0,MIN($E490-SUM($G490:J490),$F490))</f>
        <v>0</v>
      </c>
      <c r="L490" s="424">
        <f>IF(OR(L$475&lt;$C490,L$475&lt;$H$2),0,MIN($E490-SUM($G490:K490),$F490))</f>
        <v>0</v>
      </c>
      <c r="M490" s="424">
        <f>IF(OR(M$475&lt;$C490,M$475&lt;$H$2),0,MIN($E490-SUM($G490:L490),$F490))</f>
        <v>0</v>
      </c>
      <c r="N490" s="424">
        <f>IF(OR(N$475&lt;$C490,N$475&lt;$H$2),0,MIN($E490-SUM($G490:M490),$F490))</f>
        <v>0</v>
      </c>
      <c r="O490" s="424">
        <f>IF(OR(O$475&lt;$C490,O$475&lt;$H$2),0,MIN($E490-SUM($G490:N490),$F490))</f>
        <v>0</v>
      </c>
      <c r="P490" s="424">
        <f>IF(OR(P$475&lt;$C490,P$475&lt;$H$2),0,MIN($E490-SUM($G490:O490),$F490))</f>
        <v>0</v>
      </c>
      <c r="Q490" s="424">
        <f>IF(OR(Q$475&lt;$C490,Q$475&lt;$H$2),0,MIN($E490-SUM($G490:P490),$F490))</f>
        <v>0</v>
      </c>
      <c r="R490" s="424">
        <f>IF(OR(R$475&lt;$C490,R$475&lt;$H$2),0,MIN($E490-SUM($G490:Q490),$F490))</f>
        <v>0</v>
      </c>
      <c r="S490" s="424">
        <f>IF(OR(S$475&lt;$C490,S$475&lt;$H$2),0,MIN($E490-SUM($G490:R490),$F490))</f>
        <v>0</v>
      </c>
      <c r="T490" s="424">
        <f>IF(OR(T$475&lt;$C490,T$475&lt;$H$2),0,MIN($E490-SUM($G490:S490),$F490))</f>
        <v>0</v>
      </c>
      <c r="U490" s="424">
        <f>IF(OR(U$475&lt;$C490,U$475&lt;$H$2),0,MIN($E490-SUM($G490:T490),$F490))</f>
        <v>0</v>
      </c>
      <c r="V490" s="424">
        <f>IF(OR(V$475&lt;$C490,V$475&lt;$H$2),0,MIN($E490-SUM($G490:U490),$F490))</f>
        <v>0</v>
      </c>
      <c r="W490" s="424">
        <f>IF(OR(W$475&lt;$C490,W$475&lt;$H$2),0,MIN($E490-SUM($G490:V490),$F490))</f>
        <v>0</v>
      </c>
      <c r="X490" s="424">
        <f>IF(OR(X$475&lt;$C490,X$475&lt;$H$2),0,MIN($E490-SUM($G490:W490),$F490))</f>
        <v>0</v>
      </c>
      <c r="Y490" s="424">
        <f>IF(OR(Y$475&lt;$C490,Y$475&lt;$H$2),0,MIN($E490-SUM($G490:X490),$F490))</f>
        <v>0</v>
      </c>
      <c r="Z490" s="424">
        <f>IF(OR(Z$475&lt;$C490,Z$475&lt;$H$2),0,MIN($E490-SUM($G490:Y490),$F490))</f>
        <v>0</v>
      </c>
      <c r="AA490" s="424">
        <f>IF(OR(AA$475&lt;$C490,AA$475&lt;$H$2),0,MIN($E490-SUM($G490:Z490),$F490))</f>
        <v>0</v>
      </c>
      <c r="AB490" s="424">
        <f>IF(OR(AB$475&lt;$C490,AB$475&lt;$H$2),0,MIN($E490-SUM($G490:AA490),$F490))</f>
        <v>0</v>
      </c>
      <c r="AC490" s="424">
        <f>IF(OR(AC$475&lt;$C490,AC$475&lt;$H$2),0,MIN($E490-SUM($G490:AB490),$F490))</f>
        <v>0</v>
      </c>
      <c r="AD490" s="424">
        <f>IF(OR(AD$475&lt;$C490,AD$475&lt;$H$2),0,MIN($E490-SUM($G490:AC490),$F490))</f>
        <v>0</v>
      </c>
      <c r="AE490" s="424">
        <f>IF(OR(AE$475&lt;$C490,AE$475&lt;$H$2),0,MIN($E490-SUM($G490:AD490),$F490))</f>
        <v>0</v>
      </c>
      <c r="AF490" s="424">
        <f>IF(OR(AF$475&lt;$C490,AF$475&lt;$H$2),0,MIN($E490-SUM($G490:AE490),$F490))</f>
        <v>0</v>
      </c>
      <c r="AG490" s="424">
        <f>IF(OR(AG$475&lt;$C490,AG$475&lt;$H$2),0,MIN($E490-SUM($G490:AF490),$F490))</f>
        <v>0</v>
      </c>
      <c r="AH490" s="424">
        <f>IF(OR(AH$475&lt;$C490,AH$475&lt;$H$2),0,MIN($E490-SUM($G490:AG490),$F490))</f>
        <v>0</v>
      </c>
      <c r="AI490" s="424">
        <f>IF(OR(AI$475&lt;$C490,AI$475&lt;$H$2),0,MIN($E490-SUM($G490:AH490),$F490))</f>
        <v>0</v>
      </c>
      <c r="AJ490" s="424">
        <f>IF(OR(AJ$475&lt;$C490,AJ$475&lt;$H$2),0,MIN($E490-SUM($G490:AI490),$F490))</f>
        <v>0</v>
      </c>
      <c r="AK490" s="424">
        <f>IF(OR(AK$475&lt;$C490,AK$475&lt;$H$2),0,MIN($E490-SUM($G490:AJ490),$F490))</f>
        <v>0</v>
      </c>
    </row>
    <row r="491" spans="3:37">
      <c r="C491" s="201">
        <v>50781</v>
      </c>
      <c r="D491" s="94" t="s">
        <v>134</v>
      </c>
      <c r="E491" s="424">
        <f t="shared" si="138"/>
        <v>0</v>
      </c>
      <c r="F491" s="209">
        <f t="shared" si="139"/>
        <v>0</v>
      </c>
      <c r="H491" s="424">
        <f>IF(OR(H$475&lt;$C491,H$475&lt;$H$2),0,MIN($E491-SUM($G491:G491),$F491))</f>
        <v>0</v>
      </c>
      <c r="I491" s="424">
        <f>IF(OR(I$475&lt;$C491,I$475&lt;$H$2),0,MIN($E491-SUM($G491:H491),$F491))</f>
        <v>0</v>
      </c>
      <c r="J491" s="424">
        <f>IF(OR(J$475&lt;$C491,J$475&lt;$H$2),0,MIN($E491-SUM($G491:I491),$F491))</f>
        <v>0</v>
      </c>
      <c r="K491" s="424">
        <f>IF(OR(K$475&lt;$C491,K$475&lt;$H$2),0,MIN($E491-SUM($G491:J491),$F491))</f>
        <v>0</v>
      </c>
      <c r="L491" s="424">
        <f>IF(OR(L$475&lt;$C491,L$475&lt;$H$2),0,MIN($E491-SUM($G491:K491),$F491))</f>
        <v>0</v>
      </c>
      <c r="M491" s="424">
        <f>IF(OR(M$475&lt;$C491,M$475&lt;$H$2),0,MIN($E491-SUM($G491:L491),$F491))</f>
        <v>0</v>
      </c>
      <c r="N491" s="424">
        <f>IF(OR(N$475&lt;$C491,N$475&lt;$H$2),0,MIN($E491-SUM($G491:M491),$F491))</f>
        <v>0</v>
      </c>
      <c r="O491" s="424">
        <f>IF(OR(O$475&lt;$C491,O$475&lt;$H$2),0,MIN($E491-SUM($G491:N491),$F491))</f>
        <v>0</v>
      </c>
      <c r="P491" s="424">
        <f>IF(OR(P$475&lt;$C491,P$475&lt;$H$2),0,MIN($E491-SUM($G491:O491),$F491))</f>
        <v>0</v>
      </c>
      <c r="Q491" s="424">
        <f>IF(OR(Q$475&lt;$C491,Q$475&lt;$H$2),0,MIN($E491-SUM($G491:P491),$F491))</f>
        <v>0</v>
      </c>
      <c r="R491" s="424">
        <f>IF(OR(R$475&lt;$C491,R$475&lt;$H$2),0,MIN($E491-SUM($G491:Q491),$F491))</f>
        <v>0</v>
      </c>
      <c r="S491" s="424">
        <f>IF(OR(S$475&lt;$C491,S$475&lt;$H$2),0,MIN($E491-SUM($G491:R491),$F491))</f>
        <v>0</v>
      </c>
      <c r="T491" s="424">
        <f>IF(OR(T$475&lt;$C491,T$475&lt;$H$2),0,MIN($E491-SUM($G491:S491),$F491))</f>
        <v>0</v>
      </c>
      <c r="U491" s="424">
        <f>IF(OR(U$475&lt;$C491,U$475&lt;$H$2),0,MIN($E491-SUM($G491:T491),$F491))</f>
        <v>0</v>
      </c>
      <c r="V491" s="424">
        <f>IF(OR(V$475&lt;$C491,V$475&lt;$H$2),0,MIN($E491-SUM($G491:U491),$F491))</f>
        <v>0</v>
      </c>
      <c r="W491" s="424">
        <f>IF(OR(W$475&lt;$C491,W$475&lt;$H$2),0,MIN($E491-SUM($G491:V491),$F491))</f>
        <v>0</v>
      </c>
      <c r="X491" s="424">
        <f>IF(OR(X$475&lt;$C491,X$475&lt;$H$2),0,MIN($E491-SUM($G491:W491),$F491))</f>
        <v>0</v>
      </c>
      <c r="Y491" s="424">
        <f>IF(OR(Y$475&lt;$C491,Y$475&lt;$H$2),0,MIN($E491-SUM($G491:X491),$F491))</f>
        <v>0</v>
      </c>
      <c r="Z491" s="424">
        <f>IF(OR(Z$475&lt;$C491,Z$475&lt;$H$2),0,MIN($E491-SUM($G491:Y491),$F491))</f>
        <v>0</v>
      </c>
      <c r="AA491" s="424">
        <f>IF(OR(AA$475&lt;$C491,AA$475&lt;$H$2),0,MIN($E491-SUM($G491:Z491),$F491))</f>
        <v>0</v>
      </c>
      <c r="AB491" s="424">
        <f>IF(OR(AB$475&lt;$C491,AB$475&lt;$H$2),0,MIN($E491-SUM($G491:AA491),$F491))</f>
        <v>0</v>
      </c>
      <c r="AC491" s="424">
        <f>IF(OR(AC$475&lt;$C491,AC$475&lt;$H$2),0,MIN($E491-SUM($G491:AB491),$F491))</f>
        <v>0</v>
      </c>
      <c r="AD491" s="424">
        <f>IF(OR(AD$475&lt;$C491,AD$475&lt;$H$2),0,MIN($E491-SUM($G491:AC491),$F491))</f>
        <v>0</v>
      </c>
      <c r="AE491" s="424">
        <f>IF(OR(AE$475&lt;$C491,AE$475&lt;$H$2),0,MIN($E491-SUM($G491:AD491),$F491))</f>
        <v>0</v>
      </c>
      <c r="AF491" s="424">
        <f>IF(OR(AF$475&lt;$C491,AF$475&lt;$H$2),0,MIN($E491-SUM($G491:AE491),$F491))</f>
        <v>0</v>
      </c>
      <c r="AG491" s="424">
        <f>IF(OR(AG$475&lt;$C491,AG$475&lt;$H$2),0,MIN($E491-SUM($G491:AF491),$F491))</f>
        <v>0</v>
      </c>
      <c r="AH491" s="424">
        <f>IF(OR(AH$475&lt;$C491,AH$475&lt;$H$2),0,MIN($E491-SUM($G491:AG491),$F491))</f>
        <v>0</v>
      </c>
      <c r="AI491" s="424">
        <f>IF(OR(AI$475&lt;$C491,AI$475&lt;$H$2),0,MIN($E491-SUM($G491:AH491),$F491))</f>
        <v>0</v>
      </c>
      <c r="AJ491" s="424">
        <f>IF(OR(AJ$475&lt;$C491,AJ$475&lt;$H$2),0,MIN($E491-SUM($G491:AI491),$F491))</f>
        <v>0</v>
      </c>
      <c r="AK491" s="424">
        <f>IF(OR(AK$475&lt;$C491,AK$475&lt;$H$2),0,MIN($E491-SUM($G491:AJ491),$F491))</f>
        <v>0</v>
      </c>
    </row>
    <row r="492" spans="3:37">
      <c r="C492" s="201">
        <v>51147</v>
      </c>
      <c r="D492" s="94" t="s">
        <v>134</v>
      </c>
      <c r="E492" s="424">
        <f t="shared" si="138"/>
        <v>0</v>
      </c>
      <c r="F492" s="209">
        <f t="shared" si="139"/>
        <v>0</v>
      </c>
      <c r="H492" s="424">
        <f>IF(OR(H$475&lt;$C492,H$475&lt;$H$2),0,MIN($E492-SUM($G492:G492),$F492))</f>
        <v>0</v>
      </c>
      <c r="I492" s="424">
        <f>IF(OR(I$475&lt;$C492,I$475&lt;$H$2),0,MIN($E492-SUM($G492:H492),$F492))</f>
        <v>0</v>
      </c>
      <c r="J492" s="424">
        <f>IF(OR(J$475&lt;$C492,J$475&lt;$H$2),0,MIN($E492-SUM($G492:I492),$F492))</f>
        <v>0</v>
      </c>
      <c r="K492" s="424">
        <f>IF(OR(K$475&lt;$C492,K$475&lt;$H$2),0,MIN($E492-SUM($G492:J492),$F492))</f>
        <v>0</v>
      </c>
      <c r="L492" s="424">
        <f>IF(OR(L$475&lt;$C492,L$475&lt;$H$2),0,MIN($E492-SUM($G492:K492),$F492))</f>
        <v>0</v>
      </c>
      <c r="M492" s="424">
        <f>IF(OR(M$475&lt;$C492,M$475&lt;$H$2),0,MIN($E492-SUM($G492:L492),$F492))</f>
        <v>0</v>
      </c>
      <c r="N492" s="424">
        <f>IF(OR(N$475&lt;$C492,N$475&lt;$H$2),0,MIN($E492-SUM($G492:M492),$F492))</f>
        <v>0</v>
      </c>
      <c r="O492" s="424">
        <f>IF(OR(O$475&lt;$C492,O$475&lt;$H$2),0,MIN($E492-SUM($G492:N492),$F492))</f>
        <v>0</v>
      </c>
      <c r="P492" s="424">
        <f>IF(OR(P$475&lt;$C492,P$475&lt;$H$2),0,MIN($E492-SUM($G492:O492),$F492))</f>
        <v>0</v>
      </c>
      <c r="Q492" s="424">
        <f>IF(OR(Q$475&lt;$C492,Q$475&lt;$H$2),0,MIN($E492-SUM($G492:P492),$F492))</f>
        <v>0</v>
      </c>
      <c r="R492" s="424">
        <f>IF(OR(R$475&lt;$C492,R$475&lt;$H$2),0,MIN($E492-SUM($G492:Q492),$F492))</f>
        <v>0</v>
      </c>
      <c r="S492" s="424">
        <f>IF(OR(S$475&lt;$C492,S$475&lt;$H$2),0,MIN($E492-SUM($G492:R492),$F492))</f>
        <v>0</v>
      </c>
      <c r="T492" s="424">
        <f>IF(OR(T$475&lt;$C492,T$475&lt;$H$2),0,MIN($E492-SUM($G492:S492),$F492))</f>
        <v>0</v>
      </c>
      <c r="U492" s="424">
        <f>IF(OR(U$475&lt;$C492,U$475&lt;$H$2),0,MIN($E492-SUM($G492:T492),$F492))</f>
        <v>0</v>
      </c>
      <c r="V492" s="424">
        <f>IF(OR(V$475&lt;$C492,V$475&lt;$H$2),0,MIN($E492-SUM($G492:U492),$F492))</f>
        <v>0</v>
      </c>
      <c r="W492" s="424">
        <f>IF(OR(W$475&lt;$C492,W$475&lt;$H$2),0,MIN($E492-SUM($G492:V492),$F492))</f>
        <v>0</v>
      </c>
      <c r="X492" s="424">
        <f>IF(OR(X$475&lt;$C492,X$475&lt;$H$2),0,MIN($E492-SUM($G492:W492),$F492))</f>
        <v>0</v>
      </c>
      <c r="Y492" s="424">
        <f>IF(OR(Y$475&lt;$C492,Y$475&lt;$H$2),0,MIN($E492-SUM($G492:X492),$F492))</f>
        <v>0</v>
      </c>
      <c r="Z492" s="424">
        <f>IF(OR(Z$475&lt;$C492,Z$475&lt;$H$2),0,MIN($E492-SUM($G492:Y492),$F492))</f>
        <v>0</v>
      </c>
      <c r="AA492" s="424">
        <f>IF(OR(AA$475&lt;$C492,AA$475&lt;$H$2),0,MIN($E492-SUM($G492:Z492),$F492))</f>
        <v>0</v>
      </c>
      <c r="AB492" s="424">
        <f>IF(OR(AB$475&lt;$C492,AB$475&lt;$H$2),0,MIN($E492-SUM($G492:AA492),$F492))</f>
        <v>0</v>
      </c>
      <c r="AC492" s="424">
        <f>IF(OR(AC$475&lt;$C492,AC$475&lt;$H$2),0,MIN($E492-SUM($G492:AB492),$F492))</f>
        <v>0</v>
      </c>
      <c r="AD492" s="424">
        <f>IF(OR(AD$475&lt;$C492,AD$475&lt;$H$2),0,MIN($E492-SUM($G492:AC492),$F492))</f>
        <v>0</v>
      </c>
      <c r="AE492" s="424">
        <f>IF(OR(AE$475&lt;$C492,AE$475&lt;$H$2),0,MIN($E492-SUM($G492:AD492),$F492))</f>
        <v>0</v>
      </c>
      <c r="AF492" s="424">
        <f>IF(OR(AF$475&lt;$C492,AF$475&lt;$H$2),0,MIN($E492-SUM($G492:AE492),$F492))</f>
        <v>0</v>
      </c>
      <c r="AG492" s="424">
        <f>IF(OR(AG$475&lt;$C492,AG$475&lt;$H$2),0,MIN($E492-SUM($G492:AF492),$F492))</f>
        <v>0</v>
      </c>
      <c r="AH492" s="424">
        <f>IF(OR(AH$475&lt;$C492,AH$475&lt;$H$2),0,MIN($E492-SUM($G492:AG492),$F492))</f>
        <v>0</v>
      </c>
      <c r="AI492" s="424">
        <f>IF(OR(AI$475&lt;$C492,AI$475&lt;$H$2),0,MIN($E492-SUM($G492:AH492),$F492))</f>
        <v>0</v>
      </c>
      <c r="AJ492" s="424">
        <f>IF(OR(AJ$475&lt;$C492,AJ$475&lt;$H$2),0,MIN($E492-SUM($G492:AI492),$F492))</f>
        <v>0</v>
      </c>
      <c r="AK492" s="424">
        <f>IF(OR(AK$475&lt;$C492,AK$475&lt;$H$2),0,MIN($E492-SUM($G492:AJ492),$F492))</f>
        <v>0</v>
      </c>
    </row>
    <row r="493" spans="3:37">
      <c r="C493" s="201">
        <v>51513</v>
      </c>
      <c r="D493" s="94" t="s">
        <v>134</v>
      </c>
      <c r="E493" s="424">
        <f t="shared" si="138"/>
        <v>0</v>
      </c>
      <c r="F493" s="209">
        <f t="shared" si="139"/>
        <v>0</v>
      </c>
      <c r="H493" s="424">
        <f>IF(OR(H$475&lt;$C493,H$475&lt;$H$2),0,MIN($E493-SUM($G493:G493),$F493))</f>
        <v>0</v>
      </c>
      <c r="I493" s="424">
        <f>IF(OR(I$475&lt;$C493,I$475&lt;$H$2),0,MIN($E493-SUM($G493:H493),$F493))</f>
        <v>0</v>
      </c>
      <c r="J493" s="424">
        <f>IF(OR(J$475&lt;$C493,J$475&lt;$H$2),0,MIN($E493-SUM($G493:I493),$F493))</f>
        <v>0</v>
      </c>
      <c r="K493" s="424">
        <f>IF(OR(K$475&lt;$C493,K$475&lt;$H$2),0,MIN($E493-SUM($G493:J493),$F493))</f>
        <v>0</v>
      </c>
      <c r="L493" s="424">
        <f>IF(OR(L$475&lt;$C493,L$475&lt;$H$2),0,MIN($E493-SUM($G493:K493),$F493))</f>
        <v>0</v>
      </c>
      <c r="M493" s="424">
        <f>IF(OR(M$475&lt;$C493,M$475&lt;$H$2),0,MIN($E493-SUM($G493:L493),$F493))</f>
        <v>0</v>
      </c>
      <c r="N493" s="424">
        <f>IF(OR(N$475&lt;$C493,N$475&lt;$H$2),0,MIN($E493-SUM($G493:M493),$F493))</f>
        <v>0</v>
      </c>
      <c r="O493" s="424">
        <f>IF(OR(O$475&lt;$C493,O$475&lt;$H$2),0,MIN($E493-SUM($G493:N493),$F493))</f>
        <v>0</v>
      </c>
      <c r="P493" s="424">
        <f>IF(OR(P$475&lt;$C493,P$475&lt;$H$2),0,MIN($E493-SUM($G493:O493),$F493))</f>
        <v>0</v>
      </c>
      <c r="Q493" s="424">
        <f>IF(OR(Q$475&lt;$C493,Q$475&lt;$H$2),0,MIN($E493-SUM($G493:P493),$F493))</f>
        <v>0</v>
      </c>
      <c r="R493" s="424">
        <f>IF(OR(R$475&lt;$C493,R$475&lt;$H$2),0,MIN($E493-SUM($G493:Q493),$F493))</f>
        <v>0</v>
      </c>
      <c r="S493" s="424">
        <f>IF(OR(S$475&lt;$C493,S$475&lt;$H$2),0,MIN($E493-SUM($G493:R493),$F493))</f>
        <v>0</v>
      </c>
      <c r="T493" s="424">
        <f>IF(OR(T$475&lt;$C493,T$475&lt;$H$2),0,MIN($E493-SUM($G493:S493),$F493))</f>
        <v>0</v>
      </c>
      <c r="U493" s="424">
        <f>IF(OR(U$475&lt;$C493,U$475&lt;$H$2),0,MIN($E493-SUM($G493:T493),$F493))</f>
        <v>0</v>
      </c>
      <c r="V493" s="424">
        <f>IF(OR(V$475&lt;$C493,V$475&lt;$H$2),0,MIN($E493-SUM($G493:U493),$F493))</f>
        <v>0</v>
      </c>
      <c r="W493" s="424">
        <f>IF(OR(W$475&lt;$C493,W$475&lt;$H$2),0,MIN($E493-SUM($G493:V493),$F493))</f>
        <v>0</v>
      </c>
      <c r="X493" s="424">
        <f>IF(OR(X$475&lt;$C493,X$475&lt;$H$2),0,MIN($E493-SUM($G493:W493),$F493))</f>
        <v>0</v>
      </c>
      <c r="Y493" s="424">
        <f>IF(OR(Y$475&lt;$C493,Y$475&lt;$H$2),0,MIN($E493-SUM($G493:X493),$F493))</f>
        <v>0</v>
      </c>
      <c r="Z493" s="424">
        <f>IF(OR(Z$475&lt;$C493,Z$475&lt;$H$2),0,MIN($E493-SUM($G493:Y493),$F493))</f>
        <v>0</v>
      </c>
      <c r="AA493" s="424">
        <f>IF(OR(AA$475&lt;$C493,AA$475&lt;$H$2),0,MIN($E493-SUM($G493:Z493),$F493))</f>
        <v>0</v>
      </c>
      <c r="AB493" s="424">
        <f>IF(OR(AB$475&lt;$C493,AB$475&lt;$H$2),0,MIN($E493-SUM($G493:AA493),$F493))</f>
        <v>0</v>
      </c>
      <c r="AC493" s="424">
        <f>IF(OR(AC$475&lt;$C493,AC$475&lt;$H$2),0,MIN($E493-SUM($G493:AB493),$F493))</f>
        <v>0</v>
      </c>
      <c r="AD493" s="424">
        <f>IF(OR(AD$475&lt;$C493,AD$475&lt;$H$2),0,MIN($E493-SUM($G493:AC493),$F493))</f>
        <v>0</v>
      </c>
      <c r="AE493" s="424">
        <f>IF(OR(AE$475&lt;$C493,AE$475&lt;$H$2),0,MIN($E493-SUM($G493:AD493),$F493))</f>
        <v>0</v>
      </c>
      <c r="AF493" s="424">
        <f>IF(OR(AF$475&lt;$C493,AF$475&lt;$H$2),0,MIN($E493-SUM($G493:AE493),$F493))</f>
        <v>0</v>
      </c>
      <c r="AG493" s="424">
        <f>IF(OR(AG$475&lt;$C493,AG$475&lt;$H$2),0,MIN($E493-SUM($G493:AF493),$F493))</f>
        <v>0</v>
      </c>
      <c r="AH493" s="424">
        <f>IF(OR(AH$475&lt;$C493,AH$475&lt;$H$2),0,MIN($E493-SUM($G493:AG493),$F493))</f>
        <v>0</v>
      </c>
      <c r="AI493" s="424">
        <f>IF(OR(AI$475&lt;$C493,AI$475&lt;$H$2),0,MIN($E493-SUM($G493:AH493),$F493))</f>
        <v>0</v>
      </c>
      <c r="AJ493" s="424">
        <f>IF(OR(AJ$475&lt;$C493,AJ$475&lt;$H$2),0,MIN($E493-SUM($G493:AI493),$F493))</f>
        <v>0</v>
      </c>
      <c r="AK493" s="424">
        <f>IF(OR(AK$475&lt;$C493,AK$475&lt;$H$2),0,MIN($E493-SUM($G493:AJ493),$F493))</f>
        <v>0</v>
      </c>
    </row>
    <row r="494" spans="3:37">
      <c r="C494" s="201">
        <v>51879</v>
      </c>
      <c r="D494" s="94" t="s">
        <v>134</v>
      </c>
      <c r="E494" s="424">
        <f t="shared" si="138"/>
        <v>0</v>
      </c>
      <c r="F494" s="209">
        <f t="shared" si="139"/>
        <v>0</v>
      </c>
      <c r="H494" s="424">
        <f>IF(OR(H$475&lt;$C494,H$475&lt;$H$2),0,MIN($E494-SUM($G494:G494),$F494))</f>
        <v>0</v>
      </c>
      <c r="I494" s="424">
        <f>IF(OR(I$475&lt;$C494,I$475&lt;$H$2),0,MIN($E494-SUM($G494:H494),$F494))</f>
        <v>0</v>
      </c>
      <c r="J494" s="424">
        <f>IF(OR(J$475&lt;$C494,J$475&lt;$H$2),0,MIN($E494-SUM($G494:I494),$F494))</f>
        <v>0</v>
      </c>
      <c r="K494" s="424">
        <f>IF(OR(K$475&lt;$C494,K$475&lt;$H$2),0,MIN($E494-SUM($G494:J494),$F494))</f>
        <v>0</v>
      </c>
      <c r="L494" s="424">
        <f>IF(OR(L$475&lt;$C494,L$475&lt;$H$2),0,MIN($E494-SUM($G494:K494),$F494))</f>
        <v>0</v>
      </c>
      <c r="M494" s="424">
        <f>IF(OR(M$475&lt;$C494,M$475&lt;$H$2),0,MIN($E494-SUM($G494:L494),$F494))</f>
        <v>0</v>
      </c>
      <c r="N494" s="424">
        <f>IF(OR(N$475&lt;$C494,N$475&lt;$H$2),0,MIN($E494-SUM($G494:M494),$F494))</f>
        <v>0</v>
      </c>
      <c r="O494" s="424">
        <f>IF(OR(O$475&lt;$C494,O$475&lt;$H$2),0,MIN($E494-SUM($G494:N494),$F494))</f>
        <v>0</v>
      </c>
      <c r="P494" s="424">
        <f>IF(OR(P$475&lt;$C494,P$475&lt;$H$2),0,MIN($E494-SUM($G494:O494),$F494))</f>
        <v>0</v>
      </c>
      <c r="Q494" s="424">
        <f>IF(OR(Q$475&lt;$C494,Q$475&lt;$H$2),0,MIN($E494-SUM($G494:P494),$F494))</f>
        <v>0</v>
      </c>
      <c r="R494" s="424">
        <f>IF(OR(R$475&lt;$C494,R$475&lt;$H$2),0,MIN($E494-SUM($G494:Q494),$F494))</f>
        <v>0</v>
      </c>
      <c r="S494" s="424">
        <f>IF(OR(S$475&lt;$C494,S$475&lt;$H$2),0,MIN($E494-SUM($G494:R494),$F494))</f>
        <v>0</v>
      </c>
      <c r="T494" s="424">
        <f>IF(OR(T$475&lt;$C494,T$475&lt;$H$2),0,MIN($E494-SUM($G494:S494),$F494))</f>
        <v>0</v>
      </c>
      <c r="U494" s="424">
        <f>IF(OR(U$475&lt;$C494,U$475&lt;$H$2),0,MIN($E494-SUM($G494:T494),$F494))</f>
        <v>0</v>
      </c>
      <c r="V494" s="424">
        <f>IF(OR(V$475&lt;$C494,V$475&lt;$H$2),0,MIN($E494-SUM($G494:U494),$F494))</f>
        <v>0</v>
      </c>
      <c r="W494" s="424">
        <f>IF(OR(W$475&lt;$C494,W$475&lt;$H$2),0,MIN($E494-SUM($G494:V494),$F494))</f>
        <v>0</v>
      </c>
      <c r="X494" s="424">
        <f>IF(OR(X$475&lt;$C494,X$475&lt;$H$2),0,MIN($E494-SUM($G494:W494),$F494))</f>
        <v>0</v>
      </c>
      <c r="Y494" s="424">
        <f>IF(OR(Y$475&lt;$C494,Y$475&lt;$H$2),0,MIN($E494-SUM($G494:X494),$F494))</f>
        <v>0</v>
      </c>
      <c r="Z494" s="424">
        <f>IF(OR(Z$475&lt;$C494,Z$475&lt;$H$2),0,MIN($E494-SUM($G494:Y494),$F494))</f>
        <v>0</v>
      </c>
      <c r="AA494" s="424">
        <f>IF(OR(AA$475&lt;$C494,AA$475&lt;$H$2),0,MIN($E494-SUM($G494:Z494),$F494))</f>
        <v>0</v>
      </c>
      <c r="AB494" s="424">
        <f>IF(OR(AB$475&lt;$C494,AB$475&lt;$H$2),0,MIN($E494-SUM($G494:AA494),$F494))</f>
        <v>0</v>
      </c>
      <c r="AC494" s="424">
        <f>IF(OR(AC$475&lt;$C494,AC$475&lt;$H$2),0,MIN($E494-SUM($G494:AB494),$F494))</f>
        <v>0</v>
      </c>
      <c r="AD494" s="424">
        <f>IF(OR(AD$475&lt;$C494,AD$475&lt;$H$2),0,MIN($E494-SUM($G494:AC494),$F494))</f>
        <v>0</v>
      </c>
      <c r="AE494" s="424">
        <f>IF(OR(AE$475&lt;$C494,AE$475&lt;$H$2),0,MIN($E494-SUM($G494:AD494),$F494))</f>
        <v>0</v>
      </c>
      <c r="AF494" s="424">
        <f>IF(OR(AF$475&lt;$C494,AF$475&lt;$H$2),0,MIN($E494-SUM($G494:AE494),$F494))</f>
        <v>0</v>
      </c>
      <c r="AG494" s="424">
        <f>IF(OR(AG$475&lt;$C494,AG$475&lt;$H$2),0,MIN($E494-SUM($G494:AF494),$F494))</f>
        <v>0</v>
      </c>
      <c r="AH494" s="424">
        <f>IF(OR(AH$475&lt;$C494,AH$475&lt;$H$2),0,MIN($E494-SUM($G494:AG494),$F494))</f>
        <v>0</v>
      </c>
      <c r="AI494" s="424">
        <f>IF(OR(AI$475&lt;$C494,AI$475&lt;$H$2),0,MIN($E494-SUM($G494:AH494),$F494))</f>
        <v>0</v>
      </c>
      <c r="AJ494" s="424">
        <f>IF(OR(AJ$475&lt;$C494,AJ$475&lt;$H$2),0,MIN($E494-SUM($G494:AI494),$F494))</f>
        <v>0</v>
      </c>
      <c r="AK494" s="424">
        <f>IF(OR(AK$475&lt;$C494,AK$475&lt;$H$2),0,MIN($E494-SUM($G494:AJ494),$F494))</f>
        <v>0</v>
      </c>
    </row>
    <row r="495" spans="3:37">
      <c r="C495" s="201">
        <v>52245</v>
      </c>
      <c r="D495" s="94" t="s">
        <v>134</v>
      </c>
      <c r="E495" s="424">
        <f t="shared" si="138"/>
        <v>0</v>
      </c>
      <c r="F495" s="209">
        <f t="shared" si="139"/>
        <v>0</v>
      </c>
      <c r="H495" s="424">
        <f>IF(OR(H$475&lt;$C495,H$475&lt;$H$2),0,MIN($E495-SUM($G495:G495),$F495))</f>
        <v>0</v>
      </c>
      <c r="I495" s="424">
        <f>IF(OR(I$475&lt;$C495,I$475&lt;$H$2),0,MIN($E495-SUM($G495:H495),$F495))</f>
        <v>0</v>
      </c>
      <c r="J495" s="424">
        <f>IF(OR(J$475&lt;$C495,J$475&lt;$H$2),0,MIN($E495-SUM($G495:I495),$F495))</f>
        <v>0</v>
      </c>
      <c r="K495" s="424">
        <f>IF(OR(K$475&lt;$C495,K$475&lt;$H$2),0,MIN($E495-SUM($G495:J495),$F495))</f>
        <v>0</v>
      </c>
      <c r="L495" s="424">
        <f>IF(OR(L$475&lt;$C495,L$475&lt;$H$2),0,MIN($E495-SUM($G495:K495),$F495))</f>
        <v>0</v>
      </c>
      <c r="M495" s="424">
        <f>IF(OR(M$475&lt;$C495,M$475&lt;$H$2),0,MIN($E495-SUM($G495:L495),$F495))</f>
        <v>0</v>
      </c>
      <c r="N495" s="424">
        <f>IF(OR(N$475&lt;$C495,N$475&lt;$H$2),0,MIN($E495-SUM($G495:M495),$F495))</f>
        <v>0</v>
      </c>
      <c r="O495" s="424">
        <f>IF(OR(O$475&lt;$C495,O$475&lt;$H$2),0,MIN($E495-SUM($G495:N495),$F495))</f>
        <v>0</v>
      </c>
      <c r="P495" s="424">
        <f>IF(OR(P$475&lt;$C495,P$475&lt;$H$2),0,MIN($E495-SUM($G495:O495),$F495))</f>
        <v>0</v>
      </c>
      <c r="Q495" s="424">
        <f>IF(OR(Q$475&lt;$C495,Q$475&lt;$H$2),0,MIN($E495-SUM($G495:P495),$F495))</f>
        <v>0</v>
      </c>
      <c r="R495" s="424">
        <f>IF(OR(R$475&lt;$C495,R$475&lt;$H$2),0,MIN($E495-SUM($G495:Q495),$F495))</f>
        <v>0</v>
      </c>
      <c r="S495" s="424">
        <f>IF(OR(S$475&lt;$C495,S$475&lt;$H$2),0,MIN($E495-SUM($G495:R495),$F495))</f>
        <v>0</v>
      </c>
      <c r="T495" s="424">
        <f>IF(OR(T$475&lt;$C495,T$475&lt;$H$2),0,MIN($E495-SUM($G495:S495),$F495))</f>
        <v>0</v>
      </c>
      <c r="U495" s="424">
        <f>IF(OR(U$475&lt;$C495,U$475&lt;$H$2),0,MIN($E495-SUM($G495:T495),$F495))</f>
        <v>0</v>
      </c>
      <c r="V495" s="424">
        <f>IF(OR(V$475&lt;$C495,V$475&lt;$H$2),0,MIN($E495-SUM($G495:U495),$F495))</f>
        <v>0</v>
      </c>
      <c r="W495" s="424">
        <f>IF(OR(W$475&lt;$C495,W$475&lt;$H$2),0,MIN($E495-SUM($G495:V495),$F495))</f>
        <v>0</v>
      </c>
      <c r="X495" s="424">
        <f>IF(OR(X$475&lt;$C495,X$475&lt;$H$2),0,MIN($E495-SUM($G495:W495),$F495))</f>
        <v>0</v>
      </c>
      <c r="Y495" s="424">
        <f>IF(OR(Y$475&lt;$C495,Y$475&lt;$H$2),0,MIN($E495-SUM($G495:X495),$F495))</f>
        <v>0</v>
      </c>
      <c r="Z495" s="424">
        <f>IF(OR(Z$475&lt;$C495,Z$475&lt;$H$2),0,MIN($E495-SUM($G495:Y495),$F495))</f>
        <v>0</v>
      </c>
      <c r="AA495" s="424">
        <f>IF(OR(AA$475&lt;$C495,AA$475&lt;$H$2),0,MIN($E495-SUM($G495:Z495),$F495))</f>
        <v>0</v>
      </c>
      <c r="AB495" s="424">
        <f>IF(OR(AB$475&lt;$C495,AB$475&lt;$H$2),0,MIN($E495-SUM($G495:AA495),$F495))</f>
        <v>0</v>
      </c>
      <c r="AC495" s="424">
        <f>IF(OR(AC$475&lt;$C495,AC$475&lt;$H$2),0,MIN($E495-SUM($G495:AB495),$F495))</f>
        <v>0</v>
      </c>
      <c r="AD495" s="424">
        <f>IF(OR(AD$475&lt;$C495,AD$475&lt;$H$2),0,MIN($E495-SUM($G495:AC495),$F495))</f>
        <v>0</v>
      </c>
      <c r="AE495" s="424">
        <f>IF(OR(AE$475&lt;$C495,AE$475&lt;$H$2),0,MIN($E495-SUM($G495:AD495),$F495))</f>
        <v>0</v>
      </c>
      <c r="AF495" s="424">
        <f>IF(OR(AF$475&lt;$C495,AF$475&lt;$H$2),0,MIN($E495-SUM($G495:AE495),$F495))</f>
        <v>0</v>
      </c>
      <c r="AG495" s="424">
        <f>IF(OR(AG$475&lt;$C495,AG$475&lt;$H$2),0,MIN($E495-SUM($G495:AF495),$F495))</f>
        <v>0</v>
      </c>
      <c r="AH495" s="424">
        <f>IF(OR(AH$475&lt;$C495,AH$475&lt;$H$2),0,MIN($E495-SUM($G495:AG495),$F495))</f>
        <v>0</v>
      </c>
      <c r="AI495" s="424">
        <f>IF(OR(AI$475&lt;$C495,AI$475&lt;$H$2),0,MIN($E495-SUM($G495:AH495),$F495))</f>
        <v>0</v>
      </c>
      <c r="AJ495" s="424">
        <f>IF(OR(AJ$475&lt;$C495,AJ$475&lt;$H$2),0,MIN($E495-SUM($G495:AI495),$F495))</f>
        <v>0</v>
      </c>
      <c r="AK495" s="424">
        <f>IF(OR(AK$475&lt;$C495,AK$475&lt;$H$2),0,MIN($E495-SUM($G495:AJ495),$F495))</f>
        <v>0</v>
      </c>
    </row>
    <row r="496" spans="3:37">
      <c r="C496" s="201">
        <v>52611</v>
      </c>
      <c r="D496" s="94" t="s">
        <v>134</v>
      </c>
      <c r="E496" s="424">
        <f t="shared" si="138"/>
        <v>0</v>
      </c>
      <c r="F496" s="209">
        <f t="shared" si="139"/>
        <v>0</v>
      </c>
      <c r="H496" s="424">
        <f>IF(OR(H$475&lt;$C496,H$475&lt;$H$2),0,MIN($E496-SUM($G496:G496),$F496))</f>
        <v>0</v>
      </c>
      <c r="I496" s="424">
        <f>IF(OR(I$475&lt;$C496,I$475&lt;$H$2),0,MIN($E496-SUM($G496:H496),$F496))</f>
        <v>0</v>
      </c>
      <c r="J496" s="424">
        <f>IF(OR(J$475&lt;$C496,J$475&lt;$H$2),0,MIN($E496-SUM($G496:I496),$F496))</f>
        <v>0</v>
      </c>
      <c r="K496" s="424">
        <f>IF(OR(K$475&lt;$C496,K$475&lt;$H$2),0,MIN($E496-SUM($G496:J496),$F496))</f>
        <v>0</v>
      </c>
      <c r="L496" s="424">
        <f>IF(OR(L$475&lt;$C496,L$475&lt;$H$2),0,MIN($E496-SUM($G496:K496),$F496))</f>
        <v>0</v>
      </c>
      <c r="M496" s="424">
        <f>IF(OR(M$475&lt;$C496,M$475&lt;$H$2),0,MIN($E496-SUM($G496:L496),$F496))</f>
        <v>0</v>
      </c>
      <c r="N496" s="424">
        <f>IF(OR(N$475&lt;$C496,N$475&lt;$H$2),0,MIN($E496-SUM($G496:M496),$F496))</f>
        <v>0</v>
      </c>
      <c r="O496" s="424">
        <f>IF(OR(O$475&lt;$C496,O$475&lt;$H$2),0,MIN($E496-SUM($G496:N496),$F496))</f>
        <v>0</v>
      </c>
      <c r="P496" s="424">
        <f>IF(OR(P$475&lt;$C496,P$475&lt;$H$2),0,MIN($E496-SUM($G496:O496),$F496))</f>
        <v>0</v>
      </c>
      <c r="Q496" s="424">
        <f>IF(OR(Q$475&lt;$C496,Q$475&lt;$H$2),0,MIN($E496-SUM($G496:P496),$F496))</f>
        <v>0</v>
      </c>
      <c r="R496" s="424">
        <f>IF(OR(R$475&lt;$C496,R$475&lt;$H$2),0,MIN($E496-SUM($G496:Q496),$F496))</f>
        <v>0</v>
      </c>
      <c r="S496" s="424">
        <f>IF(OR(S$475&lt;$C496,S$475&lt;$H$2),0,MIN($E496-SUM($G496:R496),$F496))</f>
        <v>0</v>
      </c>
      <c r="T496" s="424">
        <f>IF(OR(T$475&lt;$C496,T$475&lt;$H$2),0,MIN($E496-SUM($G496:S496),$F496))</f>
        <v>0</v>
      </c>
      <c r="U496" s="424">
        <f>IF(OR(U$475&lt;$C496,U$475&lt;$H$2),0,MIN($E496-SUM($G496:T496),$F496))</f>
        <v>0</v>
      </c>
      <c r="V496" s="424">
        <f>IF(OR(V$475&lt;$C496,V$475&lt;$H$2),0,MIN($E496-SUM($G496:U496),$F496))</f>
        <v>0</v>
      </c>
      <c r="W496" s="424">
        <f>IF(OR(W$475&lt;$C496,W$475&lt;$H$2),0,MIN($E496-SUM($G496:V496),$F496))</f>
        <v>0</v>
      </c>
      <c r="X496" s="424">
        <f>IF(OR(X$475&lt;$C496,X$475&lt;$H$2),0,MIN($E496-SUM($G496:W496),$F496))</f>
        <v>0</v>
      </c>
      <c r="Y496" s="424">
        <f>IF(OR(Y$475&lt;$C496,Y$475&lt;$H$2),0,MIN($E496-SUM($G496:X496),$F496))</f>
        <v>0</v>
      </c>
      <c r="Z496" s="424">
        <f>IF(OR(Z$475&lt;$C496,Z$475&lt;$H$2),0,MIN($E496-SUM($G496:Y496),$F496))</f>
        <v>0</v>
      </c>
      <c r="AA496" s="424">
        <f>IF(OR(AA$475&lt;$C496,AA$475&lt;$H$2),0,MIN($E496-SUM($G496:Z496),$F496))</f>
        <v>0</v>
      </c>
      <c r="AB496" s="424">
        <f>IF(OR(AB$475&lt;$C496,AB$475&lt;$H$2),0,MIN($E496-SUM($G496:AA496),$F496))</f>
        <v>0</v>
      </c>
      <c r="AC496" s="424">
        <f>IF(OR(AC$475&lt;$C496,AC$475&lt;$H$2),0,MIN($E496-SUM($G496:AB496),$F496))</f>
        <v>0</v>
      </c>
      <c r="AD496" s="424">
        <f>IF(OR(AD$475&lt;$C496,AD$475&lt;$H$2),0,MIN($E496-SUM($G496:AC496),$F496))</f>
        <v>0</v>
      </c>
      <c r="AE496" s="424">
        <f>IF(OR(AE$475&lt;$C496,AE$475&lt;$H$2),0,MIN($E496-SUM($G496:AD496),$F496))</f>
        <v>0</v>
      </c>
      <c r="AF496" s="424">
        <f>IF(OR(AF$475&lt;$C496,AF$475&lt;$H$2),0,MIN($E496-SUM($G496:AE496),$F496))</f>
        <v>0</v>
      </c>
      <c r="AG496" s="424">
        <f>IF(OR(AG$475&lt;$C496,AG$475&lt;$H$2),0,MIN($E496-SUM($G496:AF496),$F496))</f>
        <v>0</v>
      </c>
      <c r="AH496" s="424">
        <f>IF(OR(AH$475&lt;$C496,AH$475&lt;$H$2),0,MIN($E496-SUM($G496:AG496),$F496))</f>
        <v>0</v>
      </c>
      <c r="AI496" s="424">
        <f>IF(OR(AI$475&lt;$C496,AI$475&lt;$H$2),0,MIN($E496-SUM($G496:AH496),$F496))</f>
        <v>0</v>
      </c>
      <c r="AJ496" s="424">
        <f>IF(OR(AJ$475&lt;$C496,AJ$475&lt;$H$2),0,MIN($E496-SUM($G496:AI496),$F496))</f>
        <v>0</v>
      </c>
      <c r="AK496" s="424">
        <f>IF(OR(AK$475&lt;$C496,AK$475&lt;$H$2),0,MIN($E496-SUM($G496:AJ496),$F496))</f>
        <v>0</v>
      </c>
    </row>
    <row r="497" spans="3:37">
      <c r="C497" s="201">
        <v>52977</v>
      </c>
      <c r="D497" s="94" t="s">
        <v>134</v>
      </c>
      <c r="E497" s="424">
        <f t="shared" si="138"/>
        <v>0</v>
      </c>
      <c r="F497" s="209">
        <f t="shared" si="139"/>
        <v>0</v>
      </c>
      <c r="H497" s="424">
        <f>IF(OR(H$475&lt;$C497,H$475&lt;$H$2),0,MIN($E497-SUM($G497:G497),$F497))</f>
        <v>0</v>
      </c>
      <c r="I497" s="424">
        <f>IF(OR(I$475&lt;$C497,I$475&lt;$H$2),0,MIN($E497-SUM($G497:H497),$F497))</f>
        <v>0</v>
      </c>
      <c r="J497" s="424">
        <f>IF(OR(J$475&lt;$C497,J$475&lt;$H$2),0,MIN($E497-SUM($G497:I497),$F497))</f>
        <v>0</v>
      </c>
      <c r="K497" s="424">
        <f>IF(OR(K$475&lt;$C497,K$475&lt;$H$2),0,MIN($E497-SUM($G497:J497),$F497))</f>
        <v>0</v>
      </c>
      <c r="L497" s="424">
        <f>IF(OR(L$475&lt;$C497,L$475&lt;$H$2),0,MIN($E497-SUM($G497:K497),$F497))</f>
        <v>0</v>
      </c>
      <c r="M497" s="424">
        <f>IF(OR(M$475&lt;$C497,M$475&lt;$H$2),0,MIN($E497-SUM($G497:L497),$F497))</f>
        <v>0</v>
      </c>
      <c r="N497" s="424">
        <f>IF(OR(N$475&lt;$C497,N$475&lt;$H$2),0,MIN($E497-SUM($G497:M497),$F497))</f>
        <v>0</v>
      </c>
      <c r="O497" s="424">
        <f>IF(OR(O$475&lt;$C497,O$475&lt;$H$2),0,MIN($E497-SUM($G497:N497),$F497))</f>
        <v>0</v>
      </c>
      <c r="P497" s="424">
        <f>IF(OR(P$475&lt;$C497,P$475&lt;$H$2),0,MIN($E497-SUM($G497:O497),$F497))</f>
        <v>0</v>
      </c>
      <c r="Q497" s="424">
        <f>IF(OR(Q$475&lt;$C497,Q$475&lt;$H$2),0,MIN($E497-SUM($G497:P497),$F497))</f>
        <v>0</v>
      </c>
      <c r="R497" s="424">
        <f>IF(OR(R$475&lt;$C497,R$475&lt;$H$2),0,MIN($E497-SUM($G497:Q497),$F497))</f>
        <v>0</v>
      </c>
      <c r="S497" s="424">
        <f>IF(OR(S$475&lt;$C497,S$475&lt;$H$2),0,MIN($E497-SUM($G497:R497),$F497))</f>
        <v>0</v>
      </c>
      <c r="T497" s="424">
        <f>IF(OR(T$475&lt;$C497,T$475&lt;$H$2),0,MIN($E497-SUM($G497:S497),$F497))</f>
        <v>0</v>
      </c>
      <c r="U497" s="424">
        <f>IF(OR(U$475&lt;$C497,U$475&lt;$H$2),0,MIN($E497-SUM($G497:T497),$F497))</f>
        <v>0</v>
      </c>
      <c r="V497" s="424">
        <f>IF(OR(V$475&lt;$C497,V$475&lt;$H$2),0,MIN($E497-SUM($G497:U497),$F497))</f>
        <v>0</v>
      </c>
      <c r="W497" s="424">
        <f>IF(OR(W$475&lt;$C497,W$475&lt;$H$2),0,MIN($E497-SUM($G497:V497),$F497))</f>
        <v>0</v>
      </c>
      <c r="X497" s="424">
        <f>IF(OR(X$475&lt;$C497,X$475&lt;$H$2),0,MIN($E497-SUM($G497:W497),$F497))</f>
        <v>0</v>
      </c>
      <c r="Y497" s="424">
        <f>IF(OR(Y$475&lt;$C497,Y$475&lt;$H$2),0,MIN($E497-SUM($G497:X497),$F497))</f>
        <v>0</v>
      </c>
      <c r="Z497" s="424">
        <f>IF(OR(Z$475&lt;$C497,Z$475&lt;$H$2),0,MIN($E497-SUM($G497:Y497),$F497))</f>
        <v>0</v>
      </c>
      <c r="AA497" s="424">
        <f>IF(OR(AA$475&lt;$C497,AA$475&lt;$H$2),0,MIN($E497-SUM($G497:Z497),$F497))</f>
        <v>0</v>
      </c>
      <c r="AB497" s="424">
        <f>IF(OR(AB$475&lt;$C497,AB$475&lt;$H$2),0,MIN($E497-SUM($G497:AA497),$F497))</f>
        <v>0</v>
      </c>
      <c r="AC497" s="424">
        <f>IF(OR(AC$475&lt;$C497,AC$475&lt;$H$2),0,MIN($E497-SUM($G497:AB497),$F497))</f>
        <v>0</v>
      </c>
      <c r="AD497" s="424">
        <f>IF(OR(AD$475&lt;$C497,AD$475&lt;$H$2),0,MIN($E497-SUM($G497:AC497),$F497))</f>
        <v>0</v>
      </c>
      <c r="AE497" s="424">
        <f>IF(OR(AE$475&lt;$C497,AE$475&lt;$H$2),0,MIN($E497-SUM($G497:AD497),$F497))</f>
        <v>0</v>
      </c>
      <c r="AF497" s="424">
        <f>IF(OR(AF$475&lt;$C497,AF$475&lt;$H$2),0,MIN($E497-SUM($G497:AE497),$F497))</f>
        <v>0</v>
      </c>
      <c r="AG497" s="424">
        <f>IF(OR(AG$475&lt;$C497,AG$475&lt;$H$2),0,MIN($E497-SUM($G497:AF497),$F497))</f>
        <v>0</v>
      </c>
      <c r="AH497" s="424">
        <f>IF(OR(AH$475&lt;$C497,AH$475&lt;$H$2),0,MIN($E497-SUM($G497:AG497),$F497))</f>
        <v>0</v>
      </c>
      <c r="AI497" s="424">
        <f>IF(OR(AI$475&lt;$C497,AI$475&lt;$H$2),0,MIN($E497-SUM($G497:AH497),$F497))</f>
        <v>0</v>
      </c>
      <c r="AJ497" s="424">
        <f>IF(OR(AJ$475&lt;$C497,AJ$475&lt;$H$2),0,MIN($E497-SUM($G497:AI497),$F497))</f>
        <v>0</v>
      </c>
      <c r="AK497" s="424">
        <f>IF(OR(AK$475&lt;$C497,AK$475&lt;$H$2),0,MIN($E497-SUM($G497:AJ497),$F497))</f>
        <v>0</v>
      </c>
    </row>
    <row r="498" spans="3:37">
      <c r="C498" s="201">
        <v>53343</v>
      </c>
      <c r="D498" s="94" t="s">
        <v>134</v>
      </c>
      <c r="E498" s="424">
        <f t="shared" si="138"/>
        <v>0</v>
      </c>
      <c r="F498" s="209">
        <f t="shared" si="139"/>
        <v>0</v>
      </c>
      <c r="H498" s="424">
        <f>IF(OR(H$475&lt;$C498,H$475&lt;$H$2),0,MIN($E498-SUM($G498:G498),$F498))</f>
        <v>0</v>
      </c>
      <c r="I498" s="424">
        <f>IF(OR(I$475&lt;$C498,I$475&lt;$H$2),0,MIN($E498-SUM($G498:H498),$F498))</f>
        <v>0</v>
      </c>
      <c r="J498" s="424">
        <f>IF(OR(J$475&lt;$C498,J$475&lt;$H$2),0,MIN($E498-SUM($G498:I498),$F498))</f>
        <v>0</v>
      </c>
      <c r="K498" s="424">
        <f>IF(OR(K$475&lt;$C498,K$475&lt;$H$2),0,MIN($E498-SUM($G498:J498),$F498))</f>
        <v>0</v>
      </c>
      <c r="L498" s="424">
        <f>IF(OR(L$475&lt;$C498,L$475&lt;$H$2),0,MIN($E498-SUM($G498:K498),$F498))</f>
        <v>0</v>
      </c>
      <c r="M498" s="424">
        <f>IF(OR(M$475&lt;$C498,M$475&lt;$H$2),0,MIN($E498-SUM($G498:L498),$F498))</f>
        <v>0</v>
      </c>
      <c r="N498" s="424">
        <f>IF(OR(N$475&lt;$C498,N$475&lt;$H$2),0,MIN($E498-SUM($G498:M498),$F498))</f>
        <v>0</v>
      </c>
      <c r="O498" s="424">
        <f>IF(OR(O$475&lt;$C498,O$475&lt;$H$2),0,MIN($E498-SUM($G498:N498),$F498))</f>
        <v>0</v>
      </c>
      <c r="P498" s="424">
        <f>IF(OR(P$475&lt;$C498,P$475&lt;$H$2),0,MIN($E498-SUM($G498:O498),$F498))</f>
        <v>0</v>
      </c>
      <c r="Q498" s="424">
        <f>IF(OR(Q$475&lt;$C498,Q$475&lt;$H$2),0,MIN($E498-SUM($G498:P498),$F498))</f>
        <v>0</v>
      </c>
      <c r="R498" s="424">
        <f>IF(OR(R$475&lt;$C498,R$475&lt;$H$2),0,MIN($E498-SUM($G498:Q498),$F498))</f>
        <v>0</v>
      </c>
      <c r="S498" s="424">
        <f>IF(OR(S$475&lt;$C498,S$475&lt;$H$2),0,MIN($E498-SUM($G498:R498),$F498))</f>
        <v>0</v>
      </c>
      <c r="T498" s="424">
        <f>IF(OR(T$475&lt;$C498,T$475&lt;$H$2),0,MIN($E498-SUM($G498:S498),$F498))</f>
        <v>0</v>
      </c>
      <c r="U498" s="424">
        <f>IF(OR(U$475&lt;$C498,U$475&lt;$H$2),0,MIN($E498-SUM($G498:T498),$F498))</f>
        <v>0</v>
      </c>
      <c r="V498" s="424">
        <f>IF(OR(V$475&lt;$C498,V$475&lt;$H$2),0,MIN($E498-SUM($G498:U498),$F498))</f>
        <v>0</v>
      </c>
      <c r="W498" s="424">
        <f>IF(OR(W$475&lt;$C498,W$475&lt;$H$2),0,MIN($E498-SUM($G498:V498),$F498))</f>
        <v>0</v>
      </c>
      <c r="X498" s="424">
        <f>IF(OR(X$475&lt;$C498,X$475&lt;$H$2),0,MIN($E498-SUM($G498:W498),$F498))</f>
        <v>0</v>
      </c>
      <c r="Y498" s="424">
        <f>IF(OR(Y$475&lt;$C498,Y$475&lt;$H$2),0,MIN($E498-SUM($G498:X498),$F498))</f>
        <v>0</v>
      </c>
      <c r="Z498" s="424">
        <f>IF(OR(Z$475&lt;$C498,Z$475&lt;$H$2),0,MIN($E498-SUM($G498:Y498),$F498))</f>
        <v>0</v>
      </c>
      <c r="AA498" s="424">
        <f>IF(OR(AA$475&lt;$C498,AA$475&lt;$H$2),0,MIN($E498-SUM($G498:Z498),$F498))</f>
        <v>0</v>
      </c>
      <c r="AB498" s="424">
        <f>IF(OR(AB$475&lt;$C498,AB$475&lt;$H$2),0,MIN($E498-SUM($G498:AA498),$F498))</f>
        <v>0</v>
      </c>
      <c r="AC498" s="424">
        <f>IF(OR(AC$475&lt;$C498,AC$475&lt;$H$2),0,MIN($E498-SUM($G498:AB498),$F498))</f>
        <v>0</v>
      </c>
      <c r="AD498" s="424">
        <f>IF(OR(AD$475&lt;$C498,AD$475&lt;$H$2),0,MIN($E498-SUM($G498:AC498),$F498))</f>
        <v>0</v>
      </c>
      <c r="AE498" s="424">
        <f>IF(OR(AE$475&lt;$C498,AE$475&lt;$H$2),0,MIN($E498-SUM($G498:AD498),$F498))</f>
        <v>0</v>
      </c>
      <c r="AF498" s="424">
        <f>IF(OR(AF$475&lt;$C498,AF$475&lt;$H$2),0,MIN($E498-SUM($G498:AE498),$F498))</f>
        <v>0</v>
      </c>
      <c r="AG498" s="424">
        <f>IF(OR(AG$475&lt;$C498,AG$475&lt;$H$2),0,MIN($E498-SUM($G498:AF498),$F498))</f>
        <v>0</v>
      </c>
      <c r="AH498" s="424">
        <f>IF(OR(AH$475&lt;$C498,AH$475&lt;$H$2),0,MIN($E498-SUM($G498:AG498),$F498))</f>
        <v>0</v>
      </c>
      <c r="AI498" s="424">
        <f>IF(OR(AI$475&lt;$C498,AI$475&lt;$H$2),0,MIN($E498-SUM($G498:AH498),$F498))</f>
        <v>0</v>
      </c>
      <c r="AJ498" s="424">
        <f>IF(OR(AJ$475&lt;$C498,AJ$475&lt;$H$2),0,MIN($E498-SUM($G498:AI498),$F498))</f>
        <v>0</v>
      </c>
      <c r="AK498" s="424">
        <f>IF(OR(AK$475&lt;$C498,AK$475&lt;$H$2),0,MIN($E498-SUM($G498:AJ498),$F498))</f>
        <v>0</v>
      </c>
    </row>
    <row r="499" spans="3:37">
      <c r="C499" s="201">
        <v>53709</v>
      </c>
      <c r="D499" s="94" t="s">
        <v>134</v>
      </c>
      <c r="E499" s="424">
        <f t="shared" si="138"/>
        <v>0</v>
      </c>
      <c r="F499" s="209">
        <f t="shared" si="139"/>
        <v>0</v>
      </c>
      <c r="H499" s="424">
        <f>IF(OR(H$475&lt;$C499,H$475&lt;$H$2),0,MIN($E499-SUM($G499:G499),$F499))</f>
        <v>0</v>
      </c>
      <c r="I499" s="424">
        <f>IF(OR(I$475&lt;$C499,I$475&lt;$H$2),0,MIN($E499-SUM($G499:H499),$F499))</f>
        <v>0</v>
      </c>
      <c r="J499" s="424">
        <f>IF(OR(J$475&lt;$C499,J$475&lt;$H$2),0,MIN($E499-SUM($G499:I499),$F499))</f>
        <v>0</v>
      </c>
      <c r="K499" s="424">
        <f>IF(OR(K$475&lt;$C499,K$475&lt;$H$2),0,MIN($E499-SUM($G499:J499),$F499))</f>
        <v>0</v>
      </c>
      <c r="L499" s="424">
        <f>IF(OR(L$475&lt;$C499,L$475&lt;$H$2),0,MIN($E499-SUM($G499:K499),$F499))</f>
        <v>0</v>
      </c>
      <c r="M499" s="424">
        <f>IF(OR(M$475&lt;$C499,M$475&lt;$H$2),0,MIN($E499-SUM($G499:L499),$F499))</f>
        <v>0</v>
      </c>
      <c r="N499" s="424">
        <f>IF(OR(N$475&lt;$C499,N$475&lt;$H$2),0,MIN($E499-SUM($G499:M499),$F499))</f>
        <v>0</v>
      </c>
      <c r="O499" s="424">
        <f>IF(OR(O$475&lt;$C499,O$475&lt;$H$2),0,MIN($E499-SUM($G499:N499),$F499))</f>
        <v>0</v>
      </c>
      <c r="P499" s="424">
        <f>IF(OR(P$475&lt;$C499,P$475&lt;$H$2),0,MIN($E499-SUM($G499:O499),$F499))</f>
        <v>0</v>
      </c>
      <c r="Q499" s="424">
        <f>IF(OR(Q$475&lt;$C499,Q$475&lt;$H$2),0,MIN($E499-SUM($G499:P499),$F499))</f>
        <v>0</v>
      </c>
      <c r="R499" s="424">
        <f>IF(OR(R$475&lt;$C499,R$475&lt;$H$2),0,MIN($E499-SUM($G499:Q499),$F499))</f>
        <v>0</v>
      </c>
      <c r="S499" s="424">
        <f>IF(OR(S$475&lt;$C499,S$475&lt;$H$2),0,MIN($E499-SUM($G499:R499),$F499))</f>
        <v>0</v>
      </c>
      <c r="T499" s="424">
        <f>IF(OR(T$475&lt;$C499,T$475&lt;$H$2),0,MIN($E499-SUM($G499:S499),$F499))</f>
        <v>0</v>
      </c>
      <c r="U499" s="424">
        <f>IF(OR(U$475&lt;$C499,U$475&lt;$H$2),0,MIN($E499-SUM($G499:T499),$F499))</f>
        <v>0</v>
      </c>
      <c r="V499" s="424">
        <f>IF(OR(V$475&lt;$C499,V$475&lt;$H$2),0,MIN($E499-SUM($G499:U499),$F499))</f>
        <v>0</v>
      </c>
      <c r="W499" s="424">
        <f>IF(OR(W$475&lt;$C499,W$475&lt;$H$2),0,MIN($E499-SUM($G499:V499),$F499))</f>
        <v>0</v>
      </c>
      <c r="X499" s="424">
        <f>IF(OR(X$475&lt;$C499,X$475&lt;$H$2),0,MIN($E499-SUM($G499:W499),$F499))</f>
        <v>0</v>
      </c>
      <c r="Y499" s="424">
        <f>IF(OR(Y$475&lt;$C499,Y$475&lt;$H$2),0,MIN($E499-SUM($G499:X499),$F499))</f>
        <v>0</v>
      </c>
      <c r="Z499" s="424">
        <f>IF(OR(Z$475&lt;$C499,Z$475&lt;$H$2),0,MIN($E499-SUM($G499:Y499),$F499))</f>
        <v>0</v>
      </c>
      <c r="AA499" s="424">
        <f>IF(OR(AA$475&lt;$C499,AA$475&lt;$H$2),0,MIN($E499-SUM($G499:Z499),$F499))</f>
        <v>0</v>
      </c>
      <c r="AB499" s="424">
        <f>IF(OR(AB$475&lt;$C499,AB$475&lt;$H$2),0,MIN($E499-SUM($G499:AA499),$F499))</f>
        <v>0</v>
      </c>
      <c r="AC499" s="424">
        <f>IF(OR(AC$475&lt;$C499,AC$475&lt;$H$2),0,MIN($E499-SUM($G499:AB499),$F499))</f>
        <v>0</v>
      </c>
      <c r="AD499" s="424">
        <f>IF(OR(AD$475&lt;$C499,AD$475&lt;$H$2),0,MIN($E499-SUM($G499:AC499),$F499))</f>
        <v>0</v>
      </c>
      <c r="AE499" s="424">
        <f>IF(OR(AE$475&lt;$C499,AE$475&lt;$H$2),0,MIN($E499-SUM($G499:AD499),$F499))</f>
        <v>0</v>
      </c>
      <c r="AF499" s="424">
        <f>IF(OR(AF$475&lt;$C499,AF$475&lt;$H$2),0,MIN($E499-SUM($G499:AE499),$F499))</f>
        <v>0</v>
      </c>
      <c r="AG499" s="424">
        <f>IF(OR(AG$475&lt;$C499,AG$475&lt;$H$2),0,MIN($E499-SUM($G499:AF499),$F499))</f>
        <v>0</v>
      </c>
      <c r="AH499" s="424">
        <f>IF(OR(AH$475&lt;$C499,AH$475&lt;$H$2),0,MIN($E499-SUM($G499:AG499),$F499))</f>
        <v>0</v>
      </c>
      <c r="AI499" s="424">
        <f>IF(OR(AI$475&lt;$C499,AI$475&lt;$H$2),0,MIN($E499-SUM($G499:AH499),$F499))</f>
        <v>0</v>
      </c>
      <c r="AJ499" s="424">
        <f>IF(OR(AJ$475&lt;$C499,AJ$475&lt;$H$2),0,MIN($E499-SUM($G499:AI499),$F499))</f>
        <v>0</v>
      </c>
      <c r="AK499" s="424">
        <f>IF(OR(AK$475&lt;$C499,AK$475&lt;$H$2),0,MIN($E499-SUM($G499:AJ499),$F499))</f>
        <v>0</v>
      </c>
    </row>
    <row r="500" spans="3:37">
      <c r="C500" s="201">
        <v>54075</v>
      </c>
      <c r="D500" s="94" t="s">
        <v>134</v>
      </c>
      <c r="E500" s="424">
        <f t="shared" si="138"/>
        <v>0</v>
      </c>
      <c r="F500" s="209">
        <f t="shared" si="139"/>
        <v>0</v>
      </c>
      <c r="H500" s="424">
        <f>IF(OR(H$475&lt;$C500,H$475&lt;$H$2),0,MIN($E500-SUM($G500:G500),$F500))</f>
        <v>0</v>
      </c>
      <c r="I500" s="424">
        <f>IF(OR(I$475&lt;$C500,I$475&lt;$H$2),0,MIN($E500-SUM($G500:H500),$F500))</f>
        <v>0</v>
      </c>
      <c r="J500" s="424">
        <f>IF(OR(J$475&lt;$C500,J$475&lt;$H$2),0,MIN($E500-SUM($G500:I500),$F500))</f>
        <v>0</v>
      </c>
      <c r="K500" s="424">
        <f>IF(OR(K$475&lt;$C500,K$475&lt;$H$2),0,MIN($E500-SUM($G500:J500),$F500))</f>
        <v>0</v>
      </c>
      <c r="L500" s="424">
        <f>IF(OR(L$475&lt;$C500,L$475&lt;$H$2),0,MIN($E500-SUM($G500:K500),$F500))</f>
        <v>0</v>
      </c>
      <c r="M500" s="424">
        <f>IF(OR(M$475&lt;$C500,M$475&lt;$H$2),0,MIN($E500-SUM($G500:L500),$F500))</f>
        <v>0</v>
      </c>
      <c r="N500" s="424">
        <f>IF(OR(N$475&lt;$C500,N$475&lt;$H$2),0,MIN($E500-SUM($G500:M500),$F500))</f>
        <v>0</v>
      </c>
      <c r="O500" s="424">
        <f>IF(OR(O$475&lt;$C500,O$475&lt;$H$2),0,MIN($E500-SUM($G500:N500),$F500))</f>
        <v>0</v>
      </c>
      <c r="P500" s="424">
        <f>IF(OR(P$475&lt;$C500,P$475&lt;$H$2),0,MIN($E500-SUM($G500:O500),$F500))</f>
        <v>0</v>
      </c>
      <c r="Q500" s="424">
        <f>IF(OR(Q$475&lt;$C500,Q$475&lt;$H$2),0,MIN($E500-SUM($G500:P500),$F500))</f>
        <v>0</v>
      </c>
      <c r="R500" s="424">
        <f>IF(OR(R$475&lt;$C500,R$475&lt;$H$2),0,MIN($E500-SUM($G500:Q500),$F500))</f>
        <v>0</v>
      </c>
      <c r="S500" s="424">
        <f>IF(OR(S$475&lt;$C500,S$475&lt;$H$2),0,MIN($E500-SUM($G500:R500),$F500))</f>
        <v>0</v>
      </c>
      <c r="T500" s="424">
        <f>IF(OR(T$475&lt;$C500,T$475&lt;$H$2),0,MIN($E500-SUM($G500:S500),$F500))</f>
        <v>0</v>
      </c>
      <c r="U500" s="424">
        <f>IF(OR(U$475&lt;$C500,U$475&lt;$H$2),0,MIN($E500-SUM($G500:T500),$F500))</f>
        <v>0</v>
      </c>
      <c r="V500" s="424">
        <f>IF(OR(V$475&lt;$C500,V$475&lt;$H$2),0,MIN($E500-SUM($G500:U500),$F500))</f>
        <v>0</v>
      </c>
      <c r="W500" s="424">
        <f>IF(OR(W$475&lt;$C500,W$475&lt;$H$2),0,MIN($E500-SUM($G500:V500),$F500))</f>
        <v>0</v>
      </c>
      <c r="X500" s="424">
        <f>IF(OR(X$475&lt;$C500,X$475&lt;$H$2),0,MIN($E500-SUM($G500:W500),$F500))</f>
        <v>0</v>
      </c>
      <c r="Y500" s="424">
        <f>IF(OR(Y$475&lt;$C500,Y$475&lt;$H$2),0,MIN($E500-SUM($G500:X500),$F500))</f>
        <v>0</v>
      </c>
      <c r="Z500" s="424">
        <f>IF(OR(Z$475&lt;$C500,Z$475&lt;$H$2),0,MIN($E500-SUM($G500:Y500),$F500))</f>
        <v>0</v>
      </c>
      <c r="AA500" s="424">
        <f>IF(OR(AA$475&lt;$C500,AA$475&lt;$H$2),0,MIN($E500-SUM($G500:Z500),$F500))</f>
        <v>0</v>
      </c>
      <c r="AB500" s="424">
        <f>IF(OR(AB$475&lt;$C500,AB$475&lt;$H$2),0,MIN($E500-SUM($G500:AA500),$F500))</f>
        <v>0</v>
      </c>
      <c r="AC500" s="424">
        <f>IF(OR(AC$475&lt;$C500,AC$475&lt;$H$2),0,MIN($E500-SUM($G500:AB500),$F500))</f>
        <v>0</v>
      </c>
      <c r="AD500" s="424">
        <f>IF(OR(AD$475&lt;$C500,AD$475&lt;$H$2),0,MIN($E500-SUM($G500:AC500),$F500))</f>
        <v>0</v>
      </c>
      <c r="AE500" s="424">
        <f>IF(OR(AE$475&lt;$C500,AE$475&lt;$H$2),0,MIN($E500-SUM($G500:AD500),$F500))</f>
        <v>0</v>
      </c>
      <c r="AF500" s="424">
        <f>IF(OR(AF$475&lt;$C500,AF$475&lt;$H$2),0,MIN($E500-SUM($G500:AE500),$F500))</f>
        <v>0</v>
      </c>
      <c r="AG500" s="424">
        <f>IF(OR(AG$475&lt;$C500,AG$475&lt;$H$2),0,MIN($E500-SUM($G500:AF500),$F500))</f>
        <v>0</v>
      </c>
      <c r="AH500" s="424">
        <f>IF(OR(AH$475&lt;$C500,AH$475&lt;$H$2),0,MIN($E500-SUM($G500:AG500),$F500))</f>
        <v>0</v>
      </c>
      <c r="AI500" s="424">
        <f>IF(OR(AI$475&lt;$C500,AI$475&lt;$H$2),0,MIN($E500-SUM($G500:AH500),$F500))</f>
        <v>0</v>
      </c>
      <c r="AJ500" s="424">
        <f>IF(OR(AJ$475&lt;$C500,AJ$475&lt;$H$2),0,MIN($E500-SUM($G500:AI500),$F500))</f>
        <v>0</v>
      </c>
      <c r="AK500" s="424">
        <f>IF(OR(AK$475&lt;$C500,AK$475&lt;$H$2),0,MIN($E500-SUM($G500:AJ500),$F500))</f>
        <v>0</v>
      </c>
    </row>
    <row r="501" spans="3:37">
      <c r="C501" s="201">
        <v>0</v>
      </c>
      <c r="D501" s="94" t="s">
        <v>134</v>
      </c>
      <c r="E501" s="424">
        <f t="shared" si="138"/>
        <v>0</v>
      </c>
      <c r="F501" s="209">
        <f t="shared" si="139"/>
        <v>0</v>
      </c>
      <c r="H501" s="424">
        <f>IF(OR(H$475&lt;$C501,H$475&lt;$H$2),0,MIN($E501-SUM($G501:G501),$F501))</f>
        <v>0</v>
      </c>
      <c r="I501" s="424">
        <f>IF(OR(I$475&lt;$C501,I$475&lt;$H$2),0,MIN($E501-SUM($G501:H501),$F501))</f>
        <v>0</v>
      </c>
      <c r="J501" s="424">
        <f>IF(OR(J$475&lt;$C501,J$475&lt;$H$2),0,MIN($E501-SUM($G501:I501),$F501))</f>
        <v>0</v>
      </c>
      <c r="K501" s="424">
        <f>IF(OR(K$475&lt;$C501,K$475&lt;$H$2),0,MIN($E501-SUM($G501:J501),$F501))</f>
        <v>0</v>
      </c>
      <c r="L501" s="424">
        <f>IF(OR(L$475&lt;$C501,L$475&lt;$H$2),0,MIN($E501-SUM($G501:K501),$F501))</f>
        <v>0</v>
      </c>
      <c r="M501" s="424">
        <f>IF(OR(M$475&lt;$C501,M$475&lt;$H$2),0,MIN($E501-SUM($G501:L501),$F501))</f>
        <v>0</v>
      </c>
      <c r="N501" s="424">
        <f>IF(OR(N$475&lt;$C501,N$475&lt;$H$2),0,MIN($E501-SUM($G501:M501),$F501))</f>
        <v>0</v>
      </c>
      <c r="O501" s="424">
        <f>IF(OR(O$475&lt;$C501,O$475&lt;$H$2),0,MIN($E501-SUM($G501:N501),$F501))</f>
        <v>0</v>
      </c>
      <c r="P501" s="424">
        <f>IF(OR(P$475&lt;$C501,P$475&lt;$H$2),0,MIN($E501-SUM($G501:O501),$F501))</f>
        <v>0</v>
      </c>
      <c r="Q501" s="424">
        <f>IF(OR(Q$475&lt;$C501,Q$475&lt;$H$2),0,MIN($E501-SUM($G501:P501),$F501))</f>
        <v>0</v>
      </c>
      <c r="R501" s="424">
        <f>IF(OR(R$475&lt;$C501,R$475&lt;$H$2),0,MIN($E501-SUM($G501:Q501),$F501))</f>
        <v>0</v>
      </c>
      <c r="S501" s="424">
        <f>IF(OR(S$475&lt;$C501,S$475&lt;$H$2),0,MIN($E501-SUM($G501:R501),$F501))</f>
        <v>0</v>
      </c>
      <c r="T501" s="424">
        <f>IF(OR(T$475&lt;$C501,T$475&lt;$H$2),0,MIN($E501-SUM($G501:S501),$F501))</f>
        <v>0</v>
      </c>
      <c r="U501" s="424">
        <f>IF(OR(U$475&lt;$C501,U$475&lt;$H$2),0,MIN($E501-SUM($G501:T501),$F501))</f>
        <v>0</v>
      </c>
      <c r="V501" s="424">
        <f>IF(OR(V$475&lt;$C501,V$475&lt;$H$2),0,MIN($E501-SUM($G501:U501),$F501))</f>
        <v>0</v>
      </c>
      <c r="W501" s="424">
        <f>IF(OR(W$475&lt;$C501,W$475&lt;$H$2),0,MIN($E501-SUM($G501:V501),$F501))</f>
        <v>0</v>
      </c>
      <c r="X501" s="424">
        <f>IF(OR(X$475&lt;$C501,X$475&lt;$H$2),0,MIN($E501-SUM($G501:W501),$F501))</f>
        <v>0</v>
      </c>
      <c r="Y501" s="424">
        <f>IF(OR(Y$475&lt;$C501,Y$475&lt;$H$2),0,MIN($E501-SUM($G501:X501),$F501))</f>
        <v>0</v>
      </c>
      <c r="Z501" s="424">
        <f>IF(OR(Z$475&lt;$C501,Z$475&lt;$H$2),0,MIN($E501-SUM($G501:Y501),$F501))</f>
        <v>0</v>
      </c>
      <c r="AA501" s="424">
        <f>IF(OR(AA$475&lt;$C501,AA$475&lt;$H$2),0,MIN($E501-SUM($G501:Z501),$F501))</f>
        <v>0</v>
      </c>
      <c r="AB501" s="424">
        <f>IF(OR(AB$475&lt;$C501,AB$475&lt;$H$2),0,MIN($E501-SUM($G501:AA501),$F501))</f>
        <v>0</v>
      </c>
      <c r="AC501" s="424">
        <f>IF(OR(AC$475&lt;$C501,AC$475&lt;$H$2),0,MIN($E501-SUM($G501:AB501),$F501))</f>
        <v>0</v>
      </c>
      <c r="AD501" s="424">
        <f>IF(OR(AD$475&lt;$C501,AD$475&lt;$H$2),0,MIN($E501-SUM($G501:AC501),$F501))</f>
        <v>0</v>
      </c>
      <c r="AE501" s="424">
        <f>IF(OR(AE$475&lt;$C501,AE$475&lt;$H$2),0,MIN($E501-SUM($G501:AD501),$F501))</f>
        <v>0</v>
      </c>
      <c r="AF501" s="424">
        <f>IF(OR(AF$475&lt;$C501,AF$475&lt;$H$2),0,MIN($E501-SUM($G501:AE501),$F501))</f>
        <v>0</v>
      </c>
      <c r="AG501" s="424">
        <f>IF(OR(AG$475&lt;$C501,AG$475&lt;$H$2),0,MIN($E501-SUM($G501:AF501),$F501))</f>
        <v>0</v>
      </c>
      <c r="AH501" s="424">
        <f>IF(OR(AH$475&lt;$C501,AH$475&lt;$H$2),0,MIN($E501-SUM($G501:AG501),$F501))</f>
        <v>0</v>
      </c>
      <c r="AI501" s="424">
        <f>IF(OR(AI$475&lt;$C501,AI$475&lt;$H$2),0,MIN($E501-SUM($G501:AH501),$F501))</f>
        <v>0</v>
      </c>
      <c r="AJ501" s="424">
        <f>IF(OR(AJ$475&lt;$C501,AJ$475&lt;$H$2),0,MIN($E501-SUM($G501:AI501),$F501))</f>
        <v>0</v>
      </c>
      <c r="AK501" s="424">
        <f>IF(OR(AK$475&lt;$C501,AK$475&lt;$H$2),0,MIN($E501-SUM($G501:AJ501),$F501))</f>
        <v>0</v>
      </c>
    </row>
    <row r="502" spans="3:37">
      <c r="C502" s="201">
        <v>0</v>
      </c>
      <c r="D502" s="94" t="s">
        <v>134</v>
      </c>
      <c r="E502" s="424">
        <f t="shared" si="138"/>
        <v>0</v>
      </c>
      <c r="F502" s="209">
        <f t="shared" si="139"/>
        <v>0</v>
      </c>
      <c r="H502" s="424">
        <f>IF(OR(H$475&lt;$C502,H$475&lt;$H$2),0,MIN($E502-SUM($G502:G502),$F502))</f>
        <v>0</v>
      </c>
      <c r="I502" s="424">
        <f>IF(OR(I$475&lt;$C502,I$475&lt;$H$2),0,MIN($E502-SUM($G502:H502),$F502))</f>
        <v>0</v>
      </c>
      <c r="J502" s="424">
        <f>IF(OR(J$475&lt;$C502,J$475&lt;$H$2),0,MIN($E502-SUM($G502:I502),$F502))</f>
        <v>0</v>
      </c>
      <c r="K502" s="424">
        <f>IF(OR(K$475&lt;$C502,K$475&lt;$H$2),0,MIN($E502-SUM($G502:J502),$F502))</f>
        <v>0</v>
      </c>
      <c r="L502" s="424">
        <f>IF(OR(L$475&lt;$C502,L$475&lt;$H$2),0,MIN($E502-SUM($G502:K502),$F502))</f>
        <v>0</v>
      </c>
      <c r="M502" s="424">
        <f>IF(OR(M$475&lt;$C502,M$475&lt;$H$2),0,MIN($E502-SUM($G502:L502),$F502))</f>
        <v>0</v>
      </c>
      <c r="N502" s="424">
        <f>IF(OR(N$475&lt;$C502,N$475&lt;$H$2),0,MIN($E502-SUM($G502:M502),$F502))</f>
        <v>0</v>
      </c>
      <c r="O502" s="424">
        <f>IF(OR(O$475&lt;$C502,O$475&lt;$H$2),0,MIN($E502-SUM($G502:N502),$F502))</f>
        <v>0</v>
      </c>
      <c r="P502" s="424">
        <f>IF(OR(P$475&lt;$C502,P$475&lt;$H$2),0,MIN($E502-SUM($G502:O502),$F502))</f>
        <v>0</v>
      </c>
      <c r="Q502" s="424">
        <f>IF(OR(Q$475&lt;$C502,Q$475&lt;$H$2),0,MIN($E502-SUM($G502:P502),$F502))</f>
        <v>0</v>
      </c>
      <c r="R502" s="424">
        <f>IF(OR(R$475&lt;$C502,R$475&lt;$H$2),0,MIN($E502-SUM($G502:Q502),$F502))</f>
        <v>0</v>
      </c>
      <c r="S502" s="424">
        <f>IF(OR(S$475&lt;$C502,S$475&lt;$H$2),0,MIN($E502-SUM($G502:R502),$F502))</f>
        <v>0</v>
      </c>
      <c r="T502" s="424">
        <f>IF(OR(T$475&lt;$C502,T$475&lt;$H$2),0,MIN($E502-SUM($G502:S502),$F502))</f>
        <v>0</v>
      </c>
      <c r="U502" s="424">
        <f>IF(OR(U$475&lt;$C502,U$475&lt;$H$2),0,MIN($E502-SUM($G502:T502),$F502))</f>
        <v>0</v>
      </c>
      <c r="V502" s="424">
        <f>IF(OR(V$475&lt;$C502,V$475&lt;$H$2),0,MIN($E502-SUM($G502:U502),$F502))</f>
        <v>0</v>
      </c>
      <c r="W502" s="424">
        <f>IF(OR(W$475&lt;$C502,W$475&lt;$H$2),0,MIN($E502-SUM($G502:V502),$F502))</f>
        <v>0</v>
      </c>
      <c r="X502" s="424">
        <f>IF(OR(X$475&lt;$C502,X$475&lt;$H$2),0,MIN($E502-SUM($G502:W502),$F502))</f>
        <v>0</v>
      </c>
      <c r="Y502" s="424">
        <f>IF(OR(Y$475&lt;$C502,Y$475&lt;$H$2),0,MIN($E502-SUM($G502:X502),$F502))</f>
        <v>0</v>
      </c>
      <c r="Z502" s="424">
        <f>IF(OR(Z$475&lt;$C502,Z$475&lt;$H$2),0,MIN($E502-SUM($G502:Y502),$F502))</f>
        <v>0</v>
      </c>
      <c r="AA502" s="424">
        <f>IF(OR(AA$475&lt;$C502,AA$475&lt;$H$2),0,MIN($E502-SUM($G502:Z502),$F502))</f>
        <v>0</v>
      </c>
      <c r="AB502" s="424">
        <f>IF(OR(AB$475&lt;$C502,AB$475&lt;$H$2),0,MIN($E502-SUM($G502:AA502),$F502))</f>
        <v>0</v>
      </c>
      <c r="AC502" s="424">
        <f>IF(OR(AC$475&lt;$C502,AC$475&lt;$H$2),0,MIN($E502-SUM($G502:AB502),$F502))</f>
        <v>0</v>
      </c>
      <c r="AD502" s="424">
        <f>IF(OR(AD$475&lt;$C502,AD$475&lt;$H$2),0,MIN($E502-SUM($G502:AC502),$F502))</f>
        <v>0</v>
      </c>
      <c r="AE502" s="424">
        <f>IF(OR(AE$475&lt;$C502,AE$475&lt;$H$2),0,MIN($E502-SUM($G502:AD502),$F502))</f>
        <v>0</v>
      </c>
      <c r="AF502" s="424">
        <f>IF(OR(AF$475&lt;$C502,AF$475&lt;$H$2),0,MIN($E502-SUM($G502:AE502),$F502))</f>
        <v>0</v>
      </c>
      <c r="AG502" s="424">
        <f>IF(OR(AG$475&lt;$C502,AG$475&lt;$H$2),0,MIN($E502-SUM($G502:AF502),$F502))</f>
        <v>0</v>
      </c>
      <c r="AH502" s="424">
        <f>IF(OR(AH$475&lt;$C502,AH$475&lt;$H$2),0,MIN($E502-SUM($G502:AG502),$F502))</f>
        <v>0</v>
      </c>
      <c r="AI502" s="424">
        <f>IF(OR(AI$475&lt;$C502,AI$475&lt;$H$2),0,MIN($E502-SUM($G502:AH502),$F502))</f>
        <v>0</v>
      </c>
      <c r="AJ502" s="424">
        <f>IF(OR(AJ$475&lt;$C502,AJ$475&lt;$H$2),0,MIN($E502-SUM($G502:AI502),$F502))</f>
        <v>0</v>
      </c>
      <c r="AK502" s="424">
        <f>IF(OR(AK$475&lt;$C502,AK$475&lt;$H$2),0,MIN($E502-SUM($G502:AJ502),$F502))</f>
        <v>0</v>
      </c>
    </row>
    <row r="503" spans="3:37">
      <c r="C503" s="201">
        <v>0</v>
      </c>
      <c r="D503" s="94" t="s">
        <v>134</v>
      </c>
      <c r="E503" s="424">
        <f t="shared" si="138"/>
        <v>0</v>
      </c>
      <c r="F503" s="209">
        <f t="shared" si="139"/>
        <v>0</v>
      </c>
      <c r="H503" s="424">
        <f>IF(OR(H$475&lt;$C503,H$475&lt;$H$2),0,MIN($E503-SUM($G503:G503),$F503))</f>
        <v>0</v>
      </c>
      <c r="I503" s="424">
        <f>IF(OR(I$475&lt;$C503,I$475&lt;$H$2),0,MIN($E503-SUM($G503:H503),$F503))</f>
        <v>0</v>
      </c>
      <c r="J503" s="424">
        <f>IF(OR(J$475&lt;$C503,J$475&lt;$H$2),0,MIN($E503-SUM($G503:I503),$F503))</f>
        <v>0</v>
      </c>
      <c r="K503" s="424">
        <f>IF(OR(K$475&lt;$C503,K$475&lt;$H$2),0,MIN($E503-SUM($G503:J503),$F503))</f>
        <v>0</v>
      </c>
      <c r="L503" s="424">
        <f>IF(OR(L$475&lt;$C503,L$475&lt;$H$2),0,MIN($E503-SUM($G503:K503),$F503))</f>
        <v>0</v>
      </c>
      <c r="M503" s="424">
        <f>IF(OR(M$475&lt;$C503,M$475&lt;$H$2),0,MIN($E503-SUM($G503:L503),$F503))</f>
        <v>0</v>
      </c>
      <c r="N503" s="424">
        <f>IF(OR(N$475&lt;$C503,N$475&lt;$H$2),0,MIN($E503-SUM($G503:M503),$F503))</f>
        <v>0</v>
      </c>
      <c r="O503" s="424">
        <f>IF(OR(O$475&lt;$C503,O$475&lt;$H$2),0,MIN($E503-SUM($G503:N503),$F503))</f>
        <v>0</v>
      </c>
      <c r="P503" s="424">
        <f>IF(OR(P$475&lt;$C503,P$475&lt;$H$2),0,MIN($E503-SUM($G503:O503),$F503))</f>
        <v>0</v>
      </c>
      <c r="Q503" s="424">
        <f>IF(OR(Q$475&lt;$C503,Q$475&lt;$H$2),0,MIN($E503-SUM($G503:P503),$F503))</f>
        <v>0</v>
      </c>
      <c r="R503" s="424">
        <f>IF(OR(R$475&lt;$C503,R$475&lt;$H$2),0,MIN($E503-SUM($G503:Q503),$F503))</f>
        <v>0</v>
      </c>
      <c r="S503" s="424">
        <f>IF(OR(S$475&lt;$C503,S$475&lt;$H$2),0,MIN($E503-SUM($G503:R503),$F503))</f>
        <v>0</v>
      </c>
      <c r="T503" s="424">
        <f>IF(OR(T$475&lt;$C503,T$475&lt;$H$2),0,MIN($E503-SUM($G503:S503),$F503))</f>
        <v>0</v>
      </c>
      <c r="U503" s="424">
        <f>IF(OR(U$475&lt;$C503,U$475&lt;$H$2),0,MIN($E503-SUM($G503:T503),$F503))</f>
        <v>0</v>
      </c>
      <c r="V503" s="424">
        <f>IF(OR(V$475&lt;$C503,V$475&lt;$H$2),0,MIN($E503-SUM($G503:U503),$F503))</f>
        <v>0</v>
      </c>
      <c r="W503" s="424">
        <f>IF(OR(W$475&lt;$C503,W$475&lt;$H$2),0,MIN($E503-SUM($G503:V503),$F503))</f>
        <v>0</v>
      </c>
      <c r="X503" s="424">
        <f>IF(OR(X$475&lt;$C503,X$475&lt;$H$2),0,MIN($E503-SUM($G503:W503),$F503))</f>
        <v>0</v>
      </c>
      <c r="Y503" s="424">
        <f>IF(OR(Y$475&lt;$C503,Y$475&lt;$H$2),0,MIN($E503-SUM($G503:X503),$F503))</f>
        <v>0</v>
      </c>
      <c r="Z503" s="424">
        <f>IF(OR(Z$475&lt;$C503,Z$475&lt;$H$2),0,MIN($E503-SUM($G503:Y503),$F503))</f>
        <v>0</v>
      </c>
      <c r="AA503" s="424">
        <f>IF(OR(AA$475&lt;$C503,AA$475&lt;$H$2),0,MIN($E503-SUM($G503:Z503),$F503))</f>
        <v>0</v>
      </c>
      <c r="AB503" s="424">
        <f>IF(OR(AB$475&lt;$C503,AB$475&lt;$H$2),0,MIN($E503-SUM($G503:AA503),$F503))</f>
        <v>0</v>
      </c>
      <c r="AC503" s="424">
        <f>IF(OR(AC$475&lt;$C503,AC$475&lt;$H$2),0,MIN($E503-SUM($G503:AB503),$F503))</f>
        <v>0</v>
      </c>
      <c r="AD503" s="424">
        <f>IF(OR(AD$475&lt;$C503,AD$475&lt;$H$2),0,MIN($E503-SUM($G503:AC503),$F503))</f>
        <v>0</v>
      </c>
      <c r="AE503" s="424">
        <f>IF(OR(AE$475&lt;$C503,AE$475&lt;$H$2),0,MIN($E503-SUM($G503:AD503),$F503))</f>
        <v>0</v>
      </c>
      <c r="AF503" s="424">
        <f>IF(OR(AF$475&lt;$C503,AF$475&lt;$H$2),0,MIN($E503-SUM($G503:AE503),$F503))</f>
        <v>0</v>
      </c>
      <c r="AG503" s="424">
        <f>IF(OR(AG$475&lt;$C503,AG$475&lt;$H$2),0,MIN($E503-SUM($G503:AF503),$F503))</f>
        <v>0</v>
      </c>
      <c r="AH503" s="424">
        <f>IF(OR(AH$475&lt;$C503,AH$475&lt;$H$2),0,MIN($E503-SUM($G503:AG503),$F503))</f>
        <v>0</v>
      </c>
      <c r="AI503" s="424">
        <f>IF(OR(AI$475&lt;$C503,AI$475&lt;$H$2),0,MIN($E503-SUM($G503:AH503),$F503))</f>
        <v>0</v>
      </c>
      <c r="AJ503" s="424">
        <f>IF(OR(AJ$475&lt;$C503,AJ$475&lt;$H$2),0,MIN($E503-SUM($G503:AI503),$F503))</f>
        <v>0</v>
      </c>
      <c r="AK503" s="424">
        <f>IF(OR(AK$475&lt;$C503,AK$475&lt;$H$2),0,MIN($E503-SUM($G503:AJ503),$F503))</f>
        <v>0</v>
      </c>
    </row>
    <row r="504" spans="3:37">
      <c r="C504" s="201">
        <v>0</v>
      </c>
      <c r="D504" s="94" t="s">
        <v>134</v>
      </c>
      <c r="E504" s="424">
        <f t="shared" si="138"/>
        <v>0</v>
      </c>
      <c r="F504" s="209">
        <f t="shared" si="139"/>
        <v>0</v>
      </c>
      <c r="H504" s="424">
        <f>IF(OR(H$475&lt;$C504,H$475&lt;$H$2),0,MIN($E504-SUM($G504:G504),$F504))</f>
        <v>0</v>
      </c>
      <c r="I504" s="424">
        <f>IF(OR(I$475&lt;$C504,I$475&lt;$H$2),0,MIN($E504-SUM($G504:H504),$F504))</f>
        <v>0</v>
      </c>
      <c r="J504" s="424">
        <f>IF(OR(J$475&lt;$C504,J$475&lt;$H$2),0,MIN($E504-SUM($G504:I504),$F504))</f>
        <v>0</v>
      </c>
      <c r="K504" s="424">
        <f>IF(OR(K$475&lt;$C504,K$475&lt;$H$2),0,MIN($E504-SUM($G504:J504),$F504))</f>
        <v>0</v>
      </c>
      <c r="L504" s="424">
        <f>IF(OR(L$475&lt;$C504,L$475&lt;$H$2),0,MIN($E504-SUM($G504:K504),$F504))</f>
        <v>0</v>
      </c>
      <c r="M504" s="424">
        <f>IF(OR(M$475&lt;$C504,M$475&lt;$H$2),0,MIN($E504-SUM($G504:L504),$F504))</f>
        <v>0</v>
      </c>
      <c r="N504" s="424">
        <f>IF(OR(N$475&lt;$C504,N$475&lt;$H$2),0,MIN($E504-SUM($G504:M504),$F504))</f>
        <v>0</v>
      </c>
      <c r="O504" s="424">
        <f>IF(OR(O$475&lt;$C504,O$475&lt;$H$2),0,MIN($E504-SUM($G504:N504),$F504))</f>
        <v>0</v>
      </c>
      <c r="P504" s="424">
        <f>IF(OR(P$475&lt;$C504,P$475&lt;$H$2),0,MIN($E504-SUM($G504:O504),$F504))</f>
        <v>0</v>
      </c>
      <c r="Q504" s="424">
        <f>IF(OR(Q$475&lt;$C504,Q$475&lt;$H$2),0,MIN($E504-SUM($G504:P504),$F504))</f>
        <v>0</v>
      </c>
      <c r="R504" s="424">
        <f>IF(OR(R$475&lt;$C504,R$475&lt;$H$2),0,MIN($E504-SUM($G504:Q504),$F504))</f>
        <v>0</v>
      </c>
      <c r="S504" s="424">
        <f>IF(OR(S$475&lt;$C504,S$475&lt;$H$2),0,MIN($E504-SUM($G504:R504),$F504))</f>
        <v>0</v>
      </c>
      <c r="T504" s="424">
        <f>IF(OR(T$475&lt;$C504,T$475&lt;$H$2),0,MIN($E504-SUM($G504:S504),$F504))</f>
        <v>0</v>
      </c>
      <c r="U504" s="424">
        <f>IF(OR(U$475&lt;$C504,U$475&lt;$H$2),0,MIN($E504-SUM($G504:T504),$F504))</f>
        <v>0</v>
      </c>
      <c r="V504" s="424">
        <f>IF(OR(V$475&lt;$C504,V$475&lt;$H$2),0,MIN($E504-SUM($G504:U504),$F504))</f>
        <v>0</v>
      </c>
      <c r="W504" s="424">
        <f>IF(OR(W$475&lt;$C504,W$475&lt;$H$2),0,MIN($E504-SUM($G504:V504),$F504))</f>
        <v>0</v>
      </c>
      <c r="X504" s="424">
        <f>IF(OR(X$475&lt;$C504,X$475&lt;$H$2),0,MIN($E504-SUM($G504:W504),$F504))</f>
        <v>0</v>
      </c>
      <c r="Y504" s="424">
        <f>IF(OR(Y$475&lt;$C504,Y$475&lt;$H$2),0,MIN($E504-SUM($G504:X504),$F504))</f>
        <v>0</v>
      </c>
      <c r="Z504" s="424">
        <f>IF(OR(Z$475&lt;$C504,Z$475&lt;$H$2),0,MIN($E504-SUM($G504:Y504),$F504))</f>
        <v>0</v>
      </c>
      <c r="AA504" s="424">
        <f>IF(OR(AA$475&lt;$C504,AA$475&lt;$H$2),0,MIN($E504-SUM($G504:Z504),$F504))</f>
        <v>0</v>
      </c>
      <c r="AB504" s="424">
        <f>IF(OR(AB$475&lt;$C504,AB$475&lt;$H$2),0,MIN($E504-SUM($G504:AA504),$F504))</f>
        <v>0</v>
      </c>
      <c r="AC504" s="424">
        <f>IF(OR(AC$475&lt;$C504,AC$475&lt;$H$2),0,MIN($E504-SUM($G504:AB504),$F504))</f>
        <v>0</v>
      </c>
      <c r="AD504" s="424">
        <f>IF(OR(AD$475&lt;$C504,AD$475&lt;$H$2),0,MIN($E504-SUM($G504:AC504),$F504))</f>
        <v>0</v>
      </c>
      <c r="AE504" s="424">
        <f>IF(OR(AE$475&lt;$C504,AE$475&lt;$H$2),0,MIN($E504-SUM($G504:AD504),$F504))</f>
        <v>0</v>
      </c>
      <c r="AF504" s="424">
        <f>IF(OR(AF$475&lt;$C504,AF$475&lt;$H$2),0,MIN($E504-SUM($G504:AE504),$F504))</f>
        <v>0</v>
      </c>
      <c r="AG504" s="424">
        <f>IF(OR(AG$475&lt;$C504,AG$475&lt;$H$2),0,MIN($E504-SUM($G504:AF504),$F504))</f>
        <v>0</v>
      </c>
      <c r="AH504" s="424">
        <f>IF(OR(AH$475&lt;$C504,AH$475&lt;$H$2),0,MIN($E504-SUM($G504:AG504),$F504))</f>
        <v>0</v>
      </c>
      <c r="AI504" s="424">
        <f>IF(OR(AI$475&lt;$C504,AI$475&lt;$H$2),0,MIN($E504-SUM($G504:AH504),$F504))</f>
        <v>0</v>
      </c>
      <c r="AJ504" s="424">
        <f>IF(OR(AJ$475&lt;$C504,AJ$475&lt;$H$2),0,MIN($E504-SUM($G504:AI504),$F504))</f>
        <v>0</v>
      </c>
      <c r="AK504" s="424">
        <f>IF(OR(AK$475&lt;$C504,AK$475&lt;$H$2),0,MIN($E504-SUM($G504:AJ504),$F504))</f>
        <v>0</v>
      </c>
    </row>
    <row r="505" spans="3:37">
      <c r="C505" s="201">
        <v>0</v>
      </c>
      <c r="D505" s="94" t="s">
        <v>134</v>
      </c>
      <c r="E505" s="424">
        <f t="shared" si="138"/>
        <v>0</v>
      </c>
      <c r="F505" s="209">
        <f t="shared" si="139"/>
        <v>0</v>
      </c>
      <c r="H505" s="424">
        <f>IF(OR(H$475&lt;$C505,H$475&lt;$H$2),0,MIN($E505-SUM($G505:G505),$F505))</f>
        <v>0</v>
      </c>
      <c r="I505" s="424">
        <f>IF(OR(I$475&lt;$C505,I$475&lt;$H$2),0,MIN($E505-SUM($G505:H505),$F505))</f>
        <v>0</v>
      </c>
      <c r="J505" s="424">
        <f>IF(OR(J$475&lt;$C505,J$475&lt;$H$2),0,MIN($E505-SUM($G505:I505),$F505))</f>
        <v>0</v>
      </c>
      <c r="K505" s="424">
        <f>IF(OR(K$475&lt;$C505,K$475&lt;$H$2),0,MIN($E505-SUM($G505:J505),$F505))</f>
        <v>0</v>
      </c>
      <c r="L505" s="424">
        <f>IF(OR(L$475&lt;$C505,L$475&lt;$H$2),0,MIN($E505-SUM($G505:K505),$F505))</f>
        <v>0</v>
      </c>
      <c r="M505" s="424">
        <f>IF(OR(M$475&lt;$C505,M$475&lt;$H$2),0,MIN($E505-SUM($G505:L505),$F505))</f>
        <v>0</v>
      </c>
      <c r="N505" s="424">
        <f>IF(OR(N$475&lt;$C505,N$475&lt;$H$2),0,MIN($E505-SUM($G505:M505),$F505))</f>
        <v>0</v>
      </c>
      <c r="O505" s="424">
        <f>IF(OR(O$475&lt;$C505,O$475&lt;$H$2),0,MIN($E505-SUM($G505:N505),$F505))</f>
        <v>0</v>
      </c>
      <c r="P505" s="424">
        <f>IF(OR(P$475&lt;$C505,P$475&lt;$H$2),0,MIN($E505-SUM($G505:O505),$F505))</f>
        <v>0</v>
      </c>
      <c r="Q505" s="424">
        <f>IF(OR(Q$475&lt;$C505,Q$475&lt;$H$2),0,MIN($E505-SUM($G505:P505),$F505))</f>
        <v>0</v>
      </c>
      <c r="R505" s="424">
        <f>IF(OR(R$475&lt;$C505,R$475&lt;$H$2),0,MIN($E505-SUM($G505:Q505),$F505))</f>
        <v>0</v>
      </c>
      <c r="S505" s="424">
        <f>IF(OR(S$475&lt;$C505,S$475&lt;$H$2),0,MIN($E505-SUM($G505:R505),$F505))</f>
        <v>0</v>
      </c>
      <c r="T505" s="424">
        <f>IF(OR(T$475&lt;$C505,T$475&lt;$H$2),0,MIN($E505-SUM($G505:S505),$F505))</f>
        <v>0</v>
      </c>
      <c r="U505" s="424">
        <f>IF(OR(U$475&lt;$C505,U$475&lt;$H$2),0,MIN($E505-SUM($G505:T505),$F505))</f>
        <v>0</v>
      </c>
      <c r="V505" s="424">
        <f>IF(OR(V$475&lt;$C505,V$475&lt;$H$2),0,MIN($E505-SUM($G505:U505),$F505))</f>
        <v>0</v>
      </c>
      <c r="W505" s="424">
        <f>IF(OR(W$475&lt;$C505,W$475&lt;$H$2),0,MIN($E505-SUM($G505:V505),$F505))</f>
        <v>0</v>
      </c>
      <c r="X505" s="424">
        <f>IF(OR(X$475&lt;$C505,X$475&lt;$H$2),0,MIN($E505-SUM($G505:W505),$F505))</f>
        <v>0</v>
      </c>
      <c r="Y505" s="424">
        <f>IF(OR(Y$475&lt;$C505,Y$475&lt;$H$2),0,MIN($E505-SUM($G505:X505),$F505))</f>
        <v>0</v>
      </c>
      <c r="Z505" s="424">
        <f>IF(OR(Z$475&lt;$C505,Z$475&lt;$H$2),0,MIN($E505-SUM($G505:Y505),$F505))</f>
        <v>0</v>
      </c>
      <c r="AA505" s="424">
        <f>IF(OR(AA$475&lt;$C505,AA$475&lt;$H$2),0,MIN($E505-SUM($G505:Z505),$F505))</f>
        <v>0</v>
      </c>
      <c r="AB505" s="424">
        <f>IF(OR(AB$475&lt;$C505,AB$475&lt;$H$2),0,MIN($E505-SUM($G505:AA505),$F505))</f>
        <v>0</v>
      </c>
      <c r="AC505" s="424">
        <f>IF(OR(AC$475&lt;$C505,AC$475&lt;$H$2),0,MIN($E505-SUM($G505:AB505),$F505))</f>
        <v>0</v>
      </c>
      <c r="AD505" s="424">
        <f>IF(OR(AD$475&lt;$C505,AD$475&lt;$H$2),0,MIN($E505-SUM($G505:AC505),$F505))</f>
        <v>0</v>
      </c>
      <c r="AE505" s="424">
        <f>IF(OR(AE$475&lt;$C505,AE$475&lt;$H$2),0,MIN($E505-SUM($G505:AD505),$F505))</f>
        <v>0</v>
      </c>
      <c r="AF505" s="424">
        <f>IF(OR(AF$475&lt;$C505,AF$475&lt;$H$2),0,MIN($E505-SUM($G505:AE505),$F505))</f>
        <v>0</v>
      </c>
      <c r="AG505" s="424">
        <f>IF(OR(AG$475&lt;$C505,AG$475&lt;$H$2),0,MIN($E505-SUM($G505:AF505),$F505))</f>
        <v>0</v>
      </c>
      <c r="AH505" s="424">
        <f>IF(OR(AH$475&lt;$C505,AH$475&lt;$H$2),0,MIN($E505-SUM($G505:AG505),$F505))</f>
        <v>0</v>
      </c>
      <c r="AI505" s="424">
        <f>IF(OR(AI$475&lt;$C505,AI$475&lt;$H$2),0,MIN($E505-SUM($G505:AH505),$F505))</f>
        <v>0</v>
      </c>
      <c r="AJ505" s="424">
        <f>IF(OR(AJ$475&lt;$C505,AJ$475&lt;$H$2),0,MIN($E505-SUM($G505:AI505),$F505))</f>
        <v>0</v>
      </c>
      <c r="AK505" s="424">
        <f>IF(OR(AK$475&lt;$C505,AK$475&lt;$H$2),0,MIN($E505-SUM($G505:AJ505),$F505))</f>
        <v>0</v>
      </c>
    </row>
    <row r="506" spans="3:37">
      <c r="C506" s="201">
        <v>0</v>
      </c>
      <c r="D506" s="94" t="s">
        <v>134</v>
      </c>
      <c r="E506" s="424">
        <f t="shared" si="138"/>
        <v>0</v>
      </c>
      <c r="F506" s="209">
        <f t="shared" si="139"/>
        <v>0</v>
      </c>
      <c r="H506" s="424">
        <f>IF(OR(H$475&lt;$C506,H$475&lt;$H$2),0,MIN($E506-SUM($G506:G506),$F506))</f>
        <v>0</v>
      </c>
      <c r="I506" s="424">
        <f>IF(OR(I$475&lt;$C506,I$475&lt;$H$2),0,MIN($E506-SUM($G506:H506),$F506))</f>
        <v>0</v>
      </c>
      <c r="J506" s="424">
        <f>IF(OR(J$475&lt;$C506,J$475&lt;$H$2),0,MIN($E506-SUM($G506:I506),$F506))</f>
        <v>0</v>
      </c>
      <c r="K506" s="424">
        <f>IF(OR(K$475&lt;$C506,K$475&lt;$H$2),0,MIN($E506-SUM($G506:J506),$F506))</f>
        <v>0</v>
      </c>
      <c r="L506" s="424">
        <f>IF(OR(L$475&lt;$C506,L$475&lt;$H$2),0,MIN($E506-SUM($G506:K506),$F506))</f>
        <v>0</v>
      </c>
      <c r="M506" s="424">
        <f>IF(OR(M$475&lt;$C506,M$475&lt;$H$2),0,MIN($E506-SUM($G506:L506),$F506))</f>
        <v>0</v>
      </c>
      <c r="N506" s="424">
        <f>IF(OR(N$475&lt;$C506,N$475&lt;$H$2),0,MIN($E506-SUM($G506:M506),$F506))</f>
        <v>0</v>
      </c>
      <c r="O506" s="424">
        <f>IF(OR(O$475&lt;$C506,O$475&lt;$H$2),0,MIN($E506-SUM($G506:N506),$F506))</f>
        <v>0</v>
      </c>
      <c r="P506" s="424">
        <f>IF(OR(P$475&lt;$C506,P$475&lt;$H$2),0,MIN($E506-SUM($G506:O506),$F506))</f>
        <v>0</v>
      </c>
      <c r="Q506" s="424">
        <f>IF(OR(Q$475&lt;$C506,Q$475&lt;$H$2),0,MIN($E506-SUM($G506:P506),$F506))</f>
        <v>0</v>
      </c>
      <c r="R506" s="424">
        <f>IF(OR(R$475&lt;$C506,R$475&lt;$H$2),0,MIN($E506-SUM($G506:Q506),$F506))</f>
        <v>0</v>
      </c>
      <c r="S506" s="424">
        <f>IF(OR(S$475&lt;$C506,S$475&lt;$H$2),0,MIN($E506-SUM($G506:R506),$F506))</f>
        <v>0</v>
      </c>
      <c r="T506" s="424">
        <f>IF(OR(T$475&lt;$C506,T$475&lt;$H$2),0,MIN($E506-SUM($G506:S506),$F506))</f>
        <v>0</v>
      </c>
      <c r="U506" s="424">
        <f>IF(OR(U$475&lt;$C506,U$475&lt;$H$2),0,MIN($E506-SUM($G506:T506),$F506))</f>
        <v>0</v>
      </c>
      <c r="V506" s="424">
        <f>IF(OR(V$475&lt;$C506,V$475&lt;$H$2),0,MIN($E506-SUM($G506:U506),$F506))</f>
        <v>0</v>
      </c>
      <c r="W506" s="424">
        <f>IF(OR(W$475&lt;$C506,W$475&lt;$H$2),0,MIN($E506-SUM($G506:V506),$F506))</f>
        <v>0</v>
      </c>
      <c r="X506" s="424">
        <f>IF(OR(X$475&lt;$C506,X$475&lt;$H$2),0,MIN($E506-SUM($G506:W506),$F506))</f>
        <v>0</v>
      </c>
      <c r="Y506" s="424">
        <f>IF(OR(Y$475&lt;$C506,Y$475&lt;$H$2),0,MIN($E506-SUM($G506:X506),$F506))</f>
        <v>0</v>
      </c>
      <c r="Z506" s="424">
        <f>IF(OR(Z$475&lt;$C506,Z$475&lt;$H$2),0,MIN($E506-SUM($G506:Y506),$F506))</f>
        <v>0</v>
      </c>
      <c r="AA506" s="424">
        <f>IF(OR(AA$475&lt;$C506,AA$475&lt;$H$2),0,MIN($E506-SUM($G506:Z506),$F506))</f>
        <v>0</v>
      </c>
      <c r="AB506" s="424">
        <f>IF(OR(AB$475&lt;$C506,AB$475&lt;$H$2),0,MIN($E506-SUM($G506:AA506),$F506))</f>
        <v>0</v>
      </c>
      <c r="AC506" s="424">
        <f>IF(OR(AC$475&lt;$C506,AC$475&lt;$H$2),0,MIN($E506-SUM($G506:AB506),$F506))</f>
        <v>0</v>
      </c>
      <c r="AD506" s="424">
        <f>IF(OR(AD$475&lt;$C506,AD$475&lt;$H$2),0,MIN($E506-SUM($G506:AC506),$F506))</f>
        <v>0</v>
      </c>
      <c r="AE506" s="424">
        <f>IF(OR(AE$475&lt;$C506,AE$475&lt;$H$2),0,MIN($E506-SUM($G506:AD506),$F506))</f>
        <v>0</v>
      </c>
      <c r="AF506" s="424">
        <f>IF(OR(AF$475&lt;$C506,AF$475&lt;$H$2),0,MIN($E506-SUM($G506:AE506),$F506))</f>
        <v>0</v>
      </c>
      <c r="AG506" s="424">
        <f>IF(OR(AG$475&lt;$C506,AG$475&lt;$H$2),0,MIN($E506-SUM($G506:AF506),$F506))</f>
        <v>0</v>
      </c>
      <c r="AH506" s="424">
        <f>IF(OR(AH$475&lt;$C506,AH$475&lt;$H$2),0,MIN($E506-SUM($G506:AG506),$F506))</f>
        <v>0</v>
      </c>
      <c r="AI506" s="424">
        <f>IF(OR(AI$475&lt;$C506,AI$475&lt;$H$2),0,MIN($E506-SUM($G506:AH506),$F506))</f>
        <v>0</v>
      </c>
      <c r="AJ506" s="424">
        <f>IF(OR(AJ$475&lt;$C506,AJ$475&lt;$H$2),0,MIN($E506-SUM($G506:AI506),$F506))</f>
        <v>0</v>
      </c>
      <c r="AK506" s="424">
        <f>IF(OR(AK$475&lt;$C506,AK$475&lt;$H$2),0,MIN($E506-SUM($G506:AJ506),$F506))</f>
        <v>0</v>
      </c>
    </row>
    <row r="507" spans="3:37">
      <c r="C507" s="201">
        <v>0</v>
      </c>
      <c r="D507" s="94" t="s">
        <v>134</v>
      </c>
      <c r="E507" s="424">
        <f t="shared" si="138"/>
        <v>0</v>
      </c>
      <c r="F507" s="209">
        <f t="shared" si="139"/>
        <v>0</v>
      </c>
      <c r="H507" s="424">
        <f>IF(OR(H$475&lt;$C507,H$475&lt;$H$2),0,MIN($E507-SUM($G507:G507),$F507))</f>
        <v>0</v>
      </c>
      <c r="I507" s="424">
        <f>IF(OR(I$475&lt;$C507,I$475&lt;$H$2),0,MIN($E507-SUM($G507:H507),$F507))</f>
        <v>0</v>
      </c>
      <c r="J507" s="424">
        <f>IF(OR(J$475&lt;$C507,J$475&lt;$H$2),0,MIN($E507-SUM($G507:I507),$F507))</f>
        <v>0</v>
      </c>
      <c r="K507" s="424">
        <f>IF(OR(K$475&lt;$C507,K$475&lt;$H$2),0,MIN($E507-SUM($G507:J507),$F507))</f>
        <v>0</v>
      </c>
      <c r="L507" s="424">
        <f>IF(OR(L$475&lt;$C507,L$475&lt;$H$2),0,MIN($E507-SUM($G507:K507),$F507))</f>
        <v>0</v>
      </c>
      <c r="M507" s="424">
        <f>IF(OR(M$475&lt;$C507,M$475&lt;$H$2),0,MIN($E507-SUM($G507:L507),$F507))</f>
        <v>0</v>
      </c>
      <c r="N507" s="424">
        <f>IF(OR(N$475&lt;$C507,N$475&lt;$H$2),0,MIN($E507-SUM($G507:M507),$F507))</f>
        <v>0</v>
      </c>
      <c r="O507" s="424">
        <f>IF(OR(O$475&lt;$C507,O$475&lt;$H$2),0,MIN($E507-SUM($G507:N507),$F507))</f>
        <v>0</v>
      </c>
      <c r="P507" s="424">
        <f>IF(OR(P$475&lt;$C507,P$475&lt;$H$2),0,MIN($E507-SUM($G507:O507),$F507))</f>
        <v>0</v>
      </c>
      <c r="Q507" s="424">
        <f>IF(OR(Q$475&lt;$C507,Q$475&lt;$H$2),0,MIN($E507-SUM($G507:P507),$F507))</f>
        <v>0</v>
      </c>
      <c r="R507" s="424">
        <f>IF(OR(R$475&lt;$C507,R$475&lt;$H$2),0,MIN($E507-SUM($G507:Q507),$F507))</f>
        <v>0</v>
      </c>
      <c r="S507" s="424">
        <f>IF(OR(S$475&lt;$C507,S$475&lt;$H$2),0,MIN($E507-SUM($G507:R507),$F507))</f>
        <v>0</v>
      </c>
      <c r="T507" s="424">
        <f>IF(OR(T$475&lt;$C507,T$475&lt;$H$2),0,MIN($E507-SUM($G507:S507),$F507))</f>
        <v>0</v>
      </c>
      <c r="U507" s="424">
        <f>IF(OR(U$475&lt;$C507,U$475&lt;$H$2),0,MIN($E507-SUM($G507:T507),$F507))</f>
        <v>0</v>
      </c>
      <c r="V507" s="424">
        <f>IF(OR(V$475&lt;$C507,V$475&lt;$H$2),0,MIN($E507-SUM($G507:U507),$F507))</f>
        <v>0</v>
      </c>
      <c r="W507" s="424">
        <f>IF(OR(W$475&lt;$C507,W$475&lt;$H$2),0,MIN($E507-SUM($G507:V507),$F507))</f>
        <v>0</v>
      </c>
      <c r="X507" s="424">
        <f>IF(OR(X$475&lt;$C507,X$475&lt;$H$2),0,MIN($E507-SUM($G507:W507),$F507))</f>
        <v>0</v>
      </c>
      <c r="Y507" s="424">
        <f>IF(OR(Y$475&lt;$C507,Y$475&lt;$H$2),0,MIN($E507-SUM($G507:X507),$F507))</f>
        <v>0</v>
      </c>
      <c r="Z507" s="424">
        <f>IF(OR(Z$475&lt;$C507,Z$475&lt;$H$2),0,MIN($E507-SUM($G507:Y507),$F507))</f>
        <v>0</v>
      </c>
      <c r="AA507" s="424">
        <f>IF(OR(AA$475&lt;$C507,AA$475&lt;$H$2),0,MIN($E507-SUM($G507:Z507),$F507))</f>
        <v>0</v>
      </c>
      <c r="AB507" s="424">
        <f>IF(OR(AB$475&lt;$C507,AB$475&lt;$H$2),0,MIN($E507-SUM($G507:AA507),$F507))</f>
        <v>0</v>
      </c>
      <c r="AC507" s="424">
        <f>IF(OR(AC$475&lt;$C507,AC$475&lt;$H$2),0,MIN($E507-SUM($G507:AB507),$F507))</f>
        <v>0</v>
      </c>
      <c r="AD507" s="424">
        <f>IF(OR(AD$475&lt;$C507,AD$475&lt;$H$2),0,MIN($E507-SUM($G507:AC507),$F507))</f>
        <v>0</v>
      </c>
      <c r="AE507" s="424">
        <f>IF(OR(AE$475&lt;$C507,AE$475&lt;$H$2),0,MIN($E507-SUM($G507:AD507),$F507))</f>
        <v>0</v>
      </c>
      <c r="AF507" s="424">
        <f>IF(OR(AF$475&lt;$C507,AF$475&lt;$H$2),0,MIN($E507-SUM($G507:AE507),$F507))</f>
        <v>0</v>
      </c>
      <c r="AG507" s="424">
        <f>IF(OR(AG$475&lt;$C507,AG$475&lt;$H$2),0,MIN($E507-SUM($G507:AF507),$F507))</f>
        <v>0</v>
      </c>
      <c r="AH507" s="424">
        <f>IF(OR(AH$475&lt;$C507,AH$475&lt;$H$2),0,MIN($E507-SUM($G507:AG507),$F507))</f>
        <v>0</v>
      </c>
      <c r="AI507" s="424">
        <f>IF(OR(AI$475&lt;$C507,AI$475&lt;$H$2),0,MIN($E507-SUM($G507:AH507),$F507))</f>
        <v>0</v>
      </c>
      <c r="AJ507" s="424">
        <f>IF(OR(AJ$475&lt;$C507,AJ$475&lt;$H$2),0,MIN($E507-SUM($G507:AI507),$F507))</f>
        <v>0</v>
      </c>
      <c r="AK507" s="424">
        <f>IF(OR(AK$475&lt;$C507,AK$475&lt;$H$2),0,MIN($E507-SUM($G507:AJ507),$F507))</f>
        <v>0</v>
      </c>
    </row>
    <row r="508" spans="3:37" ht="14" thickBot="1">
      <c r="C508" s="240" t="s">
        <v>543</v>
      </c>
      <c r="D508" s="348" t="s">
        <v>134</v>
      </c>
      <c r="E508" s="427">
        <f>SUM(E478:E507)</f>
        <v>0</v>
      </c>
      <c r="F508" s="427">
        <f>SUM(F478:F507)</f>
        <v>0</v>
      </c>
      <c r="G508" s="348"/>
      <c r="H508" s="427">
        <f t="shared" ref="H508:AK508" si="140">SUM(H478:H507)</f>
        <v>0</v>
      </c>
      <c r="I508" s="427">
        <f t="shared" si="140"/>
        <v>0</v>
      </c>
      <c r="J508" s="427">
        <f t="shared" si="140"/>
        <v>0</v>
      </c>
      <c r="K508" s="427">
        <f t="shared" si="140"/>
        <v>0</v>
      </c>
      <c r="L508" s="427">
        <f t="shared" si="140"/>
        <v>0</v>
      </c>
      <c r="M508" s="427">
        <f t="shared" si="140"/>
        <v>0</v>
      </c>
      <c r="N508" s="427">
        <f t="shared" si="140"/>
        <v>0</v>
      </c>
      <c r="O508" s="427">
        <f t="shared" si="140"/>
        <v>0</v>
      </c>
      <c r="P508" s="427">
        <f t="shared" si="140"/>
        <v>0</v>
      </c>
      <c r="Q508" s="427">
        <f t="shared" si="140"/>
        <v>0</v>
      </c>
      <c r="R508" s="427">
        <f t="shared" si="140"/>
        <v>0</v>
      </c>
      <c r="S508" s="427">
        <f t="shared" si="140"/>
        <v>0</v>
      </c>
      <c r="T508" s="427">
        <f t="shared" si="140"/>
        <v>0</v>
      </c>
      <c r="U508" s="427">
        <f t="shared" si="140"/>
        <v>0</v>
      </c>
      <c r="V508" s="427">
        <f t="shared" si="140"/>
        <v>0</v>
      </c>
      <c r="W508" s="427">
        <f t="shared" si="140"/>
        <v>0</v>
      </c>
      <c r="X508" s="427">
        <f t="shared" si="140"/>
        <v>0</v>
      </c>
      <c r="Y508" s="427">
        <f t="shared" si="140"/>
        <v>0</v>
      </c>
      <c r="Z508" s="427">
        <f t="shared" si="140"/>
        <v>0</v>
      </c>
      <c r="AA508" s="427">
        <f t="shared" si="140"/>
        <v>0</v>
      </c>
      <c r="AB508" s="427">
        <f t="shared" si="140"/>
        <v>0</v>
      </c>
      <c r="AC508" s="427">
        <f t="shared" si="140"/>
        <v>0</v>
      </c>
      <c r="AD508" s="427">
        <f t="shared" si="140"/>
        <v>0</v>
      </c>
      <c r="AE508" s="427">
        <f t="shared" si="140"/>
        <v>0</v>
      </c>
      <c r="AF508" s="427">
        <f t="shared" si="140"/>
        <v>0</v>
      </c>
      <c r="AG508" s="427">
        <f t="shared" si="140"/>
        <v>0</v>
      </c>
      <c r="AH508" s="427">
        <f t="shared" si="140"/>
        <v>0</v>
      </c>
      <c r="AI508" s="427">
        <f t="shared" si="140"/>
        <v>0</v>
      </c>
      <c r="AJ508" s="427">
        <f t="shared" si="140"/>
        <v>0</v>
      </c>
      <c r="AK508" s="427">
        <f t="shared" si="140"/>
        <v>0</v>
      </c>
    </row>
    <row r="509" spans="3:37" ht="14" thickTop="1"/>
    <row r="510" spans="3:37" ht="28">
      <c r="C510" s="428" t="s">
        <v>166</v>
      </c>
      <c r="D510" s="428" t="s">
        <v>88</v>
      </c>
      <c r="E510" s="428" t="s">
        <v>555</v>
      </c>
      <c r="F510" s="429" t="s">
        <v>556</v>
      </c>
      <c r="G510" s="430"/>
      <c r="H510" s="201">
        <f t="shared" ref="H510:AK511" si="141">H475</f>
        <v>46023</v>
      </c>
      <c r="I510" s="201">
        <f t="shared" si="141"/>
        <v>46389</v>
      </c>
      <c r="J510" s="201">
        <f t="shared" si="141"/>
        <v>46755</v>
      </c>
      <c r="K510" s="201">
        <f t="shared" si="141"/>
        <v>47121</v>
      </c>
      <c r="L510" s="201">
        <f t="shared" si="141"/>
        <v>47487</v>
      </c>
      <c r="M510" s="201">
        <f t="shared" si="141"/>
        <v>47853</v>
      </c>
      <c r="N510" s="201">
        <f t="shared" si="141"/>
        <v>48219</v>
      </c>
      <c r="O510" s="201">
        <f t="shared" si="141"/>
        <v>48585</v>
      </c>
      <c r="P510" s="201">
        <f t="shared" si="141"/>
        <v>48951</v>
      </c>
      <c r="Q510" s="201">
        <f t="shared" si="141"/>
        <v>49317</v>
      </c>
      <c r="R510" s="201">
        <f t="shared" si="141"/>
        <v>49683</v>
      </c>
      <c r="S510" s="201">
        <f t="shared" si="141"/>
        <v>50049</v>
      </c>
      <c r="T510" s="201">
        <f t="shared" si="141"/>
        <v>50415</v>
      </c>
      <c r="U510" s="201">
        <f t="shared" si="141"/>
        <v>50781</v>
      </c>
      <c r="V510" s="201">
        <f t="shared" si="141"/>
        <v>51147</v>
      </c>
      <c r="W510" s="201">
        <f t="shared" si="141"/>
        <v>51513</v>
      </c>
      <c r="X510" s="201">
        <f t="shared" si="141"/>
        <v>51879</v>
      </c>
      <c r="Y510" s="201">
        <f t="shared" si="141"/>
        <v>52245</v>
      </c>
      <c r="Z510" s="201">
        <f t="shared" si="141"/>
        <v>52611</v>
      </c>
      <c r="AA510" s="201">
        <f t="shared" si="141"/>
        <v>52977</v>
      </c>
      <c r="AB510" s="201">
        <f t="shared" si="141"/>
        <v>53343</v>
      </c>
      <c r="AC510" s="201">
        <f t="shared" si="141"/>
        <v>53709</v>
      </c>
      <c r="AD510" s="201">
        <f t="shared" si="141"/>
        <v>54075</v>
      </c>
      <c r="AE510" s="201">
        <f t="shared" si="141"/>
        <v>0</v>
      </c>
      <c r="AF510" s="201">
        <f t="shared" si="141"/>
        <v>0</v>
      </c>
      <c r="AG510" s="201">
        <f t="shared" si="141"/>
        <v>0</v>
      </c>
      <c r="AH510" s="201">
        <f t="shared" si="141"/>
        <v>0</v>
      </c>
      <c r="AI510" s="201">
        <f t="shared" si="141"/>
        <v>0</v>
      </c>
      <c r="AJ510" s="201">
        <f t="shared" si="141"/>
        <v>0</v>
      </c>
      <c r="AK510" s="201">
        <f t="shared" si="141"/>
        <v>0</v>
      </c>
    </row>
    <row r="511" spans="3:37">
      <c r="C511" s="430"/>
      <c r="D511" s="430"/>
      <c r="E511" s="428" t="s">
        <v>134</v>
      </c>
      <c r="F511" s="428" t="s">
        <v>134</v>
      </c>
      <c r="G511" s="430"/>
      <c r="H511" s="1141">
        <f t="shared" si="141"/>
        <v>-4</v>
      </c>
      <c r="I511" s="1141">
        <f t="shared" si="141"/>
        <v>-3</v>
      </c>
      <c r="J511" s="1141">
        <f t="shared" si="141"/>
        <v>-2</v>
      </c>
      <c r="K511" s="1141">
        <f t="shared" si="141"/>
        <v>-1</v>
      </c>
      <c r="L511" s="1141">
        <f t="shared" si="141"/>
        <v>1</v>
      </c>
      <c r="M511" s="1141">
        <f t="shared" si="141"/>
        <v>2</v>
      </c>
      <c r="N511" s="1141">
        <f t="shared" si="141"/>
        <v>3</v>
      </c>
      <c r="O511" s="1141">
        <f t="shared" si="141"/>
        <v>4</v>
      </c>
      <c r="P511" s="1141">
        <f t="shared" si="141"/>
        <v>5</v>
      </c>
      <c r="Q511" s="1141">
        <f t="shared" si="141"/>
        <v>6</v>
      </c>
      <c r="R511" s="1141">
        <f t="shared" si="141"/>
        <v>7</v>
      </c>
      <c r="S511" s="1141">
        <f t="shared" si="141"/>
        <v>8</v>
      </c>
      <c r="T511" s="1141">
        <f t="shared" si="141"/>
        <v>9</v>
      </c>
      <c r="U511" s="1141">
        <f t="shared" si="141"/>
        <v>10</v>
      </c>
      <c r="V511" s="1141">
        <f t="shared" si="141"/>
        <v>11</v>
      </c>
      <c r="W511" s="1141">
        <f t="shared" si="141"/>
        <v>12</v>
      </c>
      <c r="X511" s="1141">
        <f t="shared" si="141"/>
        <v>13</v>
      </c>
      <c r="Y511" s="1141">
        <f t="shared" si="141"/>
        <v>14</v>
      </c>
      <c r="Z511" s="1141">
        <f t="shared" si="141"/>
        <v>15</v>
      </c>
      <c r="AA511" s="1141">
        <f t="shared" si="141"/>
        <v>16</v>
      </c>
      <c r="AB511" s="1141">
        <f t="shared" si="141"/>
        <v>17</v>
      </c>
      <c r="AC511" s="1141">
        <f t="shared" si="141"/>
        <v>18</v>
      </c>
      <c r="AD511" s="1141">
        <f t="shared" si="141"/>
        <v>19</v>
      </c>
      <c r="AE511" s="1141">
        <f t="shared" si="141"/>
        <v>0</v>
      </c>
      <c r="AF511" s="1141">
        <f t="shared" si="141"/>
        <v>0</v>
      </c>
      <c r="AG511" s="1141">
        <f t="shared" si="141"/>
        <v>0</v>
      </c>
      <c r="AH511" s="1141">
        <f t="shared" si="141"/>
        <v>0</v>
      </c>
      <c r="AI511" s="1141">
        <f t="shared" si="141"/>
        <v>0</v>
      </c>
      <c r="AJ511" s="1141">
        <f t="shared" si="141"/>
        <v>0</v>
      </c>
      <c r="AK511" s="1141">
        <f t="shared" si="141"/>
        <v>0</v>
      </c>
    </row>
    <row r="512" spans="3:37">
      <c r="C512" s="191" t="str">
        <f>C95</f>
        <v>Mine Dewatering System</v>
      </c>
    </row>
    <row r="513" spans="3:37">
      <c r="C513" s="201" cm="1">
        <f t="array" ref="C513:C542">TRANSPOSE(H510:AK510)</f>
        <v>46023</v>
      </c>
      <c r="D513" s="94" t="s">
        <v>134</v>
      </c>
      <c r="E513" s="424">
        <f>HLOOKUP($C513,$H$39:$AP$112,59,FALSE)</f>
        <v>0</v>
      </c>
      <c r="F513" s="209">
        <f>E513*$F$95</f>
        <v>0</v>
      </c>
      <c r="H513" s="424">
        <f>IF(OR(H$510&lt;$C513,H$510&lt;$H$2),0,MIN($E513-SUM($G513:G513),$F513))</f>
        <v>0</v>
      </c>
      <c r="I513" s="424">
        <f>IF(OR(I$510&lt;$C513,I$510&lt;$H$2),0,MIN($E513-SUM($G513:H513),$F513))</f>
        <v>0</v>
      </c>
      <c r="J513" s="424">
        <f>IF(OR(J$510&lt;$C513,J$510&lt;$H$2),0,MIN($E513-SUM($G513:I513),$F513))</f>
        <v>0</v>
      </c>
      <c r="K513" s="424">
        <f>IF(OR(K$510&lt;$C513,K$510&lt;$H$2),0,MIN($E513-SUM($G513:J513),$F513))</f>
        <v>0</v>
      </c>
      <c r="L513" s="424">
        <f>IF(OR(L$510&lt;$C513,L$510&lt;$H$2),0,MIN($E513-SUM($G513:K513),$F513))</f>
        <v>0</v>
      </c>
      <c r="M513" s="424">
        <f>IF(OR(M$510&lt;$C513,M$510&lt;$H$2),0,MIN($E513-SUM($G513:L513),$F513))</f>
        <v>0</v>
      </c>
      <c r="N513" s="424">
        <f>IF(OR(N$510&lt;$C513,N$510&lt;$H$2),0,MIN($E513-SUM($G513:M513),$F513))</f>
        <v>0</v>
      </c>
      <c r="O513" s="424">
        <f>IF(OR(O$510&lt;$C513,O$510&lt;$H$2),0,MIN($E513-SUM($G513:N513),$F513))</f>
        <v>0</v>
      </c>
      <c r="P513" s="424">
        <f>IF(OR(P$510&lt;$C513,P$510&lt;$H$2),0,MIN($E513-SUM($G513:O513),$F513))</f>
        <v>0</v>
      </c>
      <c r="Q513" s="424">
        <f>IF(OR(Q$510&lt;$C513,Q$510&lt;$H$2),0,MIN($E513-SUM($G513:P513),$F513))</f>
        <v>0</v>
      </c>
      <c r="R513" s="424">
        <f>IF(OR(R$510&lt;$C513,R$510&lt;$H$2),0,MIN($E513-SUM($G513:Q513),$F513))</f>
        <v>0</v>
      </c>
      <c r="S513" s="424">
        <f>IF(OR(S$510&lt;$C513,S$510&lt;$H$2),0,MIN($E513-SUM($G513:R513),$F513))</f>
        <v>0</v>
      </c>
      <c r="T513" s="424">
        <f>IF(OR(T$510&lt;$C513,T$510&lt;$H$2),0,MIN($E513-SUM($G513:S513),$F513))</f>
        <v>0</v>
      </c>
      <c r="U513" s="424">
        <f>IF(OR(U$510&lt;$C513,U$510&lt;$H$2),0,MIN($E513-SUM($G513:T513),$F513))</f>
        <v>0</v>
      </c>
      <c r="V513" s="424">
        <f>IF(OR(V$510&lt;$C513,V$510&lt;$H$2),0,MIN($E513-SUM($G513:U513),$F513))</f>
        <v>0</v>
      </c>
      <c r="W513" s="424">
        <f>IF(OR(W$510&lt;$C513,W$510&lt;$H$2),0,MIN($E513-SUM($G513:V513),$F513))</f>
        <v>0</v>
      </c>
      <c r="X513" s="424">
        <f>IF(OR(X$510&lt;$C513,X$510&lt;$H$2),0,MIN($E513-SUM($G513:W513),$F513))</f>
        <v>0</v>
      </c>
      <c r="Y513" s="424">
        <f>IF(OR(Y$510&lt;$C513,Y$510&lt;$H$2),0,MIN($E513-SUM($G513:X513),$F513))</f>
        <v>0</v>
      </c>
      <c r="Z513" s="424">
        <f>IF(OR(Z$510&lt;$C513,Z$510&lt;$H$2),0,MIN($E513-SUM($G513:Y513),$F513))</f>
        <v>0</v>
      </c>
      <c r="AA513" s="424">
        <f>IF(OR(AA$510&lt;$C513,AA$510&lt;$H$2),0,MIN($E513-SUM($G513:Z513),$F513))</f>
        <v>0</v>
      </c>
      <c r="AB513" s="424">
        <f>IF(OR(AB$510&lt;$C513,AB$510&lt;$H$2),0,MIN($E513-SUM($G513:AA513),$F513))</f>
        <v>0</v>
      </c>
      <c r="AC513" s="424">
        <f>IF(OR(AC$510&lt;$C513,AC$510&lt;$H$2),0,MIN($E513-SUM($G513:AB513),$F513))</f>
        <v>0</v>
      </c>
      <c r="AD513" s="424">
        <f>IF(OR(AD$510&lt;$C513,AD$510&lt;$H$2),0,MIN($E513-SUM($G513:AC513),$F513))</f>
        <v>0</v>
      </c>
      <c r="AE513" s="424">
        <f>IF(OR(AE$510&lt;$C513,AE$510&lt;$H$2),0,MIN($E513-SUM($G513:AD513),$F513))</f>
        <v>0</v>
      </c>
      <c r="AF513" s="424">
        <f>IF(OR(AF$510&lt;$C513,AF$510&lt;$H$2),0,MIN($E513-SUM($G513:AE513),$F513))</f>
        <v>0</v>
      </c>
      <c r="AG513" s="424">
        <f>IF(OR(AG$510&lt;$C513,AG$510&lt;$H$2),0,MIN($E513-SUM($G513:AF513),$F513))</f>
        <v>0</v>
      </c>
      <c r="AH513" s="424">
        <f>IF(OR(AH$510&lt;$C513,AH$510&lt;$H$2),0,MIN($E513-SUM($G513:AG513),$F513))</f>
        <v>0</v>
      </c>
      <c r="AI513" s="424">
        <f>IF(OR(AI$510&lt;$C513,AI$510&lt;$H$2),0,MIN($E513-SUM($G513:AH513),$F513))</f>
        <v>0</v>
      </c>
      <c r="AJ513" s="424">
        <f>IF(OR(AJ$510&lt;$C513,AJ$510&lt;$H$2),0,MIN($E513-SUM($G513:AI513),$F513))</f>
        <v>0</v>
      </c>
      <c r="AK513" s="424">
        <f>IF(OR(AK$510&lt;$C513,AK$510&lt;$H$2),0,MIN($E513-SUM($G513:AJ513),$F513))</f>
        <v>0</v>
      </c>
    </row>
    <row r="514" spans="3:37">
      <c r="C514" s="201">
        <v>46389</v>
      </c>
      <c r="D514" s="94" t="s">
        <v>134</v>
      </c>
      <c r="E514" s="424">
        <f t="shared" ref="E514:E542" si="142">HLOOKUP($C514,$H$39:$AP$112,59,FALSE)</f>
        <v>0</v>
      </c>
      <c r="F514" s="209">
        <f t="shared" ref="F514:F542" si="143">E514*$F$95</f>
        <v>0</v>
      </c>
      <c r="H514" s="424">
        <f>IF(OR(H$510&lt;$C514,H$510&lt;$H$2),0,MIN($E514-SUM($G514:G514),$F514))</f>
        <v>0</v>
      </c>
      <c r="I514" s="424">
        <f>IF(OR(I$510&lt;$C514,I$510&lt;$H$2),0,MIN($E514-SUM($G514:H514),$F514))</f>
        <v>0</v>
      </c>
      <c r="J514" s="424">
        <f>IF(OR(J$510&lt;$C514,J$510&lt;$H$2),0,MIN($E514-SUM($G514:I514),$F514))</f>
        <v>0</v>
      </c>
      <c r="K514" s="424">
        <f>IF(OR(K$510&lt;$C514,K$510&lt;$H$2),0,MIN($E514-SUM($G514:J514),$F514))</f>
        <v>0</v>
      </c>
      <c r="L514" s="424">
        <f>IF(OR(L$510&lt;$C514,L$510&lt;$H$2),0,MIN($E514-SUM($G514:K514),$F514))</f>
        <v>0</v>
      </c>
      <c r="M514" s="424">
        <f>IF(OR(M$510&lt;$C514,M$510&lt;$H$2),0,MIN($E514-SUM($G514:L514),$F514))</f>
        <v>0</v>
      </c>
      <c r="N514" s="424">
        <f>IF(OR(N$510&lt;$C514,N$510&lt;$H$2),0,MIN($E514-SUM($G514:M514),$F514))</f>
        <v>0</v>
      </c>
      <c r="O514" s="424">
        <f>IF(OR(O$510&lt;$C514,O$510&lt;$H$2),0,MIN($E514-SUM($G514:N514),$F514))</f>
        <v>0</v>
      </c>
      <c r="P514" s="424">
        <f>IF(OR(P$510&lt;$C514,P$510&lt;$H$2),0,MIN($E514-SUM($G514:O514),$F514))</f>
        <v>0</v>
      </c>
      <c r="Q514" s="424">
        <f>IF(OR(Q$510&lt;$C514,Q$510&lt;$H$2),0,MIN($E514-SUM($G514:P514),$F514))</f>
        <v>0</v>
      </c>
      <c r="R514" s="424">
        <f>IF(OR(R$510&lt;$C514,R$510&lt;$H$2),0,MIN($E514-SUM($G514:Q514),$F514))</f>
        <v>0</v>
      </c>
      <c r="S514" s="424">
        <f>IF(OR(S$510&lt;$C514,S$510&lt;$H$2),0,MIN($E514-SUM($G514:R514),$F514))</f>
        <v>0</v>
      </c>
      <c r="T514" s="424">
        <f>IF(OR(T$510&lt;$C514,T$510&lt;$H$2),0,MIN($E514-SUM($G514:S514),$F514))</f>
        <v>0</v>
      </c>
      <c r="U514" s="424">
        <f>IF(OR(U$510&lt;$C514,U$510&lt;$H$2),0,MIN($E514-SUM($G514:T514),$F514))</f>
        <v>0</v>
      </c>
      <c r="V514" s="424">
        <f>IF(OR(V$510&lt;$C514,V$510&lt;$H$2),0,MIN($E514-SUM($G514:U514),$F514))</f>
        <v>0</v>
      </c>
      <c r="W514" s="424">
        <f>IF(OR(W$510&lt;$C514,W$510&lt;$H$2),0,MIN($E514-SUM($G514:V514),$F514))</f>
        <v>0</v>
      </c>
      <c r="X514" s="424">
        <f>IF(OR(X$510&lt;$C514,X$510&lt;$H$2),0,MIN($E514-SUM($G514:W514),$F514))</f>
        <v>0</v>
      </c>
      <c r="Y514" s="424">
        <f>IF(OR(Y$510&lt;$C514,Y$510&lt;$H$2),0,MIN($E514-SUM($G514:X514),$F514))</f>
        <v>0</v>
      </c>
      <c r="Z514" s="424">
        <f>IF(OR(Z$510&lt;$C514,Z$510&lt;$H$2),0,MIN($E514-SUM($G514:Y514),$F514))</f>
        <v>0</v>
      </c>
      <c r="AA514" s="424">
        <f>IF(OR(AA$510&lt;$C514,AA$510&lt;$H$2),0,MIN($E514-SUM($G514:Z514),$F514))</f>
        <v>0</v>
      </c>
      <c r="AB514" s="424">
        <f>IF(OR(AB$510&lt;$C514,AB$510&lt;$H$2),0,MIN($E514-SUM($G514:AA514),$F514))</f>
        <v>0</v>
      </c>
      <c r="AC514" s="424">
        <f>IF(OR(AC$510&lt;$C514,AC$510&lt;$H$2),0,MIN($E514-SUM($G514:AB514),$F514))</f>
        <v>0</v>
      </c>
      <c r="AD514" s="424">
        <f>IF(OR(AD$510&lt;$C514,AD$510&lt;$H$2),0,MIN($E514-SUM($G514:AC514),$F514))</f>
        <v>0</v>
      </c>
      <c r="AE514" s="424">
        <f>IF(OR(AE$510&lt;$C514,AE$510&lt;$H$2),0,MIN($E514-SUM($G514:AD514),$F514))</f>
        <v>0</v>
      </c>
      <c r="AF514" s="424">
        <f>IF(OR(AF$510&lt;$C514,AF$510&lt;$H$2),0,MIN($E514-SUM($G514:AE514),$F514))</f>
        <v>0</v>
      </c>
      <c r="AG514" s="424">
        <f>IF(OR(AG$510&lt;$C514,AG$510&lt;$H$2),0,MIN($E514-SUM($G514:AF514),$F514))</f>
        <v>0</v>
      </c>
      <c r="AH514" s="424">
        <f>IF(OR(AH$510&lt;$C514,AH$510&lt;$H$2),0,MIN($E514-SUM($G514:AG514),$F514))</f>
        <v>0</v>
      </c>
      <c r="AI514" s="424">
        <f>IF(OR(AI$510&lt;$C514,AI$510&lt;$H$2),0,MIN($E514-SUM($G514:AH514),$F514))</f>
        <v>0</v>
      </c>
      <c r="AJ514" s="424">
        <f>IF(OR(AJ$510&lt;$C514,AJ$510&lt;$H$2),0,MIN($E514-SUM($G514:AI514),$F514))</f>
        <v>0</v>
      </c>
      <c r="AK514" s="424">
        <f>IF(OR(AK$510&lt;$C514,AK$510&lt;$H$2),0,MIN($E514-SUM($G514:AJ514),$F514))</f>
        <v>0</v>
      </c>
    </row>
    <row r="515" spans="3:37">
      <c r="C515" s="201">
        <v>46755</v>
      </c>
      <c r="D515" s="94" t="s">
        <v>134</v>
      </c>
      <c r="E515" s="424">
        <f t="shared" si="142"/>
        <v>0</v>
      </c>
      <c r="F515" s="209">
        <f t="shared" si="143"/>
        <v>0</v>
      </c>
      <c r="H515" s="424">
        <f>IF(OR(H$510&lt;$C515,H$510&lt;$H$2),0,MIN($E515-SUM($G515:G515),$F515))</f>
        <v>0</v>
      </c>
      <c r="I515" s="424">
        <f>IF(OR(I$510&lt;$C515,I$510&lt;$H$2),0,MIN($E515-SUM($G515:H515),$F515))</f>
        <v>0</v>
      </c>
      <c r="J515" s="424">
        <f>IF(OR(J$510&lt;$C515,J$510&lt;$H$2),0,MIN($E515-SUM($G515:I515),$F515))</f>
        <v>0</v>
      </c>
      <c r="K515" s="424">
        <f>IF(OR(K$510&lt;$C515,K$510&lt;$H$2),0,MIN($E515-SUM($G515:J515),$F515))</f>
        <v>0</v>
      </c>
      <c r="L515" s="424">
        <f>IF(OR(L$510&lt;$C515,L$510&lt;$H$2),0,MIN($E515-SUM($G515:K515),$F515))</f>
        <v>0</v>
      </c>
      <c r="M515" s="424">
        <f>IF(OR(M$510&lt;$C515,M$510&lt;$H$2),0,MIN($E515-SUM($G515:L515),$F515))</f>
        <v>0</v>
      </c>
      <c r="N515" s="424">
        <f>IF(OR(N$510&lt;$C515,N$510&lt;$H$2),0,MIN($E515-SUM($G515:M515),$F515))</f>
        <v>0</v>
      </c>
      <c r="O515" s="424">
        <f>IF(OR(O$510&lt;$C515,O$510&lt;$H$2),0,MIN($E515-SUM($G515:N515),$F515))</f>
        <v>0</v>
      </c>
      <c r="P515" s="424">
        <f>IF(OR(P$510&lt;$C515,P$510&lt;$H$2),0,MIN($E515-SUM($G515:O515),$F515))</f>
        <v>0</v>
      </c>
      <c r="Q515" s="424">
        <f>IF(OR(Q$510&lt;$C515,Q$510&lt;$H$2),0,MIN($E515-SUM($G515:P515),$F515))</f>
        <v>0</v>
      </c>
      <c r="R515" s="424">
        <f>IF(OR(R$510&lt;$C515,R$510&lt;$H$2),0,MIN($E515-SUM($G515:Q515),$F515))</f>
        <v>0</v>
      </c>
      <c r="S515" s="424">
        <f>IF(OR(S$510&lt;$C515,S$510&lt;$H$2),0,MIN($E515-SUM($G515:R515),$F515))</f>
        <v>0</v>
      </c>
      <c r="T515" s="424">
        <f>IF(OR(T$510&lt;$C515,T$510&lt;$H$2),0,MIN($E515-SUM($G515:S515),$F515))</f>
        <v>0</v>
      </c>
      <c r="U515" s="424">
        <f>IF(OR(U$510&lt;$C515,U$510&lt;$H$2),0,MIN($E515-SUM($G515:T515),$F515))</f>
        <v>0</v>
      </c>
      <c r="V515" s="424">
        <f>IF(OR(V$510&lt;$C515,V$510&lt;$H$2),0,MIN($E515-SUM($G515:U515),$F515))</f>
        <v>0</v>
      </c>
      <c r="W515" s="424">
        <f>IF(OR(W$510&lt;$C515,W$510&lt;$H$2),0,MIN($E515-SUM($G515:V515),$F515))</f>
        <v>0</v>
      </c>
      <c r="X515" s="424">
        <f>IF(OR(X$510&lt;$C515,X$510&lt;$H$2),0,MIN($E515-SUM($G515:W515),$F515))</f>
        <v>0</v>
      </c>
      <c r="Y515" s="424">
        <f>IF(OR(Y$510&lt;$C515,Y$510&lt;$H$2),0,MIN($E515-SUM($G515:X515),$F515))</f>
        <v>0</v>
      </c>
      <c r="Z515" s="424">
        <f>IF(OR(Z$510&lt;$C515,Z$510&lt;$H$2),0,MIN($E515-SUM($G515:Y515),$F515))</f>
        <v>0</v>
      </c>
      <c r="AA515" s="424">
        <f>IF(OR(AA$510&lt;$C515,AA$510&lt;$H$2),0,MIN($E515-SUM($G515:Z515),$F515))</f>
        <v>0</v>
      </c>
      <c r="AB515" s="424">
        <f>IF(OR(AB$510&lt;$C515,AB$510&lt;$H$2),0,MIN($E515-SUM($G515:AA515),$F515))</f>
        <v>0</v>
      </c>
      <c r="AC515" s="424">
        <f>IF(OR(AC$510&lt;$C515,AC$510&lt;$H$2),0,MIN($E515-SUM($G515:AB515),$F515))</f>
        <v>0</v>
      </c>
      <c r="AD515" s="424">
        <f>IF(OR(AD$510&lt;$C515,AD$510&lt;$H$2),0,MIN($E515-SUM($G515:AC515),$F515))</f>
        <v>0</v>
      </c>
      <c r="AE515" s="424">
        <f>IF(OR(AE$510&lt;$C515,AE$510&lt;$H$2),0,MIN($E515-SUM($G515:AD515),$F515))</f>
        <v>0</v>
      </c>
      <c r="AF515" s="424">
        <f>IF(OR(AF$510&lt;$C515,AF$510&lt;$H$2),0,MIN($E515-SUM($G515:AE515),$F515))</f>
        <v>0</v>
      </c>
      <c r="AG515" s="424">
        <f>IF(OR(AG$510&lt;$C515,AG$510&lt;$H$2),0,MIN($E515-SUM($G515:AF515),$F515))</f>
        <v>0</v>
      </c>
      <c r="AH515" s="424">
        <f>IF(OR(AH$510&lt;$C515,AH$510&lt;$H$2),0,MIN($E515-SUM($G515:AG515),$F515))</f>
        <v>0</v>
      </c>
      <c r="AI515" s="424">
        <f>IF(OR(AI$510&lt;$C515,AI$510&lt;$H$2),0,MIN($E515-SUM($G515:AH515),$F515))</f>
        <v>0</v>
      </c>
      <c r="AJ515" s="424">
        <f>IF(OR(AJ$510&lt;$C515,AJ$510&lt;$H$2),0,MIN($E515-SUM($G515:AI515),$F515))</f>
        <v>0</v>
      </c>
      <c r="AK515" s="424">
        <f>IF(OR(AK$510&lt;$C515,AK$510&lt;$H$2),0,MIN($E515-SUM($G515:AJ515),$F515))</f>
        <v>0</v>
      </c>
    </row>
    <row r="516" spans="3:37">
      <c r="C516" s="201">
        <v>47121</v>
      </c>
      <c r="D516" s="94" t="s">
        <v>134</v>
      </c>
      <c r="E516" s="424">
        <f t="shared" si="142"/>
        <v>0</v>
      </c>
      <c r="F516" s="209">
        <f t="shared" si="143"/>
        <v>0</v>
      </c>
      <c r="H516" s="424">
        <f>IF(OR(H$510&lt;$C516,H$510&lt;$H$2),0,MIN($E516-SUM($G516:G516),$F516))</f>
        <v>0</v>
      </c>
      <c r="I516" s="424">
        <f>IF(OR(I$510&lt;$C516,I$510&lt;$H$2),0,MIN($E516-SUM($G516:H516),$F516))</f>
        <v>0</v>
      </c>
      <c r="J516" s="424">
        <f>IF(OR(J$510&lt;$C516,J$510&lt;$H$2),0,MIN($E516-SUM($G516:I516),$F516))</f>
        <v>0</v>
      </c>
      <c r="K516" s="424">
        <f>IF(OR(K$510&lt;$C516,K$510&lt;$H$2),0,MIN($E516-SUM($G516:J516),$F516))</f>
        <v>0</v>
      </c>
      <c r="L516" s="424">
        <f>IF(OR(L$510&lt;$C516,L$510&lt;$H$2),0,MIN($E516-SUM($G516:K516),$F516))</f>
        <v>0</v>
      </c>
      <c r="M516" s="424">
        <f>IF(OR(M$510&lt;$C516,M$510&lt;$H$2),0,MIN($E516-SUM($G516:L516),$F516))</f>
        <v>0</v>
      </c>
      <c r="N516" s="424">
        <f>IF(OR(N$510&lt;$C516,N$510&lt;$H$2),0,MIN($E516-SUM($G516:M516),$F516))</f>
        <v>0</v>
      </c>
      <c r="O516" s="424">
        <f>IF(OR(O$510&lt;$C516,O$510&lt;$H$2),0,MIN($E516-SUM($G516:N516),$F516))</f>
        <v>0</v>
      </c>
      <c r="P516" s="424">
        <f>IF(OR(P$510&lt;$C516,P$510&lt;$H$2),0,MIN($E516-SUM($G516:O516),$F516))</f>
        <v>0</v>
      </c>
      <c r="Q516" s="424">
        <f>IF(OR(Q$510&lt;$C516,Q$510&lt;$H$2),0,MIN($E516-SUM($G516:P516),$F516))</f>
        <v>0</v>
      </c>
      <c r="R516" s="424">
        <f>IF(OR(R$510&lt;$C516,R$510&lt;$H$2),0,MIN($E516-SUM($G516:Q516),$F516))</f>
        <v>0</v>
      </c>
      <c r="S516" s="424">
        <f>IF(OR(S$510&lt;$C516,S$510&lt;$H$2),0,MIN($E516-SUM($G516:R516),$F516))</f>
        <v>0</v>
      </c>
      <c r="T516" s="424">
        <f>IF(OR(T$510&lt;$C516,T$510&lt;$H$2),0,MIN($E516-SUM($G516:S516),$F516))</f>
        <v>0</v>
      </c>
      <c r="U516" s="424">
        <f>IF(OR(U$510&lt;$C516,U$510&lt;$H$2),0,MIN($E516-SUM($G516:T516),$F516))</f>
        <v>0</v>
      </c>
      <c r="V516" s="424">
        <f>IF(OR(V$510&lt;$C516,V$510&lt;$H$2),0,MIN($E516-SUM($G516:U516),$F516))</f>
        <v>0</v>
      </c>
      <c r="W516" s="424">
        <f>IF(OR(W$510&lt;$C516,W$510&lt;$H$2),0,MIN($E516-SUM($G516:V516),$F516))</f>
        <v>0</v>
      </c>
      <c r="X516" s="424">
        <f>IF(OR(X$510&lt;$C516,X$510&lt;$H$2),0,MIN($E516-SUM($G516:W516),$F516))</f>
        <v>0</v>
      </c>
      <c r="Y516" s="424">
        <f>IF(OR(Y$510&lt;$C516,Y$510&lt;$H$2),0,MIN($E516-SUM($G516:X516),$F516))</f>
        <v>0</v>
      </c>
      <c r="Z516" s="424">
        <f>IF(OR(Z$510&lt;$C516,Z$510&lt;$H$2),0,MIN($E516-SUM($G516:Y516),$F516))</f>
        <v>0</v>
      </c>
      <c r="AA516" s="424">
        <f>IF(OR(AA$510&lt;$C516,AA$510&lt;$H$2),0,MIN($E516-SUM($G516:Z516),$F516))</f>
        <v>0</v>
      </c>
      <c r="AB516" s="424">
        <f>IF(OR(AB$510&lt;$C516,AB$510&lt;$H$2),0,MIN($E516-SUM($G516:AA516),$F516))</f>
        <v>0</v>
      </c>
      <c r="AC516" s="424">
        <f>IF(OR(AC$510&lt;$C516,AC$510&lt;$H$2),0,MIN($E516-SUM($G516:AB516),$F516))</f>
        <v>0</v>
      </c>
      <c r="AD516" s="424">
        <f>IF(OR(AD$510&lt;$C516,AD$510&lt;$H$2),0,MIN($E516-SUM($G516:AC516),$F516))</f>
        <v>0</v>
      </c>
      <c r="AE516" s="424">
        <f>IF(OR(AE$510&lt;$C516,AE$510&lt;$H$2),0,MIN($E516-SUM($G516:AD516),$F516))</f>
        <v>0</v>
      </c>
      <c r="AF516" s="424">
        <f>IF(OR(AF$510&lt;$C516,AF$510&lt;$H$2),0,MIN($E516-SUM($G516:AE516),$F516))</f>
        <v>0</v>
      </c>
      <c r="AG516" s="424">
        <f>IF(OR(AG$510&lt;$C516,AG$510&lt;$H$2),0,MIN($E516-SUM($G516:AF516),$F516))</f>
        <v>0</v>
      </c>
      <c r="AH516" s="424">
        <f>IF(OR(AH$510&lt;$C516,AH$510&lt;$H$2),0,MIN($E516-SUM($G516:AG516),$F516))</f>
        <v>0</v>
      </c>
      <c r="AI516" s="424">
        <f>IF(OR(AI$510&lt;$C516,AI$510&lt;$H$2),0,MIN($E516-SUM($G516:AH516),$F516))</f>
        <v>0</v>
      </c>
      <c r="AJ516" s="424">
        <f>IF(OR(AJ$510&lt;$C516,AJ$510&lt;$H$2),0,MIN($E516-SUM($G516:AI516),$F516))</f>
        <v>0</v>
      </c>
      <c r="AK516" s="424">
        <f>IF(OR(AK$510&lt;$C516,AK$510&lt;$H$2),0,MIN($E516-SUM($G516:AJ516),$F516))</f>
        <v>0</v>
      </c>
    </row>
    <row r="517" spans="3:37">
      <c r="C517" s="201">
        <v>47487</v>
      </c>
      <c r="D517" s="94" t="s">
        <v>134</v>
      </c>
      <c r="E517" s="424">
        <f t="shared" si="142"/>
        <v>0</v>
      </c>
      <c r="F517" s="209">
        <f t="shared" si="143"/>
        <v>0</v>
      </c>
      <c r="H517" s="424">
        <f>IF(OR(H$510&lt;$C517,H$510&lt;$H$2),0,MIN($E517-SUM($G517:G517),$F517))</f>
        <v>0</v>
      </c>
      <c r="I517" s="424">
        <f>IF(OR(I$510&lt;$C517,I$510&lt;$H$2),0,MIN($E517-SUM($G517:H517),$F517))</f>
        <v>0</v>
      </c>
      <c r="J517" s="424">
        <f>IF(OR(J$510&lt;$C517,J$510&lt;$H$2),0,MIN($E517-SUM($G517:I517),$F517))</f>
        <v>0</v>
      </c>
      <c r="K517" s="424">
        <f>IF(OR(K$510&lt;$C517,K$510&lt;$H$2),0,MIN($E517-SUM($G517:J517),$F517))</f>
        <v>0</v>
      </c>
      <c r="L517" s="424">
        <f>IF(OR(L$510&lt;$C517,L$510&lt;$H$2),0,MIN($E517-SUM($G517:K517),$F517))</f>
        <v>0</v>
      </c>
      <c r="M517" s="424">
        <f>IF(OR(M$510&lt;$C517,M$510&lt;$H$2),0,MIN($E517-SUM($G517:L517),$F517))</f>
        <v>0</v>
      </c>
      <c r="N517" s="424">
        <f>IF(OR(N$510&lt;$C517,N$510&lt;$H$2),0,MIN($E517-SUM($G517:M517),$F517))</f>
        <v>0</v>
      </c>
      <c r="O517" s="424">
        <f>IF(OR(O$510&lt;$C517,O$510&lt;$H$2),0,MIN($E517-SUM($G517:N517),$F517))</f>
        <v>0</v>
      </c>
      <c r="P517" s="424">
        <f>IF(OR(P$510&lt;$C517,P$510&lt;$H$2),0,MIN($E517-SUM($G517:O517),$F517))</f>
        <v>0</v>
      </c>
      <c r="Q517" s="424">
        <f>IF(OR(Q$510&lt;$C517,Q$510&lt;$H$2),0,MIN($E517-SUM($G517:P517),$F517))</f>
        <v>0</v>
      </c>
      <c r="R517" s="424">
        <f>IF(OR(R$510&lt;$C517,R$510&lt;$H$2),0,MIN($E517-SUM($G517:Q517),$F517))</f>
        <v>0</v>
      </c>
      <c r="S517" s="424">
        <f>IF(OR(S$510&lt;$C517,S$510&lt;$H$2),0,MIN($E517-SUM($G517:R517),$F517))</f>
        <v>0</v>
      </c>
      <c r="T517" s="424">
        <f>IF(OR(T$510&lt;$C517,T$510&lt;$H$2),0,MIN($E517-SUM($G517:S517),$F517))</f>
        <v>0</v>
      </c>
      <c r="U517" s="424">
        <f>IF(OR(U$510&lt;$C517,U$510&lt;$H$2),0,MIN($E517-SUM($G517:T517),$F517))</f>
        <v>0</v>
      </c>
      <c r="V517" s="424">
        <f>IF(OR(V$510&lt;$C517,V$510&lt;$H$2),0,MIN($E517-SUM($G517:U517),$F517))</f>
        <v>0</v>
      </c>
      <c r="W517" s="424">
        <f>IF(OR(W$510&lt;$C517,W$510&lt;$H$2),0,MIN($E517-SUM($G517:V517),$F517))</f>
        <v>0</v>
      </c>
      <c r="X517" s="424">
        <f>IF(OR(X$510&lt;$C517,X$510&lt;$H$2),0,MIN($E517-SUM($G517:W517),$F517))</f>
        <v>0</v>
      </c>
      <c r="Y517" s="424">
        <f>IF(OR(Y$510&lt;$C517,Y$510&lt;$H$2),0,MIN($E517-SUM($G517:X517),$F517))</f>
        <v>0</v>
      </c>
      <c r="Z517" s="424">
        <f>IF(OR(Z$510&lt;$C517,Z$510&lt;$H$2),0,MIN($E517-SUM($G517:Y517),$F517))</f>
        <v>0</v>
      </c>
      <c r="AA517" s="424">
        <f>IF(OR(AA$510&lt;$C517,AA$510&lt;$H$2),0,MIN($E517-SUM($G517:Z517),$F517))</f>
        <v>0</v>
      </c>
      <c r="AB517" s="424">
        <f>IF(OR(AB$510&lt;$C517,AB$510&lt;$H$2),0,MIN($E517-SUM($G517:AA517),$F517))</f>
        <v>0</v>
      </c>
      <c r="AC517" s="424">
        <f>IF(OR(AC$510&lt;$C517,AC$510&lt;$H$2),0,MIN($E517-SUM($G517:AB517),$F517))</f>
        <v>0</v>
      </c>
      <c r="AD517" s="424">
        <f>IF(OR(AD$510&lt;$C517,AD$510&lt;$H$2),0,MIN($E517-SUM($G517:AC517),$F517))</f>
        <v>0</v>
      </c>
      <c r="AE517" s="424">
        <f>IF(OR(AE$510&lt;$C517,AE$510&lt;$H$2),0,MIN($E517-SUM($G517:AD517),$F517))</f>
        <v>0</v>
      </c>
      <c r="AF517" s="424">
        <f>IF(OR(AF$510&lt;$C517,AF$510&lt;$H$2),0,MIN($E517-SUM($G517:AE517),$F517))</f>
        <v>0</v>
      </c>
      <c r="AG517" s="424">
        <f>IF(OR(AG$510&lt;$C517,AG$510&lt;$H$2),0,MIN($E517-SUM($G517:AF517),$F517))</f>
        <v>0</v>
      </c>
      <c r="AH517" s="424">
        <f>IF(OR(AH$510&lt;$C517,AH$510&lt;$H$2),0,MIN($E517-SUM($G517:AG517),$F517))</f>
        <v>0</v>
      </c>
      <c r="AI517" s="424">
        <f>IF(OR(AI$510&lt;$C517,AI$510&lt;$H$2),0,MIN($E517-SUM($G517:AH517),$F517))</f>
        <v>0</v>
      </c>
      <c r="AJ517" s="424">
        <f>IF(OR(AJ$510&lt;$C517,AJ$510&lt;$H$2),0,MIN($E517-SUM($G517:AI517),$F517))</f>
        <v>0</v>
      </c>
      <c r="AK517" s="424">
        <f>IF(OR(AK$510&lt;$C517,AK$510&lt;$H$2),0,MIN($E517-SUM($G517:AJ517),$F517))</f>
        <v>0</v>
      </c>
    </row>
    <row r="518" spans="3:37">
      <c r="C518" s="201">
        <v>47853</v>
      </c>
      <c r="D518" s="94" t="s">
        <v>134</v>
      </c>
      <c r="E518" s="424">
        <f t="shared" si="142"/>
        <v>0</v>
      </c>
      <c r="F518" s="209">
        <f t="shared" si="143"/>
        <v>0</v>
      </c>
      <c r="H518" s="424">
        <f>IF(OR(H$510&lt;$C518,H$510&lt;$H$2),0,MIN($E518-SUM($G518:G518),$F518))</f>
        <v>0</v>
      </c>
      <c r="I518" s="424">
        <f>IF(OR(I$510&lt;$C518,I$510&lt;$H$2),0,MIN($E518-SUM($G518:H518),$F518))</f>
        <v>0</v>
      </c>
      <c r="J518" s="424">
        <f>IF(OR(J$510&lt;$C518,J$510&lt;$H$2),0,MIN($E518-SUM($G518:I518),$F518))</f>
        <v>0</v>
      </c>
      <c r="K518" s="424">
        <f>IF(OR(K$510&lt;$C518,K$510&lt;$H$2),0,MIN($E518-SUM($G518:J518),$F518))</f>
        <v>0</v>
      </c>
      <c r="L518" s="424">
        <f>IF(OR(L$510&lt;$C518,L$510&lt;$H$2),0,MIN($E518-SUM($G518:K518),$F518))</f>
        <v>0</v>
      </c>
      <c r="M518" s="424">
        <f>IF(OR(M$510&lt;$C518,M$510&lt;$H$2),0,MIN($E518-SUM($G518:L518),$F518))</f>
        <v>0</v>
      </c>
      <c r="N518" s="424">
        <f>IF(OR(N$510&lt;$C518,N$510&lt;$H$2),0,MIN($E518-SUM($G518:M518),$F518))</f>
        <v>0</v>
      </c>
      <c r="O518" s="424">
        <f>IF(OR(O$510&lt;$C518,O$510&lt;$H$2),0,MIN($E518-SUM($G518:N518),$F518))</f>
        <v>0</v>
      </c>
      <c r="P518" s="424">
        <f>IF(OR(P$510&lt;$C518,P$510&lt;$H$2),0,MIN($E518-SUM($G518:O518),$F518))</f>
        <v>0</v>
      </c>
      <c r="Q518" s="424">
        <f>IF(OR(Q$510&lt;$C518,Q$510&lt;$H$2),0,MIN($E518-SUM($G518:P518),$F518))</f>
        <v>0</v>
      </c>
      <c r="R518" s="424">
        <f>IF(OR(R$510&lt;$C518,R$510&lt;$H$2),0,MIN($E518-SUM($G518:Q518),$F518))</f>
        <v>0</v>
      </c>
      <c r="S518" s="424">
        <f>IF(OR(S$510&lt;$C518,S$510&lt;$H$2),0,MIN($E518-SUM($G518:R518),$F518))</f>
        <v>0</v>
      </c>
      <c r="T518" s="424">
        <f>IF(OR(T$510&lt;$C518,T$510&lt;$H$2),0,MIN($E518-SUM($G518:S518),$F518))</f>
        <v>0</v>
      </c>
      <c r="U518" s="424">
        <f>IF(OR(U$510&lt;$C518,U$510&lt;$H$2),0,MIN($E518-SUM($G518:T518),$F518))</f>
        <v>0</v>
      </c>
      <c r="V518" s="424">
        <f>IF(OR(V$510&lt;$C518,V$510&lt;$H$2),0,MIN($E518-SUM($G518:U518),$F518))</f>
        <v>0</v>
      </c>
      <c r="W518" s="424">
        <f>IF(OR(W$510&lt;$C518,W$510&lt;$H$2),0,MIN($E518-SUM($G518:V518),$F518))</f>
        <v>0</v>
      </c>
      <c r="X518" s="424">
        <f>IF(OR(X$510&lt;$C518,X$510&lt;$H$2),0,MIN($E518-SUM($G518:W518),$F518))</f>
        <v>0</v>
      </c>
      <c r="Y518" s="424">
        <f>IF(OR(Y$510&lt;$C518,Y$510&lt;$H$2),0,MIN($E518-SUM($G518:X518),$F518))</f>
        <v>0</v>
      </c>
      <c r="Z518" s="424">
        <f>IF(OR(Z$510&lt;$C518,Z$510&lt;$H$2),0,MIN($E518-SUM($G518:Y518),$F518))</f>
        <v>0</v>
      </c>
      <c r="AA518" s="424">
        <f>IF(OR(AA$510&lt;$C518,AA$510&lt;$H$2),0,MIN($E518-SUM($G518:Z518),$F518))</f>
        <v>0</v>
      </c>
      <c r="AB518" s="424">
        <f>IF(OR(AB$510&lt;$C518,AB$510&lt;$H$2),0,MIN($E518-SUM($G518:AA518),$F518))</f>
        <v>0</v>
      </c>
      <c r="AC518" s="424">
        <f>IF(OR(AC$510&lt;$C518,AC$510&lt;$H$2),0,MIN($E518-SUM($G518:AB518),$F518))</f>
        <v>0</v>
      </c>
      <c r="AD518" s="424">
        <f>IF(OR(AD$510&lt;$C518,AD$510&lt;$H$2),0,MIN($E518-SUM($G518:AC518),$F518))</f>
        <v>0</v>
      </c>
      <c r="AE518" s="424">
        <f>IF(OR(AE$510&lt;$C518,AE$510&lt;$H$2),0,MIN($E518-SUM($G518:AD518),$F518))</f>
        <v>0</v>
      </c>
      <c r="AF518" s="424">
        <f>IF(OR(AF$510&lt;$C518,AF$510&lt;$H$2),0,MIN($E518-SUM($G518:AE518),$F518))</f>
        <v>0</v>
      </c>
      <c r="AG518" s="424">
        <f>IF(OR(AG$510&lt;$C518,AG$510&lt;$H$2),0,MIN($E518-SUM($G518:AF518),$F518))</f>
        <v>0</v>
      </c>
      <c r="AH518" s="424">
        <f>IF(OR(AH$510&lt;$C518,AH$510&lt;$H$2),0,MIN($E518-SUM($G518:AG518),$F518))</f>
        <v>0</v>
      </c>
      <c r="AI518" s="424">
        <f>IF(OR(AI$510&lt;$C518,AI$510&lt;$H$2),0,MIN($E518-SUM($G518:AH518),$F518))</f>
        <v>0</v>
      </c>
      <c r="AJ518" s="424">
        <f>IF(OR(AJ$510&lt;$C518,AJ$510&lt;$H$2),0,MIN($E518-SUM($G518:AI518),$F518))</f>
        <v>0</v>
      </c>
      <c r="AK518" s="424">
        <f>IF(OR(AK$510&lt;$C518,AK$510&lt;$H$2),0,MIN($E518-SUM($G518:AJ518),$F518))</f>
        <v>0</v>
      </c>
    </row>
    <row r="519" spans="3:37">
      <c r="C519" s="201">
        <v>48219</v>
      </c>
      <c r="D519" s="94" t="s">
        <v>134</v>
      </c>
      <c r="E519" s="424">
        <f t="shared" si="142"/>
        <v>0</v>
      </c>
      <c r="F519" s="209">
        <f t="shared" si="143"/>
        <v>0</v>
      </c>
      <c r="H519" s="424">
        <f>IF(OR(H$510&lt;$C519,H$510&lt;$H$2),0,MIN($E519-SUM($G519:G519),$F519))</f>
        <v>0</v>
      </c>
      <c r="I519" s="424">
        <f>IF(OR(I$510&lt;$C519,I$510&lt;$H$2),0,MIN($E519-SUM($G519:H519),$F519))</f>
        <v>0</v>
      </c>
      <c r="J519" s="424">
        <f>IF(OR(J$510&lt;$C519,J$510&lt;$H$2),0,MIN($E519-SUM($G519:I519),$F519))</f>
        <v>0</v>
      </c>
      <c r="K519" s="424">
        <f>IF(OR(K$510&lt;$C519,K$510&lt;$H$2),0,MIN($E519-SUM($G519:J519),$F519))</f>
        <v>0</v>
      </c>
      <c r="L519" s="424">
        <f>IF(OR(L$510&lt;$C519,L$510&lt;$H$2),0,MIN($E519-SUM($G519:K519),$F519))</f>
        <v>0</v>
      </c>
      <c r="M519" s="424">
        <f>IF(OR(M$510&lt;$C519,M$510&lt;$H$2),0,MIN($E519-SUM($G519:L519),$F519))</f>
        <v>0</v>
      </c>
      <c r="N519" s="424">
        <f>IF(OR(N$510&lt;$C519,N$510&lt;$H$2),0,MIN($E519-SUM($G519:M519),$F519))</f>
        <v>0</v>
      </c>
      <c r="O519" s="424">
        <f>IF(OR(O$510&lt;$C519,O$510&lt;$H$2),0,MIN($E519-SUM($G519:N519),$F519))</f>
        <v>0</v>
      </c>
      <c r="P519" s="424">
        <f>IF(OR(P$510&lt;$C519,P$510&lt;$H$2),0,MIN($E519-SUM($G519:O519),$F519))</f>
        <v>0</v>
      </c>
      <c r="Q519" s="424">
        <f>IF(OR(Q$510&lt;$C519,Q$510&lt;$H$2),0,MIN($E519-SUM($G519:P519),$F519))</f>
        <v>0</v>
      </c>
      <c r="R519" s="424">
        <f>IF(OR(R$510&lt;$C519,R$510&lt;$H$2),0,MIN($E519-SUM($G519:Q519),$F519))</f>
        <v>0</v>
      </c>
      <c r="S519" s="424">
        <f>IF(OR(S$510&lt;$C519,S$510&lt;$H$2),0,MIN($E519-SUM($G519:R519),$F519))</f>
        <v>0</v>
      </c>
      <c r="T519" s="424">
        <f>IF(OR(T$510&lt;$C519,T$510&lt;$H$2),0,MIN($E519-SUM($G519:S519),$F519))</f>
        <v>0</v>
      </c>
      <c r="U519" s="424">
        <f>IF(OR(U$510&lt;$C519,U$510&lt;$H$2),0,MIN($E519-SUM($G519:T519),$F519))</f>
        <v>0</v>
      </c>
      <c r="V519" s="424">
        <f>IF(OR(V$510&lt;$C519,V$510&lt;$H$2),0,MIN($E519-SUM($G519:U519),$F519))</f>
        <v>0</v>
      </c>
      <c r="W519" s="424">
        <f>IF(OR(W$510&lt;$C519,W$510&lt;$H$2),0,MIN($E519-SUM($G519:V519),$F519))</f>
        <v>0</v>
      </c>
      <c r="X519" s="424">
        <f>IF(OR(X$510&lt;$C519,X$510&lt;$H$2),0,MIN($E519-SUM($G519:W519),$F519))</f>
        <v>0</v>
      </c>
      <c r="Y519" s="424">
        <f>IF(OR(Y$510&lt;$C519,Y$510&lt;$H$2),0,MIN($E519-SUM($G519:X519),$F519))</f>
        <v>0</v>
      </c>
      <c r="Z519" s="424">
        <f>IF(OR(Z$510&lt;$C519,Z$510&lt;$H$2),0,MIN($E519-SUM($G519:Y519),$F519))</f>
        <v>0</v>
      </c>
      <c r="AA519" s="424">
        <f>IF(OR(AA$510&lt;$C519,AA$510&lt;$H$2),0,MIN($E519-SUM($G519:Z519),$F519))</f>
        <v>0</v>
      </c>
      <c r="AB519" s="424">
        <f>IF(OR(AB$510&lt;$C519,AB$510&lt;$H$2),0,MIN($E519-SUM($G519:AA519),$F519))</f>
        <v>0</v>
      </c>
      <c r="AC519" s="424">
        <f>IF(OR(AC$510&lt;$C519,AC$510&lt;$H$2),0,MIN($E519-SUM($G519:AB519),$F519))</f>
        <v>0</v>
      </c>
      <c r="AD519" s="424">
        <f>IF(OR(AD$510&lt;$C519,AD$510&lt;$H$2),0,MIN($E519-SUM($G519:AC519),$F519))</f>
        <v>0</v>
      </c>
      <c r="AE519" s="424">
        <f>IF(OR(AE$510&lt;$C519,AE$510&lt;$H$2),0,MIN($E519-SUM($G519:AD519),$F519))</f>
        <v>0</v>
      </c>
      <c r="AF519" s="424">
        <f>IF(OR(AF$510&lt;$C519,AF$510&lt;$H$2),0,MIN($E519-SUM($G519:AE519),$F519))</f>
        <v>0</v>
      </c>
      <c r="AG519" s="424">
        <f>IF(OR(AG$510&lt;$C519,AG$510&lt;$H$2),0,MIN($E519-SUM($G519:AF519),$F519))</f>
        <v>0</v>
      </c>
      <c r="AH519" s="424">
        <f>IF(OR(AH$510&lt;$C519,AH$510&lt;$H$2),0,MIN($E519-SUM($G519:AG519),$F519))</f>
        <v>0</v>
      </c>
      <c r="AI519" s="424">
        <f>IF(OR(AI$510&lt;$C519,AI$510&lt;$H$2),0,MIN($E519-SUM($G519:AH519),$F519))</f>
        <v>0</v>
      </c>
      <c r="AJ519" s="424">
        <f>IF(OR(AJ$510&lt;$C519,AJ$510&lt;$H$2),0,MIN($E519-SUM($G519:AI519),$F519))</f>
        <v>0</v>
      </c>
      <c r="AK519" s="424">
        <f>IF(OR(AK$510&lt;$C519,AK$510&lt;$H$2),0,MIN($E519-SUM($G519:AJ519),$F519))</f>
        <v>0</v>
      </c>
    </row>
    <row r="520" spans="3:37">
      <c r="C520" s="201">
        <v>48585</v>
      </c>
      <c r="D520" s="94" t="s">
        <v>134</v>
      </c>
      <c r="E520" s="424">
        <f t="shared" si="142"/>
        <v>0</v>
      </c>
      <c r="F520" s="209">
        <f t="shared" si="143"/>
        <v>0</v>
      </c>
      <c r="H520" s="424">
        <f>IF(OR(H$510&lt;$C520,H$510&lt;$H$2),0,MIN($E520-SUM($G520:G520),$F520))</f>
        <v>0</v>
      </c>
      <c r="I520" s="424">
        <f>IF(OR(I$510&lt;$C520,I$510&lt;$H$2),0,MIN($E520-SUM($G520:H520),$F520))</f>
        <v>0</v>
      </c>
      <c r="J520" s="424">
        <f>IF(OR(J$510&lt;$C520,J$510&lt;$H$2),0,MIN($E520-SUM($G520:I520),$F520))</f>
        <v>0</v>
      </c>
      <c r="K520" s="424">
        <f>IF(OR(K$510&lt;$C520,K$510&lt;$H$2),0,MIN($E520-SUM($G520:J520),$F520))</f>
        <v>0</v>
      </c>
      <c r="L520" s="424">
        <f>IF(OR(L$510&lt;$C520,L$510&lt;$H$2),0,MIN($E520-SUM($G520:K520),$F520))</f>
        <v>0</v>
      </c>
      <c r="M520" s="424">
        <f>IF(OR(M$510&lt;$C520,M$510&lt;$H$2),0,MIN($E520-SUM($G520:L520),$F520))</f>
        <v>0</v>
      </c>
      <c r="N520" s="424">
        <f>IF(OR(N$510&lt;$C520,N$510&lt;$H$2),0,MIN($E520-SUM($G520:M520),$F520))</f>
        <v>0</v>
      </c>
      <c r="O520" s="424">
        <f>IF(OR(O$510&lt;$C520,O$510&lt;$H$2),0,MIN($E520-SUM($G520:N520),$F520))</f>
        <v>0</v>
      </c>
      <c r="P520" s="424">
        <f>IF(OR(P$510&lt;$C520,P$510&lt;$H$2),0,MIN($E520-SUM($G520:O520),$F520))</f>
        <v>0</v>
      </c>
      <c r="Q520" s="424">
        <f>IF(OR(Q$510&lt;$C520,Q$510&lt;$H$2),0,MIN($E520-SUM($G520:P520),$F520))</f>
        <v>0</v>
      </c>
      <c r="R520" s="424">
        <f>IF(OR(R$510&lt;$C520,R$510&lt;$H$2),0,MIN($E520-SUM($G520:Q520),$F520))</f>
        <v>0</v>
      </c>
      <c r="S520" s="424">
        <f>IF(OR(S$510&lt;$C520,S$510&lt;$H$2),0,MIN($E520-SUM($G520:R520),$F520))</f>
        <v>0</v>
      </c>
      <c r="T520" s="424">
        <f>IF(OR(T$510&lt;$C520,T$510&lt;$H$2),0,MIN($E520-SUM($G520:S520),$F520))</f>
        <v>0</v>
      </c>
      <c r="U520" s="424">
        <f>IF(OR(U$510&lt;$C520,U$510&lt;$H$2),0,MIN($E520-SUM($G520:T520),$F520))</f>
        <v>0</v>
      </c>
      <c r="V520" s="424">
        <f>IF(OR(V$510&lt;$C520,V$510&lt;$H$2),0,MIN($E520-SUM($G520:U520),$F520))</f>
        <v>0</v>
      </c>
      <c r="W520" s="424">
        <f>IF(OR(W$510&lt;$C520,W$510&lt;$H$2),0,MIN($E520-SUM($G520:V520),$F520))</f>
        <v>0</v>
      </c>
      <c r="X520" s="424">
        <f>IF(OR(X$510&lt;$C520,X$510&lt;$H$2),0,MIN($E520-SUM($G520:W520),$F520))</f>
        <v>0</v>
      </c>
      <c r="Y520" s="424">
        <f>IF(OR(Y$510&lt;$C520,Y$510&lt;$H$2),0,MIN($E520-SUM($G520:X520),$F520))</f>
        <v>0</v>
      </c>
      <c r="Z520" s="424">
        <f>IF(OR(Z$510&lt;$C520,Z$510&lt;$H$2),0,MIN($E520-SUM($G520:Y520),$F520))</f>
        <v>0</v>
      </c>
      <c r="AA520" s="424">
        <f>IF(OR(AA$510&lt;$C520,AA$510&lt;$H$2),0,MIN($E520-SUM($G520:Z520),$F520))</f>
        <v>0</v>
      </c>
      <c r="AB520" s="424">
        <f>IF(OR(AB$510&lt;$C520,AB$510&lt;$H$2),0,MIN($E520-SUM($G520:AA520),$F520))</f>
        <v>0</v>
      </c>
      <c r="AC520" s="424">
        <f>IF(OR(AC$510&lt;$C520,AC$510&lt;$H$2),0,MIN($E520-SUM($G520:AB520),$F520))</f>
        <v>0</v>
      </c>
      <c r="AD520" s="424">
        <f>IF(OR(AD$510&lt;$C520,AD$510&lt;$H$2),0,MIN($E520-SUM($G520:AC520),$F520))</f>
        <v>0</v>
      </c>
      <c r="AE520" s="424">
        <f>IF(OR(AE$510&lt;$C520,AE$510&lt;$H$2),0,MIN($E520-SUM($G520:AD520),$F520))</f>
        <v>0</v>
      </c>
      <c r="AF520" s="424">
        <f>IF(OR(AF$510&lt;$C520,AF$510&lt;$H$2),0,MIN($E520-SUM($G520:AE520),$F520))</f>
        <v>0</v>
      </c>
      <c r="AG520" s="424">
        <f>IF(OR(AG$510&lt;$C520,AG$510&lt;$H$2),0,MIN($E520-SUM($G520:AF520),$F520))</f>
        <v>0</v>
      </c>
      <c r="AH520" s="424">
        <f>IF(OR(AH$510&lt;$C520,AH$510&lt;$H$2),0,MIN($E520-SUM($G520:AG520),$F520))</f>
        <v>0</v>
      </c>
      <c r="AI520" s="424">
        <f>IF(OR(AI$510&lt;$C520,AI$510&lt;$H$2),0,MIN($E520-SUM($G520:AH520),$F520))</f>
        <v>0</v>
      </c>
      <c r="AJ520" s="424">
        <f>IF(OR(AJ$510&lt;$C520,AJ$510&lt;$H$2),0,MIN($E520-SUM($G520:AI520),$F520))</f>
        <v>0</v>
      </c>
      <c r="AK520" s="424">
        <f>IF(OR(AK$510&lt;$C520,AK$510&lt;$H$2),0,MIN($E520-SUM($G520:AJ520),$F520))</f>
        <v>0</v>
      </c>
    </row>
    <row r="521" spans="3:37">
      <c r="C521" s="201">
        <v>48951</v>
      </c>
      <c r="D521" s="94" t="s">
        <v>134</v>
      </c>
      <c r="E521" s="424">
        <f t="shared" si="142"/>
        <v>0</v>
      </c>
      <c r="F521" s="209">
        <f t="shared" si="143"/>
        <v>0</v>
      </c>
      <c r="H521" s="424">
        <f>IF(OR(H$510&lt;$C521,H$510&lt;$H$2),0,MIN($E521-SUM($G521:G521),$F521))</f>
        <v>0</v>
      </c>
      <c r="I521" s="424">
        <f>IF(OR(I$510&lt;$C521,I$510&lt;$H$2),0,MIN($E521-SUM($G521:H521),$F521))</f>
        <v>0</v>
      </c>
      <c r="J521" s="424">
        <f>IF(OR(J$510&lt;$C521,J$510&lt;$H$2),0,MIN($E521-SUM($G521:I521),$F521))</f>
        <v>0</v>
      </c>
      <c r="K521" s="424">
        <f>IF(OR(K$510&lt;$C521,K$510&lt;$H$2),0,MIN($E521-SUM($G521:J521),$F521))</f>
        <v>0</v>
      </c>
      <c r="L521" s="424">
        <f>IF(OR(L$510&lt;$C521,L$510&lt;$H$2),0,MIN($E521-SUM($G521:K521),$F521))</f>
        <v>0</v>
      </c>
      <c r="M521" s="424">
        <f>IF(OR(M$510&lt;$C521,M$510&lt;$H$2),0,MIN($E521-SUM($G521:L521),$F521))</f>
        <v>0</v>
      </c>
      <c r="N521" s="424">
        <f>IF(OR(N$510&lt;$C521,N$510&lt;$H$2),0,MIN($E521-SUM($G521:M521),$F521))</f>
        <v>0</v>
      </c>
      <c r="O521" s="424">
        <f>IF(OR(O$510&lt;$C521,O$510&lt;$H$2),0,MIN($E521-SUM($G521:N521),$F521))</f>
        <v>0</v>
      </c>
      <c r="P521" s="424">
        <f>IF(OR(P$510&lt;$C521,P$510&lt;$H$2),0,MIN($E521-SUM($G521:O521),$F521))</f>
        <v>0</v>
      </c>
      <c r="Q521" s="424">
        <f>IF(OR(Q$510&lt;$C521,Q$510&lt;$H$2),0,MIN($E521-SUM($G521:P521),$F521))</f>
        <v>0</v>
      </c>
      <c r="R521" s="424">
        <f>IF(OR(R$510&lt;$C521,R$510&lt;$H$2),0,MIN($E521-SUM($G521:Q521),$F521))</f>
        <v>0</v>
      </c>
      <c r="S521" s="424">
        <f>IF(OR(S$510&lt;$C521,S$510&lt;$H$2),0,MIN($E521-SUM($G521:R521),$F521))</f>
        <v>0</v>
      </c>
      <c r="T521" s="424">
        <f>IF(OR(T$510&lt;$C521,T$510&lt;$H$2),0,MIN($E521-SUM($G521:S521),$F521))</f>
        <v>0</v>
      </c>
      <c r="U521" s="424">
        <f>IF(OR(U$510&lt;$C521,U$510&lt;$H$2),0,MIN($E521-SUM($G521:T521),$F521))</f>
        <v>0</v>
      </c>
      <c r="V521" s="424">
        <f>IF(OR(V$510&lt;$C521,V$510&lt;$H$2),0,MIN($E521-SUM($G521:U521),$F521))</f>
        <v>0</v>
      </c>
      <c r="W521" s="424">
        <f>IF(OR(W$510&lt;$C521,W$510&lt;$H$2),0,MIN($E521-SUM($G521:V521),$F521))</f>
        <v>0</v>
      </c>
      <c r="X521" s="424">
        <f>IF(OR(X$510&lt;$C521,X$510&lt;$H$2),0,MIN($E521-SUM($G521:W521),$F521))</f>
        <v>0</v>
      </c>
      <c r="Y521" s="424">
        <f>IF(OR(Y$510&lt;$C521,Y$510&lt;$H$2),0,MIN($E521-SUM($G521:X521),$F521))</f>
        <v>0</v>
      </c>
      <c r="Z521" s="424">
        <f>IF(OR(Z$510&lt;$C521,Z$510&lt;$H$2),0,MIN($E521-SUM($G521:Y521),$F521))</f>
        <v>0</v>
      </c>
      <c r="AA521" s="424">
        <f>IF(OR(AA$510&lt;$C521,AA$510&lt;$H$2),0,MIN($E521-SUM($G521:Z521),$F521))</f>
        <v>0</v>
      </c>
      <c r="AB521" s="424">
        <f>IF(OR(AB$510&lt;$C521,AB$510&lt;$H$2),0,MIN($E521-SUM($G521:AA521),$F521))</f>
        <v>0</v>
      </c>
      <c r="AC521" s="424">
        <f>IF(OR(AC$510&lt;$C521,AC$510&lt;$H$2),0,MIN($E521-SUM($G521:AB521),$F521))</f>
        <v>0</v>
      </c>
      <c r="AD521" s="424">
        <f>IF(OR(AD$510&lt;$C521,AD$510&lt;$H$2),0,MIN($E521-SUM($G521:AC521),$F521))</f>
        <v>0</v>
      </c>
      <c r="AE521" s="424">
        <f>IF(OR(AE$510&lt;$C521,AE$510&lt;$H$2),0,MIN($E521-SUM($G521:AD521),$F521))</f>
        <v>0</v>
      </c>
      <c r="AF521" s="424">
        <f>IF(OR(AF$510&lt;$C521,AF$510&lt;$H$2),0,MIN($E521-SUM($G521:AE521),$F521))</f>
        <v>0</v>
      </c>
      <c r="AG521" s="424">
        <f>IF(OR(AG$510&lt;$C521,AG$510&lt;$H$2),0,MIN($E521-SUM($G521:AF521),$F521))</f>
        <v>0</v>
      </c>
      <c r="AH521" s="424">
        <f>IF(OR(AH$510&lt;$C521,AH$510&lt;$H$2),0,MIN($E521-SUM($G521:AG521),$F521))</f>
        <v>0</v>
      </c>
      <c r="AI521" s="424">
        <f>IF(OR(AI$510&lt;$C521,AI$510&lt;$H$2),0,MIN($E521-SUM($G521:AH521),$F521))</f>
        <v>0</v>
      </c>
      <c r="AJ521" s="424">
        <f>IF(OR(AJ$510&lt;$C521,AJ$510&lt;$H$2),0,MIN($E521-SUM($G521:AI521),$F521))</f>
        <v>0</v>
      </c>
      <c r="AK521" s="424">
        <f>IF(OR(AK$510&lt;$C521,AK$510&lt;$H$2),0,MIN($E521-SUM($G521:AJ521),$F521))</f>
        <v>0</v>
      </c>
    </row>
    <row r="522" spans="3:37">
      <c r="C522" s="201">
        <v>49317</v>
      </c>
      <c r="D522" s="94" t="s">
        <v>134</v>
      </c>
      <c r="E522" s="424">
        <f t="shared" si="142"/>
        <v>0</v>
      </c>
      <c r="F522" s="209">
        <f t="shared" si="143"/>
        <v>0</v>
      </c>
      <c r="H522" s="424">
        <f>IF(OR(H$510&lt;$C522,H$510&lt;$H$2),0,MIN($E522-SUM($G522:G522),$F522))</f>
        <v>0</v>
      </c>
      <c r="I522" s="424">
        <f>IF(OR(I$510&lt;$C522,I$510&lt;$H$2),0,MIN($E522-SUM($G522:H522),$F522))</f>
        <v>0</v>
      </c>
      <c r="J522" s="424">
        <f>IF(OR(J$510&lt;$C522,J$510&lt;$H$2),0,MIN($E522-SUM($G522:I522),$F522))</f>
        <v>0</v>
      </c>
      <c r="K522" s="424">
        <f>IF(OR(K$510&lt;$C522,K$510&lt;$H$2),0,MIN($E522-SUM($G522:J522),$F522))</f>
        <v>0</v>
      </c>
      <c r="L522" s="424">
        <f>IF(OR(L$510&lt;$C522,L$510&lt;$H$2),0,MIN($E522-SUM($G522:K522),$F522))</f>
        <v>0</v>
      </c>
      <c r="M522" s="424">
        <f>IF(OR(M$510&lt;$C522,M$510&lt;$H$2),0,MIN($E522-SUM($G522:L522),$F522))</f>
        <v>0</v>
      </c>
      <c r="N522" s="424">
        <f>IF(OR(N$510&lt;$C522,N$510&lt;$H$2),0,MIN($E522-SUM($G522:M522),$F522))</f>
        <v>0</v>
      </c>
      <c r="O522" s="424">
        <f>IF(OR(O$510&lt;$C522,O$510&lt;$H$2),0,MIN($E522-SUM($G522:N522),$F522))</f>
        <v>0</v>
      </c>
      <c r="P522" s="424">
        <f>IF(OR(P$510&lt;$C522,P$510&lt;$H$2),0,MIN($E522-SUM($G522:O522),$F522))</f>
        <v>0</v>
      </c>
      <c r="Q522" s="424">
        <f>IF(OR(Q$510&lt;$C522,Q$510&lt;$H$2),0,MIN($E522-SUM($G522:P522),$F522))</f>
        <v>0</v>
      </c>
      <c r="R522" s="424">
        <f>IF(OR(R$510&lt;$C522,R$510&lt;$H$2),0,MIN($E522-SUM($G522:Q522),$F522))</f>
        <v>0</v>
      </c>
      <c r="S522" s="424">
        <f>IF(OR(S$510&lt;$C522,S$510&lt;$H$2),0,MIN($E522-SUM($G522:R522),$F522))</f>
        <v>0</v>
      </c>
      <c r="T522" s="424">
        <f>IF(OR(T$510&lt;$C522,T$510&lt;$H$2),0,MIN($E522-SUM($G522:S522),$F522))</f>
        <v>0</v>
      </c>
      <c r="U522" s="424">
        <f>IF(OR(U$510&lt;$C522,U$510&lt;$H$2),0,MIN($E522-SUM($G522:T522),$F522))</f>
        <v>0</v>
      </c>
      <c r="V522" s="424">
        <f>IF(OR(V$510&lt;$C522,V$510&lt;$H$2),0,MIN($E522-SUM($G522:U522),$F522))</f>
        <v>0</v>
      </c>
      <c r="W522" s="424">
        <f>IF(OR(W$510&lt;$C522,W$510&lt;$H$2),0,MIN($E522-SUM($G522:V522),$F522))</f>
        <v>0</v>
      </c>
      <c r="X522" s="424">
        <f>IF(OR(X$510&lt;$C522,X$510&lt;$H$2),0,MIN($E522-SUM($G522:W522),$F522))</f>
        <v>0</v>
      </c>
      <c r="Y522" s="424">
        <f>IF(OR(Y$510&lt;$C522,Y$510&lt;$H$2),0,MIN($E522-SUM($G522:X522),$F522))</f>
        <v>0</v>
      </c>
      <c r="Z522" s="424">
        <f>IF(OR(Z$510&lt;$C522,Z$510&lt;$H$2),0,MIN($E522-SUM($G522:Y522),$F522))</f>
        <v>0</v>
      </c>
      <c r="AA522" s="424">
        <f>IF(OR(AA$510&lt;$C522,AA$510&lt;$H$2),0,MIN($E522-SUM($G522:Z522),$F522))</f>
        <v>0</v>
      </c>
      <c r="AB522" s="424">
        <f>IF(OR(AB$510&lt;$C522,AB$510&lt;$H$2),0,MIN($E522-SUM($G522:AA522),$F522))</f>
        <v>0</v>
      </c>
      <c r="AC522" s="424">
        <f>IF(OR(AC$510&lt;$C522,AC$510&lt;$H$2),0,MIN($E522-SUM($G522:AB522),$F522))</f>
        <v>0</v>
      </c>
      <c r="AD522" s="424">
        <f>IF(OR(AD$510&lt;$C522,AD$510&lt;$H$2),0,MIN($E522-SUM($G522:AC522),$F522))</f>
        <v>0</v>
      </c>
      <c r="AE522" s="424">
        <f>IF(OR(AE$510&lt;$C522,AE$510&lt;$H$2),0,MIN($E522-SUM($G522:AD522),$F522))</f>
        <v>0</v>
      </c>
      <c r="AF522" s="424">
        <f>IF(OR(AF$510&lt;$C522,AF$510&lt;$H$2),0,MIN($E522-SUM($G522:AE522),$F522))</f>
        <v>0</v>
      </c>
      <c r="AG522" s="424">
        <f>IF(OR(AG$510&lt;$C522,AG$510&lt;$H$2),0,MIN($E522-SUM($G522:AF522),$F522))</f>
        <v>0</v>
      </c>
      <c r="AH522" s="424">
        <f>IF(OR(AH$510&lt;$C522,AH$510&lt;$H$2),0,MIN($E522-SUM($G522:AG522),$F522))</f>
        <v>0</v>
      </c>
      <c r="AI522" s="424">
        <f>IF(OR(AI$510&lt;$C522,AI$510&lt;$H$2),0,MIN($E522-SUM($G522:AH522),$F522))</f>
        <v>0</v>
      </c>
      <c r="AJ522" s="424">
        <f>IF(OR(AJ$510&lt;$C522,AJ$510&lt;$H$2),0,MIN($E522-SUM($G522:AI522),$F522))</f>
        <v>0</v>
      </c>
      <c r="AK522" s="424">
        <f>IF(OR(AK$510&lt;$C522,AK$510&lt;$H$2),0,MIN($E522-SUM($G522:AJ522),$F522))</f>
        <v>0</v>
      </c>
    </row>
    <row r="523" spans="3:37">
      <c r="C523" s="201">
        <v>49683</v>
      </c>
      <c r="D523" s="94" t="s">
        <v>134</v>
      </c>
      <c r="E523" s="424">
        <f t="shared" si="142"/>
        <v>0</v>
      </c>
      <c r="F523" s="209">
        <f t="shared" si="143"/>
        <v>0</v>
      </c>
      <c r="H523" s="424">
        <f>IF(OR(H$510&lt;$C523,H$510&lt;$H$2),0,MIN($E523-SUM($G523:G523),$F523))</f>
        <v>0</v>
      </c>
      <c r="I523" s="424">
        <f>IF(OR(I$510&lt;$C523,I$510&lt;$H$2),0,MIN($E523-SUM($G523:H523),$F523))</f>
        <v>0</v>
      </c>
      <c r="J523" s="424">
        <f>IF(OR(J$510&lt;$C523,J$510&lt;$H$2),0,MIN($E523-SUM($G523:I523),$F523))</f>
        <v>0</v>
      </c>
      <c r="K523" s="424">
        <f>IF(OR(K$510&lt;$C523,K$510&lt;$H$2),0,MIN($E523-SUM($G523:J523),$F523))</f>
        <v>0</v>
      </c>
      <c r="L523" s="424">
        <f>IF(OR(L$510&lt;$C523,L$510&lt;$H$2),0,MIN($E523-SUM($G523:K523),$F523))</f>
        <v>0</v>
      </c>
      <c r="M523" s="424">
        <f>IF(OR(M$510&lt;$C523,M$510&lt;$H$2),0,MIN($E523-SUM($G523:L523),$F523))</f>
        <v>0</v>
      </c>
      <c r="N523" s="424">
        <f>IF(OR(N$510&lt;$C523,N$510&lt;$H$2),0,MIN($E523-SUM($G523:M523),$F523))</f>
        <v>0</v>
      </c>
      <c r="O523" s="424">
        <f>IF(OR(O$510&lt;$C523,O$510&lt;$H$2),0,MIN($E523-SUM($G523:N523),$F523))</f>
        <v>0</v>
      </c>
      <c r="P523" s="424">
        <f>IF(OR(P$510&lt;$C523,P$510&lt;$H$2),0,MIN($E523-SUM($G523:O523),$F523))</f>
        <v>0</v>
      </c>
      <c r="Q523" s="424">
        <f>IF(OR(Q$510&lt;$C523,Q$510&lt;$H$2),0,MIN($E523-SUM($G523:P523),$F523))</f>
        <v>0</v>
      </c>
      <c r="R523" s="424">
        <f>IF(OR(R$510&lt;$C523,R$510&lt;$H$2),0,MIN($E523-SUM($G523:Q523),$F523))</f>
        <v>0</v>
      </c>
      <c r="S523" s="424">
        <f>IF(OR(S$510&lt;$C523,S$510&lt;$H$2),0,MIN($E523-SUM($G523:R523),$F523))</f>
        <v>0</v>
      </c>
      <c r="T523" s="424">
        <f>IF(OR(T$510&lt;$C523,T$510&lt;$H$2),0,MIN($E523-SUM($G523:S523),$F523))</f>
        <v>0</v>
      </c>
      <c r="U523" s="424">
        <f>IF(OR(U$510&lt;$C523,U$510&lt;$H$2),0,MIN($E523-SUM($G523:T523),$F523))</f>
        <v>0</v>
      </c>
      <c r="V523" s="424">
        <f>IF(OR(V$510&lt;$C523,V$510&lt;$H$2),0,MIN($E523-SUM($G523:U523),$F523))</f>
        <v>0</v>
      </c>
      <c r="W523" s="424">
        <f>IF(OR(W$510&lt;$C523,W$510&lt;$H$2),0,MIN($E523-SUM($G523:V523),$F523))</f>
        <v>0</v>
      </c>
      <c r="X523" s="424">
        <f>IF(OR(X$510&lt;$C523,X$510&lt;$H$2),0,MIN($E523-SUM($G523:W523),$F523))</f>
        <v>0</v>
      </c>
      <c r="Y523" s="424">
        <f>IF(OR(Y$510&lt;$C523,Y$510&lt;$H$2),0,MIN($E523-SUM($G523:X523),$F523))</f>
        <v>0</v>
      </c>
      <c r="Z523" s="424">
        <f>IF(OR(Z$510&lt;$C523,Z$510&lt;$H$2),0,MIN($E523-SUM($G523:Y523),$F523))</f>
        <v>0</v>
      </c>
      <c r="AA523" s="424">
        <f>IF(OR(AA$510&lt;$C523,AA$510&lt;$H$2),0,MIN($E523-SUM($G523:Z523),$F523))</f>
        <v>0</v>
      </c>
      <c r="AB523" s="424">
        <f>IF(OR(AB$510&lt;$C523,AB$510&lt;$H$2),0,MIN($E523-SUM($G523:AA523),$F523))</f>
        <v>0</v>
      </c>
      <c r="AC523" s="424">
        <f>IF(OR(AC$510&lt;$C523,AC$510&lt;$H$2),0,MIN($E523-SUM($G523:AB523),$F523))</f>
        <v>0</v>
      </c>
      <c r="AD523" s="424">
        <f>IF(OR(AD$510&lt;$C523,AD$510&lt;$H$2),0,MIN($E523-SUM($G523:AC523),$F523))</f>
        <v>0</v>
      </c>
      <c r="AE523" s="424">
        <f>IF(OR(AE$510&lt;$C523,AE$510&lt;$H$2),0,MIN($E523-SUM($G523:AD523),$F523))</f>
        <v>0</v>
      </c>
      <c r="AF523" s="424">
        <f>IF(OR(AF$510&lt;$C523,AF$510&lt;$H$2),0,MIN($E523-SUM($G523:AE523),$F523))</f>
        <v>0</v>
      </c>
      <c r="AG523" s="424">
        <f>IF(OR(AG$510&lt;$C523,AG$510&lt;$H$2),0,MIN($E523-SUM($G523:AF523),$F523))</f>
        <v>0</v>
      </c>
      <c r="AH523" s="424">
        <f>IF(OR(AH$510&lt;$C523,AH$510&lt;$H$2),0,MIN($E523-SUM($G523:AG523),$F523))</f>
        <v>0</v>
      </c>
      <c r="AI523" s="424">
        <f>IF(OR(AI$510&lt;$C523,AI$510&lt;$H$2),0,MIN($E523-SUM($G523:AH523),$F523))</f>
        <v>0</v>
      </c>
      <c r="AJ523" s="424">
        <f>IF(OR(AJ$510&lt;$C523,AJ$510&lt;$H$2),0,MIN($E523-SUM($G523:AI523),$F523))</f>
        <v>0</v>
      </c>
      <c r="AK523" s="424">
        <f>IF(OR(AK$510&lt;$C523,AK$510&lt;$H$2),0,MIN($E523-SUM($G523:AJ523),$F523))</f>
        <v>0</v>
      </c>
    </row>
    <row r="524" spans="3:37">
      <c r="C524" s="201">
        <v>50049</v>
      </c>
      <c r="D524" s="94" t="s">
        <v>134</v>
      </c>
      <c r="E524" s="424">
        <f t="shared" si="142"/>
        <v>0</v>
      </c>
      <c r="F524" s="209">
        <f t="shared" si="143"/>
        <v>0</v>
      </c>
      <c r="H524" s="424">
        <f>IF(OR(H$510&lt;$C524,H$510&lt;$H$2),0,MIN($E524-SUM($G524:G524),$F524))</f>
        <v>0</v>
      </c>
      <c r="I524" s="424">
        <f>IF(OR(I$510&lt;$C524,I$510&lt;$H$2),0,MIN($E524-SUM($G524:H524),$F524))</f>
        <v>0</v>
      </c>
      <c r="J524" s="424">
        <f>IF(OR(J$510&lt;$C524,J$510&lt;$H$2),0,MIN($E524-SUM($G524:I524),$F524))</f>
        <v>0</v>
      </c>
      <c r="K524" s="424">
        <f>IF(OR(K$510&lt;$C524,K$510&lt;$H$2),0,MIN($E524-SUM($G524:J524),$F524))</f>
        <v>0</v>
      </c>
      <c r="L524" s="424">
        <f>IF(OR(L$510&lt;$C524,L$510&lt;$H$2),0,MIN($E524-SUM($G524:K524),$F524))</f>
        <v>0</v>
      </c>
      <c r="M524" s="424">
        <f>IF(OR(M$510&lt;$C524,M$510&lt;$H$2),0,MIN($E524-SUM($G524:L524),$F524))</f>
        <v>0</v>
      </c>
      <c r="N524" s="424">
        <f>IF(OR(N$510&lt;$C524,N$510&lt;$H$2),0,MIN($E524-SUM($G524:M524),$F524))</f>
        <v>0</v>
      </c>
      <c r="O524" s="424">
        <f>IF(OR(O$510&lt;$C524,O$510&lt;$H$2),0,MIN($E524-SUM($G524:N524),$F524))</f>
        <v>0</v>
      </c>
      <c r="P524" s="424">
        <f>IF(OR(P$510&lt;$C524,P$510&lt;$H$2),0,MIN($E524-SUM($G524:O524),$F524))</f>
        <v>0</v>
      </c>
      <c r="Q524" s="424">
        <f>IF(OR(Q$510&lt;$C524,Q$510&lt;$H$2),0,MIN($E524-SUM($G524:P524),$F524))</f>
        <v>0</v>
      </c>
      <c r="R524" s="424">
        <f>IF(OR(R$510&lt;$C524,R$510&lt;$H$2),0,MIN($E524-SUM($G524:Q524),$F524))</f>
        <v>0</v>
      </c>
      <c r="S524" s="424">
        <f>IF(OR(S$510&lt;$C524,S$510&lt;$H$2),0,MIN($E524-SUM($G524:R524),$F524))</f>
        <v>0</v>
      </c>
      <c r="T524" s="424">
        <f>IF(OR(T$510&lt;$C524,T$510&lt;$H$2),0,MIN($E524-SUM($G524:S524),$F524))</f>
        <v>0</v>
      </c>
      <c r="U524" s="424">
        <f>IF(OR(U$510&lt;$C524,U$510&lt;$H$2),0,MIN($E524-SUM($G524:T524),$F524))</f>
        <v>0</v>
      </c>
      <c r="V524" s="424">
        <f>IF(OR(V$510&lt;$C524,V$510&lt;$H$2),0,MIN($E524-SUM($G524:U524),$F524))</f>
        <v>0</v>
      </c>
      <c r="W524" s="424">
        <f>IF(OR(W$510&lt;$C524,W$510&lt;$H$2),0,MIN($E524-SUM($G524:V524),$F524))</f>
        <v>0</v>
      </c>
      <c r="X524" s="424">
        <f>IF(OR(X$510&lt;$C524,X$510&lt;$H$2),0,MIN($E524-SUM($G524:W524),$F524))</f>
        <v>0</v>
      </c>
      <c r="Y524" s="424">
        <f>IF(OR(Y$510&lt;$C524,Y$510&lt;$H$2),0,MIN($E524-SUM($G524:X524),$F524))</f>
        <v>0</v>
      </c>
      <c r="Z524" s="424">
        <f>IF(OR(Z$510&lt;$C524,Z$510&lt;$H$2),0,MIN($E524-SUM($G524:Y524),$F524))</f>
        <v>0</v>
      </c>
      <c r="AA524" s="424">
        <f>IF(OR(AA$510&lt;$C524,AA$510&lt;$H$2),0,MIN($E524-SUM($G524:Z524),$F524))</f>
        <v>0</v>
      </c>
      <c r="AB524" s="424">
        <f>IF(OR(AB$510&lt;$C524,AB$510&lt;$H$2),0,MIN($E524-SUM($G524:AA524),$F524))</f>
        <v>0</v>
      </c>
      <c r="AC524" s="424">
        <f>IF(OR(AC$510&lt;$C524,AC$510&lt;$H$2),0,MIN($E524-SUM($G524:AB524),$F524))</f>
        <v>0</v>
      </c>
      <c r="AD524" s="424">
        <f>IF(OR(AD$510&lt;$C524,AD$510&lt;$H$2),0,MIN($E524-SUM($G524:AC524),$F524))</f>
        <v>0</v>
      </c>
      <c r="AE524" s="424">
        <f>IF(OR(AE$510&lt;$C524,AE$510&lt;$H$2),0,MIN($E524-SUM($G524:AD524),$F524))</f>
        <v>0</v>
      </c>
      <c r="AF524" s="424">
        <f>IF(OR(AF$510&lt;$C524,AF$510&lt;$H$2),0,MIN($E524-SUM($G524:AE524),$F524))</f>
        <v>0</v>
      </c>
      <c r="AG524" s="424">
        <f>IF(OR(AG$510&lt;$C524,AG$510&lt;$H$2),0,MIN($E524-SUM($G524:AF524),$F524))</f>
        <v>0</v>
      </c>
      <c r="AH524" s="424">
        <f>IF(OR(AH$510&lt;$C524,AH$510&lt;$H$2),0,MIN($E524-SUM($G524:AG524),$F524))</f>
        <v>0</v>
      </c>
      <c r="AI524" s="424">
        <f>IF(OR(AI$510&lt;$C524,AI$510&lt;$H$2),0,MIN($E524-SUM($G524:AH524),$F524))</f>
        <v>0</v>
      </c>
      <c r="AJ524" s="424">
        <f>IF(OR(AJ$510&lt;$C524,AJ$510&lt;$H$2),0,MIN($E524-SUM($G524:AI524),$F524))</f>
        <v>0</v>
      </c>
      <c r="AK524" s="424">
        <f>IF(OR(AK$510&lt;$C524,AK$510&lt;$H$2),0,MIN($E524-SUM($G524:AJ524),$F524))</f>
        <v>0</v>
      </c>
    </row>
    <row r="525" spans="3:37">
      <c r="C525" s="201">
        <v>50415</v>
      </c>
      <c r="D525" s="94" t="s">
        <v>134</v>
      </c>
      <c r="E525" s="424">
        <f t="shared" si="142"/>
        <v>0</v>
      </c>
      <c r="F525" s="209">
        <f t="shared" si="143"/>
        <v>0</v>
      </c>
      <c r="H525" s="424">
        <f>IF(OR(H$510&lt;$C525,H$510&lt;$H$2),0,MIN($E525-SUM($G525:G525),$F525))</f>
        <v>0</v>
      </c>
      <c r="I525" s="424">
        <f>IF(OR(I$510&lt;$C525,I$510&lt;$H$2),0,MIN($E525-SUM($G525:H525),$F525))</f>
        <v>0</v>
      </c>
      <c r="J525" s="424">
        <f>IF(OR(J$510&lt;$C525,J$510&lt;$H$2),0,MIN($E525-SUM($G525:I525),$F525))</f>
        <v>0</v>
      </c>
      <c r="K525" s="424">
        <f>IF(OR(K$510&lt;$C525,K$510&lt;$H$2),0,MIN($E525-SUM($G525:J525),$F525))</f>
        <v>0</v>
      </c>
      <c r="L525" s="424">
        <f>IF(OR(L$510&lt;$C525,L$510&lt;$H$2),0,MIN($E525-SUM($G525:K525),$F525))</f>
        <v>0</v>
      </c>
      <c r="M525" s="424">
        <f>IF(OR(M$510&lt;$C525,M$510&lt;$H$2),0,MIN($E525-SUM($G525:L525),$F525))</f>
        <v>0</v>
      </c>
      <c r="N525" s="424">
        <f>IF(OR(N$510&lt;$C525,N$510&lt;$H$2),0,MIN($E525-SUM($G525:M525),$F525))</f>
        <v>0</v>
      </c>
      <c r="O525" s="424">
        <f>IF(OR(O$510&lt;$C525,O$510&lt;$H$2),0,MIN($E525-SUM($G525:N525),$F525))</f>
        <v>0</v>
      </c>
      <c r="P525" s="424">
        <f>IF(OR(P$510&lt;$C525,P$510&lt;$H$2),0,MIN($E525-SUM($G525:O525),$F525))</f>
        <v>0</v>
      </c>
      <c r="Q525" s="424">
        <f>IF(OR(Q$510&lt;$C525,Q$510&lt;$H$2),0,MIN($E525-SUM($G525:P525),$F525))</f>
        <v>0</v>
      </c>
      <c r="R525" s="424">
        <f>IF(OR(R$510&lt;$C525,R$510&lt;$H$2),0,MIN($E525-SUM($G525:Q525),$F525))</f>
        <v>0</v>
      </c>
      <c r="S525" s="424">
        <f>IF(OR(S$510&lt;$C525,S$510&lt;$H$2),0,MIN($E525-SUM($G525:R525),$F525))</f>
        <v>0</v>
      </c>
      <c r="T525" s="424">
        <f>IF(OR(T$510&lt;$C525,T$510&lt;$H$2),0,MIN($E525-SUM($G525:S525),$F525))</f>
        <v>0</v>
      </c>
      <c r="U525" s="424">
        <f>IF(OR(U$510&lt;$C525,U$510&lt;$H$2),0,MIN($E525-SUM($G525:T525),$F525))</f>
        <v>0</v>
      </c>
      <c r="V525" s="424">
        <f>IF(OR(V$510&lt;$C525,V$510&lt;$H$2),0,MIN($E525-SUM($G525:U525),$F525))</f>
        <v>0</v>
      </c>
      <c r="W525" s="424">
        <f>IF(OR(W$510&lt;$C525,W$510&lt;$H$2),0,MIN($E525-SUM($G525:V525),$F525))</f>
        <v>0</v>
      </c>
      <c r="X525" s="424">
        <f>IF(OR(X$510&lt;$C525,X$510&lt;$H$2),0,MIN($E525-SUM($G525:W525),$F525))</f>
        <v>0</v>
      </c>
      <c r="Y525" s="424">
        <f>IF(OR(Y$510&lt;$C525,Y$510&lt;$H$2),0,MIN($E525-SUM($G525:X525),$F525))</f>
        <v>0</v>
      </c>
      <c r="Z525" s="424">
        <f>IF(OR(Z$510&lt;$C525,Z$510&lt;$H$2),0,MIN($E525-SUM($G525:Y525),$F525))</f>
        <v>0</v>
      </c>
      <c r="AA525" s="424">
        <f>IF(OR(AA$510&lt;$C525,AA$510&lt;$H$2),0,MIN($E525-SUM($G525:Z525),$F525))</f>
        <v>0</v>
      </c>
      <c r="AB525" s="424">
        <f>IF(OR(AB$510&lt;$C525,AB$510&lt;$H$2),0,MIN($E525-SUM($G525:AA525),$F525))</f>
        <v>0</v>
      </c>
      <c r="AC525" s="424">
        <f>IF(OR(AC$510&lt;$C525,AC$510&lt;$H$2),0,MIN($E525-SUM($G525:AB525),$F525))</f>
        <v>0</v>
      </c>
      <c r="AD525" s="424">
        <f>IF(OR(AD$510&lt;$C525,AD$510&lt;$H$2),0,MIN($E525-SUM($G525:AC525),$F525))</f>
        <v>0</v>
      </c>
      <c r="AE525" s="424">
        <f>IF(OR(AE$510&lt;$C525,AE$510&lt;$H$2),0,MIN($E525-SUM($G525:AD525),$F525))</f>
        <v>0</v>
      </c>
      <c r="AF525" s="424">
        <f>IF(OR(AF$510&lt;$C525,AF$510&lt;$H$2),0,MIN($E525-SUM($G525:AE525),$F525))</f>
        <v>0</v>
      </c>
      <c r="AG525" s="424">
        <f>IF(OR(AG$510&lt;$C525,AG$510&lt;$H$2),0,MIN($E525-SUM($G525:AF525),$F525))</f>
        <v>0</v>
      </c>
      <c r="AH525" s="424">
        <f>IF(OR(AH$510&lt;$C525,AH$510&lt;$H$2),0,MIN($E525-SUM($G525:AG525),$F525))</f>
        <v>0</v>
      </c>
      <c r="AI525" s="424">
        <f>IF(OR(AI$510&lt;$C525,AI$510&lt;$H$2),0,MIN($E525-SUM($G525:AH525),$F525))</f>
        <v>0</v>
      </c>
      <c r="AJ525" s="424">
        <f>IF(OR(AJ$510&lt;$C525,AJ$510&lt;$H$2),0,MIN($E525-SUM($G525:AI525),$F525))</f>
        <v>0</v>
      </c>
      <c r="AK525" s="424">
        <f>IF(OR(AK$510&lt;$C525,AK$510&lt;$H$2),0,MIN($E525-SUM($G525:AJ525),$F525))</f>
        <v>0</v>
      </c>
    </row>
    <row r="526" spans="3:37">
      <c r="C526" s="201">
        <v>50781</v>
      </c>
      <c r="D526" s="94" t="s">
        <v>134</v>
      </c>
      <c r="E526" s="424">
        <f t="shared" si="142"/>
        <v>0</v>
      </c>
      <c r="F526" s="209">
        <f t="shared" si="143"/>
        <v>0</v>
      </c>
      <c r="H526" s="424">
        <f>IF(OR(H$510&lt;$C526,H$510&lt;$H$2),0,MIN($E526-SUM($G526:G526),$F526))</f>
        <v>0</v>
      </c>
      <c r="I526" s="424">
        <f>IF(OR(I$510&lt;$C526,I$510&lt;$H$2),0,MIN($E526-SUM($G526:H526),$F526))</f>
        <v>0</v>
      </c>
      <c r="J526" s="424">
        <f>IF(OR(J$510&lt;$C526,J$510&lt;$H$2),0,MIN($E526-SUM($G526:I526),$F526))</f>
        <v>0</v>
      </c>
      <c r="K526" s="424">
        <f>IF(OR(K$510&lt;$C526,K$510&lt;$H$2),0,MIN($E526-SUM($G526:J526),$F526))</f>
        <v>0</v>
      </c>
      <c r="L526" s="424">
        <f>IF(OR(L$510&lt;$C526,L$510&lt;$H$2),0,MIN($E526-SUM($G526:K526),$F526))</f>
        <v>0</v>
      </c>
      <c r="M526" s="424">
        <f>IF(OR(M$510&lt;$C526,M$510&lt;$H$2),0,MIN($E526-SUM($G526:L526),$F526))</f>
        <v>0</v>
      </c>
      <c r="N526" s="424">
        <f>IF(OR(N$510&lt;$C526,N$510&lt;$H$2),0,MIN($E526-SUM($G526:M526),$F526))</f>
        <v>0</v>
      </c>
      <c r="O526" s="424">
        <f>IF(OR(O$510&lt;$C526,O$510&lt;$H$2),0,MIN($E526-SUM($G526:N526),$F526))</f>
        <v>0</v>
      </c>
      <c r="P526" s="424">
        <f>IF(OR(P$510&lt;$C526,P$510&lt;$H$2),0,MIN($E526-SUM($G526:O526),$F526))</f>
        <v>0</v>
      </c>
      <c r="Q526" s="424">
        <f>IF(OR(Q$510&lt;$C526,Q$510&lt;$H$2),0,MIN($E526-SUM($G526:P526),$F526))</f>
        <v>0</v>
      </c>
      <c r="R526" s="424">
        <f>IF(OR(R$510&lt;$C526,R$510&lt;$H$2),0,MIN($E526-SUM($G526:Q526),$F526))</f>
        <v>0</v>
      </c>
      <c r="S526" s="424">
        <f>IF(OR(S$510&lt;$C526,S$510&lt;$H$2),0,MIN($E526-SUM($G526:R526),$F526))</f>
        <v>0</v>
      </c>
      <c r="T526" s="424">
        <f>IF(OR(T$510&lt;$C526,T$510&lt;$H$2),0,MIN($E526-SUM($G526:S526),$F526))</f>
        <v>0</v>
      </c>
      <c r="U526" s="424">
        <f>IF(OR(U$510&lt;$C526,U$510&lt;$H$2),0,MIN($E526-SUM($G526:T526),$F526))</f>
        <v>0</v>
      </c>
      <c r="V526" s="424">
        <f>IF(OR(V$510&lt;$C526,V$510&lt;$H$2),0,MIN($E526-SUM($G526:U526),$F526))</f>
        <v>0</v>
      </c>
      <c r="W526" s="424">
        <f>IF(OR(W$510&lt;$C526,W$510&lt;$H$2),0,MIN($E526-SUM($G526:V526),$F526))</f>
        <v>0</v>
      </c>
      <c r="X526" s="424">
        <f>IF(OR(X$510&lt;$C526,X$510&lt;$H$2),0,MIN($E526-SUM($G526:W526),$F526))</f>
        <v>0</v>
      </c>
      <c r="Y526" s="424">
        <f>IF(OR(Y$510&lt;$C526,Y$510&lt;$H$2),0,MIN($E526-SUM($G526:X526),$F526))</f>
        <v>0</v>
      </c>
      <c r="Z526" s="424">
        <f>IF(OR(Z$510&lt;$C526,Z$510&lt;$H$2),0,MIN($E526-SUM($G526:Y526),$F526))</f>
        <v>0</v>
      </c>
      <c r="AA526" s="424">
        <f>IF(OR(AA$510&lt;$C526,AA$510&lt;$H$2),0,MIN($E526-SUM($G526:Z526),$F526))</f>
        <v>0</v>
      </c>
      <c r="AB526" s="424">
        <f>IF(OR(AB$510&lt;$C526,AB$510&lt;$H$2),0,MIN($E526-SUM($G526:AA526),$F526))</f>
        <v>0</v>
      </c>
      <c r="AC526" s="424">
        <f>IF(OR(AC$510&lt;$C526,AC$510&lt;$H$2),0,MIN($E526-SUM($G526:AB526),$F526))</f>
        <v>0</v>
      </c>
      <c r="AD526" s="424">
        <f>IF(OR(AD$510&lt;$C526,AD$510&lt;$H$2),0,MIN($E526-SUM($G526:AC526),$F526))</f>
        <v>0</v>
      </c>
      <c r="AE526" s="424">
        <f>IF(OR(AE$510&lt;$C526,AE$510&lt;$H$2),0,MIN($E526-SUM($G526:AD526),$F526))</f>
        <v>0</v>
      </c>
      <c r="AF526" s="424">
        <f>IF(OR(AF$510&lt;$C526,AF$510&lt;$H$2),0,MIN($E526-SUM($G526:AE526),$F526))</f>
        <v>0</v>
      </c>
      <c r="AG526" s="424">
        <f>IF(OR(AG$510&lt;$C526,AG$510&lt;$H$2),0,MIN($E526-SUM($G526:AF526),$F526))</f>
        <v>0</v>
      </c>
      <c r="AH526" s="424">
        <f>IF(OR(AH$510&lt;$C526,AH$510&lt;$H$2),0,MIN($E526-SUM($G526:AG526),$F526))</f>
        <v>0</v>
      </c>
      <c r="AI526" s="424">
        <f>IF(OR(AI$510&lt;$C526,AI$510&lt;$H$2),0,MIN($E526-SUM($G526:AH526),$F526))</f>
        <v>0</v>
      </c>
      <c r="AJ526" s="424">
        <f>IF(OR(AJ$510&lt;$C526,AJ$510&lt;$H$2),0,MIN($E526-SUM($G526:AI526),$F526))</f>
        <v>0</v>
      </c>
      <c r="AK526" s="424">
        <f>IF(OR(AK$510&lt;$C526,AK$510&lt;$H$2),0,MIN($E526-SUM($G526:AJ526),$F526))</f>
        <v>0</v>
      </c>
    </row>
    <row r="527" spans="3:37">
      <c r="C527" s="201">
        <v>51147</v>
      </c>
      <c r="D527" s="94" t="s">
        <v>134</v>
      </c>
      <c r="E527" s="424">
        <f t="shared" si="142"/>
        <v>0</v>
      </c>
      <c r="F527" s="209">
        <f t="shared" si="143"/>
        <v>0</v>
      </c>
      <c r="H527" s="424">
        <f>IF(OR(H$510&lt;$C527,H$510&lt;$H$2),0,MIN($E527-SUM($G527:G527),$F527))</f>
        <v>0</v>
      </c>
      <c r="I527" s="424">
        <f>IF(OR(I$510&lt;$C527,I$510&lt;$H$2),0,MIN($E527-SUM($G527:H527),$F527))</f>
        <v>0</v>
      </c>
      <c r="J527" s="424">
        <f>IF(OR(J$510&lt;$C527,J$510&lt;$H$2),0,MIN($E527-SUM($G527:I527),$F527))</f>
        <v>0</v>
      </c>
      <c r="K527" s="424">
        <f>IF(OR(K$510&lt;$C527,K$510&lt;$H$2),0,MIN($E527-SUM($G527:J527),$F527))</f>
        <v>0</v>
      </c>
      <c r="L527" s="424">
        <f>IF(OR(L$510&lt;$C527,L$510&lt;$H$2),0,MIN($E527-SUM($G527:K527),$F527))</f>
        <v>0</v>
      </c>
      <c r="M527" s="424">
        <f>IF(OR(M$510&lt;$C527,M$510&lt;$H$2),0,MIN($E527-SUM($G527:L527),$F527))</f>
        <v>0</v>
      </c>
      <c r="N527" s="424">
        <f>IF(OR(N$510&lt;$C527,N$510&lt;$H$2),0,MIN($E527-SUM($G527:M527),$F527))</f>
        <v>0</v>
      </c>
      <c r="O527" s="424">
        <f>IF(OR(O$510&lt;$C527,O$510&lt;$H$2),0,MIN($E527-SUM($G527:N527),$F527))</f>
        <v>0</v>
      </c>
      <c r="P527" s="424">
        <f>IF(OR(P$510&lt;$C527,P$510&lt;$H$2),0,MIN($E527-SUM($G527:O527),$F527))</f>
        <v>0</v>
      </c>
      <c r="Q527" s="424">
        <f>IF(OR(Q$510&lt;$C527,Q$510&lt;$H$2),0,MIN($E527-SUM($G527:P527),$F527))</f>
        <v>0</v>
      </c>
      <c r="R527" s="424">
        <f>IF(OR(R$510&lt;$C527,R$510&lt;$H$2),0,MIN($E527-SUM($G527:Q527),$F527))</f>
        <v>0</v>
      </c>
      <c r="S527" s="424">
        <f>IF(OR(S$510&lt;$C527,S$510&lt;$H$2),0,MIN($E527-SUM($G527:R527),$F527))</f>
        <v>0</v>
      </c>
      <c r="T527" s="424">
        <f>IF(OR(T$510&lt;$C527,T$510&lt;$H$2),0,MIN($E527-SUM($G527:S527),$F527))</f>
        <v>0</v>
      </c>
      <c r="U527" s="424">
        <f>IF(OR(U$510&lt;$C527,U$510&lt;$H$2),0,MIN($E527-SUM($G527:T527),$F527))</f>
        <v>0</v>
      </c>
      <c r="V527" s="424">
        <f>IF(OR(V$510&lt;$C527,V$510&lt;$H$2),0,MIN($E527-SUM($G527:U527),$F527))</f>
        <v>0</v>
      </c>
      <c r="W527" s="424">
        <f>IF(OR(W$510&lt;$C527,W$510&lt;$H$2),0,MIN($E527-SUM($G527:V527),$F527))</f>
        <v>0</v>
      </c>
      <c r="X527" s="424">
        <f>IF(OR(X$510&lt;$C527,X$510&lt;$H$2),0,MIN($E527-SUM($G527:W527),$F527))</f>
        <v>0</v>
      </c>
      <c r="Y527" s="424">
        <f>IF(OR(Y$510&lt;$C527,Y$510&lt;$H$2),0,MIN($E527-SUM($G527:X527),$F527))</f>
        <v>0</v>
      </c>
      <c r="Z527" s="424">
        <f>IF(OR(Z$510&lt;$C527,Z$510&lt;$H$2),0,MIN($E527-SUM($G527:Y527),$F527))</f>
        <v>0</v>
      </c>
      <c r="AA527" s="424">
        <f>IF(OR(AA$510&lt;$C527,AA$510&lt;$H$2),0,MIN($E527-SUM($G527:Z527),$F527))</f>
        <v>0</v>
      </c>
      <c r="AB527" s="424">
        <f>IF(OR(AB$510&lt;$C527,AB$510&lt;$H$2),0,MIN($E527-SUM($G527:AA527),$F527))</f>
        <v>0</v>
      </c>
      <c r="AC527" s="424">
        <f>IF(OR(AC$510&lt;$C527,AC$510&lt;$H$2),0,MIN($E527-SUM($G527:AB527),$F527))</f>
        <v>0</v>
      </c>
      <c r="AD527" s="424">
        <f>IF(OR(AD$510&lt;$C527,AD$510&lt;$H$2),0,MIN($E527-SUM($G527:AC527),$F527))</f>
        <v>0</v>
      </c>
      <c r="AE527" s="424">
        <f>IF(OR(AE$510&lt;$C527,AE$510&lt;$H$2),0,MIN($E527-SUM($G527:AD527),$F527))</f>
        <v>0</v>
      </c>
      <c r="AF527" s="424">
        <f>IF(OR(AF$510&lt;$C527,AF$510&lt;$H$2),0,MIN($E527-SUM($G527:AE527),$F527))</f>
        <v>0</v>
      </c>
      <c r="AG527" s="424">
        <f>IF(OR(AG$510&lt;$C527,AG$510&lt;$H$2),0,MIN($E527-SUM($G527:AF527),$F527))</f>
        <v>0</v>
      </c>
      <c r="AH527" s="424">
        <f>IF(OR(AH$510&lt;$C527,AH$510&lt;$H$2),0,MIN($E527-SUM($G527:AG527),$F527))</f>
        <v>0</v>
      </c>
      <c r="AI527" s="424">
        <f>IF(OR(AI$510&lt;$C527,AI$510&lt;$H$2),0,MIN($E527-SUM($G527:AH527),$F527))</f>
        <v>0</v>
      </c>
      <c r="AJ527" s="424">
        <f>IF(OR(AJ$510&lt;$C527,AJ$510&lt;$H$2),0,MIN($E527-SUM($G527:AI527),$F527))</f>
        <v>0</v>
      </c>
      <c r="AK527" s="424">
        <f>IF(OR(AK$510&lt;$C527,AK$510&lt;$H$2),0,MIN($E527-SUM($G527:AJ527),$F527))</f>
        <v>0</v>
      </c>
    </row>
    <row r="528" spans="3:37">
      <c r="C528" s="201">
        <v>51513</v>
      </c>
      <c r="D528" s="94" t="s">
        <v>134</v>
      </c>
      <c r="E528" s="424">
        <f t="shared" si="142"/>
        <v>0</v>
      </c>
      <c r="F528" s="209">
        <f t="shared" si="143"/>
        <v>0</v>
      </c>
      <c r="H528" s="424">
        <f>IF(OR(H$510&lt;$C528,H$510&lt;$H$2),0,MIN($E528-SUM($G528:G528),$F528))</f>
        <v>0</v>
      </c>
      <c r="I528" s="424">
        <f>IF(OR(I$510&lt;$C528,I$510&lt;$H$2),0,MIN($E528-SUM($G528:H528),$F528))</f>
        <v>0</v>
      </c>
      <c r="J528" s="424">
        <f>IF(OR(J$510&lt;$C528,J$510&lt;$H$2),0,MIN($E528-SUM($G528:I528),$F528))</f>
        <v>0</v>
      </c>
      <c r="K528" s="424">
        <f>IF(OR(K$510&lt;$C528,K$510&lt;$H$2),0,MIN($E528-SUM($G528:J528),$F528))</f>
        <v>0</v>
      </c>
      <c r="L528" s="424">
        <f>IF(OR(L$510&lt;$C528,L$510&lt;$H$2),0,MIN($E528-SUM($G528:K528),$F528))</f>
        <v>0</v>
      </c>
      <c r="M528" s="424">
        <f>IF(OR(M$510&lt;$C528,M$510&lt;$H$2),0,MIN($E528-SUM($G528:L528),$F528))</f>
        <v>0</v>
      </c>
      <c r="N528" s="424">
        <f>IF(OR(N$510&lt;$C528,N$510&lt;$H$2),0,MIN($E528-SUM($G528:M528),$F528))</f>
        <v>0</v>
      </c>
      <c r="O528" s="424">
        <f>IF(OR(O$510&lt;$C528,O$510&lt;$H$2),0,MIN($E528-SUM($G528:N528),$F528))</f>
        <v>0</v>
      </c>
      <c r="P528" s="424">
        <f>IF(OR(P$510&lt;$C528,P$510&lt;$H$2),0,MIN($E528-SUM($G528:O528),$F528))</f>
        <v>0</v>
      </c>
      <c r="Q528" s="424">
        <f>IF(OR(Q$510&lt;$C528,Q$510&lt;$H$2),0,MIN($E528-SUM($G528:P528),$F528))</f>
        <v>0</v>
      </c>
      <c r="R528" s="424">
        <f>IF(OR(R$510&lt;$C528,R$510&lt;$H$2),0,MIN($E528-SUM($G528:Q528),$F528))</f>
        <v>0</v>
      </c>
      <c r="S528" s="424">
        <f>IF(OR(S$510&lt;$C528,S$510&lt;$H$2),0,MIN($E528-SUM($G528:R528),$F528))</f>
        <v>0</v>
      </c>
      <c r="T528" s="424">
        <f>IF(OR(T$510&lt;$C528,T$510&lt;$H$2),0,MIN($E528-SUM($G528:S528),$F528))</f>
        <v>0</v>
      </c>
      <c r="U528" s="424">
        <f>IF(OR(U$510&lt;$C528,U$510&lt;$H$2),0,MIN($E528-SUM($G528:T528),$F528))</f>
        <v>0</v>
      </c>
      <c r="V528" s="424">
        <f>IF(OR(V$510&lt;$C528,V$510&lt;$H$2),0,MIN($E528-SUM($G528:U528),$F528))</f>
        <v>0</v>
      </c>
      <c r="W528" s="424">
        <f>IF(OR(W$510&lt;$C528,W$510&lt;$H$2),0,MIN($E528-SUM($G528:V528),$F528))</f>
        <v>0</v>
      </c>
      <c r="X528" s="424">
        <f>IF(OR(X$510&lt;$C528,X$510&lt;$H$2),0,MIN($E528-SUM($G528:W528),$F528))</f>
        <v>0</v>
      </c>
      <c r="Y528" s="424">
        <f>IF(OR(Y$510&lt;$C528,Y$510&lt;$H$2),0,MIN($E528-SUM($G528:X528),$F528))</f>
        <v>0</v>
      </c>
      <c r="Z528" s="424">
        <f>IF(OR(Z$510&lt;$C528,Z$510&lt;$H$2),0,MIN($E528-SUM($G528:Y528),$F528))</f>
        <v>0</v>
      </c>
      <c r="AA528" s="424">
        <f>IF(OR(AA$510&lt;$C528,AA$510&lt;$H$2),0,MIN($E528-SUM($G528:Z528),$F528))</f>
        <v>0</v>
      </c>
      <c r="AB528" s="424">
        <f>IF(OR(AB$510&lt;$C528,AB$510&lt;$H$2),0,MIN($E528-SUM($G528:AA528),$F528))</f>
        <v>0</v>
      </c>
      <c r="AC528" s="424">
        <f>IF(OR(AC$510&lt;$C528,AC$510&lt;$H$2),0,MIN($E528-SUM($G528:AB528),$F528))</f>
        <v>0</v>
      </c>
      <c r="AD528" s="424">
        <f>IF(OR(AD$510&lt;$C528,AD$510&lt;$H$2),0,MIN($E528-SUM($G528:AC528),$F528))</f>
        <v>0</v>
      </c>
      <c r="AE528" s="424">
        <f>IF(OR(AE$510&lt;$C528,AE$510&lt;$H$2),0,MIN($E528-SUM($G528:AD528),$F528))</f>
        <v>0</v>
      </c>
      <c r="AF528" s="424">
        <f>IF(OR(AF$510&lt;$C528,AF$510&lt;$H$2),0,MIN($E528-SUM($G528:AE528),$F528))</f>
        <v>0</v>
      </c>
      <c r="AG528" s="424">
        <f>IF(OR(AG$510&lt;$C528,AG$510&lt;$H$2),0,MIN($E528-SUM($G528:AF528),$F528))</f>
        <v>0</v>
      </c>
      <c r="AH528" s="424">
        <f>IF(OR(AH$510&lt;$C528,AH$510&lt;$H$2),0,MIN($E528-SUM($G528:AG528),$F528))</f>
        <v>0</v>
      </c>
      <c r="AI528" s="424">
        <f>IF(OR(AI$510&lt;$C528,AI$510&lt;$H$2),0,MIN($E528-SUM($G528:AH528),$F528))</f>
        <v>0</v>
      </c>
      <c r="AJ528" s="424">
        <f>IF(OR(AJ$510&lt;$C528,AJ$510&lt;$H$2),0,MIN($E528-SUM($G528:AI528),$F528))</f>
        <v>0</v>
      </c>
      <c r="AK528" s="424">
        <f>IF(OR(AK$510&lt;$C528,AK$510&lt;$H$2),0,MIN($E528-SUM($G528:AJ528),$F528))</f>
        <v>0</v>
      </c>
    </row>
    <row r="529" spans="3:37">
      <c r="C529" s="201">
        <v>51879</v>
      </c>
      <c r="D529" s="94" t="s">
        <v>134</v>
      </c>
      <c r="E529" s="424">
        <f t="shared" si="142"/>
        <v>0</v>
      </c>
      <c r="F529" s="209">
        <f t="shared" si="143"/>
        <v>0</v>
      </c>
      <c r="H529" s="424">
        <f>IF(OR(H$510&lt;$C529,H$510&lt;$H$2),0,MIN($E529-SUM($G529:G529),$F529))</f>
        <v>0</v>
      </c>
      <c r="I529" s="424">
        <f>IF(OR(I$510&lt;$C529,I$510&lt;$H$2),0,MIN($E529-SUM($G529:H529),$F529))</f>
        <v>0</v>
      </c>
      <c r="J529" s="424">
        <f>IF(OR(J$510&lt;$C529,J$510&lt;$H$2),0,MIN($E529-SUM($G529:I529),$F529))</f>
        <v>0</v>
      </c>
      <c r="K529" s="424">
        <f>IF(OR(K$510&lt;$C529,K$510&lt;$H$2),0,MIN($E529-SUM($G529:J529),$F529))</f>
        <v>0</v>
      </c>
      <c r="L529" s="424">
        <f>IF(OR(L$510&lt;$C529,L$510&lt;$H$2),0,MIN($E529-SUM($G529:K529),$F529))</f>
        <v>0</v>
      </c>
      <c r="M529" s="424">
        <f>IF(OR(M$510&lt;$C529,M$510&lt;$H$2),0,MIN($E529-SUM($G529:L529),$F529))</f>
        <v>0</v>
      </c>
      <c r="N529" s="424">
        <f>IF(OR(N$510&lt;$C529,N$510&lt;$H$2),0,MIN($E529-SUM($G529:M529),$F529))</f>
        <v>0</v>
      </c>
      <c r="O529" s="424">
        <f>IF(OR(O$510&lt;$C529,O$510&lt;$H$2),0,MIN($E529-SUM($G529:N529),$F529))</f>
        <v>0</v>
      </c>
      <c r="P529" s="424">
        <f>IF(OR(P$510&lt;$C529,P$510&lt;$H$2),0,MIN($E529-SUM($G529:O529),$F529))</f>
        <v>0</v>
      </c>
      <c r="Q529" s="424">
        <f>IF(OR(Q$510&lt;$C529,Q$510&lt;$H$2),0,MIN($E529-SUM($G529:P529),$F529))</f>
        <v>0</v>
      </c>
      <c r="R529" s="424">
        <f>IF(OR(R$510&lt;$C529,R$510&lt;$H$2),0,MIN($E529-SUM($G529:Q529),$F529))</f>
        <v>0</v>
      </c>
      <c r="S529" s="424">
        <f>IF(OR(S$510&lt;$C529,S$510&lt;$H$2),0,MIN($E529-SUM($G529:R529),$F529))</f>
        <v>0</v>
      </c>
      <c r="T529" s="424">
        <f>IF(OR(T$510&lt;$C529,T$510&lt;$H$2),0,MIN($E529-SUM($G529:S529),$F529))</f>
        <v>0</v>
      </c>
      <c r="U529" s="424">
        <f>IF(OR(U$510&lt;$C529,U$510&lt;$H$2),0,MIN($E529-SUM($G529:T529),$F529))</f>
        <v>0</v>
      </c>
      <c r="V529" s="424">
        <f>IF(OR(V$510&lt;$C529,V$510&lt;$H$2),0,MIN($E529-SUM($G529:U529),$F529))</f>
        <v>0</v>
      </c>
      <c r="W529" s="424">
        <f>IF(OR(W$510&lt;$C529,W$510&lt;$H$2),0,MIN($E529-SUM($G529:V529),$F529))</f>
        <v>0</v>
      </c>
      <c r="X529" s="424">
        <f>IF(OR(X$510&lt;$C529,X$510&lt;$H$2),0,MIN($E529-SUM($G529:W529),$F529))</f>
        <v>0</v>
      </c>
      <c r="Y529" s="424">
        <f>IF(OR(Y$510&lt;$C529,Y$510&lt;$H$2),0,MIN($E529-SUM($G529:X529),$F529))</f>
        <v>0</v>
      </c>
      <c r="Z529" s="424">
        <f>IF(OR(Z$510&lt;$C529,Z$510&lt;$H$2),0,MIN($E529-SUM($G529:Y529),$F529))</f>
        <v>0</v>
      </c>
      <c r="AA529" s="424">
        <f>IF(OR(AA$510&lt;$C529,AA$510&lt;$H$2),0,MIN($E529-SUM($G529:Z529),$F529))</f>
        <v>0</v>
      </c>
      <c r="AB529" s="424">
        <f>IF(OR(AB$510&lt;$C529,AB$510&lt;$H$2),0,MIN($E529-SUM($G529:AA529),$F529))</f>
        <v>0</v>
      </c>
      <c r="AC529" s="424">
        <f>IF(OR(AC$510&lt;$C529,AC$510&lt;$H$2),0,MIN($E529-SUM($G529:AB529),$F529))</f>
        <v>0</v>
      </c>
      <c r="AD529" s="424">
        <f>IF(OR(AD$510&lt;$C529,AD$510&lt;$H$2),0,MIN($E529-SUM($G529:AC529),$F529))</f>
        <v>0</v>
      </c>
      <c r="AE529" s="424">
        <f>IF(OR(AE$510&lt;$C529,AE$510&lt;$H$2),0,MIN($E529-SUM($G529:AD529),$F529))</f>
        <v>0</v>
      </c>
      <c r="AF529" s="424">
        <f>IF(OR(AF$510&lt;$C529,AF$510&lt;$H$2),0,MIN($E529-SUM($G529:AE529),$F529))</f>
        <v>0</v>
      </c>
      <c r="AG529" s="424">
        <f>IF(OR(AG$510&lt;$C529,AG$510&lt;$H$2),0,MIN($E529-SUM($G529:AF529),$F529))</f>
        <v>0</v>
      </c>
      <c r="AH529" s="424">
        <f>IF(OR(AH$510&lt;$C529,AH$510&lt;$H$2),0,MIN($E529-SUM($G529:AG529),$F529))</f>
        <v>0</v>
      </c>
      <c r="AI529" s="424">
        <f>IF(OR(AI$510&lt;$C529,AI$510&lt;$H$2),0,MIN($E529-SUM($G529:AH529),$F529))</f>
        <v>0</v>
      </c>
      <c r="AJ529" s="424">
        <f>IF(OR(AJ$510&lt;$C529,AJ$510&lt;$H$2),0,MIN($E529-SUM($G529:AI529),$F529))</f>
        <v>0</v>
      </c>
      <c r="AK529" s="424">
        <f>IF(OR(AK$510&lt;$C529,AK$510&lt;$H$2),0,MIN($E529-SUM($G529:AJ529),$F529))</f>
        <v>0</v>
      </c>
    </row>
    <row r="530" spans="3:37">
      <c r="C530" s="201">
        <v>52245</v>
      </c>
      <c r="D530" s="94" t="s">
        <v>134</v>
      </c>
      <c r="E530" s="424">
        <f t="shared" si="142"/>
        <v>0</v>
      </c>
      <c r="F530" s="209">
        <f t="shared" si="143"/>
        <v>0</v>
      </c>
      <c r="H530" s="424">
        <f>IF(OR(H$510&lt;$C530,H$510&lt;$H$2),0,MIN($E530-SUM($G530:G530),$F530))</f>
        <v>0</v>
      </c>
      <c r="I530" s="424">
        <f>IF(OR(I$510&lt;$C530,I$510&lt;$H$2),0,MIN($E530-SUM($G530:H530),$F530))</f>
        <v>0</v>
      </c>
      <c r="J530" s="424">
        <f>IF(OR(J$510&lt;$C530,J$510&lt;$H$2),0,MIN($E530-SUM($G530:I530),$F530))</f>
        <v>0</v>
      </c>
      <c r="K530" s="424">
        <f>IF(OR(K$510&lt;$C530,K$510&lt;$H$2),0,MIN($E530-SUM($G530:J530),$F530))</f>
        <v>0</v>
      </c>
      <c r="L530" s="424">
        <f>IF(OR(L$510&lt;$C530,L$510&lt;$H$2),0,MIN($E530-SUM($G530:K530),$F530))</f>
        <v>0</v>
      </c>
      <c r="M530" s="424">
        <f>IF(OR(M$510&lt;$C530,M$510&lt;$H$2),0,MIN($E530-SUM($G530:L530),$F530))</f>
        <v>0</v>
      </c>
      <c r="N530" s="424">
        <f>IF(OR(N$510&lt;$C530,N$510&lt;$H$2),0,MIN($E530-SUM($G530:M530),$F530))</f>
        <v>0</v>
      </c>
      <c r="O530" s="424">
        <f>IF(OR(O$510&lt;$C530,O$510&lt;$H$2),0,MIN($E530-SUM($G530:N530),$F530))</f>
        <v>0</v>
      </c>
      <c r="P530" s="424">
        <f>IF(OR(P$510&lt;$C530,P$510&lt;$H$2),0,MIN($E530-SUM($G530:O530),$F530))</f>
        <v>0</v>
      </c>
      <c r="Q530" s="424">
        <f>IF(OR(Q$510&lt;$C530,Q$510&lt;$H$2),0,MIN($E530-SUM($G530:P530),$F530))</f>
        <v>0</v>
      </c>
      <c r="R530" s="424">
        <f>IF(OR(R$510&lt;$C530,R$510&lt;$H$2),0,MIN($E530-SUM($G530:Q530),$F530))</f>
        <v>0</v>
      </c>
      <c r="S530" s="424">
        <f>IF(OR(S$510&lt;$C530,S$510&lt;$H$2),0,MIN($E530-SUM($G530:R530),$F530))</f>
        <v>0</v>
      </c>
      <c r="T530" s="424">
        <f>IF(OR(T$510&lt;$C530,T$510&lt;$H$2),0,MIN($E530-SUM($G530:S530),$F530))</f>
        <v>0</v>
      </c>
      <c r="U530" s="424">
        <f>IF(OR(U$510&lt;$C530,U$510&lt;$H$2),0,MIN($E530-SUM($G530:T530),$F530))</f>
        <v>0</v>
      </c>
      <c r="V530" s="424">
        <f>IF(OR(V$510&lt;$C530,V$510&lt;$H$2),0,MIN($E530-SUM($G530:U530),$F530))</f>
        <v>0</v>
      </c>
      <c r="W530" s="424">
        <f>IF(OR(W$510&lt;$C530,W$510&lt;$H$2),0,MIN($E530-SUM($G530:V530),$F530))</f>
        <v>0</v>
      </c>
      <c r="X530" s="424">
        <f>IF(OR(X$510&lt;$C530,X$510&lt;$H$2),0,MIN($E530-SUM($G530:W530),$F530))</f>
        <v>0</v>
      </c>
      <c r="Y530" s="424">
        <f>IF(OR(Y$510&lt;$C530,Y$510&lt;$H$2),0,MIN($E530-SUM($G530:X530),$F530))</f>
        <v>0</v>
      </c>
      <c r="Z530" s="424">
        <f>IF(OR(Z$510&lt;$C530,Z$510&lt;$H$2),0,MIN($E530-SUM($G530:Y530),$F530))</f>
        <v>0</v>
      </c>
      <c r="AA530" s="424">
        <f>IF(OR(AA$510&lt;$C530,AA$510&lt;$H$2),0,MIN($E530-SUM($G530:Z530),$F530))</f>
        <v>0</v>
      </c>
      <c r="AB530" s="424">
        <f>IF(OR(AB$510&lt;$C530,AB$510&lt;$H$2),0,MIN($E530-SUM($G530:AA530),$F530))</f>
        <v>0</v>
      </c>
      <c r="AC530" s="424">
        <f>IF(OR(AC$510&lt;$C530,AC$510&lt;$H$2),0,MIN($E530-SUM($G530:AB530),$F530))</f>
        <v>0</v>
      </c>
      <c r="AD530" s="424">
        <f>IF(OR(AD$510&lt;$C530,AD$510&lt;$H$2),0,MIN($E530-SUM($G530:AC530),$F530))</f>
        <v>0</v>
      </c>
      <c r="AE530" s="424">
        <f>IF(OR(AE$510&lt;$C530,AE$510&lt;$H$2),0,MIN($E530-SUM($G530:AD530),$F530))</f>
        <v>0</v>
      </c>
      <c r="AF530" s="424">
        <f>IF(OR(AF$510&lt;$C530,AF$510&lt;$H$2),0,MIN($E530-SUM($G530:AE530),$F530))</f>
        <v>0</v>
      </c>
      <c r="AG530" s="424">
        <f>IF(OR(AG$510&lt;$C530,AG$510&lt;$H$2),0,MIN($E530-SUM($G530:AF530),$F530))</f>
        <v>0</v>
      </c>
      <c r="AH530" s="424">
        <f>IF(OR(AH$510&lt;$C530,AH$510&lt;$H$2),0,MIN($E530-SUM($G530:AG530),$F530))</f>
        <v>0</v>
      </c>
      <c r="AI530" s="424">
        <f>IF(OR(AI$510&lt;$C530,AI$510&lt;$H$2),0,MIN($E530-SUM($G530:AH530),$F530))</f>
        <v>0</v>
      </c>
      <c r="AJ530" s="424">
        <f>IF(OR(AJ$510&lt;$C530,AJ$510&lt;$H$2),0,MIN($E530-SUM($G530:AI530),$F530))</f>
        <v>0</v>
      </c>
      <c r="AK530" s="424">
        <f>IF(OR(AK$510&lt;$C530,AK$510&lt;$H$2),0,MIN($E530-SUM($G530:AJ530),$F530))</f>
        <v>0</v>
      </c>
    </row>
    <row r="531" spans="3:37">
      <c r="C531" s="201">
        <v>52611</v>
      </c>
      <c r="D531" s="94" t="s">
        <v>134</v>
      </c>
      <c r="E531" s="424">
        <f t="shared" si="142"/>
        <v>0</v>
      </c>
      <c r="F531" s="209">
        <f t="shared" si="143"/>
        <v>0</v>
      </c>
      <c r="H531" s="424">
        <f>IF(OR(H$510&lt;$C531,H$510&lt;$H$2),0,MIN($E531-SUM($G531:G531),$F531))</f>
        <v>0</v>
      </c>
      <c r="I531" s="424">
        <f>IF(OR(I$510&lt;$C531,I$510&lt;$H$2),0,MIN($E531-SUM($G531:H531),$F531))</f>
        <v>0</v>
      </c>
      <c r="J531" s="424">
        <f>IF(OR(J$510&lt;$C531,J$510&lt;$H$2),0,MIN($E531-SUM($G531:I531),$F531))</f>
        <v>0</v>
      </c>
      <c r="K531" s="424">
        <f>IF(OR(K$510&lt;$C531,K$510&lt;$H$2),0,MIN($E531-SUM($G531:J531),$F531))</f>
        <v>0</v>
      </c>
      <c r="L531" s="424">
        <f>IF(OR(L$510&lt;$C531,L$510&lt;$H$2),0,MIN($E531-SUM($G531:K531),$F531))</f>
        <v>0</v>
      </c>
      <c r="M531" s="424">
        <f>IF(OR(M$510&lt;$C531,M$510&lt;$H$2),0,MIN($E531-SUM($G531:L531),$F531))</f>
        <v>0</v>
      </c>
      <c r="N531" s="424">
        <f>IF(OR(N$510&lt;$C531,N$510&lt;$H$2),0,MIN($E531-SUM($G531:M531),$F531))</f>
        <v>0</v>
      </c>
      <c r="O531" s="424">
        <f>IF(OR(O$510&lt;$C531,O$510&lt;$H$2),0,MIN($E531-SUM($G531:N531),$F531))</f>
        <v>0</v>
      </c>
      <c r="P531" s="424">
        <f>IF(OR(P$510&lt;$C531,P$510&lt;$H$2),0,MIN($E531-SUM($G531:O531),$F531))</f>
        <v>0</v>
      </c>
      <c r="Q531" s="424">
        <f>IF(OR(Q$510&lt;$C531,Q$510&lt;$H$2),0,MIN($E531-SUM($G531:P531),$F531))</f>
        <v>0</v>
      </c>
      <c r="R531" s="424">
        <f>IF(OR(R$510&lt;$C531,R$510&lt;$H$2),0,MIN($E531-SUM($G531:Q531),$F531))</f>
        <v>0</v>
      </c>
      <c r="S531" s="424">
        <f>IF(OR(S$510&lt;$C531,S$510&lt;$H$2),0,MIN($E531-SUM($G531:R531),$F531))</f>
        <v>0</v>
      </c>
      <c r="T531" s="424">
        <f>IF(OR(T$510&lt;$C531,T$510&lt;$H$2),0,MIN($E531-SUM($G531:S531),$F531))</f>
        <v>0</v>
      </c>
      <c r="U531" s="424">
        <f>IF(OR(U$510&lt;$C531,U$510&lt;$H$2),0,MIN($E531-SUM($G531:T531),$F531))</f>
        <v>0</v>
      </c>
      <c r="V531" s="424">
        <f>IF(OR(V$510&lt;$C531,V$510&lt;$H$2),0,MIN($E531-SUM($G531:U531),$F531))</f>
        <v>0</v>
      </c>
      <c r="W531" s="424">
        <f>IF(OR(W$510&lt;$C531,W$510&lt;$H$2),0,MIN($E531-SUM($G531:V531),$F531))</f>
        <v>0</v>
      </c>
      <c r="X531" s="424">
        <f>IF(OR(X$510&lt;$C531,X$510&lt;$H$2),0,MIN($E531-SUM($G531:W531),$F531))</f>
        <v>0</v>
      </c>
      <c r="Y531" s="424">
        <f>IF(OR(Y$510&lt;$C531,Y$510&lt;$H$2),0,MIN($E531-SUM($G531:X531),$F531))</f>
        <v>0</v>
      </c>
      <c r="Z531" s="424">
        <f>IF(OR(Z$510&lt;$C531,Z$510&lt;$H$2),0,MIN($E531-SUM($G531:Y531),$F531))</f>
        <v>0</v>
      </c>
      <c r="AA531" s="424">
        <f>IF(OR(AA$510&lt;$C531,AA$510&lt;$H$2),0,MIN($E531-SUM($G531:Z531),$F531))</f>
        <v>0</v>
      </c>
      <c r="AB531" s="424">
        <f>IF(OR(AB$510&lt;$C531,AB$510&lt;$H$2),0,MIN($E531-SUM($G531:AA531),$F531))</f>
        <v>0</v>
      </c>
      <c r="AC531" s="424">
        <f>IF(OR(AC$510&lt;$C531,AC$510&lt;$H$2),0,MIN($E531-SUM($G531:AB531),$F531))</f>
        <v>0</v>
      </c>
      <c r="AD531" s="424">
        <f>IF(OR(AD$510&lt;$C531,AD$510&lt;$H$2),0,MIN($E531-SUM($G531:AC531),$F531))</f>
        <v>0</v>
      </c>
      <c r="AE531" s="424">
        <f>IF(OR(AE$510&lt;$C531,AE$510&lt;$H$2),0,MIN($E531-SUM($G531:AD531),$F531))</f>
        <v>0</v>
      </c>
      <c r="AF531" s="424">
        <f>IF(OR(AF$510&lt;$C531,AF$510&lt;$H$2),0,MIN($E531-SUM($G531:AE531),$F531))</f>
        <v>0</v>
      </c>
      <c r="AG531" s="424">
        <f>IF(OR(AG$510&lt;$C531,AG$510&lt;$H$2),0,MIN($E531-SUM($G531:AF531),$F531))</f>
        <v>0</v>
      </c>
      <c r="AH531" s="424">
        <f>IF(OR(AH$510&lt;$C531,AH$510&lt;$H$2),0,MIN($E531-SUM($G531:AG531),$F531))</f>
        <v>0</v>
      </c>
      <c r="AI531" s="424">
        <f>IF(OR(AI$510&lt;$C531,AI$510&lt;$H$2),0,MIN($E531-SUM($G531:AH531),$F531))</f>
        <v>0</v>
      </c>
      <c r="AJ531" s="424">
        <f>IF(OR(AJ$510&lt;$C531,AJ$510&lt;$H$2),0,MIN($E531-SUM($G531:AI531),$F531))</f>
        <v>0</v>
      </c>
      <c r="AK531" s="424">
        <f>IF(OR(AK$510&lt;$C531,AK$510&lt;$H$2),0,MIN($E531-SUM($G531:AJ531),$F531))</f>
        <v>0</v>
      </c>
    </row>
    <row r="532" spans="3:37">
      <c r="C532" s="201">
        <v>52977</v>
      </c>
      <c r="D532" s="94" t="s">
        <v>134</v>
      </c>
      <c r="E532" s="424">
        <f t="shared" si="142"/>
        <v>0</v>
      </c>
      <c r="F532" s="209">
        <f t="shared" si="143"/>
        <v>0</v>
      </c>
      <c r="H532" s="424">
        <f>IF(OR(H$510&lt;$C532,H$510&lt;$H$2),0,MIN($E532-SUM($G532:G532),$F532))</f>
        <v>0</v>
      </c>
      <c r="I532" s="424">
        <f>IF(OR(I$510&lt;$C532,I$510&lt;$H$2),0,MIN($E532-SUM($G532:H532),$F532))</f>
        <v>0</v>
      </c>
      <c r="J532" s="424">
        <f>IF(OR(J$510&lt;$C532,J$510&lt;$H$2),0,MIN($E532-SUM($G532:I532),$F532))</f>
        <v>0</v>
      </c>
      <c r="K532" s="424">
        <f>IF(OR(K$510&lt;$C532,K$510&lt;$H$2),0,MIN($E532-SUM($G532:J532),$F532))</f>
        <v>0</v>
      </c>
      <c r="L532" s="424">
        <f>IF(OR(L$510&lt;$C532,L$510&lt;$H$2),0,MIN($E532-SUM($G532:K532),$F532))</f>
        <v>0</v>
      </c>
      <c r="M532" s="424">
        <f>IF(OR(M$510&lt;$C532,M$510&lt;$H$2),0,MIN($E532-SUM($G532:L532),$F532))</f>
        <v>0</v>
      </c>
      <c r="N532" s="424">
        <f>IF(OR(N$510&lt;$C532,N$510&lt;$H$2),0,MIN($E532-SUM($G532:M532),$F532))</f>
        <v>0</v>
      </c>
      <c r="O532" s="424">
        <f>IF(OR(O$510&lt;$C532,O$510&lt;$H$2),0,MIN($E532-SUM($G532:N532),$F532))</f>
        <v>0</v>
      </c>
      <c r="P532" s="424">
        <f>IF(OR(P$510&lt;$C532,P$510&lt;$H$2),0,MIN($E532-SUM($G532:O532),$F532))</f>
        <v>0</v>
      </c>
      <c r="Q532" s="424">
        <f>IF(OR(Q$510&lt;$C532,Q$510&lt;$H$2),0,MIN($E532-SUM($G532:P532),$F532))</f>
        <v>0</v>
      </c>
      <c r="R532" s="424">
        <f>IF(OR(R$510&lt;$C532,R$510&lt;$H$2),0,MIN($E532-SUM($G532:Q532),$F532))</f>
        <v>0</v>
      </c>
      <c r="S532" s="424">
        <f>IF(OR(S$510&lt;$C532,S$510&lt;$H$2),0,MIN($E532-SUM($G532:R532),$F532))</f>
        <v>0</v>
      </c>
      <c r="T532" s="424">
        <f>IF(OR(T$510&lt;$C532,T$510&lt;$H$2),0,MIN($E532-SUM($G532:S532),$F532))</f>
        <v>0</v>
      </c>
      <c r="U532" s="424">
        <f>IF(OR(U$510&lt;$C532,U$510&lt;$H$2),0,MIN($E532-SUM($G532:T532),$F532))</f>
        <v>0</v>
      </c>
      <c r="V532" s="424">
        <f>IF(OR(V$510&lt;$C532,V$510&lt;$H$2),0,MIN($E532-SUM($G532:U532),$F532))</f>
        <v>0</v>
      </c>
      <c r="W532" s="424">
        <f>IF(OR(W$510&lt;$C532,W$510&lt;$H$2),0,MIN($E532-SUM($G532:V532),$F532))</f>
        <v>0</v>
      </c>
      <c r="X532" s="424">
        <f>IF(OR(X$510&lt;$C532,X$510&lt;$H$2),0,MIN($E532-SUM($G532:W532),$F532))</f>
        <v>0</v>
      </c>
      <c r="Y532" s="424">
        <f>IF(OR(Y$510&lt;$C532,Y$510&lt;$H$2),0,MIN($E532-SUM($G532:X532),$F532))</f>
        <v>0</v>
      </c>
      <c r="Z532" s="424">
        <f>IF(OR(Z$510&lt;$C532,Z$510&lt;$H$2),0,MIN($E532-SUM($G532:Y532),$F532))</f>
        <v>0</v>
      </c>
      <c r="AA532" s="424">
        <f>IF(OR(AA$510&lt;$C532,AA$510&lt;$H$2),0,MIN($E532-SUM($G532:Z532),$F532))</f>
        <v>0</v>
      </c>
      <c r="AB532" s="424">
        <f>IF(OR(AB$510&lt;$C532,AB$510&lt;$H$2),0,MIN($E532-SUM($G532:AA532),$F532))</f>
        <v>0</v>
      </c>
      <c r="AC532" s="424">
        <f>IF(OR(AC$510&lt;$C532,AC$510&lt;$H$2),0,MIN($E532-SUM($G532:AB532),$F532))</f>
        <v>0</v>
      </c>
      <c r="AD532" s="424">
        <f>IF(OR(AD$510&lt;$C532,AD$510&lt;$H$2),0,MIN($E532-SUM($G532:AC532),$F532))</f>
        <v>0</v>
      </c>
      <c r="AE532" s="424">
        <f>IF(OR(AE$510&lt;$C532,AE$510&lt;$H$2),0,MIN($E532-SUM($G532:AD532),$F532))</f>
        <v>0</v>
      </c>
      <c r="AF532" s="424">
        <f>IF(OR(AF$510&lt;$C532,AF$510&lt;$H$2),0,MIN($E532-SUM($G532:AE532),$F532))</f>
        <v>0</v>
      </c>
      <c r="AG532" s="424">
        <f>IF(OR(AG$510&lt;$C532,AG$510&lt;$H$2),0,MIN($E532-SUM($G532:AF532),$F532))</f>
        <v>0</v>
      </c>
      <c r="AH532" s="424">
        <f>IF(OR(AH$510&lt;$C532,AH$510&lt;$H$2),0,MIN($E532-SUM($G532:AG532),$F532))</f>
        <v>0</v>
      </c>
      <c r="AI532" s="424">
        <f>IF(OR(AI$510&lt;$C532,AI$510&lt;$H$2),0,MIN($E532-SUM($G532:AH532),$F532))</f>
        <v>0</v>
      </c>
      <c r="AJ532" s="424">
        <f>IF(OR(AJ$510&lt;$C532,AJ$510&lt;$H$2),0,MIN($E532-SUM($G532:AI532),$F532))</f>
        <v>0</v>
      </c>
      <c r="AK532" s="424">
        <f>IF(OR(AK$510&lt;$C532,AK$510&lt;$H$2),0,MIN($E532-SUM($G532:AJ532),$F532))</f>
        <v>0</v>
      </c>
    </row>
    <row r="533" spans="3:37">
      <c r="C533" s="201">
        <v>53343</v>
      </c>
      <c r="D533" s="94" t="s">
        <v>134</v>
      </c>
      <c r="E533" s="424">
        <f t="shared" si="142"/>
        <v>0</v>
      </c>
      <c r="F533" s="209">
        <f t="shared" si="143"/>
        <v>0</v>
      </c>
      <c r="H533" s="424">
        <f>IF(OR(H$510&lt;$C533,H$510&lt;$H$2),0,MIN($E533-SUM($G533:G533),$F533))</f>
        <v>0</v>
      </c>
      <c r="I533" s="424">
        <f>IF(OR(I$510&lt;$C533,I$510&lt;$H$2),0,MIN($E533-SUM($G533:H533),$F533))</f>
        <v>0</v>
      </c>
      <c r="J533" s="424">
        <f>IF(OR(J$510&lt;$C533,J$510&lt;$H$2),0,MIN($E533-SUM($G533:I533),$F533))</f>
        <v>0</v>
      </c>
      <c r="K533" s="424">
        <f>IF(OR(K$510&lt;$C533,K$510&lt;$H$2),0,MIN($E533-SUM($G533:J533),$F533))</f>
        <v>0</v>
      </c>
      <c r="L533" s="424">
        <f>IF(OR(L$510&lt;$C533,L$510&lt;$H$2),0,MIN($E533-SUM($G533:K533),$F533))</f>
        <v>0</v>
      </c>
      <c r="M533" s="424">
        <f>IF(OR(M$510&lt;$C533,M$510&lt;$H$2),0,MIN($E533-SUM($G533:L533),$F533))</f>
        <v>0</v>
      </c>
      <c r="N533" s="424">
        <f>IF(OR(N$510&lt;$C533,N$510&lt;$H$2),0,MIN($E533-SUM($G533:M533),$F533))</f>
        <v>0</v>
      </c>
      <c r="O533" s="424">
        <f>IF(OR(O$510&lt;$C533,O$510&lt;$H$2),0,MIN($E533-SUM($G533:N533),$F533))</f>
        <v>0</v>
      </c>
      <c r="P533" s="424">
        <f>IF(OR(P$510&lt;$C533,P$510&lt;$H$2),0,MIN($E533-SUM($G533:O533),$F533))</f>
        <v>0</v>
      </c>
      <c r="Q533" s="424">
        <f>IF(OR(Q$510&lt;$C533,Q$510&lt;$H$2),0,MIN($E533-SUM($G533:P533),$F533))</f>
        <v>0</v>
      </c>
      <c r="R533" s="424">
        <f>IF(OR(R$510&lt;$C533,R$510&lt;$H$2),0,MIN($E533-SUM($G533:Q533),$F533))</f>
        <v>0</v>
      </c>
      <c r="S533" s="424">
        <f>IF(OR(S$510&lt;$C533,S$510&lt;$H$2),0,MIN($E533-SUM($G533:R533),$F533))</f>
        <v>0</v>
      </c>
      <c r="T533" s="424">
        <f>IF(OR(T$510&lt;$C533,T$510&lt;$H$2),0,MIN($E533-SUM($G533:S533),$F533))</f>
        <v>0</v>
      </c>
      <c r="U533" s="424">
        <f>IF(OR(U$510&lt;$C533,U$510&lt;$H$2),0,MIN($E533-SUM($G533:T533),$F533))</f>
        <v>0</v>
      </c>
      <c r="V533" s="424">
        <f>IF(OR(V$510&lt;$C533,V$510&lt;$H$2),0,MIN($E533-SUM($G533:U533),$F533))</f>
        <v>0</v>
      </c>
      <c r="W533" s="424">
        <f>IF(OR(W$510&lt;$C533,W$510&lt;$H$2),0,MIN($E533-SUM($G533:V533),$F533))</f>
        <v>0</v>
      </c>
      <c r="X533" s="424">
        <f>IF(OR(X$510&lt;$C533,X$510&lt;$H$2),0,MIN($E533-SUM($G533:W533),$F533))</f>
        <v>0</v>
      </c>
      <c r="Y533" s="424">
        <f>IF(OR(Y$510&lt;$C533,Y$510&lt;$H$2),0,MIN($E533-SUM($G533:X533),$F533))</f>
        <v>0</v>
      </c>
      <c r="Z533" s="424">
        <f>IF(OR(Z$510&lt;$C533,Z$510&lt;$H$2),0,MIN($E533-SUM($G533:Y533),$F533))</f>
        <v>0</v>
      </c>
      <c r="AA533" s="424">
        <f>IF(OR(AA$510&lt;$C533,AA$510&lt;$H$2),0,MIN($E533-SUM($G533:Z533),$F533))</f>
        <v>0</v>
      </c>
      <c r="AB533" s="424">
        <f>IF(OR(AB$510&lt;$C533,AB$510&lt;$H$2),0,MIN($E533-SUM($G533:AA533),$F533))</f>
        <v>0</v>
      </c>
      <c r="AC533" s="424">
        <f>IF(OR(AC$510&lt;$C533,AC$510&lt;$H$2),0,MIN($E533-SUM($G533:AB533),$F533))</f>
        <v>0</v>
      </c>
      <c r="AD533" s="424">
        <f>IF(OR(AD$510&lt;$C533,AD$510&lt;$H$2),0,MIN($E533-SUM($G533:AC533),$F533))</f>
        <v>0</v>
      </c>
      <c r="AE533" s="424">
        <f>IF(OR(AE$510&lt;$C533,AE$510&lt;$H$2),0,MIN($E533-SUM($G533:AD533),$F533))</f>
        <v>0</v>
      </c>
      <c r="AF533" s="424">
        <f>IF(OR(AF$510&lt;$C533,AF$510&lt;$H$2),0,MIN($E533-SUM($G533:AE533),$F533))</f>
        <v>0</v>
      </c>
      <c r="AG533" s="424">
        <f>IF(OR(AG$510&lt;$C533,AG$510&lt;$H$2),0,MIN($E533-SUM($G533:AF533),$F533))</f>
        <v>0</v>
      </c>
      <c r="AH533" s="424">
        <f>IF(OR(AH$510&lt;$C533,AH$510&lt;$H$2),0,MIN($E533-SUM($G533:AG533),$F533))</f>
        <v>0</v>
      </c>
      <c r="AI533" s="424">
        <f>IF(OR(AI$510&lt;$C533,AI$510&lt;$H$2),0,MIN($E533-SUM($G533:AH533),$F533))</f>
        <v>0</v>
      </c>
      <c r="AJ533" s="424">
        <f>IF(OR(AJ$510&lt;$C533,AJ$510&lt;$H$2),0,MIN($E533-SUM($G533:AI533),$F533))</f>
        <v>0</v>
      </c>
      <c r="AK533" s="424">
        <f>IF(OR(AK$510&lt;$C533,AK$510&lt;$H$2),0,MIN($E533-SUM($G533:AJ533),$F533))</f>
        <v>0</v>
      </c>
    </row>
    <row r="534" spans="3:37">
      <c r="C534" s="201">
        <v>53709</v>
      </c>
      <c r="D534" s="94" t="s">
        <v>134</v>
      </c>
      <c r="E534" s="424">
        <f t="shared" si="142"/>
        <v>0</v>
      </c>
      <c r="F534" s="209">
        <f t="shared" si="143"/>
        <v>0</v>
      </c>
      <c r="H534" s="424">
        <f>IF(OR(H$510&lt;$C534,H$510&lt;$H$2),0,MIN($E534-SUM($G534:G534),$F534))</f>
        <v>0</v>
      </c>
      <c r="I534" s="424">
        <f>IF(OR(I$510&lt;$C534,I$510&lt;$H$2),0,MIN($E534-SUM($G534:H534),$F534))</f>
        <v>0</v>
      </c>
      <c r="J534" s="424">
        <f>IF(OR(J$510&lt;$C534,J$510&lt;$H$2),0,MIN($E534-SUM($G534:I534),$F534))</f>
        <v>0</v>
      </c>
      <c r="K534" s="424">
        <f>IF(OR(K$510&lt;$C534,K$510&lt;$H$2),0,MIN($E534-SUM($G534:J534),$F534))</f>
        <v>0</v>
      </c>
      <c r="L534" s="424">
        <f>IF(OR(L$510&lt;$C534,L$510&lt;$H$2),0,MIN($E534-SUM($G534:K534),$F534))</f>
        <v>0</v>
      </c>
      <c r="M534" s="424">
        <f>IF(OR(M$510&lt;$C534,M$510&lt;$H$2),0,MIN($E534-SUM($G534:L534),$F534))</f>
        <v>0</v>
      </c>
      <c r="N534" s="424">
        <f>IF(OR(N$510&lt;$C534,N$510&lt;$H$2),0,MIN($E534-SUM($G534:M534),$F534))</f>
        <v>0</v>
      </c>
      <c r="O534" s="424">
        <f>IF(OR(O$510&lt;$C534,O$510&lt;$H$2),0,MIN($E534-SUM($G534:N534),$F534))</f>
        <v>0</v>
      </c>
      <c r="P534" s="424">
        <f>IF(OR(P$510&lt;$C534,P$510&lt;$H$2),0,MIN($E534-SUM($G534:O534),$F534))</f>
        <v>0</v>
      </c>
      <c r="Q534" s="424">
        <f>IF(OR(Q$510&lt;$C534,Q$510&lt;$H$2),0,MIN($E534-SUM($G534:P534),$F534))</f>
        <v>0</v>
      </c>
      <c r="R534" s="424">
        <f>IF(OR(R$510&lt;$C534,R$510&lt;$H$2),0,MIN($E534-SUM($G534:Q534),$F534))</f>
        <v>0</v>
      </c>
      <c r="S534" s="424">
        <f>IF(OR(S$510&lt;$C534,S$510&lt;$H$2),0,MIN($E534-SUM($G534:R534),$F534))</f>
        <v>0</v>
      </c>
      <c r="T534" s="424">
        <f>IF(OR(T$510&lt;$C534,T$510&lt;$H$2),0,MIN($E534-SUM($G534:S534),$F534))</f>
        <v>0</v>
      </c>
      <c r="U534" s="424">
        <f>IF(OR(U$510&lt;$C534,U$510&lt;$H$2),0,MIN($E534-SUM($G534:T534),$F534))</f>
        <v>0</v>
      </c>
      <c r="V534" s="424">
        <f>IF(OR(V$510&lt;$C534,V$510&lt;$H$2),0,MIN($E534-SUM($G534:U534),$F534))</f>
        <v>0</v>
      </c>
      <c r="W534" s="424">
        <f>IF(OR(W$510&lt;$C534,W$510&lt;$H$2),0,MIN($E534-SUM($G534:V534),$F534))</f>
        <v>0</v>
      </c>
      <c r="X534" s="424">
        <f>IF(OR(X$510&lt;$C534,X$510&lt;$H$2),0,MIN($E534-SUM($G534:W534),$F534))</f>
        <v>0</v>
      </c>
      <c r="Y534" s="424">
        <f>IF(OR(Y$510&lt;$C534,Y$510&lt;$H$2),0,MIN($E534-SUM($G534:X534),$F534))</f>
        <v>0</v>
      </c>
      <c r="Z534" s="424">
        <f>IF(OR(Z$510&lt;$C534,Z$510&lt;$H$2),0,MIN($E534-SUM($G534:Y534),$F534))</f>
        <v>0</v>
      </c>
      <c r="AA534" s="424">
        <f>IF(OR(AA$510&lt;$C534,AA$510&lt;$H$2),0,MIN($E534-SUM($G534:Z534),$F534))</f>
        <v>0</v>
      </c>
      <c r="AB534" s="424">
        <f>IF(OR(AB$510&lt;$C534,AB$510&lt;$H$2),0,MIN($E534-SUM($G534:AA534),$F534))</f>
        <v>0</v>
      </c>
      <c r="AC534" s="424">
        <f>IF(OR(AC$510&lt;$C534,AC$510&lt;$H$2),0,MIN($E534-SUM($G534:AB534),$F534))</f>
        <v>0</v>
      </c>
      <c r="AD534" s="424">
        <f>IF(OR(AD$510&lt;$C534,AD$510&lt;$H$2),0,MIN($E534-SUM($G534:AC534),$F534))</f>
        <v>0</v>
      </c>
      <c r="AE534" s="424">
        <f>IF(OR(AE$510&lt;$C534,AE$510&lt;$H$2),0,MIN($E534-SUM($G534:AD534),$F534))</f>
        <v>0</v>
      </c>
      <c r="AF534" s="424">
        <f>IF(OR(AF$510&lt;$C534,AF$510&lt;$H$2),0,MIN($E534-SUM($G534:AE534),$F534))</f>
        <v>0</v>
      </c>
      <c r="AG534" s="424">
        <f>IF(OR(AG$510&lt;$C534,AG$510&lt;$H$2),0,MIN($E534-SUM($G534:AF534),$F534))</f>
        <v>0</v>
      </c>
      <c r="AH534" s="424">
        <f>IF(OR(AH$510&lt;$C534,AH$510&lt;$H$2),0,MIN($E534-SUM($G534:AG534),$F534))</f>
        <v>0</v>
      </c>
      <c r="AI534" s="424">
        <f>IF(OR(AI$510&lt;$C534,AI$510&lt;$H$2),0,MIN($E534-SUM($G534:AH534),$F534))</f>
        <v>0</v>
      </c>
      <c r="AJ534" s="424">
        <f>IF(OR(AJ$510&lt;$C534,AJ$510&lt;$H$2),0,MIN($E534-SUM($G534:AI534),$F534))</f>
        <v>0</v>
      </c>
      <c r="AK534" s="424">
        <f>IF(OR(AK$510&lt;$C534,AK$510&lt;$H$2),0,MIN($E534-SUM($G534:AJ534),$F534))</f>
        <v>0</v>
      </c>
    </row>
    <row r="535" spans="3:37">
      <c r="C535" s="201">
        <v>54075</v>
      </c>
      <c r="D535" s="94" t="s">
        <v>134</v>
      </c>
      <c r="E535" s="424">
        <f t="shared" si="142"/>
        <v>0</v>
      </c>
      <c r="F535" s="209">
        <f t="shared" si="143"/>
        <v>0</v>
      </c>
      <c r="H535" s="424">
        <f>IF(OR(H$510&lt;$C535,H$510&lt;$H$2),0,MIN($E535-SUM($G535:G535),$F535))</f>
        <v>0</v>
      </c>
      <c r="I535" s="424">
        <f>IF(OR(I$510&lt;$C535,I$510&lt;$H$2),0,MIN($E535-SUM($G535:H535),$F535))</f>
        <v>0</v>
      </c>
      <c r="J535" s="424">
        <f>IF(OR(J$510&lt;$C535,J$510&lt;$H$2),0,MIN($E535-SUM($G535:I535),$F535))</f>
        <v>0</v>
      </c>
      <c r="K535" s="424">
        <f>IF(OR(K$510&lt;$C535,K$510&lt;$H$2),0,MIN($E535-SUM($G535:J535),$F535))</f>
        <v>0</v>
      </c>
      <c r="L535" s="424">
        <f>IF(OR(L$510&lt;$C535,L$510&lt;$H$2),0,MIN($E535-SUM($G535:K535),$F535))</f>
        <v>0</v>
      </c>
      <c r="M535" s="424">
        <f>IF(OR(M$510&lt;$C535,M$510&lt;$H$2),0,MIN($E535-SUM($G535:L535),$F535))</f>
        <v>0</v>
      </c>
      <c r="N535" s="424">
        <f>IF(OR(N$510&lt;$C535,N$510&lt;$H$2),0,MIN($E535-SUM($G535:M535),$F535))</f>
        <v>0</v>
      </c>
      <c r="O535" s="424">
        <f>IF(OR(O$510&lt;$C535,O$510&lt;$H$2),0,MIN($E535-SUM($G535:N535),$F535))</f>
        <v>0</v>
      </c>
      <c r="P535" s="424">
        <f>IF(OR(P$510&lt;$C535,P$510&lt;$H$2),0,MIN($E535-SUM($G535:O535),$F535))</f>
        <v>0</v>
      </c>
      <c r="Q535" s="424">
        <f>IF(OR(Q$510&lt;$C535,Q$510&lt;$H$2),0,MIN($E535-SUM($G535:P535),$F535))</f>
        <v>0</v>
      </c>
      <c r="R535" s="424">
        <f>IF(OR(R$510&lt;$C535,R$510&lt;$H$2),0,MIN($E535-SUM($G535:Q535),$F535))</f>
        <v>0</v>
      </c>
      <c r="S535" s="424">
        <f>IF(OR(S$510&lt;$C535,S$510&lt;$H$2),0,MIN($E535-SUM($G535:R535),$F535))</f>
        <v>0</v>
      </c>
      <c r="T535" s="424">
        <f>IF(OR(T$510&lt;$C535,T$510&lt;$H$2),0,MIN($E535-SUM($G535:S535),$F535))</f>
        <v>0</v>
      </c>
      <c r="U535" s="424">
        <f>IF(OR(U$510&lt;$C535,U$510&lt;$H$2),0,MIN($E535-SUM($G535:T535),$F535))</f>
        <v>0</v>
      </c>
      <c r="V535" s="424">
        <f>IF(OR(V$510&lt;$C535,V$510&lt;$H$2),0,MIN($E535-SUM($G535:U535),$F535))</f>
        <v>0</v>
      </c>
      <c r="W535" s="424">
        <f>IF(OR(W$510&lt;$C535,W$510&lt;$H$2),0,MIN($E535-SUM($G535:V535),$F535))</f>
        <v>0</v>
      </c>
      <c r="X535" s="424">
        <f>IF(OR(X$510&lt;$C535,X$510&lt;$H$2),0,MIN($E535-SUM($G535:W535),$F535))</f>
        <v>0</v>
      </c>
      <c r="Y535" s="424">
        <f>IF(OR(Y$510&lt;$C535,Y$510&lt;$H$2),0,MIN($E535-SUM($G535:X535),$F535))</f>
        <v>0</v>
      </c>
      <c r="Z535" s="424">
        <f>IF(OR(Z$510&lt;$C535,Z$510&lt;$H$2),0,MIN($E535-SUM($G535:Y535),$F535))</f>
        <v>0</v>
      </c>
      <c r="AA535" s="424">
        <f>IF(OR(AA$510&lt;$C535,AA$510&lt;$H$2),0,MIN($E535-SUM($G535:Z535),$F535))</f>
        <v>0</v>
      </c>
      <c r="AB535" s="424">
        <f>IF(OR(AB$510&lt;$C535,AB$510&lt;$H$2),0,MIN($E535-SUM($G535:AA535),$F535))</f>
        <v>0</v>
      </c>
      <c r="AC535" s="424">
        <f>IF(OR(AC$510&lt;$C535,AC$510&lt;$H$2),0,MIN($E535-SUM($G535:AB535),$F535))</f>
        <v>0</v>
      </c>
      <c r="AD535" s="424">
        <f>IF(OR(AD$510&lt;$C535,AD$510&lt;$H$2),0,MIN($E535-SUM($G535:AC535),$F535))</f>
        <v>0</v>
      </c>
      <c r="AE535" s="424">
        <f>IF(OR(AE$510&lt;$C535,AE$510&lt;$H$2),0,MIN($E535-SUM($G535:AD535),$F535))</f>
        <v>0</v>
      </c>
      <c r="AF535" s="424">
        <f>IF(OR(AF$510&lt;$C535,AF$510&lt;$H$2),0,MIN($E535-SUM($G535:AE535),$F535))</f>
        <v>0</v>
      </c>
      <c r="AG535" s="424">
        <f>IF(OR(AG$510&lt;$C535,AG$510&lt;$H$2),0,MIN($E535-SUM($G535:AF535),$F535))</f>
        <v>0</v>
      </c>
      <c r="AH535" s="424">
        <f>IF(OR(AH$510&lt;$C535,AH$510&lt;$H$2),0,MIN($E535-SUM($G535:AG535),$F535))</f>
        <v>0</v>
      </c>
      <c r="AI535" s="424">
        <f>IF(OR(AI$510&lt;$C535,AI$510&lt;$H$2),0,MIN($E535-SUM($G535:AH535),$F535))</f>
        <v>0</v>
      </c>
      <c r="AJ535" s="424">
        <f>IF(OR(AJ$510&lt;$C535,AJ$510&lt;$H$2),0,MIN($E535-SUM($G535:AI535),$F535))</f>
        <v>0</v>
      </c>
      <c r="AK535" s="424">
        <f>IF(OR(AK$510&lt;$C535,AK$510&lt;$H$2),0,MIN($E535-SUM($G535:AJ535),$F535))</f>
        <v>0</v>
      </c>
    </row>
    <row r="536" spans="3:37">
      <c r="C536" s="201">
        <v>0</v>
      </c>
      <c r="D536" s="94" t="s">
        <v>134</v>
      </c>
      <c r="E536" s="424">
        <f t="shared" si="142"/>
        <v>0</v>
      </c>
      <c r="F536" s="209">
        <f t="shared" si="143"/>
        <v>0</v>
      </c>
      <c r="H536" s="424">
        <f>IF(OR(H$510&lt;$C536,H$510&lt;$H$2),0,MIN($E536-SUM($G536:G536),$F536))</f>
        <v>0</v>
      </c>
      <c r="I536" s="424">
        <f>IF(OR(I$510&lt;$C536,I$510&lt;$H$2),0,MIN($E536-SUM($G536:H536),$F536))</f>
        <v>0</v>
      </c>
      <c r="J536" s="424">
        <f>IF(OR(J$510&lt;$C536,J$510&lt;$H$2),0,MIN($E536-SUM($G536:I536),$F536))</f>
        <v>0</v>
      </c>
      <c r="K536" s="424">
        <f>IF(OR(K$510&lt;$C536,K$510&lt;$H$2),0,MIN($E536-SUM($G536:J536),$F536))</f>
        <v>0</v>
      </c>
      <c r="L536" s="424">
        <f>IF(OR(L$510&lt;$C536,L$510&lt;$H$2),0,MIN($E536-SUM($G536:K536),$F536))</f>
        <v>0</v>
      </c>
      <c r="M536" s="424">
        <f>IF(OR(M$510&lt;$C536,M$510&lt;$H$2),0,MIN($E536-SUM($G536:L536),$F536))</f>
        <v>0</v>
      </c>
      <c r="N536" s="424">
        <f>IF(OR(N$510&lt;$C536,N$510&lt;$H$2),0,MIN($E536-SUM($G536:M536),$F536))</f>
        <v>0</v>
      </c>
      <c r="O536" s="424">
        <f>IF(OR(O$510&lt;$C536,O$510&lt;$H$2),0,MIN($E536-SUM($G536:N536),$F536))</f>
        <v>0</v>
      </c>
      <c r="P536" s="424">
        <f>IF(OR(P$510&lt;$C536,P$510&lt;$H$2),0,MIN($E536-SUM($G536:O536),$F536))</f>
        <v>0</v>
      </c>
      <c r="Q536" s="424">
        <f>IF(OR(Q$510&lt;$C536,Q$510&lt;$H$2),0,MIN($E536-SUM($G536:P536),$F536))</f>
        <v>0</v>
      </c>
      <c r="R536" s="424">
        <f>IF(OR(R$510&lt;$C536,R$510&lt;$H$2),0,MIN($E536-SUM($G536:Q536),$F536))</f>
        <v>0</v>
      </c>
      <c r="S536" s="424">
        <f>IF(OR(S$510&lt;$C536,S$510&lt;$H$2),0,MIN($E536-SUM($G536:R536),$F536))</f>
        <v>0</v>
      </c>
      <c r="T536" s="424">
        <f>IF(OR(T$510&lt;$C536,T$510&lt;$H$2),0,MIN($E536-SUM($G536:S536),$F536))</f>
        <v>0</v>
      </c>
      <c r="U536" s="424">
        <f>IF(OR(U$510&lt;$C536,U$510&lt;$H$2),0,MIN($E536-SUM($G536:T536),$F536))</f>
        <v>0</v>
      </c>
      <c r="V536" s="424">
        <f>IF(OR(V$510&lt;$C536,V$510&lt;$H$2),0,MIN($E536-SUM($G536:U536),$F536))</f>
        <v>0</v>
      </c>
      <c r="W536" s="424">
        <f>IF(OR(W$510&lt;$C536,W$510&lt;$H$2),0,MIN($E536-SUM($G536:V536),$F536))</f>
        <v>0</v>
      </c>
      <c r="X536" s="424">
        <f>IF(OR(X$510&lt;$C536,X$510&lt;$H$2),0,MIN($E536-SUM($G536:W536),$F536))</f>
        <v>0</v>
      </c>
      <c r="Y536" s="424">
        <f>IF(OR(Y$510&lt;$C536,Y$510&lt;$H$2),0,MIN($E536-SUM($G536:X536),$F536))</f>
        <v>0</v>
      </c>
      <c r="Z536" s="424">
        <f>IF(OR(Z$510&lt;$C536,Z$510&lt;$H$2),0,MIN($E536-SUM($G536:Y536),$F536))</f>
        <v>0</v>
      </c>
      <c r="AA536" s="424">
        <f>IF(OR(AA$510&lt;$C536,AA$510&lt;$H$2),0,MIN($E536-SUM($G536:Z536),$F536))</f>
        <v>0</v>
      </c>
      <c r="AB536" s="424">
        <f>IF(OR(AB$510&lt;$C536,AB$510&lt;$H$2),0,MIN($E536-SUM($G536:AA536),$F536))</f>
        <v>0</v>
      </c>
      <c r="AC536" s="424">
        <f>IF(OR(AC$510&lt;$C536,AC$510&lt;$H$2),0,MIN($E536-SUM($G536:AB536),$F536))</f>
        <v>0</v>
      </c>
      <c r="AD536" s="424">
        <f>IF(OR(AD$510&lt;$C536,AD$510&lt;$H$2),0,MIN($E536-SUM($G536:AC536),$F536))</f>
        <v>0</v>
      </c>
      <c r="AE536" s="424">
        <f>IF(OR(AE$510&lt;$C536,AE$510&lt;$H$2),0,MIN($E536-SUM($G536:AD536),$F536))</f>
        <v>0</v>
      </c>
      <c r="AF536" s="424">
        <f>IF(OR(AF$510&lt;$C536,AF$510&lt;$H$2),0,MIN($E536-SUM($G536:AE536),$F536))</f>
        <v>0</v>
      </c>
      <c r="AG536" s="424">
        <f>IF(OR(AG$510&lt;$C536,AG$510&lt;$H$2),0,MIN($E536-SUM($G536:AF536),$F536))</f>
        <v>0</v>
      </c>
      <c r="AH536" s="424">
        <f>IF(OR(AH$510&lt;$C536,AH$510&lt;$H$2),0,MIN($E536-SUM($G536:AG536),$F536))</f>
        <v>0</v>
      </c>
      <c r="AI536" s="424">
        <f>IF(OR(AI$510&lt;$C536,AI$510&lt;$H$2),0,MIN($E536-SUM($G536:AH536),$F536))</f>
        <v>0</v>
      </c>
      <c r="AJ536" s="424">
        <f>IF(OR(AJ$510&lt;$C536,AJ$510&lt;$H$2),0,MIN($E536-SUM($G536:AI536),$F536))</f>
        <v>0</v>
      </c>
      <c r="AK536" s="424">
        <f>IF(OR(AK$510&lt;$C536,AK$510&lt;$H$2),0,MIN($E536-SUM($G536:AJ536),$F536))</f>
        <v>0</v>
      </c>
    </row>
    <row r="537" spans="3:37">
      <c r="C537" s="201">
        <v>0</v>
      </c>
      <c r="D537" s="94" t="s">
        <v>134</v>
      </c>
      <c r="E537" s="424">
        <f t="shared" si="142"/>
        <v>0</v>
      </c>
      <c r="F537" s="209">
        <f t="shared" si="143"/>
        <v>0</v>
      </c>
      <c r="H537" s="424">
        <f>IF(OR(H$510&lt;$C537,H$510&lt;$H$2),0,MIN($E537-SUM($G537:G537),$F537))</f>
        <v>0</v>
      </c>
      <c r="I537" s="424">
        <f>IF(OR(I$510&lt;$C537,I$510&lt;$H$2),0,MIN($E537-SUM($G537:H537),$F537))</f>
        <v>0</v>
      </c>
      <c r="J537" s="424">
        <f>IF(OR(J$510&lt;$C537,J$510&lt;$H$2),0,MIN($E537-SUM($G537:I537),$F537))</f>
        <v>0</v>
      </c>
      <c r="K537" s="424">
        <f>IF(OR(K$510&lt;$C537,K$510&lt;$H$2),0,MIN($E537-SUM($G537:J537),$F537))</f>
        <v>0</v>
      </c>
      <c r="L537" s="424">
        <f>IF(OR(L$510&lt;$C537,L$510&lt;$H$2),0,MIN($E537-SUM($G537:K537),$F537))</f>
        <v>0</v>
      </c>
      <c r="M537" s="424">
        <f>IF(OR(M$510&lt;$C537,M$510&lt;$H$2),0,MIN($E537-SUM($G537:L537),$F537))</f>
        <v>0</v>
      </c>
      <c r="N537" s="424">
        <f>IF(OR(N$510&lt;$C537,N$510&lt;$H$2),0,MIN($E537-SUM($G537:M537),$F537))</f>
        <v>0</v>
      </c>
      <c r="O537" s="424">
        <f>IF(OR(O$510&lt;$C537,O$510&lt;$H$2),0,MIN($E537-SUM($G537:N537),$F537))</f>
        <v>0</v>
      </c>
      <c r="P537" s="424">
        <f>IF(OR(P$510&lt;$C537,P$510&lt;$H$2),0,MIN($E537-SUM($G537:O537),$F537))</f>
        <v>0</v>
      </c>
      <c r="Q537" s="424">
        <f>IF(OR(Q$510&lt;$C537,Q$510&lt;$H$2),0,MIN($E537-SUM($G537:P537),$F537))</f>
        <v>0</v>
      </c>
      <c r="R537" s="424">
        <f>IF(OR(R$510&lt;$C537,R$510&lt;$H$2),0,MIN($E537-SUM($G537:Q537),$F537))</f>
        <v>0</v>
      </c>
      <c r="S537" s="424">
        <f>IF(OR(S$510&lt;$C537,S$510&lt;$H$2),0,MIN($E537-SUM($G537:R537),$F537))</f>
        <v>0</v>
      </c>
      <c r="T537" s="424">
        <f>IF(OR(T$510&lt;$C537,T$510&lt;$H$2),0,MIN($E537-SUM($G537:S537),$F537))</f>
        <v>0</v>
      </c>
      <c r="U537" s="424">
        <f>IF(OR(U$510&lt;$C537,U$510&lt;$H$2),0,MIN($E537-SUM($G537:T537),$F537))</f>
        <v>0</v>
      </c>
      <c r="V537" s="424">
        <f>IF(OR(V$510&lt;$C537,V$510&lt;$H$2),0,MIN($E537-SUM($G537:U537),$F537))</f>
        <v>0</v>
      </c>
      <c r="W537" s="424">
        <f>IF(OR(W$510&lt;$C537,W$510&lt;$H$2),0,MIN($E537-SUM($G537:V537),$F537))</f>
        <v>0</v>
      </c>
      <c r="X537" s="424">
        <f>IF(OR(X$510&lt;$C537,X$510&lt;$H$2),0,MIN($E537-SUM($G537:W537),$F537))</f>
        <v>0</v>
      </c>
      <c r="Y537" s="424">
        <f>IF(OR(Y$510&lt;$C537,Y$510&lt;$H$2),0,MIN($E537-SUM($G537:X537),$F537))</f>
        <v>0</v>
      </c>
      <c r="Z537" s="424">
        <f>IF(OR(Z$510&lt;$C537,Z$510&lt;$H$2),0,MIN($E537-SUM($G537:Y537),$F537))</f>
        <v>0</v>
      </c>
      <c r="AA537" s="424">
        <f>IF(OR(AA$510&lt;$C537,AA$510&lt;$H$2),0,MIN($E537-SUM($G537:Z537),$F537))</f>
        <v>0</v>
      </c>
      <c r="AB537" s="424">
        <f>IF(OR(AB$510&lt;$C537,AB$510&lt;$H$2),0,MIN($E537-SUM($G537:AA537),$F537))</f>
        <v>0</v>
      </c>
      <c r="AC537" s="424">
        <f>IF(OR(AC$510&lt;$C537,AC$510&lt;$H$2),0,MIN($E537-SUM($G537:AB537),$F537))</f>
        <v>0</v>
      </c>
      <c r="AD537" s="424">
        <f>IF(OR(AD$510&lt;$C537,AD$510&lt;$H$2),0,MIN($E537-SUM($G537:AC537),$F537))</f>
        <v>0</v>
      </c>
      <c r="AE537" s="424">
        <f>IF(OR(AE$510&lt;$C537,AE$510&lt;$H$2),0,MIN($E537-SUM($G537:AD537),$F537))</f>
        <v>0</v>
      </c>
      <c r="AF537" s="424">
        <f>IF(OR(AF$510&lt;$C537,AF$510&lt;$H$2),0,MIN($E537-SUM($G537:AE537),$F537))</f>
        <v>0</v>
      </c>
      <c r="AG537" s="424">
        <f>IF(OR(AG$510&lt;$C537,AG$510&lt;$H$2),0,MIN($E537-SUM($G537:AF537),$F537))</f>
        <v>0</v>
      </c>
      <c r="AH537" s="424">
        <f>IF(OR(AH$510&lt;$C537,AH$510&lt;$H$2),0,MIN($E537-SUM($G537:AG537),$F537))</f>
        <v>0</v>
      </c>
      <c r="AI537" s="424">
        <f>IF(OR(AI$510&lt;$C537,AI$510&lt;$H$2),0,MIN($E537-SUM($G537:AH537),$F537))</f>
        <v>0</v>
      </c>
      <c r="AJ537" s="424">
        <f>IF(OR(AJ$510&lt;$C537,AJ$510&lt;$H$2),0,MIN($E537-SUM($G537:AI537),$F537))</f>
        <v>0</v>
      </c>
      <c r="AK537" s="424">
        <f>IF(OR(AK$510&lt;$C537,AK$510&lt;$H$2),0,MIN($E537-SUM($G537:AJ537),$F537))</f>
        <v>0</v>
      </c>
    </row>
    <row r="538" spans="3:37">
      <c r="C538" s="201">
        <v>0</v>
      </c>
      <c r="D538" s="94" t="s">
        <v>134</v>
      </c>
      <c r="E538" s="424">
        <f t="shared" si="142"/>
        <v>0</v>
      </c>
      <c r="F538" s="209">
        <f t="shared" si="143"/>
        <v>0</v>
      </c>
      <c r="H538" s="424">
        <f>IF(OR(H$510&lt;$C538,H$510&lt;$H$2),0,MIN($E538-SUM($G538:G538),$F538))</f>
        <v>0</v>
      </c>
      <c r="I538" s="424">
        <f>IF(OR(I$510&lt;$C538,I$510&lt;$H$2),0,MIN($E538-SUM($G538:H538),$F538))</f>
        <v>0</v>
      </c>
      <c r="J538" s="424">
        <f>IF(OR(J$510&lt;$C538,J$510&lt;$H$2),0,MIN($E538-SUM($G538:I538),$F538))</f>
        <v>0</v>
      </c>
      <c r="K538" s="424">
        <f>IF(OR(K$510&lt;$C538,K$510&lt;$H$2),0,MIN($E538-SUM($G538:J538),$F538))</f>
        <v>0</v>
      </c>
      <c r="L538" s="424">
        <f>IF(OR(L$510&lt;$C538,L$510&lt;$H$2),0,MIN($E538-SUM($G538:K538),$F538))</f>
        <v>0</v>
      </c>
      <c r="M538" s="424">
        <f>IF(OR(M$510&lt;$C538,M$510&lt;$H$2),0,MIN($E538-SUM($G538:L538),$F538))</f>
        <v>0</v>
      </c>
      <c r="N538" s="424">
        <f>IF(OR(N$510&lt;$C538,N$510&lt;$H$2),0,MIN($E538-SUM($G538:M538),$F538))</f>
        <v>0</v>
      </c>
      <c r="O538" s="424">
        <f>IF(OR(O$510&lt;$C538,O$510&lt;$H$2),0,MIN($E538-SUM($G538:N538),$F538))</f>
        <v>0</v>
      </c>
      <c r="P538" s="424">
        <f>IF(OR(P$510&lt;$C538,P$510&lt;$H$2),0,MIN($E538-SUM($G538:O538),$F538))</f>
        <v>0</v>
      </c>
      <c r="Q538" s="424">
        <f>IF(OR(Q$510&lt;$C538,Q$510&lt;$H$2),0,MIN($E538-SUM($G538:P538),$F538))</f>
        <v>0</v>
      </c>
      <c r="R538" s="424">
        <f>IF(OR(R$510&lt;$C538,R$510&lt;$H$2),0,MIN($E538-SUM($G538:Q538),$F538))</f>
        <v>0</v>
      </c>
      <c r="S538" s="424">
        <f>IF(OR(S$510&lt;$C538,S$510&lt;$H$2),0,MIN($E538-SUM($G538:R538),$F538))</f>
        <v>0</v>
      </c>
      <c r="T538" s="424">
        <f>IF(OR(T$510&lt;$C538,T$510&lt;$H$2),0,MIN($E538-SUM($G538:S538),$F538))</f>
        <v>0</v>
      </c>
      <c r="U538" s="424">
        <f>IF(OR(U$510&lt;$C538,U$510&lt;$H$2),0,MIN($E538-SUM($G538:T538),$F538))</f>
        <v>0</v>
      </c>
      <c r="V538" s="424">
        <f>IF(OR(V$510&lt;$C538,V$510&lt;$H$2),0,MIN($E538-SUM($G538:U538),$F538))</f>
        <v>0</v>
      </c>
      <c r="W538" s="424">
        <f>IF(OR(W$510&lt;$C538,W$510&lt;$H$2),0,MIN($E538-SUM($G538:V538),$F538))</f>
        <v>0</v>
      </c>
      <c r="X538" s="424">
        <f>IF(OR(X$510&lt;$C538,X$510&lt;$H$2),0,MIN($E538-SUM($G538:W538),$F538))</f>
        <v>0</v>
      </c>
      <c r="Y538" s="424">
        <f>IF(OR(Y$510&lt;$C538,Y$510&lt;$H$2),0,MIN($E538-SUM($G538:X538),$F538))</f>
        <v>0</v>
      </c>
      <c r="Z538" s="424">
        <f>IF(OR(Z$510&lt;$C538,Z$510&lt;$H$2),0,MIN($E538-SUM($G538:Y538),$F538))</f>
        <v>0</v>
      </c>
      <c r="AA538" s="424">
        <f>IF(OR(AA$510&lt;$C538,AA$510&lt;$H$2),0,MIN($E538-SUM($G538:Z538),$F538))</f>
        <v>0</v>
      </c>
      <c r="AB538" s="424">
        <f>IF(OR(AB$510&lt;$C538,AB$510&lt;$H$2),0,MIN($E538-SUM($G538:AA538),$F538))</f>
        <v>0</v>
      </c>
      <c r="AC538" s="424">
        <f>IF(OR(AC$510&lt;$C538,AC$510&lt;$H$2),0,MIN($E538-SUM($G538:AB538),$F538))</f>
        <v>0</v>
      </c>
      <c r="AD538" s="424">
        <f>IF(OR(AD$510&lt;$C538,AD$510&lt;$H$2),0,MIN($E538-SUM($G538:AC538),$F538))</f>
        <v>0</v>
      </c>
      <c r="AE538" s="424">
        <f>IF(OR(AE$510&lt;$C538,AE$510&lt;$H$2),0,MIN($E538-SUM($G538:AD538),$F538))</f>
        <v>0</v>
      </c>
      <c r="AF538" s="424">
        <f>IF(OR(AF$510&lt;$C538,AF$510&lt;$H$2),0,MIN($E538-SUM($G538:AE538),$F538))</f>
        <v>0</v>
      </c>
      <c r="AG538" s="424">
        <f>IF(OR(AG$510&lt;$C538,AG$510&lt;$H$2),0,MIN($E538-SUM($G538:AF538),$F538))</f>
        <v>0</v>
      </c>
      <c r="AH538" s="424">
        <f>IF(OR(AH$510&lt;$C538,AH$510&lt;$H$2),0,MIN($E538-SUM($G538:AG538),$F538))</f>
        <v>0</v>
      </c>
      <c r="AI538" s="424">
        <f>IF(OR(AI$510&lt;$C538,AI$510&lt;$H$2),0,MIN($E538-SUM($G538:AH538),$F538))</f>
        <v>0</v>
      </c>
      <c r="AJ538" s="424">
        <f>IF(OR(AJ$510&lt;$C538,AJ$510&lt;$H$2),0,MIN($E538-SUM($G538:AI538),$F538))</f>
        <v>0</v>
      </c>
      <c r="AK538" s="424">
        <f>IF(OR(AK$510&lt;$C538,AK$510&lt;$H$2),0,MIN($E538-SUM($G538:AJ538),$F538))</f>
        <v>0</v>
      </c>
    </row>
    <row r="539" spans="3:37">
      <c r="C539" s="201">
        <v>0</v>
      </c>
      <c r="D539" s="94" t="s">
        <v>134</v>
      </c>
      <c r="E539" s="424">
        <f t="shared" si="142"/>
        <v>0</v>
      </c>
      <c r="F539" s="209">
        <f t="shared" si="143"/>
        <v>0</v>
      </c>
      <c r="H539" s="424">
        <f>IF(OR(H$510&lt;$C539,H$510&lt;$H$2),0,MIN($E539-SUM($G539:G539),$F539))</f>
        <v>0</v>
      </c>
      <c r="I539" s="424">
        <f>IF(OR(I$510&lt;$C539,I$510&lt;$H$2),0,MIN($E539-SUM($G539:H539),$F539))</f>
        <v>0</v>
      </c>
      <c r="J539" s="424">
        <f>IF(OR(J$510&lt;$C539,J$510&lt;$H$2),0,MIN($E539-SUM($G539:I539),$F539))</f>
        <v>0</v>
      </c>
      <c r="K539" s="424">
        <f>IF(OR(K$510&lt;$C539,K$510&lt;$H$2),0,MIN($E539-SUM($G539:J539),$F539))</f>
        <v>0</v>
      </c>
      <c r="L539" s="424">
        <f>IF(OR(L$510&lt;$C539,L$510&lt;$H$2),0,MIN($E539-SUM($G539:K539),$F539))</f>
        <v>0</v>
      </c>
      <c r="M539" s="424">
        <f>IF(OR(M$510&lt;$C539,M$510&lt;$H$2),0,MIN($E539-SUM($G539:L539),$F539))</f>
        <v>0</v>
      </c>
      <c r="N539" s="424">
        <f>IF(OR(N$510&lt;$C539,N$510&lt;$H$2),0,MIN($E539-SUM($G539:M539),$F539))</f>
        <v>0</v>
      </c>
      <c r="O539" s="424">
        <f>IF(OR(O$510&lt;$C539,O$510&lt;$H$2),0,MIN($E539-SUM($G539:N539),$F539))</f>
        <v>0</v>
      </c>
      <c r="P539" s="424">
        <f>IF(OR(P$510&lt;$C539,P$510&lt;$H$2),0,MIN($E539-SUM($G539:O539),$F539))</f>
        <v>0</v>
      </c>
      <c r="Q539" s="424">
        <f>IF(OR(Q$510&lt;$C539,Q$510&lt;$H$2),0,MIN($E539-SUM($G539:P539),$F539))</f>
        <v>0</v>
      </c>
      <c r="R539" s="424">
        <f>IF(OR(R$510&lt;$C539,R$510&lt;$H$2),0,MIN($E539-SUM($G539:Q539),$F539))</f>
        <v>0</v>
      </c>
      <c r="S539" s="424">
        <f>IF(OR(S$510&lt;$C539,S$510&lt;$H$2),0,MIN($E539-SUM($G539:R539),$F539))</f>
        <v>0</v>
      </c>
      <c r="T539" s="424">
        <f>IF(OR(T$510&lt;$C539,T$510&lt;$H$2),0,MIN($E539-SUM($G539:S539),$F539))</f>
        <v>0</v>
      </c>
      <c r="U539" s="424">
        <f>IF(OR(U$510&lt;$C539,U$510&lt;$H$2),0,MIN($E539-SUM($G539:T539),$F539))</f>
        <v>0</v>
      </c>
      <c r="V539" s="424">
        <f>IF(OR(V$510&lt;$C539,V$510&lt;$H$2),0,MIN($E539-SUM($G539:U539),$F539))</f>
        <v>0</v>
      </c>
      <c r="W539" s="424">
        <f>IF(OR(W$510&lt;$C539,W$510&lt;$H$2),0,MIN($E539-SUM($G539:V539),$F539))</f>
        <v>0</v>
      </c>
      <c r="X539" s="424">
        <f>IF(OR(X$510&lt;$C539,X$510&lt;$H$2),0,MIN($E539-SUM($G539:W539),$F539))</f>
        <v>0</v>
      </c>
      <c r="Y539" s="424">
        <f>IF(OR(Y$510&lt;$C539,Y$510&lt;$H$2),0,MIN($E539-SUM($G539:X539),$F539))</f>
        <v>0</v>
      </c>
      <c r="Z539" s="424">
        <f>IF(OR(Z$510&lt;$C539,Z$510&lt;$H$2),0,MIN($E539-SUM($G539:Y539),$F539))</f>
        <v>0</v>
      </c>
      <c r="AA539" s="424">
        <f>IF(OR(AA$510&lt;$C539,AA$510&lt;$H$2),0,MIN($E539-SUM($G539:Z539),$F539))</f>
        <v>0</v>
      </c>
      <c r="AB539" s="424">
        <f>IF(OR(AB$510&lt;$C539,AB$510&lt;$H$2),0,MIN($E539-SUM($G539:AA539),$F539))</f>
        <v>0</v>
      </c>
      <c r="AC539" s="424">
        <f>IF(OR(AC$510&lt;$C539,AC$510&lt;$H$2),0,MIN($E539-SUM($G539:AB539),$F539))</f>
        <v>0</v>
      </c>
      <c r="AD539" s="424">
        <f>IF(OR(AD$510&lt;$C539,AD$510&lt;$H$2),0,MIN($E539-SUM($G539:AC539),$F539))</f>
        <v>0</v>
      </c>
      <c r="AE539" s="424">
        <f>IF(OR(AE$510&lt;$C539,AE$510&lt;$H$2),0,MIN($E539-SUM($G539:AD539),$F539))</f>
        <v>0</v>
      </c>
      <c r="AF539" s="424">
        <f>IF(OR(AF$510&lt;$C539,AF$510&lt;$H$2),0,MIN($E539-SUM($G539:AE539),$F539))</f>
        <v>0</v>
      </c>
      <c r="AG539" s="424">
        <f>IF(OR(AG$510&lt;$C539,AG$510&lt;$H$2),0,MIN($E539-SUM($G539:AF539),$F539))</f>
        <v>0</v>
      </c>
      <c r="AH539" s="424">
        <f>IF(OR(AH$510&lt;$C539,AH$510&lt;$H$2),0,MIN($E539-SUM($G539:AG539),$F539))</f>
        <v>0</v>
      </c>
      <c r="AI539" s="424">
        <f>IF(OR(AI$510&lt;$C539,AI$510&lt;$H$2),0,MIN($E539-SUM($G539:AH539),$F539))</f>
        <v>0</v>
      </c>
      <c r="AJ539" s="424">
        <f>IF(OR(AJ$510&lt;$C539,AJ$510&lt;$H$2),0,MIN($E539-SUM($G539:AI539),$F539))</f>
        <v>0</v>
      </c>
      <c r="AK539" s="424">
        <f>IF(OR(AK$510&lt;$C539,AK$510&lt;$H$2),0,MIN($E539-SUM($G539:AJ539),$F539))</f>
        <v>0</v>
      </c>
    </row>
    <row r="540" spans="3:37">
      <c r="C540" s="201">
        <v>0</v>
      </c>
      <c r="D540" s="94" t="s">
        <v>134</v>
      </c>
      <c r="E540" s="424">
        <f t="shared" si="142"/>
        <v>0</v>
      </c>
      <c r="F540" s="209">
        <f t="shared" si="143"/>
        <v>0</v>
      </c>
      <c r="H540" s="424">
        <f>IF(OR(H$510&lt;$C540,H$510&lt;$H$2),0,MIN($E540-SUM($G540:G540),$F540))</f>
        <v>0</v>
      </c>
      <c r="I540" s="424">
        <f>IF(OR(I$510&lt;$C540,I$510&lt;$H$2),0,MIN($E540-SUM($G540:H540),$F540))</f>
        <v>0</v>
      </c>
      <c r="J540" s="424">
        <f>IF(OR(J$510&lt;$C540,J$510&lt;$H$2),0,MIN($E540-SUM($G540:I540),$F540))</f>
        <v>0</v>
      </c>
      <c r="K540" s="424">
        <f>IF(OR(K$510&lt;$C540,K$510&lt;$H$2),0,MIN($E540-SUM($G540:J540),$F540))</f>
        <v>0</v>
      </c>
      <c r="L540" s="424">
        <f>IF(OR(L$510&lt;$C540,L$510&lt;$H$2),0,MIN($E540-SUM($G540:K540),$F540))</f>
        <v>0</v>
      </c>
      <c r="M540" s="424">
        <f>IF(OR(M$510&lt;$C540,M$510&lt;$H$2),0,MIN($E540-SUM($G540:L540),$F540))</f>
        <v>0</v>
      </c>
      <c r="N540" s="424">
        <f>IF(OR(N$510&lt;$C540,N$510&lt;$H$2),0,MIN($E540-SUM($G540:M540),$F540))</f>
        <v>0</v>
      </c>
      <c r="O540" s="424">
        <f>IF(OR(O$510&lt;$C540,O$510&lt;$H$2),0,MIN($E540-SUM($G540:N540),$F540))</f>
        <v>0</v>
      </c>
      <c r="P540" s="424">
        <f>IF(OR(P$510&lt;$C540,P$510&lt;$H$2),0,MIN($E540-SUM($G540:O540),$F540))</f>
        <v>0</v>
      </c>
      <c r="Q540" s="424">
        <f>IF(OR(Q$510&lt;$C540,Q$510&lt;$H$2),0,MIN($E540-SUM($G540:P540),$F540))</f>
        <v>0</v>
      </c>
      <c r="R540" s="424">
        <f>IF(OR(R$510&lt;$C540,R$510&lt;$H$2),0,MIN($E540-SUM($G540:Q540),$F540))</f>
        <v>0</v>
      </c>
      <c r="S540" s="424">
        <f>IF(OR(S$510&lt;$C540,S$510&lt;$H$2),0,MIN($E540-SUM($G540:R540),$F540))</f>
        <v>0</v>
      </c>
      <c r="T540" s="424">
        <f>IF(OR(T$510&lt;$C540,T$510&lt;$H$2),0,MIN($E540-SUM($G540:S540),$F540))</f>
        <v>0</v>
      </c>
      <c r="U540" s="424">
        <f>IF(OR(U$510&lt;$C540,U$510&lt;$H$2),0,MIN($E540-SUM($G540:T540),$F540))</f>
        <v>0</v>
      </c>
      <c r="V540" s="424">
        <f>IF(OR(V$510&lt;$C540,V$510&lt;$H$2),0,MIN($E540-SUM($G540:U540),$F540))</f>
        <v>0</v>
      </c>
      <c r="W540" s="424">
        <f>IF(OR(W$510&lt;$C540,W$510&lt;$H$2),0,MIN($E540-SUM($G540:V540),$F540))</f>
        <v>0</v>
      </c>
      <c r="X540" s="424">
        <f>IF(OR(X$510&lt;$C540,X$510&lt;$H$2),0,MIN($E540-SUM($G540:W540),$F540))</f>
        <v>0</v>
      </c>
      <c r="Y540" s="424">
        <f>IF(OR(Y$510&lt;$C540,Y$510&lt;$H$2),0,MIN($E540-SUM($G540:X540),$F540))</f>
        <v>0</v>
      </c>
      <c r="Z540" s="424">
        <f>IF(OR(Z$510&lt;$C540,Z$510&lt;$H$2),0,MIN($E540-SUM($G540:Y540),$F540))</f>
        <v>0</v>
      </c>
      <c r="AA540" s="424">
        <f>IF(OR(AA$510&lt;$C540,AA$510&lt;$H$2),0,MIN($E540-SUM($G540:Z540),$F540))</f>
        <v>0</v>
      </c>
      <c r="AB540" s="424">
        <f>IF(OR(AB$510&lt;$C540,AB$510&lt;$H$2),0,MIN($E540-SUM($G540:AA540),$F540))</f>
        <v>0</v>
      </c>
      <c r="AC540" s="424">
        <f>IF(OR(AC$510&lt;$C540,AC$510&lt;$H$2),0,MIN($E540-SUM($G540:AB540),$F540))</f>
        <v>0</v>
      </c>
      <c r="AD540" s="424">
        <f>IF(OR(AD$510&lt;$C540,AD$510&lt;$H$2),0,MIN($E540-SUM($G540:AC540),$F540))</f>
        <v>0</v>
      </c>
      <c r="AE540" s="424">
        <f>IF(OR(AE$510&lt;$C540,AE$510&lt;$H$2),0,MIN($E540-SUM($G540:AD540),$F540))</f>
        <v>0</v>
      </c>
      <c r="AF540" s="424">
        <f>IF(OR(AF$510&lt;$C540,AF$510&lt;$H$2),0,MIN($E540-SUM($G540:AE540),$F540))</f>
        <v>0</v>
      </c>
      <c r="AG540" s="424">
        <f>IF(OR(AG$510&lt;$C540,AG$510&lt;$H$2),0,MIN($E540-SUM($G540:AF540),$F540))</f>
        <v>0</v>
      </c>
      <c r="AH540" s="424">
        <f>IF(OR(AH$510&lt;$C540,AH$510&lt;$H$2),0,MIN($E540-SUM($G540:AG540),$F540))</f>
        <v>0</v>
      </c>
      <c r="AI540" s="424">
        <f>IF(OR(AI$510&lt;$C540,AI$510&lt;$H$2),0,MIN($E540-SUM($G540:AH540),$F540))</f>
        <v>0</v>
      </c>
      <c r="AJ540" s="424">
        <f>IF(OR(AJ$510&lt;$C540,AJ$510&lt;$H$2),0,MIN($E540-SUM($G540:AI540),$F540))</f>
        <v>0</v>
      </c>
      <c r="AK540" s="424">
        <f>IF(OR(AK$510&lt;$C540,AK$510&lt;$H$2),0,MIN($E540-SUM($G540:AJ540),$F540))</f>
        <v>0</v>
      </c>
    </row>
    <row r="541" spans="3:37">
      <c r="C541" s="201">
        <v>0</v>
      </c>
      <c r="D541" s="94" t="s">
        <v>134</v>
      </c>
      <c r="E541" s="424">
        <f t="shared" si="142"/>
        <v>0</v>
      </c>
      <c r="F541" s="209">
        <f t="shared" si="143"/>
        <v>0</v>
      </c>
      <c r="H541" s="424">
        <f>IF(OR(H$510&lt;$C541,H$510&lt;$H$2),0,MIN($E541-SUM($G541:G541),$F541))</f>
        <v>0</v>
      </c>
      <c r="I541" s="424">
        <f>IF(OR(I$510&lt;$C541,I$510&lt;$H$2),0,MIN($E541-SUM($G541:H541),$F541))</f>
        <v>0</v>
      </c>
      <c r="J541" s="424">
        <f>IF(OR(J$510&lt;$C541,J$510&lt;$H$2),0,MIN($E541-SUM($G541:I541),$F541))</f>
        <v>0</v>
      </c>
      <c r="K541" s="424">
        <f>IF(OR(K$510&lt;$C541,K$510&lt;$H$2),0,MIN($E541-SUM($G541:J541),$F541))</f>
        <v>0</v>
      </c>
      <c r="L541" s="424">
        <f>IF(OR(L$510&lt;$C541,L$510&lt;$H$2),0,MIN($E541-SUM($G541:K541),$F541))</f>
        <v>0</v>
      </c>
      <c r="M541" s="424">
        <f>IF(OR(M$510&lt;$C541,M$510&lt;$H$2),0,MIN($E541-SUM($G541:L541),$F541))</f>
        <v>0</v>
      </c>
      <c r="N541" s="424">
        <f>IF(OR(N$510&lt;$C541,N$510&lt;$H$2),0,MIN($E541-SUM($G541:M541),$F541))</f>
        <v>0</v>
      </c>
      <c r="O541" s="424">
        <f>IF(OR(O$510&lt;$C541,O$510&lt;$H$2),0,MIN($E541-SUM($G541:N541),$F541))</f>
        <v>0</v>
      </c>
      <c r="P541" s="424">
        <f>IF(OR(P$510&lt;$C541,P$510&lt;$H$2),0,MIN($E541-SUM($G541:O541),$F541))</f>
        <v>0</v>
      </c>
      <c r="Q541" s="424">
        <f>IF(OR(Q$510&lt;$C541,Q$510&lt;$H$2),0,MIN($E541-SUM($G541:P541),$F541))</f>
        <v>0</v>
      </c>
      <c r="R541" s="424">
        <f>IF(OR(R$510&lt;$C541,R$510&lt;$H$2),0,MIN($E541-SUM($G541:Q541),$F541))</f>
        <v>0</v>
      </c>
      <c r="S541" s="424">
        <f>IF(OR(S$510&lt;$C541,S$510&lt;$H$2),0,MIN($E541-SUM($G541:R541),$F541))</f>
        <v>0</v>
      </c>
      <c r="T541" s="424">
        <f>IF(OR(T$510&lt;$C541,T$510&lt;$H$2),0,MIN($E541-SUM($G541:S541),$F541))</f>
        <v>0</v>
      </c>
      <c r="U541" s="424">
        <f>IF(OR(U$510&lt;$C541,U$510&lt;$H$2),0,MIN($E541-SUM($G541:T541),$F541))</f>
        <v>0</v>
      </c>
      <c r="V541" s="424">
        <f>IF(OR(V$510&lt;$C541,V$510&lt;$H$2),0,MIN($E541-SUM($G541:U541),$F541))</f>
        <v>0</v>
      </c>
      <c r="W541" s="424">
        <f>IF(OR(W$510&lt;$C541,W$510&lt;$H$2),0,MIN($E541-SUM($G541:V541),$F541))</f>
        <v>0</v>
      </c>
      <c r="X541" s="424">
        <f>IF(OR(X$510&lt;$C541,X$510&lt;$H$2),0,MIN($E541-SUM($G541:W541),$F541))</f>
        <v>0</v>
      </c>
      <c r="Y541" s="424">
        <f>IF(OR(Y$510&lt;$C541,Y$510&lt;$H$2),0,MIN($E541-SUM($G541:X541),$F541))</f>
        <v>0</v>
      </c>
      <c r="Z541" s="424">
        <f>IF(OR(Z$510&lt;$C541,Z$510&lt;$H$2),0,MIN($E541-SUM($G541:Y541),$F541))</f>
        <v>0</v>
      </c>
      <c r="AA541" s="424">
        <f>IF(OR(AA$510&lt;$C541,AA$510&lt;$H$2),0,MIN($E541-SUM($G541:Z541),$F541))</f>
        <v>0</v>
      </c>
      <c r="AB541" s="424">
        <f>IF(OR(AB$510&lt;$C541,AB$510&lt;$H$2),0,MIN($E541-SUM($G541:AA541),$F541))</f>
        <v>0</v>
      </c>
      <c r="AC541" s="424">
        <f>IF(OR(AC$510&lt;$C541,AC$510&lt;$H$2),0,MIN($E541-SUM($G541:AB541),$F541))</f>
        <v>0</v>
      </c>
      <c r="AD541" s="424">
        <f>IF(OR(AD$510&lt;$C541,AD$510&lt;$H$2),0,MIN($E541-SUM($G541:AC541),$F541))</f>
        <v>0</v>
      </c>
      <c r="AE541" s="424">
        <f>IF(OR(AE$510&lt;$C541,AE$510&lt;$H$2),0,MIN($E541-SUM($G541:AD541),$F541))</f>
        <v>0</v>
      </c>
      <c r="AF541" s="424">
        <f>IF(OR(AF$510&lt;$C541,AF$510&lt;$H$2),0,MIN($E541-SUM($G541:AE541),$F541))</f>
        <v>0</v>
      </c>
      <c r="AG541" s="424">
        <f>IF(OR(AG$510&lt;$C541,AG$510&lt;$H$2),0,MIN($E541-SUM($G541:AF541),$F541))</f>
        <v>0</v>
      </c>
      <c r="AH541" s="424">
        <f>IF(OR(AH$510&lt;$C541,AH$510&lt;$H$2),0,MIN($E541-SUM($G541:AG541),$F541))</f>
        <v>0</v>
      </c>
      <c r="AI541" s="424">
        <f>IF(OR(AI$510&lt;$C541,AI$510&lt;$H$2),0,MIN($E541-SUM($G541:AH541),$F541))</f>
        <v>0</v>
      </c>
      <c r="AJ541" s="424">
        <f>IF(OR(AJ$510&lt;$C541,AJ$510&lt;$H$2),0,MIN($E541-SUM($G541:AI541),$F541))</f>
        <v>0</v>
      </c>
      <c r="AK541" s="424">
        <f>IF(OR(AK$510&lt;$C541,AK$510&lt;$H$2),0,MIN($E541-SUM($G541:AJ541),$F541))</f>
        <v>0</v>
      </c>
    </row>
    <row r="542" spans="3:37">
      <c r="C542" s="201">
        <v>0</v>
      </c>
      <c r="D542" s="94" t="s">
        <v>134</v>
      </c>
      <c r="E542" s="424">
        <f t="shared" si="142"/>
        <v>0</v>
      </c>
      <c r="F542" s="209">
        <f t="shared" si="143"/>
        <v>0</v>
      </c>
      <c r="H542" s="424">
        <f>IF(OR(H$510&lt;$C542,H$510&lt;$H$2),0,MIN($E542-SUM($G542:G542),$F542))</f>
        <v>0</v>
      </c>
      <c r="I542" s="424">
        <f>IF(OR(I$510&lt;$C542,I$510&lt;$H$2),0,MIN($E542-SUM($G542:H542),$F542))</f>
        <v>0</v>
      </c>
      <c r="J542" s="424">
        <f>IF(OR(J$510&lt;$C542,J$510&lt;$H$2),0,MIN($E542-SUM($G542:I542),$F542))</f>
        <v>0</v>
      </c>
      <c r="K542" s="424">
        <f>IF(OR(K$510&lt;$C542,K$510&lt;$H$2),0,MIN($E542-SUM($G542:J542),$F542))</f>
        <v>0</v>
      </c>
      <c r="L542" s="424">
        <f>IF(OR(L$510&lt;$C542,L$510&lt;$H$2),0,MIN($E542-SUM($G542:K542),$F542))</f>
        <v>0</v>
      </c>
      <c r="M542" s="424">
        <f>IF(OR(M$510&lt;$C542,M$510&lt;$H$2),0,MIN($E542-SUM($G542:L542),$F542))</f>
        <v>0</v>
      </c>
      <c r="N542" s="424">
        <f>IF(OR(N$510&lt;$C542,N$510&lt;$H$2),0,MIN($E542-SUM($G542:M542),$F542))</f>
        <v>0</v>
      </c>
      <c r="O542" s="424">
        <f>IF(OR(O$510&lt;$C542,O$510&lt;$H$2),0,MIN($E542-SUM($G542:N542),$F542))</f>
        <v>0</v>
      </c>
      <c r="P542" s="424">
        <f>IF(OR(P$510&lt;$C542,P$510&lt;$H$2),0,MIN($E542-SUM($G542:O542),$F542))</f>
        <v>0</v>
      </c>
      <c r="Q542" s="424">
        <f>IF(OR(Q$510&lt;$C542,Q$510&lt;$H$2),0,MIN($E542-SUM($G542:P542),$F542))</f>
        <v>0</v>
      </c>
      <c r="R542" s="424">
        <f>IF(OR(R$510&lt;$C542,R$510&lt;$H$2),0,MIN($E542-SUM($G542:Q542),$F542))</f>
        <v>0</v>
      </c>
      <c r="S542" s="424">
        <f>IF(OR(S$510&lt;$C542,S$510&lt;$H$2),0,MIN($E542-SUM($G542:R542),$F542))</f>
        <v>0</v>
      </c>
      <c r="T542" s="424">
        <f>IF(OR(T$510&lt;$C542,T$510&lt;$H$2),0,MIN($E542-SUM($G542:S542),$F542))</f>
        <v>0</v>
      </c>
      <c r="U542" s="424">
        <f>IF(OR(U$510&lt;$C542,U$510&lt;$H$2),0,MIN($E542-SUM($G542:T542),$F542))</f>
        <v>0</v>
      </c>
      <c r="V542" s="424">
        <f>IF(OR(V$510&lt;$C542,V$510&lt;$H$2),0,MIN($E542-SUM($G542:U542),$F542))</f>
        <v>0</v>
      </c>
      <c r="W542" s="424">
        <f>IF(OR(W$510&lt;$C542,W$510&lt;$H$2),0,MIN($E542-SUM($G542:V542),$F542))</f>
        <v>0</v>
      </c>
      <c r="X542" s="424">
        <f>IF(OR(X$510&lt;$C542,X$510&lt;$H$2),0,MIN($E542-SUM($G542:W542),$F542))</f>
        <v>0</v>
      </c>
      <c r="Y542" s="424">
        <f>IF(OR(Y$510&lt;$C542,Y$510&lt;$H$2),0,MIN($E542-SUM($G542:X542),$F542))</f>
        <v>0</v>
      </c>
      <c r="Z542" s="424">
        <f>IF(OR(Z$510&lt;$C542,Z$510&lt;$H$2),0,MIN($E542-SUM($G542:Y542),$F542))</f>
        <v>0</v>
      </c>
      <c r="AA542" s="424">
        <f>IF(OR(AA$510&lt;$C542,AA$510&lt;$H$2),0,MIN($E542-SUM($G542:Z542),$F542))</f>
        <v>0</v>
      </c>
      <c r="AB542" s="424">
        <f>IF(OR(AB$510&lt;$C542,AB$510&lt;$H$2),0,MIN($E542-SUM($G542:AA542),$F542))</f>
        <v>0</v>
      </c>
      <c r="AC542" s="424">
        <f>IF(OR(AC$510&lt;$C542,AC$510&lt;$H$2),0,MIN($E542-SUM($G542:AB542),$F542))</f>
        <v>0</v>
      </c>
      <c r="AD542" s="424">
        <f>IF(OR(AD$510&lt;$C542,AD$510&lt;$H$2),0,MIN($E542-SUM($G542:AC542),$F542))</f>
        <v>0</v>
      </c>
      <c r="AE542" s="424">
        <f>IF(OR(AE$510&lt;$C542,AE$510&lt;$H$2),0,MIN($E542-SUM($G542:AD542),$F542))</f>
        <v>0</v>
      </c>
      <c r="AF542" s="424">
        <f>IF(OR(AF$510&lt;$C542,AF$510&lt;$H$2),0,MIN($E542-SUM($G542:AE542),$F542))</f>
        <v>0</v>
      </c>
      <c r="AG542" s="424">
        <f>IF(OR(AG$510&lt;$C542,AG$510&lt;$H$2),0,MIN($E542-SUM($G542:AF542),$F542))</f>
        <v>0</v>
      </c>
      <c r="AH542" s="424">
        <f>IF(OR(AH$510&lt;$C542,AH$510&lt;$H$2),0,MIN($E542-SUM($G542:AG542),$F542))</f>
        <v>0</v>
      </c>
      <c r="AI542" s="424">
        <f>IF(OR(AI$510&lt;$C542,AI$510&lt;$H$2),0,MIN($E542-SUM($G542:AH542),$F542))</f>
        <v>0</v>
      </c>
      <c r="AJ542" s="424">
        <f>IF(OR(AJ$510&lt;$C542,AJ$510&lt;$H$2),0,MIN($E542-SUM($G542:AI542),$F542))</f>
        <v>0</v>
      </c>
      <c r="AK542" s="424">
        <f>IF(OR(AK$510&lt;$C542,AK$510&lt;$H$2),0,MIN($E542-SUM($G542:AJ542),$F542))</f>
        <v>0</v>
      </c>
    </row>
    <row r="543" spans="3:37" ht="14" thickBot="1">
      <c r="C543" s="240" t="s">
        <v>543</v>
      </c>
      <c r="D543" s="348" t="s">
        <v>134</v>
      </c>
      <c r="E543" s="427">
        <f>SUM(E513:E542)</f>
        <v>0</v>
      </c>
      <c r="F543" s="427">
        <f>SUM(F513:F542)</f>
        <v>0</v>
      </c>
      <c r="G543" s="348"/>
      <c r="H543" s="427">
        <f t="shared" ref="H543:AK543" si="144">SUM(H513:H542)</f>
        <v>0</v>
      </c>
      <c r="I543" s="427">
        <f t="shared" si="144"/>
        <v>0</v>
      </c>
      <c r="J543" s="427">
        <f t="shared" si="144"/>
        <v>0</v>
      </c>
      <c r="K543" s="427">
        <f t="shared" si="144"/>
        <v>0</v>
      </c>
      <c r="L543" s="427">
        <f t="shared" si="144"/>
        <v>0</v>
      </c>
      <c r="M543" s="427">
        <f t="shared" si="144"/>
        <v>0</v>
      </c>
      <c r="N543" s="427">
        <f t="shared" si="144"/>
        <v>0</v>
      </c>
      <c r="O543" s="427">
        <f t="shared" si="144"/>
        <v>0</v>
      </c>
      <c r="P543" s="427">
        <f t="shared" si="144"/>
        <v>0</v>
      </c>
      <c r="Q543" s="427">
        <f t="shared" si="144"/>
        <v>0</v>
      </c>
      <c r="R543" s="427">
        <f t="shared" si="144"/>
        <v>0</v>
      </c>
      <c r="S543" s="427">
        <f t="shared" si="144"/>
        <v>0</v>
      </c>
      <c r="T543" s="427">
        <f t="shared" si="144"/>
        <v>0</v>
      </c>
      <c r="U543" s="427">
        <f t="shared" si="144"/>
        <v>0</v>
      </c>
      <c r="V543" s="427">
        <f t="shared" si="144"/>
        <v>0</v>
      </c>
      <c r="W543" s="427">
        <f t="shared" si="144"/>
        <v>0</v>
      </c>
      <c r="X543" s="427">
        <f t="shared" si="144"/>
        <v>0</v>
      </c>
      <c r="Y543" s="427">
        <f t="shared" si="144"/>
        <v>0</v>
      </c>
      <c r="Z543" s="427">
        <f t="shared" si="144"/>
        <v>0</v>
      </c>
      <c r="AA543" s="427">
        <f t="shared" si="144"/>
        <v>0</v>
      </c>
      <c r="AB543" s="427">
        <f t="shared" si="144"/>
        <v>0</v>
      </c>
      <c r="AC543" s="427">
        <f t="shared" si="144"/>
        <v>0</v>
      </c>
      <c r="AD543" s="427">
        <f t="shared" si="144"/>
        <v>0</v>
      </c>
      <c r="AE543" s="427">
        <f t="shared" si="144"/>
        <v>0</v>
      </c>
      <c r="AF543" s="427">
        <f t="shared" si="144"/>
        <v>0</v>
      </c>
      <c r="AG543" s="427">
        <f t="shared" si="144"/>
        <v>0</v>
      </c>
      <c r="AH543" s="427">
        <f t="shared" si="144"/>
        <v>0</v>
      </c>
      <c r="AI543" s="427">
        <f t="shared" si="144"/>
        <v>0</v>
      </c>
      <c r="AJ543" s="427">
        <f t="shared" si="144"/>
        <v>0</v>
      </c>
      <c r="AK543" s="427">
        <f t="shared" si="144"/>
        <v>0</v>
      </c>
    </row>
    <row r="545" spans="3:37" ht="28">
      <c r="C545" s="428" t="s">
        <v>166</v>
      </c>
      <c r="D545" s="428" t="s">
        <v>88</v>
      </c>
      <c r="E545" s="428" t="s">
        <v>555</v>
      </c>
      <c r="F545" s="429" t="s">
        <v>556</v>
      </c>
      <c r="G545" s="430"/>
      <c r="H545" s="201">
        <f t="shared" ref="H545:AK546" si="145">H510</f>
        <v>46023</v>
      </c>
      <c r="I545" s="201">
        <f t="shared" si="145"/>
        <v>46389</v>
      </c>
      <c r="J545" s="201">
        <f t="shared" si="145"/>
        <v>46755</v>
      </c>
      <c r="K545" s="201">
        <f t="shared" si="145"/>
        <v>47121</v>
      </c>
      <c r="L545" s="201">
        <f t="shared" si="145"/>
        <v>47487</v>
      </c>
      <c r="M545" s="201">
        <f t="shared" si="145"/>
        <v>47853</v>
      </c>
      <c r="N545" s="201">
        <f t="shared" si="145"/>
        <v>48219</v>
      </c>
      <c r="O545" s="201">
        <f t="shared" si="145"/>
        <v>48585</v>
      </c>
      <c r="P545" s="201">
        <f t="shared" si="145"/>
        <v>48951</v>
      </c>
      <c r="Q545" s="201">
        <f t="shared" si="145"/>
        <v>49317</v>
      </c>
      <c r="R545" s="201">
        <f t="shared" si="145"/>
        <v>49683</v>
      </c>
      <c r="S545" s="201">
        <f t="shared" si="145"/>
        <v>50049</v>
      </c>
      <c r="T545" s="201">
        <f t="shared" si="145"/>
        <v>50415</v>
      </c>
      <c r="U545" s="201">
        <f t="shared" si="145"/>
        <v>50781</v>
      </c>
      <c r="V545" s="201">
        <f t="shared" si="145"/>
        <v>51147</v>
      </c>
      <c r="W545" s="201">
        <f t="shared" si="145"/>
        <v>51513</v>
      </c>
      <c r="X545" s="201">
        <f t="shared" si="145"/>
        <v>51879</v>
      </c>
      <c r="Y545" s="201">
        <f t="shared" si="145"/>
        <v>52245</v>
      </c>
      <c r="Z545" s="201">
        <f t="shared" si="145"/>
        <v>52611</v>
      </c>
      <c r="AA545" s="201">
        <f t="shared" si="145"/>
        <v>52977</v>
      </c>
      <c r="AB545" s="201">
        <f t="shared" si="145"/>
        <v>53343</v>
      </c>
      <c r="AC545" s="201">
        <f t="shared" si="145"/>
        <v>53709</v>
      </c>
      <c r="AD545" s="201">
        <f t="shared" si="145"/>
        <v>54075</v>
      </c>
      <c r="AE545" s="201">
        <f t="shared" si="145"/>
        <v>0</v>
      </c>
      <c r="AF545" s="201">
        <f t="shared" si="145"/>
        <v>0</v>
      </c>
      <c r="AG545" s="201">
        <f t="shared" si="145"/>
        <v>0</v>
      </c>
      <c r="AH545" s="201">
        <f t="shared" si="145"/>
        <v>0</v>
      </c>
      <c r="AI545" s="201">
        <f t="shared" si="145"/>
        <v>0</v>
      </c>
      <c r="AJ545" s="201">
        <f t="shared" si="145"/>
        <v>0</v>
      </c>
      <c r="AK545" s="201">
        <f t="shared" si="145"/>
        <v>0</v>
      </c>
    </row>
    <row r="546" spans="3:37">
      <c r="C546" s="430"/>
      <c r="D546" s="430"/>
      <c r="E546" s="428" t="s">
        <v>134</v>
      </c>
      <c r="F546" s="428" t="s">
        <v>134</v>
      </c>
      <c r="G546" s="430"/>
      <c r="H546" s="1141">
        <f t="shared" si="145"/>
        <v>-4</v>
      </c>
      <c r="I546" s="1141">
        <f t="shared" si="145"/>
        <v>-3</v>
      </c>
      <c r="J546" s="1141">
        <f t="shared" si="145"/>
        <v>-2</v>
      </c>
      <c r="K546" s="1141">
        <f t="shared" si="145"/>
        <v>-1</v>
      </c>
      <c r="L546" s="1141">
        <f t="shared" si="145"/>
        <v>1</v>
      </c>
      <c r="M546" s="1141">
        <f t="shared" si="145"/>
        <v>2</v>
      </c>
      <c r="N546" s="1141">
        <f t="shared" si="145"/>
        <v>3</v>
      </c>
      <c r="O546" s="1141">
        <f t="shared" si="145"/>
        <v>4</v>
      </c>
      <c r="P546" s="1141">
        <f t="shared" si="145"/>
        <v>5</v>
      </c>
      <c r="Q546" s="1141">
        <f t="shared" si="145"/>
        <v>6</v>
      </c>
      <c r="R546" s="1141">
        <f t="shared" si="145"/>
        <v>7</v>
      </c>
      <c r="S546" s="1141">
        <f t="shared" si="145"/>
        <v>8</v>
      </c>
      <c r="T546" s="1141">
        <f t="shared" si="145"/>
        <v>9</v>
      </c>
      <c r="U546" s="1141">
        <f t="shared" si="145"/>
        <v>10</v>
      </c>
      <c r="V546" s="1141">
        <f t="shared" si="145"/>
        <v>11</v>
      </c>
      <c r="W546" s="1141">
        <f t="shared" si="145"/>
        <v>12</v>
      </c>
      <c r="X546" s="1141">
        <f t="shared" si="145"/>
        <v>13</v>
      </c>
      <c r="Y546" s="1141">
        <f t="shared" si="145"/>
        <v>14</v>
      </c>
      <c r="Z546" s="1141">
        <f t="shared" si="145"/>
        <v>15</v>
      </c>
      <c r="AA546" s="1141">
        <f t="shared" si="145"/>
        <v>16</v>
      </c>
      <c r="AB546" s="1141">
        <f t="shared" si="145"/>
        <v>17</v>
      </c>
      <c r="AC546" s="1141">
        <f t="shared" si="145"/>
        <v>18</v>
      </c>
      <c r="AD546" s="1141">
        <f t="shared" si="145"/>
        <v>19</v>
      </c>
      <c r="AE546" s="1141">
        <f t="shared" si="145"/>
        <v>0</v>
      </c>
      <c r="AF546" s="1141">
        <f t="shared" si="145"/>
        <v>0</v>
      </c>
      <c r="AG546" s="1141">
        <f t="shared" si="145"/>
        <v>0</v>
      </c>
      <c r="AH546" s="1141">
        <f t="shared" si="145"/>
        <v>0</v>
      </c>
      <c r="AI546" s="1141">
        <f t="shared" si="145"/>
        <v>0</v>
      </c>
      <c r="AJ546" s="1141">
        <f t="shared" si="145"/>
        <v>0</v>
      </c>
      <c r="AK546" s="1141">
        <f t="shared" si="145"/>
        <v>0</v>
      </c>
    </row>
    <row r="547" spans="3:37">
      <c r="C547" s="191" t="str">
        <f>C101</f>
        <v>Digitalisation</v>
      </c>
    </row>
    <row r="548" spans="3:37">
      <c r="C548" s="201" cm="1">
        <f t="array" ref="C548:C577">TRANSPOSE(H545:AK545)</f>
        <v>46023</v>
      </c>
      <c r="D548" s="94" t="s">
        <v>134</v>
      </c>
      <c r="E548" s="424">
        <f>HLOOKUP($C548,$H$39:$AP$112,65,FALSE)</f>
        <v>0</v>
      </c>
      <c r="F548" s="209">
        <f>E548*$F$101</f>
        <v>0</v>
      </c>
      <c r="H548" s="424">
        <f>IF(OR(H$545&lt;$C548,H$545&lt;$H$2),0,MIN($E548-SUM($G548:G548),$F548))</f>
        <v>0</v>
      </c>
      <c r="I548" s="424">
        <f>IF(OR(I$545&lt;$C548,I$545&lt;$H$2),0,MIN($E548-SUM($G548:H548),$F548))</f>
        <v>0</v>
      </c>
      <c r="J548" s="424">
        <f>IF(OR(J$545&lt;$C548,J$545&lt;$H$2),0,MIN($E548-SUM($G548:I548),$F548))</f>
        <v>0</v>
      </c>
      <c r="K548" s="424">
        <f>IF(OR(K$545&lt;$C548,K$545&lt;$H$2),0,MIN($E548-SUM($G548:J548),$F548))</f>
        <v>0</v>
      </c>
      <c r="L548" s="424">
        <f>IF(OR(L$545&lt;$C548,L$545&lt;$H$2),0,MIN($E548-SUM($G548:K548),$F548))</f>
        <v>0</v>
      </c>
      <c r="M548" s="424">
        <f>IF(OR(M$545&lt;$C548,M$545&lt;$H$2),0,MIN($E548-SUM($G548:L548),$F548))</f>
        <v>0</v>
      </c>
      <c r="N548" s="424">
        <f>IF(OR(N$545&lt;$C548,N$545&lt;$H$2),0,MIN($E548-SUM($G548:M548),$F548))</f>
        <v>0</v>
      </c>
      <c r="O548" s="424">
        <f>IF(OR(O$545&lt;$C548,O$545&lt;$H$2),0,MIN($E548-SUM($G548:N548),$F548))</f>
        <v>0</v>
      </c>
      <c r="P548" s="424">
        <f>IF(OR(P$545&lt;$C548,P$545&lt;$H$2),0,MIN($E548-SUM($G548:O548),$F548))</f>
        <v>0</v>
      </c>
      <c r="Q548" s="424">
        <f>IF(OR(Q$545&lt;$C548,Q$545&lt;$H$2),0,MIN($E548-SUM($G548:P548),$F548))</f>
        <v>0</v>
      </c>
      <c r="R548" s="424">
        <f>IF(OR(R$545&lt;$C548,R$545&lt;$H$2),0,MIN($E548-SUM($G548:Q548),$F548))</f>
        <v>0</v>
      </c>
      <c r="S548" s="424">
        <f>IF(OR(S$545&lt;$C548,S$545&lt;$H$2),0,MIN($E548-SUM($G548:R548),$F548))</f>
        <v>0</v>
      </c>
      <c r="T548" s="424">
        <f>IF(OR(T$545&lt;$C548,T$545&lt;$H$2),0,MIN($E548-SUM($G548:S548),$F548))</f>
        <v>0</v>
      </c>
      <c r="U548" s="424">
        <f>IF(OR(U$545&lt;$C548,U$545&lt;$H$2),0,MIN($E548-SUM($G548:T548),$F548))</f>
        <v>0</v>
      </c>
      <c r="V548" s="424">
        <f>IF(OR(V$545&lt;$C548,V$545&lt;$H$2),0,MIN($E548-SUM($G548:U548),$F548))</f>
        <v>0</v>
      </c>
      <c r="W548" s="424">
        <f>IF(OR(W$545&lt;$C548,W$545&lt;$H$2),0,MIN($E548-SUM($G548:V548),$F548))</f>
        <v>0</v>
      </c>
      <c r="X548" s="424">
        <f>IF(OR(X$545&lt;$C548,X$545&lt;$H$2),0,MIN($E548-SUM($G548:W548),$F548))</f>
        <v>0</v>
      </c>
      <c r="Y548" s="424">
        <f>IF(OR(Y$545&lt;$C548,Y$545&lt;$H$2),0,MIN($E548-SUM($G548:X548),$F548))</f>
        <v>0</v>
      </c>
      <c r="Z548" s="424">
        <f>IF(OR(Z$545&lt;$C548,Z$545&lt;$H$2),0,MIN($E548-SUM($G548:Y548),$F548))</f>
        <v>0</v>
      </c>
      <c r="AA548" s="424">
        <f>IF(OR(AA$545&lt;$C548,AA$545&lt;$H$2),0,MIN($E548-SUM($G548:Z548),$F548))</f>
        <v>0</v>
      </c>
      <c r="AB548" s="424">
        <f>IF(OR(AB$545&lt;$C548,AB$545&lt;$H$2),0,MIN($E548-SUM($G548:AA548),$F548))</f>
        <v>0</v>
      </c>
      <c r="AC548" s="424">
        <f>IF(OR(AC$545&lt;$C548,AC$545&lt;$H$2),0,MIN($E548-SUM($G548:AB548),$F548))</f>
        <v>0</v>
      </c>
      <c r="AD548" s="424">
        <f>IF(OR(AD$545&lt;$C548,AD$545&lt;$H$2),0,MIN($E548-SUM($G548:AC548),$F548))</f>
        <v>0</v>
      </c>
      <c r="AE548" s="424">
        <f>IF(OR(AE$545&lt;$C548,AE$545&lt;$H$2),0,MIN($E548-SUM($G548:AD548),$F548))</f>
        <v>0</v>
      </c>
      <c r="AF548" s="424">
        <f>IF(OR(AF$545&lt;$C548,AF$545&lt;$H$2),0,MIN($E548-SUM($G548:AE548),$F548))</f>
        <v>0</v>
      </c>
      <c r="AG548" s="424">
        <f>IF(OR(AG$545&lt;$C548,AG$545&lt;$H$2),0,MIN($E548-SUM($G548:AF548),$F548))</f>
        <v>0</v>
      </c>
      <c r="AH548" s="424">
        <f>IF(OR(AH$545&lt;$C548,AH$545&lt;$H$2),0,MIN($E548-SUM($G548:AG548),$F548))</f>
        <v>0</v>
      </c>
      <c r="AI548" s="424">
        <f>IF(OR(AI$545&lt;$C548,AI$545&lt;$H$2),0,MIN($E548-SUM($G548:AH548),$F548))</f>
        <v>0</v>
      </c>
      <c r="AJ548" s="424">
        <f>IF(OR(AJ$545&lt;$C548,AJ$545&lt;$H$2),0,MIN($E548-SUM($G548:AI548),$F548))</f>
        <v>0</v>
      </c>
      <c r="AK548" s="424">
        <f>IF(OR(AK$545&lt;$C548,AK$545&lt;$H$2),0,MIN($E548-SUM($G548:AJ548),$F548))</f>
        <v>0</v>
      </c>
    </row>
    <row r="549" spans="3:37">
      <c r="C549" s="201">
        <v>46389</v>
      </c>
      <c r="D549" s="94" t="s">
        <v>134</v>
      </c>
      <c r="E549" s="424">
        <f t="shared" ref="E549:E577" si="146">HLOOKUP($C549,$H$39:$AP$112,65,FALSE)</f>
        <v>0</v>
      </c>
      <c r="F549" s="209">
        <f t="shared" ref="F549:F577" si="147">E549*$F$101</f>
        <v>0</v>
      </c>
      <c r="H549" s="424">
        <f>IF(OR(H$545&lt;$C549,H$545&lt;$H$2),0,MIN($E549-SUM($G549:G549),$F549))</f>
        <v>0</v>
      </c>
      <c r="I549" s="424">
        <f>IF(OR(I$545&lt;$C549,I$545&lt;$H$2),0,MIN($E549-SUM($G549:H549),$F549))</f>
        <v>0</v>
      </c>
      <c r="J549" s="424">
        <f>IF(OR(J$545&lt;$C549,J$545&lt;$H$2),0,MIN($E549-SUM($G549:I549),$F549))</f>
        <v>0</v>
      </c>
      <c r="K549" s="424">
        <f>IF(OR(K$545&lt;$C549,K$545&lt;$H$2),0,MIN($E549-SUM($G549:J549),$F549))</f>
        <v>0</v>
      </c>
      <c r="L549" s="424">
        <f>IF(OR(L$545&lt;$C549,L$545&lt;$H$2),0,MIN($E549-SUM($G549:K549),$F549))</f>
        <v>0</v>
      </c>
      <c r="M549" s="424">
        <f>IF(OR(M$545&lt;$C549,M$545&lt;$H$2),0,MIN($E549-SUM($G549:L549),$F549))</f>
        <v>0</v>
      </c>
      <c r="N549" s="424">
        <f>IF(OR(N$545&lt;$C549,N$545&lt;$H$2),0,MIN($E549-SUM($G549:M549),$F549))</f>
        <v>0</v>
      </c>
      <c r="O549" s="424">
        <f>IF(OR(O$545&lt;$C549,O$545&lt;$H$2),0,MIN($E549-SUM($G549:N549),$F549))</f>
        <v>0</v>
      </c>
      <c r="P549" s="424">
        <f>IF(OR(P$545&lt;$C549,P$545&lt;$H$2),0,MIN($E549-SUM($G549:O549),$F549))</f>
        <v>0</v>
      </c>
      <c r="Q549" s="424">
        <f>IF(OR(Q$545&lt;$C549,Q$545&lt;$H$2),0,MIN($E549-SUM($G549:P549),$F549))</f>
        <v>0</v>
      </c>
      <c r="R549" s="424">
        <f>IF(OR(R$545&lt;$C549,R$545&lt;$H$2),0,MIN($E549-SUM($G549:Q549),$F549))</f>
        <v>0</v>
      </c>
      <c r="S549" s="424">
        <f>IF(OR(S$545&lt;$C549,S$545&lt;$H$2),0,MIN($E549-SUM($G549:R549),$F549))</f>
        <v>0</v>
      </c>
      <c r="T549" s="424">
        <f>IF(OR(T$545&lt;$C549,T$545&lt;$H$2),0,MIN($E549-SUM($G549:S549),$F549))</f>
        <v>0</v>
      </c>
      <c r="U549" s="424">
        <f>IF(OR(U$545&lt;$C549,U$545&lt;$H$2),0,MIN($E549-SUM($G549:T549),$F549))</f>
        <v>0</v>
      </c>
      <c r="V549" s="424">
        <f>IF(OR(V$545&lt;$C549,V$545&lt;$H$2),0,MIN($E549-SUM($G549:U549),$F549))</f>
        <v>0</v>
      </c>
      <c r="W549" s="424">
        <f>IF(OR(W$545&lt;$C549,W$545&lt;$H$2),0,MIN($E549-SUM($G549:V549),$F549))</f>
        <v>0</v>
      </c>
      <c r="X549" s="424">
        <f>IF(OR(X$545&lt;$C549,X$545&lt;$H$2),0,MIN($E549-SUM($G549:W549),$F549))</f>
        <v>0</v>
      </c>
      <c r="Y549" s="424">
        <f>IF(OR(Y$545&lt;$C549,Y$545&lt;$H$2),0,MIN($E549-SUM($G549:X549),$F549))</f>
        <v>0</v>
      </c>
      <c r="Z549" s="424">
        <f>IF(OR(Z$545&lt;$C549,Z$545&lt;$H$2),0,MIN($E549-SUM($G549:Y549),$F549))</f>
        <v>0</v>
      </c>
      <c r="AA549" s="424">
        <f>IF(OR(AA$545&lt;$C549,AA$545&lt;$H$2),0,MIN($E549-SUM($G549:Z549),$F549))</f>
        <v>0</v>
      </c>
      <c r="AB549" s="424">
        <f>IF(OR(AB$545&lt;$C549,AB$545&lt;$H$2),0,MIN($E549-SUM($G549:AA549),$F549))</f>
        <v>0</v>
      </c>
      <c r="AC549" s="424">
        <f>IF(OR(AC$545&lt;$C549,AC$545&lt;$H$2),0,MIN($E549-SUM($G549:AB549),$F549))</f>
        <v>0</v>
      </c>
      <c r="AD549" s="424">
        <f>IF(OR(AD$545&lt;$C549,AD$545&lt;$H$2),0,MIN($E549-SUM($G549:AC549),$F549))</f>
        <v>0</v>
      </c>
      <c r="AE549" s="424">
        <f>IF(OR(AE$545&lt;$C549,AE$545&lt;$H$2),0,MIN($E549-SUM($G549:AD549),$F549))</f>
        <v>0</v>
      </c>
      <c r="AF549" s="424">
        <f>IF(OR(AF$545&lt;$C549,AF$545&lt;$H$2),0,MIN($E549-SUM($G549:AE549),$F549))</f>
        <v>0</v>
      </c>
      <c r="AG549" s="424">
        <f>IF(OR(AG$545&lt;$C549,AG$545&lt;$H$2),0,MIN($E549-SUM($G549:AF549),$F549))</f>
        <v>0</v>
      </c>
      <c r="AH549" s="424">
        <f>IF(OR(AH$545&lt;$C549,AH$545&lt;$H$2),0,MIN($E549-SUM($G549:AG549),$F549))</f>
        <v>0</v>
      </c>
      <c r="AI549" s="424">
        <f>IF(OR(AI$545&lt;$C549,AI$545&lt;$H$2),0,MIN($E549-SUM($G549:AH549),$F549))</f>
        <v>0</v>
      </c>
      <c r="AJ549" s="424">
        <f>IF(OR(AJ$545&lt;$C549,AJ$545&lt;$H$2),0,MIN($E549-SUM($G549:AI549),$F549))</f>
        <v>0</v>
      </c>
      <c r="AK549" s="424">
        <f>IF(OR(AK$545&lt;$C549,AK$545&lt;$H$2),0,MIN($E549-SUM($G549:AJ549),$F549))</f>
        <v>0</v>
      </c>
    </row>
    <row r="550" spans="3:37">
      <c r="C550" s="201">
        <v>46755</v>
      </c>
      <c r="D550" s="94" t="s">
        <v>134</v>
      </c>
      <c r="E550" s="424">
        <f t="shared" si="146"/>
        <v>0</v>
      </c>
      <c r="F550" s="209">
        <f t="shared" si="147"/>
        <v>0</v>
      </c>
      <c r="H550" s="424">
        <f>IF(OR(H$545&lt;$C550,H$545&lt;$H$2),0,MIN($E550-SUM($G550:G550),$F550))</f>
        <v>0</v>
      </c>
      <c r="I550" s="424">
        <f>IF(OR(I$545&lt;$C550,I$545&lt;$H$2),0,MIN($E550-SUM($G550:H550),$F550))</f>
        <v>0</v>
      </c>
      <c r="J550" s="424">
        <f>IF(OR(J$545&lt;$C550,J$545&lt;$H$2),0,MIN($E550-SUM($G550:I550),$F550))</f>
        <v>0</v>
      </c>
      <c r="K550" s="424">
        <f>IF(OR(K$545&lt;$C550,K$545&lt;$H$2),0,MIN($E550-SUM($G550:J550),$F550))</f>
        <v>0</v>
      </c>
      <c r="L550" s="424">
        <f>IF(OR(L$545&lt;$C550,L$545&lt;$H$2),0,MIN($E550-SUM($G550:K550),$F550))</f>
        <v>0</v>
      </c>
      <c r="M550" s="424">
        <f>IF(OR(M$545&lt;$C550,M$545&lt;$H$2),0,MIN($E550-SUM($G550:L550),$F550))</f>
        <v>0</v>
      </c>
      <c r="N550" s="424">
        <f>IF(OR(N$545&lt;$C550,N$545&lt;$H$2),0,MIN($E550-SUM($G550:M550),$F550))</f>
        <v>0</v>
      </c>
      <c r="O550" s="424">
        <f>IF(OR(O$545&lt;$C550,O$545&lt;$H$2),0,MIN($E550-SUM($G550:N550),$F550))</f>
        <v>0</v>
      </c>
      <c r="P550" s="424">
        <f>IF(OR(P$545&lt;$C550,P$545&lt;$H$2),0,MIN($E550-SUM($G550:O550),$F550))</f>
        <v>0</v>
      </c>
      <c r="Q550" s="424">
        <f>IF(OR(Q$545&lt;$C550,Q$545&lt;$H$2),0,MIN($E550-SUM($G550:P550),$F550))</f>
        <v>0</v>
      </c>
      <c r="R550" s="424">
        <f>IF(OR(R$545&lt;$C550,R$545&lt;$H$2),0,MIN($E550-SUM($G550:Q550),$F550))</f>
        <v>0</v>
      </c>
      <c r="S550" s="424">
        <f>IF(OR(S$545&lt;$C550,S$545&lt;$H$2),0,MIN($E550-SUM($G550:R550),$F550))</f>
        <v>0</v>
      </c>
      <c r="T550" s="424">
        <f>IF(OR(T$545&lt;$C550,T$545&lt;$H$2),0,MIN($E550-SUM($G550:S550),$F550))</f>
        <v>0</v>
      </c>
      <c r="U550" s="424">
        <f>IF(OR(U$545&lt;$C550,U$545&lt;$H$2),0,MIN($E550-SUM($G550:T550),$F550))</f>
        <v>0</v>
      </c>
      <c r="V550" s="424">
        <f>IF(OR(V$545&lt;$C550,V$545&lt;$H$2),0,MIN($E550-SUM($G550:U550),$F550))</f>
        <v>0</v>
      </c>
      <c r="W550" s="424">
        <f>IF(OR(W$545&lt;$C550,W$545&lt;$H$2),0,MIN($E550-SUM($G550:V550),$F550))</f>
        <v>0</v>
      </c>
      <c r="X550" s="424">
        <f>IF(OR(X$545&lt;$C550,X$545&lt;$H$2),0,MIN($E550-SUM($G550:W550),$F550))</f>
        <v>0</v>
      </c>
      <c r="Y550" s="424">
        <f>IF(OR(Y$545&lt;$C550,Y$545&lt;$H$2),0,MIN($E550-SUM($G550:X550),$F550))</f>
        <v>0</v>
      </c>
      <c r="Z550" s="424">
        <f>IF(OR(Z$545&lt;$C550,Z$545&lt;$H$2),0,MIN($E550-SUM($G550:Y550),$F550))</f>
        <v>0</v>
      </c>
      <c r="AA550" s="424">
        <f>IF(OR(AA$545&lt;$C550,AA$545&lt;$H$2),0,MIN($E550-SUM($G550:Z550),$F550))</f>
        <v>0</v>
      </c>
      <c r="AB550" s="424">
        <f>IF(OR(AB$545&lt;$C550,AB$545&lt;$H$2),0,MIN($E550-SUM($G550:AA550),$F550))</f>
        <v>0</v>
      </c>
      <c r="AC550" s="424">
        <f>IF(OR(AC$545&lt;$C550,AC$545&lt;$H$2),0,MIN($E550-SUM($G550:AB550),$F550))</f>
        <v>0</v>
      </c>
      <c r="AD550" s="424">
        <f>IF(OR(AD$545&lt;$C550,AD$545&lt;$H$2),0,MIN($E550-SUM($G550:AC550),$F550))</f>
        <v>0</v>
      </c>
      <c r="AE550" s="424">
        <f>IF(OR(AE$545&lt;$C550,AE$545&lt;$H$2),0,MIN($E550-SUM($G550:AD550),$F550))</f>
        <v>0</v>
      </c>
      <c r="AF550" s="424">
        <f>IF(OR(AF$545&lt;$C550,AF$545&lt;$H$2),0,MIN($E550-SUM($G550:AE550),$F550))</f>
        <v>0</v>
      </c>
      <c r="AG550" s="424">
        <f>IF(OR(AG$545&lt;$C550,AG$545&lt;$H$2),0,MIN($E550-SUM($G550:AF550),$F550))</f>
        <v>0</v>
      </c>
      <c r="AH550" s="424">
        <f>IF(OR(AH$545&lt;$C550,AH$545&lt;$H$2),0,MIN($E550-SUM($G550:AG550),$F550))</f>
        <v>0</v>
      </c>
      <c r="AI550" s="424">
        <f>IF(OR(AI$545&lt;$C550,AI$545&lt;$H$2),0,MIN($E550-SUM($G550:AH550),$F550))</f>
        <v>0</v>
      </c>
      <c r="AJ550" s="424">
        <f>IF(OR(AJ$545&lt;$C550,AJ$545&lt;$H$2),0,MIN($E550-SUM($G550:AI550),$F550))</f>
        <v>0</v>
      </c>
      <c r="AK550" s="424">
        <f>IF(OR(AK$545&lt;$C550,AK$545&lt;$H$2),0,MIN($E550-SUM($G550:AJ550),$F550))</f>
        <v>0</v>
      </c>
    </row>
    <row r="551" spans="3:37">
      <c r="C551" s="201">
        <v>47121</v>
      </c>
      <c r="D551" s="94" t="s">
        <v>134</v>
      </c>
      <c r="E551" s="424">
        <f t="shared" si="146"/>
        <v>0</v>
      </c>
      <c r="F551" s="209">
        <f t="shared" si="147"/>
        <v>0</v>
      </c>
      <c r="H551" s="424">
        <f>IF(OR(H$545&lt;$C551,H$545&lt;$H$2),0,MIN($E551-SUM($G551:G551),$F551))</f>
        <v>0</v>
      </c>
      <c r="I551" s="424">
        <f>IF(OR(I$545&lt;$C551,I$545&lt;$H$2),0,MIN($E551-SUM($G551:H551),$F551))</f>
        <v>0</v>
      </c>
      <c r="J551" s="424">
        <f>IF(OR(J$545&lt;$C551,J$545&lt;$H$2),0,MIN($E551-SUM($G551:I551),$F551))</f>
        <v>0</v>
      </c>
      <c r="K551" s="424">
        <f>IF(OR(K$545&lt;$C551,K$545&lt;$H$2),0,MIN($E551-SUM($G551:J551),$F551))</f>
        <v>0</v>
      </c>
      <c r="L551" s="424">
        <f>IF(OR(L$545&lt;$C551,L$545&lt;$H$2),0,MIN($E551-SUM($G551:K551),$F551))</f>
        <v>0</v>
      </c>
      <c r="M551" s="424">
        <f>IF(OR(M$545&lt;$C551,M$545&lt;$H$2),0,MIN($E551-SUM($G551:L551),$F551))</f>
        <v>0</v>
      </c>
      <c r="N551" s="424">
        <f>IF(OR(N$545&lt;$C551,N$545&lt;$H$2),0,MIN($E551-SUM($G551:M551),$F551))</f>
        <v>0</v>
      </c>
      <c r="O551" s="424">
        <f>IF(OR(O$545&lt;$C551,O$545&lt;$H$2),0,MIN($E551-SUM($G551:N551),$F551))</f>
        <v>0</v>
      </c>
      <c r="P551" s="424">
        <f>IF(OR(P$545&lt;$C551,P$545&lt;$H$2),0,MIN($E551-SUM($G551:O551),$F551))</f>
        <v>0</v>
      </c>
      <c r="Q551" s="424">
        <f>IF(OR(Q$545&lt;$C551,Q$545&lt;$H$2),0,MIN($E551-SUM($G551:P551),$F551))</f>
        <v>0</v>
      </c>
      <c r="R551" s="424">
        <f>IF(OR(R$545&lt;$C551,R$545&lt;$H$2),0,MIN($E551-SUM($G551:Q551),$F551))</f>
        <v>0</v>
      </c>
      <c r="S551" s="424">
        <f>IF(OR(S$545&lt;$C551,S$545&lt;$H$2),0,MIN($E551-SUM($G551:R551),$F551))</f>
        <v>0</v>
      </c>
      <c r="T551" s="424">
        <f>IF(OR(T$545&lt;$C551,T$545&lt;$H$2),0,MIN($E551-SUM($G551:S551),$F551))</f>
        <v>0</v>
      </c>
      <c r="U551" s="424">
        <f>IF(OR(U$545&lt;$C551,U$545&lt;$H$2),0,MIN($E551-SUM($G551:T551),$F551))</f>
        <v>0</v>
      </c>
      <c r="V551" s="424">
        <f>IF(OR(V$545&lt;$C551,V$545&lt;$H$2),0,MIN($E551-SUM($G551:U551),$F551))</f>
        <v>0</v>
      </c>
      <c r="W551" s="424">
        <f>IF(OR(W$545&lt;$C551,W$545&lt;$H$2),0,MIN($E551-SUM($G551:V551),$F551))</f>
        <v>0</v>
      </c>
      <c r="X551" s="424">
        <f>IF(OR(X$545&lt;$C551,X$545&lt;$H$2),0,MIN($E551-SUM($G551:W551),$F551))</f>
        <v>0</v>
      </c>
      <c r="Y551" s="424">
        <f>IF(OR(Y$545&lt;$C551,Y$545&lt;$H$2),0,MIN($E551-SUM($G551:X551),$F551))</f>
        <v>0</v>
      </c>
      <c r="Z551" s="424">
        <f>IF(OR(Z$545&lt;$C551,Z$545&lt;$H$2),0,MIN($E551-SUM($G551:Y551),$F551))</f>
        <v>0</v>
      </c>
      <c r="AA551" s="424">
        <f>IF(OR(AA$545&lt;$C551,AA$545&lt;$H$2),0,MIN($E551-SUM($G551:Z551),$F551))</f>
        <v>0</v>
      </c>
      <c r="AB551" s="424">
        <f>IF(OR(AB$545&lt;$C551,AB$545&lt;$H$2),0,MIN($E551-SUM($G551:AA551),$F551))</f>
        <v>0</v>
      </c>
      <c r="AC551" s="424">
        <f>IF(OR(AC$545&lt;$C551,AC$545&lt;$H$2),0,MIN($E551-SUM($G551:AB551),$F551))</f>
        <v>0</v>
      </c>
      <c r="AD551" s="424">
        <f>IF(OR(AD$545&lt;$C551,AD$545&lt;$H$2),0,MIN($E551-SUM($G551:AC551),$F551))</f>
        <v>0</v>
      </c>
      <c r="AE551" s="424">
        <f>IF(OR(AE$545&lt;$C551,AE$545&lt;$H$2),0,MIN($E551-SUM($G551:AD551),$F551))</f>
        <v>0</v>
      </c>
      <c r="AF551" s="424">
        <f>IF(OR(AF$545&lt;$C551,AF$545&lt;$H$2),0,MIN($E551-SUM($G551:AE551),$F551))</f>
        <v>0</v>
      </c>
      <c r="AG551" s="424">
        <f>IF(OR(AG$545&lt;$C551,AG$545&lt;$H$2),0,MIN($E551-SUM($G551:AF551),$F551))</f>
        <v>0</v>
      </c>
      <c r="AH551" s="424">
        <f>IF(OR(AH$545&lt;$C551,AH$545&lt;$H$2),0,MIN($E551-SUM($G551:AG551),$F551))</f>
        <v>0</v>
      </c>
      <c r="AI551" s="424">
        <f>IF(OR(AI$545&lt;$C551,AI$545&lt;$H$2),0,MIN($E551-SUM($G551:AH551),$F551))</f>
        <v>0</v>
      </c>
      <c r="AJ551" s="424">
        <f>IF(OR(AJ$545&lt;$C551,AJ$545&lt;$H$2),0,MIN($E551-SUM($G551:AI551),$F551))</f>
        <v>0</v>
      </c>
      <c r="AK551" s="424">
        <f>IF(OR(AK$545&lt;$C551,AK$545&lt;$H$2),0,MIN($E551-SUM($G551:AJ551),$F551))</f>
        <v>0</v>
      </c>
    </row>
    <row r="552" spans="3:37">
      <c r="C552" s="201">
        <v>47487</v>
      </c>
      <c r="D552" s="94" t="s">
        <v>134</v>
      </c>
      <c r="E552" s="424">
        <f t="shared" si="146"/>
        <v>0</v>
      </c>
      <c r="F552" s="209">
        <f t="shared" si="147"/>
        <v>0</v>
      </c>
      <c r="H552" s="424">
        <f>IF(OR(H$545&lt;$C552,H$545&lt;$H$2),0,MIN($E552-SUM($G552:G552),$F552))</f>
        <v>0</v>
      </c>
      <c r="I552" s="424">
        <f>IF(OR(I$545&lt;$C552,I$545&lt;$H$2),0,MIN($E552-SUM($G552:H552),$F552))</f>
        <v>0</v>
      </c>
      <c r="J552" s="424">
        <f>IF(OR(J$545&lt;$C552,J$545&lt;$H$2),0,MIN($E552-SUM($G552:I552),$F552))</f>
        <v>0</v>
      </c>
      <c r="K552" s="424">
        <f>IF(OR(K$545&lt;$C552,K$545&lt;$H$2),0,MIN($E552-SUM($G552:J552),$F552))</f>
        <v>0</v>
      </c>
      <c r="L552" s="424">
        <f>IF(OR(L$545&lt;$C552,L$545&lt;$H$2),0,MIN($E552-SUM($G552:K552),$F552))</f>
        <v>0</v>
      </c>
      <c r="M552" s="424">
        <f>IF(OR(M$545&lt;$C552,M$545&lt;$H$2),0,MIN($E552-SUM($G552:L552),$F552))</f>
        <v>0</v>
      </c>
      <c r="N552" s="424">
        <f>IF(OR(N$545&lt;$C552,N$545&lt;$H$2),0,MIN($E552-SUM($G552:M552),$F552))</f>
        <v>0</v>
      </c>
      <c r="O552" s="424">
        <f>IF(OR(O$545&lt;$C552,O$545&lt;$H$2),0,MIN($E552-SUM($G552:N552),$F552))</f>
        <v>0</v>
      </c>
      <c r="P552" s="424">
        <f>IF(OR(P$545&lt;$C552,P$545&lt;$H$2),0,MIN($E552-SUM($G552:O552),$F552))</f>
        <v>0</v>
      </c>
      <c r="Q552" s="424">
        <f>IF(OR(Q$545&lt;$C552,Q$545&lt;$H$2),0,MIN($E552-SUM($G552:P552),$F552))</f>
        <v>0</v>
      </c>
      <c r="R552" s="424">
        <f>IF(OR(R$545&lt;$C552,R$545&lt;$H$2),0,MIN($E552-SUM($G552:Q552),$F552))</f>
        <v>0</v>
      </c>
      <c r="S552" s="424">
        <f>IF(OR(S$545&lt;$C552,S$545&lt;$H$2),0,MIN($E552-SUM($G552:R552),$F552))</f>
        <v>0</v>
      </c>
      <c r="T552" s="424">
        <f>IF(OR(T$545&lt;$C552,T$545&lt;$H$2),0,MIN($E552-SUM($G552:S552),$F552))</f>
        <v>0</v>
      </c>
      <c r="U552" s="424">
        <f>IF(OR(U$545&lt;$C552,U$545&lt;$H$2),0,MIN($E552-SUM($G552:T552),$F552))</f>
        <v>0</v>
      </c>
      <c r="V552" s="424">
        <f>IF(OR(V$545&lt;$C552,V$545&lt;$H$2),0,MIN($E552-SUM($G552:U552),$F552))</f>
        <v>0</v>
      </c>
      <c r="W552" s="424">
        <f>IF(OR(W$545&lt;$C552,W$545&lt;$H$2),0,MIN($E552-SUM($G552:V552),$F552))</f>
        <v>0</v>
      </c>
      <c r="X552" s="424">
        <f>IF(OR(X$545&lt;$C552,X$545&lt;$H$2),0,MIN($E552-SUM($G552:W552),$F552))</f>
        <v>0</v>
      </c>
      <c r="Y552" s="424">
        <f>IF(OR(Y$545&lt;$C552,Y$545&lt;$H$2),0,MIN($E552-SUM($G552:X552),$F552))</f>
        <v>0</v>
      </c>
      <c r="Z552" s="424">
        <f>IF(OR(Z$545&lt;$C552,Z$545&lt;$H$2),0,MIN($E552-SUM($G552:Y552),$F552))</f>
        <v>0</v>
      </c>
      <c r="AA552" s="424">
        <f>IF(OR(AA$545&lt;$C552,AA$545&lt;$H$2),0,MIN($E552-SUM($G552:Z552),$F552))</f>
        <v>0</v>
      </c>
      <c r="AB552" s="424">
        <f>IF(OR(AB$545&lt;$C552,AB$545&lt;$H$2),0,MIN($E552-SUM($G552:AA552),$F552))</f>
        <v>0</v>
      </c>
      <c r="AC552" s="424">
        <f>IF(OR(AC$545&lt;$C552,AC$545&lt;$H$2),0,MIN($E552-SUM($G552:AB552),$F552))</f>
        <v>0</v>
      </c>
      <c r="AD552" s="424">
        <f>IF(OR(AD$545&lt;$C552,AD$545&lt;$H$2),0,MIN($E552-SUM($G552:AC552),$F552))</f>
        <v>0</v>
      </c>
      <c r="AE552" s="424">
        <f>IF(OR(AE$545&lt;$C552,AE$545&lt;$H$2),0,MIN($E552-SUM($G552:AD552),$F552))</f>
        <v>0</v>
      </c>
      <c r="AF552" s="424">
        <f>IF(OR(AF$545&lt;$C552,AF$545&lt;$H$2),0,MIN($E552-SUM($G552:AE552),$F552))</f>
        <v>0</v>
      </c>
      <c r="AG552" s="424">
        <f>IF(OR(AG$545&lt;$C552,AG$545&lt;$H$2),0,MIN($E552-SUM($G552:AF552),$F552))</f>
        <v>0</v>
      </c>
      <c r="AH552" s="424">
        <f>IF(OR(AH$545&lt;$C552,AH$545&lt;$H$2),0,MIN($E552-SUM($G552:AG552),$F552))</f>
        <v>0</v>
      </c>
      <c r="AI552" s="424">
        <f>IF(OR(AI$545&lt;$C552,AI$545&lt;$H$2),0,MIN($E552-SUM($G552:AH552),$F552))</f>
        <v>0</v>
      </c>
      <c r="AJ552" s="424">
        <f>IF(OR(AJ$545&lt;$C552,AJ$545&lt;$H$2),0,MIN($E552-SUM($G552:AI552),$F552))</f>
        <v>0</v>
      </c>
      <c r="AK552" s="424">
        <f>IF(OR(AK$545&lt;$C552,AK$545&lt;$H$2),0,MIN($E552-SUM($G552:AJ552),$F552))</f>
        <v>0</v>
      </c>
    </row>
    <row r="553" spans="3:37">
      <c r="C553" s="201">
        <v>47853</v>
      </c>
      <c r="D553" s="94" t="s">
        <v>134</v>
      </c>
      <c r="E553" s="424">
        <f t="shared" si="146"/>
        <v>0</v>
      </c>
      <c r="F553" s="209">
        <f t="shared" si="147"/>
        <v>0</v>
      </c>
      <c r="H553" s="424">
        <f>IF(OR(H$545&lt;$C553,H$545&lt;$H$2),0,MIN($E553-SUM($G553:G553),$F553))</f>
        <v>0</v>
      </c>
      <c r="I553" s="424">
        <f>IF(OR(I$545&lt;$C553,I$545&lt;$H$2),0,MIN($E553-SUM($G553:H553),$F553))</f>
        <v>0</v>
      </c>
      <c r="J553" s="424">
        <f>IF(OR(J$545&lt;$C553,J$545&lt;$H$2),0,MIN($E553-SUM($G553:I553),$F553))</f>
        <v>0</v>
      </c>
      <c r="K553" s="424">
        <f>IF(OR(K$545&lt;$C553,K$545&lt;$H$2),0,MIN($E553-SUM($G553:J553),$F553))</f>
        <v>0</v>
      </c>
      <c r="L553" s="424">
        <f>IF(OR(L$545&lt;$C553,L$545&lt;$H$2),0,MIN($E553-SUM($G553:K553),$F553))</f>
        <v>0</v>
      </c>
      <c r="M553" s="424">
        <f>IF(OR(M$545&lt;$C553,M$545&lt;$H$2),0,MIN($E553-SUM($G553:L553),$F553))</f>
        <v>0</v>
      </c>
      <c r="N553" s="424">
        <f>IF(OR(N$545&lt;$C553,N$545&lt;$H$2),0,MIN($E553-SUM($G553:M553),$F553))</f>
        <v>0</v>
      </c>
      <c r="O553" s="424">
        <f>IF(OR(O$545&lt;$C553,O$545&lt;$H$2),0,MIN($E553-SUM($G553:N553),$F553))</f>
        <v>0</v>
      </c>
      <c r="P553" s="424">
        <f>IF(OR(P$545&lt;$C553,P$545&lt;$H$2),0,MIN($E553-SUM($G553:O553),$F553))</f>
        <v>0</v>
      </c>
      <c r="Q553" s="424">
        <f>IF(OR(Q$545&lt;$C553,Q$545&lt;$H$2),0,MIN($E553-SUM($G553:P553),$F553))</f>
        <v>0</v>
      </c>
      <c r="R553" s="424">
        <f>IF(OR(R$545&lt;$C553,R$545&lt;$H$2),0,MIN($E553-SUM($G553:Q553),$F553))</f>
        <v>0</v>
      </c>
      <c r="S553" s="424">
        <f>IF(OR(S$545&lt;$C553,S$545&lt;$H$2),0,MIN($E553-SUM($G553:R553),$F553))</f>
        <v>0</v>
      </c>
      <c r="T553" s="424">
        <f>IF(OR(T$545&lt;$C553,T$545&lt;$H$2),0,MIN($E553-SUM($G553:S553),$F553))</f>
        <v>0</v>
      </c>
      <c r="U553" s="424">
        <f>IF(OR(U$545&lt;$C553,U$545&lt;$H$2),0,MIN($E553-SUM($G553:T553),$F553))</f>
        <v>0</v>
      </c>
      <c r="V553" s="424">
        <f>IF(OR(V$545&lt;$C553,V$545&lt;$H$2),0,MIN($E553-SUM($G553:U553),$F553))</f>
        <v>0</v>
      </c>
      <c r="W553" s="424">
        <f>IF(OR(W$545&lt;$C553,W$545&lt;$H$2),0,MIN($E553-SUM($G553:V553),$F553))</f>
        <v>0</v>
      </c>
      <c r="X553" s="424">
        <f>IF(OR(X$545&lt;$C553,X$545&lt;$H$2),0,MIN($E553-SUM($G553:W553),$F553))</f>
        <v>0</v>
      </c>
      <c r="Y553" s="424">
        <f>IF(OR(Y$545&lt;$C553,Y$545&lt;$H$2),0,MIN($E553-SUM($G553:X553),$F553))</f>
        <v>0</v>
      </c>
      <c r="Z553" s="424">
        <f>IF(OR(Z$545&lt;$C553,Z$545&lt;$H$2),0,MIN($E553-SUM($G553:Y553),$F553))</f>
        <v>0</v>
      </c>
      <c r="AA553" s="424">
        <f>IF(OR(AA$545&lt;$C553,AA$545&lt;$H$2),0,MIN($E553-SUM($G553:Z553),$F553))</f>
        <v>0</v>
      </c>
      <c r="AB553" s="424">
        <f>IF(OR(AB$545&lt;$C553,AB$545&lt;$H$2),0,MIN($E553-SUM($G553:AA553),$F553))</f>
        <v>0</v>
      </c>
      <c r="AC553" s="424">
        <f>IF(OR(AC$545&lt;$C553,AC$545&lt;$H$2),0,MIN($E553-SUM($G553:AB553),$F553))</f>
        <v>0</v>
      </c>
      <c r="AD553" s="424">
        <f>IF(OR(AD$545&lt;$C553,AD$545&lt;$H$2),0,MIN($E553-SUM($G553:AC553),$F553))</f>
        <v>0</v>
      </c>
      <c r="AE553" s="424">
        <f>IF(OR(AE$545&lt;$C553,AE$545&lt;$H$2),0,MIN($E553-SUM($G553:AD553),$F553))</f>
        <v>0</v>
      </c>
      <c r="AF553" s="424">
        <f>IF(OR(AF$545&lt;$C553,AF$545&lt;$H$2),0,MIN($E553-SUM($G553:AE553),$F553))</f>
        <v>0</v>
      </c>
      <c r="AG553" s="424">
        <f>IF(OR(AG$545&lt;$C553,AG$545&lt;$H$2),0,MIN($E553-SUM($G553:AF553),$F553))</f>
        <v>0</v>
      </c>
      <c r="AH553" s="424">
        <f>IF(OR(AH$545&lt;$C553,AH$545&lt;$H$2),0,MIN($E553-SUM($G553:AG553),$F553))</f>
        <v>0</v>
      </c>
      <c r="AI553" s="424">
        <f>IF(OR(AI$545&lt;$C553,AI$545&lt;$H$2),0,MIN($E553-SUM($G553:AH553),$F553))</f>
        <v>0</v>
      </c>
      <c r="AJ553" s="424">
        <f>IF(OR(AJ$545&lt;$C553,AJ$545&lt;$H$2),0,MIN($E553-SUM($G553:AI553),$F553))</f>
        <v>0</v>
      </c>
      <c r="AK553" s="424">
        <f>IF(OR(AK$545&lt;$C553,AK$545&lt;$H$2),0,MIN($E553-SUM($G553:AJ553),$F553))</f>
        <v>0</v>
      </c>
    </row>
    <row r="554" spans="3:37">
      <c r="C554" s="201">
        <v>48219</v>
      </c>
      <c r="D554" s="94" t="s">
        <v>134</v>
      </c>
      <c r="E554" s="424">
        <f t="shared" si="146"/>
        <v>0</v>
      </c>
      <c r="F554" s="209">
        <f t="shared" si="147"/>
        <v>0</v>
      </c>
      <c r="H554" s="424">
        <f>IF(OR(H$545&lt;$C554,H$545&lt;$H$2),0,MIN($E554-SUM($G554:G554),$F554))</f>
        <v>0</v>
      </c>
      <c r="I554" s="424">
        <f>IF(OR(I$545&lt;$C554,I$545&lt;$H$2),0,MIN($E554-SUM($G554:H554),$F554))</f>
        <v>0</v>
      </c>
      <c r="J554" s="424">
        <f>IF(OR(J$545&lt;$C554,J$545&lt;$H$2),0,MIN($E554-SUM($G554:I554),$F554))</f>
        <v>0</v>
      </c>
      <c r="K554" s="424">
        <f>IF(OR(K$545&lt;$C554,K$545&lt;$H$2),0,MIN($E554-SUM($G554:J554),$F554))</f>
        <v>0</v>
      </c>
      <c r="L554" s="424">
        <f>IF(OR(L$545&lt;$C554,L$545&lt;$H$2),0,MIN($E554-SUM($G554:K554),$F554))</f>
        <v>0</v>
      </c>
      <c r="M554" s="424">
        <f>IF(OR(M$545&lt;$C554,M$545&lt;$H$2),0,MIN($E554-SUM($G554:L554),$F554))</f>
        <v>0</v>
      </c>
      <c r="N554" s="424">
        <f>IF(OR(N$545&lt;$C554,N$545&lt;$H$2),0,MIN($E554-SUM($G554:M554),$F554))</f>
        <v>0</v>
      </c>
      <c r="O554" s="424">
        <f>IF(OR(O$545&lt;$C554,O$545&lt;$H$2),0,MIN($E554-SUM($G554:N554),$F554))</f>
        <v>0</v>
      </c>
      <c r="P554" s="424">
        <f>IF(OR(P$545&lt;$C554,P$545&lt;$H$2),0,MIN($E554-SUM($G554:O554),$F554))</f>
        <v>0</v>
      </c>
      <c r="Q554" s="424">
        <f>IF(OR(Q$545&lt;$C554,Q$545&lt;$H$2),0,MIN($E554-SUM($G554:P554),$F554))</f>
        <v>0</v>
      </c>
      <c r="R554" s="424">
        <f>IF(OR(R$545&lt;$C554,R$545&lt;$H$2),0,MIN($E554-SUM($G554:Q554),$F554))</f>
        <v>0</v>
      </c>
      <c r="S554" s="424">
        <f>IF(OR(S$545&lt;$C554,S$545&lt;$H$2),0,MIN($E554-SUM($G554:R554),$F554))</f>
        <v>0</v>
      </c>
      <c r="T554" s="424">
        <f>IF(OR(T$545&lt;$C554,T$545&lt;$H$2),0,MIN($E554-SUM($G554:S554),$F554))</f>
        <v>0</v>
      </c>
      <c r="U554" s="424">
        <f>IF(OR(U$545&lt;$C554,U$545&lt;$H$2),0,MIN($E554-SUM($G554:T554),$F554))</f>
        <v>0</v>
      </c>
      <c r="V554" s="424">
        <f>IF(OR(V$545&lt;$C554,V$545&lt;$H$2),0,MIN($E554-SUM($G554:U554),$F554))</f>
        <v>0</v>
      </c>
      <c r="W554" s="424">
        <f>IF(OR(W$545&lt;$C554,W$545&lt;$H$2),0,MIN($E554-SUM($G554:V554),$F554))</f>
        <v>0</v>
      </c>
      <c r="X554" s="424">
        <f>IF(OR(X$545&lt;$C554,X$545&lt;$H$2),0,MIN($E554-SUM($G554:W554),$F554))</f>
        <v>0</v>
      </c>
      <c r="Y554" s="424">
        <f>IF(OR(Y$545&lt;$C554,Y$545&lt;$H$2),0,MIN($E554-SUM($G554:X554),$F554))</f>
        <v>0</v>
      </c>
      <c r="Z554" s="424">
        <f>IF(OR(Z$545&lt;$C554,Z$545&lt;$H$2),0,MIN($E554-SUM($G554:Y554),$F554))</f>
        <v>0</v>
      </c>
      <c r="AA554" s="424">
        <f>IF(OR(AA$545&lt;$C554,AA$545&lt;$H$2),0,MIN($E554-SUM($G554:Z554),$F554))</f>
        <v>0</v>
      </c>
      <c r="AB554" s="424">
        <f>IF(OR(AB$545&lt;$C554,AB$545&lt;$H$2),0,MIN($E554-SUM($G554:AA554),$F554))</f>
        <v>0</v>
      </c>
      <c r="AC554" s="424">
        <f>IF(OR(AC$545&lt;$C554,AC$545&lt;$H$2),0,MIN($E554-SUM($G554:AB554),$F554))</f>
        <v>0</v>
      </c>
      <c r="AD554" s="424">
        <f>IF(OR(AD$545&lt;$C554,AD$545&lt;$H$2),0,MIN($E554-SUM($G554:AC554),$F554))</f>
        <v>0</v>
      </c>
      <c r="AE554" s="424">
        <f>IF(OR(AE$545&lt;$C554,AE$545&lt;$H$2),0,MIN($E554-SUM($G554:AD554),$F554))</f>
        <v>0</v>
      </c>
      <c r="AF554" s="424">
        <f>IF(OR(AF$545&lt;$C554,AF$545&lt;$H$2),0,MIN($E554-SUM($G554:AE554),$F554))</f>
        <v>0</v>
      </c>
      <c r="AG554" s="424">
        <f>IF(OR(AG$545&lt;$C554,AG$545&lt;$H$2),0,MIN($E554-SUM($G554:AF554),$F554))</f>
        <v>0</v>
      </c>
      <c r="AH554" s="424">
        <f>IF(OR(AH$545&lt;$C554,AH$545&lt;$H$2),0,MIN($E554-SUM($G554:AG554),$F554))</f>
        <v>0</v>
      </c>
      <c r="AI554" s="424">
        <f>IF(OR(AI$545&lt;$C554,AI$545&lt;$H$2),0,MIN($E554-SUM($G554:AH554),$F554))</f>
        <v>0</v>
      </c>
      <c r="AJ554" s="424">
        <f>IF(OR(AJ$545&lt;$C554,AJ$545&lt;$H$2),0,MIN($E554-SUM($G554:AI554),$F554))</f>
        <v>0</v>
      </c>
      <c r="AK554" s="424">
        <f>IF(OR(AK$545&lt;$C554,AK$545&lt;$H$2),0,MIN($E554-SUM($G554:AJ554),$F554))</f>
        <v>0</v>
      </c>
    </row>
    <row r="555" spans="3:37">
      <c r="C555" s="201">
        <v>48585</v>
      </c>
      <c r="D555" s="94" t="s">
        <v>134</v>
      </c>
      <c r="E555" s="424">
        <f t="shared" si="146"/>
        <v>0</v>
      </c>
      <c r="F555" s="209">
        <f t="shared" si="147"/>
        <v>0</v>
      </c>
      <c r="H555" s="424">
        <f>IF(OR(H$545&lt;$C555,H$545&lt;$H$2),0,MIN($E555-SUM($G555:G555),$F555))</f>
        <v>0</v>
      </c>
      <c r="I555" s="424">
        <f>IF(OR(I$545&lt;$C555,I$545&lt;$H$2),0,MIN($E555-SUM($G555:H555),$F555))</f>
        <v>0</v>
      </c>
      <c r="J555" s="424">
        <f>IF(OR(J$545&lt;$C555,J$545&lt;$H$2),0,MIN($E555-SUM($G555:I555),$F555))</f>
        <v>0</v>
      </c>
      <c r="K555" s="424">
        <f>IF(OR(K$545&lt;$C555,K$545&lt;$H$2),0,MIN($E555-SUM($G555:J555),$F555))</f>
        <v>0</v>
      </c>
      <c r="L555" s="424">
        <f>IF(OR(L$545&lt;$C555,L$545&lt;$H$2),0,MIN($E555-SUM($G555:K555),$F555))</f>
        <v>0</v>
      </c>
      <c r="M555" s="424">
        <f>IF(OR(M$545&lt;$C555,M$545&lt;$H$2),0,MIN($E555-SUM($G555:L555),$F555))</f>
        <v>0</v>
      </c>
      <c r="N555" s="424">
        <f>IF(OR(N$545&lt;$C555,N$545&lt;$H$2),0,MIN($E555-SUM($G555:M555),$F555))</f>
        <v>0</v>
      </c>
      <c r="O555" s="424">
        <f>IF(OR(O$545&lt;$C555,O$545&lt;$H$2),0,MIN($E555-SUM($G555:N555),$F555))</f>
        <v>0</v>
      </c>
      <c r="P555" s="424">
        <f>IF(OR(P$545&lt;$C555,P$545&lt;$H$2),0,MIN($E555-SUM($G555:O555),$F555))</f>
        <v>0</v>
      </c>
      <c r="Q555" s="424">
        <f>IF(OR(Q$545&lt;$C555,Q$545&lt;$H$2),0,MIN($E555-SUM($G555:P555),$F555))</f>
        <v>0</v>
      </c>
      <c r="R555" s="424">
        <f>IF(OR(R$545&lt;$C555,R$545&lt;$H$2),0,MIN($E555-SUM($G555:Q555),$F555))</f>
        <v>0</v>
      </c>
      <c r="S555" s="424">
        <f>IF(OR(S$545&lt;$C555,S$545&lt;$H$2),0,MIN($E555-SUM($G555:R555),$F555))</f>
        <v>0</v>
      </c>
      <c r="T555" s="424">
        <f>IF(OR(T$545&lt;$C555,T$545&lt;$H$2),0,MIN($E555-SUM($G555:S555),$F555))</f>
        <v>0</v>
      </c>
      <c r="U555" s="424">
        <f>IF(OR(U$545&lt;$C555,U$545&lt;$H$2),0,MIN($E555-SUM($G555:T555),$F555))</f>
        <v>0</v>
      </c>
      <c r="V555" s="424">
        <f>IF(OR(V$545&lt;$C555,V$545&lt;$H$2),0,MIN($E555-SUM($G555:U555),$F555))</f>
        <v>0</v>
      </c>
      <c r="W555" s="424">
        <f>IF(OR(W$545&lt;$C555,W$545&lt;$H$2),0,MIN($E555-SUM($G555:V555),$F555))</f>
        <v>0</v>
      </c>
      <c r="X555" s="424">
        <f>IF(OR(X$545&lt;$C555,X$545&lt;$H$2),0,MIN($E555-SUM($G555:W555),$F555))</f>
        <v>0</v>
      </c>
      <c r="Y555" s="424">
        <f>IF(OR(Y$545&lt;$C555,Y$545&lt;$H$2),0,MIN($E555-SUM($G555:X555),$F555))</f>
        <v>0</v>
      </c>
      <c r="Z555" s="424">
        <f>IF(OR(Z$545&lt;$C555,Z$545&lt;$H$2),0,MIN($E555-SUM($G555:Y555),$F555))</f>
        <v>0</v>
      </c>
      <c r="AA555" s="424">
        <f>IF(OR(AA$545&lt;$C555,AA$545&lt;$H$2),0,MIN($E555-SUM($G555:Z555),$F555))</f>
        <v>0</v>
      </c>
      <c r="AB555" s="424">
        <f>IF(OR(AB$545&lt;$C555,AB$545&lt;$H$2),0,MIN($E555-SUM($G555:AA555),$F555))</f>
        <v>0</v>
      </c>
      <c r="AC555" s="424">
        <f>IF(OR(AC$545&lt;$C555,AC$545&lt;$H$2),0,MIN($E555-SUM($G555:AB555),$F555))</f>
        <v>0</v>
      </c>
      <c r="AD555" s="424">
        <f>IF(OR(AD$545&lt;$C555,AD$545&lt;$H$2),0,MIN($E555-SUM($G555:AC555),$F555))</f>
        <v>0</v>
      </c>
      <c r="AE555" s="424">
        <f>IF(OR(AE$545&lt;$C555,AE$545&lt;$H$2),0,MIN($E555-SUM($G555:AD555),$F555))</f>
        <v>0</v>
      </c>
      <c r="AF555" s="424">
        <f>IF(OR(AF$545&lt;$C555,AF$545&lt;$H$2),0,MIN($E555-SUM($G555:AE555),$F555))</f>
        <v>0</v>
      </c>
      <c r="AG555" s="424">
        <f>IF(OR(AG$545&lt;$C555,AG$545&lt;$H$2),0,MIN($E555-SUM($G555:AF555),$F555))</f>
        <v>0</v>
      </c>
      <c r="AH555" s="424">
        <f>IF(OR(AH$545&lt;$C555,AH$545&lt;$H$2),0,MIN($E555-SUM($G555:AG555),$F555))</f>
        <v>0</v>
      </c>
      <c r="AI555" s="424">
        <f>IF(OR(AI$545&lt;$C555,AI$545&lt;$H$2),0,MIN($E555-SUM($G555:AH555),$F555))</f>
        <v>0</v>
      </c>
      <c r="AJ555" s="424">
        <f>IF(OR(AJ$545&lt;$C555,AJ$545&lt;$H$2),0,MIN($E555-SUM($G555:AI555),$F555))</f>
        <v>0</v>
      </c>
      <c r="AK555" s="424">
        <f>IF(OR(AK$545&lt;$C555,AK$545&lt;$H$2),0,MIN($E555-SUM($G555:AJ555),$F555))</f>
        <v>0</v>
      </c>
    </row>
    <row r="556" spans="3:37">
      <c r="C556" s="201">
        <v>48951</v>
      </c>
      <c r="D556" s="94" t="s">
        <v>134</v>
      </c>
      <c r="E556" s="424">
        <f t="shared" si="146"/>
        <v>0</v>
      </c>
      <c r="F556" s="209">
        <f t="shared" si="147"/>
        <v>0</v>
      </c>
      <c r="H556" s="424">
        <f>IF(OR(H$545&lt;$C556,H$545&lt;$H$2),0,MIN($E556-SUM($G556:G556),$F556))</f>
        <v>0</v>
      </c>
      <c r="I556" s="424">
        <f>IF(OR(I$545&lt;$C556,I$545&lt;$H$2),0,MIN($E556-SUM($G556:H556),$F556))</f>
        <v>0</v>
      </c>
      <c r="J556" s="424">
        <f>IF(OR(J$545&lt;$C556,J$545&lt;$H$2),0,MIN($E556-SUM($G556:I556),$F556))</f>
        <v>0</v>
      </c>
      <c r="K556" s="424">
        <f>IF(OR(K$545&lt;$C556,K$545&lt;$H$2),0,MIN($E556-SUM($G556:J556),$F556))</f>
        <v>0</v>
      </c>
      <c r="L556" s="424">
        <f>IF(OR(L$545&lt;$C556,L$545&lt;$H$2),0,MIN($E556-SUM($G556:K556),$F556))</f>
        <v>0</v>
      </c>
      <c r="M556" s="424">
        <f>IF(OR(M$545&lt;$C556,M$545&lt;$H$2),0,MIN($E556-SUM($G556:L556),$F556))</f>
        <v>0</v>
      </c>
      <c r="N556" s="424">
        <f>IF(OR(N$545&lt;$C556,N$545&lt;$H$2),0,MIN($E556-SUM($G556:M556),$F556))</f>
        <v>0</v>
      </c>
      <c r="O556" s="424">
        <f>IF(OR(O$545&lt;$C556,O$545&lt;$H$2),0,MIN($E556-SUM($G556:N556),$F556))</f>
        <v>0</v>
      </c>
      <c r="P556" s="424">
        <f>IF(OR(P$545&lt;$C556,P$545&lt;$H$2),0,MIN($E556-SUM($G556:O556),$F556))</f>
        <v>0</v>
      </c>
      <c r="Q556" s="424">
        <f>IF(OR(Q$545&lt;$C556,Q$545&lt;$H$2),0,MIN($E556-SUM($G556:P556),$F556))</f>
        <v>0</v>
      </c>
      <c r="R556" s="424">
        <f>IF(OR(R$545&lt;$C556,R$545&lt;$H$2),0,MIN($E556-SUM($G556:Q556),$F556))</f>
        <v>0</v>
      </c>
      <c r="S556" s="424">
        <f>IF(OR(S$545&lt;$C556,S$545&lt;$H$2),0,MIN($E556-SUM($G556:R556),$F556))</f>
        <v>0</v>
      </c>
      <c r="T556" s="424">
        <f>IF(OR(T$545&lt;$C556,T$545&lt;$H$2),0,MIN($E556-SUM($G556:S556),$F556))</f>
        <v>0</v>
      </c>
      <c r="U556" s="424">
        <f>IF(OR(U$545&lt;$C556,U$545&lt;$H$2),0,MIN($E556-SUM($G556:T556),$F556))</f>
        <v>0</v>
      </c>
      <c r="V556" s="424">
        <f>IF(OR(V$545&lt;$C556,V$545&lt;$H$2),0,MIN($E556-SUM($G556:U556),$F556))</f>
        <v>0</v>
      </c>
      <c r="W556" s="424">
        <f>IF(OR(W$545&lt;$C556,W$545&lt;$H$2),0,MIN($E556-SUM($G556:V556),$F556))</f>
        <v>0</v>
      </c>
      <c r="X556" s="424">
        <f>IF(OR(X$545&lt;$C556,X$545&lt;$H$2),0,MIN($E556-SUM($G556:W556),$F556))</f>
        <v>0</v>
      </c>
      <c r="Y556" s="424">
        <f>IF(OR(Y$545&lt;$C556,Y$545&lt;$H$2),0,MIN($E556-SUM($G556:X556),$F556))</f>
        <v>0</v>
      </c>
      <c r="Z556" s="424">
        <f>IF(OR(Z$545&lt;$C556,Z$545&lt;$H$2),0,MIN($E556-SUM($G556:Y556),$F556))</f>
        <v>0</v>
      </c>
      <c r="AA556" s="424">
        <f>IF(OR(AA$545&lt;$C556,AA$545&lt;$H$2),0,MIN($E556-SUM($G556:Z556),$F556))</f>
        <v>0</v>
      </c>
      <c r="AB556" s="424">
        <f>IF(OR(AB$545&lt;$C556,AB$545&lt;$H$2),0,MIN($E556-SUM($G556:AA556),$F556))</f>
        <v>0</v>
      </c>
      <c r="AC556" s="424">
        <f>IF(OR(AC$545&lt;$C556,AC$545&lt;$H$2),0,MIN($E556-SUM($G556:AB556),$F556))</f>
        <v>0</v>
      </c>
      <c r="AD556" s="424">
        <f>IF(OR(AD$545&lt;$C556,AD$545&lt;$H$2),0,MIN($E556-SUM($G556:AC556),$F556))</f>
        <v>0</v>
      </c>
      <c r="AE556" s="424">
        <f>IF(OR(AE$545&lt;$C556,AE$545&lt;$H$2),0,MIN($E556-SUM($G556:AD556),$F556))</f>
        <v>0</v>
      </c>
      <c r="AF556" s="424">
        <f>IF(OR(AF$545&lt;$C556,AF$545&lt;$H$2),0,MIN($E556-SUM($G556:AE556),$F556))</f>
        <v>0</v>
      </c>
      <c r="AG556" s="424">
        <f>IF(OR(AG$545&lt;$C556,AG$545&lt;$H$2),0,MIN($E556-SUM($G556:AF556),$F556))</f>
        <v>0</v>
      </c>
      <c r="AH556" s="424">
        <f>IF(OR(AH$545&lt;$C556,AH$545&lt;$H$2),0,MIN($E556-SUM($G556:AG556),$F556))</f>
        <v>0</v>
      </c>
      <c r="AI556" s="424">
        <f>IF(OR(AI$545&lt;$C556,AI$545&lt;$H$2),0,MIN($E556-SUM($G556:AH556),$F556))</f>
        <v>0</v>
      </c>
      <c r="AJ556" s="424">
        <f>IF(OR(AJ$545&lt;$C556,AJ$545&lt;$H$2),0,MIN($E556-SUM($G556:AI556),$F556))</f>
        <v>0</v>
      </c>
      <c r="AK556" s="424">
        <f>IF(OR(AK$545&lt;$C556,AK$545&lt;$H$2),0,MIN($E556-SUM($G556:AJ556),$F556))</f>
        <v>0</v>
      </c>
    </row>
    <row r="557" spans="3:37">
      <c r="C557" s="201">
        <v>49317</v>
      </c>
      <c r="D557" s="94" t="s">
        <v>134</v>
      </c>
      <c r="E557" s="424">
        <f t="shared" si="146"/>
        <v>0</v>
      </c>
      <c r="F557" s="209">
        <f t="shared" si="147"/>
        <v>0</v>
      </c>
      <c r="H557" s="424">
        <f>IF(OR(H$545&lt;$C557,H$545&lt;$H$2),0,MIN($E557-SUM($G557:G557),$F557))</f>
        <v>0</v>
      </c>
      <c r="I557" s="424">
        <f>IF(OR(I$545&lt;$C557,I$545&lt;$H$2),0,MIN($E557-SUM($G557:H557),$F557))</f>
        <v>0</v>
      </c>
      <c r="J557" s="424">
        <f>IF(OR(J$545&lt;$C557,J$545&lt;$H$2),0,MIN($E557-SUM($G557:I557),$F557))</f>
        <v>0</v>
      </c>
      <c r="K557" s="424">
        <f>IF(OR(K$545&lt;$C557,K$545&lt;$H$2),0,MIN($E557-SUM($G557:J557),$F557))</f>
        <v>0</v>
      </c>
      <c r="L557" s="424">
        <f>IF(OR(L$545&lt;$C557,L$545&lt;$H$2),0,MIN($E557-SUM($G557:K557),$F557))</f>
        <v>0</v>
      </c>
      <c r="M557" s="424">
        <f>IF(OR(M$545&lt;$C557,M$545&lt;$H$2),0,MIN($E557-SUM($G557:L557),$F557))</f>
        <v>0</v>
      </c>
      <c r="N557" s="424">
        <f>IF(OR(N$545&lt;$C557,N$545&lt;$H$2),0,MIN($E557-SUM($G557:M557),$F557))</f>
        <v>0</v>
      </c>
      <c r="O557" s="424">
        <f>IF(OR(O$545&lt;$C557,O$545&lt;$H$2),0,MIN($E557-SUM($G557:N557),$F557))</f>
        <v>0</v>
      </c>
      <c r="P557" s="424">
        <f>IF(OR(P$545&lt;$C557,P$545&lt;$H$2),0,MIN($E557-SUM($G557:O557),$F557))</f>
        <v>0</v>
      </c>
      <c r="Q557" s="424">
        <f>IF(OR(Q$545&lt;$C557,Q$545&lt;$H$2),0,MIN($E557-SUM($G557:P557),$F557))</f>
        <v>0</v>
      </c>
      <c r="R557" s="424">
        <f>IF(OR(R$545&lt;$C557,R$545&lt;$H$2),0,MIN($E557-SUM($G557:Q557),$F557))</f>
        <v>0</v>
      </c>
      <c r="S557" s="424">
        <f>IF(OR(S$545&lt;$C557,S$545&lt;$H$2),0,MIN($E557-SUM($G557:R557),$F557))</f>
        <v>0</v>
      </c>
      <c r="T557" s="424">
        <f>IF(OR(T$545&lt;$C557,T$545&lt;$H$2),0,MIN($E557-SUM($G557:S557),$F557))</f>
        <v>0</v>
      </c>
      <c r="U557" s="424">
        <f>IF(OR(U$545&lt;$C557,U$545&lt;$H$2),0,MIN($E557-SUM($G557:T557),$F557))</f>
        <v>0</v>
      </c>
      <c r="V557" s="424">
        <f>IF(OR(V$545&lt;$C557,V$545&lt;$H$2),0,MIN($E557-SUM($G557:U557),$F557))</f>
        <v>0</v>
      </c>
      <c r="W557" s="424">
        <f>IF(OR(W$545&lt;$C557,W$545&lt;$H$2),0,MIN($E557-SUM($G557:V557),$F557))</f>
        <v>0</v>
      </c>
      <c r="X557" s="424">
        <f>IF(OR(X$545&lt;$C557,X$545&lt;$H$2),0,MIN($E557-SUM($G557:W557),$F557))</f>
        <v>0</v>
      </c>
      <c r="Y557" s="424">
        <f>IF(OR(Y$545&lt;$C557,Y$545&lt;$H$2),0,MIN($E557-SUM($G557:X557),$F557))</f>
        <v>0</v>
      </c>
      <c r="Z557" s="424">
        <f>IF(OR(Z$545&lt;$C557,Z$545&lt;$H$2),0,MIN($E557-SUM($G557:Y557),$F557))</f>
        <v>0</v>
      </c>
      <c r="AA557" s="424">
        <f>IF(OR(AA$545&lt;$C557,AA$545&lt;$H$2),0,MIN($E557-SUM($G557:Z557),$F557))</f>
        <v>0</v>
      </c>
      <c r="AB557" s="424">
        <f>IF(OR(AB$545&lt;$C557,AB$545&lt;$H$2),0,MIN($E557-SUM($G557:AA557),$F557))</f>
        <v>0</v>
      </c>
      <c r="AC557" s="424">
        <f>IF(OR(AC$545&lt;$C557,AC$545&lt;$H$2),0,MIN($E557-SUM($G557:AB557),$F557))</f>
        <v>0</v>
      </c>
      <c r="AD557" s="424">
        <f>IF(OR(AD$545&lt;$C557,AD$545&lt;$H$2),0,MIN($E557-SUM($G557:AC557),$F557))</f>
        <v>0</v>
      </c>
      <c r="AE557" s="424">
        <f>IF(OR(AE$545&lt;$C557,AE$545&lt;$H$2),0,MIN($E557-SUM($G557:AD557),$F557))</f>
        <v>0</v>
      </c>
      <c r="AF557" s="424">
        <f>IF(OR(AF$545&lt;$C557,AF$545&lt;$H$2),0,MIN($E557-SUM($G557:AE557),$F557))</f>
        <v>0</v>
      </c>
      <c r="AG557" s="424">
        <f>IF(OR(AG$545&lt;$C557,AG$545&lt;$H$2),0,MIN($E557-SUM($G557:AF557),$F557))</f>
        <v>0</v>
      </c>
      <c r="AH557" s="424">
        <f>IF(OR(AH$545&lt;$C557,AH$545&lt;$H$2),0,MIN($E557-SUM($G557:AG557),$F557))</f>
        <v>0</v>
      </c>
      <c r="AI557" s="424">
        <f>IF(OR(AI$545&lt;$C557,AI$545&lt;$H$2),0,MIN($E557-SUM($G557:AH557),$F557))</f>
        <v>0</v>
      </c>
      <c r="AJ557" s="424">
        <f>IF(OR(AJ$545&lt;$C557,AJ$545&lt;$H$2),0,MIN($E557-SUM($G557:AI557),$F557))</f>
        <v>0</v>
      </c>
      <c r="AK557" s="424">
        <f>IF(OR(AK$545&lt;$C557,AK$545&lt;$H$2),0,MIN($E557-SUM($G557:AJ557),$F557))</f>
        <v>0</v>
      </c>
    </row>
    <row r="558" spans="3:37">
      <c r="C558" s="201">
        <v>49683</v>
      </c>
      <c r="D558" s="94" t="s">
        <v>134</v>
      </c>
      <c r="E558" s="424">
        <f t="shared" si="146"/>
        <v>0</v>
      </c>
      <c r="F558" s="209">
        <f t="shared" si="147"/>
        <v>0</v>
      </c>
      <c r="H558" s="424">
        <f>IF(OR(H$545&lt;$C558,H$545&lt;$H$2),0,MIN($E558-SUM($G558:G558),$F558))</f>
        <v>0</v>
      </c>
      <c r="I558" s="424">
        <f>IF(OR(I$545&lt;$C558,I$545&lt;$H$2),0,MIN($E558-SUM($G558:H558),$F558))</f>
        <v>0</v>
      </c>
      <c r="J558" s="424">
        <f>IF(OR(J$545&lt;$C558,J$545&lt;$H$2),0,MIN($E558-SUM($G558:I558),$F558))</f>
        <v>0</v>
      </c>
      <c r="K558" s="424">
        <f>IF(OR(K$545&lt;$C558,K$545&lt;$H$2),0,MIN($E558-SUM($G558:J558),$F558))</f>
        <v>0</v>
      </c>
      <c r="L558" s="424">
        <f>IF(OR(L$545&lt;$C558,L$545&lt;$H$2),0,MIN($E558-SUM($G558:K558),$F558))</f>
        <v>0</v>
      </c>
      <c r="M558" s="424">
        <f>IF(OR(M$545&lt;$C558,M$545&lt;$H$2),0,MIN($E558-SUM($G558:L558),$F558))</f>
        <v>0</v>
      </c>
      <c r="N558" s="424">
        <f>IF(OR(N$545&lt;$C558,N$545&lt;$H$2),0,MIN($E558-SUM($G558:M558),$F558))</f>
        <v>0</v>
      </c>
      <c r="O558" s="424">
        <f>IF(OR(O$545&lt;$C558,O$545&lt;$H$2),0,MIN($E558-SUM($G558:N558),$F558))</f>
        <v>0</v>
      </c>
      <c r="P558" s="424">
        <f>IF(OR(P$545&lt;$C558,P$545&lt;$H$2),0,MIN($E558-SUM($G558:O558),$F558))</f>
        <v>0</v>
      </c>
      <c r="Q558" s="424">
        <f>IF(OR(Q$545&lt;$C558,Q$545&lt;$H$2),0,MIN($E558-SUM($G558:P558),$F558))</f>
        <v>0</v>
      </c>
      <c r="R558" s="424">
        <f>IF(OR(R$545&lt;$C558,R$545&lt;$H$2),0,MIN($E558-SUM($G558:Q558),$F558))</f>
        <v>0</v>
      </c>
      <c r="S558" s="424">
        <f>IF(OR(S$545&lt;$C558,S$545&lt;$H$2),0,MIN($E558-SUM($G558:R558),$F558))</f>
        <v>0</v>
      </c>
      <c r="T558" s="424">
        <f>IF(OR(T$545&lt;$C558,T$545&lt;$H$2),0,MIN($E558-SUM($G558:S558),$F558))</f>
        <v>0</v>
      </c>
      <c r="U558" s="424">
        <f>IF(OR(U$545&lt;$C558,U$545&lt;$H$2),0,MIN($E558-SUM($G558:T558),$F558))</f>
        <v>0</v>
      </c>
      <c r="V558" s="424">
        <f>IF(OR(V$545&lt;$C558,V$545&lt;$H$2),0,MIN($E558-SUM($G558:U558),$F558))</f>
        <v>0</v>
      </c>
      <c r="W558" s="424">
        <f>IF(OR(W$545&lt;$C558,W$545&lt;$H$2),0,MIN($E558-SUM($G558:V558),$F558))</f>
        <v>0</v>
      </c>
      <c r="X558" s="424">
        <f>IF(OR(X$545&lt;$C558,X$545&lt;$H$2),0,MIN($E558-SUM($G558:W558),$F558))</f>
        <v>0</v>
      </c>
      <c r="Y558" s="424">
        <f>IF(OR(Y$545&lt;$C558,Y$545&lt;$H$2),0,MIN($E558-SUM($G558:X558),$F558))</f>
        <v>0</v>
      </c>
      <c r="Z558" s="424">
        <f>IF(OR(Z$545&lt;$C558,Z$545&lt;$H$2),0,MIN($E558-SUM($G558:Y558),$F558))</f>
        <v>0</v>
      </c>
      <c r="AA558" s="424">
        <f>IF(OR(AA$545&lt;$C558,AA$545&lt;$H$2),0,MIN($E558-SUM($G558:Z558),$F558))</f>
        <v>0</v>
      </c>
      <c r="AB558" s="424">
        <f>IF(OR(AB$545&lt;$C558,AB$545&lt;$H$2),0,MIN($E558-SUM($G558:AA558),$F558))</f>
        <v>0</v>
      </c>
      <c r="AC558" s="424">
        <f>IF(OR(AC$545&lt;$C558,AC$545&lt;$H$2),0,MIN($E558-SUM($G558:AB558),$F558))</f>
        <v>0</v>
      </c>
      <c r="AD558" s="424">
        <f>IF(OR(AD$545&lt;$C558,AD$545&lt;$H$2),0,MIN($E558-SUM($G558:AC558),$F558))</f>
        <v>0</v>
      </c>
      <c r="AE558" s="424">
        <f>IF(OR(AE$545&lt;$C558,AE$545&lt;$H$2),0,MIN($E558-SUM($G558:AD558),$F558))</f>
        <v>0</v>
      </c>
      <c r="AF558" s="424">
        <f>IF(OR(AF$545&lt;$C558,AF$545&lt;$H$2),0,MIN($E558-SUM($G558:AE558),$F558))</f>
        <v>0</v>
      </c>
      <c r="AG558" s="424">
        <f>IF(OR(AG$545&lt;$C558,AG$545&lt;$H$2),0,MIN($E558-SUM($G558:AF558),$F558))</f>
        <v>0</v>
      </c>
      <c r="AH558" s="424">
        <f>IF(OR(AH$545&lt;$C558,AH$545&lt;$H$2),0,MIN($E558-SUM($G558:AG558),$F558))</f>
        <v>0</v>
      </c>
      <c r="AI558" s="424">
        <f>IF(OR(AI$545&lt;$C558,AI$545&lt;$H$2),0,MIN($E558-SUM($G558:AH558),$F558))</f>
        <v>0</v>
      </c>
      <c r="AJ558" s="424">
        <f>IF(OR(AJ$545&lt;$C558,AJ$545&lt;$H$2),0,MIN($E558-SUM($G558:AI558),$F558))</f>
        <v>0</v>
      </c>
      <c r="AK558" s="424">
        <f>IF(OR(AK$545&lt;$C558,AK$545&lt;$H$2),0,MIN($E558-SUM($G558:AJ558),$F558))</f>
        <v>0</v>
      </c>
    </row>
    <row r="559" spans="3:37">
      <c r="C559" s="201">
        <v>50049</v>
      </c>
      <c r="D559" s="94" t="s">
        <v>134</v>
      </c>
      <c r="E559" s="424">
        <f t="shared" si="146"/>
        <v>0</v>
      </c>
      <c r="F559" s="209">
        <f t="shared" si="147"/>
        <v>0</v>
      </c>
      <c r="H559" s="424">
        <f>IF(OR(H$545&lt;$C559,H$545&lt;$H$2),0,MIN($E559-SUM($G559:G559),$F559))</f>
        <v>0</v>
      </c>
      <c r="I559" s="424">
        <f>IF(OR(I$545&lt;$C559,I$545&lt;$H$2),0,MIN($E559-SUM($G559:H559),$F559))</f>
        <v>0</v>
      </c>
      <c r="J559" s="424">
        <f>IF(OR(J$545&lt;$C559,J$545&lt;$H$2),0,MIN($E559-SUM($G559:I559),$F559))</f>
        <v>0</v>
      </c>
      <c r="K559" s="424">
        <f>IF(OR(K$545&lt;$C559,K$545&lt;$H$2),0,MIN($E559-SUM($G559:J559),$F559))</f>
        <v>0</v>
      </c>
      <c r="L559" s="424">
        <f>IF(OR(L$545&lt;$C559,L$545&lt;$H$2),0,MIN($E559-SUM($G559:K559),$F559))</f>
        <v>0</v>
      </c>
      <c r="M559" s="424">
        <f>IF(OR(M$545&lt;$C559,M$545&lt;$H$2),0,MIN($E559-SUM($G559:L559),$F559))</f>
        <v>0</v>
      </c>
      <c r="N559" s="424">
        <f>IF(OR(N$545&lt;$C559,N$545&lt;$H$2),0,MIN($E559-SUM($G559:M559),$F559))</f>
        <v>0</v>
      </c>
      <c r="O559" s="424">
        <f>IF(OR(O$545&lt;$C559,O$545&lt;$H$2),0,MIN($E559-SUM($G559:N559),$F559))</f>
        <v>0</v>
      </c>
      <c r="P559" s="424">
        <f>IF(OR(P$545&lt;$C559,P$545&lt;$H$2),0,MIN($E559-SUM($G559:O559),$F559))</f>
        <v>0</v>
      </c>
      <c r="Q559" s="424">
        <f>IF(OR(Q$545&lt;$C559,Q$545&lt;$H$2),0,MIN($E559-SUM($G559:P559),$F559))</f>
        <v>0</v>
      </c>
      <c r="R559" s="424">
        <f>IF(OR(R$545&lt;$C559,R$545&lt;$H$2),0,MIN($E559-SUM($G559:Q559),$F559))</f>
        <v>0</v>
      </c>
      <c r="S559" s="424">
        <f>IF(OR(S$545&lt;$C559,S$545&lt;$H$2),0,MIN($E559-SUM($G559:R559),$F559))</f>
        <v>0</v>
      </c>
      <c r="T559" s="424">
        <f>IF(OR(T$545&lt;$C559,T$545&lt;$H$2),0,MIN($E559-SUM($G559:S559),$F559))</f>
        <v>0</v>
      </c>
      <c r="U559" s="424">
        <f>IF(OR(U$545&lt;$C559,U$545&lt;$H$2),0,MIN($E559-SUM($G559:T559),$F559))</f>
        <v>0</v>
      </c>
      <c r="V559" s="424">
        <f>IF(OR(V$545&lt;$C559,V$545&lt;$H$2),0,MIN($E559-SUM($G559:U559),$F559))</f>
        <v>0</v>
      </c>
      <c r="W559" s="424">
        <f>IF(OR(W$545&lt;$C559,W$545&lt;$H$2),0,MIN($E559-SUM($G559:V559),$F559))</f>
        <v>0</v>
      </c>
      <c r="X559" s="424">
        <f>IF(OR(X$545&lt;$C559,X$545&lt;$H$2),0,MIN($E559-SUM($G559:W559),$F559))</f>
        <v>0</v>
      </c>
      <c r="Y559" s="424">
        <f>IF(OR(Y$545&lt;$C559,Y$545&lt;$H$2),0,MIN($E559-SUM($G559:X559),$F559))</f>
        <v>0</v>
      </c>
      <c r="Z559" s="424">
        <f>IF(OR(Z$545&lt;$C559,Z$545&lt;$H$2),0,MIN($E559-SUM($G559:Y559),$F559))</f>
        <v>0</v>
      </c>
      <c r="AA559" s="424">
        <f>IF(OR(AA$545&lt;$C559,AA$545&lt;$H$2),0,MIN($E559-SUM($G559:Z559),$F559))</f>
        <v>0</v>
      </c>
      <c r="AB559" s="424">
        <f>IF(OR(AB$545&lt;$C559,AB$545&lt;$H$2),0,MIN($E559-SUM($G559:AA559),$F559))</f>
        <v>0</v>
      </c>
      <c r="AC559" s="424">
        <f>IF(OR(AC$545&lt;$C559,AC$545&lt;$H$2),0,MIN($E559-SUM($G559:AB559),$F559))</f>
        <v>0</v>
      </c>
      <c r="AD559" s="424">
        <f>IF(OR(AD$545&lt;$C559,AD$545&lt;$H$2),0,MIN($E559-SUM($G559:AC559),$F559))</f>
        <v>0</v>
      </c>
      <c r="AE559" s="424">
        <f>IF(OR(AE$545&lt;$C559,AE$545&lt;$H$2),0,MIN($E559-SUM($G559:AD559),$F559))</f>
        <v>0</v>
      </c>
      <c r="AF559" s="424">
        <f>IF(OR(AF$545&lt;$C559,AF$545&lt;$H$2),0,MIN($E559-SUM($G559:AE559),$F559))</f>
        <v>0</v>
      </c>
      <c r="AG559" s="424">
        <f>IF(OR(AG$545&lt;$C559,AG$545&lt;$H$2),0,MIN($E559-SUM($G559:AF559),$F559))</f>
        <v>0</v>
      </c>
      <c r="AH559" s="424">
        <f>IF(OR(AH$545&lt;$C559,AH$545&lt;$H$2),0,MIN($E559-SUM($G559:AG559),$F559))</f>
        <v>0</v>
      </c>
      <c r="AI559" s="424">
        <f>IF(OR(AI$545&lt;$C559,AI$545&lt;$H$2),0,MIN($E559-SUM($G559:AH559),$F559))</f>
        <v>0</v>
      </c>
      <c r="AJ559" s="424">
        <f>IF(OR(AJ$545&lt;$C559,AJ$545&lt;$H$2),0,MIN($E559-SUM($G559:AI559),$F559))</f>
        <v>0</v>
      </c>
      <c r="AK559" s="424">
        <f>IF(OR(AK$545&lt;$C559,AK$545&lt;$H$2),0,MIN($E559-SUM($G559:AJ559),$F559))</f>
        <v>0</v>
      </c>
    </row>
    <row r="560" spans="3:37">
      <c r="C560" s="201">
        <v>50415</v>
      </c>
      <c r="D560" s="94" t="s">
        <v>134</v>
      </c>
      <c r="E560" s="424">
        <f t="shared" si="146"/>
        <v>0</v>
      </c>
      <c r="F560" s="209">
        <f t="shared" si="147"/>
        <v>0</v>
      </c>
      <c r="H560" s="424">
        <f>IF(OR(H$545&lt;$C560,H$545&lt;$H$2),0,MIN($E560-SUM($G560:G560),$F560))</f>
        <v>0</v>
      </c>
      <c r="I560" s="424">
        <f>IF(OR(I$545&lt;$C560,I$545&lt;$H$2),0,MIN($E560-SUM($G560:H560),$F560))</f>
        <v>0</v>
      </c>
      <c r="J560" s="424">
        <f>IF(OR(J$545&lt;$C560,J$545&lt;$H$2),0,MIN($E560-SUM($G560:I560),$F560))</f>
        <v>0</v>
      </c>
      <c r="K560" s="424">
        <f>IF(OR(K$545&lt;$C560,K$545&lt;$H$2),0,MIN($E560-SUM($G560:J560),$F560))</f>
        <v>0</v>
      </c>
      <c r="L560" s="424">
        <f>IF(OR(L$545&lt;$C560,L$545&lt;$H$2),0,MIN($E560-SUM($G560:K560),$F560))</f>
        <v>0</v>
      </c>
      <c r="M560" s="424">
        <f>IF(OR(M$545&lt;$C560,M$545&lt;$H$2),0,MIN($E560-SUM($G560:L560),$F560))</f>
        <v>0</v>
      </c>
      <c r="N560" s="424">
        <f>IF(OR(N$545&lt;$C560,N$545&lt;$H$2),0,MIN($E560-SUM($G560:M560),$F560))</f>
        <v>0</v>
      </c>
      <c r="O560" s="424">
        <f>IF(OR(O$545&lt;$C560,O$545&lt;$H$2),0,MIN($E560-SUM($G560:N560),$F560))</f>
        <v>0</v>
      </c>
      <c r="P560" s="424">
        <f>IF(OR(P$545&lt;$C560,P$545&lt;$H$2),0,MIN($E560-SUM($G560:O560),$F560))</f>
        <v>0</v>
      </c>
      <c r="Q560" s="424">
        <f>IF(OR(Q$545&lt;$C560,Q$545&lt;$H$2),0,MIN($E560-SUM($G560:P560),$F560))</f>
        <v>0</v>
      </c>
      <c r="R560" s="424">
        <f>IF(OR(R$545&lt;$C560,R$545&lt;$H$2),0,MIN($E560-SUM($G560:Q560),$F560))</f>
        <v>0</v>
      </c>
      <c r="S560" s="424">
        <f>IF(OR(S$545&lt;$C560,S$545&lt;$H$2),0,MIN($E560-SUM($G560:R560),$F560))</f>
        <v>0</v>
      </c>
      <c r="T560" s="424">
        <f>IF(OR(T$545&lt;$C560,T$545&lt;$H$2),0,MIN($E560-SUM($G560:S560),$F560))</f>
        <v>0</v>
      </c>
      <c r="U560" s="424">
        <f>IF(OR(U$545&lt;$C560,U$545&lt;$H$2),0,MIN($E560-SUM($G560:T560),$F560))</f>
        <v>0</v>
      </c>
      <c r="V560" s="424">
        <f>IF(OR(V$545&lt;$C560,V$545&lt;$H$2),0,MIN($E560-SUM($G560:U560),$F560))</f>
        <v>0</v>
      </c>
      <c r="W560" s="424">
        <f>IF(OR(W$545&lt;$C560,W$545&lt;$H$2),0,MIN($E560-SUM($G560:V560),$F560))</f>
        <v>0</v>
      </c>
      <c r="X560" s="424">
        <f>IF(OR(X$545&lt;$C560,X$545&lt;$H$2),0,MIN($E560-SUM($G560:W560),$F560))</f>
        <v>0</v>
      </c>
      <c r="Y560" s="424">
        <f>IF(OR(Y$545&lt;$C560,Y$545&lt;$H$2),0,MIN($E560-SUM($G560:X560),$F560))</f>
        <v>0</v>
      </c>
      <c r="Z560" s="424">
        <f>IF(OR(Z$545&lt;$C560,Z$545&lt;$H$2),0,MIN($E560-SUM($G560:Y560),$F560))</f>
        <v>0</v>
      </c>
      <c r="AA560" s="424">
        <f>IF(OR(AA$545&lt;$C560,AA$545&lt;$H$2),0,MIN($E560-SUM($G560:Z560),$F560))</f>
        <v>0</v>
      </c>
      <c r="AB560" s="424">
        <f>IF(OR(AB$545&lt;$C560,AB$545&lt;$H$2),0,MIN($E560-SUM($G560:AA560),$F560))</f>
        <v>0</v>
      </c>
      <c r="AC560" s="424">
        <f>IF(OR(AC$545&lt;$C560,AC$545&lt;$H$2),0,MIN($E560-SUM($G560:AB560),$F560))</f>
        <v>0</v>
      </c>
      <c r="AD560" s="424">
        <f>IF(OR(AD$545&lt;$C560,AD$545&lt;$H$2),0,MIN($E560-SUM($G560:AC560),$F560))</f>
        <v>0</v>
      </c>
      <c r="AE560" s="424">
        <f>IF(OR(AE$545&lt;$C560,AE$545&lt;$H$2),0,MIN($E560-SUM($G560:AD560),$F560))</f>
        <v>0</v>
      </c>
      <c r="AF560" s="424">
        <f>IF(OR(AF$545&lt;$C560,AF$545&lt;$H$2),0,MIN($E560-SUM($G560:AE560),$F560))</f>
        <v>0</v>
      </c>
      <c r="AG560" s="424">
        <f>IF(OR(AG$545&lt;$C560,AG$545&lt;$H$2),0,MIN($E560-SUM($G560:AF560),$F560))</f>
        <v>0</v>
      </c>
      <c r="AH560" s="424">
        <f>IF(OR(AH$545&lt;$C560,AH$545&lt;$H$2),0,MIN($E560-SUM($G560:AG560),$F560))</f>
        <v>0</v>
      </c>
      <c r="AI560" s="424">
        <f>IF(OR(AI$545&lt;$C560,AI$545&lt;$H$2),0,MIN($E560-SUM($G560:AH560),$F560))</f>
        <v>0</v>
      </c>
      <c r="AJ560" s="424">
        <f>IF(OR(AJ$545&lt;$C560,AJ$545&lt;$H$2),0,MIN($E560-SUM($G560:AI560),$F560))</f>
        <v>0</v>
      </c>
      <c r="AK560" s="424">
        <f>IF(OR(AK$545&lt;$C560,AK$545&lt;$H$2),0,MIN($E560-SUM($G560:AJ560),$F560))</f>
        <v>0</v>
      </c>
    </row>
    <row r="561" spans="3:37">
      <c r="C561" s="201">
        <v>50781</v>
      </c>
      <c r="D561" s="94" t="s">
        <v>134</v>
      </c>
      <c r="E561" s="424">
        <f t="shared" si="146"/>
        <v>0</v>
      </c>
      <c r="F561" s="209">
        <f t="shared" si="147"/>
        <v>0</v>
      </c>
      <c r="H561" s="424">
        <f>IF(OR(H$545&lt;$C561,H$545&lt;$H$2),0,MIN($E561-SUM($G561:G561),$F561))</f>
        <v>0</v>
      </c>
      <c r="I561" s="424">
        <f>IF(OR(I$545&lt;$C561,I$545&lt;$H$2),0,MIN($E561-SUM($G561:H561),$F561))</f>
        <v>0</v>
      </c>
      <c r="J561" s="424">
        <f>IF(OR(J$545&lt;$C561,J$545&lt;$H$2),0,MIN($E561-SUM($G561:I561),$F561))</f>
        <v>0</v>
      </c>
      <c r="K561" s="424">
        <f>IF(OR(K$545&lt;$C561,K$545&lt;$H$2),0,MIN($E561-SUM($G561:J561),$F561))</f>
        <v>0</v>
      </c>
      <c r="L561" s="424">
        <f>IF(OR(L$545&lt;$C561,L$545&lt;$H$2),0,MIN($E561-SUM($G561:K561),$F561))</f>
        <v>0</v>
      </c>
      <c r="M561" s="424">
        <f>IF(OR(M$545&lt;$C561,M$545&lt;$H$2),0,MIN($E561-SUM($G561:L561),$F561))</f>
        <v>0</v>
      </c>
      <c r="N561" s="424">
        <f>IF(OR(N$545&lt;$C561,N$545&lt;$H$2),0,MIN($E561-SUM($G561:M561),$F561))</f>
        <v>0</v>
      </c>
      <c r="O561" s="424">
        <f>IF(OR(O$545&lt;$C561,O$545&lt;$H$2),0,MIN($E561-SUM($G561:N561),$F561))</f>
        <v>0</v>
      </c>
      <c r="P561" s="424">
        <f>IF(OR(P$545&lt;$C561,P$545&lt;$H$2),0,MIN($E561-SUM($G561:O561),$F561))</f>
        <v>0</v>
      </c>
      <c r="Q561" s="424">
        <f>IF(OR(Q$545&lt;$C561,Q$545&lt;$H$2),0,MIN($E561-SUM($G561:P561),$F561))</f>
        <v>0</v>
      </c>
      <c r="R561" s="424">
        <f>IF(OR(R$545&lt;$C561,R$545&lt;$H$2),0,MIN($E561-SUM($G561:Q561),$F561))</f>
        <v>0</v>
      </c>
      <c r="S561" s="424">
        <f>IF(OR(S$545&lt;$C561,S$545&lt;$H$2),0,MIN($E561-SUM($G561:R561),$F561))</f>
        <v>0</v>
      </c>
      <c r="T561" s="424">
        <f>IF(OR(T$545&lt;$C561,T$545&lt;$H$2),0,MIN($E561-SUM($G561:S561),$F561))</f>
        <v>0</v>
      </c>
      <c r="U561" s="424">
        <f>IF(OR(U$545&lt;$C561,U$545&lt;$H$2),0,MIN($E561-SUM($G561:T561),$F561))</f>
        <v>0</v>
      </c>
      <c r="V561" s="424">
        <f>IF(OR(V$545&lt;$C561,V$545&lt;$H$2),0,MIN($E561-SUM($G561:U561),$F561))</f>
        <v>0</v>
      </c>
      <c r="W561" s="424">
        <f>IF(OR(W$545&lt;$C561,W$545&lt;$H$2),0,MIN($E561-SUM($G561:V561),$F561))</f>
        <v>0</v>
      </c>
      <c r="X561" s="424">
        <f>IF(OR(X$545&lt;$C561,X$545&lt;$H$2),0,MIN($E561-SUM($G561:W561),$F561))</f>
        <v>0</v>
      </c>
      <c r="Y561" s="424">
        <f>IF(OR(Y$545&lt;$C561,Y$545&lt;$H$2),0,MIN($E561-SUM($G561:X561),$F561))</f>
        <v>0</v>
      </c>
      <c r="Z561" s="424">
        <f>IF(OR(Z$545&lt;$C561,Z$545&lt;$H$2),0,MIN($E561-SUM($G561:Y561),$F561))</f>
        <v>0</v>
      </c>
      <c r="AA561" s="424">
        <f>IF(OR(AA$545&lt;$C561,AA$545&lt;$H$2),0,MIN($E561-SUM($G561:Z561),$F561))</f>
        <v>0</v>
      </c>
      <c r="AB561" s="424">
        <f>IF(OR(AB$545&lt;$C561,AB$545&lt;$H$2),0,MIN($E561-SUM($G561:AA561),$F561))</f>
        <v>0</v>
      </c>
      <c r="AC561" s="424">
        <f>IF(OR(AC$545&lt;$C561,AC$545&lt;$H$2),0,MIN($E561-SUM($G561:AB561),$F561))</f>
        <v>0</v>
      </c>
      <c r="AD561" s="424">
        <f>IF(OR(AD$545&lt;$C561,AD$545&lt;$H$2),0,MIN($E561-SUM($G561:AC561),$F561))</f>
        <v>0</v>
      </c>
      <c r="AE561" s="424">
        <f>IF(OR(AE$545&lt;$C561,AE$545&lt;$H$2),0,MIN($E561-SUM($G561:AD561),$F561))</f>
        <v>0</v>
      </c>
      <c r="AF561" s="424">
        <f>IF(OR(AF$545&lt;$C561,AF$545&lt;$H$2),0,MIN($E561-SUM($G561:AE561),$F561))</f>
        <v>0</v>
      </c>
      <c r="AG561" s="424">
        <f>IF(OR(AG$545&lt;$C561,AG$545&lt;$H$2),0,MIN($E561-SUM($G561:AF561),$F561))</f>
        <v>0</v>
      </c>
      <c r="AH561" s="424">
        <f>IF(OR(AH$545&lt;$C561,AH$545&lt;$H$2),0,MIN($E561-SUM($G561:AG561),$F561))</f>
        <v>0</v>
      </c>
      <c r="AI561" s="424">
        <f>IF(OR(AI$545&lt;$C561,AI$545&lt;$H$2),0,MIN($E561-SUM($G561:AH561),$F561))</f>
        <v>0</v>
      </c>
      <c r="AJ561" s="424">
        <f>IF(OR(AJ$545&lt;$C561,AJ$545&lt;$H$2),0,MIN($E561-SUM($G561:AI561),$F561))</f>
        <v>0</v>
      </c>
      <c r="AK561" s="424">
        <f>IF(OR(AK$545&lt;$C561,AK$545&lt;$H$2),0,MIN($E561-SUM($G561:AJ561),$F561))</f>
        <v>0</v>
      </c>
    </row>
    <row r="562" spans="3:37">
      <c r="C562" s="201">
        <v>51147</v>
      </c>
      <c r="D562" s="94" t="s">
        <v>134</v>
      </c>
      <c r="E562" s="424">
        <f t="shared" si="146"/>
        <v>0</v>
      </c>
      <c r="F562" s="209">
        <f t="shared" si="147"/>
        <v>0</v>
      </c>
      <c r="H562" s="424">
        <f>IF(OR(H$545&lt;$C562,H$545&lt;$H$2),0,MIN($E562-SUM($G562:G562),$F562))</f>
        <v>0</v>
      </c>
      <c r="I562" s="424">
        <f>IF(OR(I$545&lt;$C562,I$545&lt;$H$2),0,MIN($E562-SUM($G562:H562),$F562))</f>
        <v>0</v>
      </c>
      <c r="J562" s="424">
        <f>IF(OR(J$545&lt;$C562,J$545&lt;$H$2),0,MIN($E562-SUM($G562:I562),$F562))</f>
        <v>0</v>
      </c>
      <c r="K562" s="424">
        <f>IF(OR(K$545&lt;$C562,K$545&lt;$H$2),0,MIN($E562-SUM($G562:J562),$F562))</f>
        <v>0</v>
      </c>
      <c r="L562" s="424">
        <f>IF(OR(L$545&lt;$C562,L$545&lt;$H$2),0,MIN($E562-SUM($G562:K562),$F562))</f>
        <v>0</v>
      </c>
      <c r="M562" s="424">
        <f>IF(OR(M$545&lt;$C562,M$545&lt;$H$2),0,MIN($E562-SUM($G562:L562),$F562))</f>
        <v>0</v>
      </c>
      <c r="N562" s="424">
        <f>IF(OR(N$545&lt;$C562,N$545&lt;$H$2),0,MIN($E562-SUM($G562:M562),$F562))</f>
        <v>0</v>
      </c>
      <c r="O562" s="424">
        <f>IF(OR(O$545&lt;$C562,O$545&lt;$H$2),0,MIN($E562-SUM($G562:N562),$F562))</f>
        <v>0</v>
      </c>
      <c r="P562" s="424">
        <f>IF(OR(P$545&lt;$C562,P$545&lt;$H$2),0,MIN($E562-SUM($G562:O562),$F562))</f>
        <v>0</v>
      </c>
      <c r="Q562" s="424">
        <f>IF(OR(Q$545&lt;$C562,Q$545&lt;$H$2),0,MIN($E562-SUM($G562:P562),$F562))</f>
        <v>0</v>
      </c>
      <c r="R562" s="424">
        <f>IF(OR(R$545&lt;$C562,R$545&lt;$H$2),0,MIN($E562-SUM($G562:Q562),$F562))</f>
        <v>0</v>
      </c>
      <c r="S562" s="424">
        <f>IF(OR(S$545&lt;$C562,S$545&lt;$H$2),0,MIN($E562-SUM($G562:R562),$F562))</f>
        <v>0</v>
      </c>
      <c r="T562" s="424">
        <f>IF(OR(T$545&lt;$C562,T$545&lt;$H$2),0,MIN($E562-SUM($G562:S562),$F562))</f>
        <v>0</v>
      </c>
      <c r="U562" s="424">
        <f>IF(OR(U$545&lt;$C562,U$545&lt;$H$2),0,MIN($E562-SUM($G562:T562),$F562))</f>
        <v>0</v>
      </c>
      <c r="V562" s="424">
        <f>IF(OR(V$545&lt;$C562,V$545&lt;$H$2),0,MIN($E562-SUM($G562:U562),$F562))</f>
        <v>0</v>
      </c>
      <c r="W562" s="424">
        <f>IF(OR(W$545&lt;$C562,W$545&lt;$H$2),0,MIN($E562-SUM($G562:V562),$F562))</f>
        <v>0</v>
      </c>
      <c r="X562" s="424">
        <f>IF(OR(X$545&lt;$C562,X$545&lt;$H$2),0,MIN($E562-SUM($G562:W562),$F562))</f>
        <v>0</v>
      </c>
      <c r="Y562" s="424">
        <f>IF(OR(Y$545&lt;$C562,Y$545&lt;$H$2),0,MIN($E562-SUM($G562:X562),$F562))</f>
        <v>0</v>
      </c>
      <c r="Z562" s="424">
        <f>IF(OR(Z$545&lt;$C562,Z$545&lt;$H$2),0,MIN($E562-SUM($G562:Y562),$F562))</f>
        <v>0</v>
      </c>
      <c r="AA562" s="424">
        <f>IF(OR(AA$545&lt;$C562,AA$545&lt;$H$2),0,MIN($E562-SUM($G562:Z562),$F562))</f>
        <v>0</v>
      </c>
      <c r="AB562" s="424">
        <f>IF(OR(AB$545&lt;$C562,AB$545&lt;$H$2),0,MIN($E562-SUM($G562:AA562),$F562))</f>
        <v>0</v>
      </c>
      <c r="AC562" s="424">
        <f>IF(OR(AC$545&lt;$C562,AC$545&lt;$H$2),0,MIN($E562-SUM($G562:AB562),$F562))</f>
        <v>0</v>
      </c>
      <c r="AD562" s="424">
        <f>IF(OR(AD$545&lt;$C562,AD$545&lt;$H$2),0,MIN($E562-SUM($G562:AC562),$F562))</f>
        <v>0</v>
      </c>
      <c r="AE562" s="424">
        <f>IF(OR(AE$545&lt;$C562,AE$545&lt;$H$2),0,MIN($E562-SUM($G562:AD562),$F562))</f>
        <v>0</v>
      </c>
      <c r="AF562" s="424">
        <f>IF(OR(AF$545&lt;$C562,AF$545&lt;$H$2),0,MIN($E562-SUM($G562:AE562),$F562))</f>
        <v>0</v>
      </c>
      <c r="AG562" s="424">
        <f>IF(OR(AG$545&lt;$C562,AG$545&lt;$H$2),0,MIN($E562-SUM($G562:AF562),$F562))</f>
        <v>0</v>
      </c>
      <c r="AH562" s="424">
        <f>IF(OR(AH$545&lt;$C562,AH$545&lt;$H$2),0,MIN($E562-SUM($G562:AG562),$F562))</f>
        <v>0</v>
      </c>
      <c r="AI562" s="424">
        <f>IF(OR(AI$545&lt;$C562,AI$545&lt;$H$2),0,MIN($E562-SUM($G562:AH562),$F562))</f>
        <v>0</v>
      </c>
      <c r="AJ562" s="424">
        <f>IF(OR(AJ$545&lt;$C562,AJ$545&lt;$H$2),0,MIN($E562-SUM($G562:AI562),$F562))</f>
        <v>0</v>
      </c>
      <c r="AK562" s="424">
        <f>IF(OR(AK$545&lt;$C562,AK$545&lt;$H$2),0,MIN($E562-SUM($G562:AJ562),$F562))</f>
        <v>0</v>
      </c>
    </row>
    <row r="563" spans="3:37">
      <c r="C563" s="201">
        <v>51513</v>
      </c>
      <c r="D563" s="94" t="s">
        <v>134</v>
      </c>
      <c r="E563" s="424">
        <f t="shared" si="146"/>
        <v>0</v>
      </c>
      <c r="F563" s="209">
        <f t="shared" si="147"/>
        <v>0</v>
      </c>
      <c r="H563" s="424">
        <f>IF(OR(H$545&lt;$C563,H$545&lt;$H$2),0,MIN($E563-SUM($G563:G563),$F563))</f>
        <v>0</v>
      </c>
      <c r="I563" s="424">
        <f>IF(OR(I$545&lt;$C563,I$545&lt;$H$2),0,MIN($E563-SUM($G563:H563),$F563))</f>
        <v>0</v>
      </c>
      <c r="J563" s="424">
        <f>IF(OR(J$545&lt;$C563,J$545&lt;$H$2),0,MIN($E563-SUM($G563:I563),$F563))</f>
        <v>0</v>
      </c>
      <c r="K563" s="424">
        <f>IF(OR(K$545&lt;$C563,K$545&lt;$H$2),0,MIN($E563-SUM($G563:J563),$F563))</f>
        <v>0</v>
      </c>
      <c r="L563" s="424">
        <f>IF(OR(L$545&lt;$C563,L$545&lt;$H$2),0,MIN($E563-SUM($G563:K563),$F563))</f>
        <v>0</v>
      </c>
      <c r="M563" s="424">
        <f>IF(OR(M$545&lt;$C563,M$545&lt;$H$2),0,MIN($E563-SUM($G563:L563),$F563))</f>
        <v>0</v>
      </c>
      <c r="N563" s="424">
        <f>IF(OR(N$545&lt;$C563,N$545&lt;$H$2),0,MIN($E563-SUM($G563:M563),$F563))</f>
        <v>0</v>
      </c>
      <c r="O563" s="424">
        <f>IF(OR(O$545&lt;$C563,O$545&lt;$H$2),0,MIN($E563-SUM($G563:N563),$F563))</f>
        <v>0</v>
      </c>
      <c r="P563" s="424">
        <f>IF(OR(P$545&lt;$C563,P$545&lt;$H$2),0,MIN($E563-SUM($G563:O563),$F563))</f>
        <v>0</v>
      </c>
      <c r="Q563" s="424">
        <f>IF(OR(Q$545&lt;$C563,Q$545&lt;$H$2),0,MIN($E563-SUM($G563:P563),$F563))</f>
        <v>0</v>
      </c>
      <c r="R563" s="424">
        <f>IF(OR(R$545&lt;$C563,R$545&lt;$H$2),0,MIN($E563-SUM($G563:Q563),$F563))</f>
        <v>0</v>
      </c>
      <c r="S563" s="424">
        <f>IF(OR(S$545&lt;$C563,S$545&lt;$H$2),0,MIN($E563-SUM($G563:R563),$F563))</f>
        <v>0</v>
      </c>
      <c r="T563" s="424">
        <f>IF(OR(T$545&lt;$C563,T$545&lt;$H$2),0,MIN($E563-SUM($G563:S563),$F563))</f>
        <v>0</v>
      </c>
      <c r="U563" s="424">
        <f>IF(OR(U$545&lt;$C563,U$545&lt;$H$2),0,MIN($E563-SUM($G563:T563),$F563))</f>
        <v>0</v>
      </c>
      <c r="V563" s="424">
        <f>IF(OR(V$545&lt;$C563,V$545&lt;$H$2),0,MIN($E563-SUM($G563:U563),$F563))</f>
        <v>0</v>
      </c>
      <c r="W563" s="424">
        <f>IF(OR(W$545&lt;$C563,W$545&lt;$H$2),0,MIN($E563-SUM($G563:V563),$F563))</f>
        <v>0</v>
      </c>
      <c r="X563" s="424">
        <f>IF(OR(X$545&lt;$C563,X$545&lt;$H$2),0,MIN($E563-SUM($G563:W563),$F563))</f>
        <v>0</v>
      </c>
      <c r="Y563" s="424">
        <f>IF(OR(Y$545&lt;$C563,Y$545&lt;$H$2),0,MIN($E563-SUM($G563:X563),$F563))</f>
        <v>0</v>
      </c>
      <c r="Z563" s="424">
        <f>IF(OR(Z$545&lt;$C563,Z$545&lt;$H$2),0,MIN($E563-SUM($G563:Y563),$F563))</f>
        <v>0</v>
      </c>
      <c r="AA563" s="424">
        <f>IF(OR(AA$545&lt;$C563,AA$545&lt;$H$2),0,MIN($E563-SUM($G563:Z563),$F563))</f>
        <v>0</v>
      </c>
      <c r="AB563" s="424">
        <f>IF(OR(AB$545&lt;$C563,AB$545&lt;$H$2),0,MIN($E563-SUM($G563:AA563),$F563))</f>
        <v>0</v>
      </c>
      <c r="AC563" s="424">
        <f>IF(OR(AC$545&lt;$C563,AC$545&lt;$H$2),0,MIN($E563-SUM($G563:AB563),$F563))</f>
        <v>0</v>
      </c>
      <c r="AD563" s="424">
        <f>IF(OR(AD$545&lt;$C563,AD$545&lt;$H$2),0,MIN($E563-SUM($G563:AC563),$F563))</f>
        <v>0</v>
      </c>
      <c r="AE563" s="424">
        <f>IF(OR(AE$545&lt;$C563,AE$545&lt;$H$2),0,MIN($E563-SUM($G563:AD563),$F563))</f>
        <v>0</v>
      </c>
      <c r="AF563" s="424">
        <f>IF(OR(AF$545&lt;$C563,AF$545&lt;$H$2),0,MIN($E563-SUM($G563:AE563),$F563))</f>
        <v>0</v>
      </c>
      <c r="AG563" s="424">
        <f>IF(OR(AG$545&lt;$C563,AG$545&lt;$H$2),0,MIN($E563-SUM($G563:AF563),$F563))</f>
        <v>0</v>
      </c>
      <c r="AH563" s="424">
        <f>IF(OR(AH$545&lt;$C563,AH$545&lt;$H$2),0,MIN($E563-SUM($G563:AG563),$F563))</f>
        <v>0</v>
      </c>
      <c r="AI563" s="424">
        <f>IF(OR(AI$545&lt;$C563,AI$545&lt;$H$2),0,MIN($E563-SUM($G563:AH563),$F563))</f>
        <v>0</v>
      </c>
      <c r="AJ563" s="424">
        <f>IF(OR(AJ$545&lt;$C563,AJ$545&lt;$H$2),0,MIN($E563-SUM($G563:AI563),$F563))</f>
        <v>0</v>
      </c>
      <c r="AK563" s="424">
        <f>IF(OR(AK$545&lt;$C563,AK$545&lt;$H$2),0,MIN($E563-SUM($G563:AJ563),$F563))</f>
        <v>0</v>
      </c>
    </row>
    <row r="564" spans="3:37">
      <c r="C564" s="201">
        <v>51879</v>
      </c>
      <c r="D564" s="94" t="s">
        <v>134</v>
      </c>
      <c r="E564" s="424">
        <f t="shared" si="146"/>
        <v>0</v>
      </c>
      <c r="F564" s="209">
        <f t="shared" si="147"/>
        <v>0</v>
      </c>
      <c r="H564" s="424">
        <f>IF(OR(H$545&lt;$C564,H$545&lt;$H$2),0,MIN($E564-SUM($G564:G564),$F564))</f>
        <v>0</v>
      </c>
      <c r="I564" s="424">
        <f>IF(OR(I$545&lt;$C564,I$545&lt;$H$2),0,MIN($E564-SUM($G564:H564),$F564))</f>
        <v>0</v>
      </c>
      <c r="J564" s="424">
        <f>IF(OR(J$545&lt;$C564,J$545&lt;$H$2),0,MIN($E564-SUM($G564:I564),$F564))</f>
        <v>0</v>
      </c>
      <c r="K564" s="424">
        <f>IF(OR(K$545&lt;$C564,K$545&lt;$H$2),0,MIN($E564-SUM($G564:J564),$F564))</f>
        <v>0</v>
      </c>
      <c r="L564" s="424">
        <f>IF(OR(L$545&lt;$C564,L$545&lt;$H$2),0,MIN($E564-SUM($G564:K564),$F564))</f>
        <v>0</v>
      </c>
      <c r="M564" s="424">
        <f>IF(OR(M$545&lt;$C564,M$545&lt;$H$2),0,MIN($E564-SUM($G564:L564),$F564))</f>
        <v>0</v>
      </c>
      <c r="N564" s="424">
        <f>IF(OR(N$545&lt;$C564,N$545&lt;$H$2),0,MIN($E564-SUM($G564:M564),$F564))</f>
        <v>0</v>
      </c>
      <c r="O564" s="424">
        <f>IF(OR(O$545&lt;$C564,O$545&lt;$H$2),0,MIN($E564-SUM($G564:N564),$F564))</f>
        <v>0</v>
      </c>
      <c r="P564" s="424">
        <f>IF(OR(P$545&lt;$C564,P$545&lt;$H$2),0,MIN($E564-SUM($G564:O564),$F564))</f>
        <v>0</v>
      </c>
      <c r="Q564" s="424">
        <f>IF(OR(Q$545&lt;$C564,Q$545&lt;$H$2),0,MIN($E564-SUM($G564:P564),$F564))</f>
        <v>0</v>
      </c>
      <c r="R564" s="424">
        <f>IF(OR(R$545&lt;$C564,R$545&lt;$H$2),0,MIN($E564-SUM($G564:Q564),$F564))</f>
        <v>0</v>
      </c>
      <c r="S564" s="424">
        <f>IF(OR(S$545&lt;$C564,S$545&lt;$H$2),0,MIN($E564-SUM($G564:R564),$F564))</f>
        <v>0</v>
      </c>
      <c r="T564" s="424">
        <f>IF(OR(T$545&lt;$C564,T$545&lt;$H$2),0,MIN($E564-SUM($G564:S564),$F564))</f>
        <v>0</v>
      </c>
      <c r="U564" s="424">
        <f>IF(OR(U$545&lt;$C564,U$545&lt;$H$2),0,MIN($E564-SUM($G564:T564),$F564))</f>
        <v>0</v>
      </c>
      <c r="V564" s="424">
        <f>IF(OR(V$545&lt;$C564,V$545&lt;$H$2),0,MIN($E564-SUM($G564:U564),$F564))</f>
        <v>0</v>
      </c>
      <c r="W564" s="424">
        <f>IF(OR(W$545&lt;$C564,W$545&lt;$H$2),0,MIN($E564-SUM($G564:V564),$F564))</f>
        <v>0</v>
      </c>
      <c r="X564" s="424">
        <f>IF(OR(X$545&lt;$C564,X$545&lt;$H$2),0,MIN($E564-SUM($G564:W564),$F564))</f>
        <v>0</v>
      </c>
      <c r="Y564" s="424">
        <f>IF(OR(Y$545&lt;$C564,Y$545&lt;$H$2),0,MIN($E564-SUM($G564:X564),$F564))</f>
        <v>0</v>
      </c>
      <c r="Z564" s="424">
        <f>IF(OR(Z$545&lt;$C564,Z$545&lt;$H$2),0,MIN($E564-SUM($G564:Y564),$F564))</f>
        <v>0</v>
      </c>
      <c r="AA564" s="424">
        <f>IF(OR(AA$545&lt;$C564,AA$545&lt;$H$2),0,MIN($E564-SUM($G564:Z564),$F564))</f>
        <v>0</v>
      </c>
      <c r="AB564" s="424">
        <f>IF(OR(AB$545&lt;$C564,AB$545&lt;$H$2),0,MIN($E564-SUM($G564:AA564),$F564))</f>
        <v>0</v>
      </c>
      <c r="AC564" s="424">
        <f>IF(OR(AC$545&lt;$C564,AC$545&lt;$H$2),0,MIN($E564-SUM($G564:AB564),$F564))</f>
        <v>0</v>
      </c>
      <c r="AD564" s="424">
        <f>IF(OR(AD$545&lt;$C564,AD$545&lt;$H$2),0,MIN($E564-SUM($G564:AC564),$F564))</f>
        <v>0</v>
      </c>
      <c r="AE564" s="424">
        <f>IF(OR(AE$545&lt;$C564,AE$545&lt;$H$2),0,MIN($E564-SUM($G564:AD564),$F564))</f>
        <v>0</v>
      </c>
      <c r="AF564" s="424">
        <f>IF(OR(AF$545&lt;$C564,AF$545&lt;$H$2),0,MIN($E564-SUM($G564:AE564),$F564))</f>
        <v>0</v>
      </c>
      <c r="AG564" s="424">
        <f>IF(OR(AG$545&lt;$C564,AG$545&lt;$H$2),0,MIN($E564-SUM($G564:AF564),$F564))</f>
        <v>0</v>
      </c>
      <c r="AH564" s="424">
        <f>IF(OR(AH$545&lt;$C564,AH$545&lt;$H$2),0,MIN($E564-SUM($G564:AG564),$F564))</f>
        <v>0</v>
      </c>
      <c r="AI564" s="424">
        <f>IF(OR(AI$545&lt;$C564,AI$545&lt;$H$2),0,MIN($E564-SUM($G564:AH564),$F564))</f>
        <v>0</v>
      </c>
      <c r="AJ564" s="424">
        <f>IF(OR(AJ$545&lt;$C564,AJ$545&lt;$H$2),0,MIN($E564-SUM($G564:AI564),$F564))</f>
        <v>0</v>
      </c>
      <c r="AK564" s="424">
        <f>IF(OR(AK$545&lt;$C564,AK$545&lt;$H$2),0,MIN($E564-SUM($G564:AJ564),$F564))</f>
        <v>0</v>
      </c>
    </row>
    <row r="565" spans="3:37">
      <c r="C565" s="201">
        <v>52245</v>
      </c>
      <c r="D565" s="94" t="s">
        <v>134</v>
      </c>
      <c r="E565" s="424">
        <f t="shared" si="146"/>
        <v>0</v>
      </c>
      <c r="F565" s="209">
        <f t="shared" si="147"/>
        <v>0</v>
      </c>
      <c r="H565" s="424">
        <f>IF(OR(H$545&lt;$C565,H$545&lt;$H$2),0,MIN($E565-SUM($G565:G565),$F565))</f>
        <v>0</v>
      </c>
      <c r="I565" s="424">
        <f>IF(OR(I$545&lt;$C565,I$545&lt;$H$2),0,MIN($E565-SUM($G565:H565),$F565))</f>
        <v>0</v>
      </c>
      <c r="J565" s="424">
        <f>IF(OR(J$545&lt;$C565,J$545&lt;$H$2),0,MIN($E565-SUM($G565:I565),$F565))</f>
        <v>0</v>
      </c>
      <c r="K565" s="424">
        <f>IF(OR(K$545&lt;$C565,K$545&lt;$H$2),0,MIN($E565-SUM($G565:J565),$F565))</f>
        <v>0</v>
      </c>
      <c r="L565" s="424">
        <f>IF(OR(L$545&lt;$C565,L$545&lt;$H$2),0,MIN($E565-SUM($G565:K565),$F565))</f>
        <v>0</v>
      </c>
      <c r="M565" s="424">
        <f>IF(OR(M$545&lt;$C565,M$545&lt;$H$2),0,MIN($E565-SUM($G565:L565),$F565))</f>
        <v>0</v>
      </c>
      <c r="N565" s="424">
        <f>IF(OR(N$545&lt;$C565,N$545&lt;$H$2),0,MIN($E565-SUM($G565:M565),$F565))</f>
        <v>0</v>
      </c>
      <c r="O565" s="424">
        <f>IF(OR(O$545&lt;$C565,O$545&lt;$H$2),0,MIN($E565-SUM($G565:N565),$F565))</f>
        <v>0</v>
      </c>
      <c r="P565" s="424">
        <f>IF(OR(P$545&lt;$C565,P$545&lt;$H$2),0,MIN($E565-SUM($G565:O565),$F565))</f>
        <v>0</v>
      </c>
      <c r="Q565" s="424">
        <f>IF(OR(Q$545&lt;$C565,Q$545&lt;$H$2),0,MIN($E565-SUM($G565:P565),$F565))</f>
        <v>0</v>
      </c>
      <c r="R565" s="424">
        <f>IF(OR(R$545&lt;$C565,R$545&lt;$H$2),0,MIN($E565-SUM($G565:Q565),$F565))</f>
        <v>0</v>
      </c>
      <c r="S565" s="424">
        <f>IF(OR(S$545&lt;$C565,S$545&lt;$H$2),0,MIN($E565-SUM($G565:R565),$F565))</f>
        <v>0</v>
      </c>
      <c r="T565" s="424">
        <f>IF(OR(T$545&lt;$C565,T$545&lt;$H$2),0,MIN($E565-SUM($G565:S565),$F565))</f>
        <v>0</v>
      </c>
      <c r="U565" s="424">
        <f>IF(OR(U$545&lt;$C565,U$545&lt;$H$2),0,MIN($E565-SUM($G565:T565),$F565))</f>
        <v>0</v>
      </c>
      <c r="V565" s="424">
        <f>IF(OR(V$545&lt;$C565,V$545&lt;$H$2),0,MIN($E565-SUM($G565:U565),$F565))</f>
        <v>0</v>
      </c>
      <c r="W565" s="424">
        <f>IF(OR(W$545&lt;$C565,W$545&lt;$H$2),0,MIN($E565-SUM($G565:V565),$F565))</f>
        <v>0</v>
      </c>
      <c r="X565" s="424">
        <f>IF(OR(X$545&lt;$C565,X$545&lt;$H$2),0,MIN($E565-SUM($G565:W565),$F565))</f>
        <v>0</v>
      </c>
      <c r="Y565" s="424">
        <f>IF(OR(Y$545&lt;$C565,Y$545&lt;$H$2),0,MIN($E565-SUM($G565:X565),$F565))</f>
        <v>0</v>
      </c>
      <c r="Z565" s="424">
        <f>IF(OR(Z$545&lt;$C565,Z$545&lt;$H$2),0,MIN($E565-SUM($G565:Y565),$F565))</f>
        <v>0</v>
      </c>
      <c r="AA565" s="424">
        <f>IF(OR(AA$545&lt;$C565,AA$545&lt;$H$2),0,MIN($E565-SUM($G565:Z565),$F565))</f>
        <v>0</v>
      </c>
      <c r="AB565" s="424">
        <f>IF(OR(AB$545&lt;$C565,AB$545&lt;$H$2),0,MIN($E565-SUM($G565:AA565),$F565))</f>
        <v>0</v>
      </c>
      <c r="AC565" s="424">
        <f>IF(OR(AC$545&lt;$C565,AC$545&lt;$H$2),0,MIN($E565-SUM($G565:AB565),$F565))</f>
        <v>0</v>
      </c>
      <c r="AD565" s="424">
        <f>IF(OR(AD$545&lt;$C565,AD$545&lt;$H$2),0,MIN($E565-SUM($G565:AC565),$F565))</f>
        <v>0</v>
      </c>
      <c r="AE565" s="424">
        <f>IF(OR(AE$545&lt;$C565,AE$545&lt;$H$2),0,MIN($E565-SUM($G565:AD565),$F565))</f>
        <v>0</v>
      </c>
      <c r="AF565" s="424">
        <f>IF(OR(AF$545&lt;$C565,AF$545&lt;$H$2),0,MIN($E565-SUM($G565:AE565),$F565))</f>
        <v>0</v>
      </c>
      <c r="AG565" s="424">
        <f>IF(OR(AG$545&lt;$C565,AG$545&lt;$H$2),0,MIN($E565-SUM($G565:AF565),$F565))</f>
        <v>0</v>
      </c>
      <c r="AH565" s="424">
        <f>IF(OR(AH$545&lt;$C565,AH$545&lt;$H$2),0,MIN($E565-SUM($G565:AG565),$F565))</f>
        <v>0</v>
      </c>
      <c r="AI565" s="424">
        <f>IF(OR(AI$545&lt;$C565,AI$545&lt;$H$2),0,MIN($E565-SUM($G565:AH565),$F565))</f>
        <v>0</v>
      </c>
      <c r="AJ565" s="424">
        <f>IF(OR(AJ$545&lt;$C565,AJ$545&lt;$H$2),0,MIN($E565-SUM($G565:AI565),$F565))</f>
        <v>0</v>
      </c>
      <c r="AK565" s="424">
        <f>IF(OR(AK$545&lt;$C565,AK$545&lt;$H$2),0,MIN($E565-SUM($G565:AJ565),$F565))</f>
        <v>0</v>
      </c>
    </row>
    <row r="566" spans="3:37">
      <c r="C566" s="201">
        <v>52611</v>
      </c>
      <c r="D566" s="94" t="s">
        <v>134</v>
      </c>
      <c r="E566" s="424">
        <f t="shared" si="146"/>
        <v>0</v>
      </c>
      <c r="F566" s="209">
        <f t="shared" si="147"/>
        <v>0</v>
      </c>
      <c r="H566" s="424">
        <f>IF(OR(H$545&lt;$C566,H$545&lt;$H$2),0,MIN($E566-SUM($G566:G566),$F566))</f>
        <v>0</v>
      </c>
      <c r="I566" s="424">
        <f>IF(OR(I$545&lt;$C566,I$545&lt;$H$2),0,MIN($E566-SUM($G566:H566),$F566))</f>
        <v>0</v>
      </c>
      <c r="J566" s="424">
        <f>IF(OR(J$545&lt;$C566,J$545&lt;$H$2),0,MIN($E566-SUM($G566:I566),$F566))</f>
        <v>0</v>
      </c>
      <c r="K566" s="424">
        <f>IF(OR(K$545&lt;$C566,K$545&lt;$H$2),0,MIN($E566-SUM($G566:J566),$F566))</f>
        <v>0</v>
      </c>
      <c r="L566" s="424">
        <f>IF(OR(L$545&lt;$C566,L$545&lt;$H$2),0,MIN($E566-SUM($G566:K566),$F566))</f>
        <v>0</v>
      </c>
      <c r="M566" s="424">
        <f>IF(OR(M$545&lt;$C566,M$545&lt;$H$2),0,MIN($E566-SUM($G566:L566),$F566))</f>
        <v>0</v>
      </c>
      <c r="N566" s="424">
        <f>IF(OR(N$545&lt;$C566,N$545&lt;$H$2),0,MIN($E566-SUM($G566:M566),$F566))</f>
        <v>0</v>
      </c>
      <c r="O566" s="424">
        <f>IF(OR(O$545&lt;$C566,O$545&lt;$H$2),0,MIN($E566-SUM($G566:N566),$F566))</f>
        <v>0</v>
      </c>
      <c r="P566" s="424">
        <f>IF(OR(P$545&lt;$C566,P$545&lt;$H$2),0,MIN($E566-SUM($G566:O566),$F566))</f>
        <v>0</v>
      </c>
      <c r="Q566" s="424">
        <f>IF(OR(Q$545&lt;$C566,Q$545&lt;$H$2),0,MIN($E566-SUM($G566:P566),$F566))</f>
        <v>0</v>
      </c>
      <c r="R566" s="424">
        <f>IF(OR(R$545&lt;$C566,R$545&lt;$H$2),0,MIN($E566-SUM($G566:Q566),$F566))</f>
        <v>0</v>
      </c>
      <c r="S566" s="424">
        <f>IF(OR(S$545&lt;$C566,S$545&lt;$H$2),0,MIN($E566-SUM($G566:R566),$F566))</f>
        <v>0</v>
      </c>
      <c r="T566" s="424">
        <f>IF(OR(T$545&lt;$C566,T$545&lt;$H$2),0,MIN($E566-SUM($G566:S566),$F566))</f>
        <v>0</v>
      </c>
      <c r="U566" s="424">
        <f>IF(OR(U$545&lt;$C566,U$545&lt;$H$2),0,MIN($E566-SUM($G566:T566),$F566))</f>
        <v>0</v>
      </c>
      <c r="V566" s="424">
        <f>IF(OR(V$545&lt;$C566,V$545&lt;$H$2),0,MIN($E566-SUM($G566:U566),$F566))</f>
        <v>0</v>
      </c>
      <c r="W566" s="424">
        <f>IF(OR(W$545&lt;$C566,W$545&lt;$H$2),0,MIN($E566-SUM($G566:V566),$F566))</f>
        <v>0</v>
      </c>
      <c r="X566" s="424">
        <f>IF(OR(X$545&lt;$C566,X$545&lt;$H$2),0,MIN($E566-SUM($G566:W566),$F566))</f>
        <v>0</v>
      </c>
      <c r="Y566" s="424">
        <f>IF(OR(Y$545&lt;$C566,Y$545&lt;$H$2),0,MIN($E566-SUM($G566:X566),$F566))</f>
        <v>0</v>
      </c>
      <c r="Z566" s="424">
        <f>IF(OR(Z$545&lt;$C566,Z$545&lt;$H$2),0,MIN($E566-SUM($G566:Y566),$F566))</f>
        <v>0</v>
      </c>
      <c r="AA566" s="424">
        <f>IF(OR(AA$545&lt;$C566,AA$545&lt;$H$2),0,MIN($E566-SUM($G566:Z566),$F566))</f>
        <v>0</v>
      </c>
      <c r="AB566" s="424">
        <f>IF(OR(AB$545&lt;$C566,AB$545&lt;$H$2),0,MIN($E566-SUM($G566:AA566),$F566))</f>
        <v>0</v>
      </c>
      <c r="AC566" s="424">
        <f>IF(OR(AC$545&lt;$C566,AC$545&lt;$H$2),0,MIN($E566-SUM($G566:AB566),$F566))</f>
        <v>0</v>
      </c>
      <c r="AD566" s="424">
        <f>IF(OR(AD$545&lt;$C566,AD$545&lt;$H$2),0,MIN($E566-SUM($G566:AC566),$F566))</f>
        <v>0</v>
      </c>
      <c r="AE566" s="424">
        <f>IF(OR(AE$545&lt;$C566,AE$545&lt;$H$2),0,MIN($E566-SUM($G566:AD566),$F566))</f>
        <v>0</v>
      </c>
      <c r="AF566" s="424">
        <f>IF(OR(AF$545&lt;$C566,AF$545&lt;$H$2),0,MIN($E566-SUM($G566:AE566),$F566))</f>
        <v>0</v>
      </c>
      <c r="AG566" s="424">
        <f>IF(OR(AG$545&lt;$C566,AG$545&lt;$H$2),0,MIN($E566-SUM($G566:AF566),$F566))</f>
        <v>0</v>
      </c>
      <c r="AH566" s="424">
        <f>IF(OR(AH$545&lt;$C566,AH$545&lt;$H$2),0,MIN($E566-SUM($G566:AG566),$F566))</f>
        <v>0</v>
      </c>
      <c r="AI566" s="424">
        <f>IF(OR(AI$545&lt;$C566,AI$545&lt;$H$2),0,MIN($E566-SUM($G566:AH566),$F566))</f>
        <v>0</v>
      </c>
      <c r="AJ566" s="424">
        <f>IF(OR(AJ$545&lt;$C566,AJ$545&lt;$H$2),0,MIN($E566-SUM($G566:AI566),$F566))</f>
        <v>0</v>
      </c>
      <c r="AK566" s="424">
        <f>IF(OR(AK$545&lt;$C566,AK$545&lt;$H$2),0,MIN($E566-SUM($G566:AJ566),$F566))</f>
        <v>0</v>
      </c>
    </row>
    <row r="567" spans="3:37">
      <c r="C567" s="201">
        <v>52977</v>
      </c>
      <c r="D567" s="94" t="s">
        <v>134</v>
      </c>
      <c r="E567" s="424">
        <f t="shared" si="146"/>
        <v>0</v>
      </c>
      <c r="F567" s="209">
        <f t="shared" si="147"/>
        <v>0</v>
      </c>
      <c r="H567" s="424">
        <f>IF(OR(H$545&lt;$C567,H$545&lt;$H$2),0,MIN($E567-SUM($G567:G567),$F567))</f>
        <v>0</v>
      </c>
      <c r="I567" s="424">
        <f>IF(OR(I$545&lt;$C567,I$545&lt;$H$2),0,MIN($E567-SUM($G567:H567),$F567))</f>
        <v>0</v>
      </c>
      <c r="J567" s="424">
        <f>IF(OR(J$545&lt;$C567,J$545&lt;$H$2),0,MIN($E567-SUM($G567:I567),$F567))</f>
        <v>0</v>
      </c>
      <c r="K567" s="424">
        <f>IF(OR(K$545&lt;$C567,K$545&lt;$H$2),0,MIN($E567-SUM($G567:J567),$F567))</f>
        <v>0</v>
      </c>
      <c r="L567" s="424">
        <f>IF(OR(L$545&lt;$C567,L$545&lt;$H$2),0,MIN($E567-SUM($G567:K567),$F567))</f>
        <v>0</v>
      </c>
      <c r="M567" s="424">
        <f>IF(OR(M$545&lt;$C567,M$545&lt;$H$2),0,MIN($E567-SUM($G567:L567),$F567))</f>
        <v>0</v>
      </c>
      <c r="N567" s="424">
        <f>IF(OR(N$545&lt;$C567,N$545&lt;$H$2),0,MIN($E567-SUM($G567:M567),$F567))</f>
        <v>0</v>
      </c>
      <c r="O567" s="424">
        <f>IF(OR(O$545&lt;$C567,O$545&lt;$H$2),0,MIN($E567-SUM($G567:N567),$F567))</f>
        <v>0</v>
      </c>
      <c r="P567" s="424">
        <f>IF(OR(P$545&lt;$C567,P$545&lt;$H$2),0,MIN($E567-SUM($G567:O567),$F567))</f>
        <v>0</v>
      </c>
      <c r="Q567" s="424">
        <f>IF(OR(Q$545&lt;$C567,Q$545&lt;$H$2),0,MIN($E567-SUM($G567:P567),$F567))</f>
        <v>0</v>
      </c>
      <c r="R567" s="424">
        <f>IF(OR(R$545&lt;$C567,R$545&lt;$H$2),0,MIN($E567-SUM($G567:Q567),$F567))</f>
        <v>0</v>
      </c>
      <c r="S567" s="424">
        <f>IF(OR(S$545&lt;$C567,S$545&lt;$H$2),0,MIN($E567-SUM($G567:R567),$F567))</f>
        <v>0</v>
      </c>
      <c r="T567" s="424">
        <f>IF(OR(T$545&lt;$C567,T$545&lt;$H$2),0,MIN($E567-SUM($G567:S567),$F567))</f>
        <v>0</v>
      </c>
      <c r="U567" s="424">
        <f>IF(OR(U$545&lt;$C567,U$545&lt;$H$2),0,MIN($E567-SUM($G567:T567),$F567))</f>
        <v>0</v>
      </c>
      <c r="V567" s="424">
        <f>IF(OR(V$545&lt;$C567,V$545&lt;$H$2),0,MIN($E567-SUM($G567:U567),$F567))</f>
        <v>0</v>
      </c>
      <c r="W567" s="424">
        <f>IF(OR(W$545&lt;$C567,W$545&lt;$H$2),0,MIN($E567-SUM($G567:V567),$F567))</f>
        <v>0</v>
      </c>
      <c r="X567" s="424">
        <f>IF(OR(X$545&lt;$C567,X$545&lt;$H$2),0,MIN($E567-SUM($G567:W567),$F567))</f>
        <v>0</v>
      </c>
      <c r="Y567" s="424">
        <f>IF(OR(Y$545&lt;$C567,Y$545&lt;$H$2),0,MIN($E567-SUM($G567:X567),$F567))</f>
        <v>0</v>
      </c>
      <c r="Z567" s="424">
        <f>IF(OR(Z$545&lt;$C567,Z$545&lt;$H$2),0,MIN($E567-SUM($G567:Y567),$F567))</f>
        <v>0</v>
      </c>
      <c r="AA567" s="424">
        <f>IF(OR(AA$545&lt;$C567,AA$545&lt;$H$2),0,MIN($E567-SUM($G567:Z567),$F567))</f>
        <v>0</v>
      </c>
      <c r="AB567" s="424">
        <f>IF(OR(AB$545&lt;$C567,AB$545&lt;$H$2),0,MIN($E567-SUM($G567:AA567),$F567))</f>
        <v>0</v>
      </c>
      <c r="AC567" s="424">
        <f>IF(OR(AC$545&lt;$C567,AC$545&lt;$H$2),0,MIN($E567-SUM($G567:AB567),$F567))</f>
        <v>0</v>
      </c>
      <c r="AD567" s="424">
        <f>IF(OR(AD$545&lt;$C567,AD$545&lt;$H$2),0,MIN($E567-SUM($G567:AC567),$F567))</f>
        <v>0</v>
      </c>
      <c r="AE567" s="424">
        <f>IF(OR(AE$545&lt;$C567,AE$545&lt;$H$2),0,MIN($E567-SUM($G567:AD567),$F567))</f>
        <v>0</v>
      </c>
      <c r="AF567" s="424">
        <f>IF(OR(AF$545&lt;$C567,AF$545&lt;$H$2),0,MIN($E567-SUM($G567:AE567),$F567))</f>
        <v>0</v>
      </c>
      <c r="AG567" s="424">
        <f>IF(OR(AG$545&lt;$C567,AG$545&lt;$H$2),0,MIN($E567-SUM($G567:AF567),$F567))</f>
        <v>0</v>
      </c>
      <c r="AH567" s="424">
        <f>IF(OR(AH$545&lt;$C567,AH$545&lt;$H$2),0,MIN($E567-SUM($G567:AG567),$F567))</f>
        <v>0</v>
      </c>
      <c r="AI567" s="424">
        <f>IF(OR(AI$545&lt;$C567,AI$545&lt;$H$2),0,MIN($E567-SUM($G567:AH567),$F567))</f>
        <v>0</v>
      </c>
      <c r="AJ567" s="424">
        <f>IF(OR(AJ$545&lt;$C567,AJ$545&lt;$H$2),0,MIN($E567-SUM($G567:AI567),$F567))</f>
        <v>0</v>
      </c>
      <c r="AK567" s="424">
        <f>IF(OR(AK$545&lt;$C567,AK$545&lt;$H$2),0,MIN($E567-SUM($G567:AJ567),$F567))</f>
        <v>0</v>
      </c>
    </row>
    <row r="568" spans="3:37">
      <c r="C568" s="201">
        <v>53343</v>
      </c>
      <c r="D568" s="94" t="s">
        <v>134</v>
      </c>
      <c r="E568" s="424">
        <f t="shared" si="146"/>
        <v>0</v>
      </c>
      <c r="F568" s="209">
        <f t="shared" si="147"/>
        <v>0</v>
      </c>
      <c r="H568" s="424">
        <f>IF(OR(H$545&lt;$C568,H$545&lt;$H$2),0,MIN($E568-SUM($G568:G568),$F568))</f>
        <v>0</v>
      </c>
      <c r="I568" s="424">
        <f>IF(OR(I$545&lt;$C568,I$545&lt;$H$2),0,MIN($E568-SUM($G568:H568),$F568))</f>
        <v>0</v>
      </c>
      <c r="J568" s="424">
        <f>IF(OR(J$545&lt;$C568,J$545&lt;$H$2),0,MIN($E568-SUM($G568:I568),$F568))</f>
        <v>0</v>
      </c>
      <c r="K568" s="424">
        <f>IF(OR(K$545&lt;$C568,K$545&lt;$H$2),0,MIN($E568-SUM($G568:J568),$F568))</f>
        <v>0</v>
      </c>
      <c r="L568" s="424">
        <f>IF(OR(L$545&lt;$C568,L$545&lt;$H$2),0,MIN($E568-SUM($G568:K568),$F568))</f>
        <v>0</v>
      </c>
      <c r="M568" s="424">
        <f>IF(OR(M$545&lt;$C568,M$545&lt;$H$2),0,MIN($E568-SUM($G568:L568),$F568))</f>
        <v>0</v>
      </c>
      <c r="N568" s="424">
        <f>IF(OR(N$545&lt;$C568,N$545&lt;$H$2),0,MIN($E568-SUM($G568:M568),$F568))</f>
        <v>0</v>
      </c>
      <c r="O568" s="424">
        <f>IF(OR(O$545&lt;$C568,O$545&lt;$H$2),0,MIN($E568-SUM($G568:N568),$F568))</f>
        <v>0</v>
      </c>
      <c r="P568" s="424">
        <f>IF(OR(P$545&lt;$C568,P$545&lt;$H$2),0,MIN($E568-SUM($G568:O568),$F568))</f>
        <v>0</v>
      </c>
      <c r="Q568" s="424">
        <f>IF(OR(Q$545&lt;$C568,Q$545&lt;$H$2),0,MIN($E568-SUM($G568:P568),$F568))</f>
        <v>0</v>
      </c>
      <c r="R568" s="424">
        <f>IF(OR(R$545&lt;$C568,R$545&lt;$H$2),0,MIN($E568-SUM($G568:Q568),$F568))</f>
        <v>0</v>
      </c>
      <c r="S568" s="424">
        <f>IF(OR(S$545&lt;$C568,S$545&lt;$H$2),0,MIN($E568-SUM($G568:R568),$F568))</f>
        <v>0</v>
      </c>
      <c r="T568" s="424">
        <f>IF(OR(T$545&lt;$C568,T$545&lt;$H$2),0,MIN($E568-SUM($G568:S568),$F568))</f>
        <v>0</v>
      </c>
      <c r="U568" s="424">
        <f>IF(OR(U$545&lt;$C568,U$545&lt;$H$2),0,MIN($E568-SUM($G568:T568),$F568))</f>
        <v>0</v>
      </c>
      <c r="V568" s="424">
        <f>IF(OR(V$545&lt;$C568,V$545&lt;$H$2),0,MIN($E568-SUM($G568:U568),$F568))</f>
        <v>0</v>
      </c>
      <c r="W568" s="424">
        <f>IF(OR(W$545&lt;$C568,W$545&lt;$H$2),0,MIN($E568-SUM($G568:V568),$F568))</f>
        <v>0</v>
      </c>
      <c r="X568" s="424">
        <f>IF(OR(X$545&lt;$C568,X$545&lt;$H$2),0,MIN($E568-SUM($G568:W568),$F568))</f>
        <v>0</v>
      </c>
      <c r="Y568" s="424">
        <f>IF(OR(Y$545&lt;$C568,Y$545&lt;$H$2),0,MIN($E568-SUM($G568:X568),$F568))</f>
        <v>0</v>
      </c>
      <c r="Z568" s="424">
        <f>IF(OR(Z$545&lt;$C568,Z$545&lt;$H$2),0,MIN($E568-SUM($G568:Y568),$F568))</f>
        <v>0</v>
      </c>
      <c r="AA568" s="424">
        <f>IF(OR(AA$545&lt;$C568,AA$545&lt;$H$2),0,MIN($E568-SUM($G568:Z568),$F568))</f>
        <v>0</v>
      </c>
      <c r="AB568" s="424">
        <f>IF(OR(AB$545&lt;$C568,AB$545&lt;$H$2),0,MIN($E568-SUM($G568:AA568),$F568))</f>
        <v>0</v>
      </c>
      <c r="AC568" s="424">
        <f>IF(OR(AC$545&lt;$C568,AC$545&lt;$H$2),0,MIN($E568-SUM($G568:AB568),$F568))</f>
        <v>0</v>
      </c>
      <c r="AD568" s="424">
        <f>IF(OR(AD$545&lt;$C568,AD$545&lt;$H$2),0,MIN($E568-SUM($G568:AC568),$F568))</f>
        <v>0</v>
      </c>
      <c r="AE568" s="424">
        <f>IF(OR(AE$545&lt;$C568,AE$545&lt;$H$2),0,MIN($E568-SUM($G568:AD568),$F568))</f>
        <v>0</v>
      </c>
      <c r="AF568" s="424">
        <f>IF(OR(AF$545&lt;$C568,AF$545&lt;$H$2),0,MIN($E568-SUM($G568:AE568),$F568))</f>
        <v>0</v>
      </c>
      <c r="AG568" s="424">
        <f>IF(OR(AG$545&lt;$C568,AG$545&lt;$H$2),0,MIN($E568-SUM($G568:AF568),$F568))</f>
        <v>0</v>
      </c>
      <c r="AH568" s="424">
        <f>IF(OR(AH$545&lt;$C568,AH$545&lt;$H$2),0,MIN($E568-SUM($G568:AG568),$F568))</f>
        <v>0</v>
      </c>
      <c r="AI568" s="424">
        <f>IF(OR(AI$545&lt;$C568,AI$545&lt;$H$2),0,MIN($E568-SUM($G568:AH568),$F568))</f>
        <v>0</v>
      </c>
      <c r="AJ568" s="424">
        <f>IF(OR(AJ$545&lt;$C568,AJ$545&lt;$H$2),0,MIN($E568-SUM($G568:AI568),$F568))</f>
        <v>0</v>
      </c>
      <c r="AK568" s="424">
        <f>IF(OR(AK$545&lt;$C568,AK$545&lt;$H$2),0,MIN($E568-SUM($G568:AJ568),$F568))</f>
        <v>0</v>
      </c>
    </row>
    <row r="569" spans="3:37">
      <c r="C569" s="201">
        <v>53709</v>
      </c>
      <c r="D569" s="94" t="s">
        <v>134</v>
      </c>
      <c r="E569" s="424">
        <f t="shared" si="146"/>
        <v>0</v>
      </c>
      <c r="F569" s="209">
        <f t="shared" si="147"/>
        <v>0</v>
      </c>
      <c r="H569" s="424">
        <f>IF(OR(H$545&lt;$C569,H$545&lt;$H$2),0,MIN($E569-SUM($G569:G569),$F569))</f>
        <v>0</v>
      </c>
      <c r="I569" s="424">
        <f>IF(OR(I$545&lt;$C569,I$545&lt;$H$2),0,MIN($E569-SUM($G569:H569),$F569))</f>
        <v>0</v>
      </c>
      <c r="J569" s="424">
        <f>IF(OR(J$545&lt;$C569,J$545&lt;$H$2),0,MIN($E569-SUM($G569:I569),$F569))</f>
        <v>0</v>
      </c>
      <c r="K569" s="424">
        <f>IF(OR(K$545&lt;$C569,K$545&lt;$H$2),0,MIN($E569-SUM($G569:J569),$F569))</f>
        <v>0</v>
      </c>
      <c r="L569" s="424">
        <f>IF(OR(L$545&lt;$C569,L$545&lt;$H$2),0,MIN($E569-SUM($G569:K569),$F569))</f>
        <v>0</v>
      </c>
      <c r="M569" s="424">
        <f>IF(OR(M$545&lt;$C569,M$545&lt;$H$2),0,MIN($E569-SUM($G569:L569),$F569))</f>
        <v>0</v>
      </c>
      <c r="N569" s="424">
        <f>IF(OR(N$545&lt;$C569,N$545&lt;$H$2),0,MIN($E569-SUM($G569:M569),$F569))</f>
        <v>0</v>
      </c>
      <c r="O569" s="424">
        <f>IF(OR(O$545&lt;$C569,O$545&lt;$H$2),0,MIN($E569-SUM($G569:N569),$F569))</f>
        <v>0</v>
      </c>
      <c r="P569" s="424">
        <f>IF(OR(P$545&lt;$C569,P$545&lt;$H$2),0,MIN($E569-SUM($G569:O569),$F569))</f>
        <v>0</v>
      </c>
      <c r="Q569" s="424">
        <f>IF(OR(Q$545&lt;$C569,Q$545&lt;$H$2),0,MIN($E569-SUM($G569:P569),$F569))</f>
        <v>0</v>
      </c>
      <c r="R569" s="424">
        <f>IF(OR(R$545&lt;$C569,R$545&lt;$H$2),0,MIN($E569-SUM($G569:Q569),$F569))</f>
        <v>0</v>
      </c>
      <c r="S569" s="424">
        <f>IF(OR(S$545&lt;$C569,S$545&lt;$H$2),0,MIN($E569-SUM($G569:R569),$F569))</f>
        <v>0</v>
      </c>
      <c r="T569" s="424">
        <f>IF(OR(T$545&lt;$C569,T$545&lt;$H$2),0,MIN($E569-SUM($G569:S569),$F569))</f>
        <v>0</v>
      </c>
      <c r="U569" s="424">
        <f>IF(OR(U$545&lt;$C569,U$545&lt;$H$2),0,MIN($E569-SUM($G569:T569),$F569))</f>
        <v>0</v>
      </c>
      <c r="V569" s="424">
        <f>IF(OR(V$545&lt;$C569,V$545&lt;$H$2),0,MIN($E569-SUM($G569:U569),$F569))</f>
        <v>0</v>
      </c>
      <c r="W569" s="424">
        <f>IF(OR(W$545&lt;$C569,W$545&lt;$H$2),0,MIN($E569-SUM($G569:V569),$F569))</f>
        <v>0</v>
      </c>
      <c r="X569" s="424">
        <f>IF(OR(X$545&lt;$C569,X$545&lt;$H$2),0,MIN($E569-SUM($G569:W569),$F569))</f>
        <v>0</v>
      </c>
      <c r="Y569" s="424">
        <f>IF(OR(Y$545&lt;$C569,Y$545&lt;$H$2),0,MIN($E569-SUM($G569:X569),$F569))</f>
        <v>0</v>
      </c>
      <c r="Z569" s="424">
        <f>IF(OR(Z$545&lt;$C569,Z$545&lt;$H$2),0,MIN($E569-SUM($G569:Y569),$F569))</f>
        <v>0</v>
      </c>
      <c r="AA569" s="424">
        <f>IF(OR(AA$545&lt;$C569,AA$545&lt;$H$2),0,MIN($E569-SUM($G569:Z569),$F569))</f>
        <v>0</v>
      </c>
      <c r="AB569" s="424">
        <f>IF(OR(AB$545&lt;$C569,AB$545&lt;$H$2),0,MIN($E569-SUM($G569:AA569),$F569))</f>
        <v>0</v>
      </c>
      <c r="AC569" s="424">
        <f>IF(OR(AC$545&lt;$C569,AC$545&lt;$H$2),0,MIN($E569-SUM($G569:AB569),$F569))</f>
        <v>0</v>
      </c>
      <c r="AD569" s="424">
        <f>IF(OR(AD$545&lt;$C569,AD$545&lt;$H$2),0,MIN($E569-SUM($G569:AC569),$F569))</f>
        <v>0</v>
      </c>
      <c r="AE569" s="424">
        <f>IF(OR(AE$545&lt;$C569,AE$545&lt;$H$2),0,MIN($E569-SUM($G569:AD569),$F569))</f>
        <v>0</v>
      </c>
      <c r="AF569" s="424">
        <f>IF(OR(AF$545&lt;$C569,AF$545&lt;$H$2),0,MIN($E569-SUM($G569:AE569),$F569))</f>
        <v>0</v>
      </c>
      <c r="AG569" s="424">
        <f>IF(OR(AG$545&lt;$C569,AG$545&lt;$H$2),0,MIN($E569-SUM($G569:AF569),$F569))</f>
        <v>0</v>
      </c>
      <c r="AH569" s="424">
        <f>IF(OR(AH$545&lt;$C569,AH$545&lt;$H$2),0,MIN($E569-SUM($G569:AG569),$F569))</f>
        <v>0</v>
      </c>
      <c r="AI569" s="424">
        <f>IF(OR(AI$545&lt;$C569,AI$545&lt;$H$2),0,MIN($E569-SUM($G569:AH569),$F569))</f>
        <v>0</v>
      </c>
      <c r="AJ569" s="424">
        <f>IF(OR(AJ$545&lt;$C569,AJ$545&lt;$H$2),0,MIN($E569-SUM($G569:AI569),$F569))</f>
        <v>0</v>
      </c>
      <c r="AK569" s="424">
        <f>IF(OR(AK$545&lt;$C569,AK$545&lt;$H$2),0,MIN($E569-SUM($G569:AJ569),$F569))</f>
        <v>0</v>
      </c>
    </row>
    <row r="570" spans="3:37">
      <c r="C570" s="201">
        <v>54075</v>
      </c>
      <c r="D570" s="94" t="s">
        <v>134</v>
      </c>
      <c r="E570" s="424">
        <f t="shared" si="146"/>
        <v>0</v>
      </c>
      <c r="F570" s="209">
        <f t="shared" si="147"/>
        <v>0</v>
      </c>
      <c r="H570" s="424">
        <f>IF(OR(H$545&lt;$C570,H$545&lt;$H$2),0,MIN($E570-SUM($G570:G570),$F570))</f>
        <v>0</v>
      </c>
      <c r="I570" s="424">
        <f>IF(OR(I$545&lt;$C570,I$545&lt;$H$2),0,MIN($E570-SUM($G570:H570),$F570))</f>
        <v>0</v>
      </c>
      <c r="J570" s="424">
        <f>IF(OR(J$545&lt;$C570,J$545&lt;$H$2),0,MIN($E570-SUM($G570:I570),$F570))</f>
        <v>0</v>
      </c>
      <c r="K570" s="424">
        <f>IF(OR(K$545&lt;$C570,K$545&lt;$H$2),0,MIN($E570-SUM($G570:J570),$F570))</f>
        <v>0</v>
      </c>
      <c r="L570" s="424">
        <f>IF(OR(L$545&lt;$C570,L$545&lt;$H$2),0,MIN($E570-SUM($G570:K570),$F570))</f>
        <v>0</v>
      </c>
      <c r="M570" s="424">
        <f>IF(OR(M$545&lt;$C570,M$545&lt;$H$2),0,MIN($E570-SUM($G570:L570),$F570))</f>
        <v>0</v>
      </c>
      <c r="N570" s="424">
        <f>IF(OR(N$545&lt;$C570,N$545&lt;$H$2),0,MIN($E570-SUM($G570:M570),$F570))</f>
        <v>0</v>
      </c>
      <c r="O570" s="424">
        <f>IF(OR(O$545&lt;$C570,O$545&lt;$H$2),0,MIN($E570-SUM($G570:N570),$F570))</f>
        <v>0</v>
      </c>
      <c r="P570" s="424">
        <f>IF(OR(P$545&lt;$C570,P$545&lt;$H$2),0,MIN($E570-SUM($G570:O570),$F570))</f>
        <v>0</v>
      </c>
      <c r="Q570" s="424">
        <f>IF(OR(Q$545&lt;$C570,Q$545&lt;$H$2),0,MIN($E570-SUM($G570:P570),$F570))</f>
        <v>0</v>
      </c>
      <c r="R570" s="424">
        <f>IF(OR(R$545&lt;$C570,R$545&lt;$H$2),0,MIN($E570-SUM($G570:Q570),$F570))</f>
        <v>0</v>
      </c>
      <c r="S570" s="424">
        <f>IF(OR(S$545&lt;$C570,S$545&lt;$H$2),0,MIN($E570-SUM($G570:R570),$F570))</f>
        <v>0</v>
      </c>
      <c r="T570" s="424">
        <f>IF(OR(T$545&lt;$C570,T$545&lt;$H$2),0,MIN($E570-SUM($G570:S570),$F570))</f>
        <v>0</v>
      </c>
      <c r="U570" s="424">
        <f>IF(OR(U$545&lt;$C570,U$545&lt;$H$2),0,MIN($E570-SUM($G570:T570),$F570))</f>
        <v>0</v>
      </c>
      <c r="V570" s="424">
        <f>IF(OR(V$545&lt;$C570,V$545&lt;$H$2),0,MIN($E570-SUM($G570:U570),$F570))</f>
        <v>0</v>
      </c>
      <c r="W570" s="424">
        <f>IF(OR(W$545&lt;$C570,W$545&lt;$H$2),0,MIN($E570-SUM($G570:V570),$F570))</f>
        <v>0</v>
      </c>
      <c r="X570" s="424">
        <f>IF(OR(X$545&lt;$C570,X$545&lt;$H$2),0,MIN($E570-SUM($G570:W570),$F570))</f>
        <v>0</v>
      </c>
      <c r="Y570" s="424">
        <f>IF(OR(Y$545&lt;$C570,Y$545&lt;$H$2),0,MIN($E570-SUM($G570:X570),$F570))</f>
        <v>0</v>
      </c>
      <c r="Z570" s="424">
        <f>IF(OR(Z$545&lt;$C570,Z$545&lt;$H$2),0,MIN($E570-SUM($G570:Y570),$F570))</f>
        <v>0</v>
      </c>
      <c r="AA570" s="424">
        <f>IF(OR(AA$545&lt;$C570,AA$545&lt;$H$2),0,MIN($E570-SUM($G570:Z570),$F570))</f>
        <v>0</v>
      </c>
      <c r="AB570" s="424">
        <f>IF(OR(AB$545&lt;$C570,AB$545&lt;$H$2),0,MIN($E570-SUM($G570:AA570),$F570))</f>
        <v>0</v>
      </c>
      <c r="AC570" s="424">
        <f>IF(OR(AC$545&lt;$C570,AC$545&lt;$H$2),0,MIN($E570-SUM($G570:AB570),$F570))</f>
        <v>0</v>
      </c>
      <c r="AD570" s="424">
        <f>IF(OR(AD$545&lt;$C570,AD$545&lt;$H$2),0,MIN($E570-SUM($G570:AC570),$F570))</f>
        <v>0</v>
      </c>
      <c r="AE570" s="424">
        <f>IF(OR(AE$545&lt;$C570,AE$545&lt;$H$2),0,MIN($E570-SUM($G570:AD570),$F570))</f>
        <v>0</v>
      </c>
      <c r="AF570" s="424">
        <f>IF(OR(AF$545&lt;$C570,AF$545&lt;$H$2),0,MIN($E570-SUM($G570:AE570),$F570))</f>
        <v>0</v>
      </c>
      <c r="AG570" s="424">
        <f>IF(OR(AG$545&lt;$C570,AG$545&lt;$H$2),0,MIN($E570-SUM($G570:AF570),$F570))</f>
        <v>0</v>
      </c>
      <c r="AH570" s="424">
        <f>IF(OR(AH$545&lt;$C570,AH$545&lt;$H$2),0,MIN($E570-SUM($G570:AG570),$F570))</f>
        <v>0</v>
      </c>
      <c r="AI570" s="424">
        <f>IF(OR(AI$545&lt;$C570,AI$545&lt;$H$2),0,MIN($E570-SUM($G570:AH570),$F570))</f>
        <v>0</v>
      </c>
      <c r="AJ570" s="424">
        <f>IF(OR(AJ$545&lt;$C570,AJ$545&lt;$H$2),0,MIN($E570-SUM($G570:AI570),$F570))</f>
        <v>0</v>
      </c>
      <c r="AK570" s="424">
        <f>IF(OR(AK$545&lt;$C570,AK$545&lt;$H$2),0,MIN($E570-SUM($G570:AJ570),$F570))</f>
        <v>0</v>
      </c>
    </row>
    <row r="571" spans="3:37">
      <c r="C571" s="201">
        <v>0</v>
      </c>
      <c r="D571" s="94" t="s">
        <v>134</v>
      </c>
      <c r="E571" s="424">
        <f t="shared" si="146"/>
        <v>0</v>
      </c>
      <c r="F571" s="209">
        <f t="shared" si="147"/>
        <v>0</v>
      </c>
      <c r="H571" s="424">
        <f>IF(OR(H$545&lt;$C571,H$545&lt;$H$2),0,MIN($E571-SUM($G571:G571),$F571))</f>
        <v>0</v>
      </c>
      <c r="I571" s="424">
        <f>IF(OR(I$545&lt;$C571,I$545&lt;$H$2),0,MIN($E571-SUM($G571:H571),$F571))</f>
        <v>0</v>
      </c>
      <c r="J571" s="424">
        <f>IF(OR(J$545&lt;$C571,J$545&lt;$H$2),0,MIN($E571-SUM($G571:I571),$F571))</f>
        <v>0</v>
      </c>
      <c r="K571" s="424">
        <f>IF(OR(K$545&lt;$C571,K$545&lt;$H$2),0,MIN($E571-SUM($G571:J571),$F571))</f>
        <v>0</v>
      </c>
      <c r="L571" s="424">
        <f>IF(OR(L$545&lt;$C571,L$545&lt;$H$2),0,MIN($E571-SUM($G571:K571),$F571))</f>
        <v>0</v>
      </c>
      <c r="M571" s="424">
        <f>IF(OR(M$545&lt;$C571,M$545&lt;$H$2),0,MIN($E571-SUM($G571:L571),$F571))</f>
        <v>0</v>
      </c>
      <c r="N571" s="424">
        <f>IF(OR(N$545&lt;$C571,N$545&lt;$H$2),0,MIN($E571-SUM($G571:M571),$F571))</f>
        <v>0</v>
      </c>
      <c r="O571" s="424">
        <f>IF(OR(O$545&lt;$C571,O$545&lt;$H$2),0,MIN($E571-SUM($G571:N571),$F571))</f>
        <v>0</v>
      </c>
      <c r="P571" s="424">
        <f>IF(OR(P$545&lt;$C571,P$545&lt;$H$2),0,MIN($E571-SUM($G571:O571),$F571))</f>
        <v>0</v>
      </c>
      <c r="Q571" s="424">
        <f>IF(OR(Q$545&lt;$C571,Q$545&lt;$H$2),0,MIN($E571-SUM($G571:P571),$F571))</f>
        <v>0</v>
      </c>
      <c r="R571" s="424">
        <f>IF(OR(R$545&lt;$C571,R$545&lt;$H$2),0,MIN($E571-SUM($G571:Q571),$F571))</f>
        <v>0</v>
      </c>
      <c r="S571" s="424">
        <f>IF(OR(S$545&lt;$C571,S$545&lt;$H$2),0,MIN($E571-SUM($G571:R571),$F571))</f>
        <v>0</v>
      </c>
      <c r="T571" s="424">
        <f>IF(OR(T$545&lt;$C571,T$545&lt;$H$2),0,MIN($E571-SUM($G571:S571),$F571))</f>
        <v>0</v>
      </c>
      <c r="U571" s="424">
        <f>IF(OR(U$545&lt;$C571,U$545&lt;$H$2),0,MIN($E571-SUM($G571:T571),$F571))</f>
        <v>0</v>
      </c>
      <c r="V571" s="424">
        <f>IF(OR(V$545&lt;$C571,V$545&lt;$H$2),0,MIN($E571-SUM($G571:U571),$F571))</f>
        <v>0</v>
      </c>
      <c r="W571" s="424">
        <f>IF(OR(W$545&lt;$C571,W$545&lt;$H$2),0,MIN($E571-SUM($G571:V571),$F571))</f>
        <v>0</v>
      </c>
      <c r="X571" s="424">
        <f>IF(OR(X$545&lt;$C571,X$545&lt;$H$2),0,MIN($E571-SUM($G571:W571),$F571))</f>
        <v>0</v>
      </c>
      <c r="Y571" s="424">
        <f>IF(OR(Y$545&lt;$C571,Y$545&lt;$H$2),0,MIN($E571-SUM($G571:X571),$F571))</f>
        <v>0</v>
      </c>
      <c r="Z571" s="424">
        <f>IF(OR(Z$545&lt;$C571,Z$545&lt;$H$2),0,MIN($E571-SUM($G571:Y571),$F571))</f>
        <v>0</v>
      </c>
      <c r="AA571" s="424">
        <f>IF(OR(AA$545&lt;$C571,AA$545&lt;$H$2),0,MIN($E571-SUM($G571:Z571),$F571))</f>
        <v>0</v>
      </c>
      <c r="AB571" s="424">
        <f>IF(OR(AB$545&lt;$C571,AB$545&lt;$H$2),0,MIN($E571-SUM($G571:AA571),$F571))</f>
        <v>0</v>
      </c>
      <c r="AC571" s="424">
        <f>IF(OR(AC$545&lt;$C571,AC$545&lt;$H$2),0,MIN($E571-SUM($G571:AB571),$F571))</f>
        <v>0</v>
      </c>
      <c r="AD571" s="424">
        <f>IF(OR(AD$545&lt;$C571,AD$545&lt;$H$2),0,MIN($E571-SUM($G571:AC571),$F571))</f>
        <v>0</v>
      </c>
      <c r="AE571" s="424">
        <f>IF(OR(AE$545&lt;$C571,AE$545&lt;$H$2),0,MIN($E571-SUM($G571:AD571),$F571))</f>
        <v>0</v>
      </c>
      <c r="AF571" s="424">
        <f>IF(OR(AF$545&lt;$C571,AF$545&lt;$H$2),0,MIN($E571-SUM($G571:AE571),$F571))</f>
        <v>0</v>
      </c>
      <c r="AG571" s="424">
        <f>IF(OR(AG$545&lt;$C571,AG$545&lt;$H$2),0,MIN($E571-SUM($G571:AF571),$F571))</f>
        <v>0</v>
      </c>
      <c r="AH571" s="424">
        <f>IF(OR(AH$545&lt;$C571,AH$545&lt;$H$2),0,MIN($E571-SUM($G571:AG571),$F571))</f>
        <v>0</v>
      </c>
      <c r="AI571" s="424">
        <f>IF(OR(AI$545&lt;$C571,AI$545&lt;$H$2),0,MIN($E571-SUM($G571:AH571),$F571))</f>
        <v>0</v>
      </c>
      <c r="AJ571" s="424">
        <f>IF(OR(AJ$545&lt;$C571,AJ$545&lt;$H$2),0,MIN($E571-SUM($G571:AI571),$F571))</f>
        <v>0</v>
      </c>
      <c r="AK571" s="424">
        <f>IF(OR(AK$545&lt;$C571,AK$545&lt;$H$2),0,MIN($E571-SUM($G571:AJ571),$F571))</f>
        <v>0</v>
      </c>
    </row>
    <row r="572" spans="3:37">
      <c r="C572" s="201">
        <v>0</v>
      </c>
      <c r="D572" s="94" t="s">
        <v>134</v>
      </c>
      <c r="E572" s="424">
        <f t="shared" si="146"/>
        <v>0</v>
      </c>
      <c r="F572" s="209">
        <f t="shared" si="147"/>
        <v>0</v>
      </c>
      <c r="H572" s="424">
        <f>IF(OR(H$545&lt;$C572,H$545&lt;$H$2),0,MIN($E572-SUM($G572:G572),$F572))</f>
        <v>0</v>
      </c>
      <c r="I572" s="424">
        <f>IF(OR(I$545&lt;$C572,I$545&lt;$H$2),0,MIN($E572-SUM($G572:H572),$F572))</f>
        <v>0</v>
      </c>
      <c r="J572" s="424">
        <f>IF(OR(J$545&lt;$C572,J$545&lt;$H$2),0,MIN($E572-SUM($G572:I572),$F572))</f>
        <v>0</v>
      </c>
      <c r="K572" s="424">
        <f>IF(OR(K$545&lt;$C572,K$545&lt;$H$2),0,MIN($E572-SUM($G572:J572),$F572))</f>
        <v>0</v>
      </c>
      <c r="L572" s="424">
        <f>IF(OR(L$545&lt;$C572,L$545&lt;$H$2),0,MIN($E572-SUM($G572:K572),$F572))</f>
        <v>0</v>
      </c>
      <c r="M572" s="424">
        <f>IF(OR(M$545&lt;$C572,M$545&lt;$H$2),0,MIN($E572-SUM($G572:L572),$F572))</f>
        <v>0</v>
      </c>
      <c r="N572" s="424">
        <f>IF(OR(N$545&lt;$C572,N$545&lt;$H$2),0,MIN($E572-SUM($G572:M572),$F572))</f>
        <v>0</v>
      </c>
      <c r="O572" s="424">
        <f>IF(OR(O$545&lt;$C572,O$545&lt;$H$2),0,MIN($E572-SUM($G572:N572),$F572))</f>
        <v>0</v>
      </c>
      <c r="P572" s="424">
        <f>IF(OR(P$545&lt;$C572,P$545&lt;$H$2),0,MIN($E572-SUM($G572:O572),$F572))</f>
        <v>0</v>
      </c>
      <c r="Q572" s="424">
        <f>IF(OR(Q$545&lt;$C572,Q$545&lt;$H$2),0,MIN($E572-SUM($G572:P572),$F572))</f>
        <v>0</v>
      </c>
      <c r="R572" s="424">
        <f>IF(OR(R$545&lt;$C572,R$545&lt;$H$2),0,MIN($E572-SUM($G572:Q572),$F572))</f>
        <v>0</v>
      </c>
      <c r="S572" s="424">
        <f>IF(OR(S$545&lt;$C572,S$545&lt;$H$2),0,MIN($E572-SUM($G572:R572),$F572))</f>
        <v>0</v>
      </c>
      <c r="T572" s="424">
        <f>IF(OR(T$545&lt;$C572,T$545&lt;$H$2),0,MIN($E572-SUM($G572:S572),$F572))</f>
        <v>0</v>
      </c>
      <c r="U572" s="424">
        <f>IF(OR(U$545&lt;$C572,U$545&lt;$H$2),0,MIN($E572-SUM($G572:T572),$F572))</f>
        <v>0</v>
      </c>
      <c r="V572" s="424">
        <f>IF(OR(V$545&lt;$C572,V$545&lt;$H$2),0,MIN($E572-SUM($G572:U572),$F572))</f>
        <v>0</v>
      </c>
      <c r="W572" s="424">
        <f>IF(OR(W$545&lt;$C572,W$545&lt;$H$2),0,MIN($E572-SUM($G572:V572),$F572))</f>
        <v>0</v>
      </c>
      <c r="X572" s="424">
        <f>IF(OR(X$545&lt;$C572,X$545&lt;$H$2),0,MIN($E572-SUM($G572:W572),$F572))</f>
        <v>0</v>
      </c>
      <c r="Y572" s="424">
        <f>IF(OR(Y$545&lt;$C572,Y$545&lt;$H$2),0,MIN($E572-SUM($G572:X572),$F572))</f>
        <v>0</v>
      </c>
      <c r="Z572" s="424">
        <f>IF(OR(Z$545&lt;$C572,Z$545&lt;$H$2),0,MIN($E572-SUM($G572:Y572),$F572))</f>
        <v>0</v>
      </c>
      <c r="AA572" s="424">
        <f>IF(OR(AA$545&lt;$C572,AA$545&lt;$H$2),0,MIN($E572-SUM($G572:Z572),$F572))</f>
        <v>0</v>
      </c>
      <c r="AB572" s="424">
        <f>IF(OR(AB$545&lt;$C572,AB$545&lt;$H$2),0,MIN($E572-SUM($G572:AA572),$F572))</f>
        <v>0</v>
      </c>
      <c r="AC572" s="424">
        <f>IF(OR(AC$545&lt;$C572,AC$545&lt;$H$2),0,MIN($E572-SUM($G572:AB572),$F572))</f>
        <v>0</v>
      </c>
      <c r="AD572" s="424">
        <f>IF(OR(AD$545&lt;$C572,AD$545&lt;$H$2),0,MIN($E572-SUM($G572:AC572),$F572))</f>
        <v>0</v>
      </c>
      <c r="AE572" s="424">
        <f>IF(OR(AE$545&lt;$C572,AE$545&lt;$H$2),0,MIN($E572-SUM($G572:AD572),$F572))</f>
        <v>0</v>
      </c>
      <c r="AF572" s="424">
        <f>IF(OR(AF$545&lt;$C572,AF$545&lt;$H$2),0,MIN($E572-SUM($G572:AE572),$F572))</f>
        <v>0</v>
      </c>
      <c r="AG572" s="424">
        <f>IF(OR(AG$545&lt;$C572,AG$545&lt;$H$2),0,MIN($E572-SUM($G572:AF572),$F572))</f>
        <v>0</v>
      </c>
      <c r="AH572" s="424">
        <f>IF(OR(AH$545&lt;$C572,AH$545&lt;$H$2),0,MIN($E572-SUM($G572:AG572),$F572))</f>
        <v>0</v>
      </c>
      <c r="AI572" s="424">
        <f>IF(OR(AI$545&lt;$C572,AI$545&lt;$H$2),0,MIN($E572-SUM($G572:AH572),$F572))</f>
        <v>0</v>
      </c>
      <c r="AJ572" s="424">
        <f>IF(OR(AJ$545&lt;$C572,AJ$545&lt;$H$2),0,MIN($E572-SUM($G572:AI572),$F572))</f>
        <v>0</v>
      </c>
      <c r="AK572" s="424">
        <f>IF(OR(AK$545&lt;$C572,AK$545&lt;$H$2),0,MIN($E572-SUM($G572:AJ572),$F572))</f>
        <v>0</v>
      </c>
    </row>
    <row r="573" spans="3:37">
      <c r="C573" s="201">
        <v>0</v>
      </c>
      <c r="D573" s="94" t="s">
        <v>134</v>
      </c>
      <c r="E573" s="424">
        <f t="shared" si="146"/>
        <v>0</v>
      </c>
      <c r="F573" s="209">
        <f t="shared" si="147"/>
        <v>0</v>
      </c>
      <c r="H573" s="424">
        <f>IF(OR(H$545&lt;$C573,H$545&lt;$H$2),0,MIN($E573-SUM($G573:G573),$F573))</f>
        <v>0</v>
      </c>
      <c r="I573" s="424">
        <f>IF(OR(I$545&lt;$C573,I$545&lt;$H$2),0,MIN($E573-SUM($G573:H573),$F573))</f>
        <v>0</v>
      </c>
      <c r="J573" s="424">
        <f>IF(OR(J$545&lt;$C573,J$545&lt;$H$2),0,MIN($E573-SUM($G573:I573),$F573))</f>
        <v>0</v>
      </c>
      <c r="K573" s="424">
        <f>IF(OR(K$545&lt;$C573,K$545&lt;$H$2),0,MIN($E573-SUM($G573:J573),$F573))</f>
        <v>0</v>
      </c>
      <c r="L573" s="424">
        <f>IF(OR(L$545&lt;$C573,L$545&lt;$H$2),0,MIN($E573-SUM($G573:K573),$F573))</f>
        <v>0</v>
      </c>
      <c r="M573" s="424">
        <f>IF(OR(M$545&lt;$C573,M$545&lt;$H$2),0,MIN($E573-SUM($G573:L573),$F573))</f>
        <v>0</v>
      </c>
      <c r="N573" s="424">
        <f>IF(OR(N$545&lt;$C573,N$545&lt;$H$2),0,MIN($E573-SUM($G573:M573),$F573))</f>
        <v>0</v>
      </c>
      <c r="O573" s="424">
        <f>IF(OR(O$545&lt;$C573,O$545&lt;$H$2),0,MIN($E573-SUM($G573:N573),$F573))</f>
        <v>0</v>
      </c>
      <c r="P573" s="424">
        <f>IF(OR(P$545&lt;$C573,P$545&lt;$H$2),0,MIN($E573-SUM($G573:O573),$F573))</f>
        <v>0</v>
      </c>
      <c r="Q573" s="424">
        <f>IF(OR(Q$545&lt;$C573,Q$545&lt;$H$2),0,MIN($E573-SUM($G573:P573),$F573))</f>
        <v>0</v>
      </c>
      <c r="R573" s="424">
        <f>IF(OR(R$545&lt;$C573,R$545&lt;$H$2),0,MIN($E573-SUM($G573:Q573),$F573))</f>
        <v>0</v>
      </c>
      <c r="S573" s="424">
        <f>IF(OR(S$545&lt;$C573,S$545&lt;$H$2),0,MIN($E573-SUM($G573:R573),$F573))</f>
        <v>0</v>
      </c>
      <c r="T573" s="424">
        <f>IF(OR(T$545&lt;$C573,T$545&lt;$H$2),0,MIN($E573-SUM($G573:S573),$F573))</f>
        <v>0</v>
      </c>
      <c r="U573" s="424">
        <f>IF(OR(U$545&lt;$C573,U$545&lt;$H$2),0,MIN($E573-SUM($G573:T573),$F573))</f>
        <v>0</v>
      </c>
      <c r="V573" s="424">
        <f>IF(OR(V$545&lt;$C573,V$545&lt;$H$2),0,MIN($E573-SUM($G573:U573),$F573))</f>
        <v>0</v>
      </c>
      <c r="W573" s="424">
        <f>IF(OR(W$545&lt;$C573,W$545&lt;$H$2),0,MIN($E573-SUM($G573:V573),$F573))</f>
        <v>0</v>
      </c>
      <c r="X573" s="424">
        <f>IF(OR(X$545&lt;$C573,X$545&lt;$H$2),0,MIN($E573-SUM($G573:W573),$F573))</f>
        <v>0</v>
      </c>
      <c r="Y573" s="424">
        <f>IF(OR(Y$545&lt;$C573,Y$545&lt;$H$2),0,MIN($E573-SUM($G573:X573),$F573))</f>
        <v>0</v>
      </c>
      <c r="Z573" s="424">
        <f>IF(OR(Z$545&lt;$C573,Z$545&lt;$H$2),0,MIN($E573-SUM($G573:Y573),$F573))</f>
        <v>0</v>
      </c>
      <c r="AA573" s="424">
        <f>IF(OR(AA$545&lt;$C573,AA$545&lt;$H$2),0,MIN($E573-SUM($G573:Z573),$F573))</f>
        <v>0</v>
      </c>
      <c r="AB573" s="424">
        <f>IF(OR(AB$545&lt;$C573,AB$545&lt;$H$2),0,MIN($E573-SUM($G573:AA573),$F573))</f>
        <v>0</v>
      </c>
      <c r="AC573" s="424">
        <f>IF(OR(AC$545&lt;$C573,AC$545&lt;$H$2),0,MIN($E573-SUM($G573:AB573),$F573))</f>
        <v>0</v>
      </c>
      <c r="AD573" s="424">
        <f>IF(OR(AD$545&lt;$C573,AD$545&lt;$H$2),0,MIN($E573-SUM($G573:AC573),$F573))</f>
        <v>0</v>
      </c>
      <c r="AE573" s="424">
        <f>IF(OR(AE$545&lt;$C573,AE$545&lt;$H$2),0,MIN($E573-SUM($G573:AD573),$F573))</f>
        <v>0</v>
      </c>
      <c r="AF573" s="424">
        <f>IF(OR(AF$545&lt;$C573,AF$545&lt;$H$2),0,MIN($E573-SUM($G573:AE573),$F573))</f>
        <v>0</v>
      </c>
      <c r="AG573" s="424">
        <f>IF(OR(AG$545&lt;$C573,AG$545&lt;$H$2),0,MIN($E573-SUM($G573:AF573),$F573))</f>
        <v>0</v>
      </c>
      <c r="AH573" s="424">
        <f>IF(OR(AH$545&lt;$C573,AH$545&lt;$H$2),0,MIN($E573-SUM($G573:AG573),$F573))</f>
        <v>0</v>
      </c>
      <c r="AI573" s="424">
        <f>IF(OR(AI$545&lt;$C573,AI$545&lt;$H$2),0,MIN($E573-SUM($G573:AH573),$F573))</f>
        <v>0</v>
      </c>
      <c r="AJ573" s="424">
        <f>IF(OR(AJ$545&lt;$C573,AJ$545&lt;$H$2),0,MIN($E573-SUM($G573:AI573),$F573))</f>
        <v>0</v>
      </c>
      <c r="AK573" s="424">
        <f>IF(OR(AK$545&lt;$C573,AK$545&lt;$H$2),0,MIN($E573-SUM($G573:AJ573),$F573))</f>
        <v>0</v>
      </c>
    </row>
    <row r="574" spans="3:37">
      <c r="C574" s="201">
        <v>0</v>
      </c>
      <c r="D574" s="94" t="s">
        <v>134</v>
      </c>
      <c r="E574" s="424">
        <f t="shared" si="146"/>
        <v>0</v>
      </c>
      <c r="F574" s="209">
        <f t="shared" si="147"/>
        <v>0</v>
      </c>
      <c r="H574" s="424">
        <f>IF(OR(H$545&lt;$C574,H$545&lt;$H$2),0,MIN($E574-SUM($G574:G574),$F574))</f>
        <v>0</v>
      </c>
      <c r="I574" s="424">
        <f>IF(OR(I$545&lt;$C574,I$545&lt;$H$2),0,MIN($E574-SUM($G574:H574),$F574))</f>
        <v>0</v>
      </c>
      <c r="J574" s="424">
        <f>IF(OR(J$545&lt;$C574,J$545&lt;$H$2),0,MIN($E574-SUM($G574:I574),$F574))</f>
        <v>0</v>
      </c>
      <c r="K574" s="424">
        <f>IF(OR(K$545&lt;$C574,K$545&lt;$H$2),0,MIN($E574-SUM($G574:J574),$F574))</f>
        <v>0</v>
      </c>
      <c r="L574" s="424">
        <f>IF(OR(L$545&lt;$C574,L$545&lt;$H$2),0,MIN($E574-SUM($G574:K574),$F574))</f>
        <v>0</v>
      </c>
      <c r="M574" s="424">
        <f>IF(OR(M$545&lt;$C574,M$545&lt;$H$2),0,MIN($E574-SUM($G574:L574),$F574))</f>
        <v>0</v>
      </c>
      <c r="N574" s="424">
        <f>IF(OR(N$545&lt;$C574,N$545&lt;$H$2),0,MIN($E574-SUM($G574:M574),$F574))</f>
        <v>0</v>
      </c>
      <c r="O574" s="424">
        <f>IF(OR(O$545&lt;$C574,O$545&lt;$H$2),0,MIN($E574-SUM($G574:N574),$F574))</f>
        <v>0</v>
      </c>
      <c r="P574" s="424">
        <f>IF(OR(P$545&lt;$C574,P$545&lt;$H$2),0,MIN($E574-SUM($G574:O574),$F574))</f>
        <v>0</v>
      </c>
      <c r="Q574" s="424">
        <f>IF(OR(Q$545&lt;$C574,Q$545&lt;$H$2),0,MIN($E574-SUM($G574:P574),$F574))</f>
        <v>0</v>
      </c>
      <c r="R574" s="424">
        <f>IF(OR(R$545&lt;$C574,R$545&lt;$H$2),0,MIN($E574-SUM($G574:Q574),$F574))</f>
        <v>0</v>
      </c>
      <c r="S574" s="424">
        <f>IF(OR(S$545&lt;$C574,S$545&lt;$H$2),0,MIN($E574-SUM($G574:R574),$F574))</f>
        <v>0</v>
      </c>
      <c r="T574" s="424">
        <f>IF(OR(T$545&lt;$C574,T$545&lt;$H$2),0,MIN($E574-SUM($G574:S574),$F574))</f>
        <v>0</v>
      </c>
      <c r="U574" s="424">
        <f>IF(OR(U$545&lt;$C574,U$545&lt;$H$2),0,MIN($E574-SUM($G574:T574),$F574))</f>
        <v>0</v>
      </c>
      <c r="V574" s="424">
        <f>IF(OR(V$545&lt;$C574,V$545&lt;$H$2),0,MIN($E574-SUM($G574:U574),$F574))</f>
        <v>0</v>
      </c>
      <c r="W574" s="424">
        <f>IF(OR(W$545&lt;$C574,W$545&lt;$H$2),0,MIN($E574-SUM($G574:V574),$F574))</f>
        <v>0</v>
      </c>
      <c r="X574" s="424">
        <f>IF(OR(X$545&lt;$C574,X$545&lt;$H$2),0,MIN($E574-SUM($G574:W574),$F574))</f>
        <v>0</v>
      </c>
      <c r="Y574" s="424">
        <f>IF(OR(Y$545&lt;$C574,Y$545&lt;$H$2),0,MIN($E574-SUM($G574:X574),$F574))</f>
        <v>0</v>
      </c>
      <c r="Z574" s="424">
        <f>IF(OR(Z$545&lt;$C574,Z$545&lt;$H$2),0,MIN($E574-SUM($G574:Y574),$F574))</f>
        <v>0</v>
      </c>
      <c r="AA574" s="424">
        <f>IF(OR(AA$545&lt;$C574,AA$545&lt;$H$2),0,MIN($E574-SUM($G574:Z574),$F574))</f>
        <v>0</v>
      </c>
      <c r="AB574" s="424">
        <f>IF(OR(AB$545&lt;$C574,AB$545&lt;$H$2),0,MIN($E574-SUM($G574:AA574),$F574))</f>
        <v>0</v>
      </c>
      <c r="AC574" s="424">
        <f>IF(OR(AC$545&lt;$C574,AC$545&lt;$H$2),0,MIN($E574-SUM($G574:AB574),$F574))</f>
        <v>0</v>
      </c>
      <c r="AD574" s="424">
        <f>IF(OR(AD$545&lt;$C574,AD$545&lt;$H$2),0,MIN($E574-SUM($G574:AC574),$F574))</f>
        <v>0</v>
      </c>
      <c r="AE574" s="424">
        <f>IF(OR(AE$545&lt;$C574,AE$545&lt;$H$2),0,MIN($E574-SUM($G574:AD574),$F574))</f>
        <v>0</v>
      </c>
      <c r="AF574" s="424">
        <f>IF(OR(AF$545&lt;$C574,AF$545&lt;$H$2),0,MIN($E574-SUM($G574:AE574),$F574))</f>
        <v>0</v>
      </c>
      <c r="AG574" s="424">
        <f>IF(OR(AG$545&lt;$C574,AG$545&lt;$H$2),0,MIN($E574-SUM($G574:AF574),$F574))</f>
        <v>0</v>
      </c>
      <c r="AH574" s="424">
        <f>IF(OR(AH$545&lt;$C574,AH$545&lt;$H$2),0,MIN($E574-SUM($G574:AG574),$F574))</f>
        <v>0</v>
      </c>
      <c r="AI574" s="424">
        <f>IF(OR(AI$545&lt;$C574,AI$545&lt;$H$2),0,MIN($E574-SUM($G574:AH574),$F574))</f>
        <v>0</v>
      </c>
      <c r="AJ574" s="424">
        <f>IF(OR(AJ$545&lt;$C574,AJ$545&lt;$H$2),0,MIN($E574-SUM($G574:AI574),$F574))</f>
        <v>0</v>
      </c>
      <c r="AK574" s="424">
        <f>IF(OR(AK$545&lt;$C574,AK$545&lt;$H$2),0,MIN($E574-SUM($G574:AJ574),$F574))</f>
        <v>0</v>
      </c>
    </row>
    <row r="575" spans="3:37">
      <c r="C575" s="201">
        <v>0</v>
      </c>
      <c r="D575" s="94" t="s">
        <v>134</v>
      </c>
      <c r="E575" s="424">
        <f t="shared" si="146"/>
        <v>0</v>
      </c>
      <c r="F575" s="209">
        <f t="shared" si="147"/>
        <v>0</v>
      </c>
      <c r="H575" s="424">
        <f>IF(OR(H$545&lt;$C575,H$545&lt;$H$2),0,MIN($E575-SUM($G575:G575),$F575))</f>
        <v>0</v>
      </c>
      <c r="I575" s="424">
        <f>IF(OR(I$545&lt;$C575,I$545&lt;$H$2),0,MIN($E575-SUM($G575:H575),$F575))</f>
        <v>0</v>
      </c>
      <c r="J575" s="424">
        <f>IF(OR(J$545&lt;$C575,J$545&lt;$H$2),0,MIN($E575-SUM($G575:I575),$F575))</f>
        <v>0</v>
      </c>
      <c r="K575" s="424">
        <f>IF(OR(K$545&lt;$C575,K$545&lt;$H$2),0,MIN($E575-SUM($G575:J575),$F575))</f>
        <v>0</v>
      </c>
      <c r="L575" s="424">
        <f>IF(OR(L$545&lt;$C575,L$545&lt;$H$2),0,MIN($E575-SUM($G575:K575),$F575))</f>
        <v>0</v>
      </c>
      <c r="M575" s="424">
        <f>IF(OR(M$545&lt;$C575,M$545&lt;$H$2),0,MIN($E575-SUM($G575:L575),$F575))</f>
        <v>0</v>
      </c>
      <c r="N575" s="424">
        <f>IF(OR(N$545&lt;$C575,N$545&lt;$H$2),0,MIN($E575-SUM($G575:M575),$F575))</f>
        <v>0</v>
      </c>
      <c r="O575" s="424">
        <f>IF(OR(O$545&lt;$C575,O$545&lt;$H$2),0,MIN($E575-SUM($G575:N575),$F575))</f>
        <v>0</v>
      </c>
      <c r="P575" s="424">
        <f>IF(OR(P$545&lt;$C575,P$545&lt;$H$2),0,MIN($E575-SUM($G575:O575),$F575))</f>
        <v>0</v>
      </c>
      <c r="Q575" s="424">
        <f>IF(OR(Q$545&lt;$C575,Q$545&lt;$H$2),0,MIN($E575-SUM($G575:P575),$F575))</f>
        <v>0</v>
      </c>
      <c r="R575" s="424">
        <f>IF(OR(R$545&lt;$C575,R$545&lt;$H$2),0,MIN($E575-SUM($G575:Q575),$F575))</f>
        <v>0</v>
      </c>
      <c r="S575" s="424">
        <f>IF(OR(S$545&lt;$C575,S$545&lt;$H$2),0,MIN($E575-SUM($G575:R575),$F575))</f>
        <v>0</v>
      </c>
      <c r="T575" s="424">
        <f>IF(OR(T$545&lt;$C575,T$545&lt;$H$2),0,MIN($E575-SUM($G575:S575),$F575))</f>
        <v>0</v>
      </c>
      <c r="U575" s="424">
        <f>IF(OR(U$545&lt;$C575,U$545&lt;$H$2),0,MIN($E575-SUM($G575:T575),$F575))</f>
        <v>0</v>
      </c>
      <c r="V575" s="424">
        <f>IF(OR(V$545&lt;$C575,V$545&lt;$H$2),0,MIN($E575-SUM($G575:U575),$F575))</f>
        <v>0</v>
      </c>
      <c r="W575" s="424">
        <f>IF(OR(W$545&lt;$C575,W$545&lt;$H$2),0,MIN($E575-SUM($G575:V575),$F575))</f>
        <v>0</v>
      </c>
      <c r="X575" s="424">
        <f>IF(OR(X$545&lt;$C575,X$545&lt;$H$2),0,MIN($E575-SUM($G575:W575),$F575))</f>
        <v>0</v>
      </c>
      <c r="Y575" s="424">
        <f>IF(OR(Y$545&lt;$C575,Y$545&lt;$H$2),0,MIN($E575-SUM($G575:X575),$F575))</f>
        <v>0</v>
      </c>
      <c r="Z575" s="424">
        <f>IF(OR(Z$545&lt;$C575,Z$545&lt;$H$2),0,MIN($E575-SUM($G575:Y575),$F575))</f>
        <v>0</v>
      </c>
      <c r="AA575" s="424">
        <f>IF(OR(AA$545&lt;$C575,AA$545&lt;$H$2),0,MIN($E575-SUM($G575:Z575),$F575))</f>
        <v>0</v>
      </c>
      <c r="AB575" s="424">
        <f>IF(OR(AB$545&lt;$C575,AB$545&lt;$H$2),0,MIN($E575-SUM($G575:AA575),$F575))</f>
        <v>0</v>
      </c>
      <c r="AC575" s="424">
        <f>IF(OR(AC$545&lt;$C575,AC$545&lt;$H$2),0,MIN($E575-SUM($G575:AB575),$F575))</f>
        <v>0</v>
      </c>
      <c r="AD575" s="424">
        <f>IF(OR(AD$545&lt;$C575,AD$545&lt;$H$2),0,MIN($E575-SUM($G575:AC575),$F575))</f>
        <v>0</v>
      </c>
      <c r="AE575" s="424">
        <f>IF(OR(AE$545&lt;$C575,AE$545&lt;$H$2),0,MIN($E575-SUM($G575:AD575),$F575))</f>
        <v>0</v>
      </c>
      <c r="AF575" s="424">
        <f>IF(OR(AF$545&lt;$C575,AF$545&lt;$H$2),0,MIN($E575-SUM($G575:AE575),$F575))</f>
        <v>0</v>
      </c>
      <c r="AG575" s="424">
        <f>IF(OR(AG$545&lt;$C575,AG$545&lt;$H$2),0,MIN($E575-SUM($G575:AF575),$F575))</f>
        <v>0</v>
      </c>
      <c r="AH575" s="424">
        <f>IF(OR(AH$545&lt;$C575,AH$545&lt;$H$2),0,MIN($E575-SUM($G575:AG575),$F575))</f>
        <v>0</v>
      </c>
      <c r="AI575" s="424">
        <f>IF(OR(AI$545&lt;$C575,AI$545&lt;$H$2),0,MIN($E575-SUM($G575:AH575),$F575))</f>
        <v>0</v>
      </c>
      <c r="AJ575" s="424">
        <f>IF(OR(AJ$545&lt;$C575,AJ$545&lt;$H$2),0,MIN($E575-SUM($G575:AI575),$F575))</f>
        <v>0</v>
      </c>
      <c r="AK575" s="424">
        <f>IF(OR(AK$545&lt;$C575,AK$545&lt;$H$2),0,MIN($E575-SUM($G575:AJ575),$F575))</f>
        <v>0</v>
      </c>
    </row>
    <row r="576" spans="3:37">
      <c r="C576" s="201">
        <v>0</v>
      </c>
      <c r="D576" s="94" t="s">
        <v>134</v>
      </c>
      <c r="E576" s="424">
        <f t="shared" si="146"/>
        <v>0</v>
      </c>
      <c r="F576" s="209">
        <f t="shared" si="147"/>
        <v>0</v>
      </c>
      <c r="H576" s="424">
        <f>IF(OR(H$545&lt;$C576,H$545&lt;$H$2),0,MIN($E576-SUM($G576:G576),$F576))</f>
        <v>0</v>
      </c>
      <c r="I576" s="424">
        <f>IF(OR(I$545&lt;$C576,I$545&lt;$H$2),0,MIN($E576-SUM($G576:H576),$F576))</f>
        <v>0</v>
      </c>
      <c r="J576" s="424">
        <f>IF(OR(J$545&lt;$C576,J$545&lt;$H$2),0,MIN($E576-SUM($G576:I576),$F576))</f>
        <v>0</v>
      </c>
      <c r="K576" s="424">
        <f>IF(OR(K$545&lt;$C576,K$545&lt;$H$2),0,MIN($E576-SUM($G576:J576),$F576))</f>
        <v>0</v>
      </c>
      <c r="L576" s="424">
        <f>IF(OR(L$545&lt;$C576,L$545&lt;$H$2),0,MIN($E576-SUM($G576:K576),$F576))</f>
        <v>0</v>
      </c>
      <c r="M576" s="424">
        <f>IF(OR(M$545&lt;$C576,M$545&lt;$H$2),0,MIN($E576-SUM($G576:L576),$F576))</f>
        <v>0</v>
      </c>
      <c r="N576" s="424">
        <f>IF(OR(N$545&lt;$C576,N$545&lt;$H$2),0,MIN($E576-SUM($G576:M576),$F576))</f>
        <v>0</v>
      </c>
      <c r="O576" s="424">
        <f>IF(OR(O$545&lt;$C576,O$545&lt;$H$2),0,MIN($E576-SUM($G576:N576),$F576))</f>
        <v>0</v>
      </c>
      <c r="P576" s="424">
        <f>IF(OR(P$545&lt;$C576,P$545&lt;$H$2),0,MIN($E576-SUM($G576:O576),$F576))</f>
        <v>0</v>
      </c>
      <c r="Q576" s="424">
        <f>IF(OR(Q$545&lt;$C576,Q$545&lt;$H$2),0,MIN($E576-SUM($G576:P576),$F576))</f>
        <v>0</v>
      </c>
      <c r="R576" s="424">
        <f>IF(OR(R$545&lt;$C576,R$545&lt;$H$2),0,MIN($E576-SUM($G576:Q576),$F576))</f>
        <v>0</v>
      </c>
      <c r="S576" s="424">
        <f>IF(OR(S$545&lt;$C576,S$545&lt;$H$2),0,MIN($E576-SUM($G576:R576),$F576))</f>
        <v>0</v>
      </c>
      <c r="T576" s="424">
        <f>IF(OR(T$545&lt;$C576,T$545&lt;$H$2),0,MIN($E576-SUM($G576:S576),$F576))</f>
        <v>0</v>
      </c>
      <c r="U576" s="424">
        <f>IF(OR(U$545&lt;$C576,U$545&lt;$H$2),0,MIN($E576-SUM($G576:T576),$F576))</f>
        <v>0</v>
      </c>
      <c r="V576" s="424">
        <f>IF(OR(V$545&lt;$C576,V$545&lt;$H$2),0,MIN($E576-SUM($G576:U576),$F576))</f>
        <v>0</v>
      </c>
      <c r="W576" s="424">
        <f>IF(OR(W$545&lt;$C576,W$545&lt;$H$2),0,MIN($E576-SUM($G576:V576),$F576))</f>
        <v>0</v>
      </c>
      <c r="X576" s="424">
        <f>IF(OR(X$545&lt;$C576,X$545&lt;$H$2),0,MIN($E576-SUM($G576:W576),$F576))</f>
        <v>0</v>
      </c>
      <c r="Y576" s="424">
        <f>IF(OR(Y$545&lt;$C576,Y$545&lt;$H$2),0,MIN($E576-SUM($G576:X576),$F576))</f>
        <v>0</v>
      </c>
      <c r="Z576" s="424">
        <f>IF(OR(Z$545&lt;$C576,Z$545&lt;$H$2),0,MIN($E576-SUM($G576:Y576),$F576))</f>
        <v>0</v>
      </c>
      <c r="AA576" s="424">
        <f>IF(OR(AA$545&lt;$C576,AA$545&lt;$H$2),0,MIN($E576-SUM($G576:Z576),$F576))</f>
        <v>0</v>
      </c>
      <c r="AB576" s="424">
        <f>IF(OR(AB$545&lt;$C576,AB$545&lt;$H$2),0,MIN($E576-SUM($G576:AA576),$F576))</f>
        <v>0</v>
      </c>
      <c r="AC576" s="424">
        <f>IF(OR(AC$545&lt;$C576,AC$545&lt;$H$2),0,MIN($E576-SUM($G576:AB576),$F576))</f>
        <v>0</v>
      </c>
      <c r="AD576" s="424">
        <f>IF(OR(AD$545&lt;$C576,AD$545&lt;$H$2),0,MIN($E576-SUM($G576:AC576),$F576))</f>
        <v>0</v>
      </c>
      <c r="AE576" s="424">
        <f>IF(OR(AE$545&lt;$C576,AE$545&lt;$H$2),0,MIN($E576-SUM($G576:AD576),$F576))</f>
        <v>0</v>
      </c>
      <c r="AF576" s="424">
        <f>IF(OR(AF$545&lt;$C576,AF$545&lt;$H$2),0,MIN($E576-SUM($G576:AE576),$F576))</f>
        <v>0</v>
      </c>
      <c r="AG576" s="424">
        <f>IF(OR(AG$545&lt;$C576,AG$545&lt;$H$2),0,MIN($E576-SUM($G576:AF576),$F576))</f>
        <v>0</v>
      </c>
      <c r="AH576" s="424">
        <f>IF(OR(AH$545&lt;$C576,AH$545&lt;$H$2),0,MIN($E576-SUM($G576:AG576),$F576))</f>
        <v>0</v>
      </c>
      <c r="AI576" s="424">
        <f>IF(OR(AI$545&lt;$C576,AI$545&lt;$H$2),0,MIN($E576-SUM($G576:AH576),$F576))</f>
        <v>0</v>
      </c>
      <c r="AJ576" s="424">
        <f>IF(OR(AJ$545&lt;$C576,AJ$545&lt;$H$2),0,MIN($E576-SUM($G576:AI576),$F576))</f>
        <v>0</v>
      </c>
      <c r="AK576" s="424">
        <f>IF(OR(AK$545&lt;$C576,AK$545&lt;$H$2),0,MIN($E576-SUM($G576:AJ576),$F576))</f>
        <v>0</v>
      </c>
    </row>
    <row r="577" spans="3:37">
      <c r="C577" s="201">
        <v>0</v>
      </c>
      <c r="D577" s="94" t="s">
        <v>134</v>
      </c>
      <c r="E577" s="424">
        <f t="shared" si="146"/>
        <v>0</v>
      </c>
      <c r="F577" s="209">
        <f t="shared" si="147"/>
        <v>0</v>
      </c>
      <c r="H577" s="424">
        <f>IF(OR(H$545&lt;$C577,H$545&lt;$H$2),0,MIN($E577-SUM($G577:G577),$F577))</f>
        <v>0</v>
      </c>
      <c r="I577" s="424">
        <f>IF(OR(I$545&lt;$C577,I$545&lt;$H$2),0,MIN($E577-SUM($G577:H577),$F577))</f>
        <v>0</v>
      </c>
      <c r="J577" s="424">
        <f>IF(OR(J$545&lt;$C577,J$545&lt;$H$2),0,MIN($E577-SUM($G577:I577),$F577))</f>
        <v>0</v>
      </c>
      <c r="K577" s="424">
        <f>IF(OR(K$545&lt;$C577,K$545&lt;$H$2),0,MIN($E577-SUM($G577:J577),$F577))</f>
        <v>0</v>
      </c>
      <c r="L577" s="424">
        <f>IF(OR(L$545&lt;$C577,L$545&lt;$H$2),0,MIN($E577-SUM($G577:K577),$F577))</f>
        <v>0</v>
      </c>
      <c r="M577" s="424">
        <f>IF(OR(M$545&lt;$C577,M$545&lt;$H$2),0,MIN($E577-SUM($G577:L577),$F577))</f>
        <v>0</v>
      </c>
      <c r="N577" s="424">
        <f>IF(OR(N$545&lt;$C577,N$545&lt;$H$2),0,MIN($E577-SUM($G577:M577),$F577))</f>
        <v>0</v>
      </c>
      <c r="O577" s="424">
        <f>IF(OR(O$545&lt;$C577,O$545&lt;$H$2),0,MIN($E577-SUM($G577:N577),$F577))</f>
        <v>0</v>
      </c>
      <c r="P577" s="424">
        <f>IF(OR(P$545&lt;$C577,P$545&lt;$H$2),0,MIN($E577-SUM($G577:O577),$F577))</f>
        <v>0</v>
      </c>
      <c r="Q577" s="424">
        <f>IF(OR(Q$545&lt;$C577,Q$545&lt;$H$2),0,MIN($E577-SUM($G577:P577),$F577))</f>
        <v>0</v>
      </c>
      <c r="R577" s="424">
        <f>IF(OR(R$545&lt;$C577,R$545&lt;$H$2),0,MIN($E577-SUM($G577:Q577),$F577))</f>
        <v>0</v>
      </c>
      <c r="S577" s="424">
        <f>IF(OR(S$545&lt;$C577,S$545&lt;$H$2),0,MIN($E577-SUM($G577:R577),$F577))</f>
        <v>0</v>
      </c>
      <c r="T577" s="424">
        <f>IF(OR(T$545&lt;$C577,T$545&lt;$H$2),0,MIN($E577-SUM($G577:S577),$F577))</f>
        <v>0</v>
      </c>
      <c r="U577" s="424">
        <f>IF(OR(U$545&lt;$C577,U$545&lt;$H$2),0,MIN($E577-SUM($G577:T577),$F577))</f>
        <v>0</v>
      </c>
      <c r="V577" s="424">
        <f>IF(OR(V$545&lt;$C577,V$545&lt;$H$2),0,MIN($E577-SUM($G577:U577),$F577))</f>
        <v>0</v>
      </c>
      <c r="W577" s="424">
        <f>IF(OR(W$545&lt;$C577,W$545&lt;$H$2),0,MIN($E577-SUM($G577:V577),$F577))</f>
        <v>0</v>
      </c>
      <c r="X577" s="424">
        <f>IF(OR(X$545&lt;$C577,X$545&lt;$H$2),0,MIN($E577-SUM($G577:W577),$F577))</f>
        <v>0</v>
      </c>
      <c r="Y577" s="424">
        <f>IF(OR(Y$545&lt;$C577,Y$545&lt;$H$2),0,MIN($E577-SUM($G577:X577),$F577))</f>
        <v>0</v>
      </c>
      <c r="Z577" s="424">
        <f>IF(OR(Z$545&lt;$C577,Z$545&lt;$H$2),0,MIN($E577-SUM($G577:Y577),$F577))</f>
        <v>0</v>
      </c>
      <c r="AA577" s="424">
        <f>IF(OR(AA$545&lt;$C577,AA$545&lt;$H$2),0,MIN($E577-SUM($G577:Z577),$F577))</f>
        <v>0</v>
      </c>
      <c r="AB577" s="424">
        <f>IF(OR(AB$545&lt;$C577,AB$545&lt;$H$2),0,MIN($E577-SUM($G577:AA577),$F577))</f>
        <v>0</v>
      </c>
      <c r="AC577" s="424">
        <f>IF(OR(AC$545&lt;$C577,AC$545&lt;$H$2),0,MIN($E577-SUM($G577:AB577),$F577))</f>
        <v>0</v>
      </c>
      <c r="AD577" s="424">
        <f>IF(OR(AD$545&lt;$C577,AD$545&lt;$H$2),0,MIN($E577-SUM($G577:AC577),$F577))</f>
        <v>0</v>
      </c>
      <c r="AE577" s="424">
        <f>IF(OR(AE$545&lt;$C577,AE$545&lt;$H$2),0,MIN($E577-SUM($G577:AD577),$F577))</f>
        <v>0</v>
      </c>
      <c r="AF577" s="424">
        <f>IF(OR(AF$545&lt;$C577,AF$545&lt;$H$2),0,MIN($E577-SUM($G577:AE577),$F577))</f>
        <v>0</v>
      </c>
      <c r="AG577" s="424">
        <f>IF(OR(AG$545&lt;$C577,AG$545&lt;$H$2),0,MIN($E577-SUM($G577:AF577),$F577))</f>
        <v>0</v>
      </c>
      <c r="AH577" s="424">
        <f>IF(OR(AH$545&lt;$C577,AH$545&lt;$H$2),0,MIN($E577-SUM($G577:AG577),$F577))</f>
        <v>0</v>
      </c>
      <c r="AI577" s="424">
        <f>IF(OR(AI$545&lt;$C577,AI$545&lt;$H$2),0,MIN($E577-SUM($G577:AH577),$F577))</f>
        <v>0</v>
      </c>
      <c r="AJ577" s="424">
        <f>IF(OR(AJ$545&lt;$C577,AJ$545&lt;$H$2),0,MIN($E577-SUM($G577:AI577),$F577))</f>
        <v>0</v>
      </c>
      <c r="AK577" s="424">
        <f>IF(OR(AK$545&lt;$C577,AK$545&lt;$H$2),0,MIN($E577-SUM($G577:AJ577),$F577))</f>
        <v>0</v>
      </c>
    </row>
    <row r="578" spans="3:37" ht="14" thickBot="1">
      <c r="C578" s="240" t="s">
        <v>543</v>
      </c>
      <c r="D578" s="348" t="s">
        <v>134</v>
      </c>
      <c r="E578" s="427">
        <f>SUM(E548:E577)</f>
        <v>0</v>
      </c>
      <c r="F578" s="427">
        <f>SUM(F548:F577)</f>
        <v>0</v>
      </c>
      <c r="G578" s="348"/>
      <c r="H578" s="427">
        <f t="shared" ref="H578:AK578" si="148">SUM(H548:H577)</f>
        <v>0</v>
      </c>
      <c r="I578" s="427">
        <f t="shared" si="148"/>
        <v>0</v>
      </c>
      <c r="J578" s="427">
        <f t="shared" si="148"/>
        <v>0</v>
      </c>
      <c r="K578" s="427">
        <f t="shared" si="148"/>
        <v>0</v>
      </c>
      <c r="L578" s="427">
        <f t="shared" si="148"/>
        <v>0</v>
      </c>
      <c r="M578" s="427">
        <f t="shared" si="148"/>
        <v>0</v>
      </c>
      <c r="N578" s="427">
        <f t="shared" si="148"/>
        <v>0</v>
      </c>
      <c r="O578" s="427">
        <f t="shared" si="148"/>
        <v>0</v>
      </c>
      <c r="P578" s="427">
        <f t="shared" si="148"/>
        <v>0</v>
      </c>
      <c r="Q578" s="427">
        <f t="shared" si="148"/>
        <v>0</v>
      </c>
      <c r="R578" s="427">
        <f t="shared" si="148"/>
        <v>0</v>
      </c>
      <c r="S578" s="427">
        <f t="shared" si="148"/>
        <v>0</v>
      </c>
      <c r="T578" s="427">
        <f t="shared" si="148"/>
        <v>0</v>
      </c>
      <c r="U578" s="427">
        <f t="shared" si="148"/>
        <v>0</v>
      </c>
      <c r="V578" s="427">
        <f t="shared" si="148"/>
        <v>0</v>
      </c>
      <c r="W578" s="427">
        <f t="shared" si="148"/>
        <v>0</v>
      </c>
      <c r="X578" s="427">
        <f t="shared" si="148"/>
        <v>0</v>
      </c>
      <c r="Y578" s="427">
        <f t="shared" si="148"/>
        <v>0</v>
      </c>
      <c r="Z578" s="427">
        <f t="shared" si="148"/>
        <v>0</v>
      </c>
      <c r="AA578" s="427">
        <f t="shared" si="148"/>
        <v>0</v>
      </c>
      <c r="AB578" s="427">
        <f t="shared" si="148"/>
        <v>0</v>
      </c>
      <c r="AC578" s="427">
        <f t="shared" si="148"/>
        <v>0</v>
      </c>
      <c r="AD578" s="427">
        <f t="shared" si="148"/>
        <v>0</v>
      </c>
      <c r="AE578" s="427">
        <f t="shared" si="148"/>
        <v>0</v>
      </c>
      <c r="AF578" s="427">
        <f t="shared" si="148"/>
        <v>0</v>
      </c>
      <c r="AG578" s="427">
        <f t="shared" si="148"/>
        <v>0</v>
      </c>
      <c r="AH578" s="427">
        <f t="shared" si="148"/>
        <v>0</v>
      </c>
      <c r="AI578" s="427">
        <f t="shared" si="148"/>
        <v>0</v>
      </c>
      <c r="AJ578" s="427">
        <f t="shared" si="148"/>
        <v>0</v>
      </c>
      <c r="AK578" s="427">
        <f t="shared" si="148"/>
        <v>0</v>
      </c>
    </row>
    <row r="579" spans="3:37" ht="14" thickTop="1"/>
    <row r="580" spans="3:37" ht="28">
      <c r="C580" s="428" t="s">
        <v>166</v>
      </c>
      <c r="D580" s="428" t="s">
        <v>88</v>
      </c>
      <c r="E580" s="428" t="s">
        <v>555</v>
      </c>
      <c r="F580" s="429" t="s">
        <v>556</v>
      </c>
      <c r="G580" s="430"/>
      <c r="H580" s="201">
        <f t="shared" ref="H580:AK581" si="149">H545</f>
        <v>46023</v>
      </c>
      <c r="I580" s="201">
        <f t="shared" si="149"/>
        <v>46389</v>
      </c>
      <c r="J580" s="201">
        <f t="shared" si="149"/>
        <v>46755</v>
      </c>
      <c r="K580" s="201">
        <f t="shared" si="149"/>
        <v>47121</v>
      </c>
      <c r="L580" s="201">
        <f t="shared" si="149"/>
        <v>47487</v>
      </c>
      <c r="M580" s="201">
        <f t="shared" si="149"/>
        <v>47853</v>
      </c>
      <c r="N580" s="201">
        <f t="shared" si="149"/>
        <v>48219</v>
      </c>
      <c r="O580" s="201">
        <f t="shared" si="149"/>
        <v>48585</v>
      </c>
      <c r="P580" s="201">
        <f t="shared" si="149"/>
        <v>48951</v>
      </c>
      <c r="Q580" s="201">
        <f t="shared" si="149"/>
        <v>49317</v>
      </c>
      <c r="R580" s="201">
        <f t="shared" si="149"/>
        <v>49683</v>
      </c>
      <c r="S580" s="201">
        <f t="shared" si="149"/>
        <v>50049</v>
      </c>
      <c r="T580" s="201">
        <f t="shared" si="149"/>
        <v>50415</v>
      </c>
      <c r="U580" s="201">
        <f t="shared" si="149"/>
        <v>50781</v>
      </c>
      <c r="V580" s="201">
        <f t="shared" si="149"/>
        <v>51147</v>
      </c>
      <c r="W580" s="201">
        <f t="shared" si="149"/>
        <v>51513</v>
      </c>
      <c r="X580" s="201">
        <f t="shared" si="149"/>
        <v>51879</v>
      </c>
      <c r="Y580" s="201">
        <f t="shared" si="149"/>
        <v>52245</v>
      </c>
      <c r="Z580" s="201">
        <f t="shared" si="149"/>
        <v>52611</v>
      </c>
      <c r="AA580" s="201">
        <f t="shared" si="149"/>
        <v>52977</v>
      </c>
      <c r="AB580" s="201">
        <f t="shared" si="149"/>
        <v>53343</v>
      </c>
      <c r="AC580" s="201">
        <f t="shared" si="149"/>
        <v>53709</v>
      </c>
      <c r="AD580" s="201">
        <f t="shared" si="149"/>
        <v>54075</v>
      </c>
      <c r="AE580" s="201">
        <f t="shared" si="149"/>
        <v>0</v>
      </c>
      <c r="AF580" s="201">
        <f t="shared" si="149"/>
        <v>0</v>
      </c>
      <c r="AG580" s="201">
        <f t="shared" si="149"/>
        <v>0</v>
      </c>
      <c r="AH580" s="201">
        <f t="shared" si="149"/>
        <v>0</v>
      </c>
      <c r="AI580" s="201">
        <f t="shared" si="149"/>
        <v>0</v>
      </c>
      <c r="AJ580" s="201">
        <f t="shared" si="149"/>
        <v>0</v>
      </c>
      <c r="AK580" s="201">
        <f t="shared" si="149"/>
        <v>0</v>
      </c>
    </row>
    <row r="581" spans="3:37">
      <c r="C581" s="430"/>
      <c r="D581" s="430"/>
      <c r="E581" s="428" t="s">
        <v>134</v>
      </c>
      <c r="F581" s="428" t="s">
        <v>134</v>
      </c>
      <c r="G581" s="430"/>
      <c r="H581" s="1141">
        <f t="shared" si="149"/>
        <v>-4</v>
      </c>
      <c r="I581" s="1141">
        <f t="shared" si="149"/>
        <v>-3</v>
      </c>
      <c r="J581" s="1141">
        <f t="shared" si="149"/>
        <v>-2</v>
      </c>
      <c r="K581" s="1141">
        <f t="shared" si="149"/>
        <v>-1</v>
      </c>
      <c r="L581" s="1141">
        <f t="shared" si="149"/>
        <v>1</v>
      </c>
      <c r="M581" s="1141">
        <f t="shared" si="149"/>
        <v>2</v>
      </c>
      <c r="N581" s="1141">
        <f t="shared" si="149"/>
        <v>3</v>
      </c>
      <c r="O581" s="1141">
        <f t="shared" si="149"/>
        <v>4</v>
      </c>
      <c r="P581" s="1141">
        <f t="shared" si="149"/>
        <v>5</v>
      </c>
      <c r="Q581" s="1141">
        <f t="shared" si="149"/>
        <v>6</v>
      </c>
      <c r="R581" s="1141">
        <f t="shared" si="149"/>
        <v>7</v>
      </c>
      <c r="S581" s="1141">
        <f t="shared" si="149"/>
        <v>8</v>
      </c>
      <c r="T581" s="1141">
        <f t="shared" si="149"/>
        <v>9</v>
      </c>
      <c r="U581" s="1141">
        <f t="shared" si="149"/>
        <v>10</v>
      </c>
      <c r="V581" s="1141">
        <f t="shared" si="149"/>
        <v>11</v>
      </c>
      <c r="W581" s="1141">
        <f t="shared" si="149"/>
        <v>12</v>
      </c>
      <c r="X581" s="1141">
        <f t="shared" si="149"/>
        <v>13</v>
      </c>
      <c r="Y581" s="1141">
        <f t="shared" si="149"/>
        <v>14</v>
      </c>
      <c r="Z581" s="1141">
        <f t="shared" si="149"/>
        <v>15</v>
      </c>
      <c r="AA581" s="1141">
        <f t="shared" si="149"/>
        <v>16</v>
      </c>
      <c r="AB581" s="1141">
        <f t="shared" si="149"/>
        <v>17</v>
      </c>
      <c r="AC581" s="1141">
        <f t="shared" si="149"/>
        <v>18</v>
      </c>
      <c r="AD581" s="1141">
        <f t="shared" si="149"/>
        <v>19</v>
      </c>
      <c r="AE581" s="1141">
        <f t="shared" si="149"/>
        <v>0</v>
      </c>
      <c r="AF581" s="1141">
        <f t="shared" si="149"/>
        <v>0</v>
      </c>
      <c r="AG581" s="1141">
        <f t="shared" si="149"/>
        <v>0</v>
      </c>
      <c r="AH581" s="1141">
        <f t="shared" si="149"/>
        <v>0</v>
      </c>
      <c r="AI581" s="1141">
        <f t="shared" si="149"/>
        <v>0</v>
      </c>
      <c r="AJ581" s="1141">
        <f t="shared" si="149"/>
        <v>0</v>
      </c>
      <c r="AK581" s="1141">
        <f t="shared" si="149"/>
        <v>0</v>
      </c>
    </row>
    <row r="582" spans="3:37">
      <c r="C582" s="191" t="str">
        <f>C107</f>
        <v>Contingency</v>
      </c>
    </row>
    <row r="583" spans="3:37">
      <c r="C583" s="201" cm="1">
        <f t="array" ref="C583:C612">TRANSPOSE(H580:AK580)</f>
        <v>46023</v>
      </c>
      <c r="D583" s="94" t="s">
        <v>134</v>
      </c>
      <c r="E583" s="424">
        <f>HLOOKUP($C583,$H$39:$AP$112,71,FALSE)</f>
        <v>0</v>
      </c>
      <c r="F583" s="209">
        <f>E583*$F$107</f>
        <v>0</v>
      </c>
      <c r="H583" s="424">
        <f>IF(OR(H$580&lt;$C583,H$580&lt;$H$2),0,MIN($E583-SUM($G583:G583),$F583))</f>
        <v>0</v>
      </c>
      <c r="I583" s="424">
        <f>IF(OR(I$580&lt;$C583,I$580&lt;$H$2),0,MIN($E583-SUM($G583:H583),$F583))</f>
        <v>0</v>
      </c>
      <c r="J583" s="424">
        <f>IF(OR(J$580&lt;$C583,J$580&lt;$H$2),0,MIN($E583-SUM($G583:I583),$F583))</f>
        <v>0</v>
      </c>
      <c r="K583" s="424">
        <f>IF(OR(K$580&lt;$C583,K$580&lt;$H$2),0,MIN($E583-SUM($G583:J583),$F583))</f>
        <v>0</v>
      </c>
      <c r="L583" s="424">
        <f>IF(OR(L$580&lt;$C583,L$580&lt;$H$2),0,MIN($E583-SUM($G583:K583),$F583))</f>
        <v>0</v>
      </c>
      <c r="M583" s="424">
        <f>IF(OR(M$580&lt;$C583,M$580&lt;$H$2),0,MIN($E583-SUM($G583:L583),$F583))</f>
        <v>0</v>
      </c>
      <c r="N583" s="424">
        <f>IF(OR(N$580&lt;$C583,N$580&lt;$H$2),0,MIN($E583-SUM($G583:M583),$F583))</f>
        <v>0</v>
      </c>
      <c r="O583" s="424">
        <f>IF(OR(O$580&lt;$C583,O$580&lt;$H$2),0,MIN($E583-SUM($G583:N583),$F583))</f>
        <v>0</v>
      </c>
      <c r="P583" s="424">
        <f>IF(OR(P$580&lt;$C583,P$580&lt;$H$2),0,MIN($E583-SUM($G583:O583),$F583))</f>
        <v>0</v>
      </c>
      <c r="Q583" s="424">
        <f>IF(OR(Q$580&lt;$C583,Q$580&lt;$H$2),0,MIN($E583-SUM($G583:P583),$F583))</f>
        <v>0</v>
      </c>
      <c r="R583" s="424">
        <f>IF(OR(R$580&lt;$C583,R$580&lt;$H$2),0,MIN($E583-SUM($G583:Q583),$F583))</f>
        <v>0</v>
      </c>
      <c r="S583" s="424">
        <f>IF(OR(S$580&lt;$C583,S$580&lt;$H$2),0,MIN($E583-SUM($G583:R583),$F583))</f>
        <v>0</v>
      </c>
      <c r="T583" s="424">
        <f>IF(OR(T$580&lt;$C583,T$580&lt;$H$2),0,MIN($E583-SUM($G583:S583),$F583))</f>
        <v>0</v>
      </c>
      <c r="U583" s="424">
        <f>IF(OR(U$580&lt;$C583,U$580&lt;$H$2),0,MIN($E583-SUM($G583:T583),$F583))</f>
        <v>0</v>
      </c>
      <c r="V583" s="424">
        <f>IF(OR(V$580&lt;$C583,V$580&lt;$H$2),0,MIN($E583-SUM($G583:U583),$F583))</f>
        <v>0</v>
      </c>
      <c r="W583" s="424">
        <f>IF(OR(W$580&lt;$C583,W$580&lt;$H$2),0,MIN($E583-SUM($G583:V583),$F583))</f>
        <v>0</v>
      </c>
      <c r="X583" s="424">
        <f>IF(OR(X$580&lt;$C583,X$580&lt;$H$2),0,MIN($E583-SUM($G583:W583),$F583))</f>
        <v>0</v>
      </c>
      <c r="Y583" s="424">
        <f>IF(OR(Y$580&lt;$C583,Y$580&lt;$H$2),0,MIN($E583-SUM($G583:X583),$F583))</f>
        <v>0</v>
      </c>
      <c r="Z583" s="424">
        <f>IF(OR(Z$580&lt;$C583,Z$580&lt;$H$2),0,MIN($E583-SUM($G583:Y583),$F583))</f>
        <v>0</v>
      </c>
      <c r="AA583" s="424">
        <f>IF(OR(AA$580&lt;$C583,AA$580&lt;$H$2),0,MIN($E583-SUM($G583:Z583),$F583))</f>
        <v>0</v>
      </c>
      <c r="AB583" s="424">
        <f>IF(OR(AB$580&lt;$C583,AB$580&lt;$H$2),0,MIN($E583-SUM($G583:AA583),$F583))</f>
        <v>0</v>
      </c>
      <c r="AC583" s="424">
        <f>IF(OR(AC$580&lt;$C583,AC$580&lt;$H$2),0,MIN($E583-SUM($G583:AB583),$F583))</f>
        <v>0</v>
      </c>
      <c r="AD583" s="424">
        <f>IF(OR(AD$580&lt;$C583,AD$580&lt;$H$2),0,MIN($E583-SUM($G583:AC583),$F583))</f>
        <v>0</v>
      </c>
      <c r="AE583" s="424">
        <f>IF(OR(AE$580&lt;$C583,AE$580&lt;$H$2),0,MIN($E583-SUM($G583:AD583),$F583))</f>
        <v>0</v>
      </c>
      <c r="AF583" s="424">
        <f>IF(OR(AF$580&lt;$C583,AF$580&lt;$H$2),0,MIN($E583-SUM($G583:AE583),$F583))</f>
        <v>0</v>
      </c>
      <c r="AG583" s="424">
        <f>IF(OR(AG$580&lt;$C583,AG$580&lt;$H$2),0,MIN($E583-SUM($G583:AF583),$F583))</f>
        <v>0</v>
      </c>
      <c r="AH583" s="424">
        <f>IF(OR(AH$580&lt;$C583,AH$580&lt;$H$2),0,MIN($E583-SUM($G583:AG583),$F583))</f>
        <v>0</v>
      </c>
      <c r="AI583" s="424">
        <f>IF(OR(AI$580&lt;$C583,AI$580&lt;$H$2),0,MIN($E583-SUM($G583:AH583),$F583))</f>
        <v>0</v>
      </c>
      <c r="AJ583" s="424">
        <f>IF(OR(AJ$580&lt;$C583,AJ$580&lt;$H$2),0,MIN($E583-SUM($G583:AI583),$F583))</f>
        <v>0</v>
      </c>
      <c r="AK583" s="424">
        <f>IF(OR(AK$580&lt;$C583,AK$580&lt;$H$2),0,MIN($E583-SUM($G583:AJ583),$F583))</f>
        <v>0</v>
      </c>
    </row>
    <row r="584" spans="3:37">
      <c r="C584" s="201">
        <v>46389</v>
      </c>
      <c r="D584" s="94" t="s">
        <v>134</v>
      </c>
      <c r="E584" s="424">
        <f t="shared" ref="E584:E612" si="150">HLOOKUP($C584,$H$39:$AP$112,71,FALSE)</f>
        <v>0</v>
      </c>
      <c r="F584" s="209">
        <f t="shared" ref="F584:F612" si="151">E584*$F$107</f>
        <v>0</v>
      </c>
      <c r="H584" s="424">
        <f>IF(OR(H$580&lt;$C584,H$580&lt;$H$2),0,MIN($E584-SUM($G584:G584),$F584))</f>
        <v>0</v>
      </c>
      <c r="I584" s="424">
        <f>IF(OR(I$580&lt;$C584,I$580&lt;$H$2),0,MIN($E584-SUM($G584:H584),$F584))</f>
        <v>0</v>
      </c>
      <c r="J584" s="424">
        <f>IF(OR(J$580&lt;$C584,J$580&lt;$H$2),0,MIN($E584-SUM($G584:I584),$F584))</f>
        <v>0</v>
      </c>
      <c r="K584" s="424">
        <f>IF(OR(K$580&lt;$C584,K$580&lt;$H$2),0,MIN($E584-SUM($G584:J584),$F584))</f>
        <v>0</v>
      </c>
      <c r="L584" s="424">
        <f>IF(OR(L$580&lt;$C584,L$580&lt;$H$2),0,MIN($E584-SUM($G584:K584),$F584))</f>
        <v>0</v>
      </c>
      <c r="M584" s="424">
        <f>IF(OR(M$580&lt;$C584,M$580&lt;$H$2),0,MIN($E584-SUM($G584:L584),$F584))</f>
        <v>0</v>
      </c>
      <c r="N584" s="424">
        <f>IF(OR(N$580&lt;$C584,N$580&lt;$H$2),0,MIN($E584-SUM($G584:M584),$F584))</f>
        <v>0</v>
      </c>
      <c r="O584" s="424">
        <f>IF(OR(O$580&lt;$C584,O$580&lt;$H$2),0,MIN($E584-SUM($G584:N584),$F584))</f>
        <v>0</v>
      </c>
      <c r="P584" s="424">
        <f>IF(OR(P$580&lt;$C584,P$580&lt;$H$2),0,MIN($E584-SUM($G584:O584),$F584))</f>
        <v>0</v>
      </c>
      <c r="Q584" s="424">
        <f>IF(OR(Q$580&lt;$C584,Q$580&lt;$H$2),0,MIN($E584-SUM($G584:P584),$F584))</f>
        <v>0</v>
      </c>
      <c r="R584" s="424">
        <f>IF(OR(R$580&lt;$C584,R$580&lt;$H$2),0,MIN($E584-SUM($G584:Q584),$F584))</f>
        <v>0</v>
      </c>
      <c r="S584" s="424">
        <f>IF(OR(S$580&lt;$C584,S$580&lt;$H$2),0,MIN($E584-SUM($G584:R584),$F584))</f>
        <v>0</v>
      </c>
      <c r="T584" s="424">
        <f>IF(OR(T$580&lt;$C584,T$580&lt;$H$2),0,MIN($E584-SUM($G584:S584),$F584))</f>
        <v>0</v>
      </c>
      <c r="U584" s="424">
        <f>IF(OR(U$580&lt;$C584,U$580&lt;$H$2),0,MIN($E584-SUM($G584:T584),$F584))</f>
        <v>0</v>
      </c>
      <c r="V584" s="424">
        <f>IF(OR(V$580&lt;$C584,V$580&lt;$H$2),0,MIN($E584-SUM($G584:U584),$F584))</f>
        <v>0</v>
      </c>
      <c r="W584" s="424">
        <f>IF(OR(W$580&lt;$C584,W$580&lt;$H$2),0,MIN($E584-SUM($G584:V584),$F584))</f>
        <v>0</v>
      </c>
      <c r="X584" s="424">
        <f>IF(OR(X$580&lt;$C584,X$580&lt;$H$2),0,MIN($E584-SUM($G584:W584),$F584))</f>
        <v>0</v>
      </c>
      <c r="Y584" s="424">
        <f>IF(OR(Y$580&lt;$C584,Y$580&lt;$H$2),0,MIN($E584-SUM($G584:X584),$F584))</f>
        <v>0</v>
      </c>
      <c r="Z584" s="424">
        <f>IF(OR(Z$580&lt;$C584,Z$580&lt;$H$2),0,MIN($E584-SUM($G584:Y584),$F584))</f>
        <v>0</v>
      </c>
      <c r="AA584" s="424">
        <f>IF(OR(AA$580&lt;$C584,AA$580&lt;$H$2),0,MIN($E584-SUM($G584:Z584),$F584))</f>
        <v>0</v>
      </c>
      <c r="AB584" s="424">
        <f>IF(OR(AB$580&lt;$C584,AB$580&lt;$H$2),0,MIN($E584-SUM($G584:AA584),$F584))</f>
        <v>0</v>
      </c>
      <c r="AC584" s="424">
        <f>IF(OR(AC$580&lt;$C584,AC$580&lt;$H$2),0,MIN($E584-SUM($G584:AB584),$F584))</f>
        <v>0</v>
      </c>
      <c r="AD584" s="424">
        <f>IF(OR(AD$580&lt;$C584,AD$580&lt;$H$2),0,MIN($E584-SUM($G584:AC584),$F584))</f>
        <v>0</v>
      </c>
      <c r="AE584" s="424">
        <f>IF(OR(AE$580&lt;$C584,AE$580&lt;$H$2),0,MIN($E584-SUM($G584:AD584),$F584))</f>
        <v>0</v>
      </c>
      <c r="AF584" s="424">
        <f>IF(OR(AF$580&lt;$C584,AF$580&lt;$H$2),0,MIN($E584-SUM($G584:AE584),$F584))</f>
        <v>0</v>
      </c>
      <c r="AG584" s="424">
        <f>IF(OR(AG$580&lt;$C584,AG$580&lt;$H$2),0,MIN($E584-SUM($G584:AF584),$F584))</f>
        <v>0</v>
      </c>
      <c r="AH584" s="424">
        <f>IF(OR(AH$580&lt;$C584,AH$580&lt;$H$2),0,MIN($E584-SUM($G584:AG584),$F584))</f>
        <v>0</v>
      </c>
      <c r="AI584" s="424">
        <f>IF(OR(AI$580&lt;$C584,AI$580&lt;$H$2),0,MIN($E584-SUM($G584:AH584),$F584))</f>
        <v>0</v>
      </c>
      <c r="AJ584" s="424">
        <f>IF(OR(AJ$580&lt;$C584,AJ$580&lt;$H$2),0,MIN($E584-SUM($G584:AI584),$F584))</f>
        <v>0</v>
      </c>
      <c r="AK584" s="424">
        <f>IF(OR(AK$580&lt;$C584,AK$580&lt;$H$2),0,MIN($E584-SUM($G584:AJ584),$F584))</f>
        <v>0</v>
      </c>
    </row>
    <row r="585" spans="3:37">
      <c r="C585" s="201">
        <v>46755</v>
      </c>
      <c r="D585" s="94" t="s">
        <v>134</v>
      </c>
      <c r="E585" s="424">
        <f t="shared" si="150"/>
        <v>0</v>
      </c>
      <c r="F585" s="209">
        <f t="shared" si="151"/>
        <v>0</v>
      </c>
      <c r="H585" s="424">
        <f>IF(OR(H$580&lt;$C585,H$580&lt;$H$2),0,MIN($E585-SUM($G585:G585),$F585))</f>
        <v>0</v>
      </c>
      <c r="I585" s="424">
        <f>IF(OR(I$580&lt;$C585,I$580&lt;$H$2),0,MIN($E585-SUM($G585:H585),$F585))</f>
        <v>0</v>
      </c>
      <c r="J585" s="424">
        <f>IF(OR(J$580&lt;$C585,J$580&lt;$H$2),0,MIN($E585-SUM($G585:I585),$F585))</f>
        <v>0</v>
      </c>
      <c r="K585" s="424">
        <f>IF(OR(K$580&lt;$C585,K$580&lt;$H$2),0,MIN($E585-SUM($G585:J585),$F585))</f>
        <v>0</v>
      </c>
      <c r="L585" s="424">
        <f>IF(OR(L$580&lt;$C585,L$580&lt;$H$2),0,MIN($E585-SUM($G585:K585),$F585))</f>
        <v>0</v>
      </c>
      <c r="M585" s="424">
        <f>IF(OR(M$580&lt;$C585,M$580&lt;$H$2),0,MIN($E585-SUM($G585:L585),$F585))</f>
        <v>0</v>
      </c>
      <c r="N585" s="424">
        <f>IF(OR(N$580&lt;$C585,N$580&lt;$H$2),0,MIN($E585-SUM($G585:M585),$F585))</f>
        <v>0</v>
      </c>
      <c r="O585" s="424">
        <f>IF(OR(O$580&lt;$C585,O$580&lt;$H$2),0,MIN($E585-SUM($G585:N585),$F585))</f>
        <v>0</v>
      </c>
      <c r="P585" s="424">
        <f>IF(OR(P$580&lt;$C585,P$580&lt;$H$2),0,MIN($E585-SUM($G585:O585),$F585))</f>
        <v>0</v>
      </c>
      <c r="Q585" s="424">
        <f>IF(OR(Q$580&lt;$C585,Q$580&lt;$H$2),0,MIN($E585-SUM($G585:P585),$F585))</f>
        <v>0</v>
      </c>
      <c r="R585" s="424">
        <f>IF(OR(R$580&lt;$C585,R$580&lt;$H$2),0,MIN($E585-SUM($G585:Q585),$F585))</f>
        <v>0</v>
      </c>
      <c r="S585" s="424">
        <f>IF(OR(S$580&lt;$C585,S$580&lt;$H$2),0,MIN($E585-SUM($G585:R585),$F585))</f>
        <v>0</v>
      </c>
      <c r="T585" s="424">
        <f>IF(OR(T$580&lt;$C585,T$580&lt;$H$2),0,MIN($E585-SUM($G585:S585),$F585))</f>
        <v>0</v>
      </c>
      <c r="U585" s="424">
        <f>IF(OR(U$580&lt;$C585,U$580&lt;$H$2),0,MIN($E585-SUM($G585:T585),$F585))</f>
        <v>0</v>
      </c>
      <c r="V585" s="424">
        <f>IF(OR(V$580&lt;$C585,V$580&lt;$H$2),0,MIN($E585-SUM($G585:U585),$F585))</f>
        <v>0</v>
      </c>
      <c r="W585" s="424">
        <f>IF(OR(W$580&lt;$C585,W$580&lt;$H$2),0,MIN($E585-SUM($G585:V585),$F585))</f>
        <v>0</v>
      </c>
      <c r="X585" s="424">
        <f>IF(OR(X$580&lt;$C585,X$580&lt;$H$2),0,MIN($E585-SUM($G585:W585),$F585))</f>
        <v>0</v>
      </c>
      <c r="Y585" s="424">
        <f>IF(OR(Y$580&lt;$C585,Y$580&lt;$H$2),0,MIN($E585-SUM($G585:X585),$F585))</f>
        <v>0</v>
      </c>
      <c r="Z585" s="424">
        <f>IF(OR(Z$580&lt;$C585,Z$580&lt;$H$2),0,MIN($E585-SUM($G585:Y585),$F585))</f>
        <v>0</v>
      </c>
      <c r="AA585" s="424">
        <f>IF(OR(AA$580&lt;$C585,AA$580&lt;$H$2),0,MIN($E585-SUM($G585:Z585),$F585))</f>
        <v>0</v>
      </c>
      <c r="AB585" s="424">
        <f>IF(OR(AB$580&lt;$C585,AB$580&lt;$H$2),0,MIN($E585-SUM($G585:AA585),$F585))</f>
        <v>0</v>
      </c>
      <c r="AC585" s="424">
        <f>IF(OR(AC$580&lt;$C585,AC$580&lt;$H$2),0,MIN($E585-SUM($G585:AB585),$F585))</f>
        <v>0</v>
      </c>
      <c r="AD585" s="424">
        <f>IF(OR(AD$580&lt;$C585,AD$580&lt;$H$2),0,MIN($E585-SUM($G585:AC585),$F585))</f>
        <v>0</v>
      </c>
      <c r="AE585" s="424">
        <f>IF(OR(AE$580&lt;$C585,AE$580&lt;$H$2),0,MIN($E585-SUM($G585:AD585),$F585))</f>
        <v>0</v>
      </c>
      <c r="AF585" s="424">
        <f>IF(OR(AF$580&lt;$C585,AF$580&lt;$H$2),0,MIN($E585-SUM($G585:AE585),$F585))</f>
        <v>0</v>
      </c>
      <c r="AG585" s="424">
        <f>IF(OR(AG$580&lt;$C585,AG$580&lt;$H$2),0,MIN($E585-SUM($G585:AF585),$F585))</f>
        <v>0</v>
      </c>
      <c r="AH585" s="424">
        <f>IF(OR(AH$580&lt;$C585,AH$580&lt;$H$2),0,MIN($E585-SUM($G585:AG585),$F585))</f>
        <v>0</v>
      </c>
      <c r="AI585" s="424">
        <f>IF(OR(AI$580&lt;$C585,AI$580&lt;$H$2),0,MIN($E585-SUM($G585:AH585),$F585))</f>
        <v>0</v>
      </c>
      <c r="AJ585" s="424">
        <f>IF(OR(AJ$580&lt;$C585,AJ$580&lt;$H$2),0,MIN($E585-SUM($G585:AI585),$F585))</f>
        <v>0</v>
      </c>
      <c r="AK585" s="424">
        <f>IF(OR(AK$580&lt;$C585,AK$580&lt;$H$2),0,MIN($E585-SUM($G585:AJ585),$F585))</f>
        <v>0</v>
      </c>
    </row>
    <row r="586" spans="3:37">
      <c r="C586" s="201">
        <v>47121</v>
      </c>
      <c r="D586" s="94" t="s">
        <v>134</v>
      </c>
      <c r="E586" s="424">
        <f t="shared" si="150"/>
        <v>0</v>
      </c>
      <c r="F586" s="209">
        <f t="shared" si="151"/>
        <v>0</v>
      </c>
      <c r="H586" s="424">
        <f>IF(OR(H$580&lt;$C586,H$580&lt;$H$2),0,MIN($E586-SUM($G586:G586),$F586))</f>
        <v>0</v>
      </c>
      <c r="I586" s="424">
        <f>IF(OR(I$580&lt;$C586,I$580&lt;$H$2),0,MIN($E586-SUM($G586:H586),$F586))</f>
        <v>0</v>
      </c>
      <c r="J586" s="424">
        <f>IF(OR(J$580&lt;$C586,J$580&lt;$H$2),0,MIN($E586-SUM($G586:I586),$F586))</f>
        <v>0</v>
      </c>
      <c r="K586" s="424">
        <f>IF(OR(K$580&lt;$C586,K$580&lt;$H$2),0,MIN($E586-SUM($G586:J586),$F586))</f>
        <v>0</v>
      </c>
      <c r="L586" s="424">
        <f>IF(OR(L$580&lt;$C586,L$580&lt;$H$2),0,MIN($E586-SUM($G586:K586),$F586))</f>
        <v>0</v>
      </c>
      <c r="M586" s="424">
        <f>IF(OR(M$580&lt;$C586,M$580&lt;$H$2),0,MIN($E586-SUM($G586:L586),$F586))</f>
        <v>0</v>
      </c>
      <c r="N586" s="424">
        <f>IF(OR(N$580&lt;$C586,N$580&lt;$H$2),0,MIN($E586-SUM($G586:M586),$F586))</f>
        <v>0</v>
      </c>
      <c r="O586" s="424">
        <f>IF(OR(O$580&lt;$C586,O$580&lt;$H$2),0,MIN($E586-SUM($G586:N586),$F586))</f>
        <v>0</v>
      </c>
      <c r="P586" s="424">
        <f>IF(OR(P$580&lt;$C586,P$580&lt;$H$2),0,MIN($E586-SUM($G586:O586),$F586))</f>
        <v>0</v>
      </c>
      <c r="Q586" s="424">
        <f>IF(OR(Q$580&lt;$C586,Q$580&lt;$H$2),0,MIN($E586-SUM($G586:P586),$F586))</f>
        <v>0</v>
      </c>
      <c r="R586" s="424">
        <f>IF(OR(R$580&lt;$C586,R$580&lt;$H$2),0,MIN($E586-SUM($G586:Q586),$F586))</f>
        <v>0</v>
      </c>
      <c r="S586" s="424">
        <f>IF(OR(S$580&lt;$C586,S$580&lt;$H$2),0,MIN($E586-SUM($G586:R586),$F586))</f>
        <v>0</v>
      </c>
      <c r="T586" s="424">
        <f>IF(OR(T$580&lt;$C586,T$580&lt;$H$2),0,MIN($E586-SUM($G586:S586),$F586))</f>
        <v>0</v>
      </c>
      <c r="U586" s="424">
        <f>IF(OR(U$580&lt;$C586,U$580&lt;$H$2),0,MIN($E586-SUM($G586:T586),$F586))</f>
        <v>0</v>
      </c>
      <c r="V586" s="424">
        <f>IF(OR(V$580&lt;$C586,V$580&lt;$H$2),0,MIN($E586-SUM($G586:U586),$F586))</f>
        <v>0</v>
      </c>
      <c r="W586" s="424">
        <f>IF(OR(W$580&lt;$C586,W$580&lt;$H$2),0,MIN($E586-SUM($G586:V586),$F586))</f>
        <v>0</v>
      </c>
      <c r="X586" s="424">
        <f>IF(OR(X$580&lt;$C586,X$580&lt;$H$2),0,MIN($E586-SUM($G586:W586),$F586))</f>
        <v>0</v>
      </c>
      <c r="Y586" s="424">
        <f>IF(OR(Y$580&lt;$C586,Y$580&lt;$H$2),0,MIN($E586-SUM($G586:X586),$F586))</f>
        <v>0</v>
      </c>
      <c r="Z586" s="424">
        <f>IF(OR(Z$580&lt;$C586,Z$580&lt;$H$2),0,MIN($E586-SUM($G586:Y586),$F586))</f>
        <v>0</v>
      </c>
      <c r="AA586" s="424">
        <f>IF(OR(AA$580&lt;$C586,AA$580&lt;$H$2),0,MIN($E586-SUM($G586:Z586),$F586))</f>
        <v>0</v>
      </c>
      <c r="AB586" s="424">
        <f>IF(OR(AB$580&lt;$C586,AB$580&lt;$H$2),0,MIN($E586-SUM($G586:AA586),$F586))</f>
        <v>0</v>
      </c>
      <c r="AC586" s="424">
        <f>IF(OR(AC$580&lt;$C586,AC$580&lt;$H$2),0,MIN($E586-SUM($G586:AB586),$F586))</f>
        <v>0</v>
      </c>
      <c r="AD586" s="424">
        <f>IF(OR(AD$580&lt;$C586,AD$580&lt;$H$2),0,MIN($E586-SUM($G586:AC586),$F586))</f>
        <v>0</v>
      </c>
      <c r="AE586" s="424">
        <f>IF(OR(AE$580&lt;$C586,AE$580&lt;$H$2),0,MIN($E586-SUM($G586:AD586),$F586))</f>
        <v>0</v>
      </c>
      <c r="AF586" s="424">
        <f>IF(OR(AF$580&lt;$C586,AF$580&lt;$H$2),0,MIN($E586-SUM($G586:AE586),$F586))</f>
        <v>0</v>
      </c>
      <c r="AG586" s="424">
        <f>IF(OR(AG$580&lt;$C586,AG$580&lt;$H$2),0,MIN($E586-SUM($G586:AF586),$F586))</f>
        <v>0</v>
      </c>
      <c r="AH586" s="424">
        <f>IF(OR(AH$580&lt;$C586,AH$580&lt;$H$2),0,MIN($E586-SUM($G586:AG586),$F586))</f>
        <v>0</v>
      </c>
      <c r="AI586" s="424">
        <f>IF(OR(AI$580&lt;$C586,AI$580&lt;$H$2),0,MIN($E586-SUM($G586:AH586),$F586))</f>
        <v>0</v>
      </c>
      <c r="AJ586" s="424">
        <f>IF(OR(AJ$580&lt;$C586,AJ$580&lt;$H$2),0,MIN($E586-SUM($G586:AI586),$F586))</f>
        <v>0</v>
      </c>
      <c r="AK586" s="424">
        <f>IF(OR(AK$580&lt;$C586,AK$580&lt;$H$2),0,MIN($E586-SUM($G586:AJ586),$F586))</f>
        <v>0</v>
      </c>
    </row>
    <row r="587" spans="3:37">
      <c r="C587" s="201">
        <v>47487</v>
      </c>
      <c r="D587" s="94" t="s">
        <v>134</v>
      </c>
      <c r="E587" s="424">
        <f t="shared" si="150"/>
        <v>0</v>
      </c>
      <c r="F587" s="209">
        <f t="shared" si="151"/>
        <v>0</v>
      </c>
      <c r="H587" s="424">
        <f>IF(OR(H$580&lt;$C587,H$580&lt;$H$2),0,MIN($E587-SUM($G587:G587),$F587))</f>
        <v>0</v>
      </c>
      <c r="I587" s="424">
        <f>IF(OR(I$580&lt;$C587,I$580&lt;$H$2),0,MIN($E587-SUM($G587:H587),$F587))</f>
        <v>0</v>
      </c>
      <c r="J587" s="424">
        <f>IF(OR(J$580&lt;$C587,J$580&lt;$H$2),0,MIN($E587-SUM($G587:I587),$F587))</f>
        <v>0</v>
      </c>
      <c r="K587" s="424">
        <f>IF(OR(K$580&lt;$C587,K$580&lt;$H$2),0,MIN($E587-SUM($G587:J587),$F587))</f>
        <v>0</v>
      </c>
      <c r="L587" s="424">
        <f>IF(OR(L$580&lt;$C587,L$580&lt;$H$2),0,MIN($E587-SUM($G587:K587),$F587))</f>
        <v>0</v>
      </c>
      <c r="M587" s="424">
        <f>IF(OR(M$580&lt;$C587,M$580&lt;$H$2),0,MIN($E587-SUM($G587:L587),$F587))</f>
        <v>0</v>
      </c>
      <c r="N587" s="424">
        <f>IF(OR(N$580&lt;$C587,N$580&lt;$H$2),0,MIN($E587-SUM($G587:M587),$F587))</f>
        <v>0</v>
      </c>
      <c r="O587" s="424">
        <f>IF(OR(O$580&lt;$C587,O$580&lt;$H$2),0,MIN($E587-SUM($G587:N587),$F587))</f>
        <v>0</v>
      </c>
      <c r="P587" s="424">
        <f>IF(OR(P$580&lt;$C587,P$580&lt;$H$2),0,MIN($E587-SUM($G587:O587),$F587))</f>
        <v>0</v>
      </c>
      <c r="Q587" s="424">
        <f>IF(OR(Q$580&lt;$C587,Q$580&lt;$H$2),0,MIN($E587-SUM($G587:P587),$F587))</f>
        <v>0</v>
      </c>
      <c r="R587" s="424">
        <f>IF(OR(R$580&lt;$C587,R$580&lt;$H$2),0,MIN($E587-SUM($G587:Q587),$F587))</f>
        <v>0</v>
      </c>
      <c r="S587" s="424">
        <f>IF(OR(S$580&lt;$C587,S$580&lt;$H$2),0,MIN($E587-SUM($G587:R587),$F587))</f>
        <v>0</v>
      </c>
      <c r="T587" s="424">
        <f>IF(OR(T$580&lt;$C587,T$580&lt;$H$2),0,MIN($E587-SUM($G587:S587),$F587))</f>
        <v>0</v>
      </c>
      <c r="U587" s="424">
        <f>IF(OR(U$580&lt;$C587,U$580&lt;$H$2),0,MIN($E587-SUM($G587:T587),$F587))</f>
        <v>0</v>
      </c>
      <c r="V587" s="424">
        <f>IF(OR(V$580&lt;$C587,V$580&lt;$H$2),0,MIN($E587-SUM($G587:U587),$F587))</f>
        <v>0</v>
      </c>
      <c r="W587" s="424">
        <f>IF(OR(W$580&lt;$C587,W$580&lt;$H$2),0,MIN($E587-SUM($G587:V587),$F587))</f>
        <v>0</v>
      </c>
      <c r="X587" s="424">
        <f>IF(OR(X$580&lt;$C587,X$580&lt;$H$2),0,MIN($E587-SUM($G587:W587),$F587))</f>
        <v>0</v>
      </c>
      <c r="Y587" s="424">
        <f>IF(OR(Y$580&lt;$C587,Y$580&lt;$H$2),0,MIN($E587-SUM($G587:X587),$F587))</f>
        <v>0</v>
      </c>
      <c r="Z587" s="424">
        <f>IF(OR(Z$580&lt;$C587,Z$580&lt;$H$2),0,MIN($E587-SUM($G587:Y587),$F587))</f>
        <v>0</v>
      </c>
      <c r="AA587" s="424">
        <f>IF(OR(AA$580&lt;$C587,AA$580&lt;$H$2),0,MIN($E587-SUM($G587:Z587),$F587))</f>
        <v>0</v>
      </c>
      <c r="AB587" s="424">
        <f>IF(OR(AB$580&lt;$C587,AB$580&lt;$H$2),0,MIN($E587-SUM($G587:AA587),$F587))</f>
        <v>0</v>
      </c>
      <c r="AC587" s="424">
        <f>IF(OR(AC$580&lt;$C587,AC$580&lt;$H$2),0,MIN($E587-SUM($G587:AB587),$F587))</f>
        <v>0</v>
      </c>
      <c r="AD587" s="424">
        <f>IF(OR(AD$580&lt;$C587,AD$580&lt;$H$2),0,MIN($E587-SUM($G587:AC587),$F587))</f>
        <v>0</v>
      </c>
      <c r="AE587" s="424">
        <f>IF(OR(AE$580&lt;$C587,AE$580&lt;$H$2),0,MIN($E587-SUM($G587:AD587),$F587))</f>
        <v>0</v>
      </c>
      <c r="AF587" s="424">
        <f>IF(OR(AF$580&lt;$C587,AF$580&lt;$H$2),0,MIN($E587-SUM($G587:AE587),$F587))</f>
        <v>0</v>
      </c>
      <c r="AG587" s="424">
        <f>IF(OR(AG$580&lt;$C587,AG$580&lt;$H$2),0,MIN($E587-SUM($G587:AF587),$F587))</f>
        <v>0</v>
      </c>
      <c r="AH587" s="424">
        <f>IF(OR(AH$580&lt;$C587,AH$580&lt;$H$2),0,MIN($E587-SUM($G587:AG587),$F587))</f>
        <v>0</v>
      </c>
      <c r="AI587" s="424">
        <f>IF(OR(AI$580&lt;$C587,AI$580&lt;$H$2),0,MIN($E587-SUM($G587:AH587),$F587))</f>
        <v>0</v>
      </c>
      <c r="AJ587" s="424">
        <f>IF(OR(AJ$580&lt;$C587,AJ$580&lt;$H$2),0,MIN($E587-SUM($G587:AI587),$F587))</f>
        <v>0</v>
      </c>
      <c r="AK587" s="424">
        <f>IF(OR(AK$580&lt;$C587,AK$580&lt;$H$2),0,MIN($E587-SUM($G587:AJ587),$F587))</f>
        <v>0</v>
      </c>
    </row>
    <row r="588" spans="3:37">
      <c r="C588" s="201">
        <v>47853</v>
      </c>
      <c r="D588" s="94" t="s">
        <v>134</v>
      </c>
      <c r="E588" s="424">
        <f t="shared" si="150"/>
        <v>0</v>
      </c>
      <c r="F588" s="209">
        <f t="shared" si="151"/>
        <v>0</v>
      </c>
      <c r="H588" s="424">
        <f>IF(OR(H$580&lt;$C588,H$580&lt;$H$2),0,MIN($E588-SUM($G588:G588),$F588))</f>
        <v>0</v>
      </c>
      <c r="I588" s="424">
        <f>IF(OR(I$580&lt;$C588,I$580&lt;$H$2),0,MIN($E588-SUM($G588:H588),$F588))</f>
        <v>0</v>
      </c>
      <c r="J588" s="424">
        <f>IF(OR(J$580&lt;$C588,J$580&lt;$H$2),0,MIN($E588-SUM($G588:I588),$F588))</f>
        <v>0</v>
      </c>
      <c r="K588" s="424">
        <f>IF(OR(K$580&lt;$C588,K$580&lt;$H$2),0,MIN($E588-SUM($G588:J588),$F588))</f>
        <v>0</v>
      </c>
      <c r="L588" s="424">
        <f>IF(OR(L$580&lt;$C588,L$580&lt;$H$2),0,MIN($E588-SUM($G588:K588),$F588))</f>
        <v>0</v>
      </c>
      <c r="M588" s="424">
        <f>IF(OR(M$580&lt;$C588,M$580&lt;$H$2),0,MIN($E588-SUM($G588:L588),$F588))</f>
        <v>0</v>
      </c>
      <c r="N588" s="424">
        <f>IF(OR(N$580&lt;$C588,N$580&lt;$H$2),0,MIN($E588-SUM($G588:M588),$F588))</f>
        <v>0</v>
      </c>
      <c r="O588" s="424">
        <f>IF(OR(O$580&lt;$C588,O$580&lt;$H$2),0,MIN($E588-SUM($G588:N588),$F588))</f>
        <v>0</v>
      </c>
      <c r="P588" s="424">
        <f>IF(OR(P$580&lt;$C588,P$580&lt;$H$2),0,MIN($E588-SUM($G588:O588),$F588))</f>
        <v>0</v>
      </c>
      <c r="Q588" s="424">
        <f>IF(OR(Q$580&lt;$C588,Q$580&lt;$H$2),0,MIN($E588-SUM($G588:P588),$F588))</f>
        <v>0</v>
      </c>
      <c r="R588" s="424">
        <f>IF(OR(R$580&lt;$C588,R$580&lt;$H$2),0,MIN($E588-SUM($G588:Q588),$F588))</f>
        <v>0</v>
      </c>
      <c r="S588" s="424">
        <f>IF(OR(S$580&lt;$C588,S$580&lt;$H$2),0,MIN($E588-SUM($G588:R588),$F588))</f>
        <v>0</v>
      </c>
      <c r="T588" s="424">
        <f>IF(OR(T$580&lt;$C588,T$580&lt;$H$2),0,MIN($E588-SUM($G588:S588),$F588))</f>
        <v>0</v>
      </c>
      <c r="U588" s="424">
        <f>IF(OR(U$580&lt;$C588,U$580&lt;$H$2),0,MIN($E588-SUM($G588:T588),$F588))</f>
        <v>0</v>
      </c>
      <c r="V588" s="424">
        <f>IF(OR(V$580&lt;$C588,V$580&lt;$H$2),0,MIN($E588-SUM($G588:U588),$F588))</f>
        <v>0</v>
      </c>
      <c r="W588" s="424">
        <f>IF(OR(W$580&lt;$C588,W$580&lt;$H$2),0,MIN($E588-SUM($G588:V588),$F588))</f>
        <v>0</v>
      </c>
      <c r="X588" s="424">
        <f>IF(OR(X$580&lt;$C588,X$580&lt;$H$2),0,MIN($E588-SUM($G588:W588),$F588))</f>
        <v>0</v>
      </c>
      <c r="Y588" s="424">
        <f>IF(OR(Y$580&lt;$C588,Y$580&lt;$H$2),0,MIN($E588-SUM($G588:X588),$F588))</f>
        <v>0</v>
      </c>
      <c r="Z588" s="424">
        <f>IF(OR(Z$580&lt;$C588,Z$580&lt;$H$2),0,MIN($E588-SUM($G588:Y588),$F588))</f>
        <v>0</v>
      </c>
      <c r="AA588" s="424">
        <f>IF(OR(AA$580&lt;$C588,AA$580&lt;$H$2),0,MIN($E588-SUM($G588:Z588),$F588))</f>
        <v>0</v>
      </c>
      <c r="AB588" s="424">
        <f>IF(OR(AB$580&lt;$C588,AB$580&lt;$H$2),0,MIN($E588-SUM($G588:AA588),$F588))</f>
        <v>0</v>
      </c>
      <c r="AC588" s="424">
        <f>IF(OR(AC$580&lt;$C588,AC$580&lt;$H$2),0,MIN($E588-SUM($G588:AB588),$F588))</f>
        <v>0</v>
      </c>
      <c r="AD588" s="424">
        <f>IF(OR(AD$580&lt;$C588,AD$580&lt;$H$2),0,MIN($E588-SUM($G588:AC588),$F588))</f>
        <v>0</v>
      </c>
      <c r="AE588" s="424">
        <f>IF(OR(AE$580&lt;$C588,AE$580&lt;$H$2),0,MIN($E588-SUM($G588:AD588),$F588))</f>
        <v>0</v>
      </c>
      <c r="AF588" s="424">
        <f>IF(OR(AF$580&lt;$C588,AF$580&lt;$H$2),0,MIN($E588-SUM($G588:AE588),$F588))</f>
        <v>0</v>
      </c>
      <c r="AG588" s="424">
        <f>IF(OR(AG$580&lt;$C588,AG$580&lt;$H$2),0,MIN($E588-SUM($G588:AF588),$F588))</f>
        <v>0</v>
      </c>
      <c r="AH588" s="424">
        <f>IF(OR(AH$580&lt;$C588,AH$580&lt;$H$2),0,MIN($E588-SUM($G588:AG588),$F588))</f>
        <v>0</v>
      </c>
      <c r="AI588" s="424">
        <f>IF(OR(AI$580&lt;$C588,AI$580&lt;$H$2),0,MIN($E588-SUM($G588:AH588),$F588))</f>
        <v>0</v>
      </c>
      <c r="AJ588" s="424">
        <f>IF(OR(AJ$580&lt;$C588,AJ$580&lt;$H$2),0,MIN($E588-SUM($G588:AI588),$F588))</f>
        <v>0</v>
      </c>
      <c r="AK588" s="424">
        <f>IF(OR(AK$580&lt;$C588,AK$580&lt;$H$2),0,MIN($E588-SUM($G588:AJ588),$F588))</f>
        <v>0</v>
      </c>
    </row>
    <row r="589" spans="3:37">
      <c r="C589" s="201">
        <v>48219</v>
      </c>
      <c r="D589" s="94" t="s">
        <v>134</v>
      </c>
      <c r="E589" s="424">
        <f t="shared" si="150"/>
        <v>0</v>
      </c>
      <c r="F589" s="209">
        <f t="shared" si="151"/>
        <v>0</v>
      </c>
      <c r="H589" s="424">
        <f>IF(OR(H$580&lt;$C589,H$580&lt;$H$2),0,MIN($E589-SUM($G589:G589),$F589))</f>
        <v>0</v>
      </c>
      <c r="I589" s="424">
        <f>IF(OR(I$580&lt;$C589,I$580&lt;$H$2),0,MIN($E589-SUM($G589:H589),$F589))</f>
        <v>0</v>
      </c>
      <c r="J589" s="424">
        <f>IF(OR(J$580&lt;$C589,J$580&lt;$H$2),0,MIN($E589-SUM($G589:I589),$F589))</f>
        <v>0</v>
      </c>
      <c r="K589" s="424">
        <f>IF(OR(K$580&lt;$C589,K$580&lt;$H$2),0,MIN($E589-SUM($G589:J589),$F589))</f>
        <v>0</v>
      </c>
      <c r="L589" s="424">
        <f>IF(OR(L$580&lt;$C589,L$580&lt;$H$2),0,MIN($E589-SUM($G589:K589),$F589))</f>
        <v>0</v>
      </c>
      <c r="M589" s="424">
        <f>IF(OR(M$580&lt;$C589,M$580&lt;$H$2),0,MIN($E589-SUM($G589:L589),$F589))</f>
        <v>0</v>
      </c>
      <c r="N589" s="424">
        <f>IF(OR(N$580&lt;$C589,N$580&lt;$H$2),0,MIN($E589-SUM($G589:M589),$F589))</f>
        <v>0</v>
      </c>
      <c r="O589" s="424">
        <f>IF(OR(O$580&lt;$C589,O$580&lt;$H$2),0,MIN($E589-SUM($G589:N589),$F589))</f>
        <v>0</v>
      </c>
      <c r="P589" s="424">
        <f>IF(OR(P$580&lt;$C589,P$580&lt;$H$2),0,MIN($E589-SUM($G589:O589),$F589))</f>
        <v>0</v>
      </c>
      <c r="Q589" s="424">
        <f>IF(OR(Q$580&lt;$C589,Q$580&lt;$H$2),0,MIN($E589-SUM($G589:P589),$F589))</f>
        <v>0</v>
      </c>
      <c r="R589" s="424">
        <f>IF(OR(R$580&lt;$C589,R$580&lt;$H$2),0,MIN($E589-SUM($G589:Q589),$F589))</f>
        <v>0</v>
      </c>
      <c r="S589" s="424">
        <f>IF(OR(S$580&lt;$C589,S$580&lt;$H$2),0,MIN($E589-SUM($G589:R589),$F589))</f>
        <v>0</v>
      </c>
      <c r="T589" s="424">
        <f>IF(OR(T$580&lt;$C589,T$580&lt;$H$2),0,MIN($E589-SUM($G589:S589),$F589))</f>
        <v>0</v>
      </c>
      <c r="U589" s="424">
        <f>IF(OR(U$580&lt;$C589,U$580&lt;$H$2),0,MIN($E589-SUM($G589:T589),$F589))</f>
        <v>0</v>
      </c>
      <c r="V589" s="424">
        <f>IF(OR(V$580&lt;$C589,V$580&lt;$H$2),0,MIN($E589-SUM($G589:U589),$F589))</f>
        <v>0</v>
      </c>
      <c r="W589" s="424">
        <f>IF(OR(W$580&lt;$C589,W$580&lt;$H$2),0,MIN($E589-SUM($G589:V589),$F589))</f>
        <v>0</v>
      </c>
      <c r="X589" s="424">
        <f>IF(OR(X$580&lt;$C589,X$580&lt;$H$2),0,MIN($E589-SUM($G589:W589),$F589))</f>
        <v>0</v>
      </c>
      <c r="Y589" s="424">
        <f>IF(OR(Y$580&lt;$C589,Y$580&lt;$H$2),0,MIN($E589-SUM($G589:X589),$F589))</f>
        <v>0</v>
      </c>
      <c r="Z589" s="424">
        <f>IF(OR(Z$580&lt;$C589,Z$580&lt;$H$2),0,MIN($E589-SUM($G589:Y589),$F589))</f>
        <v>0</v>
      </c>
      <c r="AA589" s="424">
        <f>IF(OR(AA$580&lt;$C589,AA$580&lt;$H$2),0,MIN($E589-SUM($G589:Z589),$F589))</f>
        <v>0</v>
      </c>
      <c r="AB589" s="424">
        <f>IF(OR(AB$580&lt;$C589,AB$580&lt;$H$2),0,MIN($E589-SUM($G589:AA589),$F589))</f>
        <v>0</v>
      </c>
      <c r="AC589" s="424">
        <f>IF(OR(AC$580&lt;$C589,AC$580&lt;$H$2),0,MIN($E589-SUM($G589:AB589),$F589))</f>
        <v>0</v>
      </c>
      <c r="AD589" s="424">
        <f>IF(OR(AD$580&lt;$C589,AD$580&lt;$H$2),0,MIN($E589-SUM($G589:AC589),$F589))</f>
        <v>0</v>
      </c>
      <c r="AE589" s="424">
        <f>IF(OR(AE$580&lt;$C589,AE$580&lt;$H$2),0,MIN($E589-SUM($G589:AD589),$F589))</f>
        <v>0</v>
      </c>
      <c r="AF589" s="424">
        <f>IF(OR(AF$580&lt;$C589,AF$580&lt;$H$2),0,MIN($E589-SUM($G589:AE589),$F589))</f>
        <v>0</v>
      </c>
      <c r="AG589" s="424">
        <f>IF(OR(AG$580&lt;$C589,AG$580&lt;$H$2),0,MIN($E589-SUM($G589:AF589),$F589))</f>
        <v>0</v>
      </c>
      <c r="AH589" s="424">
        <f>IF(OR(AH$580&lt;$C589,AH$580&lt;$H$2),0,MIN($E589-SUM($G589:AG589),$F589))</f>
        <v>0</v>
      </c>
      <c r="AI589" s="424">
        <f>IF(OR(AI$580&lt;$C589,AI$580&lt;$H$2),0,MIN($E589-SUM($G589:AH589),$F589))</f>
        <v>0</v>
      </c>
      <c r="AJ589" s="424">
        <f>IF(OR(AJ$580&lt;$C589,AJ$580&lt;$H$2),0,MIN($E589-SUM($G589:AI589),$F589))</f>
        <v>0</v>
      </c>
      <c r="AK589" s="424">
        <f>IF(OR(AK$580&lt;$C589,AK$580&lt;$H$2),0,MIN($E589-SUM($G589:AJ589),$F589))</f>
        <v>0</v>
      </c>
    </row>
    <row r="590" spans="3:37">
      <c r="C590" s="201">
        <v>48585</v>
      </c>
      <c r="D590" s="94" t="s">
        <v>134</v>
      </c>
      <c r="E590" s="424">
        <f t="shared" si="150"/>
        <v>0</v>
      </c>
      <c r="F590" s="209">
        <f t="shared" si="151"/>
        <v>0</v>
      </c>
      <c r="H590" s="424">
        <f>IF(OR(H$580&lt;$C590,H$580&lt;$H$2),0,MIN($E590-SUM($G590:G590),$F590))</f>
        <v>0</v>
      </c>
      <c r="I590" s="424">
        <f>IF(OR(I$580&lt;$C590,I$580&lt;$H$2),0,MIN($E590-SUM($G590:H590),$F590))</f>
        <v>0</v>
      </c>
      <c r="J590" s="424">
        <f>IF(OR(J$580&lt;$C590,J$580&lt;$H$2),0,MIN($E590-SUM($G590:I590),$F590))</f>
        <v>0</v>
      </c>
      <c r="K590" s="424">
        <f>IF(OR(K$580&lt;$C590,K$580&lt;$H$2),0,MIN($E590-SUM($G590:J590),$F590))</f>
        <v>0</v>
      </c>
      <c r="L590" s="424">
        <f>IF(OR(L$580&lt;$C590,L$580&lt;$H$2),0,MIN($E590-SUM($G590:K590),$F590))</f>
        <v>0</v>
      </c>
      <c r="M590" s="424">
        <f>IF(OR(M$580&lt;$C590,M$580&lt;$H$2),0,MIN($E590-SUM($G590:L590),$F590))</f>
        <v>0</v>
      </c>
      <c r="N590" s="424">
        <f>IF(OR(N$580&lt;$C590,N$580&lt;$H$2),0,MIN($E590-SUM($G590:M590),$F590))</f>
        <v>0</v>
      </c>
      <c r="O590" s="424">
        <f>IF(OR(O$580&lt;$C590,O$580&lt;$H$2),0,MIN($E590-SUM($G590:N590),$F590))</f>
        <v>0</v>
      </c>
      <c r="P590" s="424">
        <f>IF(OR(P$580&lt;$C590,P$580&lt;$H$2),0,MIN($E590-SUM($G590:O590),$F590))</f>
        <v>0</v>
      </c>
      <c r="Q590" s="424">
        <f>IF(OR(Q$580&lt;$C590,Q$580&lt;$H$2),0,MIN($E590-SUM($G590:P590),$F590))</f>
        <v>0</v>
      </c>
      <c r="R590" s="424">
        <f>IF(OR(R$580&lt;$C590,R$580&lt;$H$2),0,MIN($E590-SUM($G590:Q590),$F590))</f>
        <v>0</v>
      </c>
      <c r="S590" s="424">
        <f>IF(OR(S$580&lt;$C590,S$580&lt;$H$2),0,MIN($E590-SUM($G590:R590),$F590))</f>
        <v>0</v>
      </c>
      <c r="T590" s="424">
        <f>IF(OR(T$580&lt;$C590,T$580&lt;$H$2),0,MIN($E590-SUM($G590:S590),$F590))</f>
        <v>0</v>
      </c>
      <c r="U590" s="424">
        <f>IF(OR(U$580&lt;$C590,U$580&lt;$H$2),0,MIN($E590-SUM($G590:T590),$F590))</f>
        <v>0</v>
      </c>
      <c r="V590" s="424">
        <f>IF(OR(V$580&lt;$C590,V$580&lt;$H$2),0,MIN($E590-SUM($G590:U590),$F590))</f>
        <v>0</v>
      </c>
      <c r="W590" s="424">
        <f>IF(OR(W$580&lt;$C590,W$580&lt;$H$2),0,MIN($E590-SUM($G590:V590),$F590))</f>
        <v>0</v>
      </c>
      <c r="X590" s="424">
        <f>IF(OR(X$580&lt;$C590,X$580&lt;$H$2),0,MIN($E590-SUM($G590:W590),$F590))</f>
        <v>0</v>
      </c>
      <c r="Y590" s="424">
        <f>IF(OR(Y$580&lt;$C590,Y$580&lt;$H$2),0,MIN($E590-SUM($G590:X590),$F590))</f>
        <v>0</v>
      </c>
      <c r="Z590" s="424">
        <f>IF(OR(Z$580&lt;$C590,Z$580&lt;$H$2),0,MIN($E590-SUM($G590:Y590),$F590))</f>
        <v>0</v>
      </c>
      <c r="AA590" s="424">
        <f>IF(OR(AA$580&lt;$C590,AA$580&lt;$H$2),0,MIN($E590-SUM($G590:Z590),$F590))</f>
        <v>0</v>
      </c>
      <c r="AB590" s="424">
        <f>IF(OR(AB$580&lt;$C590,AB$580&lt;$H$2),0,MIN($E590-SUM($G590:AA590),$F590))</f>
        <v>0</v>
      </c>
      <c r="AC590" s="424">
        <f>IF(OR(AC$580&lt;$C590,AC$580&lt;$H$2),0,MIN($E590-SUM($G590:AB590),$F590))</f>
        <v>0</v>
      </c>
      <c r="AD590" s="424">
        <f>IF(OR(AD$580&lt;$C590,AD$580&lt;$H$2),0,MIN($E590-SUM($G590:AC590),$F590))</f>
        <v>0</v>
      </c>
      <c r="AE590" s="424">
        <f>IF(OR(AE$580&lt;$C590,AE$580&lt;$H$2),0,MIN($E590-SUM($G590:AD590),$F590))</f>
        <v>0</v>
      </c>
      <c r="AF590" s="424">
        <f>IF(OR(AF$580&lt;$C590,AF$580&lt;$H$2),0,MIN($E590-SUM($G590:AE590),$F590))</f>
        <v>0</v>
      </c>
      <c r="AG590" s="424">
        <f>IF(OR(AG$580&lt;$C590,AG$580&lt;$H$2),0,MIN($E590-SUM($G590:AF590),$F590))</f>
        <v>0</v>
      </c>
      <c r="AH590" s="424">
        <f>IF(OR(AH$580&lt;$C590,AH$580&lt;$H$2),0,MIN($E590-SUM($G590:AG590),$F590))</f>
        <v>0</v>
      </c>
      <c r="AI590" s="424">
        <f>IF(OR(AI$580&lt;$C590,AI$580&lt;$H$2),0,MIN($E590-SUM($G590:AH590),$F590))</f>
        <v>0</v>
      </c>
      <c r="AJ590" s="424">
        <f>IF(OR(AJ$580&lt;$C590,AJ$580&lt;$H$2),0,MIN($E590-SUM($G590:AI590),$F590))</f>
        <v>0</v>
      </c>
      <c r="AK590" s="424">
        <f>IF(OR(AK$580&lt;$C590,AK$580&lt;$H$2),0,MIN($E590-SUM($G590:AJ590),$F590))</f>
        <v>0</v>
      </c>
    </row>
    <row r="591" spans="3:37">
      <c r="C591" s="201">
        <v>48951</v>
      </c>
      <c r="D591" s="94" t="s">
        <v>134</v>
      </c>
      <c r="E591" s="424">
        <f t="shared" si="150"/>
        <v>0</v>
      </c>
      <c r="F591" s="209">
        <f t="shared" si="151"/>
        <v>0</v>
      </c>
      <c r="H591" s="424">
        <f>IF(OR(H$580&lt;$C591,H$580&lt;$H$2),0,MIN($E591-SUM($G591:G591),$F591))</f>
        <v>0</v>
      </c>
      <c r="I591" s="424">
        <f>IF(OR(I$580&lt;$C591,I$580&lt;$H$2),0,MIN($E591-SUM($G591:H591),$F591))</f>
        <v>0</v>
      </c>
      <c r="J591" s="424">
        <f>IF(OR(J$580&lt;$C591,J$580&lt;$H$2),0,MIN($E591-SUM($G591:I591),$F591))</f>
        <v>0</v>
      </c>
      <c r="K591" s="424">
        <f>IF(OR(K$580&lt;$C591,K$580&lt;$H$2),0,MIN($E591-SUM($G591:J591),$F591))</f>
        <v>0</v>
      </c>
      <c r="L591" s="424">
        <f>IF(OR(L$580&lt;$C591,L$580&lt;$H$2),0,MIN($E591-SUM($G591:K591),$F591))</f>
        <v>0</v>
      </c>
      <c r="M591" s="424">
        <f>IF(OR(M$580&lt;$C591,M$580&lt;$H$2),0,MIN($E591-SUM($G591:L591),$F591))</f>
        <v>0</v>
      </c>
      <c r="N591" s="424">
        <f>IF(OR(N$580&lt;$C591,N$580&lt;$H$2),0,MIN($E591-SUM($G591:M591),$F591))</f>
        <v>0</v>
      </c>
      <c r="O591" s="424">
        <f>IF(OR(O$580&lt;$C591,O$580&lt;$H$2),0,MIN($E591-SUM($G591:N591),$F591))</f>
        <v>0</v>
      </c>
      <c r="P591" s="424">
        <f>IF(OR(P$580&lt;$C591,P$580&lt;$H$2),0,MIN($E591-SUM($G591:O591),$F591))</f>
        <v>0</v>
      </c>
      <c r="Q591" s="424">
        <f>IF(OR(Q$580&lt;$C591,Q$580&lt;$H$2),0,MIN($E591-SUM($G591:P591),$F591))</f>
        <v>0</v>
      </c>
      <c r="R591" s="424">
        <f>IF(OR(R$580&lt;$C591,R$580&lt;$H$2),0,MIN($E591-SUM($G591:Q591),$F591))</f>
        <v>0</v>
      </c>
      <c r="S591" s="424">
        <f>IF(OR(S$580&lt;$C591,S$580&lt;$H$2),0,MIN($E591-SUM($G591:R591),$F591))</f>
        <v>0</v>
      </c>
      <c r="T591" s="424">
        <f>IF(OR(T$580&lt;$C591,T$580&lt;$H$2),0,MIN($E591-SUM($G591:S591),$F591))</f>
        <v>0</v>
      </c>
      <c r="U591" s="424">
        <f>IF(OR(U$580&lt;$C591,U$580&lt;$H$2),0,MIN($E591-SUM($G591:T591),$F591))</f>
        <v>0</v>
      </c>
      <c r="V591" s="424">
        <f>IF(OR(V$580&lt;$C591,V$580&lt;$H$2),0,MIN($E591-SUM($G591:U591),$F591))</f>
        <v>0</v>
      </c>
      <c r="W591" s="424">
        <f>IF(OR(W$580&lt;$C591,W$580&lt;$H$2),0,MIN($E591-SUM($G591:V591),$F591))</f>
        <v>0</v>
      </c>
      <c r="X591" s="424">
        <f>IF(OR(X$580&lt;$C591,X$580&lt;$H$2),0,MIN($E591-SUM($G591:W591),$F591))</f>
        <v>0</v>
      </c>
      <c r="Y591" s="424">
        <f>IF(OR(Y$580&lt;$C591,Y$580&lt;$H$2),0,MIN($E591-SUM($G591:X591),$F591))</f>
        <v>0</v>
      </c>
      <c r="Z591" s="424">
        <f>IF(OR(Z$580&lt;$C591,Z$580&lt;$H$2),0,MIN($E591-SUM($G591:Y591),$F591))</f>
        <v>0</v>
      </c>
      <c r="AA591" s="424">
        <f>IF(OR(AA$580&lt;$C591,AA$580&lt;$H$2),0,MIN($E591-SUM($G591:Z591),$F591))</f>
        <v>0</v>
      </c>
      <c r="AB591" s="424">
        <f>IF(OR(AB$580&lt;$C591,AB$580&lt;$H$2),0,MIN($E591-SUM($G591:AA591),$F591))</f>
        <v>0</v>
      </c>
      <c r="AC591" s="424">
        <f>IF(OR(AC$580&lt;$C591,AC$580&lt;$H$2),0,MIN($E591-SUM($G591:AB591),$F591))</f>
        <v>0</v>
      </c>
      <c r="AD591" s="424">
        <f>IF(OR(AD$580&lt;$C591,AD$580&lt;$H$2),0,MIN($E591-SUM($G591:AC591),$F591))</f>
        <v>0</v>
      </c>
      <c r="AE591" s="424">
        <f>IF(OR(AE$580&lt;$C591,AE$580&lt;$H$2),0,MIN($E591-SUM($G591:AD591),$F591))</f>
        <v>0</v>
      </c>
      <c r="AF591" s="424">
        <f>IF(OR(AF$580&lt;$C591,AF$580&lt;$H$2),0,MIN($E591-SUM($G591:AE591),$F591))</f>
        <v>0</v>
      </c>
      <c r="AG591" s="424">
        <f>IF(OR(AG$580&lt;$C591,AG$580&lt;$H$2),0,MIN($E591-SUM($G591:AF591),$F591))</f>
        <v>0</v>
      </c>
      <c r="AH591" s="424">
        <f>IF(OR(AH$580&lt;$C591,AH$580&lt;$H$2),0,MIN($E591-SUM($G591:AG591),$F591))</f>
        <v>0</v>
      </c>
      <c r="AI591" s="424">
        <f>IF(OR(AI$580&lt;$C591,AI$580&lt;$H$2),0,MIN($E591-SUM($G591:AH591),$F591))</f>
        <v>0</v>
      </c>
      <c r="AJ591" s="424">
        <f>IF(OR(AJ$580&lt;$C591,AJ$580&lt;$H$2),0,MIN($E591-SUM($G591:AI591),$F591))</f>
        <v>0</v>
      </c>
      <c r="AK591" s="424">
        <f>IF(OR(AK$580&lt;$C591,AK$580&lt;$H$2),0,MIN($E591-SUM($G591:AJ591),$F591))</f>
        <v>0</v>
      </c>
    </row>
    <row r="592" spans="3:37">
      <c r="C592" s="201">
        <v>49317</v>
      </c>
      <c r="D592" s="94" t="s">
        <v>134</v>
      </c>
      <c r="E592" s="424">
        <f t="shared" si="150"/>
        <v>0</v>
      </c>
      <c r="F592" s="209">
        <f t="shared" si="151"/>
        <v>0</v>
      </c>
      <c r="H592" s="424">
        <f>IF(OR(H$580&lt;$C592,H$580&lt;$H$2),0,MIN($E592-SUM($G592:G592),$F592))</f>
        <v>0</v>
      </c>
      <c r="I592" s="424">
        <f>IF(OR(I$580&lt;$C592,I$580&lt;$H$2),0,MIN($E592-SUM($G592:H592),$F592))</f>
        <v>0</v>
      </c>
      <c r="J592" s="424">
        <f>IF(OR(J$580&lt;$C592,J$580&lt;$H$2),0,MIN($E592-SUM($G592:I592),$F592))</f>
        <v>0</v>
      </c>
      <c r="K592" s="424">
        <f>IF(OR(K$580&lt;$C592,K$580&lt;$H$2),0,MIN($E592-SUM($G592:J592),$F592))</f>
        <v>0</v>
      </c>
      <c r="L592" s="424">
        <f>IF(OR(L$580&lt;$C592,L$580&lt;$H$2),0,MIN($E592-SUM($G592:K592),$F592))</f>
        <v>0</v>
      </c>
      <c r="M592" s="424">
        <f>IF(OR(M$580&lt;$C592,M$580&lt;$H$2),0,MIN($E592-SUM($G592:L592),$F592))</f>
        <v>0</v>
      </c>
      <c r="N592" s="424">
        <f>IF(OR(N$580&lt;$C592,N$580&lt;$H$2),0,MIN($E592-SUM($G592:M592),$F592))</f>
        <v>0</v>
      </c>
      <c r="O592" s="424">
        <f>IF(OR(O$580&lt;$C592,O$580&lt;$H$2),0,MIN($E592-SUM($G592:N592),$F592))</f>
        <v>0</v>
      </c>
      <c r="P592" s="424">
        <f>IF(OR(P$580&lt;$C592,P$580&lt;$H$2),0,MIN($E592-SUM($G592:O592),$F592))</f>
        <v>0</v>
      </c>
      <c r="Q592" s="424">
        <f>IF(OR(Q$580&lt;$C592,Q$580&lt;$H$2),0,MIN($E592-SUM($G592:P592),$F592))</f>
        <v>0</v>
      </c>
      <c r="R592" s="424">
        <f>IF(OR(R$580&lt;$C592,R$580&lt;$H$2),0,MIN($E592-SUM($G592:Q592),$F592))</f>
        <v>0</v>
      </c>
      <c r="S592" s="424">
        <f>IF(OR(S$580&lt;$C592,S$580&lt;$H$2),0,MIN($E592-SUM($G592:R592),$F592))</f>
        <v>0</v>
      </c>
      <c r="T592" s="424">
        <f>IF(OR(T$580&lt;$C592,T$580&lt;$H$2),0,MIN($E592-SUM($G592:S592),$F592))</f>
        <v>0</v>
      </c>
      <c r="U592" s="424">
        <f>IF(OR(U$580&lt;$C592,U$580&lt;$H$2),0,MIN($E592-SUM($G592:T592),$F592))</f>
        <v>0</v>
      </c>
      <c r="V592" s="424">
        <f>IF(OR(V$580&lt;$C592,V$580&lt;$H$2),0,MIN($E592-SUM($G592:U592),$F592))</f>
        <v>0</v>
      </c>
      <c r="W592" s="424">
        <f>IF(OR(W$580&lt;$C592,W$580&lt;$H$2),0,MIN($E592-SUM($G592:V592),$F592))</f>
        <v>0</v>
      </c>
      <c r="X592" s="424">
        <f>IF(OR(X$580&lt;$C592,X$580&lt;$H$2),0,MIN($E592-SUM($G592:W592),$F592))</f>
        <v>0</v>
      </c>
      <c r="Y592" s="424">
        <f>IF(OR(Y$580&lt;$C592,Y$580&lt;$H$2),0,MIN($E592-SUM($G592:X592),$F592))</f>
        <v>0</v>
      </c>
      <c r="Z592" s="424">
        <f>IF(OR(Z$580&lt;$C592,Z$580&lt;$H$2),0,MIN($E592-SUM($G592:Y592),$F592))</f>
        <v>0</v>
      </c>
      <c r="AA592" s="424">
        <f>IF(OR(AA$580&lt;$C592,AA$580&lt;$H$2),0,MIN($E592-SUM($G592:Z592),$F592))</f>
        <v>0</v>
      </c>
      <c r="AB592" s="424">
        <f>IF(OR(AB$580&lt;$C592,AB$580&lt;$H$2),0,MIN($E592-SUM($G592:AA592),$F592))</f>
        <v>0</v>
      </c>
      <c r="AC592" s="424">
        <f>IF(OR(AC$580&lt;$C592,AC$580&lt;$H$2),0,MIN($E592-SUM($G592:AB592),$F592))</f>
        <v>0</v>
      </c>
      <c r="AD592" s="424">
        <f>IF(OR(AD$580&lt;$C592,AD$580&lt;$H$2),0,MIN($E592-SUM($G592:AC592),$F592))</f>
        <v>0</v>
      </c>
      <c r="AE592" s="424">
        <f>IF(OR(AE$580&lt;$C592,AE$580&lt;$H$2),0,MIN($E592-SUM($G592:AD592),$F592))</f>
        <v>0</v>
      </c>
      <c r="AF592" s="424">
        <f>IF(OR(AF$580&lt;$C592,AF$580&lt;$H$2),0,MIN($E592-SUM($G592:AE592),$F592))</f>
        <v>0</v>
      </c>
      <c r="AG592" s="424">
        <f>IF(OR(AG$580&lt;$C592,AG$580&lt;$H$2),0,MIN($E592-SUM($G592:AF592),$F592))</f>
        <v>0</v>
      </c>
      <c r="AH592" s="424">
        <f>IF(OR(AH$580&lt;$C592,AH$580&lt;$H$2),0,MIN($E592-SUM($G592:AG592),$F592))</f>
        <v>0</v>
      </c>
      <c r="AI592" s="424">
        <f>IF(OR(AI$580&lt;$C592,AI$580&lt;$H$2),0,MIN($E592-SUM($G592:AH592),$F592))</f>
        <v>0</v>
      </c>
      <c r="AJ592" s="424">
        <f>IF(OR(AJ$580&lt;$C592,AJ$580&lt;$H$2),0,MIN($E592-SUM($G592:AI592),$F592))</f>
        <v>0</v>
      </c>
      <c r="AK592" s="424">
        <f>IF(OR(AK$580&lt;$C592,AK$580&lt;$H$2),0,MIN($E592-SUM($G592:AJ592),$F592))</f>
        <v>0</v>
      </c>
    </row>
    <row r="593" spans="3:37">
      <c r="C593" s="201">
        <v>49683</v>
      </c>
      <c r="D593" s="94" t="s">
        <v>134</v>
      </c>
      <c r="E593" s="424">
        <f t="shared" si="150"/>
        <v>0</v>
      </c>
      <c r="F593" s="209">
        <f t="shared" si="151"/>
        <v>0</v>
      </c>
      <c r="H593" s="424">
        <f>IF(OR(H$580&lt;$C593,H$580&lt;$H$2),0,MIN($E593-SUM($G593:G593),$F593))</f>
        <v>0</v>
      </c>
      <c r="I593" s="424">
        <f>IF(OR(I$580&lt;$C593,I$580&lt;$H$2),0,MIN($E593-SUM($G593:H593),$F593))</f>
        <v>0</v>
      </c>
      <c r="J593" s="424">
        <f>IF(OR(J$580&lt;$C593,J$580&lt;$H$2),0,MIN($E593-SUM($G593:I593),$F593))</f>
        <v>0</v>
      </c>
      <c r="K593" s="424">
        <f>IF(OR(K$580&lt;$C593,K$580&lt;$H$2),0,MIN($E593-SUM($G593:J593),$F593))</f>
        <v>0</v>
      </c>
      <c r="L593" s="424">
        <f>IF(OR(L$580&lt;$C593,L$580&lt;$H$2),0,MIN($E593-SUM($G593:K593),$F593))</f>
        <v>0</v>
      </c>
      <c r="M593" s="424">
        <f>IF(OR(M$580&lt;$C593,M$580&lt;$H$2),0,MIN($E593-SUM($G593:L593),$F593))</f>
        <v>0</v>
      </c>
      <c r="N593" s="424">
        <f>IF(OR(N$580&lt;$C593,N$580&lt;$H$2),0,MIN($E593-SUM($G593:M593),$F593))</f>
        <v>0</v>
      </c>
      <c r="O593" s="424">
        <f>IF(OR(O$580&lt;$C593,O$580&lt;$H$2),0,MIN($E593-SUM($G593:N593),$F593))</f>
        <v>0</v>
      </c>
      <c r="P593" s="424">
        <f>IF(OR(P$580&lt;$C593,P$580&lt;$H$2),0,MIN($E593-SUM($G593:O593),$F593))</f>
        <v>0</v>
      </c>
      <c r="Q593" s="424">
        <f>IF(OR(Q$580&lt;$C593,Q$580&lt;$H$2),0,MIN($E593-SUM($G593:P593),$F593))</f>
        <v>0</v>
      </c>
      <c r="R593" s="424">
        <f>IF(OR(R$580&lt;$C593,R$580&lt;$H$2),0,MIN($E593-SUM($G593:Q593),$F593))</f>
        <v>0</v>
      </c>
      <c r="S593" s="424">
        <f>IF(OR(S$580&lt;$C593,S$580&lt;$H$2),0,MIN($E593-SUM($G593:R593),$F593))</f>
        <v>0</v>
      </c>
      <c r="T593" s="424">
        <f>IF(OR(T$580&lt;$C593,T$580&lt;$H$2),0,MIN($E593-SUM($G593:S593),$F593))</f>
        <v>0</v>
      </c>
      <c r="U593" s="424">
        <f>IF(OR(U$580&lt;$C593,U$580&lt;$H$2),0,MIN($E593-SUM($G593:T593),$F593))</f>
        <v>0</v>
      </c>
      <c r="V593" s="424">
        <f>IF(OR(V$580&lt;$C593,V$580&lt;$H$2),0,MIN($E593-SUM($G593:U593),$F593))</f>
        <v>0</v>
      </c>
      <c r="W593" s="424">
        <f>IF(OR(W$580&lt;$C593,W$580&lt;$H$2),0,MIN($E593-SUM($G593:V593),$F593))</f>
        <v>0</v>
      </c>
      <c r="X593" s="424">
        <f>IF(OR(X$580&lt;$C593,X$580&lt;$H$2),0,MIN($E593-SUM($G593:W593),$F593))</f>
        <v>0</v>
      </c>
      <c r="Y593" s="424">
        <f>IF(OR(Y$580&lt;$C593,Y$580&lt;$H$2),0,MIN($E593-SUM($G593:X593),$F593))</f>
        <v>0</v>
      </c>
      <c r="Z593" s="424">
        <f>IF(OR(Z$580&lt;$C593,Z$580&lt;$H$2),0,MIN($E593-SUM($G593:Y593),$F593))</f>
        <v>0</v>
      </c>
      <c r="AA593" s="424">
        <f>IF(OR(AA$580&lt;$C593,AA$580&lt;$H$2),0,MIN($E593-SUM($G593:Z593),$F593))</f>
        <v>0</v>
      </c>
      <c r="AB593" s="424">
        <f>IF(OR(AB$580&lt;$C593,AB$580&lt;$H$2),0,MIN($E593-SUM($G593:AA593),$F593))</f>
        <v>0</v>
      </c>
      <c r="AC593" s="424">
        <f>IF(OR(AC$580&lt;$C593,AC$580&lt;$H$2),0,MIN($E593-SUM($G593:AB593),$F593))</f>
        <v>0</v>
      </c>
      <c r="AD593" s="424">
        <f>IF(OR(AD$580&lt;$C593,AD$580&lt;$H$2),0,MIN($E593-SUM($G593:AC593),$F593))</f>
        <v>0</v>
      </c>
      <c r="AE593" s="424">
        <f>IF(OR(AE$580&lt;$C593,AE$580&lt;$H$2),0,MIN($E593-SUM($G593:AD593),$F593))</f>
        <v>0</v>
      </c>
      <c r="AF593" s="424">
        <f>IF(OR(AF$580&lt;$C593,AF$580&lt;$H$2),0,MIN($E593-SUM($G593:AE593),$F593))</f>
        <v>0</v>
      </c>
      <c r="AG593" s="424">
        <f>IF(OR(AG$580&lt;$C593,AG$580&lt;$H$2),0,MIN($E593-SUM($G593:AF593),$F593))</f>
        <v>0</v>
      </c>
      <c r="AH593" s="424">
        <f>IF(OR(AH$580&lt;$C593,AH$580&lt;$H$2),0,MIN($E593-SUM($G593:AG593),$F593))</f>
        <v>0</v>
      </c>
      <c r="AI593" s="424">
        <f>IF(OR(AI$580&lt;$C593,AI$580&lt;$H$2),0,MIN($E593-SUM($G593:AH593),$F593))</f>
        <v>0</v>
      </c>
      <c r="AJ593" s="424">
        <f>IF(OR(AJ$580&lt;$C593,AJ$580&lt;$H$2),0,MIN($E593-SUM($G593:AI593),$F593))</f>
        <v>0</v>
      </c>
      <c r="AK593" s="424">
        <f>IF(OR(AK$580&lt;$C593,AK$580&lt;$H$2),0,MIN($E593-SUM($G593:AJ593),$F593))</f>
        <v>0</v>
      </c>
    </row>
    <row r="594" spans="3:37">
      <c r="C594" s="201">
        <v>50049</v>
      </c>
      <c r="D594" s="94" t="s">
        <v>134</v>
      </c>
      <c r="E594" s="424">
        <f t="shared" si="150"/>
        <v>0</v>
      </c>
      <c r="F594" s="209">
        <f t="shared" si="151"/>
        <v>0</v>
      </c>
      <c r="H594" s="424">
        <f>IF(OR(H$580&lt;$C594,H$580&lt;$H$2),0,MIN($E594-SUM($G594:G594),$F594))</f>
        <v>0</v>
      </c>
      <c r="I594" s="424">
        <f>IF(OR(I$580&lt;$C594,I$580&lt;$H$2),0,MIN($E594-SUM($G594:H594),$F594))</f>
        <v>0</v>
      </c>
      <c r="J594" s="424">
        <f>IF(OR(J$580&lt;$C594,J$580&lt;$H$2),0,MIN($E594-SUM($G594:I594),$F594))</f>
        <v>0</v>
      </c>
      <c r="K594" s="424">
        <f>IF(OR(K$580&lt;$C594,K$580&lt;$H$2),0,MIN($E594-SUM($G594:J594),$F594))</f>
        <v>0</v>
      </c>
      <c r="L594" s="424">
        <f>IF(OR(L$580&lt;$C594,L$580&lt;$H$2),0,MIN($E594-SUM($G594:K594),$F594))</f>
        <v>0</v>
      </c>
      <c r="M594" s="424">
        <f>IF(OR(M$580&lt;$C594,M$580&lt;$H$2),0,MIN($E594-SUM($G594:L594),$F594))</f>
        <v>0</v>
      </c>
      <c r="N594" s="424">
        <f>IF(OR(N$580&lt;$C594,N$580&lt;$H$2),0,MIN($E594-SUM($G594:M594),$F594))</f>
        <v>0</v>
      </c>
      <c r="O594" s="424">
        <f>IF(OR(O$580&lt;$C594,O$580&lt;$H$2),0,MIN($E594-SUM($G594:N594),$F594))</f>
        <v>0</v>
      </c>
      <c r="P594" s="424">
        <f>IF(OR(P$580&lt;$C594,P$580&lt;$H$2),0,MIN($E594-SUM($G594:O594),$F594))</f>
        <v>0</v>
      </c>
      <c r="Q594" s="424">
        <f>IF(OR(Q$580&lt;$C594,Q$580&lt;$H$2),0,MIN($E594-SUM($G594:P594),$F594))</f>
        <v>0</v>
      </c>
      <c r="R594" s="424">
        <f>IF(OR(R$580&lt;$C594,R$580&lt;$H$2),0,MIN($E594-SUM($G594:Q594),$F594))</f>
        <v>0</v>
      </c>
      <c r="S594" s="424">
        <f>IF(OR(S$580&lt;$C594,S$580&lt;$H$2),0,MIN($E594-SUM($G594:R594),$F594))</f>
        <v>0</v>
      </c>
      <c r="T594" s="424">
        <f>IF(OR(T$580&lt;$C594,T$580&lt;$H$2),0,MIN($E594-SUM($G594:S594),$F594))</f>
        <v>0</v>
      </c>
      <c r="U594" s="424">
        <f>IF(OR(U$580&lt;$C594,U$580&lt;$H$2),0,MIN($E594-SUM($G594:T594),$F594))</f>
        <v>0</v>
      </c>
      <c r="V594" s="424">
        <f>IF(OR(V$580&lt;$C594,V$580&lt;$H$2),0,MIN($E594-SUM($G594:U594),$F594))</f>
        <v>0</v>
      </c>
      <c r="W594" s="424">
        <f>IF(OR(W$580&lt;$C594,W$580&lt;$H$2),0,MIN($E594-SUM($G594:V594),$F594))</f>
        <v>0</v>
      </c>
      <c r="X594" s="424">
        <f>IF(OR(X$580&lt;$C594,X$580&lt;$H$2),0,MIN($E594-SUM($G594:W594),$F594))</f>
        <v>0</v>
      </c>
      <c r="Y594" s="424">
        <f>IF(OR(Y$580&lt;$C594,Y$580&lt;$H$2),0,MIN($E594-SUM($G594:X594),$F594))</f>
        <v>0</v>
      </c>
      <c r="Z594" s="424">
        <f>IF(OR(Z$580&lt;$C594,Z$580&lt;$H$2),0,MIN($E594-SUM($G594:Y594),$F594))</f>
        <v>0</v>
      </c>
      <c r="AA594" s="424">
        <f>IF(OR(AA$580&lt;$C594,AA$580&lt;$H$2),0,MIN($E594-SUM($G594:Z594),$F594))</f>
        <v>0</v>
      </c>
      <c r="AB594" s="424">
        <f>IF(OR(AB$580&lt;$C594,AB$580&lt;$H$2),0,MIN($E594-SUM($G594:AA594),$F594))</f>
        <v>0</v>
      </c>
      <c r="AC594" s="424">
        <f>IF(OR(AC$580&lt;$C594,AC$580&lt;$H$2),0,MIN($E594-SUM($G594:AB594),$F594))</f>
        <v>0</v>
      </c>
      <c r="AD594" s="424">
        <f>IF(OR(AD$580&lt;$C594,AD$580&lt;$H$2),0,MIN($E594-SUM($G594:AC594),$F594))</f>
        <v>0</v>
      </c>
      <c r="AE594" s="424">
        <f>IF(OR(AE$580&lt;$C594,AE$580&lt;$H$2),0,MIN($E594-SUM($G594:AD594),$F594))</f>
        <v>0</v>
      </c>
      <c r="AF594" s="424">
        <f>IF(OR(AF$580&lt;$C594,AF$580&lt;$H$2),0,MIN($E594-SUM($G594:AE594),$F594))</f>
        <v>0</v>
      </c>
      <c r="AG594" s="424">
        <f>IF(OR(AG$580&lt;$C594,AG$580&lt;$H$2),0,MIN($E594-SUM($G594:AF594),$F594))</f>
        <v>0</v>
      </c>
      <c r="AH594" s="424">
        <f>IF(OR(AH$580&lt;$C594,AH$580&lt;$H$2),0,MIN($E594-SUM($G594:AG594),$F594))</f>
        <v>0</v>
      </c>
      <c r="AI594" s="424">
        <f>IF(OR(AI$580&lt;$C594,AI$580&lt;$H$2),0,MIN($E594-SUM($G594:AH594),$F594))</f>
        <v>0</v>
      </c>
      <c r="AJ594" s="424">
        <f>IF(OR(AJ$580&lt;$C594,AJ$580&lt;$H$2),0,MIN($E594-SUM($G594:AI594),$F594))</f>
        <v>0</v>
      </c>
      <c r="AK594" s="424">
        <f>IF(OR(AK$580&lt;$C594,AK$580&lt;$H$2),0,MIN($E594-SUM($G594:AJ594),$F594))</f>
        <v>0</v>
      </c>
    </row>
    <row r="595" spans="3:37">
      <c r="C595" s="201">
        <v>50415</v>
      </c>
      <c r="D595" s="94" t="s">
        <v>134</v>
      </c>
      <c r="E595" s="424">
        <f t="shared" si="150"/>
        <v>0</v>
      </c>
      <c r="F595" s="209">
        <f t="shared" si="151"/>
        <v>0</v>
      </c>
      <c r="H595" s="424">
        <f>IF(OR(H$580&lt;$C595,H$580&lt;$H$2),0,MIN($E595-SUM($G595:G595),$F595))</f>
        <v>0</v>
      </c>
      <c r="I595" s="424">
        <f>IF(OR(I$580&lt;$C595,I$580&lt;$H$2),0,MIN($E595-SUM($G595:H595),$F595))</f>
        <v>0</v>
      </c>
      <c r="J595" s="424">
        <f>IF(OR(J$580&lt;$C595,J$580&lt;$H$2),0,MIN($E595-SUM($G595:I595),$F595))</f>
        <v>0</v>
      </c>
      <c r="K595" s="424">
        <f>IF(OR(K$580&lt;$C595,K$580&lt;$H$2),0,MIN($E595-SUM($G595:J595),$F595))</f>
        <v>0</v>
      </c>
      <c r="L595" s="424">
        <f>IF(OR(L$580&lt;$C595,L$580&lt;$H$2),0,MIN($E595-SUM($G595:K595),$F595))</f>
        <v>0</v>
      </c>
      <c r="M595" s="424">
        <f>IF(OR(M$580&lt;$C595,M$580&lt;$H$2),0,MIN($E595-SUM($G595:L595),$F595))</f>
        <v>0</v>
      </c>
      <c r="N595" s="424">
        <f>IF(OR(N$580&lt;$C595,N$580&lt;$H$2),0,MIN($E595-SUM($G595:M595),$F595))</f>
        <v>0</v>
      </c>
      <c r="O595" s="424">
        <f>IF(OR(O$580&lt;$C595,O$580&lt;$H$2),0,MIN($E595-SUM($G595:N595),$F595))</f>
        <v>0</v>
      </c>
      <c r="P595" s="424">
        <f>IF(OR(P$580&lt;$C595,P$580&lt;$H$2),0,MIN($E595-SUM($G595:O595),$F595))</f>
        <v>0</v>
      </c>
      <c r="Q595" s="424">
        <f>IF(OR(Q$580&lt;$C595,Q$580&lt;$H$2),0,MIN($E595-SUM($G595:P595),$F595))</f>
        <v>0</v>
      </c>
      <c r="R595" s="424">
        <f>IF(OR(R$580&lt;$C595,R$580&lt;$H$2),0,MIN($E595-SUM($G595:Q595),$F595))</f>
        <v>0</v>
      </c>
      <c r="S595" s="424">
        <f>IF(OR(S$580&lt;$C595,S$580&lt;$H$2),0,MIN($E595-SUM($G595:R595),$F595))</f>
        <v>0</v>
      </c>
      <c r="T595" s="424">
        <f>IF(OR(T$580&lt;$C595,T$580&lt;$H$2),0,MIN($E595-SUM($G595:S595),$F595))</f>
        <v>0</v>
      </c>
      <c r="U595" s="424">
        <f>IF(OR(U$580&lt;$C595,U$580&lt;$H$2),0,MIN($E595-SUM($G595:T595),$F595))</f>
        <v>0</v>
      </c>
      <c r="V595" s="424">
        <f>IF(OR(V$580&lt;$C595,V$580&lt;$H$2),0,MIN($E595-SUM($G595:U595),$F595))</f>
        <v>0</v>
      </c>
      <c r="W595" s="424">
        <f>IF(OR(W$580&lt;$C595,W$580&lt;$H$2),0,MIN($E595-SUM($G595:V595),$F595))</f>
        <v>0</v>
      </c>
      <c r="X595" s="424">
        <f>IF(OR(X$580&lt;$C595,X$580&lt;$H$2),0,MIN($E595-SUM($G595:W595),$F595))</f>
        <v>0</v>
      </c>
      <c r="Y595" s="424">
        <f>IF(OR(Y$580&lt;$C595,Y$580&lt;$H$2),0,MIN($E595-SUM($G595:X595),$F595))</f>
        <v>0</v>
      </c>
      <c r="Z595" s="424">
        <f>IF(OR(Z$580&lt;$C595,Z$580&lt;$H$2),0,MIN($E595-SUM($G595:Y595),$F595))</f>
        <v>0</v>
      </c>
      <c r="AA595" s="424">
        <f>IF(OR(AA$580&lt;$C595,AA$580&lt;$H$2),0,MIN($E595-SUM($G595:Z595),$F595))</f>
        <v>0</v>
      </c>
      <c r="AB595" s="424">
        <f>IF(OR(AB$580&lt;$C595,AB$580&lt;$H$2),0,MIN($E595-SUM($G595:AA595),$F595))</f>
        <v>0</v>
      </c>
      <c r="AC595" s="424">
        <f>IF(OR(AC$580&lt;$C595,AC$580&lt;$H$2),0,MIN($E595-SUM($G595:AB595),$F595))</f>
        <v>0</v>
      </c>
      <c r="AD595" s="424">
        <f>IF(OR(AD$580&lt;$C595,AD$580&lt;$H$2),0,MIN($E595-SUM($G595:AC595),$F595))</f>
        <v>0</v>
      </c>
      <c r="AE595" s="424">
        <f>IF(OR(AE$580&lt;$C595,AE$580&lt;$H$2),0,MIN($E595-SUM($G595:AD595),$F595))</f>
        <v>0</v>
      </c>
      <c r="AF595" s="424">
        <f>IF(OR(AF$580&lt;$C595,AF$580&lt;$H$2),0,MIN($E595-SUM($G595:AE595),$F595))</f>
        <v>0</v>
      </c>
      <c r="AG595" s="424">
        <f>IF(OR(AG$580&lt;$C595,AG$580&lt;$H$2),0,MIN($E595-SUM($G595:AF595),$F595))</f>
        <v>0</v>
      </c>
      <c r="AH595" s="424">
        <f>IF(OR(AH$580&lt;$C595,AH$580&lt;$H$2),0,MIN($E595-SUM($G595:AG595),$F595))</f>
        <v>0</v>
      </c>
      <c r="AI595" s="424">
        <f>IF(OR(AI$580&lt;$C595,AI$580&lt;$H$2),0,MIN($E595-SUM($G595:AH595),$F595))</f>
        <v>0</v>
      </c>
      <c r="AJ595" s="424">
        <f>IF(OR(AJ$580&lt;$C595,AJ$580&lt;$H$2),0,MIN($E595-SUM($G595:AI595),$F595))</f>
        <v>0</v>
      </c>
      <c r="AK595" s="424">
        <f>IF(OR(AK$580&lt;$C595,AK$580&lt;$H$2),0,MIN($E595-SUM($G595:AJ595),$F595))</f>
        <v>0</v>
      </c>
    </row>
    <row r="596" spans="3:37">
      <c r="C596" s="201">
        <v>50781</v>
      </c>
      <c r="D596" s="94" t="s">
        <v>134</v>
      </c>
      <c r="E596" s="424">
        <f t="shared" si="150"/>
        <v>0</v>
      </c>
      <c r="F596" s="209">
        <f t="shared" si="151"/>
        <v>0</v>
      </c>
      <c r="H596" s="424">
        <f>IF(OR(H$580&lt;$C596,H$580&lt;$H$2),0,MIN($E596-SUM($G596:G596),$F596))</f>
        <v>0</v>
      </c>
      <c r="I596" s="424">
        <f>IF(OR(I$580&lt;$C596,I$580&lt;$H$2),0,MIN($E596-SUM($G596:H596),$F596))</f>
        <v>0</v>
      </c>
      <c r="J596" s="424">
        <f>IF(OR(J$580&lt;$C596,J$580&lt;$H$2),0,MIN($E596-SUM($G596:I596),$F596))</f>
        <v>0</v>
      </c>
      <c r="K596" s="424">
        <f>IF(OR(K$580&lt;$C596,K$580&lt;$H$2),0,MIN($E596-SUM($G596:J596),$F596))</f>
        <v>0</v>
      </c>
      <c r="L596" s="424">
        <f>IF(OR(L$580&lt;$C596,L$580&lt;$H$2),0,MIN($E596-SUM($G596:K596),$F596))</f>
        <v>0</v>
      </c>
      <c r="M596" s="424">
        <f>IF(OR(M$580&lt;$C596,M$580&lt;$H$2),0,MIN($E596-SUM($G596:L596),$F596))</f>
        <v>0</v>
      </c>
      <c r="N596" s="424">
        <f>IF(OR(N$580&lt;$C596,N$580&lt;$H$2),0,MIN($E596-SUM($G596:M596),$F596))</f>
        <v>0</v>
      </c>
      <c r="O596" s="424">
        <f>IF(OR(O$580&lt;$C596,O$580&lt;$H$2),0,MIN($E596-SUM($G596:N596),$F596))</f>
        <v>0</v>
      </c>
      <c r="P596" s="424">
        <f>IF(OR(P$580&lt;$C596,P$580&lt;$H$2),0,MIN($E596-SUM($G596:O596),$F596))</f>
        <v>0</v>
      </c>
      <c r="Q596" s="424">
        <f>IF(OR(Q$580&lt;$C596,Q$580&lt;$H$2),0,MIN($E596-SUM($G596:P596),$F596))</f>
        <v>0</v>
      </c>
      <c r="R596" s="424">
        <f>IF(OR(R$580&lt;$C596,R$580&lt;$H$2),0,MIN($E596-SUM($G596:Q596),$F596))</f>
        <v>0</v>
      </c>
      <c r="S596" s="424">
        <f>IF(OR(S$580&lt;$C596,S$580&lt;$H$2),0,MIN($E596-SUM($G596:R596),$F596))</f>
        <v>0</v>
      </c>
      <c r="T596" s="424">
        <f>IF(OR(T$580&lt;$C596,T$580&lt;$H$2),0,MIN($E596-SUM($G596:S596),$F596))</f>
        <v>0</v>
      </c>
      <c r="U596" s="424">
        <f>IF(OR(U$580&lt;$C596,U$580&lt;$H$2),0,MIN($E596-SUM($G596:T596),$F596))</f>
        <v>0</v>
      </c>
      <c r="V596" s="424">
        <f>IF(OR(V$580&lt;$C596,V$580&lt;$H$2),0,MIN($E596-SUM($G596:U596),$F596))</f>
        <v>0</v>
      </c>
      <c r="W596" s="424">
        <f>IF(OR(W$580&lt;$C596,W$580&lt;$H$2),0,MIN($E596-SUM($G596:V596),$F596))</f>
        <v>0</v>
      </c>
      <c r="X596" s="424">
        <f>IF(OR(X$580&lt;$C596,X$580&lt;$H$2),0,MIN($E596-SUM($G596:W596),$F596))</f>
        <v>0</v>
      </c>
      <c r="Y596" s="424">
        <f>IF(OR(Y$580&lt;$C596,Y$580&lt;$H$2),0,MIN($E596-SUM($G596:X596),$F596))</f>
        <v>0</v>
      </c>
      <c r="Z596" s="424">
        <f>IF(OR(Z$580&lt;$C596,Z$580&lt;$H$2),0,MIN($E596-SUM($G596:Y596),$F596))</f>
        <v>0</v>
      </c>
      <c r="AA596" s="424">
        <f>IF(OR(AA$580&lt;$C596,AA$580&lt;$H$2),0,MIN($E596-SUM($G596:Z596),$F596))</f>
        <v>0</v>
      </c>
      <c r="AB596" s="424">
        <f>IF(OR(AB$580&lt;$C596,AB$580&lt;$H$2),0,MIN($E596-SUM($G596:AA596),$F596))</f>
        <v>0</v>
      </c>
      <c r="AC596" s="424">
        <f>IF(OR(AC$580&lt;$C596,AC$580&lt;$H$2),0,MIN($E596-SUM($G596:AB596),$F596))</f>
        <v>0</v>
      </c>
      <c r="AD596" s="424">
        <f>IF(OR(AD$580&lt;$C596,AD$580&lt;$H$2),0,MIN($E596-SUM($G596:AC596),$F596))</f>
        <v>0</v>
      </c>
      <c r="AE596" s="424">
        <f>IF(OR(AE$580&lt;$C596,AE$580&lt;$H$2),0,MIN($E596-SUM($G596:AD596),$F596))</f>
        <v>0</v>
      </c>
      <c r="AF596" s="424">
        <f>IF(OR(AF$580&lt;$C596,AF$580&lt;$H$2),0,MIN($E596-SUM($G596:AE596),$F596))</f>
        <v>0</v>
      </c>
      <c r="AG596" s="424">
        <f>IF(OR(AG$580&lt;$C596,AG$580&lt;$H$2),0,MIN($E596-SUM($G596:AF596),$F596))</f>
        <v>0</v>
      </c>
      <c r="AH596" s="424">
        <f>IF(OR(AH$580&lt;$C596,AH$580&lt;$H$2),0,MIN($E596-SUM($G596:AG596),$F596))</f>
        <v>0</v>
      </c>
      <c r="AI596" s="424">
        <f>IF(OR(AI$580&lt;$C596,AI$580&lt;$H$2),0,MIN($E596-SUM($G596:AH596),$F596))</f>
        <v>0</v>
      </c>
      <c r="AJ596" s="424">
        <f>IF(OR(AJ$580&lt;$C596,AJ$580&lt;$H$2),0,MIN($E596-SUM($G596:AI596),$F596))</f>
        <v>0</v>
      </c>
      <c r="AK596" s="424">
        <f>IF(OR(AK$580&lt;$C596,AK$580&lt;$H$2),0,MIN($E596-SUM($G596:AJ596),$F596))</f>
        <v>0</v>
      </c>
    </row>
    <row r="597" spans="3:37">
      <c r="C597" s="201">
        <v>51147</v>
      </c>
      <c r="D597" s="94" t="s">
        <v>134</v>
      </c>
      <c r="E597" s="424">
        <f t="shared" si="150"/>
        <v>0</v>
      </c>
      <c r="F597" s="209">
        <f t="shared" si="151"/>
        <v>0</v>
      </c>
      <c r="H597" s="424">
        <f>IF(OR(H$580&lt;$C597,H$580&lt;$H$2),0,MIN($E597-SUM($G597:G597),$F597))</f>
        <v>0</v>
      </c>
      <c r="I597" s="424">
        <f>IF(OR(I$580&lt;$C597,I$580&lt;$H$2),0,MIN($E597-SUM($G597:H597),$F597))</f>
        <v>0</v>
      </c>
      <c r="J597" s="424">
        <f>IF(OR(J$580&lt;$C597,J$580&lt;$H$2),0,MIN($E597-SUM($G597:I597),$F597))</f>
        <v>0</v>
      </c>
      <c r="K597" s="424">
        <f>IF(OR(K$580&lt;$C597,K$580&lt;$H$2),0,MIN($E597-SUM($G597:J597),$F597))</f>
        <v>0</v>
      </c>
      <c r="L597" s="424">
        <f>IF(OR(L$580&lt;$C597,L$580&lt;$H$2),0,MIN($E597-SUM($G597:K597),$F597))</f>
        <v>0</v>
      </c>
      <c r="M597" s="424">
        <f>IF(OR(M$580&lt;$C597,M$580&lt;$H$2),0,MIN($E597-SUM($G597:L597),$F597))</f>
        <v>0</v>
      </c>
      <c r="N597" s="424">
        <f>IF(OR(N$580&lt;$C597,N$580&lt;$H$2),0,MIN($E597-SUM($G597:M597),$F597))</f>
        <v>0</v>
      </c>
      <c r="O597" s="424">
        <f>IF(OR(O$580&lt;$C597,O$580&lt;$H$2),0,MIN($E597-SUM($G597:N597),$F597))</f>
        <v>0</v>
      </c>
      <c r="P597" s="424">
        <f>IF(OR(P$580&lt;$C597,P$580&lt;$H$2),0,MIN($E597-SUM($G597:O597),$F597))</f>
        <v>0</v>
      </c>
      <c r="Q597" s="424">
        <f>IF(OR(Q$580&lt;$C597,Q$580&lt;$H$2),0,MIN($E597-SUM($G597:P597),$F597))</f>
        <v>0</v>
      </c>
      <c r="R597" s="424">
        <f>IF(OR(R$580&lt;$C597,R$580&lt;$H$2),0,MIN($E597-SUM($G597:Q597),$F597))</f>
        <v>0</v>
      </c>
      <c r="S597" s="424">
        <f>IF(OR(S$580&lt;$C597,S$580&lt;$H$2),0,MIN($E597-SUM($G597:R597),$F597))</f>
        <v>0</v>
      </c>
      <c r="T597" s="424">
        <f>IF(OR(T$580&lt;$C597,T$580&lt;$H$2),0,MIN($E597-SUM($G597:S597),$F597))</f>
        <v>0</v>
      </c>
      <c r="U597" s="424">
        <f>IF(OR(U$580&lt;$C597,U$580&lt;$H$2),0,MIN($E597-SUM($G597:T597),$F597))</f>
        <v>0</v>
      </c>
      <c r="V597" s="424">
        <f>IF(OR(V$580&lt;$C597,V$580&lt;$H$2),0,MIN($E597-SUM($G597:U597),$F597))</f>
        <v>0</v>
      </c>
      <c r="W597" s="424">
        <f>IF(OR(W$580&lt;$C597,W$580&lt;$H$2),0,MIN($E597-SUM($G597:V597),$F597))</f>
        <v>0</v>
      </c>
      <c r="X597" s="424">
        <f>IF(OR(X$580&lt;$C597,X$580&lt;$H$2),0,MIN($E597-SUM($G597:W597),$F597))</f>
        <v>0</v>
      </c>
      <c r="Y597" s="424">
        <f>IF(OR(Y$580&lt;$C597,Y$580&lt;$H$2),0,MIN($E597-SUM($G597:X597),$F597))</f>
        <v>0</v>
      </c>
      <c r="Z597" s="424">
        <f>IF(OR(Z$580&lt;$C597,Z$580&lt;$H$2),0,MIN($E597-SUM($G597:Y597),$F597))</f>
        <v>0</v>
      </c>
      <c r="AA597" s="424">
        <f>IF(OR(AA$580&lt;$C597,AA$580&lt;$H$2),0,MIN($E597-SUM($G597:Z597),$F597))</f>
        <v>0</v>
      </c>
      <c r="AB597" s="424">
        <f>IF(OR(AB$580&lt;$C597,AB$580&lt;$H$2),0,MIN($E597-SUM($G597:AA597),$F597))</f>
        <v>0</v>
      </c>
      <c r="AC597" s="424">
        <f>IF(OR(AC$580&lt;$C597,AC$580&lt;$H$2),0,MIN($E597-SUM($G597:AB597),$F597))</f>
        <v>0</v>
      </c>
      <c r="AD597" s="424">
        <f>IF(OR(AD$580&lt;$C597,AD$580&lt;$H$2),0,MIN($E597-SUM($G597:AC597),$F597))</f>
        <v>0</v>
      </c>
      <c r="AE597" s="424">
        <f>IF(OR(AE$580&lt;$C597,AE$580&lt;$H$2),0,MIN($E597-SUM($G597:AD597),$F597))</f>
        <v>0</v>
      </c>
      <c r="AF597" s="424">
        <f>IF(OR(AF$580&lt;$C597,AF$580&lt;$H$2),0,MIN($E597-SUM($G597:AE597),$F597))</f>
        <v>0</v>
      </c>
      <c r="AG597" s="424">
        <f>IF(OR(AG$580&lt;$C597,AG$580&lt;$H$2),0,MIN($E597-SUM($G597:AF597),$F597))</f>
        <v>0</v>
      </c>
      <c r="AH597" s="424">
        <f>IF(OR(AH$580&lt;$C597,AH$580&lt;$H$2),0,MIN($E597-SUM($G597:AG597),$F597))</f>
        <v>0</v>
      </c>
      <c r="AI597" s="424">
        <f>IF(OR(AI$580&lt;$C597,AI$580&lt;$H$2),0,MIN($E597-SUM($G597:AH597),$F597))</f>
        <v>0</v>
      </c>
      <c r="AJ597" s="424">
        <f>IF(OR(AJ$580&lt;$C597,AJ$580&lt;$H$2),0,MIN($E597-SUM($G597:AI597),$F597))</f>
        <v>0</v>
      </c>
      <c r="AK597" s="424">
        <f>IF(OR(AK$580&lt;$C597,AK$580&lt;$H$2),0,MIN($E597-SUM($G597:AJ597),$F597))</f>
        <v>0</v>
      </c>
    </row>
    <row r="598" spans="3:37">
      <c r="C598" s="201">
        <v>51513</v>
      </c>
      <c r="D598" s="94" t="s">
        <v>134</v>
      </c>
      <c r="E598" s="424">
        <f t="shared" si="150"/>
        <v>0</v>
      </c>
      <c r="F598" s="209">
        <f t="shared" si="151"/>
        <v>0</v>
      </c>
      <c r="H598" s="424">
        <f>IF(OR(H$580&lt;$C598,H$580&lt;$H$2),0,MIN($E598-SUM($G598:G598),$F598))</f>
        <v>0</v>
      </c>
      <c r="I598" s="424">
        <f>IF(OR(I$580&lt;$C598,I$580&lt;$H$2),0,MIN($E598-SUM($G598:H598),$F598))</f>
        <v>0</v>
      </c>
      <c r="J598" s="424">
        <f>IF(OR(J$580&lt;$C598,J$580&lt;$H$2),0,MIN($E598-SUM($G598:I598),$F598))</f>
        <v>0</v>
      </c>
      <c r="K598" s="424">
        <f>IF(OR(K$580&lt;$C598,K$580&lt;$H$2),0,MIN($E598-SUM($G598:J598),$F598))</f>
        <v>0</v>
      </c>
      <c r="L598" s="424">
        <f>IF(OR(L$580&lt;$C598,L$580&lt;$H$2),0,MIN($E598-SUM($G598:K598),$F598))</f>
        <v>0</v>
      </c>
      <c r="M598" s="424">
        <f>IF(OR(M$580&lt;$C598,M$580&lt;$H$2),0,MIN($E598-SUM($G598:L598),$F598))</f>
        <v>0</v>
      </c>
      <c r="N598" s="424">
        <f>IF(OR(N$580&lt;$C598,N$580&lt;$H$2),0,MIN($E598-SUM($G598:M598),$F598))</f>
        <v>0</v>
      </c>
      <c r="O598" s="424">
        <f>IF(OR(O$580&lt;$C598,O$580&lt;$H$2),0,MIN($E598-SUM($G598:N598),$F598))</f>
        <v>0</v>
      </c>
      <c r="P598" s="424">
        <f>IF(OR(P$580&lt;$C598,P$580&lt;$H$2),0,MIN($E598-SUM($G598:O598),$F598))</f>
        <v>0</v>
      </c>
      <c r="Q598" s="424">
        <f>IF(OR(Q$580&lt;$C598,Q$580&lt;$H$2),0,MIN($E598-SUM($G598:P598),$F598))</f>
        <v>0</v>
      </c>
      <c r="R598" s="424">
        <f>IF(OR(R$580&lt;$C598,R$580&lt;$H$2),0,MIN($E598-SUM($G598:Q598),$F598))</f>
        <v>0</v>
      </c>
      <c r="S598" s="424">
        <f>IF(OR(S$580&lt;$C598,S$580&lt;$H$2),0,MIN($E598-SUM($G598:R598),$F598))</f>
        <v>0</v>
      </c>
      <c r="T598" s="424">
        <f>IF(OR(T$580&lt;$C598,T$580&lt;$H$2),0,MIN($E598-SUM($G598:S598),$F598))</f>
        <v>0</v>
      </c>
      <c r="U598" s="424">
        <f>IF(OR(U$580&lt;$C598,U$580&lt;$H$2),0,MIN($E598-SUM($G598:T598),$F598))</f>
        <v>0</v>
      </c>
      <c r="V598" s="424">
        <f>IF(OR(V$580&lt;$C598,V$580&lt;$H$2),0,MIN($E598-SUM($G598:U598),$F598))</f>
        <v>0</v>
      </c>
      <c r="W598" s="424">
        <f>IF(OR(W$580&lt;$C598,W$580&lt;$H$2),0,MIN($E598-SUM($G598:V598),$F598))</f>
        <v>0</v>
      </c>
      <c r="X598" s="424">
        <f>IF(OR(X$580&lt;$C598,X$580&lt;$H$2),0,MIN($E598-SUM($G598:W598),$F598))</f>
        <v>0</v>
      </c>
      <c r="Y598" s="424">
        <f>IF(OR(Y$580&lt;$C598,Y$580&lt;$H$2),0,MIN($E598-SUM($G598:X598),$F598))</f>
        <v>0</v>
      </c>
      <c r="Z598" s="424">
        <f>IF(OR(Z$580&lt;$C598,Z$580&lt;$H$2),0,MIN($E598-SUM($G598:Y598),$F598))</f>
        <v>0</v>
      </c>
      <c r="AA598" s="424">
        <f>IF(OR(AA$580&lt;$C598,AA$580&lt;$H$2),0,MIN($E598-SUM($G598:Z598),$F598))</f>
        <v>0</v>
      </c>
      <c r="AB598" s="424">
        <f>IF(OR(AB$580&lt;$C598,AB$580&lt;$H$2),0,MIN($E598-SUM($G598:AA598),$F598))</f>
        <v>0</v>
      </c>
      <c r="AC598" s="424">
        <f>IF(OR(AC$580&lt;$C598,AC$580&lt;$H$2),0,MIN($E598-SUM($G598:AB598),$F598))</f>
        <v>0</v>
      </c>
      <c r="AD598" s="424">
        <f>IF(OR(AD$580&lt;$C598,AD$580&lt;$H$2),0,MIN($E598-SUM($G598:AC598),$F598))</f>
        <v>0</v>
      </c>
      <c r="AE598" s="424">
        <f>IF(OR(AE$580&lt;$C598,AE$580&lt;$H$2),0,MIN($E598-SUM($G598:AD598),$F598))</f>
        <v>0</v>
      </c>
      <c r="AF598" s="424">
        <f>IF(OR(AF$580&lt;$C598,AF$580&lt;$H$2),0,MIN($E598-SUM($G598:AE598),$F598))</f>
        <v>0</v>
      </c>
      <c r="AG598" s="424">
        <f>IF(OR(AG$580&lt;$C598,AG$580&lt;$H$2),0,MIN($E598-SUM($G598:AF598),$F598))</f>
        <v>0</v>
      </c>
      <c r="AH598" s="424">
        <f>IF(OR(AH$580&lt;$C598,AH$580&lt;$H$2),0,MIN($E598-SUM($G598:AG598),$F598))</f>
        <v>0</v>
      </c>
      <c r="AI598" s="424">
        <f>IF(OR(AI$580&lt;$C598,AI$580&lt;$H$2),0,MIN($E598-SUM($G598:AH598),$F598))</f>
        <v>0</v>
      </c>
      <c r="AJ598" s="424">
        <f>IF(OR(AJ$580&lt;$C598,AJ$580&lt;$H$2),0,MIN($E598-SUM($G598:AI598),$F598))</f>
        <v>0</v>
      </c>
      <c r="AK598" s="424">
        <f>IF(OR(AK$580&lt;$C598,AK$580&lt;$H$2),0,MIN($E598-SUM($G598:AJ598),$F598))</f>
        <v>0</v>
      </c>
    </row>
    <row r="599" spans="3:37">
      <c r="C599" s="201">
        <v>51879</v>
      </c>
      <c r="D599" s="94" t="s">
        <v>134</v>
      </c>
      <c r="E599" s="424">
        <f t="shared" si="150"/>
        <v>0</v>
      </c>
      <c r="F599" s="209">
        <f t="shared" si="151"/>
        <v>0</v>
      </c>
      <c r="H599" s="424">
        <f>IF(OR(H$580&lt;$C599,H$580&lt;$H$2),0,MIN($E599-SUM($G599:G599),$F599))</f>
        <v>0</v>
      </c>
      <c r="I599" s="424">
        <f>IF(OR(I$580&lt;$C599,I$580&lt;$H$2),0,MIN($E599-SUM($G599:H599),$F599))</f>
        <v>0</v>
      </c>
      <c r="J599" s="424">
        <f>IF(OR(J$580&lt;$C599,J$580&lt;$H$2),0,MIN($E599-SUM($G599:I599),$F599))</f>
        <v>0</v>
      </c>
      <c r="K599" s="424">
        <f>IF(OR(K$580&lt;$C599,K$580&lt;$H$2),0,MIN($E599-SUM($G599:J599),$F599))</f>
        <v>0</v>
      </c>
      <c r="L599" s="424">
        <f>IF(OR(L$580&lt;$C599,L$580&lt;$H$2),0,MIN($E599-SUM($G599:K599),$F599))</f>
        <v>0</v>
      </c>
      <c r="M599" s="424">
        <f>IF(OR(M$580&lt;$C599,M$580&lt;$H$2),0,MIN($E599-SUM($G599:L599),$F599))</f>
        <v>0</v>
      </c>
      <c r="N599" s="424">
        <f>IF(OR(N$580&lt;$C599,N$580&lt;$H$2),0,MIN($E599-SUM($G599:M599),$F599))</f>
        <v>0</v>
      </c>
      <c r="O599" s="424">
        <f>IF(OR(O$580&lt;$C599,O$580&lt;$H$2),0,MIN($E599-SUM($G599:N599),$F599))</f>
        <v>0</v>
      </c>
      <c r="P599" s="424">
        <f>IF(OR(P$580&lt;$C599,P$580&lt;$H$2),0,MIN($E599-SUM($G599:O599),$F599))</f>
        <v>0</v>
      </c>
      <c r="Q599" s="424">
        <f>IF(OR(Q$580&lt;$C599,Q$580&lt;$H$2),0,MIN($E599-SUM($G599:P599),$F599))</f>
        <v>0</v>
      </c>
      <c r="R599" s="424">
        <f>IF(OR(R$580&lt;$C599,R$580&lt;$H$2),0,MIN($E599-SUM($G599:Q599),$F599))</f>
        <v>0</v>
      </c>
      <c r="S599" s="424">
        <f>IF(OR(S$580&lt;$C599,S$580&lt;$H$2),0,MIN($E599-SUM($G599:R599),$F599))</f>
        <v>0</v>
      </c>
      <c r="T599" s="424">
        <f>IF(OR(T$580&lt;$C599,T$580&lt;$H$2),0,MIN($E599-SUM($G599:S599),$F599))</f>
        <v>0</v>
      </c>
      <c r="U599" s="424">
        <f>IF(OR(U$580&lt;$C599,U$580&lt;$H$2),0,MIN($E599-SUM($G599:T599),$F599))</f>
        <v>0</v>
      </c>
      <c r="V599" s="424">
        <f>IF(OR(V$580&lt;$C599,V$580&lt;$H$2),0,MIN($E599-SUM($G599:U599),$F599))</f>
        <v>0</v>
      </c>
      <c r="W599" s="424">
        <f>IF(OR(W$580&lt;$C599,W$580&lt;$H$2),0,MIN($E599-SUM($G599:V599),$F599))</f>
        <v>0</v>
      </c>
      <c r="X599" s="424">
        <f>IF(OR(X$580&lt;$C599,X$580&lt;$H$2),0,MIN($E599-SUM($G599:W599),$F599))</f>
        <v>0</v>
      </c>
      <c r="Y599" s="424">
        <f>IF(OR(Y$580&lt;$C599,Y$580&lt;$H$2),0,MIN($E599-SUM($G599:X599),$F599))</f>
        <v>0</v>
      </c>
      <c r="Z599" s="424">
        <f>IF(OR(Z$580&lt;$C599,Z$580&lt;$H$2),0,MIN($E599-SUM($G599:Y599),$F599))</f>
        <v>0</v>
      </c>
      <c r="AA599" s="424">
        <f>IF(OR(AA$580&lt;$C599,AA$580&lt;$H$2),0,MIN($E599-SUM($G599:Z599),$F599))</f>
        <v>0</v>
      </c>
      <c r="AB599" s="424">
        <f>IF(OR(AB$580&lt;$C599,AB$580&lt;$H$2),0,MIN($E599-SUM($G599:AA599),$F599))</f>
        <v>0</v>
      </c>
      <c r="AC599" s="424">
        <f>IF(OR(AC$580&lt;$C599,AC$580&lt;$H$2),0,MIN($E599-SUM($G599:AB599),$F599))</f>
        <v>0</v>
      </c>
      <c r="AD599" s="424">
        <f>IF(OR(AD$580&lt;$C599,AD$580&lt;$H$2),0,MIN($E599-SUM($G599:AC599),$F599))</f>
        <v>0</v>
      </c>
      <c r="AE599" s="424">
        <f>IF(OR(AE$580&lt;$C599,AE$580&lt;$H$2),0,MIN($E599-SUM($G599:AD599),$F599))</f>
        <v>0</v>
      </c>
      <c r="AF599" s="424">
        <f>IF(OR(AF$580&lt;$C599,AF$580&lt;$H$2),0,MIN($E599-SUM($G599:AE599),$F599))</f>
        <v>0</v>
      </c>
      <c r="AG599" s="424">
        <f>IF(OR(AG$580&lt;$C599,AG$580&lt;$H$2),0,MIN($E599-SUM($G599:AF599),$F599))</f>
        <v>0</v>
      </c>
      <c r="AH599" s="424">
        <f>IF(OR(AH$580&lt;$C599,AH$580&lt;$H$2),0,MIN($E599-SUM($G599:AG599),$F599))</f>
        <v>0</v>
      </c>
      <c r="AI599" s="424">
        <f>IF(OR(AI$580&lt;$C599,AI$580&lt;$H$2),0,MIN($E599-SUM($G599:AH599),$F599))</f>
        <v>0</v>
      </c>
      <c r="AJ599" s="424">
        <f>IF(OR(AJ$580&lt;$C599,AJ$580&lt;$H$2),0,MIN($E599-SUM($G599:AI599),$F599))</f>
        <v>0</v>
      </c>
      <c r="AK599" s="424">
        <f>IF(OR(AK$580&lt;$C599,AK$580&lt;$H$2),0,MIN($E599-SUM($G599:AJ599),$F599))</f>
        <v>0</v>
      </c>
    </row>
    <row r="600" spans="3:37">
      <c r="C600" s="201">
        <v>52245</v>
      </c>
      <c r="D600" s="94" t="s">
        <v>134</v>
      </c>
      <c r="E600" s="424">
        <f t="shared" si="150"/>
        <v>0</v>
      </c>
      <c r="F600" s="209">
        <f t="shared" si="151"/>
        <v>0</v>
      </c>
      <c r="H600" s="424">
        <f>IF(OR(H$580&lt;$C600,H$580&lt;$H$2),0,MIN($E600-SUM($G600:G600),$F600))</f>
        <v>0</v>
      </c>
      <c r="I600" s="424">
        <f>IF(OR(I$580&lt;$C600,I$580&lt;$H$2),0,MIN($E600-SUM($G600:H600),$F600))</f>
        <v>0</v>
      </c>
      <c r="J600" s="424">
        <f>IF(OR(J$580&lt;$C600,J$580&lt;$H$2),0,MIN($E600-SUM($G600:I600),$F600))</f>
        <v>0</v>
      </c>
      <c r="K600" s="424">
        <f>IF(OR(K$580&lt;$C600,K$580&lt;$H$2),0,MIN($E600-SUM($G600:J600),$F600))</f>
        <v>0</v>
      </c>
      <c r="L600" s="424">
        <f>IF(OR(L$580&lt;$C600,L$580&lt;$H$2),0,MIN($E600-SUM($G600:K600),$F600))</f>
        <v>0</v>
      </c>
      <c r="M600" s="424">
        <f>IF(OR(M$580&lt;$C600,M$580&lt;$H$2),0,MIN($E600-SUM($G600:L600),$F600))</f>
        <v>0</v>
      </c>
      <c r="N600" s="424">
        <f>IF(OR(N$580&lt;$C600,N$580&lt;$H$2),0,MIN($E600-SUM($G600:M600),$F600))</f>
        <v>0</v>
      </c>
      <c r="O600" s="424">
        <f>IF(OR(O$580&lt;$C600,O$580&lt;$H$2),0,MIN($E600-SUM($G600:N600),$F600))</f>
        <v>0</v>
      </c>
      <c r="P600" s="424">
        <f>IF(OR(P$580&lt;$C600,P$580&lt;$H$2),0,MIN($E600-SUM($G600:O600),$F600))</f>
        <v>0</v>
      </c>
      <c r="Q600" s="424">
        <f>IF(OR(Q$580&lt;$C600,Q$580&lt;$H$2),0,MIN($E600-SUM($G600:P600),$F600))</f>
        <v>0</v>
      </c>
      <c r="R600" s="424">
        <f>IF(OR(R$580&lt;$C600,R$580&lt;$H$2),0,MIN($E600-SUM($G600:Q600),$F600))</f>
        <v>0</v>
      </c>
      <c r="S600" s="424">
        <f>IF(OR(S$580&lt;$C600,S$580&lt;$H$2),0,MIN($E600-SUM($G600:R600),$F600))</f>
        <v>0</v>
      </c>
      <c r="T600" s="424">
        <f>IF(OR(T$580&lt;$C600,T$580&lt;$H$2),0,MIN($E600-SUM($G600:S600),$F600))</f>
        <v>0</v>
      </c>
      <c r="U600" s="424">
        <f>IF(OR(U$580&lt;$C600,U$580&lt;$H$2),0,MIN($E600-SUM($G600:T600),$F600))</f>
        <v>0</v>
      </c>
      <c r="V600" s="424">
        <f>IF(OR(V$580&lt;$C600,V$580&lt;$H$2),0,MIN($E600-SUM($G600:U600),$F600))</f>
        <v>0</v>
      </c>
      <c r="W600" s="424">
        <f>IF(OR(W$580&lt;$C600,W$580&lt;$H$2),0,MIN($E600-SUM($G600:V600),$F600))</f>
        <v>0</v>
      </c>
      <c r="X600" s="424">
        <f>IF(OR(X$580&lt;$C600,X$580&lt;$H$2),0,MIN($E600-SUM($G600:W600),$F600))</f>
        <v>0</v>
      </c>
      <c r="Y600" s="424">
        <f>IF(OR(Y$580&lt;$C600,Y$580&lt;$H$2),0,MIN($E600-SUM($G600:X600),$F600))</f>
        <v>0</v>
      </c>
      <c r="Z600" s="424">
        <f>IF(OR(Z$580&lt;$C600,Z$580&lt;$H$2),0,MIN($E600-SUM($G600:Y600),$F600))</f>
        <v>0</v>
      </c>
      <c r="AA600" s="424">
        <f>IF(OR(AA$580&lt;$C600,AA$580&lt;$H$2),0,MIN($E600-SUM($G600:Z600),$F600))</f>
        <v>0</v>
      </c>
      <c r="AB600" s="424">
        <f>IF(OR(AB$580&lt;$C600,AB$580&lt;$H$2),0,MIN($E600-SUM($G600:AA600),$F600))</f>
        <v>0</v>
      </c>
      <c r="AC600" s="424">
        <f>IF(OR(AC$580&lt;$C600,AC$580&lt;$H$2),0,MIN($E600-SUM($G600:AB600),$F600))</f>
        <v>0</v>
      </c>
      <c r="AD600" s="424">
        <f>IF(OR(AD$580&lt;$C600,AD$580&lt;$H$2),0,MIN($E600-SUM($G600:AC600),$F600))</f>
        <v>0</v>
      </c>
      <c r="AE600" s="424">
        <f>IF(OR(AE$580&lt;$C600,AE$580&lt;$H$2),0,MIN($E600-SUM($G600:AD600),$F600))</f>
        <v>0</v>
      </c>
      <c r="AF600" s="424">
        <f>IF(OR(AF$580&lt;$C600,AF$580&lt;$H$2),0,MIN($E600-SUM($G600:AE600),$F600))</f>
        <v>0</v>
      </c>
      <c r="AG600" s="424">
        <f>IF(OR(AG$580&lt;$C600,AG$580&lt;$H$2),0,MIN($E600-SUM($G600:AF600),$F600))</f>
        <v>0</v>
      </c>
      <c r="AH600" s="424">
        <f>IF(OR(AH$580&lt;$C600,AH$580&lt;$H$2),0,MIN($E600-SUM($G600:AG600),$F600))</f>
        <v>0</v>
      </c>
      <c r="AI600" s="424">
        <f>IF(OR(AI$580&lt;$C600,AI$580&lt;$H$2),0,MIN($E600-SUM($G600:AH600),$F600))</f>
        <v>0</v>
      </c>
      <c r="AJ600" s="424">
        <f>IF(OR(AJ$580&lt;$C600,AJ$580&lt;$H$2),0,MIN($E600-SUM($G600:AI600),$F600))</f>
        <v>0</v>
      </c>
      <c r="AK600" s="424">
        <f>IF(OR(AK$580&lt;$C600,AK$580&lt;$H$2),0,MIN($E600-SUM($G600:AJ600),$F600))</f>
        <v>0</v>
      </c>
    </row>
    <row r="601" spans="3:37">
      <c r="C601" s="201">
        <v>52611</v>
      </c>
      <c r="D601" s="94" t="s">
        <v>134</v>
      </c>
      <c r="E601" s="424">
        <f t="shared" si="150"/>
        <v>0</v>
      </c>
      <c r="F601" s="209">
        <f t="shared" si="151"/>
        <v>0</v>
      </c>
      <c r="H601" s="424">
        <f>IF(OR(H$580&lt;$C601,H$580&lt;$H$2),0,MIN($E601-SUM($G601:G601),$F601))</f>
        <v>0</v>
      </c>
      <c r="I601" s="424">
        <f>IF(OR(I$580&lt;$C601,I$580&lt;$H$2),0,MIN($E601-SUM($G601:H601),$F601))</f>
        <v>0</v>
      </c>
      <c r="J601" s="424">
        <f>IF(OR(J$580&lt;$C601,J$580&lt;$H$2),0,MIN($E601-SUM($G601:I601),$F601))</f>
        <v>0</v>
      </c>
      <c r="K601" s="424">
        <f>IF(OR(K$580&lt;$C601,K$580&lt;$H$2),0,MIN($E601-SUM($G601:J601),$F601))</f>
        <v>0</v>
      </c>
      <c r="L601" s="424">
        <f>IF(OR(L$580&lt;$C601,L$580&lt;$H$2),0,MIN($E601-SUM($G601:K601),$F601))</f>
        <v>0</v>
      </c>
      <c r="M601" s="424">
        <f>IF(OR(M$580&lt;$C601,M$580&lt;$H$2),0,MIN($E601-SUM($G601:L601),$F601))</f>
        <v>0</v>
      </c>
      <c r="N601" s="424">
        <f>IF(OR(N$580&lt;$C601,N$580&lt;$H$2),0,MIN($E601-SUM($G601:M601),$F601))</f>
        <v>0</v>
      </c>
      <c r="O601" s="424">
        <f>IF(OR(O$580&lt;$C601,O$580&lt;$H$2),0,MIN($E601-SUM($G601:N601),$F601))</f>
        <v>0</v>
      </c>
      <c r="P601" s="424">
        <f>IF(OR(P$580&lt;$C601,P$580&lt;$H$2),0,MIN($E601-SUM($G601:O601),$F601))</f>
        <v>0</v>
      </c>
      <c r="Q601" s="424">
        <f>IF(OR(Q$580&lt;$C601,Q$580&lt;$H$2),0,MIN($E601-SUM($G601:P601),$F601))</f>
        <v>0</v>
      </c>
      <c r="R601" s="424">
        <f>IF(OR(R$580&lt;$C601,R$580&lt;$H$2),0,MIN($E601-SUM($G601:Q601),$F601))</f>
        <v>0</v>
      </c>
      <c r="S601" s="424">
        <f>IF(OR(S$580&lt;$C601,S$580&lt;$H$2),0,MIN($E601-SUM($G601:R601),$F601))</f>
        <v>0</v>
      </c>
      <c r="T601" s="424">
        <f>IF(OR(T$580&lt;$C601,T$580&lt;$H$2),0,MIN($E601-SUM($G601:S601),$F601))</f>
        <v>0</v>
      </c>
      <c r="U601" s="424">
        <f>IF(OR(U$580&lt;$C601,U$580&lt;$H$2),0,MIN($E601-SUM($G601:T601),$F601))</f>
        <v>0</v>
      </c>
      <c r="V601" s="424">
        <f>IF(OR(V$580&lt;$C601,V$580&lt;$H$2),0,MIN($E601-SUM($G601:U601),$F601))</f>
        <v>0</v>
      </c>
      <c r="W601" s="424">
        <f>IF(OR(W$580&lt;$C601,W$580&lt;$H$2),0,MIN($E601-SUM($G601:V601),$F601))</f>
        <v>0</v>
      </c>
      <c r="X601" s="424">
        <f>IF(OR(X$580&lt;$C601,X$580&lt;$H$2),0,MIN($E601-SUM($G601:W601),$F601))</f>
        <v>0</v>
      </c>
      <c r="Y601" s="424">
        <f>IF(OR(Y$580&lt;$C601,Y$580&lt;$H$2),0,MIN($E601-SUM($G601:X601),$F601))</f>
        <v>0</v>
      </c>
      <c r="Z601" s="424">
        <f>IF(OR(Z$580&lt;$C601,Z$580&lt;$H$2),0,MIN($E601-SUM($G601:Y601),$F601))</f>
        <v>0</v>
      </c>
      <c r="AA601" s="424">
        <f>IF(OR(AA$580&lt;$C601,AA$580&lt;$H$2),0,MIN($E601-SUM($G601:Z601),$F601))</f>
        <v>0</v>
      </c>
      <c r="AB601" s="424">
        <f>IF(OR(AB$580&lt;$C601,AB$580&lt;$H$2),0,MIN($E601-SUM($G601:AA601),$F601))</f>
        <v>0</v>
      </c>
      <c r="AC601" s="424">
        <f>IF(OR(AC$580&lt;$C601,AC$580&lt;$H$2),0,MIN($E601-SUM($G601:AB601),$F601))</f>
        <v>0</v>
      </c>
      <c r="AD601" s="424">
        <f>IF(OR(AD$580&lt;$C601,AD$580&lt;$H$2),0,MIN($E601-SUM($G601:AC601),$F601))</f>
        <v>0</v>
      </c>
      <c r="AE601" s="424">
        <f>IF(OR(AE$580&lt;$C601,AE$580&lt;$H$2),0,MIN($E601-SUM($G601:AD601),$F601))</f>
        <v>0</v>
      </c>
      <c r="AF601" s="424">
        <f>IF(OR(AF$580&lt;$C601,AF$580&lt;$H$2),0,MIN($E601-SUM($G601:AE601),$F601))</f>
        <v>0</v>
      </c>
      <c r="AG601" s="424">
        <f>IF(OR(AG$580&lt;$C601,AG$580&lt;$H$2),0,MIN($E601-SUM($G601:AF601),$F601))</f>
        <v>0</v>
      </c>
      <c r="AH601" s="424">
        <f>IF(OR(AH$580&lt;$C601,AH$580&lt;$H$2),0,MIN($E601-SUM($G601:AG601),$F601))</f>
        <v>0</v>
      </c>
      <c r="AI601" s="424">
        <f>IF(OR(AI$580&lt;$C601,AI$580&lt;$H$2),0,MIN($E601-SUM($G601:AH601),$F601))</f>
        <v>0</v>
      </c>
      <c r="AJ601" s="424">
        <f>IF(OR(AJ$580&lt;$C601,AJ$580&lt;$H$2),0,MIN($E601-SUM($G601:AI601),$F601))</f>
        <v>0</v>
      </c>
      <c r="AK601" s="424">
        <f>IF(OR(AK$580&lt;$C601,AK$580&lt;$H$2),0,MIN($E601-SUM($G601:AJ601),$F601))</f>
        <v>0</v>
      </c>
    </row>
    <row r="602" spans="3:37">
      <c r="C602" s="201">
        <v>52977</v>
      </c>
      <c r="D602" s="94" t="s">
        <v>134</v>
      </c>
      <c r="E602" s="424">
        <f t="shared" si="150"/>
        <v>0</v>
      </c>
      <c r="F602" s="209">
        <f t="shared" si="151"/>
        <v>0</v>
      </c>
      <c r="H602" s="424">
        <f>IF(OR(H$580&lt;$C602,H$580&lt;$H$2),0,MIN($E602-SUM($G602:G602),$F602))</f>
        <v>0</v>
      </c>
      <c r="I602" s="424">
        <f>IF(OR(I$580&lt;$C602,I$580&lt;$H$2),0,MIN($E602-SUM($G602:H602),$F602))</f>
        <v>0</v>
      </c>
      <c r="J602" s="424">
        <f>IF(OR(J$580&lt;$C602,J$580&lt;$H$2),0,MIN($E602-SUM($G602:I602),$F602))</f>
        <v>0</v>
      </c>
      <c r="K602" s="424">
        <f>IF(OR(K$580&lt;$C602,K$580&lt;$H$2),0,MIN($E602-SUM($G602:J602),$F602))</f>
        <v>0</v>
      </c>
      <c r="L602" s="424">
        <f>IF(OR(L$580&lt;$C602,L$580&lt;$H$2),0,MIN($E602-SUM($G602:K602),$F602))</f>
        <v>0</v>
      </c>
      <c r="M602" s="424">
        <f>IF(OR(M$580&lt;$C602,M$580&lt;$H$2),0,MIN($E602-SUM($G602:L602),$F602))</f>
        <v>0</v>
      </c>
      <c r="N602" s="424">
        <f>IF(OR(N$580&lt;$C602,N$580&lt;$H$2),0,MIN($E602-SUM($G602:M602),$F602))</f>
        <v>0</v>
      </c>
      <c r="O602" s="424">
        <f>IF(OR(O$580&lt;$C602,O$580&lt;$H$2),0,MIN($E602-SUM($G602:N602),$F602))</f>
        <v>0</v>
      </c>
      <c r="P602" s="424">
        <f>IF(OR(P$580&lt;$C602,P$580&lt;$H$2),0,MIN($E602-SUM($G602:O602),$F602))</f>
        <v>0</v>
      </c>
      <c r="Q602" s="424">
        <f>IF(OR(Q$580&lt;$C602,Q$580&lt;$H$2),0,MIN($E602-SUM($G602:P602),$F602))</f>
        <v>0</v>
      </c>
      <c r="R602" s="424">
        <f>IF(OR(R$580&lt;$C602,R$580&lt;$H$2),0,MIN($E602-SUM($G602:Q602),$F602))</f>
        <v>0</v>
      </c>
      <c r="S602" s="424">
        <f>IF(OR(S$580&lt;$C602,S$580&lt;$H$2),0,MIN($E602-SUM($G602:R602),$F602))</f>
        <v>0</v>
      </c>
      <c r="T602" s="424">
        <f>IF(OR(T$580&lt;$C602,T$580&lt;$H$2),0,MIN($E602-SUM($G602:S602),$F602))</f>
        <v>0</v>
      </c>
      <c r="U602" s="424">
        <f>IF(OR(U$580&lt;$C602,U$580&lt;$H$2),0,MIN($E602-SUM($G602:T602),$F602))</f>
        <v>0</v>
      </c>
      <c r="V602" s="424">
        <f>IF(OR(V$580&lt;$C602,V$580&lt;$H$2),0,MIN($E602-SUM($G602:U602),$F602))</f>
        <v>0</v>
      </c>
      <c r="W602" s="424">
        <f>IF(OR(W$580&lt;$C602,W$580&lt;$H$2),0,MIN($E602-SUM($G602:V602),$F602))</f>
        <v>0</v>
      </c>
      <c r="X602" s="424">
        <f>IF(OR(X$580&lt;$C602,X$580&lt;$H$2),0,MIN($E602-SUM($G602:W602),$F602))</f>
        <v>0</v>
      </c>
      <c r="Y602" s="424">
        <f>IF(OR(Y$580&lt;$C602,Y$580&lt;$H$2),0,MIN($E602-SUM($G602:X602),$F602))</f>
        <v>0</v>
      </c>
      <c r="Z602" s="424">
        <f>IF(OR(Z$580&lt;$C602,Z$580&lt;$H$2),0,MIN($E602-SUM($G602:Y602),$F602))</f>
        <v>0</v>
      </c>
      <c r="AA602" s="424">
        <f>IF(OR(AA$580&lt;$C602,AA$580&lt;$H$2),0,MIN($E602-SUM($G602:Z602),$F602))</f>
        <v>0</v>
      </c>
      <c r="AB602" s="424">
        <f>IF(OR(AB$580&lt;$C602,AB$580&lt;$H$2),0,MIN($E602-SUM($G602:AA602),$F602))</f>
        <v>0</v>
      </c>
      <c r="AC602" s="424">
        <f>IF(OR(AC$580&lt;$C602,AC$580&lt;$H$2),0,MIN($E602-SUM($G602:AB602),$F602))</f>
        <v>0</v>
      </c>
      <c r="AD602" s="424">
        <f>IF(OR(AD$580&lt;$C602,AD$580&lt;$H$2),0,MIN($E602-SUM($G602:AC602),$F602))</f>
        <v>0</v>
      </c>
      <c r="AE602" s="424">
        <f>IF(OR(AE$580&lt;$C602,AE$580&lt;$H$2),0,MIN($E602-SUM($G602:AD602),$F602))</f>
        <v>0</v>
      </c>
      <c r="AF602" s="424">
        <f>IF(OR(AF$580&lt;$C602,AF$580&lt;$H$2),0,MIN($E602-SUM($G602:AE602),$F602))</f>
        <v>0</v>
      </c>
      <c r="AG602" s="424">
        <f>IF(OR(AG$580&lt;$C602,AG$580&lt;$H$2),0,MIN($E602-SUM($G602:AF602),$F602))</f>
        <v>0</v>
      </c>
      <c r="AH602" s="424">
        <f>IF(OR(AH$580&lt;$C602,AH$580&lt;$H$2),0,MIN($E602-SUM($G602:AG602),$F602))</f>
        <v>0</v>
      </c>
      <c r="AI602" s="424">
        <f>IF(OR(AI$580&lt;$C602,AI$580&lt;$H$2),0,MIN($E602-SUM($G602:AH602),$F602))</f>
        <v>0</v>
      </c>
      <c r="AJ602" s="424">
        <f>IF(OR(AJ$580&lt;$C602,AJ$580&lt;$H$2),0,MIN($E602-SUM($G602:AI602),$F602))</f>
        <v>0</v>
      </c>
      <c r="AK602" s="424">
        <f>IF(OR(AK$580&lt;$C602,AK$580&lt;$H$2),0,MIN($E602-SUM($G602:AJ602),$F602))</f>
        <v>0</v>
      </c>
    </row>
    <row r="603" spans="3:37">
      <c r="C603" s="201">
        <v>53343</v>
      </c>
      <c r="D603" s="94" t="s">
        <v>134</v>
      </c>
      <c r="E603" s="424">
        <f t="shared" si="150"/>
        <v>0</v>
      </c>
      <c r="F603" s="209">
        <f t="shared" si="151"/>
        <v>0</v>
      </c>
      <c r="H603" s="424">
        <f>IF(OR(H$580&lt;$C603,H$580&lt;$H$2),0,MIN($E603-SUM($G603:G603),$F603))</f>
        <v>0</v>
      </c>
      <c r="I603" s="424">
        <f>IF(OR(I$580&lt;$C603,I$580&lt;$H$2),0,MIN($E603-SUM($G603:H603),$F603))</f>
        <v>0</v>
      </c>
      <c r="J603" s="424">
        <f>IF(OR(J$580&lt;$C603,J$580&lt;$H$2),0,MIN($E603-SUM($G603:I603),$F603))</f>
        <v>0</v>
      </c>
      <c r="K603" s="424">
        <f>IF(OR(K$580&lt;$C603,K$580&lt;$H$2),0,MIN($E603-SUM($G603:J603),$F603))</f>
        <v>0</v>
      </c>
      <c r="L603" s="424">
        <f>IF(OR(L$580&lt;$C603,L$580&lt;$H$2),0,MIN($E603-SUM($G603:K603),$F603))</f>
        <v>0</v>
      </c>
      <c r="M603" s="424">
        <f>IF(OR(M$580&lt;$C603,M$580&lt;$H$2),0,MIN($E603-SUM($G603:L603),$F603))</f>
        <v>0</v>
      </c>
      <c r="N603" s="424">
        <f>IF(OR(N$580&lt;$C603,N$580&lt;$H$2),0,MIN($E603-SUM($G603:M603),$F603))</f>
        <v>0</v>
      </c>
      <c r="O603" s="424">
        <f>IF(OR(O$580&lt;$C603,O$580&lt;$H$2),0,MIN($E603-SUM($G603:N603),$F603))</f>
        <v>0</v>
      </c>
      <c r="P603" s="424">
        <f>IF(OR(P$580&lt;$C603,P$580&lt;$H$2),0,MIN($E603-SUM($G603:O603),$F603))</f>
        <v>0</v>
      </c>
      <c r="Q603" s="424">
        <f>IF(OR(Q$580&lt;$C603,Q$580&lt;$H$2),0,MIN($E603-SUM($G603:P603),$F603))</f>
        <v>0</v>
      </c>
      <c r="R603" s="424">
        <f>IF(OR(R$580&lt;$C603,R$580&lt;$H$2),0,MIN($E603-SUM($G603:Q603),$F603))</f>
        <v>0</v>
      </c>
      <c r="S603" s="424">
        <f>IF(OR(S$580&lt;$C603,S$580&lt;$H$2),0,MIN($E603-SUM($G603:R603),$F603))</f>
        <v>0</v>
      </c>
      <c r="T603" s="424">
        <f>IF(OR(T$580&lt;$C603,T$580&lt;$H$2),0,MIN($E603-SUM($G603:S603),$F603))</f>
        <v>0</v>
      </c>
      <c r="U603" s="424">
        <f>IF(OR(U$580&lt;$C603,U$580&lt;$H$2),0,MIN($E603-SUM($G603:T603),$F603))</f>
        <v>0</v>
      </c>
      <c r="V603" s="424">
        <f>IF(OR(V$580&lt;$C603,V$580&lt;$H$2),0,MIN($E603-SUM($G603:U603),$F603))</f>
        <v>0</v>
      </c>
      <c r="W603" s="424">
        <f>IF(OR(W$580&lt;$C603,W$580&lt;$H$2),0,MIN($E603-SUM($G603:V603),$F603))</f>
        <v>0</v>
      </c>
      <c r="X603" s="424">
        <f>IF(OR(X$580&lt;$C603,X$580&lt;$H$2),0,MIN($E603-SUM($G603:W603),$F603))</f>
        <v>0</v>
      </c>
      <c r="Y603" s="424">
        <f>IF(OR(Y$580&lt;$C603,Y$580&lt;$H$2),0,MIN($E603-SUM($G603:X603),$F603))</f>
        <v>0</v>
      </c>
      <c r="Z603" s="424">
        <f>IF(OR(Z$580&lt;$C603,Z$580&lt;$H$2),0,MIN($E603-SUM($G603:Y603),$F603))</f>
        <v>0</v>
      </c>
      <c r="AA603" s="424">
        <f>IF(OR(AA$580&lt;$C603,AA$580&lt;$H$2),0,MIN($E603-SUM($G603:Z603),$F603))</f>
        <v>0</v>
      </c>
      <c r="AB603" s="424">
        <f>IF(OR(AB$580&lt;$C603,AB$580&lt;$H$2),0,MIN($E603-SUM($G603:AA603),$F603))</f>
        <v>0</v>
      </c>
      <c r="AC603" s="424">
        <f>IF(OR(AC$580&lt;$C603,AC$580&lt;$H$2),0,MIN($E603-SUM($G603:AB603),$F603))</f>
        <v>0</v>
      </c>
      <c r="AD603" s="424">
        <f>IF(OR(AD$580&lt;$C603,AD$580&lt;$H$2),0,MIN($E603-SUM($G603:AC603),$F603))</f>
        <v>0</v>
      </c>
      <c r="AE603" s="424">
        <f>IF(OR(AE$580&lt;$C603,AE$580&lt;$H$2),0,MIN($E603-SUM($G603:AD603),$F603))</f>
        <v>0</v>
      </c>
      <c r="AF603" s="424">
        <f>IF(OR(AF$580&lt;$C603,AF$580&lt;$H$2),0,MIN($E603-SUM($G603:AE603),$F603))</f>
        <v>0</v>
      </c>
      <c r="AG603" s="424">
        <f>IF(OR(AG$580&lt;$C603,AG$580&lt;$H$2),0,MIN($E603-SUM($G603:AF603),$F603))</f>
        <v>0</v>
      </c>
      <c r="AH603" s="424">
        <f>IF(OR(AH$580&lt;$C603,AH$580&lt;$H$2),0,MIN($E603-SUM($G603:AG603),$F603))</f>
        <v>0</v>
      </c>
      <c r="AI603" s="424">
        <f>IF(OR(AI$580&lt;$C603,AI$580&lt;$H$2),0,MIN($E603-SUM($G603:AH603),$F603))</f>
        <v>0</v>
      </c>
      <c r="AJ603" s="424">
        <f>IF(OR(AJ$580&lt;$C603,AJ$580&lt;$H$2),0,MIN($E603-SUM($G603:AI603),$F603))</f>
        <v>0</v>
      </c>
      <c r="AK603" s="424">
        <f>IF(OR(AK$580&lt;$C603,AK$580&lt;$H$2),0,MIN($E603-SUM($G603:AJ603),$F603))</f>
        <v>0</v>
      </c>
    </row>
    <row r="604" spans="3:37">
      <c r="C604" s="201">
        <v>53709</v>
      </c>
      <c r="D604" s="94" t="s">
        <v>134</v>
      </c>
      <c r="E604" s="424">
        <f t="shared" si="150"/>
        <v>0</v>
      </c>
      <c r="F604" s="209">
        <f t="shared" si="151"/>
        <v>0</v>
      </c>
      <c r="H604" s="424">
        <f>IF(OR(H$580&lt;$C604,H$580&lt;$H$2),0,MIN($E604-SUM($G604:G604),$F604))</f>
        <v>0</v>
      </c>
      <c r="I604" s="424">
        <f>IF(OR(I$580&lt;$C604,I$580&lt;$H$2),0,MIN($E604-SUM($G604:H604),$F604))</f>
        <v>0</v>
      </c>
      <c r="J604" s="424">
        <f>IF(OR(J$580&lt;$C604,J$580&lt;$H$2),0,MIN($E604-SUM($G604:I604),$F604))</f>
        <v>0</v>
      </c>
      <c r="K604" s="424">
        <f>IF(OR(K$580&lt;$C604,K$580&lt;$H$2),0,MIN($E604-SUM($G604:J604),$F604))</f>
        <v>0</v>
      </c>
      <c r="L604" s="424">
        <f>IF(OR(L$580&lt;$C604,L$580&lt;$H$2),0,MIN($E604-SUM($G604:K604),$F604))</f>
        <v>0</v>
      </c>
      <c r="M604" s="424">
        <f>IF(OR(M$580&lt;$C604,M$580&lt;$H$2),0,MIN($E604-SUM($G604:L604),$F604))</f>
        <v>0</v>
      </c>
      <c r="N604" s="424">
        <f>IF(OR(N$580&lt;$C604,N$580&lt;$H$2),0,MIN($E604-SUM($G604:M604),$F604))</f>
        <v>0</v>
      </c>
      <c r="O604" s="424">
        <f>IF(OR(O$580&lt;$C604,O$580&lt;$H$2),0,MIN($E604-SUM($G604:N604),$F604))</f>
        <v>0</v>
      </c>
      <c r="P604" s="424">
        <f>IF(OR(P$580&lt;$C604,P$580&lt;$H$2),0,MIN($E604-SUM($G604:O604),$F604))</f>
        <v>0</v>
      </c>
      <c r="Q604" s="424">
        <f>IF(OR(Q$580&lt;$C604,Q$580&lt;$H$2),0,MIN($E604-SUM($G604:P604),$F604))</f>
        <v>0</v>
      </c>
      <c r="R604" s="424">
        <f>IF(OR(R$580&lt;$C604,R$580&lt;$H$2),0,MIN($E604-SUM($G604:Q604),$F604))</f>
        <v>0</v>
      </c>
      <c r="S604" s="424">
        <f>IF(OR(S$580&lt;$C604,S$580&lt;$H$2),0,MIN($E604-SUM($G604:R604),$F604))</f>
        <v>0</v>
      </c>
      <c r="T604" s="424">
        <f>IF(OR(T$580&lt;$C604,T$580&lt;$H$2),0,MIN($E604-SUM($G604:S604),$F604))</f>
        <v>0</v>
      </c>
      <c r="U604" s="424">
        <f>IF(OR(U$580&lt;$C604,U$580&lt;$H$2),0,MIN($E604-SUM($G604:T604),$F604))</f>
        <v>0</v>
      </c>
      <c r="V604" s="424">
        <f>IF(OR(V$580&lt;$C604,V$580&lt;$H$2),0,MIN($E604-SUM($G604:U604),$F604))</f>
        <v>0</v>
      </c>
      <c r="W604" s="424">
        <f>IF(OR(W$580&lt;$C604,W$580&lt;$H$2),0,MIN($E604-SUM($G604:V604),$F604))</f>
        <v>0</v>
      </c>
      <c r="X604" s="424">
        <f>IF(OR(X$580&lt;$C604,X$580&lt;$H$2),0,MIN($E604-SUM($G604:W604),$F604))</f>
        <v>0</v>
      </c>
      <c r="Y604" s="424">
        <f>IF(OR(Y$580&lt;$C604,Y$580&lt;$H$2),0,MIN($E604-SUM($G604:X604),$F604))</f>
        <v>0</v>
      </c>
      <c r="Z604" s="424">
        <f>IF(OR(Z$580&lt;$C604,Z$580&lt;$H$2),0,MIN($E604-SUM($G604:Y604),$F604))</f>
        <v>0</v>
      </c>
      <c r="AA604" s="424">
        <f>IF(OR(AA$580&lt;$C604,AA$580&lt;$H$2),0,MIN($E604-SUM($G604:Z604),$F604))</f>
        <v>0</v>
      </c>
      <c r="AB604" s="424">
        <f>IF(OR(AB$580&lt;$C604,AB$580&lt;$H$2),0,MIN($E604-SUM($G604:AA604),$F604))</f>
        <v>0</v>
      </c>
      <c r="AC604" s="424">
        <f>IF(OR(AC$580&lt;$C604,AC$580&lt;$H$2),0,MIN($E604-SUM($G604:AB604),$F604))</f>
        <v>0</v>
      </c>
      <c r="AD604" s="424">
        <f>IF(OR(AD$580&lt;$C604,AD$580&lt;$H$2),0,MIN($E604-SUM($G604:AC604),$F604))</f>
        <v>0</v>
      </c>
      <c r="AE604" s="424">
        <f>IF(OR(AE$580&lt;$C604,AE$580&lt;$H$2),0,MIN($E604-SUM($G604:AD604),$F604))</f>
        <v>0</v>
      </c>
      <c r="AF604" s="424">
        <f>IF(OR(AF$580&lt;$C604,AF$580&lt;$H$2),0,MIN($E604-SUM($G604:AE604),$F604))</f>
        <v>0</v>
      </c>
      <c r="AG604" s="424">
        <f>IF(OR(AG$580&lt;$C604,AG$580&lt;$H$2),0,MIN($E604-SUM($G604:AF604),$F604))</f>
        <v>0</v>
      </c>
      <c r="AH604" s="424">
        <f>IF(OR(AH$580&lt;$C604,AH$580&lt;$H$2),0,MIN($E604-SUM($G604:AG604),$F604))</f>
        <v>0</v>
      </c>
      <c r="AI604" s="424">
        <f>IF(OR(AI$580&lt;$C604,AI$580&lt;$H$2),0,MIN($E604-SUM($G604:AH604),$F604))</f>
        <v>0</v>
      </c>
      <c r="AJ604" s="424">
        <f>IF(OR(AJ$580&lt;$C604,AJ$580&lt;$H$2),0,MIN($E604-SUM($G604:AI604),$F604))</f>
        <v>0</v>
      </c>
      <c r="AK604" s="424">
        <f>IF(OR(AK$580&lt;$C604,AK$580&lt;$H$2),0,MIN($E604-SUM($G604:AJ604),$F604))</f>
        <v>0</v>
      </c>
    </row>
    <row r="605" spans="3:37">
      <c r="C605" s="201">
        <v>54075</v>
      </c>
      <c r="D605" s="94" t="s">
        <v>134</v>
      </c>
      <c r="E605" s="424">
        <f t="shared" si="150"/>
        <v>0</v>
      </c>
      <c r="F605" s="209">
        <f t="shared" si="151"/>
        <v>0</v>
      </c>
      <c r="H605" s="424">
        <f>IF(OR(H$580&lt;$C605,H$580&lt;$H$2),0,MIN($E605-SUM($G605:G605),$F605))</f>
        <v>0</v>
      </c>
      <c r="I605" s="424">
        <f>IF(OR(I$580&lt;$C605,I$580&lt;$H$2),0,MIN($E605-SUM($G605:H605),$F605))</f>
        <v>0</v>
      </c>
      <c r="J605" s="424">
        <f>IF(OR(J$580&lt;$C605,J$580&lt;$H$2),0,MIN($E605-SUM($G605:I605),$F605))</f>
        <v>0</v>
      </c>
      <c r="K605" s="424">
        <f>IF(OR(K$580&lt;$C605,K$580&lt;$H$2),0,MIN($E605-SUM($G605:J605),$F605))</f>
        <v>0</v>
      </c>
      <c r="L605" s="424">
        <f>IF(OR(L$580&lt;$C605,L$580&lt;$H$2),0,MIN($E605-SUM($G605:K605),$F605))</f>
        <v>0</v>
      </c>
      <c r="M605" s="424">
        <f>IF(OR(M$580&lt;$C605,M$580&lt;$H$2),0,MIN($E605-SUM($G605:L605),$F605))</f>
        <v>0</v>
      </c>
      <c r="N605" s="424">
        <f>IF(OR(N$580&lt;$C605,N$580&lt;$H$2),0,MIN($E605-SUM($G605:M605),$F605))</f>
        <v>0</v>
      </c>
      <c r="O605" s="424">
        <f>IF(OR(O$580&lt;$C605,O$580&lt;$H$2),0,MIN($E605-SUM($G605:N605),$F605))</f>
        <v>0</v>
      </c>
      <c r="P605" s="424">
        <f>IF(OR(P$580&lt;$C605,P$580&lt;$H$2),0,MIN($E605-SUM($G605:O605),$F605))</f>
        <v>0</v>
      </c>
      <c r="Q605" s="424">
        <f>IF(OR(Q$580&lt;$C605,Q$580&lt;$H$2),0,MIN($E605-SUM($G605:P605),$F605))</f>
        <v>0</v>
      </c>
      <c r="R605" s="424">
        <f>IF(OR(R$580&lt;$C605,R$580&lt;$H$2),0,MIN($E605-SUM($G605:Q605),$F605))</f>
        <v>0</v>
      </c>
      <c r="S605" s="424">
        <f>IF(OR(S$580&lt;$C605,S$580&lt;$H$2),0,MIN($E605-SUM($G605:R605),$F605))</f>
        <v>0</v>
      </c>
      <c r="T605" s="424">
        <f>IF(OR(T$580&lt;$C605,T$580&lt;$H$2),0,MIN($E605-SUM($G605:S605),$F605))</f>
        <v>0</v>
      </c>
      <c r="U605" s="424">
        <f>IF(OR(U$580&lt;$C605,U$580&lt;$H$2),0,MIN($E605-SUM($G605:T605),$F605))</f>
        <v>0</v>
      </c>
      <c r="V605" s="424">
        <f>IF(OR(V$580&lt;$C605,V$580&lt;$H$2),0,MIN($E605-SUM($G605:U605),$F605))</f>
        <v>0</v>
      </c>
      <c r="W605" s="424">
        <f>IF(OR(W$580&lt;$C605,W$580&lt;$H$2),0,MIN($E605-SUM($G605:V605),$F605))</f>
        <v>0</v>
      </c>
      <c r="X605" s="424">
        <f>IF(OR(X$580&lt;$C605,X$580&lt;$H$2),0,MIN($E605-SUM($G605:W605),$F605))</f>
        <v>0</v>
      </c>
      <c r="Y605" s="424">
        <f>IF(OR(Y$580&lt;$C605,Y$580&lt;$H$2),0,MIN($E605-SUM($G605:X605),$F605))</f>
        <v>0</v>
      </c>
      <c r="Z605" s="424">
        <f>IF(OR(Z$580&lt;$C605,Z$580&lt;$H$2),0,MIN($E605-SUM($G605:Y605),$F605))</f>
        <v>0</v>
      </c>
      <c r="AA605" s="424">
        <f>IF(OR(AA$580&lt;$C605,AA$580&lt;$H$2),0,MIN($E605-SUM($G605:Z605),$F605))</f>
        <v>0</v>
      </c>
      <c r="AB605" s="424">
        <f>IF(OR(AB$580&lt;$C605,AB$580&lt;$H$2),0,MIN($E605-SUM($G605:AA605),$F605))</f>
        <v>0</v>
      </c>
      <c r="AC605" s="424">
        <f>IF(OR(AC$580&lt;$C605,AC$580&lt;$H$2),0,MIN($E605-SUM($G605:AB605),$F605))</f>
        <v>0</v>
      </c>
      <c r="AD605" s="424">
        <f>IF(OR(AD$580&lt;$C605,AD$580&lt;$H$2),0,MIN($E605-SUM($G605:AC605),$F605))</f>
        <v>0</v>
      </c>
      <c r="AE605" s="424">
        <f>IF(OR(AE$580&lt;$C605,AE$580&lt;$H$2),0,MIN($E605-SUM($G605:AD605),$F605))</f>
        <v>0</v>
      </c>
      <c r="AF605" s="424">
        <f>IF(OR(AF$580&lt;$C605,AF$580&lt;$H$2),0,MIN($E605-SUM($G605:AE605),$F605))</f>
        <v>0</v>
      </c>
      <c r="AG605" s="424">
        <f>IF(OR(AG$580&lt;$C605,AG$580&lt;$H$2),0,MIN($E605-SUM($G605:AF605),$F605))</f>
        <v>0</v>
      </c>
      <c r="AH605" s="424">
        <f>IF(OR(AH$580&lt;$C605,AH$580&lt;$H$2),0,MIN($E605-SUM($G605:AG605),$F605))</f>
        <v>0</v>
      </c>
      <c r="AI605" s="424">
        <f>IF(OR(AI$580&lt;$C605,AI$580&lt;$H$2),0,MIN($E605-SUM($G605:AH605),$F605))</f>
        <v>0</v>
      </c>
      <c r="AJ605" s="424">
        <f>IF(OR(AJ$580&lt;$C605,AJ$580&lt;$H$2),0,MIN($E605-SUM($G605:AI605),$F605))</f>
        <v>0</v>
      </c>
      <c r="AK605" s="424">
        <f>IF(OR(AK$580&lt;$C605,AK$580&lt;$H$2),0,MIN($E605-SUM($G605:AJ605),$F605))</f>
        <v>0</v>
      </c>
    </row>
    <row r="606" spans="3:37">
      <c r="C606" s="201">
        <v>0</v>
      </c>
      <c r="D606" s="94" t="s">
        <v>134</v>
      </c>
      <c r="E606" s="424">
        <f t="shared" si="150"/>
        <v>0</v>
      </c>
      <c r="F606" s="209">
        <f t="shared" si="151"/>
        <v>0</v>
      </c>
      <c r="H606" s="424">
        <f>IF(OR(H$580&lt;$C606,H$580&lt;$H$2),0,MIN($E606-SUM($G606:G606),$F606))</f>
        <v>0</v>
      </c>
      <c r="I606" s="424">
        <f>IF(OR(I$580&lt;$C606,I$580&lt;$H$2),0,MIN($E606-SUM($G606:H606),$F606))</f>
        <v>0</v>
      </c>
      <c r="J606" s="424">
        <f>IF(OR(J$580&lt;$C606,J$580&lt;$H$2),0,MIN($E606-SUM($G606:I606),$F606))</f>
        <v>0</v>
      </c>
      <c r="K606" s="424">
        <f>IF(OR(K$580&lt;$C606,K$580&lt;$H$2),0,MIN($E606-SUM($G606:J606),$F606))</f>
        <v>0</v>
      </c>
      <c r="L606" s="424">
        <f>IF(OR(L$580&lt;$C606,L$580&lt;$H$2),0,MIN($E606-SUM($G606:K606),$F606))</f>
        <v>0</v>
      </c>
      <c r="M606" s="424">
        <f>IF(OR(M$580&lt;$C606,M$580&lt;$H$2),0,MIN($E606-SUM($G606:L606),$F606))</f>
        <v>0</v>
      </c>
      <c r="N606" s="424">
        <f>IF(OR(N$580&lt;$C606,N$580&lt;$H$2),0,MIN($E606-SUM($G606:M606),$F606))</f>
        <v>0</v>
      </c>
      <c r="O606" s="424">
        <f>IF(OR(O$580&lt;$C606,O$580&lt;$H$2),0,MIN($E606-SUM($G606:N606),$F606))</f>
        <v>0</v>
      </c>
      <c r="P606" s="424">
        <f>IF(OR(P$580&lt;$C606,P$580&lt;$H$2),0,MIN($E606-SUM($G606:O606),$F606))</f>
        <v>0</v>
      </c>
      <c r="Q606" s="424">
        <f>IF(OR(Q$580&lt;$C606,Q$580&lt;$H$2),0,MIN($E606-SUM($G606:P606),$F606))</f>
        <v>0</v>
      </c>
      <c r="R606" s="424">
        <f>IF(OR(R$580&lt;$C606,R$580&lt;$H$2),0,MIN($E606-SUM($G606:Q606),$F606))</f>
        <v>0</v>
      </c>
      <c r="S606" s="424">
        <f>IF(OR(S$580&lt;$C606,S$580&lt;$H$2),0,MIN($E606-SUM($G606:R606),$F606))</f>
        <v>0</v>
      </c>
      <c r="T606" s="424">
        <f>IF(OR(T$580&lt;$C606,T$580&lt;$H$2),0,MIN($E606-SUM($G606:S606),$F606))</f>
        <v>0</v>
      </c>
      <c r="U606" s="424">
        <f>IF(OR(U$580&lt;$C606,U$580&lt;$H$2),0,MIN($E606-SUM($G606:T606),$F606))</f>
        <v>0</v>
      </c>
      <c r="V606" s="424">
        <f>IF(OR(V$580&lt;$C606,V$580&lt;$H$2),0,MIN($E606-SUM($G606:U606),$F606))</f>
        <v>0</v>
      </c>
      <c r="W606" s="424">
        <f>IF(OR(W$580&lt;$C606,W$580&lt;$H$2),0,MIN($E606-SUM($G606:V606),$F606))</f>
        <v>0</v>
      </c>
      <c r="X606" s="424">
        <f>IF(OR(X$580&lt;$C606,X$580&lt;$H$2),0,MIN($E606-SUM($G606:W606),$F606))</f>
        <v>0</v>
      </c>
      <c r="Y606" s="424">
        <f>IF(OR(Y$580&lt;$C606,Y$580&lt;$H$2),0,MIN($E606-SUM($G606:X606),$F606))</f>
        <v>0</v>
      </c>
      <c r="Z606" s="424">
        <f>IF(OR(Z$580&lt;$C606,Z$580&lt;$H$2),0,MIN($E606-SUM($G606:Y606),$F606))</f>
        <v>0</v>
      </c>
      <c r="AA606" s="424">
        <f>IF(OR(AA$580&lt;$C606,AA$580&lt;$H$2),0,MIN($E606-SUM($G606:Z606),$F606))</f>
        <v>0</v>
      </c>
      <c r="AB606" s="424">
        <f>IF(OR(AB$580&lt;$C606,AB$580&lt;$H$2),0,MIN($E606-SUM($G606:AA606),$F606))</f>
        <v>0</v>
      </c>
      <c r="AC606" s="424">
        <f>IF(OR(AC$580&lt;$C606,AC$580&lt;$H$2),0,MIN($E606-SUM($G606:AB606),$F606))</f>
        <v>0</v>
      </c>
      <c r="AD606" s="424">
        <f>IF(OR(AD$580&lt;$C606,AD$580&lt;$H$2),0,MIN($E606-SUM($G606:AC606),$F606))</f>
        <v>0</v>
      </c>
      <c r="AE606" s="424">
        <f>IF(OR(AE$580&lt;$C606,AE$580&lt;$H$2),0,MIN($E606-SUM($G606:AD606),$F606))</f>
        <v>0</v>
      </c>
      <c r="AF606" s="424">
        <f>IF(OR(AF$580&lt;$C606,AF$580&lt;$H$2),0,MIN($E606-SUM($G606:AE606),$F606))</f>
        <v>0</v>
      </c>
      <c r="AG606" s="424">
        <f>IF(OR(AG$580&lt;$C606,AG$580&lt;$H$2),0,MIN($E606-SUM($G606:AF606),$F606))</f>
        <v>0</v>
      </c>
      <c r="AH606" s="424">
        <f>IF(OR(AH$580&lt;$C606,AH$580&lt;$H$2),0,MIN($E606-SUM($G606:AG606),$F606))</f>
        <v>0</v>
      </c>
      <c r="AI606" s="424">
        <f>IF(OR(AI$580&lt;$C606,AI$580&lt;$H$2),0,MIN($E606-SUM($G606:AH606),$F606))</f>
        <v>0</v>
      </c>
      <c r="AJ606" s="424">
        <f>IF(OR(AJ$580&lt;$C606,AJ$580&lt;$H$2),0,MIN($E606-SUM($G606:AI606),$F606))</f>
        <v>0</v>
      </c>
      <c r="AK606" s="424">
        <f>IF(OR(AK$580&lt;$C606,AK$580&lt;$H$2),0,MIN($E606-SUM($G606:AJ606),$F606))</f>
        <v>0</v>
      </c>
    </row>
    <row r="607" spans="3:37">
      <c r="C607" s="201">
        <v>0</v>
      </c>
      <c r="D607" s="94" t="s">
        <v>134</v>
      </c>
      <c r="E607" s="424">
        <f t="shared" si="150"/>
        <v>0</v>
      </c>
      <c r="F607" s="209">
        <f t="shared" si="151"/>
        <v>0</v>
      </c>
      <c r="H607" s="424">
        <f>IF(OR(H$580&lt;$C607,H$580&lt;$H$2),0,MIN($E607-SUM($G607:G607),$F607))</f>
        <v>0</v>
      </c>
      <c r="I607" s="424">
        <f>IF(OR(I$580&lt;$C607,I$580&lt;$H$2),0,MIN($E607-SUM($G607:H607),$F607))</f>
        <v>0</v>
      </c>
      <c r="J607" s="424">
        <f>IF(OR(J$580&lt;$C607,J$580&lt;$H$2),0,MIN($E607-SUM($G607:I607),$F607))</f>
        <v>0</v>
      </c>
      <c r="K607" s="424">
        <f>IF(OR(K$580&lt;$C607,K$580&lt;$H$2),0,MIN($E607-SUM($G607:J607),$F607))</f>
        <v>0</v>
      </c>
      <c r="L607" s="424">
        <f>IF(OR(L$580&lt;$C607,L$580&lt;$H$2),0,MIN($E607-SUM($G607:K607),$F607))</f>
        <v>0</v>
      </c>
      <c r="M607" s="424">
        <f>IF(OR(M$580&lt;$C607,M$580&lt;$H$2),0,MIN($E607-SUM($G607:L607),$F607))</f>
        <v>0</v>
      </c>
      <c r="N607" s="424">
        <f>IF(OR(N$580&lt;$C607,N$580&lt;$H$2),0,MIN($E607-SUM($G607:M607),$F607))</f>
        <v>0</v>
      </c>
      <c r="O607" s="424">
        <f>IF(OR(O$580&lt;$C607,O$580&lt;$H$2),0,MIN($E607-SUM($G607:N607),$F607))</f>
        <v>0</v>
      </c>
      <c r="P607" s="424">
        <f>IF(OR(P$580&lt;$C607,P$580&lt;$H$2),0,MIN($E607-SUM($G607:O607),$F607))</f>
        <v>0</v>
      </c>
      <c r="Q607" s="424">
        <f>IF(OR(Q$580&lt;$C607,Q$580&lt;$H$2),0,MIN($E607-SUM($G607:P607),$F607))</f>
        <v>0</v>
      </c>
      <c r="R607" s="424">
        <f>IF(OR(R$580&lt;$C607,R$580&lt;$H$2),0,MIN($E607-SUM($G607:Q607),$F607))</f>
        <v>0</v>
      </c>
      <c r="S607" s="424">
        <f>IF(OR(S$580&lt;$C607,S$580&lt;$H$2),0,MIN($E607-SUM($G607:R607),$F607))</f>
        <v>0</v>
      </c>
      <c r="T607" s="424">
        <f>IF(OR(T$580&lt;$C607,T$580&lt;$H$2),0,MIN($E607-SUM($G607:S607),$F607))</f>
        <v>0</v>
      </c>
      <c r="U607" s="424">
        <f>IF(OR(U$580&lt;$C607,U$580&lt;$H$2),0,MIN($E607-SUM($G607:T607),$F607))</f>
        <v>0</v>
      </c>
      <c r="V607" s="424">
        <f>IF(OR(V$580&lt;$C607,V$580&lt;$H$2),0,MIN($E607-SUM($G607:U607),$F607))</f>
        <v>0</v>
      </c>
      <c r="W607" s="424">
        <f>IF(OR(W$580&lt;$C607,W$580&lt;$H$2),0,MIN($E607-SUM($G607:V607),$F607))</f>
        <v>0</v>
      </c>
      <c r="X607" s="424">
        <f>IF(OR(X$580&lt;$C607,X$580&lt;$H$2),0,MIN($E607-SUM($G607:W607),$F607))</f>
        <v>0</v>
      </c>
      <c r="Y607" s="424">
        <f>IF(OR(Y$580&lt;$C607,Y$580&lt;$H$2),0,MIN($E607-SUM($G607:X607),$F607))</f>
        <v>0</v>
      </c>
      <c r="Z607" s="424">
        <f>IF(OR(Z$580&lt;$C607,Z$580&lt;$H$2),0,MIN($E607-SUM($G607:Y607),$F607))</f>
        <v>0</v>
      </c>
      <c r="AA607" s="424">
        <f>IF(OR(AA$580&lt;$C607,AA$580&lt;$H$2),0,MIN($E607-SUM($G607:Z607),$F607))</f>
        <v>0</v>
      </c>
      <c r="AB607" s="424">
        <f>IF(OR(AB$580&lt;$C607,AB$580&lt;$H$2),0,MIN($E607-SUM($G607:AA607),$F607))</f>
        <v>0</v>
      </c>
      <c r="AC607" s="424">
        <f>IF(OR(AC$580&lt;$C607,AC$580&lt;$H$2),0,MIN($E607-SUM($G607:AB607),$F607))</f>
        <v>0</v>
      </c>
      <c r="AD607" s="424">
        <f>IF(OR(AD$580&lt;$C607,AD$580&lt;$H$2),0,MIN($E607-SUM($G607:AC607),$F607))</f>
        <v>0</v>
      </c>
      <c r="AE607" s="424">
        <f>IF(OR(AE$580&lt;$C607,AE$580&lt;$H$2),0,MIN($E607-SUM($G607:AD607),$F607))</f>
        <v>0</v>
      </c>
      <c r="AF607" s="424">
        <f>IF(OR(AF$580&lt;$C607,AF$580&lt;$H$2),0,MIN($E607-SUM($G607:AE607),$F607))</f>
        <v>0</v>
      </c>
      <c r="AG607" s="424">
        <f>IF(OR(AG$580&lt;$C607,AG$580&lt;$H$2),0,MIN($E607-SUM($G607:AF607),$F607))</f>
        <v>0</v>
      </c>
      <c r="AH607" s="424">
        <f>IF(OR(AH$580&lt;$C607,AH$580&lt;$H$2),0,MIN($E607-SUM($G607:AG607),$F607))</f>
        <v>0</v>
      </c>
      <c r="AI607" s="424">
        <f>IF(OR(AI$580&lt;$C607,AI$580&lt;$H$2),0,MIN($E607-SUM($G607:AH607),$F607))</f>
        <v>0</v>
      </c>
      <c r="AJ607" s="424">
        <f>IF(OR(AJ$580&lt;$C607,AJ$580&lt;$H$2),0,MIN($E607-SUM($G607:AI607),$F607))</f>
        <v>0</v>
      </c>
      <c r="AK607" s="424">
        <f>IF(OR(AK$580&lt;$C607,AK$580&lt;$H$2),0,MIN($E607-SUM($G607:AJ607),$F607))</f>
        <v>0</v>
      </c>
    </row>
    <row r="608" spans="3:37">
      <c r="C608" s="201">
        <v>0</v>
      </c>
      <c r="D608" s="94" t="s">
        <v>134</v>
      </c>
      <c r="E608" s="424">
        <f t="shared" si="150"/>
        <v>0</v>
      </c>
      <c r="F608" s="209">
        <f t="shared" si="151"/>
        <v>0</v>
      </c>
      <c r="H608" s="424">
        <f>IF(OR(H$580&lt;$C608,H$580&lt;$H$2),0,MIN($E608-SUM($G608:G608),$F608))</f>
        <v>0</v>
      </c>
      <c r="I608" s="424">
        <f>IF(OR(I$580&lt;$C608,I$580&lt;$H$2),0,MIN($E608-SUM($G608:H608),$F608))</f>
        <v>0</v>
      </c>
      <c r="J608" s="424">
        <f>IF(OR(J$580&lt;$C608,J$580&lt;$H$2),0,MIN($E608-SUM($G608:I608),$F608))</f>
        <v>0</v>
      </c>
      <c r="K608" s="424">
        <f>IF(OR(K$580&lt;$C608,K$580&lt;$H$2),0,MIN($E608-SUM($G608:J608),$F608))</f>
        <v>0</v>
      </c>
      <c r="L608" s="424">
        <f>IF(OR(L$580&lt;$C608,L$580&lt;$H$2),0,MIN($E608-SUM($G608:K608),$F608))</f>
        <v>0</v>
      </c>
      <c r="M608" s="424">
        <f>IF(OR(M$580&lt;$C608,M$580&lt;$H$2),0,MIN($E608-SUM($G608:L608),$F608))</f>
        <v>0</v>
      </c>
      <c r="N608" s="424">
        <f>IF(OR(N$580&lt;$C608,N$580&lt;$H$2),0,MIN($E608-SUM($G608:M608),$F608))</f>
        <v>0</v>
      </c>
      <c r="O608" s="424">
        <f>IF(OR(O$580&lt;$C608,O$580&lt;$H$2),0,MIN($E608-SUM($G608:N608),$F608))</f>
        <v>0</v>
      </c>
      <c r="P608" s="424">
        <f>IF(OR(P$580&lt;$C608,P$580&lt;$H$2),0,MIN($E608-SUM($G608:O608),$F608))</f>
        <v>0</v>
      </c>
      <c r="Q608" s="424">
        <f>IF(OR(Q$580&lt;$C608,Q$580&lt;$H$2),0,MIN($E608-SUM($G608:P608),$F608))</f>
        <v>0</v>
      </c>
      <c r="R608" s="424">
        <f>IF(OR(R$580&lt;$C608,R$580&lt;$H$2),0,MIN($E608-SUM($G608:Q608),$F608))</f>
        <v>0</v>
      </c>
      <c r="S608" s="424">
        <f>IF(OR(S$580&lt;$C608,S$580&lt;$H$2),0,MIN($E608-SUM($G608:R608),$F608))</f>
        <v>0</v>
      </c>
      <c r="T608" s="424">
        <f>IF(OR(T$580&lt;$C608,T$580&lt;$H$2),0,MIN($E608-SUM($G608:S608),$F608))</f>
        <v>0</v>
      </c>
      <c r="U608" s="424">
        <f>IF(OR(U$580&lt;$C608,U$580&lt;$H$2),0,MIN($E608-SUM($G608:T608),$F608))</f>
        <v>0</v>
      </c>
      <c r="V608" s="424">
        <f>IF(OR(V$580&lt;$C608,V$580&lt;$H$2),0,MIN($E608-SUM($G608:U608),$F608))</f>
        <v>0</v>
      </c>
      <c r="W608" s="424">
        <f>IF(OR(W$580&lt;$C608,W$580&lt;$H$2),0,MIN($E608-SUM($G608:V608),$F608))</f>
        <v>0</v>
      </c>
      <c r="X608" s="424">
        <f>IF(OR(X$580&lt;$C608,X$580&lt;$H$2),0,MIN($E608-SUM($G608:W608),$F608))</f>
        <v>0</v>
      </c>
      <c r="Y608" s="424">
        <f>IF(OR(Y$580&lt;$C608,Y$580&lt;$H$2),0,MIN($E608-SUM($G608:X608),$F608))</f>
        <v>0</v>
      </c>
      <c r="Z608" s="424">
        <f>IF(OR(Z$580&lt;$C608,Z$580&lt;$H$2),0,MIN($E608-SUM($G608:Y608),$F608))</f>
        <v>0</v>
      </c>
      <c r="AA608" s="424">
        <f>IF(OR(AA$580&lt;$C608,AA$580&lt;$H$2),0,MIN($E608-SUM($G608:Z608),$F608))</f>
        <v>0</v>
      </c>
      <c r="AB608" s="424">
        <f>IF(OR(AB$580&lt;$C608,AB$580&lt;$H$2),0,MIN($E608-SUM($G608:AA608),$F608))</f>
        <v>0</v>
      </c>
      <c r="AC608" s="424">
        <f>IF(OR(AC$580&lt;$C608,AC$580&lt;$H$2),0,MIN($E608-SUM($G608:AB608),$F608))</f>
        <v>0</v>
      </c>
      <c r="AD608" s="424">
        <f>IF(OR(AD$580&lt;$C608,AD$580&lt;$H$2),0,MIN($E608-SUM($G608:AC608),$F608))</f>
        <v>0</v>
      </c>
      <c r="AE608" s="424">
        <f>IF(OR(AE$580&lt;$C608,AE$580&lt;$H$2),0,MIN($E608-SUM($G608:AD608),$F608))</f>
        <v>0</v>
      </c>
      <c r="AF608" s="424">
        <f>IF(OR(AF$580&lt;$C608,AF$580&lt;$H$2),0,MIN($E608-SUM($G608:AE608),$F608))</f>
        <v>0</v>
      </c>
      <c r="AG608" s="424">
        <f>IF(OR(AG$580&lt;$C608,AG$580&lt;$H$2),0,MIN($E608-SUM($G608:AF608),$F608))</f>
        <v>0</v>
      </c>
      <c r="AH608" s="424">
        <f>IF(OR(AH$580&lt;$C608,AH$580&lt;$H$2),0,MIN($E608-SUM($G608:AG608),$F608))</f>
        <v>0</v>
      </c>
      <c r="AI608" s="424">
        <f>IF(OR(AI$580&lt;$C608,AI$580&lt;$H$2),0,MIN($E608-SUM($G608:AH608),$F608))</f>
        <v>0</v>
      </c>
      <c r="AJ608" s="424">
        <f>IF(OR(AJ$580&lt;$C608,AJ$580&lt;$H$2),0,MIN($E608-SUM($G608:AI608),$F608))</f>
        <v>0</v>
      </c>
      <c r="AK608" s="424">
        <f>IF(OR(AK$580&lt;$C608,AK$580&lt;$H$2),0,MIN($E608-SUM($G608:AJ608),$F608))</f>
        <v>0</v>
      </c>
    </row>
    <row r="609" spans="3:37">
      <c r="C609" s="201">
        <v>0</v>
      </c>
      <c r="D609" s="94" t="s">
        <v>134</v>
      </c>
      <c r="E609" s="424">
        <f t="shared" si="150"/>
        <v>0</v>
      </c>
      <c r="F609" s="209">
        <f t="shared" si="151"/>
        <v>0</v>
      </c>
      <c r="H609" s="424">
        <f>IF(OR(H$580&lt;$C609,H$580&lt;$H$2),0,MIN($E609-SUM($G609:G609),$F609))</f>
        <v>0</v>
      </c>
      <c r="I609" s="424">
        <f>IF(OR(I$580&lt;$C609,I$580&lt;$H$2),0,MIN($E609-SUM($G609:H609),$F609))</f>
        <v>0</v>
      </c>
      <c r="J609" s="424">
        <f>IF(OR(J$580&lt;$C609,J$580&lt;$H$2),0,MIN($E609-SUM($G609:I609),$F609))</f>
        <v>0</v>
      </c>
      <c r="K609" s="424">
        <f>IF(OR(K$580&lt;$C609,K$580&lt;$H$2),0,MIN($E609-SUM($G609:J609),$F609))</f>
        <v>0</v>
      </c>
      <c r="L609" s="424">
        <f>IF(OR(L$580&lt;$C609,L$580&lt;$H$2),0,MIN($E609-SUM($G609:K609),$F609))</f>
        <v>0</v>
      </c>
      <c r="M609" s="424">
        <f>IF(OR(M$580&lt;$C609,M$580&lt;$H$2),0,MIN($E609-SUM($G609:L609),$F609))</f>
        <v>0</v>
      </c>
      <c r="N609" s="424">
        <f>IF(OR(N$580&lt;$C609,N$580&lt;$H$2),0,MIN($E609-SUM($G609:M609),$F609))</f>
        <v>0</v>
      </c>
      <c r="O609" s="424">
        <f>IF(OR(O$580&lt;$C609,O$580&lt;$H$2),0,MIN($E609-SUM($G609:N609),$F609))</f>
        <v>0</v>
      </c>
      <c r="P609" s="424">
        <f>IF(OR(P$580&lt;$C609,P$580&lt;$H$2),0,MIN($E609-SUM($G609:O609),$F609))</f>
        <v>0</v>
      </c>
      <c r="Q609" s="424">
        <f>IF(OR(Q$580&lt;$C609,Q$580&lt;$H$2),0,MIN($E609-SUM($G609:P609),$F609))</f>
        <v>0</v>
      </c>
      <c r="R609" s="424">
        <f>IF(OR(R$580&lt;$C609,R$580&lt;$H$2),0,MIN($E609-SUM($G609:Q609),$F609))</f>
        <v>0</v>
      </c>
      <c r="S609" s="424">
        <f>IF(OR(S$580&lt;$C609,S$580&lt;$H$2),0,MIN($E609-SUM($G609:R609),$F609))</f>
        <v>0</v>
      </c>
      <c r="T609" s="424">
        <f>IF(OR(T$580&lt;$C609,T$580&lt;$H$2),0,MIN($E609-SUM($G609:S609),$F609))</f>
        <v>0</v>
      </c>
      <c r="U609" s="424">
        <f>IF(OR(U$580&lt;$C609,U$580&lt;$H$2),0,MIN($E609-SUM($G609:T609),$F609))</f>
        <v>0</v>
      </c>
      <c r="V609" s="424">
        <f>IF(OR(V$580&lt;$C609,V$580&lt;$H$2),0,MIN($E609-SUM($G609:U609),$F609))</f>
        <v>0</v>
      </c>
      <c r="W609" s="424">
        <f>IF(OR(W$580&lt;$C609,W$580&lt;$H$2),0,MIN($E609-SUM($G609:V609),$F609))</f>
        <v>0</v>
      </c>
      <c r="X609" s="424">
        <f>IF(OR(X$580&lt;$C609,X$580&lt;$H$2),0,MIN($E609-SUM($G609:W609),$F609))</f>
        <v>0</v>
      </c>
      <c r="Y609" s="424">
        <f>IF(OR(Y$580&lt;$C609,Y$580&lt;$H$2),0,MIN($E609-SUM($G609:X609),$F609))</f>
        <v>0</v>
      </c>
      <c r="Z609" s="424">
        <f>IF(OR(Z$580&lt;$C609,Z$580&lt;$H$2),0,MIN($E609-SUM($G609:Y609),$F609))</f>
        <v>0</v>
      </c>
      <c r="AA609" s="424">
        <f>IF(OR(AA$580&lt;$C609,AA$580&lt;$H$2),0,MIN($E609-SUM($G609:Z609),$F609))</f>
        <v>0</v>
      </c>
      <c r="AB609" s="424">
        <f>IF(OR(AB$580&lt;$C609,AB$580&lt;$H$2),0,MIN($E609-SUM($G609:AA609),$F609))</f>
        <v>0</v>
      </c>
      <c r="AC609" s="424">
        <f>IF(OR(AC$580&lt;$C609,AC$580&lt;$H$2),0,MIN($E609-SUM($G609:AB609),$F609))</f>
        <v>0</v>
      </c>
      <c r="AD609" s="424">
        <f>IF(OR(AD$580&lt;$C609,AD$580&lt;$H$2),0,MIN($E609-SUM($G609:AC609),$F609))</f>
        <v>0</v>
      </c>
      <c r="AE609" s="424">
        <f>IF(OR(AE$580&lt;$C609,AE$580&lt;$H$2),0,MIN($E609-SUM($G609:AD609),$F609))</f>
        <v>0</v>
      </c>
      <c r="AF609" s="424">
        <f>IF(OR(AF$580&lt;$C609,AF$580&lt;$H$2),0,MIN($E609-SUM($G609:AE609),$F609))</f>
        <v>0</v>
      </c>
      <c r="AG609" s="424">
        <f>IF(OR(AG$580&lt;$C609,AG$580&lt;$H$2),0,MIN($E609-SUM($G609:AF609),$F609))</f>
        <v>0</v>
      </c>
      <c r="AH609" s="424">
        <f>IF(OR(AH$580&lt;$C609,AH$580&lt;$H$2),0,MIN($E609-SUM($G609:AG609),$F609))</f>
        <v>0</v>
      </c>
      <c r="AI609" s="424">
        <f>IF(OR(AI$580&lt;$C609,AI$580&lt;$H$2),0,MIN($E609-SUM($G609:AH609),$F609))</f>
        <v>0</v>
      </c>
      <c r="AJ609" s="424">
        <f>IF(OR(AJ$580&lt;$C609,AJ$580&lt;$H$2),0,MIN($E609-SUM($G609:AI609),$F609))</f>
        <v>0</v>
      </c>
      <c r="AK609" s="424">
        <f>IF(OR(AK$580&lt;$C609,AK$580&lt;$H$2),0,MIN($E609-SUM($G609:AJ609),$F609))</f>
        <v>0</v>
      </c>
    </row>
    <row r="610" spans="3:37">
      <c r="C610" s="201">
        <v>0</v>
      </c>
      <c r="D610" s="94" t="s">
        <v>134</v>
      </c>
      <c r="E610" s="424">
        <f t="shared" si="150"/>
        <v>0</v>
      </c>
      <c r="F610" s="209">
        <f t="shared" si="151"/>
        <v>0</v>
      </c>
      <c r="H610" s="424">
        <f>IF(OR(H$580&lt;$C610,H$580&lt;$H$2),0,MIN($E610-SUM($G610:G610),$F610))</f>
        <v>0</v>
      </c>
      <c r="I610" s="424">
        <f>IF(OR(I$580&lt;$C610,I$580&lt;$H$2),0,MIN($E610-SUM($G610:H610),$F610))</f>
        <v>0</v>
      </c>
      <c r="J610" s="424">
        <f>IF(OR(J$580&lt;$C610,J$580&lt;$H$2),0,MIN($E610-SUM($G610:I610),$F610))</f>
        <v>0</v>
      </c>
      <c r="K610" s="424">
        <f>IF(OR(K$580&lt;$C610,K$580&lt;$H$2),0,MIN($E610-SUM($G610:J610),$F610))</f>
        <v>0</v>
      </c>
      <c r="L610" s="424">
        <f>IF(OR(L$580&lt;$C610,L$580&lt;$H$2),0,MIN($E610-SUM($G610:K610),$F610))</f>
        <v>0</v>
      </c>
      <c r="M610" s="424">
        <f>IF(OR(M$580&lt;$C610,M$580&lt;$H$2),0,MIN($E610-SUM($G610:L610),$F610))</f>
        <v>0</v>
      </c>
      <c r="N610" s="424">
        <f>IF(OR(N$580&lt;$C610,N$580&lt;$H$2),0,MIN($E610-SUM($G610:M610),$F610))</f>
        <v>0</v>
      </c>
      <c r="O610" s="424">
        <f>IF(OR(O$580&lt;$C610,O$580&lt;$H$2),0,MIN($E610-SUM($G610:N610),$F610))</f>
        <v>0</v>
      </c>
      <c r="P610" s="424">
        <f>IF(OR(P$580&lt;$C610,P$580&lt;$H$2),0,MIN($E610-SUM($G610:O610),$F610))</f>
        <v>0</v>
      </c>
      <c r="Q610" s="424">
        <f>IF(OR(Q$580&lt;$C610,Q$580&lt;$H$2),0,MIN($E610-SUM($G610:P610),$F610))</f>
        <v>0</v>
      </c>
      <c r="R610" s="424">
        <f>IF(OR(R$580&lt;$C610,R$580&lt;$H$2),0,MIN($E610-SUM($G610:Q610),$F610))</f>
        <v>0</v>
      </c>
      <c r="S610" s="424">
        <f>IF(OR(S$580&lt;$C610,S$580&lt;$H$2),0,MIN($E610-SUM($G610:R610),$F610))</f>
        <v>0</v>
      </c>
      <c r="T610" s="424">
        <f>IF(OR(T$580&lt;$C610,T$580&lt;$H$2),0,MIN($E610-SUM($G610:S610),$F610))</f>
        <v>0</v>
      </c>
      <c r="U610" s="424">
        <f>IF(OR(U$580&lt;$C610,U$580&lt;$H$2),0,MIN($E610-SUM($G610:T610),$F610))</f>
        <v>0</v>
      </c>
      <c r="V610" s="424">
        <f>IF(OR(V$580&lt;$C610,V$580&lt;$H$2),0,MIN($E610-SUM($G610:U610),$F610))</f>
        <v>0</v>
      </c>
      <c r="W610" s="424">
        <f>IF(OR(W$580&lt;$C610,W$580&lt;$H$2),0,MIN($E610-SUM($G610:V610),$F610))</f>
        <v>0</v>
      </c>
      <c r="X610" s="424">
        <f>IF(OR(X$580&lt;$C610,X$580&lt;$H$2),0,MIN($E610-SUM($G610:W610),$F610))</f>
        <v>0</v>
      </c>
      <c r="Y610" s="424">
        <f>IF(OR(Y$580&lt;$C610,Y$580&lt;$H$2),0,MIN($E610-SUM($G610:X610),$F610))</f>
        <v>0</v>
      </c>
      <c r="Z610" s="424">
        <f>IF(OR(Z$580&lt;$C610,Z$580&lt;$H$2),0,MIN($E610-SUM($G610:Y610),$F610))</f>
        <v>0</v>
      </c>
      <c r="AA610" s="424">
        <f>IF(OR(AA$580&lt;$C610,AA$580&lt;$H$2),0,MIN($E610-SUM($G610:Z610),$F610))</f>
        <v>0</v>
      </c>
      <c r="AB610" s="424">
        <f>IF(OR(AB$580&lt;$C610,AB$580&lt;$H$2),0,MIN($E610-SUM($G610:AA610),$F610))</f>
        <v>0</v>
      </c>
      <c r="AC610" s="424">
        <f>IF(OR(AC$580&lt;$C610,AC$580&lt;$H$2),0,MIN($E610-SUM($G610:AB610),$F610))</f>
        <v>0</v>
      </c>
      <c r="AD610" s="424">
        <f>IF(OR(AD$580&lt;$C610,AD$580&lt;$H$2),0,MIN($E610-SUM($G610:AC610),$F610))</f>
        <v>0</v>
      </c>
      <c r="AE610" s="424">
        <f>IF(OR(AE$580&lt;$C610,AE$580&lt;$H$2),0,MIN($E610-SUM($G610:AD610),$F610))</f>
        <v>0</v>
      </c>
      <c r="AF610" s="424">
        <f>IF(OR(AF$580&lt;$C610,AF$580&lt;$H$2),0,MIN($E610-SUM($G610:AE610),$F610))</f>
        <v>0</v>
      </c>
      <c r="AG610" s="424">
        <f>IF(OR(AG$580&lt;$C610,AG$580&lt;$H$2),0,MIN($E610-SUM($G610:AF610),$F610))</f>
        <v>0</v>
      </c>
      <c r="AH610" s="424">
        <f>IF(OR(AH$580&lt;$C610,AH$580&lt;$H$2),0,MIN($E610-SUM($G610:AG610),$F610))</f>
        <v>0</v>
      </c>
      <c r="AI610" s="424">
        <f>IF(OR(AI$580&lt;$C610,AI$580&lt;$H$2),0,MIN($E610-SUM($G610:AH610),$F610))</f>
        <v>0</v>
      </c>
      <c r="AJ610" s="424">
        <f>IF(OR(AJ$580&lt;$C610,AJ$580&lt;$H$2),0,MIN($E610-SUM($G610:AI610),$F610))</f>
        <v>0</v>
      </c>
      <c r="AK610" s="424">
        <f>IF(OR(AK$580&lt;$C610,AK$580&lt;$H$2),0,MIN($E610-SUM($G610:AJ610),$F610))</f>
        <v>0</v>
      </c>
    </row>
    <row r="611" spans="3:37">
      <c r="C611" s="201">
        <v>0</v>
      </c>
      <c r="D611" s="94" t="s">
        <v>134</v>
      </c>
      <c r="E611" s="424">
        <f t="shared" si="150"/>
        <v>0</v>
      </c>
      <c r="F611" s="209">
        <f t="shared" si="151"/>
        <v>0</v>
      </c>
      <c r="H611" s="424">
        <f>IF(OR(H$580&lt;$C611,H$580&lt;$H$2),0,MIN($E611-SUM($G611:G611),$F611))</f>
        <v>0</v>
      </c>
      <c r="I611" s="424">
        <f>IF(OR(I$580&lt;$C611,I$580&lt;$H$2),0,MIN($E611-SUM($G611:H611),$F611))</f>
        <v>0</v>
      </c>
      <c r="J611" s="424">
        <f>IF(OR(J$580&lt;$C611,J$580&lt;$H$2),0,MIN($E611-SUM($G611:I611),$F611))</f>
        <v>0</v>
      </c>
      <c r="K611" s="424">
        <f>IF(OR(K$580&lt;$C611,K$580&lt;$H$2),0,MIN($E611-SUM($G611:J611),$F611))</f>
        <v>0</v>
      </c>
      <c r="L611" s="424">
        <f>IF(OR(L$580&lt;$C611,L$580&lt;$H$2),0,MIN($E611-SUM($G611:K611),$F611))</f>
        <v>0</v>
      </c>
      <c r="M611" s="424">
        <f>IF(OR(M$580&lt;$C611,M$580&lt;$H$2),0,MIN($E611-SUM($G611:L611),$F611))</f>
        <v>0</v>
      </c>
      <c r="N611" s="424">
        <f>IF(OR(N$580&lt;$C611,N$580&lt;$H$2),0,MIN($E611-SUM($G611:M611),$F611))</f>
        <v>0</v>
      </c>
      <c r="O611" s="424">
        <f>IF(OR(O$580&lt;$C611,O$580&lt;$H$2),0,MIN($E611-SUM($G611:N611),$F611))</f>
        <v>0</v>
      </c>
      <c r="P611" s="424">
        <f>IF(OR(P$580&lt;$C611,P$580&lt;$H$2),0,MIN($E611-SUM($G611:O611),$F611))</f>
        <v>0</v>
      </c>
      <c r="Q611" s="424">
        <f>IF(OR(Q$580&lt;$C611,Q$580&lt;$H$2),0,MIN($E611-SUM($G611:P611),$F611))</f>
        <v>0</v>
      </c>
      <c r="R611" s="424">
        <f>IF(OR(R$580&lt;$C611,R$580&lt;$H$2),0,MIN($E611-SUM($G611:Q611),$F611))</f>
        <v>0</v>
      </c>
      <c r="S611" s="424">
        <f>IF(OR(S$580&lt;$C611,S$580&lt;$H$2),0,MIN($E611-SUM($G611:R611),$F611))</f>
        <v>0</v>
      </c>
      <c r="T611" s="424">
        <f>IF(OR(T$580&lt;$C611,T$580&lt;$H$2),0,MIN($E611-SUM($G611:S611),$F611))</f>
        <v>0</v>
      </c>
      <c r="U611" s="424">
        <f>IF(OR(U$580&lt;$C611,U$580&lt;$H$2),0,MIN($E611-SUM($G611:T611),$F611))</f>
        <v>0</v>
      </c>
      <c r="V611" s="424">
        <f>IF(OR(V$580&lt;$C611,V$580&lt;$H$2),0,MIN($E611-SUM($G611:U611),$F611))</f>
        <v>0</v>
      </c>
      <c r="W611" s="424">
        <f>IF(OR(W$580&lt;$C611,W$580&lt;$H$2),0,MIN($E611-SUM($G611:V611),$F611))</f>
        <v>0</v>
      </c>
      <c r="X611" s="424">
        <f>IF(OR(X$580&lt;$C611,X$580&lt;$H$2),0,MIN($E611-SUM($G611:W611),$F611))</f>
        <v>0</v>
      </c>
      <c r="Y611" s="424">
        <f>IF(OR(Y$580&lt;$C611,Y$580&lt;$H$2),0,MIN($E611-SUM($G611:X611),$F611))</f>
        <v>0</v>
      </c>
      <c r="Z611" s="424">
        <f>IF(OR(Z$580&lt;$C611,Z$580&lt;$H$2),0,MIN($E611-SUM($G611:Y611),$F611))</f>
        <v>0</v>
      </c>
      <c r="AA611" s="424">
        <f>IF(OR(AA$580&lt;$C611,AA$580&lt;$H$2),0,MIN($E611-SUM($G611:Z611),$F611))</f>
        <v>0</v>
      </c>
      <c r="AB611" s="424">
        <f>IF(OR(AB$580&lt;$C611,AB$580&lt;$H$2),0,MIN($E611-SUM($G611:AA611),$F611))</f>
        <v>0</v>
      </c>
      <c r="AC611" s="424">
        <f>IF(OR(AC$580&lt;$C611,AC$580&lt;$H$2),0,MIN($E611-SUM($G611:AB611),$F611))</f>
        <v>0</v>
      </c>
      <c r="AD611" s="424">
        <f>IF(OR(AD$580&lt;$C611,AD$580&lt;$H$2),0,MIN($E611-SUM($G611:AC611),$F611))</f>
        <v>0</v>
      </c>
      <c r="AE611" s="424">
        <f>IF(OR(AE$580&lt;$C611,AE$580&lt;$H$2),0,MIN($E611-SUM($G611:AD611),$F611))</f>
        <v>0</v>
      </c>
      <c r="AF611" s="424">
        <f>IF(OR(AF$580&lt;$C611,AF$580&lt;$H$2),0,MIN($E611-SUM($G611:AE611),$F611))</f>
        <v>0</v>
      </c>
      <c r="AG611" s="424">
        <f>IF(OR(AG$580&lt;$C611,AG$580&lt;$H$2),0,MIN($E611-SUM($G611:AF611),$F611))</f>
        <v>0</v>
      </c>
      <c r="AH611" s="424">
        <f>IF(OR(AH$580&lt;$C611,AH$580&lt;$H$2),0,MIN($E611-SUM($G611:AG611),$F611))</f>
        <v>0</v>
      </c>
      <c r="AI611" s="424">
        <f>IF(OR(AI$580&lt;$C611,AI$580&lt;$H$2),0,MIN($E611-SUM($G611:AH611),$F611))</f>
        <v>0</v>
      </c>
      <c r="AJ611" s="424">
        <f>IF(OR(AJ$580&lt;$C611,AJ$580&lt;$H$2),0,MIN($E611-SUM($G611:AI611),$F611))</f>
        <v>0</v>
      </c>
      <c r="AK611" s="424">
        <f>IF(OR(AK$580&lt;$C611,AK$580&lt;$H$2),0,MIN($E611-SUM($G611:AJ611),$F611))</f>
        <v>0</v>
      </c>
    </row>
    <row r="612" spans="3:37">
      <c r="C612" s="201">
        <v>0</v>
      </c>
      <c r="D612" s="94" t="s">
        <v>134</v>
      </c>
      <c r="E612" s="424">
        <f t="shared" si="150"/>
        <v>0</v>
      </c>
      <c r="F612" s="209">
        <f t="shared" si="151"/>
        <v>0</v>
      </c>
      <c r="H612" s="424">
        <f>IF(OR(H$580&lt;$C612,H$580&lt;$H$2),0,MIN($E612-SUM($G612:G612),$F612))</f>
        <v>0</v>
      </c>
      <c r="I612" s="424">
        <f>IF(OR(I$580&lt;$C612,I$580&lt;$H$2),0,MIN($E612-SUM($G612:H612),$F612))</f>
        <v>0</v>
      </c>
      <c r="J612" s="424">
        <f>IF(OR(J$580&lt;$C612,J$580&lt;$H$2),0,MIN($E612-SUM($G612:I612),$F612))</f>
        <v>0</v>
      </c>
      <c r="K612" s="424">
        <f>IF(OR(K$580&lt;$C612,K$580&lt;$H$2),0,MIN($E612-SUM($G612:J612),$F612))</f>
        <v>0</v>
      </c>
      <c r="L612" s="424">
        <f>IF(OR(L$580&lt;$C612,L$580&lt;$H$2),0,MIN($E612-SUM($G612:K612),$F612))</f>
        <v>0</v>
      </c>
      <c r="M612" s="424">
        <f>IF(OR(M$580&lt;$C612,M$580&lt;$H$2),0,MIN($E612-SUM($G612:L612),$F612))</f>
        <v>0</v>
      </c>
      <c r="N612" s="424">
        <f>IF(OR(N$580&lt;$C612,N$580&lt;$H$2),0,MIN($E612-SUM($G612:M612),$F612))</f>
        <v>0</v>
      </c>
      <c r="O612" s="424">
        <f>IF(OR(O$580&lt;$C612,O$580&lt;$H$2),0,MIN($E612-SUM($G612:N612),$F612))</f>
        <v>0</v>
      </c>
      <c r="P612" s="424">
        <f>IF(OR(P$580&lt;$C612,P$580&lt;$H$2),0,MIN($E612-SUM($G612:O612),$F612))</f>
        <v>0</v>
      </c>
      <c r="Q612" s="424">
        <f>IF(OR(Q$580&lt;$C612,Q$580&lt;$H$2),0,MIN($E612-SUM($G612:P612),$F612))</f>
        <v>0</v>
      </c>
      <c r="R612" s="424">
        <f>IF(OR(R$580&lt;$C612,R$580&lt;$H$2),0,MIN($E612-SUM($G612:Q612),$F612))</f>
        <v>0</v>
      </c>
      <c r="S612" s="424">
        <f>IF(OR(S$580&lt;$C612,S$580&lt;$H$2),0,MIN($E612-SUM($G612:R612),$F612))</f>
        <v>0</v>
      </c>
      <c r="T612" s="424">
        <f>IF(OR(T$580&lt;$C612,T$580&lt;$H$2),0,MIN($E612-SUM($G612:S612),$F612))</f>
        <v>0</v>
      </c>
      <c r="U612" s="424">
        <f>IF(OR(U$580&lt;$C612,U$580&lt;$H$2),0,MIN($E612-SUM($G612:T612),$F612))</f>
        <v>0</v>
      </c>
      <c r="V612" s="424">
        <f>IF(OR(V$580&lt;$C612,V$580&lt;$H$2),0,MIN($E612-SUM($G612:U612),$F612))</f>
        <v>0</v>
      </c>
      <c r="W612" s="424">
        <f>IF(OR(W$580&lt;$C612,W$580&lt;$H$2),0,MIN($E612-SUM($G612:V612),$F612))</f>
        <v>0</v>
      </c>
      <c r="X612" s="424">
        <f>IF(OR(X$580&lt;$C612,X$580&lt;$H$2),0,MIN($E612-SUM($G612:W612),$F612))</f>
        <v>0</v>
      </c>
      <c r="Y612" s="424">
        <f>IF(OR(Y$580&lt;$C612,Y$580&lt;$H$2),0,MIN($E612-SUM($G612:X612),$F612))</f>
        <v>0</v>
      </c>
      <c r="Z612" s="424">
        <f>IF(OR(Z$580&lt;$C612,Z$580&lt;$H$2),0,MIN($E612-SUM($G612:Y612),$F612))</f>
        <v>0</v>
      </c>
      <c r="AA612" s="424">
        <f>IF(OR(AA$580&lt;$C612,AA$580&lt;$H$2),0,MIN($E612-SUM($G612:Z612),$F612))</f>
        <v>0</v>
      </c>
      <c r="AB612" s="424">
        <f>IF(OR(AB$580&lt;$C612,AB$580&lt;$H$2),0,MIN($E612-SUM($G612:AA612),$F612))</f>
        <v>0</v>
      </c>
      <c r="AC612" s="424">
        <f>IF(OR(AC$580&lt;$C612,AC$580&lt;$H$2),0,MIN($E612-SUM($G612:AB612),$F612))</f>
        <v>0</v>
      </c>
      <c r="AD612" s="424">
        <f>IF(OR(AD$580&lt;$C612,AD$580&lt;$H$2),0,MIN($E612-SUM($G612:AC612),$F612))</f>
        <v>0</v>
      </c>
      <c r="AE612" s="424">
        <f>IF(OR(AE$580&lt;$C612,AE$580&lt;$H$2),0,MIN($E612-SUM($G612:AD612),$F612))</f>
        <v>0</v>
      </c>
      <c r="AF612" s="424">
        <f>IF(OR(AF$580&lt;$C612,AF$580&lt;$H$2),0,MIN($E612-SUM($G612:AE612),$F612))</f>
        <v>0</v>
      </c>
      <c r="AG612" s="424">
        <f>IF(OR(AG$580&lt;$C612,AG$580&lt;$H$2),0,MIN($E612-SUM($G612:AF612),$F612))</f>
        <v>0</v>
      </c>
      <c r="AH612" s="424">
        <f>IF(OR(AH$580&lt;$C612,AH$580&lt;$H$2),0,MIN($E612-SUM($G612:AG612),$F612))</f>
        <v>0</v>
      </c>
      <c r="AI612" s="424">
        <f>IF(OR(AI$580&lt;$C612,AI$580&lt;$H$2),0,MIN($E612-SUM($G612:AH612),$F612))</f>
        <v>0</v>
      </c>
      <c r="AJ612" s="424">
        <f>IF(OR(AJ$580&lt;$C612,AJ$580&lt;$H$2),0,MIN($E612-SUM($G612:AI612),$F612))</f>
        <v>0</v>
      </c>
      <c r="AK612" s="424">
        <f>IF(OR(AK$580&lt;$C612,AK$580&lt;$H$2),0,MIN($E612-SUM($G612:AJ612),$F612))</f>
        <v>0</v>
      </c>
    </row>
    <row r="613" spans="3:37" ht="14" thickBot="1">
      <c r="C613" s="240" t="s">
        <v>543</v>
      </c>
      <c r="D613" s="348" t="s">
        <v>134</v>
      </c>
      <c r="E613" s="427">
        <f>SUM(E583:E612)</f>
        <v>0</v>
      </c>
      <c r="F613" s="427">
        <f>SUM(F583:F612)</f>
        <v>0</v>
      </c>
      <c r="G613" s="348"/>
      <c r="H613" s="427">
        <f t="shared" ref="H613:AK613" si="152">SUM(H583:H612)</f>
        <v>0</v>
      </c>
      <c r="I613" s="427">
        <f t="shared" si="152"/>
        <v>0</v>
      </c>
      <c r="J613" s="427">
        <f t="shared" si="152"/>
        <v>0</v>
      </c>
      <c r="K613" s="427">
        <f t="shared" si="152"/>
        <v>0</v>
      </c>
      <c r="L613" s="427">
        <f t="shared" si="152"/>
        <v>0</v>
      </c>
      <c r="M613" s="427">
        <f t="shared" si="152"/>
        <v>0</v>
      </c>
      <c r="N613" s="427">
        <f t="shared" si="152"/>
        <v>0</v>
      </c>
      <c r="O613" s="427">
        <f t="shared" si="152"/>
        <v>0</v>
      </c>
      <c r="P613" s="427">
        <f t="shared" si="152"/>
        <v>0</v>
      </c>
      <c r="Q613" s="427">
        <f t="shared" si="152"/>
        <v>0</v>
      </c>
      <c r="R613" s="427">
        <f t="shared" si="152"/>
        <v>0</v>
      </c>
      <c r="S613" s="427">
        <f t="shared" si="152"/>
        <v>0</v>
      </c>
      <c r="T613" s="427">
        <f t="shared" si="152"/>
        <v>0</v>
      </c>
      <c r="U613" s="427">
        <f t="shared" si="152"/>
        <v>0</v>
      </c>
      <c r="V613" s="427">
        <f t="shared" si="152"/>
        <v>0</v>
      </c>
      <c r="W613" s="427">
        <f t="shared" si="152"/>
        <v>0</v>
      </c>
      <c r="X613" s="427">
        <f t="shared" si="152"/>
        <v>0</v>
      </c>
      <c r="Y613" s="427">
        <f t="shared" si="152"/>
        <v>0</v>
      </c>
      <c r="Z613" s="427">
        <f t="shared" si="152"/>
        <v>0</v>
      </c>
      <c r="AA613" s="427">
        <f t="shared" si="152"/>
        <v>0</v>
      </c>
      <c r="AB613" s="427">
        <f t="shared" si="152"/>
        <v>0</v>
      </c>
      <c r="AC613" s="427">
        <f t="shared" si="152"/>
        <v>0</v>
      </c>
      <c r="AD613" s="427">
        <f t="shared" si="152"/>
        <v>0</v>
      </c>
      <c r="AE613" s="427">
        <f t="shared" si="152"/>
        <v>0</v>
      </c>
      <c r="AF613" s="427">
        <f t="shared" si="152"/>
        <v>0</v>
      </c>
      <c r="AG613" s="427">
        <f t="shared" si="152"/>
        <v>0</v>
      </c>
      <c r="AH613" s="427">
        <f t="shared" si="152"/>
        <v>0</v>
      </c>
      <c r="AI613" s="427">
        <f t="shared" si="152"/>
        <v>0</v>
      </c>
      <c r="AJ613" s="427">
        <f t="shared" si="152"/>
        <v>0</v>
      </c>
      <c r="AK613" s="427">
        <f t="shared" si="152"/>
        <v>0</v>
      </c>
    </row>
    <row r="614" spans="3:37" ht="14" thickTop="1"/>
    <row r="619" spans="3:37">
      <c r="C619" t="s">
        <v>557</v>
      </c>
      <c r="D619" s="438" t="s">
        <v>558</v>
      </c>
    </row>
    <row r="620" spans="3:37">
      <c r="D620" s="438" t="s">
        <v>559</v>
      </c>
    </row>
    <row r="621" spans="3:37">
      <c r="D621" s="438" t="s">
        <v>560</v>
      </c>
    </row>
  </sheetData>
  <dataValidations count="1">
    <dataValidation type="list" allowBlank="1" showInputMessage="1" showErrorMessage="1" sqref="B9:B22 B25:B32" xr:uid="{0F607A2C-FB49-470F-BB19-423940B375EA}">
      <formula1>"Yes,No"</formula1>
    </dataValidation>
  </dataValidations>
  <hyperlinks>
    <hyperlink ref="D619" r:id="rId1" xr:uid="{55AD3A35-38B1-4E25-802E-C0FA99875558}"/>
    <hyperlink ref="D620" r:id="rId2" xr:uid="{28C464DE-7C7F-4BAD-825A-EF7F6682E2C1}"/>
    <hyperlink ref="D621" r:id="rId3" xr:uid="{73921438-22F0-4177-A219-A3DBA96A6F6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4F21-BA29-4030-AA61-4FBE0A18E4B7}">
  <sheetPr codeName="Sheet9">
    <tabColor rgb="FFFF0000"/>
  </sheetPr>
  <dimension ref="A1:AR46"/>
  <sheetViews>
    <sheetView showGridLines="0" workbookViewId="0">
      <selection activeCell="H13" sqref="H13"/>
    </sheetView>
  </sheetViews>
  <sheetFormatPr baseColWidth="10" defaultColWidth="8.83203125" defaultRowHeight="13"/>
  <cols>
    <col min="2" max="2" width="45.83203125" bestFit="1" customWidth="1"/>
  </cols>
  <sheetData>
    <row r="1" spans="1:44">
      <c r="A1" s="117" t="s">
        <v>561</v>
      </c>
      <c r="B1" s="121"/>
      <c r="C1" s="121"/>
      <c r="D1" s="121"/>
    </row>
    <row r="2" spans="1:44">
      <c r="A2" s="121"/>
      <c r="B2" s="121"/>
      <c r="C2" s="121"/>
      <c r="D2" s="121"/>
    </row>
    <row r="3" spans="1:44">
      <c r="A3" s="117"/>
      <c r="B3" s="117" t="s">
        <v>562</v>
      </c>
      <c r="C3" s="117"/>
      <c r="D3" s="117"/>
      <c r="E3" s="201">
        <f>'Production Schedule'!E1</f>
        <v>46023</v>
      </c>
      <c r="F3" s="201">
        <f>'Production Schedule'!F1</f>
        <v>46389</v>
      </c>
      <c r="G3" s="201">
        <f>'Production Schedule'!G1</f>
        <v>46755</v>
      </c>
      <c r="H3" s="201">
        <f>'Production Schedule'!H1</f>
        <v>47121</v>
      </c>
      <c r="I3" s="201">
        <f>'Production Schedule'!I1</f>
        <v>47487</v>
      </c>
      <c r="J3" s="201">
        <f>'Production Schedule'!J1</f>
        <v>47853</v>
      </c>
      <c r="K3" s="201">
        <f>'Production Schedule'!K1</f>
        <v>48219</v>
      </c>
      <c r="L3" s="201">
        <f>'Production Schedule'!L1</f>
        <v>48585</v>
      </c>
      <c r="M3" s="201">
        <f>'Production Schedule'!M1</f>
        <v>48951</v>
      </c>
      <c r="N3" s="201">
        <f>'Production Schedule'!N1</f>
        <v>49317</v>
      </c>
      <c r="O3" s="201">
        <f>'Production Schedule'!O1</f>
        <v>49683</v>
      </c>
      <c r="P3" s="201">
        <f>'Production Schedule'!P1</f>
        <v>50049</v>
      </c>
      <c r="Q3" s="201">
        <f>'Production Schedule'!Q1</f>
        <v>50415</v>
      </c>
      <c r="R3" s="201">
        <f>'Production Schedule'!R1</f>
        <v>50781</v>
      </c>
      <c r="S3" s="201">
        <f>'Production Schedule'!S1</f>
        <v>51147</v>
      </c>
      <c r="T3" s="201">
        <f>'Production Schedule'!T1</f>
        <v>51513</v>
      </c>
      <c r="U3" s="201">
        <f>'Production Schedule'!U1</f>
        <v>51879</v>
      </c>
      <c r="V3" s="201">
        <f>'Production Schedule'!V1</f>
        <v>52245</v>
      </c>
      <c r="W3" s="201">
        <f>'Production Schedule'!W1</f>
        <v>52611</v>
      </c>
      <c r="X3" s="201">
        <f>'Production Schedule'!X1</f>
        <v>52977</v>
      </c>
      <c r="Y3" s="201">
        <f>'Production Schedule'!Y1</f>
        <v>53343</v>
      </c>
      <c r="Z3" s="201">
        <f>'Production Schedule'!Z1</f>
        <v>53709</v>
      </c>
      <c r="AA3" s="201">
        <f>'Production Schedule'!AA1</f>
        <v>54075</v>
      </c>
      <c r="AB3" s="201"/>
      <c r="AC3" s="201"/>
      <c r="AD3" s="201"/>
      <c r="AE3" s="201"/>
      <c r="AF3" s="201"/>
      <c r="AG3" s="201"/>
      <c r="AH3" s="201"/>
      <c r="AI3" s="201">
        <f>'Production Schedule'!AI1</f>
        <v>0</v>
      </c>
      <c r="AJ3" s="201">
        <f>'Production Schedule'!AJ1</f>
        <v>0</v>
      </c>
      <c r="AK3" s="201">
        <f>'Production Schedule'!AK1</f>
        <v>0</v>
      </c>
      <c r="AL3" s="201">
        <f>'Production Schedule'!AL1</f>
        <v>0</v>
      </c>
      <c r="AM3" s="201">
        <f>'Production Schedule'!AM1</f>
        <v>0</v>
      </c>
      <c r="AN3" s="201">
        <f>'Production Schedule'!AN1</f>
        <v>0</v>
      </c>
      <c r="AO3" s="201">
        <f>'Production Schedule'!AO1</f>
        <v>0</v>
      </c>
      <c r="AP3" s="201"/>
      <c r="AQ3" s="201"/>
      <c r="AR3" s="201"/>
    </row>
    <row r="4" spans="1:44">
      <c r="A4" s="117"/>
      <c r="B4" s="788" t="s">
        <v>94</v>
      </c>
      <c r="C4" s="788" t="s">
        <v>95</v>
      </c>
      <c r="D4" s="787" t="s">
        <v>96</v>
      </c>
      <c r="E4" s="1141">
        <f>'Production Schedule'!E3</f>
        <v>-4</v>
      </c>
      <c r="F4" s="1141">
        <f>'Production Schedule'!F3</f>
        <v>-3</v>
      </c>
      <c r="G4" s="1141">
        <f>'Production Schedule'!G3</f>
        <v>-2</v>
      </c>
      <c r="H4" s="1141">
        <f>'Production Schedule'!H3</f>
        <v>-1</v>
      </c>
      <c r="I4" s="1141">
        <f>'Production Schedule'!I3</f>
        <v>1</v>
      </c>
      <c r="J4" s="1141">
        <f>'Production Schedule'!J3</f>
        <v>2</v>
      </c>
      <c r="K4" s="1141">
        <f>'Production Schedule'!K3</f>
        <v>3</v>
      </c>
      <c r="L4" s="1141">
        <f>'Production Schedule'!L3</f>
        <v>4</v>
      </c>
      <c r="M4" s="1141">
        <f>'Production Schedule'!M3</f>
        <v>5</v>
      </c>
      <c r="N4" s="1141">
        <f>'Production Schedule'!N3</f>
        <v>6</v>
      </c>
      <c r="O4" s="1141">
        <f>'Production Schedule'!O3</f>
        <v>7</v>
      </c>
      <c r="P4" s="1141">
        <f>'Production Schedule'!P3</f>
        <v>8</v>
      </c>
      <c r="Q4" s="1141">
        <f>'Production Schedule'!Q3</f>
        <v>9</v>
      </c>
      <c r="R4" s="1141">
        <f>'Production Schedule'!R3</f>
        <v>10</v>
      </c>
      <c r="S4" s="1141">
        <f>'Production Schedule'!S3</f>
        <v>11</v>
      </c>
      <c r="T4" s="1141">
        <f>'Production Schedule'!T3</f>
        <v>12</v>
      </c>
      <c r="U4" s="1141">
        <f>'Production Schedule'!U3</f>
        <v>13</v>
      </c>
      <c r="V4" s="1141">
        <f>'Production Schedule'!V3</f>
        <v>14</v>
      </c>
      <c r="W4" s="1141">
        <f>'Production Schedule'!W3</f>
        <v>15</v>
      </c>
      <c r="X4" s="1141">
        <f>'Production Schedule'!X3</f>
        <v>16</v>
      </c>
      <c r="Y4" s="1141">
        <f>'Production Schedule'!Y3</f>
        <v>17</v>
      </c>
      <c r="Z4" s="1141">
        <f>'Production Schedule'!Z3</f>
        <v>18</v>
      </c>
      <c r="AA4" s="1141">
        <f>'Production Schedule'!AA3</f>
        <v>19</v>
      </c>
      <c r="AB4" s="1141"/>
      <c r="AC4" s="1141"/>
      <c r="AD4" s="1141"/>
      <c r="AE4" s="1141"/>
      <c r="AF4" s="1141"/>
      <c r="AG4" s="1141"/>
      <c r="AH4" s="1141"/>
      <c r="AI4" s="1141">
        <f>'Production Schedule'!AI3</f>
        <v>0</v>
      </c>
      <c r="AJ4" s="1141">
        <f>'Production Schedule'!AJ3</f>
        <v>0</v>
      </c>
      <c r="AK4" s="1141">
        <f>'Production Schedule'!AK3</f>
        <v>0</v>
      </c>
      <c r="AL4" s="1141">
        <f>'Production Schedule'!AL3</f>
        <v>0</v>
      </c>
      <c r="AM4" s="1141">
        <f>'Production Schedule'!AM3</f>
        <v>0</v>
      </c>
      <c r="AN4" s="1141">
        <f>'Production Schedule'!AN3</f>
        <v>0</v>
      </c>
      <c r="AO4" s="1141">
        <f>'Production Schedule'!AO3</f>
        <v>0</v>
      </c>
      <c r="AP4" s="1141">
        <f>'Production Schedule'!AP3</f>
        <v>0</v>
      </c>
      <c r="AQ4" s="1141">
        <f>'Production Schedule'!AQ3</f>
        <v>0</v>
      </c>
      <c r="AR4" s="1141">
        <f>'Production Schedule'!AR3</f>
        <v>0</v>
      </c>
    </row>
    <row r="5" spans="1:44">
      <c r="A5" s="121"/>
      <c r="B5" s="121" t="s">
        <v>563</v>
      </c>
      <c r="C5" s="121" t="s">
        <v>113</v>
      </c>
      <c r="D5" s="194">
        <f>+SUM(E5:AN5)</f>
        <v>225.70440651000001</v>
      </c>
      <c r="E5" s="189">
        <f>'Production Schedule'!E5</f>
        <v>0</v>
      </c>
      <c r="F5" s="189">
        <f>'Production Schedule'!F5</f>
        <v>0</v>
      </c>
      <c r="G5" s="189">
        <f>'Production Schedule'!G5</f>
        <v>0</v>
      </c>
      <c r="H5" s="189">
        <f>'Production Schedule'!H5</f>
        <v>0</v>
      </c>
      <c r="I5" s="189">
        <f>'Production Schedule'!I5</f>
        <v>1.9999997549999999</v>
      </c>
      <c r="J5" s="189">
        <f>'Production Schedule'!J5</f>
        <v>3.9999986549999997</v>
      </c>
      <c r="K5" s="189">
        <f>'Production Schedule'!K5</f>
        <v>8.00000073</v>
      </c>
      <c r="L5" s="189">
        <f>'Production Schedule'!L5</f>
        <v>11.999998529999999</v>
      </c>
      <c r="M5" s="189">
        <f>'Production Schedule'!M5</f>
        <v>14.99999517</v>
      </c>
      <c r="N5" s="189">
        <f>'Production Schedule'!N5</f>
        <v>15.000007140000001</v>
      </c>
      <c r="O5" s="189">
        <f>'Production Schedule'!O5</f>
        <v>14.999998590000001</v>
      </c>
      <c r="P5" s="189">
        <f>'Production Schedule'!P5</f>
        <v>14.999996879999999</v>
      </c>
      <c r="Q5" s="189">
        <f>'Production Schedule'!Q5</f>
        <v>15.000003719999999</v>
      </c>
      <c r="R5" s="189">
        <f>'Production Schedule'!R5</f>
        <v>14.99999517</v>
      </c>
      <c r="S5" s="189">
        <f>'Production Schedule'!S5</f>
        <v>14.999996879999999</v>
      </c>
      <c r="T5" s="189">
        <f>'Production Schedule'!T5</f>
        <v>15.000002009999999</v>
      </c>
      <c r="U5" s="189">
        <f>'Production Schedule'!U5</f>
        <v>15.00001569</v>
      </c>
      <c r="V5" s="189">
        <f>'Production Schedule'!V5</f>
        <v>15.000002009999999</v>
      </c>
      <c r="W5" s="189">
        <f>'Production Schedule'!W5</f>
        <v>15.000002009999999</v>
      </c>
      <c r="X5" s="189">
        <f>'Production Schedule'!X5</f>
        <v>15.000000299999998</v>
      </c>
      <c r="Y5" s="189">
        <f>'Production Schedule'!Y5</f>
        <v>9.9999996299999996</v>
      </c>
      <c r="Z5" s="189">
        <f>'Production Schedule'!Z5</f>
        <v>7.5000027149999999</v>
      </c>
      <c r="AA5" s="189">
        <f>'Production Schedule'!AA5</f>
        <v>2.2043909249999998</v>
      </c>
      <c r="AB5" s="189"/>
      <c r="AC5" s="189"/>
      <c r="AD5" s="189"/>
      <c r="AE5" s="189"/>
      <c r="AF5" s="189"/>
      <c r="AG5" s="189"/>
      <c r="AH5" s="189"/>
      <c r="AI5" s="189">
        <f>'Production Schedule'!AI5</f>
        <v>0</v>
      </c>
      <c r="AJ5" s="189">
        <f>'Production Schedule'!AJ5</f>
        <v>0</v>
      </c>
      <c r="AK5" s="189">
        <f>'Production Schedule'!AK5</f>
        <v>0</v>
      </c>
      <c r="AL5" s="189">
        <f>'Production Schedule'!AL5</f>
        <v>0</v>
      </c>
      <c r="AM5" s="189">
        <f>'Production Schedule'!AM5</f>
        <v>0</v>
      </c>
      <c r="AN5" s="189">
        <f>'Production Schedule'!AN5</f>
        <v>0</v>
      </c>
      <c r="AO5" s="189">
        <f>'Production Schedule'!AO5</f>
        <v>0</v>
      </c>
      <c r="AP5" s="189">
        <f>'Production Schedule'!AP5</f>
        <v>0</v>
      </c>
      <c r="AQ5" s="189">
        <f>'Production Schedule'!AQ5</f>
        <v>0</v>
      </c>
      <c r="AR5" s="189">
        <f>'Production Schedule'!AR5</f>
        <v>0</v>
      </c>
    </row>
    <row r="6" spans="1:44">
      <c r="A6" s="121"/>
      <c r="B6" s="1220" t="s">
        <v>564</v>
      </c>
      <c r="C6" s="1220" t="s">
        <v>118</v>
      </c>
      <c r="D6" s="1221">
        <f>+SUM(E6:AN6)</f>
        <v>535.39467341478871</v>
      </c>
      <c r="E6" s="189">
        <f>'Production Schedule'!E8</f>
        <v>0</v>
      </c>
      <c r="F6" s="189">
        <f>'Production Schedule'!F8</f>
        <v>0</v>
      </c>
      <c r="G6" s="189">
        <f>'Production Schedule'!G8</f>
        <v>0</v>
      </c>
      <c r="H6" s="189">
        <f>'Production Schedule'!H8</f>
        <v>0</v>
      </c>
      <c r="I6" s="189">
        <f>'Production Schedule'!I8</f>
        <v>11.466045729050279</v>
      </c>
      <c r="J6" s="189">
        <f>'Production Schedule'!J8</f>
        <v>9.5178188259668506</v>
      </c>
      <c r="K6" s="189">
        <f>'Production Schedule'!K8</f>
        <v>17.240514972375692</v>
      </c>
      <c r="L6" s="189">
        <f>'Production Schedule'!L8</f>
        <v>36.817196150000001</v>
      </c>
      <c r="M6" s="189">
        <f>'Production Schedule'!M8</f>
        <v>35.420574905555554</v>
      </c>
      <c r="N6" s="189">
        <f>'Production Schedule'!N8</f>
        <v>47.463611318435753</v>
      </c>
      <c r="O6" s="189">
        <f>'Production Schedule'!O8</f>
        <v>43.447467227777778</v>
      </c>
      <c r="P6" s="189">
        <f>'Production Schedule'!P8</f>
        <v>36.33747506666667</v>
      </c>
      <c r="Q6" s="189">
        <f>'Production Schedule'!Q8</f>
        <v>37.865191711111116</v>
      </c>
      <c r="R6" s="189">
        <f>'Production Schedule'!R8</f>
        <v>33.778948184357539</v>
      </c>
      <c r="S6" s="189">
        <f>'Production Schedule'!S8</f>
        <v>38.053482346368718</v>
      </c>
      <c r="T6" s="189">
        <f>'Production Schedule'!T8</f>
        <v>28.983164832402235</v>
      </c>
      <c r="U6" s="189">
        <f>'Production Schedule'!U8</f>
        <v>25.4498801284916</v>
      </c>
      <c r="V6" s="189">
        <f>'Production Schedule'!V8</f>
        <v>31.615550832402231</v>
      </c>
      <c r="W6" s="189">
        <f>'Production Schedule'!W8</f>
        <v>31.515274825842699</v>
      </c>
      <c r="X6" s="189">
        <f>'Production Schedule'!X8</f>
        <v>40.123366662921349</v>
      </c>
      <c r="Y6" s="189">
        <f>'Production Schedule'!Y8</f>
        <v>24.726595192090397</v>
      </c>
      <c r="Z6" s="189">
        <f>'Production Schedule'!Z8</f>
        <v>4.2960406619318183</v>
      </c>
      <c r="AA6" s="189">
        <f>'Production Schedule'!AA8</f>
        <v>1.2764738410404626</v>
      </c>
      <c r="AB6" s="189"/>
      <c r="AC6" s="189"/>
      <c r="AD6" s="189"/>
      <c r="AE6" s="189"/>
      <c r="AF6" s="189"/>
      <c r="AG6" s="189"/>
      <c r="AH6" s="189"/>
      <c r="AI6" s="189">
        <f>'Production Schedule'!AI8</f>
        <v>0</v>
      </c>
      <c r="AJ6" s="189">
        <f>'Production Schedule'!AJ8</f>
        <v>0</v>
      </c>
      <c r="AK6" s="189">
        <f>'Production Schedule'!AK8</f>
        <v>0</v>
      </c>
      <c r="AL6" s="189">
        <f>'Production Schedule'!AL8</f>
        <v>0</v>
      </c>
      <c r="AM6" s="189">
        <f>'Production Schedule'!AM8</f>
        <v>0</v>
      </c>
      <c r="AN6" s="189">
        <f>'Production Schedule'!AN8</f>
        <v>0</v>
      </c>
      <c r="AO6" s="189">
        <f>'Production Schedule'!AO8</f>
        <v>0</v>
      </c>
      <c r="AP6" s="189">
        <f>'Production Schedule'!AP8</f>
        <v>0</v>
      </c>
      <c r="AQ6" s="189">
        <f>'Production Schedule'!AQ8</f>
        <v>0</v>
      </c>
      <c r="AR6" s="189">
        <f>'Production Schedule'!AR8</f>
        <v>0</v>
      </c>
    </row>
    <row r="7" spans="1:44">
      <c r="A7" s="121"/>
      <c r="B7" s="121" t="s">
        <v>565</v>
      </c>
      <c r="C7" s="121" t="s">
        <v>566</v>
      </c>
      <c r="D7" s="195">
        <f>IFERROR(D6/D5,0)</f>
        <v>2.3721055414621142</v>
      </c>
      <c r="E7" s="1222">
        <f>IFERROR(E6/E5,0)</f>
        <v>0</v>
      </c>
      <c r="F7" s="1222">
        <f t="shared" ref="F7:AR7" si="0">IFERROR(F6/F5,0)</f>
        <v>0</v>
      </c>
      <c r="G7" s="1222">
        <f t="shared" si="0"/>
        <v>0</v>
      </c>
      <c r="H7" s="1222">
        <f t="shared" si="0"/>
        <v>0</v>
      </c>
      <c r="I7" s="1222">
        <f t="shared" si="0"/>
        <v>5.7330235668205267</v>
      </c>
      <c r="J7" s="1222">
        <f t="shared" si="0"/>
        <v>2.3794555065836267</v>
      </c>
      <c r="K7" s="1222">
        <f t="shared" si="0"/>
        <v>2.1550641748973556</v>
      </c>
      <c r="L7" s="1222">
        <f t="shared" si="0"/>
        <v>3.0681000550089239</v>
      </c>
      <c r="M7" s="1222">
        <f t="shared" si="0"/>
        <v>2.3613724207322897</v>
      </c>
      <c r="N7" s="1222">
        <f t="shared" si="0"/>
        <v>3.1642392483845012</v>
      </c>
      <c r="O7" s="1222">
        <f t="shared" si="0"/>
        <v>2.8964980874560053</v>
      </c>
      <c r="P7" s="1222">
        <f t="shared" si="0"/>
        <v>2.422498841657537</v>
      </c>
      <c r="Q7" s="1222">
        <f t="shared" si="0"/>
        <v>2.5243454880363938</v>
      </c>
      <c r="R7" s="1222">
        <f t="shared" si="0"/>
        <v>2.2519306040788236</v>
      </c>
      <c r="S7" s="1222">
        <f t="shared" si="0"/>
        <v>2.5368993507663129</v>
      </c>
      <c r="T7" s="1222">
        <f t="shared" si="0"/>
        <v>1.932210729910578</v>
      </c>
      <c r="U7" s="1222">
        <f t="shared" si="0"/>
        <v>1.6966569005296555</v>
      </c>
      <c r="V7" s="1222">
        <f t="shared" si="0"/>
        <v>2.1077031063945992</v>
      </c>
      <c r="W7" s="1222">
        <f t="shared" si="0"/>
        <v>2.1010180401864291</v>
      </c>
      <c r="X7" s="1222">
        <f t="shared" si="0"/>
        <v>2.6748910573636024</v>
      </c>
      <c r="Y7" s="1222">
        <f t="shared" si="0"/>
        <v>2.4726596106974452</v>
      </c>
      <c r="Z7" s="1222">
        <f t="shared" si="0"/>
        <v>0.57280521423542152</v>
      </c>
      <c r="AA7" s="1222">
        <f t="shared" si="0"/>
        <v>0.57905965160896433</v>
      </c>
      <c r="AB7" s="1222"/>
      <c r="AC7" s="1222"/>
      <c r="AD7" s="1222"/>
      <c r="AE7" s="1222"/>
      <c r="AF7" s="1222"/>
      <c r="AG7" s="1222"/>
      <c r="AH7" s="1222"/>
      <c r="AI7" s="1222">
        <f t="shared" si="0"/>
        <v>0</v>
      </c>
      <c r="AJ7" s="1222">
        <f t="shared" si="0"/>
        <v>0</v>
      </c>
      <c r="AK7" s="1222">
        <f t="shared" si="0"/>
        <v>0</v>
      </c>
      <c r="AL7" s="1222">
        <f t="shared" si="0"/>
        <v>0</v>
      </c>
      <c r="AM7" s="1222">
        <f t="shared" si="0"/>
        <v>0</v>
      </c>
      <c r="AN7" s="1222">
        <f t="shared" si="0"/>
        <v>0</v>
      </c>
      <c r="AO7" s="1222">
        <f t="shared" si="0"/>
        <v>0</v>
      </c>
      <c r="AP7" s="1222">
        <f t="shared" si="0"/>
        <v>0</v>
      </c>
      <c r="AQ7" s="1222">
        <f t="shared" si="0"/>
        <v>0</v>
      </c>
      <c r="AR7" s="1222">
        <f t="shared" si="0"/>
        <v>0</v>
      </c>
    </row>
    <row r="8" spans="1:44">
      <c r="A8" s="196"/>
      <c r="B8" s="121"/>
      <c r="C8" s="121"/>
      <c r="D8" s="190"/>
    </row>
    <row r="9" spans="1:44">
      <c r="A9" s="117"/>
      <c r="B9" s="117" t="s">
        <v>567</v>
      </c>
      <c r="C9" s="117"/>
      <c r="D9" s="197"/>
      <c r="E9" s="201">
        <f>E3</f>
        <v>46023</v>
      </c>
      <c r="F9" s="201">
        <f t="shared" ref="F9:AO9" si="1">F3</f>
        <v>46389</v>
      </c>
      <c r="G9" s="201">
        <f t="shared" si="1"/>
        <v>46755</v>
      </c>
      <c r="H9" s="201">
        <f t="shared" si="1"/>
        <v>47121</v>
      </c>
      <c r="I9" s="201">
        <f t="shared" si="1"/>
        <v>47487</v>
      </c>
      <c r="J9" s="201">
        <f t="shared" si="1"/>
        <v>47853</v>
      </c>
      <c r="K9" s="201">
        <f t="shared" si="1"/>
        <v>48219</v>
      </c>
      <c r="L9" s="201">
        <f t="shared" si="1"/>
        <v>48585</v>
      </c>
      <c r="M9" s="201">
        <f t="shared" si="1"/>
        <v>48951</v>
      </c>
      <c r="N9" s="201">
        <f t="shared" si="1"/>
        <v>49317</v>
      </c>
      <c r="O9" s="201">
        <f t="shared" si="1"/>
        <v>49683</v>
      </c>
      <c r="P9" s="201">
        <f t="shared" si="1"/>
        <v>50049</v>
      </c>
      <c r="Q9" s="201">
        <f t="shared" si="1"/>
        <v>50415</v>
      </c>
      <c r="R9" s="201">
        <f t="shared" si="1"/>
        <v>50781</v>
      </c>
      <c r="S9" s="201">
        <f t="shared" si="1"/>
        <v>51147</v>
      </c>
      <c r="T9" s="201">
        <f t="shared" si="1"/>
        <v>51513</v>
      </c>
      <c r="U9" s="201">
        <f t="shared" si="1"/>
        <v>51879</v>
      </c>
      <c r="V9" s="201">
        <f t="shared" si="1"/>
        <v>52245</v>
      </c>
      <c r="W9" s="201">
        <f t="shared" si="1"/>
        <v>52611</v>
      </c>
      <c r="X9" s="201">
        <f t="shared" si="1"/>
        <v>52977</v>
      </c>
      <c r="Y9" s="201">
        <f t="shared" si="1"/>
        <v>53343</v>
      </c>
      <c r="Z9" s="201">
        <f t="shared" si="1"/>
        <v>53709</v>
      </c>
      <c r="AA9" s="201">
        <f t="shared" si="1"/>
        <v>54075</v>
      </c>
      <c r="AB9" s="201"/>
      <c r="AC9" s="201"/>
      <c r="AD9" s="201"/>
      <c r="AE9" s="201"/>
      <c r="AF9" s="201"/>
      <c r="AG9" s="201"/>
      <c r="AH9" s="201"/>
      <c r="AI9" s="201">
        <f t="shared" si="1"/>
        <v>0</v>
      </c>
      <c r="AJ9" s="201">
        <f t="shared" si="1"/>
        <v>0</v>
      </c>
      <c r="AK9" s="201">
        <f t="shared" si="1"/>
        <v>0</v>
      </c>
      <c r="AL9" s="201">
        <f t="shared" si="1"/>
        <v>0</v>
      </c>
      <c r="AM9" s="201">
        <f t="shared" si="1"/>
        <v>0</v>
      </c>
      <c r="AN9" s="201">
        <f t="shared" si="1"/>
        <v>0</v>
      </c>
      <c r="AO9" s="201">
        <f t="shared" si="1"/>
        <v>0</v>
      </c>
      <c r="AP9" s="201"/>
      <c r="AQ9" s="201"/>
      <c r="AR9" s="201"/>
    </row>
    <row r="10" spans="1:44">
      <c r="A10" s="117"/>
      <c r="B10" s="788" t="s">
        <v>94</v>
      </c>
      <c r="C10" s="788" t="s">
        <v>95</v>
      </c>
      <c r="D10" s="1223" t="s">
        <v>96</v>
      </c>
      <c r="E10" s="1141">
        <f>E4</f>
        <v>-4</v>
      </c>
      <c r="F10" s="1141">
        <f t="shared" ref="F10:AR10" si="2">F4</f>
        <v>-3</v>
      </c>
      <c r="G10" s="1141">
        <f t="shared" si="2"/>
        <v>-2</v>
      </c>
      <c r="H10" s="1141">
        <f t="shared" si="2"/>
        <v>-1</v>
      </c>
      <c r="I10" s="1141">
        <f t="shared" si="2"/>
        <v>1</v>
      </c>
      <c r="J10" s="1141">
        <f t="shared" si="2"/>
        <v>2</v>
      </c>
      <c r="K10" s="1141">
        <f t="shared" si="2"/>
        <v>3</v>
      </c>
      <c r="L10" s="1141">
        <f t="shared" si="2"/>
        <v>4</v>
      </c>
      <c r="M10" s="1141">
        <f t="shared" si="2"/>
        <v>5</v>
      </c>
      <c r="N10" s="1141">
        <f t="shared" si="2"/>
        <v>6</v>
      </c>
      <c r="O10" s="1141">
        <f t="shared" si="2"/>
        <v>7</v>
      </c>
      <c r="P10" s="1141">
        <f t="shared" si="2"/>
        <v>8</v>
      </c>
      <c r="Q10" s="1141">
        <f t="shared" si="2"/>
        <v>9</v>
      </c>
      <c r="R10" s="1141">
        <f t="shared" si="2"/>
        <v>10</v>
      </c>
      <c r="S10" s="1141">
        <f t="shared" si="2"/>
        <v>11</v>
      </c>
      <c r="T10" s="1141">
        <f t="shared" si="2"/>
        <v>12</v>
      </c>
      <c r="U10" s="1141">
        <f t="shared" si="2"/>
        <v>13</v>
      </c>
      <c r="V10" s="1141">
        <f t="shared" si="2"/>
        <v>14</v>
      </c>
      <c r="W10" s="1141">
        <f t="shared" si="2"/>
        <v>15</v>
      </c>
      <c r="X10" s="1141">
        <f t="shared" si="2"/>
        <v>16</v>
      </c>
      <c r="Y10" s="1141">
        <f t="shared" si="2"/>
        <v>17</v>
      </c>
      <c r="Z10" s="1141">
        <f t="shared" si="2"/>
        <v>18</v>
      </c>
      <c r="AA10" s="1141">
        <f t="shared" si="2"/>
        <v>19</v>
      </c>
      <c r="AB10" s="1141"/>
      <c r="AC10" s="1141"/>
      <c r="AD10" s="1141"/>
      <c r="AE10" s="1141"/>
      <c r="AF10" s="1141"/>
      <c r="AG10" s="1141"/>
      <c r="AH10" s="1141"/>
      <c r="AI10" s="1141">
        <f t="shared" si="2"/>
        <v>0</v>
      </c>
      <c r="AJ10" s="1141">
        <f t="shared" si="2"/>
        <v>0</v>
      </c>
      <c r="AK10" s="1141">
        <f t="shared" si="2"/>
        <v>0</v>
      </c>
      <c r="AL10" s="1141">
        <f t="shared" si="2"/>
        <v>0</v>
      </c>
      <c r="AM10" s="1141">
        <f t="shared" si="2"/>
        <v>0</v>
      </c>
      <c r="AN10" s="1141">
        <f t="shared" si="2"/>
        <v>0</v>
      </c>
      <c r="AO10" s="1141">
        <f t="shared" si="2"/>
        <v>0</v>
      </c>
      <c r="AP10" s="1141">
        <f t="shared" si="2"/>
        <v>0</v>
      </c>
      <c r="AQ10" s="1141">
        <f t="shared" si="2"/>
        <v>0</v>
      </c>
      <c r="AR10" s="1141">
        <f t="shared" si="2"/>
        <v>0</v>
      </c>
    </row>
    <row r="11" spans="1:44">
      <c r="A11" s="198">
        <v>1</v>
      </c>
      <c r="B11" s="199" t="s">
        <v>568</v>
      </c>
      <c r="C11" s="121" t="s">
        <v>134</v>
      </c>
      <c r="D11" s="194">
        <f t="shared" ref="D11:D25" ca="1" si="3">+SUM(E11:AR11)</f>
        <v>214.12703999999999</v>
      </c>
      <c r="E11" s="385">
        <f ca="1">'Owner CAPEX'!E11</f>
        <v>114.11025999999998</v>
      </c>
      <c r="F11" s="385">
        <f ca="1">'Owner CAPEX'!F11</f>
        <v>32.27026</v>
      </c>
      <c r="G11" s="385">
        <f ca="1">'Owner CAPEX'!G11</f>
        <v>33.458260000000003</v>
      </c>
      <c r="H11" s="385">
        <f ca="1">'Owner CAPEX'!H11</f>
        <v>34.288260000000001</v>
      </c>
      <c r="I11" s="385">
        <f>'Owner CAPEX'!I11</f>
        <v>0</v>
      </c>
      <c r="J11" s="385">
        <f>'Owner CAPEX'!J11</f>
        <v>0</v>
      </c>
      <c r="K11" s="385">
        <f>'Owner CAPEX'!K11</f>
        <v>0</v>
      </c>
      <c r="L11" s="385">
        <f>'Owner CAPEX'!L11</f>
        <v>0</v>
      </c>
      <c r="M11" s="385">
        <f>'Owner CAPEX'!M11</f>
        <v>0</v>
      </c>
      <c r="N11" s="385">
        <f>'Owner CAPEX'!N11</f>
        <v>0</v>
      </c>
      <c r="O11" s="385">
        <f>'Owner CAPEX'!O11</f>
        <v>0</v>
      </c>
      <c r="P11" s="385">
        <f>'Owner CAPEX'!P11</f>
        <v>0</v>
      </c>
      <c r="Q11" s="385">
        <f>'Owner CAPEX'!Q11</f>
        <v>0</v>
      </c>
      <c r="R11" s="385">
        <f>'Owner CAPEX'!R11</f>
        <v>0</v>
      </c>
      <c r="S11" s="385">
        <f>'Owner CAPEX'!S11</f>
        <v>0</v>
      </c>
      <c r="T11" s="385">
        <f>'Owner CAPEX'!T11</f>
        <v>0</v>
      </c>
      <c r="U11" s="385">
        <f>'Owner CAPEX'!U11</f>
        <v>0</v>
      </c>
      <c r="V11" s="385">
        <f>'Owner CAPEX'!V11</f>
        <v>0</v>
      </c>
      <c r="W11" s="385">
        <f>'Owner CAPEX'!W11</f>
        <v>0</v>
      </c>
      <c r="X11" s="385">
        <f>'Owner CAPEX'!X11</f>
        <v>0</v>
      </c>
      <c r="Y11" s="385">
        <f>'Owner CAPEX'!Y11</f>
        <v>0</v>
      </c>
      <c r="Z11" s="385">
        <f>'Owner CAPEX'!Z11</f>
        <v>0</v>
      </c>
      <c r="AA11" s="385">
        <f>'Owner CAPEX'!AA11</f>
        <v>0</v>
      </c>
      <c r="AB11" s="385"/>
      <c r="AC11" s="385"/>
      <c r="AD11" s="385"/>
      <c r="AE11" s="385"/>
      <c r="AF11" s="385"/>
      <c r="AG11" s="385"/>
      <c r="AH11" s="385"/>
      <c r="AI11" s="385">
        <f>'Owner CAPEX'!AI11</f>
        <v>0</v>
      </c>
      <c r="AJ11" s="385">
        <f>'Owner CAPEX'!AJ11</f>
        <v>0</v>
      </c>
      <c r="AK11" s="385">
        <f>'Owner CAPEX'!AK11</f>
        <v>0</v>
      </c>
      <c r="AL11" s="385">
        <f>'Owner CAPEX'!AL11</f>
        <v>0</v>
      </c>
      <c r="AM11" s="385">
        <f>'Owner CAPEX'!AM11</f>
        <v>0</v>
      </c>
      <c r="AN11" s="385">
        <f>'Owner CAPEX'!AN11</f>
        <v>0</v>
      </c>
      <c r="AO11" s="385">
        <f>'Owner CAPEX'!AO11</f>
        <v>0</v>
      </c>
      <c r="AP11" s="385">
        <f>'Owner CAPEX'!AP11</f>
        <v>0</v>
      </c>
      <c r="AQ11" s="385">
        <f>'Owner CAPEX'!AQ11</f>
        <v>0</v>
      </c>
      <c r="AR11" s="385">
        <f>'Owner CAPEX'!AR11</f>
        <v>0</v>
      </c>
    </row>
    <row r="12" spans="1:44">
      <c r="A12" s="198">
        <f>A11+1</f>
        <v>2</v>
      </c>
      <c r="B12" s="199" t="s">
        <v>340</v>
      </c>
      <c r="C12" s="121" t="s">
        <v>134</v>
      </c>
      <c r="D12" s="194">
        <f t="shared" si="3"/>
        <v>99.07</v>
      </c>
      <c r="E12" s="385">
        <f>'Owner CAPEX'!E12</f>
        <v>24.767499999999998</v>
      </c>
      <c r="F12" s="385">
        <f>'Owner CAPEX'!F12</f>
        <v>0</v>
      </c>
      <c r="G12" s="385">
        <f>'Owner CAPEX'!G12</f>
        <v>0</v>
      </c>
      <c r="H12" s="385">
        <f>'Owner CAPEX'!H12</f>
        <v>24.767499999999998</v>
      </c>
      <c r="I12" s="385">
        <f>'Owner CAPEX'!I12</f>
        <v>49.534999999999997</v>
      </c>
      <c r="J12" s="385">
        <f>'Owner CAPEX'!J12</f>
        <v>0</v>
      </c>
      <c r="K12" s="385">
        <f>'Owner CAPEX'!K12</f>
        <v>0</v>
      </c>
      <c r="L12" s="385">
        <f>'Owner CAPEX'!L12</f>
        <v>0</v>
      </c>
      <c r="M12" s="385">
        <f>'Owner CAPEX'!M12</f>
        <v>0</v>
      </c>
      <c r="N12" s="385">
        <f>'Owner CAPEX'!N12</f>
        <v>0</v>
      </c>
      <c r="O12" s="385">
        <f>'Owner CAPEX'!O12</f>
        <v>0</v>
      </c>
      <c r="P12" s="385">
        <f>'Owner CAPEX'!P12</f>
        <v>0</v>
      </c>
      <c r="Q12" s="385">
        <f>'Owner CAPEX'!Q12</f>
        <v>0</v>
      </c>
      <c r="R12" s="385">
        <f>'Owner CAPEX'!R12</f>
        <v>0</v>
      </c>
      <c r="S12" s="385">
        <f>'Owner CAPEX'!S12</f>
        <v>0</v>
      </c>
      <c r="T12" s="385">
        <f>'Owner CAPEX'!T12</f>
        <v>0</v>
      </c>
      <c r="U12" s="385">
        <f>'Owner CAPEX'!U12</f>
        <v>0</v>
      </c>
      <c r="V12" s="385">
        <f>'Owner CAPEX'!V12</f>
        <v>0</v>
      </c>
      <c r="W12" s="385">
        <f>'Owner CAPEX'!W12</f>
        <v>0</v>
      </c>
      <c r="X12" s="385">
        <f>'Owner CAPEX'!X12</f>
        <v>0</v>
      </c>
      <c r="Y12" s="385">
        <f>'Owner CAPEX'!Y12</f>
        <v>0</v>
      </c>
      <c r="Z12" s="385">
        <f>'Owner CAPEX'!Z12</f>
        <v>0</v>
      </c>
      <c r="AA12" s="385">
        <f>'Owner CAPEX'!AA12</f>
        <v>0</v>
      </c>
      <c r="AB12" s="385"/>
      <c r="AC12" s="385"/>
      <c r="AD12" s="385"/>
      <c r="AE12" s="385"/>
      <c r="AF12" s="385"/>
      <c r="AG12" s="385"/>
      <c r="AH12" s="385"/>
      <c r="AI12" s="385">
        <f>'Owner CAPEX'!AI12</f>
        <v>0</v>
      </c>
      <c r="AJ12" s="385">
        <f>'Owner CAPEX'!AJ12</f>
        <v>0</v>
      </c>
      <c r="AK12" s="385">
        <f>'Owner CAPEX'!AK12</f>
        <v>0</v>
      </c>
      <c r="AL12" s="385">
        <f>'Owner CAPEX'!AL12</f>
        <v>0</v>
      </c>
      <c r="AM12" s="385">
        <f>'Owner CAPEX'!AM12</f>
        <v>0</v>
      </c>
      <c r="AN12" s="385">
        <f>'Owner CAPEX'!AN12</f>
        <v>0</v>
      </c>
      <c r="AO12" s="385">
        <f>'Owner CAPEX'!AO12</f>
        <v>0</v>
      </c>
      <c r="AP12" s="385">
        <f>'Owner CAPEX'!AP12</f>
        <v>0</v>
      </c>
      <c r="AQ12" s="385">
        <f>'Owner CAPEX'!AQ12</f>
        <v>0</v>
      </c>
      <c r="AR12" s="385">
        <f>'Owner CAPEX'!AR12</f>
        <v>0</v>
      </c>
    </row>
    <row r="13" spans="1:44">
      <c r="A13" s="198">
        <f t="shared" ref="A13:A25" si="4">A12+1</f>
        <v>3</v>
      </c>
      <c r="B13" s="199" t="s">
        <v>569</v>
      </c>
      <c r="C13" s="121" t="s">
        <v>134</v>
      </c>
      <c r="D13" s="194">
        <f t="shared" si="3"/>
        <v>985.07801770063588</v>
      </c>
      <c r="E13" s="385">
        <f>'Owner CAPEX'!E13</f>
        <v>0</v>
      </c>
      <c r="F13" s="385">
        <f>'Owner CAPEX'!F13</f>
        <v>147.76226127539996</v>
      </c>
      <c r="G13" s="385">
        <f>'Owner CAPEX'!G13</f>
        <v>98.508174183599976</v>
      </c>
      <c r="H13" s="385">
        <f>'Owner CAPEX'!H13</f>
        <v>98.508174183599976</v>
      </c>
      <c r="I13" s="385">
        <f>'Owner CAPEX'!I13</f>
        <v>95.878699625956514</v>
      </c>
      <c r="J13" s="385">
        <f>'Owner CAPEX'!J13</f>
        <v>58.261429208676397</v>
      </c>
      <c r="K13" s="385">
        <f>'Owner CAPEX'!K13</f>
        <v>73.814176098050424</v>
      </c>
      <c r="L13" s="385">
        <f>'Owner CAPEX'!L13</f>
        <v>134.22055030231269</v>
      </c>
      <c r="M13" s="385">
        <f>'Owner CAPEX'!M13</f>
        <v>45.69977963240305</v>
      </c>
      <c r="N13" s="385">
        <f>'Owner CAPEX'!N13</f>
        <v>46.998174705916021</v>
      </c>
      <c r="O13" s="385">
        <f>'Owner CAPEX'!O13</f>
        <v>46.998174705916021</v>
      </c>
      <c r="P13" s="385">
        <f>'Owner CAPEX'!P13</f>
        <v>46.998174705916021</v>
      </c>
      <c r="Q13" s="385">
        <f>'Owner CAPEX'!Q13</f>
        <v>46.998174705916021</v>
      </c>
      <c r="R13" s="385">
        <f>'Owner CAPEX'!R13</f>
        <v>18.79926988236641</v>
      </c>
      <c r="S13" s="385">
        <f>'Owner CAPEX'!S13</f>
        <v>25.632804484606595</v>
      </c>
      <c r="T13" s="385">
        <f>'Owner CAPEX'!T13</f>
        <v>0</v>
      </c>
      <c r="U13" s="385">
        <f>'Owner CAPEX'!U13</f>
        <v>0</v>
      </c>
      <c r="V13" s="385">
        <f>'Owner CAPEX'!V13</f>
        <v>0</v>
      </c>
      <c r="W13" s="385">
        <f>'Owner CAPEX'!W13</f>
        <v>0</v>
      </c>
      <c r="X13" s="385">
        <f>'Owner CAPEX'!X13</f>
        <v>0</v>
      </c>
      <c r="Y13" s="385">
        <f>'Owner CAPEX'!Y13</f>
        <v>0</v>
      </c>
      <c r="Z13" s="385">
        <f>'Owner CAPEX'!Z13</f>
        <v>0</v>
      </c>
      <c r="AA13" s="385">
        <f>'Owner CAPEX'!AA13</f>
        <v>0</v>
      </c>
      <c r="AB13" s="385"/>
      <c r="AC13" s="385"/>
      <c r="AD13" s="385"/>
      <c r="AE13" s="385"/>
      <c r="AF13" s="385"/>
      <c r="AG13" s="385"/>
      <c r="AH13" s="385"/>
      <c r="AI13" s="385">
        <f>'Owner CAPEX'!AI13</f>
        <v>0</v>
      </c>
      <c r="AJ13" s="385">
        <f>'Owner CAPEX'!AJ13</f>
        <v>0</v>
      </c>
      <c r="AK13" s="385">
        <f>'Owner CAPEX'!AK13</f>
        <v>0</v>
      </c>
      <c r="AL13" s="385">
        <f>'Owner CAPEX'!AL13</f>
        <v>0</v>
      </c>
      <c r="AM13" s="385">
        <f>'Owner CAPEX'!AM13</f>
        <v>0</v>
      </c>
      <c r="AN13" s="385">
        <f>'Owner CAPEX'!AN13</f>
        <v>0</v>
      </c>
      <c r="AO13" s="385">
        <f>'Owner CAPEX'!AO13</f>
        <v>0</v>
      </c>
      <c r="AP13" s="385">
        <f>'Owner CAPEX'!AP13</f>
        <v>0</v>
      </c>
      <c r="AQ13" s="385">
        <f>'Owner CAPEX'!AQ13</f>
        <v>0</v>
      </c>
      <c r="AR13" s="385">
        <f>'Owner CAPEX'!AR13</f>
        <v>0</v>
      </c>
    </row>
    <row r="14" spans="1:44">
      <c r="A14" s="198">
        <f t="shared" si="4"/>
        <v>4</v>
      </c>
      <c r="B14" s="199" t="s">
        <v>570</v>
      </c>
      <c r="C14" s="121" t="s">
        <v>134</v>
      </c>
      <c r="D14" s="194">
        <f t="shared" si="3"/>
        <v>1048.5700310581428</v>
      </c>
      <c r="E14" s="385">
        <f>'Owner CAPEX'!E14</f>
        <v>0</v>
      </c>
      <c r="F14" s="385">
        <f>'Owner CAPEX'!F14</f>
        <v>0</v>
      </c>
      <c r="G14" s="385">
        <f>'Owner CAPEX'!G14</f>
        <v>0</v>
      </c>
      <c r="H14" s="385">
        <f>'Owner CAPEX'!H14</f>
        <v>0</v>
      </c>
      <c r="I14" s="385">
        <f>'Owner CAPEX'!I14</f>
        <v>0</v>
      </c>
      <c r="J14" s="385">
        <f>'Owner CAPEX'!J14</f>
        <v>0</v>
      </c>
      <c r="K14" s="385">
        <f>'Owner CAPEX'!K14</f>
        <v>0</v>
      </c>
      <c r="L14" s="385">
        <f>'Owner CAPEX'!L14</f>
        <v>104.85700310581429</v>
      </c>
      <c r="M14" s="385">
        <f>'Owner CAPEX'!M14</f>
        <v>209.71400621162857</v>
      </c>
      <c r="N14" s="385">
        <f>'Owner CAPEX'!N14</f>
        <v>209.71400621162857</v>
      </c>
      <c r="O14" s="385">
        <f>'Owner CAPEX'!O14</f>
        <v>209.71400621162857</v>
      </c>
      <c r="P14" s="385">
        <f>'Owner CAPEX'!P14</f>
        <v>209.71400621162857</v>
      </c>
      <c r="Q14" s="385">
        <f>'Owner CAPEX'!Q14</f>
        <v>104.85700310581429</v>
      </c>
      <c r="R14" s="385">
        <f>'Owner CAPEX'!R14</f>
        <v>0</v>
      </c>
      <c r="S14" s="385">
        <f>'Owner CAPEX'!S14</f>
        <v>0</v>
      </c>
      <c r="T14" s="385">
        <f>'Owner CAPEX'!T14</f>
        <v>0</v>
      </c>
      <c r="U14" s="385">
        <f>'Owner CAPEX'!U14</f>
        <v>0</v>
      </c>
      <c r="V14" s="385">
        <f>'Owner CAPEX'!V14</f>
        <v>0</v>
      </c>
      <c r="W14" s="385">
        <f>'Owner CAPEX'!W14</f>
        <v>0</v>
      </c>
      <c r="X14" s="385">
        <f>'Owner CAPEX'!X14</f>
        <v>0</v>
      </c>
      <c r="Y14" s="385">
        <f>'Owner CAPEX'!Y14</f>
        <v>0</v>
      </c>
      <c r="Z14" s="385">
        <f>'Owner CAPEX'!Z14</f>
        <v>0</v>
      </c>
      <c r="AA14" s="385">
        <f>'Owner CAPEX'!AA14</f>
        <v>0</v>
      </c>
      <c r="AB14" s="385"/>
      <c r="AC14" s="385"/>
      <c r="AD14" s="385"/>
      <c r="AE14" s="385"/>
      <c r="AF14" s="385"/>
      <c r="AG14" s="385"/>
      <c r="AH14" s="385"/>
      <c r="AI14" s="385">
        <f>'Owner CAPEX'!AI14</f>
        <v>0</v>
      </c>
      <c r="AJ14" s="385">
        <f>'Owner CAPEX'!AJ14</f>
        <v>0</v>
      </c>
      <c r="AK14" s="385">
        <f>'Owner CAPEX'!AK14</f>
        <v>0</v>
      </c>
      <c r="AL14" s="385">
        <f>'Owner CAPEX'!AL14</f>
        <v>0</v>
      </c>
      <c r="AM14" s="385">
        <f>'Owner CAPEX'!AM14</f>
        <v>0</v>
      </c>
      <c r="AN14" s="385">
        <f>'Owner CAPEX'!AN14</f>
        <v>0</v>
      </c>
      <c r="AO14" s="385">
        <f>'Owner CAPEX'!AO14</f>
        <v>0</v>
      </c>
      <c r="AP14" s="385">
        <f>'Owner CAPEX'!AP14</f>
        <v>0</v>
      </c>
      <c r="AQ14" s="385">
        <f>'Owner CAPEX'!AQ14</f>
        <v>0</v>
      </c>
      <c r="AR14" s="385">
        <f>'Owner CAPEX'!AR14</f>
        <v>0</v>
      </c>
    </row>
    <row r="15" spans="1:44">
      <c r="A15" s="198">
        <f t="shared" si="4"/>
        <v>5</v>
      </c>
      <c r="B15" s="199" t="s">
        <v>571</v>
      </c>
      <c r="C15" s="121" t="s">
        <v>134</v>
      </c>
      <c r="D15" s="194">
        <f t="shared" si="3"/>
        <v>701.5158371549536</v>
      </c>
      <c r="E15" s="385">
        <f>'Owner CAPEX'!E15+'MDO CAPEX'!E11</f>
        <v>0</v>
      </c>
      <c r="F15" s="385">
        <f>'Owner CAPEX'!F15+'MDO CAPEX'!F11</f>
        <v>0</v>
      </c>
      <c r="G15" s="385">
        <f>'Owner CAPEX'!G15+'MDO CAPEX'!G11</f>
        <v>0</v>
      </c>
      <c r="H15" s="385">
        <f>'Owner CAPEX'!H15+'MDO CAPEX'!H11</f>
        <v>0</v>
      </c>
      <c r="I15" s="385">
        <f>'Owner CAPEX'!I15+'MDO CAPEX'!I11</f>
        <v>134.12607857747673</v>
      </c>
      <c r="J15" s="385">
        <f>'Owner CAPEX'!J15+'MDO CAPEX'!J11</f>
        <v>14.8766</v>
      </c>
      <c r="K15" s="385">
        <f>'Owner CAPEX'!K15+'MDO CAPEX'!K11</f>
        <v>108.86267857747673</v>
      </c>
      <c r="L15" s="385">
        <f>'Owner CAPEX'!L15+'MDO CAPEX'!L11</f>
        <v>272.02312799999999</v>
      </c>
      <c r="M15" s="385">
        <f>'Owner CAPEX'!M15+'MDO CAPEX'!M11</f>
        <v>26.007168</v>
      </c>
      <c r="N15" s="385">
        <f>'Owner CAPEX'!N15+'MDO CAPEX'!N11</f>
        <v>123.513784</v>
      </c>
      <c r="O15" s="385">
        <f>'Owner CAPEX'!O15+'MDO CAPEX'!O11</f>
        <v>3.6844000000000001</v>
      </c>
      <c r="P15" s="385">
        <f>'Owner CAPEX'!P15+'MDO CAPEX'!P11</f>
        <v>1.8422000000000001</v>
      </c>
      <c r="Q15" s="385">
        <f>'Owner CAPEX'!Q15+'MDO CAPEX'!Q11</f>
        <v>1.8422000000000001</v>
      </c>
      <c r="R15" s="385">
        <f>'Owner CAPEX'!R15+'MDO CAPEX'!R11</f>
        <v>1.8422000000000001</v>
      </c>
      <c r="S15" s="385">
        <f>'Owner CAPEX'!S15+'MDO CAPEX'!S11</f>
        <v>3.6844000000000001</v>
      </c>
      <c r="T15" s="385">
        <f>'Owner CAPEX'!T15+'MDO CAPEX'!T11</f>
        <v>0</v>
      </c>
      <c r="U15" s="385">
        <f>'Owner CAPEX'!U15+'MDO CAPEX'!U11</f>
        <v>3.6844000000000001</v>
      </c>
      <c r="V15" s="385">
        <f>'Owner CAPEX'!V15+'MDO CAPEX'!V11</f>
        <v>1.8422000000000001</v>
      </c>
      <c r="W15" s="385">
        <f>'Owner CAPEX'!W15+'MDO CAPEX'!W11</f>
        <v>3.6844000000000001</v>
      </c>
      <c r="X15" s="385">
        <f>'Owner CAPEX'!X15+'MDO CAPEX'!X11</f>
        <v>0</v>
      </c>
      <c r="Y15" s="385">
        <f>'Owner CAPEX'!Y15+'MDO CAPEX'!Y11</f>
        <v>0</v>
      </c>
      <c r="Z15" s="385">
        <f>'Owner CAPEX'!Z15+'MDO CAPEX'!Z11</f>
        <v>0</v>
      </c>
      <c r="AA15" s="385">
        <f>'Owner CAPEX'!AA15+'MDO CAPEX'!AA11</f>
        <v>0</v>
      </c>
      <c r="AB15" s="385"/>
      <c r="AC15" s="385"/>
      <c r="AD15" s="385"/>
      <c r="AE15" s="385"/>
      <c r="AF15" s="385"/>
      <c r="AG15" s="385"/>
      <c r="AH15" s="385"/>
      <c r="AI15" s="385">
        <f>'Owner CAPEX'!AI15+'MDO CAPEX'!AI11</f>
        <v>0</v>
      </c>
      <c r="AJ15" s="385">
        <f>'Owner CAPEX'!AJ15+'MDO CAPEX'!AJ11</f>
        <v>0</v>
      </c>
      <c r="AK15" s="385">
        <f>'Owner CAPEX'!AK15+'MDO CAPEX'!AK11</f>
        <v>0</v>
      </c>
      <c r="AL15" s="385">
        <f>'Owner CAPEX'!AL15+'MDO CAPEX'!AL11</f>
        <v>0</v>
      </c>
      <c r="AM15" s="385">
        <f>'Owner CAPEX'!AM15+'MDO CAPEX'!AM11</f>
        <v>0</v>
      </c>
      <c r="AN15" s="385">
        <f>'Owner CAPEX'!AN15+'MDO CAPEX'!AN11</f>
        <v>0</v>
      </c>
      <c r="AO15" s="385">
        <f>'Owner CAPEX'!AO15+'MDO CAPEX'!AO11</f>
        <v>0</v>
      </c>
      <c r="AP15" s="385">
        <f>'Owner CAPEX'!AP15+'MDO CAPEX'!AP11</f>
        <v>0</v>
      </c>
      <c r="AQ15" s="385">
        <f>'Owner CAPEX'!AQ15+'MDO CAPEX'!AQ11</f>
        <v>0</v>
      </c>
      <c r="AR15" s="385">
        <f>'Owner CAPEX'!AR15+'MDO CAPEX'!AR11</f>
        <v>0</v>
      </c>
    </row>
    <row r="16" spans="1:44">
      <c r="A16" s="198">
        <f t="shared" si="4"/>
        <v>6</v>
      </c>
      <c r="B16" s="199" t="s">
        <v>572</v>
      </c>
      <c r="C16" s="121" t="s">
        <v>134</v>
      </c>
      <c r="D16" s="194">
        <f t="shared" si="3"/>
        <v>335.19</v>
      </c>
      <c r="E16" s="385">
        <f>'Owner CAPEX'!E16</f>
        <v>0</v>
      </c>
      <c r="F16" s="385">
        <f>'Owner CAPEX'!F16</f>
        <v>0</v>
      </c>
      <c r="G16" s="385">
        <f>'Owner CAPEX'!G16</f>
        <v>11.99</v>
      </c>
      <c r="H16" s="385">
        <f>'Owner CAPEX'!H16</f>
        <v>89.79249999999999</v>
      </c>
      <c r="I16" s="385">
        <f>'Owner CAPEX'!I16</f>
        <v>155.60499999999999</v>
      </c>
      <c r="J16" s="385">
        <f>'Owner CAPEX'!J16</f>
        <v>77.802499999999995</v>
      </c>
      <c r="K16" s="385">
        <f>'Owner CAPEX'!K16</f>
        <v>0</v>
      </c>
      <c r="L16" s="385">
        <f>'Owner CAPEX'!L16</f>
        <v>0</v>
      </c>
      <c r="M16" s="385">
        <f>'Owner CAPEX'!M16</f>
        <v>0</v>
      </c>
      <c r="N16" s="385">
        <f>'Owner CAPEX'!N16</f>
        <v>0</v>
      </c>
      <c r="O16" s="385">
        <f>'Owner CAPEX'!O16</f>
        <v>0</v>
      </c>
      <c r="P16" s="385">
        <f>'Owner CAPEX'!P16</f>
        <v>0</v>
      </c>
      <c r="Q16" s="385">
        <f>'Owner CAPEX'!Q16</f>
        <v>0</v>
      </c>
      <c r="R16" s="385">
        <f>'Owner CAPEX'!R16</f>
        <v>0</v>
      </c>
      <c r="S16" s="385">
        <f>'Owner CAPEX'!S16</f>
        <v>0</v>
      </c>
      <c r="T16" s="385">
        <f>'Owner CAPEX'!T16</f>
        <v>0</v>
      </c>
      <c r="U16" s="385">
        <f>'Owner CAPEX'!U16</f>
        <v>0</v>
      </c>
      <c r="V16" s="385">
        <f>'Owner CAPEX'!V16</f>
        <v>0</v>
      </c>
      <c r="W16" s="385">
        <f>'Owner CAPEX'!W16</f>
        <v>0</v>
      </c>
      <c r="X16" s="385">
        <f>'Owner CAPEX'!X16</f>
        <v>0</v>
      </c>
      <c r="Y16" s="385">
        <f>'Owner CAPEX'!Y16</f>
        <v>0</v>
      </c>
      <c r="Z16" s="385">
        <f>'Owner CAPEX'!Z16</f>
        <v>0</v>
      </c>
      <c r="AA16" s="385">
        <f>'Owner CAPEX'!AA16</f>
        <v>0</v>
      </c>
      <c r="AB16" s="385"/>
      <c r="AC16" s="385"/>
      <c r="AD16" s="385"/>
      <c r="AE16" s="385"/>
      <c r="AF16" s="385"/>
      <c r="AG16" s="385"/>
      <c r="AH16" s="385"/>
      <c r="AI16" s="385">
        <f>'Owner CAPEX'!AI16</f>
        <v>0</v>
      </c>
      <c r="AJ16" s="385">
        <f>'Owner CAPEX'!AJ16</f>
        <v>0</v>
      </c>
      <c r="AK16" s="385">
        <f>'Owner CAPEX'!AK16</f>
        <v>0</v>
      </c>
      <c r="AL16" s="385">
        <f>'Owner CAPEX'!AL16</f>
        <v>0</v>
      </c>
      <c r="AM16" s="385">
        <f>'Owner CAPEX'!AM16</f>
        <v>0</v>
      </c>
      <c r="AN16" s="385">
        <f>'Owner CAPEX'!AN16</f>
        <v>0</v>
      </c>
      <c r="AO16" s="385">
        <f>'Owner CAPEX'!AO16</f>
        <v>0</v>
      </c>
      <c r="AP16" s="385">
        <f>'Owner CAPEX'!AP16</f>
        <v>0</v>
      </c>
      <c r="AQ16" s="385">
        <f>'Owner CAPEX'!AQ16</f>
        <v>0</v>
      </c>
      <c r="AR16" s="385">
        <f>'Owner CAPEX'!AR16</f>
        <v>0</v>
      </c>
    </row>
    <row r="17" spans="1:44">
      <c r="A17" s="198">
        <f t="shared" si="4"/>
        <v>7</v>
      </c>
      <c r="B17" s="199" t="s">
        <v>251</v>
      </c>
      <c r="C17" s="121" t="s">
        <v>134</v>
      </c>
      <c r="D17" s="194">
        <f t="shared" si="3"/>
        <v>540</v>
      </c>
      <c r="E17" s="385">
        <f>'Owner CAPEX'!E17</f>
        <v>0</v>
      </c>
      <c r="F17" s="385">
        <f>'Owner CAPEX'!F17</f>
        <v>54</v>
      </c>
      <c r="G17" s="385">
        <f>'Owner CAPEX'!G17</f>
        <v>324</v>
      </c>
      <c r="H17" s="385">
        <f>'Owner CAPEX'!H17</f>
        <v>162</v>
      </c>
      <c r="I17" s="385">
        <f>'Owner CAPEX'!I17</f>
        <v>0</v>
      </c>
      <c r="J17" s="385">
        <f>'Owner CAPEX'!J17</f>
        <v>0</v>
      </c>
      <c r="K17" s="385">
        <f>'Owner CAPEX'!K17</f>
        <v>0</v>
      </c>
      <c r="L17" s="385">
        <f>'Owner CAPEX'!L17</f>
        <v>0</v>
      </c>
      <c r="M17" s="385">
        <f>'Owner CAPEX'!M17</f>
        <v>0</v>
      </c>
      <c r="N17" s="385">
        <f>'Owner CAPEX'!N17</f>
        <v>0</v>
      </c>
      <c r="O17" s="385">
        <f>'Owner CAPEX'!O17</f>
        <v>0</v>
      </c>
      <c r="P17" s="385">
        <f>'Owner CAPEX'!P17</f>
        <v>0</v>
      </c>
      <c r="Q17" s="385">
        <f>'Owner CAPEX'!Q17</f>
        <v>0</v>
      </c>
      <c r="R17" s="385">
        <f>'Owner CAPEX'!R17</f>
        <v>0</v>
      </c>
      <c r="S17" s="385">
        <f>'Owner CAPEX'!S17</f>
        <v>0</v>
      </c>
      <c r="T17" s="385">
        <f>'Owner CAPEX'!T17</f>
        <v>0</v>
      </c>
      <c r="U17" s="385">
        <f>'Owner CAPEX'!U17</f>
        <v>0</v>
      </c>
      <c r="V17" s="385">
        <f>'Owner CAPEX'!V17</f>
        <v>0</v>
      </c>
      <c r="W17" s="385">
        <f>'Owner CAPEX'!W17</f>
        <v>0</v>
      </c>
      <c r="X17" s="385">
        <f>'Owner CAPEX'!X17</f>
        <v>0</v>
      </c>
      <c r="Y17" s="385">
        <f>'Owner CAPEX'!Y17</f>
        <v>0</v>
      </c>
      <c r="Z17" s="385">
        <f>'Owner CAPEX'!Z17</f>
        <v>0</v>
      </c>
      <c r="AA17" s="385">
        <f>'Owner CAPEX'!AA17</f>
        <v>0</v>
      </c>
      <c r="AB17" s="385"/>
      <c r="AC17" s="385"/>
      <c r="AD17" s="385"/>
      <c r="AE17" s="385"/>
      <c r="AF17" s="385"/>
      <c r="AG17" s="385"/>
      <c r="AH17" s="385"/>
      <c r="AI17" s="385">
        <f>'Owner CAPEX'!AI17</f>
        <v>0</v>
      </c>
      <c r="AJ17" s="385">
        <f>'Owner CAPEX'!AJ17</f>
        <v>0</v>
      </c>
      <c r="AK17" s="385">
        <f>'Owner CAPEX'!AK17</f>
        <v>0</v>
      </c>
      <c r="AL17" s="385">
        <f>'Owner CAPEX'!AL17</f>
        <v>0</v>
      </c>
      <c r="AM17" s="385">
        <f>'Owner CAPEX'!AM17</f>
        <v>0</v>
      </c>
      <c r="AN17" s="385">
        <f>'Owner CAPEX'!AN17</f>
        <v>0</v>
      </c>
      <c r="AO17" s="385">
        <f>'Owner CAPEX'!AO17</f>
        <v>0</v>
      </c>
      <c r="AP17" s="385">
        <f>'Owner CAPEX'!AP17</f>
        <v>0</v>
      </c>
      <c r="AQ17" s="385">
        <f>'Owner CAPEX'!AQ17</f>
        <v>0</v>
      </c>
      <c r="AR17" s="385">
        <f>'Owner CAPEX'!AR17</f>
        <v>0</v>
      </c>
    </row>
    <row r="18" spans="1:44">
      <c r="A18" s="198">
        <f t="shared" si="4"/>
        <v>8</v>
      </c>
      <c r="B18" s="199" t="s">
        <v>573</v>
      </c>
      <c r="C18" s="121" t="s">
        <v>134</v>
      </c>
      <c r="D18" s="194">
        <f t="shared" si="3"/>
        <v>191</v>
      </c>
      <c r="E18" s="385">
        <f>'Owner CAPEX'!E18+'MDO CAPEX'!E12</f>
        <v>0</v>
      </c>
      <c r="F18" s="385">
        <f>'Owner CAPEX'!F18+'MDO CAPEX'!F12</f>
        <v>57.3</v>
      </c>
      <c r="G18" s="385">
        <f>'Owner CAPEX'!G18+'MDO CAPEX'!G12</f>
        <v>95.5</v>
      </c>
      <c r="H18" s="385">
        <f>'Owner CAPEX'!H18+'MDO CAPEX'!H12</f>
        <v>38.200000000000003</v>
      </c>
      <c r="I18" s="385">
        <f>'Owner CAPEX'!I18+'MDO CAPEX'!I12</f>
        <v>0</v>
      </c>
      <c r="J18" s="385">
        <f>'Owner CAPEX'!J18+'MDO CAPEX'!J12</f>
        <v>0</v>
      </c>
      <c r="K18" s="385">
        <f>'Owner CAPEX'!K18+'MDO CAPEX'!K12</f>
        <v>0</v>
      </c>
      <c r="L18" s="385">
        <f>'Owner CAPEX'!L18+'MDO CAPEX'!L12</f>
        <v>0</v>
      </c>
      <c r="M18" s="385">
        <f>'Owner CAPEX'!M18+'MDO CAPEX'!M12</f>
        <v>0</v>
      </c>
      <c r="N18" s="385">
        <f>'Owner CAPEX'!N18+'MDO CAPEX'!N12</f>
        <v>0</v>
      </c>
      <c r="O18" s="385">
        <f>'Owner CAPEX'!O18+'MDO CAPEX'!O12</f>
        <v>0</v>
      </c>
      <c r="P18" s="385">
        <f>'Owner CAPEX'!P18+'MDO CAPEX'!P12</f>
        <v>0</v>
      </c>
      <c r="Q18" s="385">
        <f>'Owner CAPEX'!Q18+'MDO CAPEX'!Q12</f>
        <v>0</v>
      </c>
      <c r="R18" s="385">
        <f>'Owner CAPEX'!R18+'MDO CAPEX'!R12</f>
        <v>0</v>
      </c>
      <c r="S18" s="385">
        <f>'Owner CAPEX'!S18+'MDO CAPEX'!S12</f>
        <v>0</v>
      </c>
      <c r="T18" s="385">
        <f>'Owner CAPEX'!T18+'MDO CAPEX'!T12</f>
        <v>0</v>
      </c>
      <c r="U18" s="385">
        <f>'Owner CAPEX'!U18+'MDO CAPEX'!U12</f>
        <v>0</v>
      </c>
      <c r="V18" s="385">
        <f>'Owner CAPEX'!V18+'MDO CAPEX'!V12</f>
        <v>0</v>
      </c>
      <c r="W18" s="385">
        <f>'Owner CAPEX'!W18+'MDO CAPEX'!W12</f>
        <v>0</v>
      </c>
      <c r="X18" s="385">
        <f>'Owner CAPEX'!X18+'MDO CAPEX'!X12</f>
        <v>0</v>
      </c>
      <c r="Y18" s="385">
        <f>'Owner CAPEX'!Y18+'MDO CAPEX'!Y12</f>
        <v>0</v>
      </c>
      <c r="Z18" s="385">
        <f>'Owner CAPEX'!Z18+'MDO CAPEX'!Z12</f>
        <v>0</v>
      </c>
      <c r="AA18" s="385">
        <f>'Owner CAPEX'!AA18+'MDO CAPEX'!AA12</f>
        <v>0</v>
      </c>
      <c r="AB18" s="385"/>
      <c r="AC18" s="385"/>
      <c r="AD18" s="385"/>
      <c r="AE18" s="385"/>
      <c r="AF18" s="385"/>
      <c r="AG18" s="385"/>
      <c r="AH18" s="385"/>
      <c r="AI18" s="385">
        <f>'Owner CAPEX'!AI18+'MDO CAPEX'!AI12</f>
        <v>0</v>
      </c>
      <c r="AJ18" s="385">
        <f>'Owner CAPEX'!AJ18+'MDO CAPEX'!AJ12</f>
        <v>0</v>
      </c>
      <c r="AK18" s="385">
        <f>'Owner CAPEX'!AK18+'MDO CAPEX'!AK12</f>
        <v>0</v>
      </c>
      <c r="AL18" s="385">
        <f>'Owner CAPEX'!AL18+'MDO CAPEX'!AL12</f>
        <v>0</v>
      </c>
      <c r="AM18" s="385">
        <f>'Owner CAPEX'!AM18+'MDO CAPEX'!AM12</f>
        <v>0</v>
      </c>
      <c r="AN18" s="385">
        <f>'Owner CAPEX'!AN18+'MDO CAPEX'!AN12</f>
        <v>0</v>
      </c>
      <c r="AO18" s="385">
        <f>'Owner CAPEX'!AO18+'MDO CAPEX'!AO12</f>
        <v>0</v>
      </c>
      <c r="AP18" s="385">
        <f>'Owner CAPEX'!AP18+'MDO CAPEX'!AP12</f>
        <v>0</v>
      </c>
      <c r="AQ18" s="385">
        <f>'Owner CAPEX'!AQ18+'MDO CAPEX'!AQ12</f>
        <v>0</v>
      </c>
      <c r="AR18" s="385">
        <f>'Owner CAPEX'!AR18+'MDO CAPEX'!AR12</f>
        <v>0</v>
      </c>
    </row>
    <row r="19" spans="1:44">
      <c r="A19" s="198">
        <f t="shared" si="4"/>
        <v>9</v>
      </c>
      <c r="B19" s="199" t="s">
        <v>574</v>
      </c>
      <c r="C19" s="121" t="s">
        <v>134</v>
      </c>
      <c r="D19" s="194">
        <f t="shared" si="3"/>
        <v>14.45</v>
      </c>
      <c r="E19" s="385">
        <f>'Owner CAPEX'!E19+'MDO CAPEX'!E13</f>
        <v>0</v>
      </c>
      <c r="F19" s="385">
        <f>'Owner CAPEX'!F19+'MDO CAPEX'!F13</f>
        <v>4.335</v>
      </c>
      <c r="G19" s="385">
        <f>'Owner CAPEX'!G19+'MDO CAPEX'!G13</f>
        <v>7.2249999999999996</v>
      </c>
      <c r="H19" s="385">
        <f>'Owner CAPEX'!H19+'MDO CAPEX'!H13</f>
        <v>2.89</v>
      </c>
      <c r="I19" s="385">
        <f>'Owner CAPEX'!I19+'MDO CAPEX'!I13</f>
        <v>0</v>
      </c>
      <c r="J19" s="385">
        <f>'Owner CAPEX'!J19+'MDO CAPEX'!J13</f>
        <v>0</v>
      </c>
      <c r="K19" s="385">
        <f>'Owner CAPEX'!K19+'MDO CAPEX'!K13</f>
        <v>0</v>
      </c>
      <c r="L19" s="385">
        <f>'Owner CAPEX'!L19+'MDO CAPEX'!L13</f>
        <v>0</v>
      </c>
      <c r="M19" s="385">
        <f>'Owner CAPEX'!M19+'MDO CAPEX'!M13</f>
        <v>0</v>
      </c>
      <c r="N19" s="385">
        <f>'Owner CAPEX'!N19+'MDO CAPEX'!N13</f>
        <v>0</v>
      </c>
      <c r="O19" s="385">
        <f>'Owner CAPEX'!O19+'MDO CAPEX'!O13</f>
        <v>0</v>
      </c>
      <c r="P19" s="385">
        <f>'Owner CAPEX'!P19+'MDO CAPEX'!P13</f>
        <v>0</v>
      </c>
      <c r="Q19" s="385">
        <f>'Owner CAPEX'!Q19+'MDO CAPEX'!Q13</f>
        <v>0</v>
      </c>
      <c r="R19" s="385">
        <f>'Owner CAPEX'!R19+'MDO CAPEX'!R13</f>
        <v>0</v>
      </c>
      <c r="S19" s="385">
        <f>'Owner CAPEX'!S19+'MDO CAPEX'!S13</f>
        <v>0</v>
      </c>
      <c r="T19" s="385">
        <f>'Owner CAPEX'!T19+'MDO CAPEX'!T13</f>
        <v>0</v>
      </c>
      <c r="U19" s="385">
        <f>'Owner CAPEX'!U19+'MDO CAPEX'!U13</f>
        <v>0</v>
      </c>
      <c r="V19" s="385">
        <f>'Owner CAPEX'!V19+'MDO CAPEX'!V13</f>
        <v>0</v>
      </c>
      <c r="W19" s="385">
        <f>'Owner CAPEX'!W19+'MDO CAPEX'!W13</f>
        <v>0</v>
      </c>
      <c r="X19" s="385">
        <f>'Owner CAPEX'!X19+'MDO CAPEX'!X13</f>
        <v>0</v>
      </c>
      <c r="Y19" s="385">
        <f>'Owner CAPEX'!Y19+'MDO CAPEX'!Y13</f>
        <v>0</v>
      </c>
      <c r="Z19" s="385">
        <f>'Owner CAPEX'!Z19+'MDO CAPEX'!Z13</f>
        <v>0</v>
      </c>
      <c r="AA19" s="385">
        <f>'Owner CAPEX'!AA19+'MDO CAPEX'!AA13</f>
        <v>0</v>
      </c>
      <c r="AB19" s="385"/>
      <c r="AC19" s="385"/>
      <c r="AD19" s="385"/>
      <c r="AE19" s="385"/>
      <c r="AF19" s="385"/>
      <c r="AG19" s="385"/>
      <c r="AH19" s="385"/>
      <c r="AI19" s="385">
        <f>'Owner CAPEX'!AI19+'MDO CAPEX'!AI13</f>
        <v>0</v>
      </c>
      <c r="AJ19" s="385">
        <f>'Owner CAPEX'!AJ19+'MDO CAPEX'!AJ13</f>
        <v>0</v>
      </c>
      <c r="AK19" s="385">
        <f>'Owner CAPEX'!AK19+'MDO CAPEX'!AK13</f>
        <v>0</v>
      </c>
      <c r="AL19" s="385">
        <f>'Owner CAPEX'!AL19+'MDO CAPEX'!AL13</f>
        <v>0</v>
      </c>
      <c r="AM19" s="385">
        <f>'Owner CAPEX'!AM19+'MDO CAPEX'!AM13</f>
        <v>0</v>
      </c>
      <c r="AN19" s="385">
        <f>'Owner CAPEX'!AN19+'MDO CAPEX'!AN13</f>
        <v>0</v>
      </c>
      <c r="AO19" s="385">
        <f>'Owner CAPEX'!AO19+'MDO CAPEX'!AO13</f>
        <v>0</v>
      </c>
      <c r="AP19" s="385">
        <f>'Owner CAPEX'!AP19+'MDO CAPEX'!AP13</f>
        <v>0</v>
      </c>
      <c r="AQ19" s="385">
        <f>'Owner CAPEX'!AQ19+'MDO CAPEX'!AQ13</f>
        <v>0</v>
      </c>
      <c r="AR19" s="385">
        <f>'Owner CAPEX'!AR19+'MDO CAPEX'!AR13</f>
        <v>0</v>
      </c>
    </row>
    <row r="20" spans="1:44">
      <c r="A20" s="198">
        <f>A19+1</f>
        <v>10</v>
      </c>
      <c r="B20" s="199" t="s">
        <v>575</v>
      </c>
      <c r="C20" s="121" t="s">
        <v>134</v>
      </c>
      <c r="D20" s="194">
        <f t="shared" si="3"/>
        <v>27.27</v>
      </c>
      <c r="E20" s="385">
        <f>'Owner CAPEX'!E20+'MDO CAPEX'!E14</f>
        <v>0</v>
      </c>
      <c r="F20" s="385">
        <f>'Owner CAPEX'!F20+'MDO CAPEX'!F14</f>
        <v>0</v>
      </c>
      <c r="G20" s="385">
        <f>'Owner CAPEX'!G20+'MDO CAPEX'!G14</f>
        <v>13.635</v>
      </c>
      <c r="H20" s="385">
        <f>'Owner CAPEX'!H20+'MDO CAPEX'!H14</f>
        <v>13.635</v>
      </c>
      <c r="I20" s="385">
        <f>'Owner CAPEX'!I20+'MDO CAPEX'!I14</f>
        <v>0</v>
      </c>
      <c r="J20" s="385">
        <f>'Owner CAPEX'!J20+'MDO CAPEX'!J14</f>
        <v>0</v>
      </c>
      <c r="K20" s="385">
        <f>'Owner CAPEX'!K20+'MDO CAPEX'!K14</f>
        <v>0</v>
      </c>
      <c r="L20" s="385">
        <f>'Owner CAPEX'!L20+'MDO CAPEX'!L14</f>
        <v>0</v>
      </c>
      <c r="M20" s="385">
        <f>'Owner CAPEX'!M20+'MDO CAPEX'!M14</f>
        <v>0</v>
      </c>
      <c r="N20" s="385">
        <f>'Owner CAPEX'!N20+'MDO CAPEX'!N14</f>
        <v>0</v>
      </c>
      <c r="O20" s="385">
        <f>'Owner CAPEX'!O20+'MDO CAPEX'!O14</f>
        <v>0</v>
      </c>
      <c r="P20" s="385">
        <f>'Owner CAPEX'!P20+'MDO CAPEX'!P14</f>
        <v>0</v>
      </c>
      <c r="Q20" s="385">
        <f>'Owner CAPEX'!Q20+'MDO CAPEX'!Q14</f>
        <v>0</v>
      </c>
      <c r="R20" s="385">
        <f>'Owner CAPEX'!R20+'MDO CAPEX'!R14</f>
        <v>0</v>
      </c>
      <c r="S20" s="385">
        <f>'Owner CAPEX'!S20+'MDO CAPEX'!S14</f>
        <v>0</v>
      </c>
      <c r="T20" s="385">
        <f>'Owner CAPEX'!T20+'MDO CAPEX'!T14</f>
        <v>0</v>
      </c>
      <c r="U20" s="385">
        <f>'Owner CAPEX'!U20+'MDO CAPEX'!U14</f>
        <v>0</v>
      </c>
      <c r="V20" s="385">
        <f>'Owner CAPEX'!V20+'MDO CAPEX'!V14</f>
        <v>0</v>
      </c>
      <c r="W20" s="385">
        <f>'Owner CAPEX'!W20+'MDO CAPEX'!W14</f>
        <v>0</v>
      </c>
      <c r="X20" s="385">
        <f>'Owner CAPEX'!X20+'MDO CAPEX'!X14</f>
        <v>0</v>
      </c>
      <c r="Y20" s="385">
        <f>'Owner CAPEX'!Y20+'MDO CAPEX'!Y14</f>
        <v>0</v>
      </c>
      <c r="Z20" s="385">
        <f>'Owner CAPEX'!Z20+'MDO CAPEX'!Z14</f>
        <v>0</v>
      </c>
      <c r="AA20" s="385">
        <f>'Owner CAPEX'!AA20+'MDO CAPEX'!AA14</f>
        <v>0</v>
      </c>
      <c r="AB20" s="385"/>
      <c r="AC20" s="385"/>
      <c r="AD20" s="385"/>
      <c r="AE20" s="385"/>
      <c r="AF20" s="385"/>
      <c r="AG20" s="385"/>
      <c r="AH20" s="385"/>
      <c r="AI20" s="385">
        <f>'Owner CAPEX'!AI20+'MDO CAPEX'!AI14</f>
        <v>0</v>
      </c>
      <c r="AJ20" s="385">
        <f>'Owner CAPEX'!AJ20+'MDO CAPEX'!AJ14</f>
        <v>0</v>
      </c>
      <c r="AK20" s="385">
        <f>'Owner CAPEX'!AK20+'MDO CAPEX'!AK14</f>
        <v>0</v>
      </c>
      <c r="AL20" s="385">
        <f>'Owner CAPEX'!AL20+'MDO CAPEX'!AL14</f>
        <v>0</v>
      </c>
      <c r="AM20" s="385">
        <f>'Owner CAPEX'!AM20+'MDO CAPEX'!AM14</f>
        <v>0</v>
      </c>
      <c r="AN20" s="385">
        <f>'Owner CAPEX'!AN20+'MDO CAPEX'!AN14</f>
        <v>0</v>
      </c>
      <c r="AO20" s="385">
        <f>'Owner CAPEX'!AO20+'MDO CAPEX'!AO14</f>
        <v>0</v>
      </c>
      <c r="AP20" s="385">
        <f>'Owner CAPEX'!AP20+'MDO CAPEX'!AP14</f>
        <v>0</v>
      </c>
      <c r="AQ20" s="385">
        <f>'Owner CAPEX'!AQ20+'MDO CAPEX'!AQ14</f>
        <v>0</v>
      </c>
      <c r="AR20" s="385">
        <f>'Owner CAPEX'!AR20+'MDO CAPEX'!AR14</f>
        <v>0</v>
      </c>
    </row>
    <row r="21" spans="1:44">
      <c r="A21" s="198">
        <f t="shared" si="4"/>
        <v>11</v>
      </c>
      <c r="B21" s="199" t="s">
        <v>273</v>
      </c>
      <c r="C21" s="121" t="s">
        <v>134</v>
      </c>
      <c r="D21" s="194">
        <f t="shared" si="3"/>
        <v>34.35</v>
      </c>
      <c r="E21" s="385">
        <f>'Owner CAPEX'!E21</f>
        <v>0</v>
      </c>
      <c r="F21" s="385">
        <f>'Owner CAPEX'!F21</f>
        <v>0</v>
      </c>
      <c r="G21" s="385">
        <f>'Owner CAPEX'!G21</f>
        <v>0</v>
      </c>
      <c r="H21" s="385">
        <f>'Owner CAPEX'!H21</f>
        <v>8.5875000000000004</v>
      </c>
      <c r="I21" s="385">
        <f>'Owner CAPEX'!I21</f>
        <v>13.740000000000002</v>
      </c>
      <c r="J21" s="385">
        <f>'Owner CAPEX'!J21</f>
        <v>8.5875000000000004</v>
      </c>
      <c r="K21" s="385">
        <f>'Owner CAPEX'!K21</f>
        <v>3.4350000000000005</v>
      </c>
      <c r="L21" s="385">
        <f>'Owner CAPEX'!L21</f>
        <v>0</v>
      </c>
      <c r="M21" s="385">
        <f>'Owner CAPEX'!M21</f>
        <v>0</v>
      </c>
      <c r="N21" s="385">
        <f>'Owner CAPEX'!N21</f>
        <v>0</v>
      </c>
      <c r="O21" s="385">
        <f>'Owner CAPEX'!O21</f>
        <v>0</v>
      </c>
      <c r="P21" s="385">
        <f>'Owner CAPEX'!P21</f>
        <v>0</v>
      </c>
      <c r="Q21" s="385">
        <f>'Owner CAPEX'!Q21</f>
        <v>0</v>
      </c>
      <c r="R21" s="385">
        <f>'Owner CAPEX'!R21</f>
        <v>0</v>
      </c>
      <c r="S21" s="385">
        <f>'Owner CAPEX'!S21</f>
        <v>0</v>
      </c>
      <c r="T21" s="385">
        <f>'Owner CAPEX'!T21</f>
        <v>0</v>
      </c>
      <c r="U21" s="385">
        <f>'Owner CAPEX'!U21</f>
        <v>0</v>
      </c>
      <c r="V21" s="385">
        <f>'Owner CAPEX'!V21</f>
        <v>0</v>
      </c>
      <c r="W21" s="385">
        <f>'Owner CAPEX'!W21</f>
        <v>0</v>
      </c>
      <c r="X21" s="385">
        <f>'Owner CAPEX'!X21</f>
        <v>0</v>
      </c>
      <c r="Y21" s="385">
        <f>'Owner CAPEX'!Y21</f>
        <v>0</v>
      </c>
      <c r="Z21" s="385">
        <f>'Owner CAPEX'!Z21</f>
        <v>0</v>
      </c>
      <c r="AA21" s="385">
        <f>'Owner CAPEX'!AA21</f>
        <v>0</v>
      </c>
      <c r="AB21" s="385"/>
      <c r="AC21" s="385"/>
      <c r="AD21" s="385"/>
      <c r="AE21" s="385"/>
      <c r="AF21" s="385"/>
      <c r="AG21" s="385"/>
      <c r="AH21" s="385"/>
      <c r="AI21" s="385">
        <f>'Owner CAPEX'!AI21</f>
        <v>0</v>
      </c>
      <c r="AJ21" s="385">
        <f>'Owner CAPEX'!AJ21</f>
        <v>0</v>
      </c>
      <c r="AK21" s="385">
        <f>'Owner CAPEX'!AK21</f>
        <v>0</v>
      </c>
      <c r="AL21" s="385">
        <f>'Owner CAPEX'!AL21</f>
        <v>0</v>
      </c>
      <c r="AM21" s="385">
        <f>'Owner CAPEX'!AM21</f>
        <v>0</v>
      </c>
      <c r="AN21" s="385">
        <f>'Owner CAPEX'!AN21</f>
        <v>0</v>
      </c>
      <c r="AO21" s="385">
        <f>'Owner CAPEX'!AO21</f>
        <v>0</v>
      </c>
      <c r="AP21" s="385">
        <f>'Owner CAPEX'!AP21</f>
        <v>0</v>
      </c>
      <c r="AQ21" s="385">
        <f>'Owner CAPEX'!AQ21</f>
        <v>0</v>
      </c>
      <c r="AR21" s="385">
        <f>'Owner CAPEX'!AR21</f>
        <v>0</v>
      </c>
    </row>
    <row r="22" spans="1:44">
      <c r="A22" s="198">
        <f t="shared" si="4"/>
        <v>12</v>
      </c>
      <c r="B22" s="199" t="s">
        <v>276</v>
      </c>
      <c r="C22" s="121" t="s">
        <v>134</v>
      </c>
      <c r="D22" s="194">
        <f t="shared" si="3"/>
        <v>15</v>
      </c>
      <c r="E22" s="385">
        <f>'Owner CAPEX'!E22+'MDO CAPEX'!E16</f>
        <v>0</v>
      </c>
      <c r="F22" s="385">
        <f>'Owner CAPEX'!F22+'MDO CAPEX'!F16</f>
        <v>0</v>
      </c>
      <c r="G22" s="385">
        <f>'Owner CAPEX'!G22+'MDO CAPEX'!G16</f>
        <v>0</v>
      </c>
      <c r="H22" s="385">
        <f>'Owner CAPEX'!H22+'MDO CAPEX'!H16</f>
        <v>0</v>
      </c>
      <c r="I22" s="385">
        <f>'Owner CAPEX'!I22+'MDO CAPEX'!I16</f>
        <v>2.8256089083763327</v>
      </c>
      <c r="J22" s="385">
        <f>'Owner CAPEX'!J22+'MDO CAPEX'!J16</f>
        <v>2.0484987835200386</v>
      </c>
      <c r="K22" s="385">
        <f>'Owner CAPEX'!K22+'MDO CAPEX'!K16</f>
        <v>0</v>
      </c>
      <c r="L22" s="385">
        <f>'Owner CAPEX'!L22+'MDO CAPEX'!L16</f>
        <v>0</v>
      </c>
      <c r="M22" s="385">
        <f>'Owner CAPEX'!M22+'MDO CAPEX'!M16</f>
        <v>3.7895021789696011</v>
      </c>
      <c r="N22" s="385">
        <f>'Owner CAPEX'!N22+'MDO CAPEX'!N16</f>
        <v>0</v>
      </c>
      <c r="O22" s="385">
        <f>'Owner CAPEX'!O22+'MDO CAPEX'!O16</f>
        <v>0</v>
      </c>
      <c r="P22" s="385">
        <f>'Owner CAPEX'!P22+'MDO CAPEX'!P16</f>
        <v>0</v>
      </c>
      <c r="Q22" s="385">
        <f>'Owner CAPEX'!Q22+'MDO CAPEX'!Q16</f>
        <v>0</v>
      </c>
      <c r="R22" s="385">
        <f>'Owner CAPEX'!R22+'MDO CAPEX'!R16</f>
        <v>3.3687137395396092</v>
      </c>
      <c r="S22" s="385">
        <f>'Owner CAPEX'!S22+'MDO CAPEX'!S16</f>
        <v>0</v>
      </c>
      <c r="T22" s="385">
        <f>'Owner CAPEX'!T22+'MDO CAPEX'!T16</f>
        <v>0</v>
      </c>
      <c r="U22" s="385">
        <f>'Owner CAPEX'!U22+'MDO CAPEX'!U16</f>
        <v>0</v>
      </c>
      <c r="V22" s="385">
        <f>'Owner CAPEX'!V22+'MDO CAPEX'!V16</f>
        <v>0</v>
      </c>
      <c r="W22" s="385">
        <f>'Owner CAPEX'!W22+'MDO CAPEX'!W16</f>
        <v>2.9676763895944172</v>
      </c>
      <c r="X22" s="385">
        <f>'Owner CAPEX'!X22+'MDO CAPEX'!X16</f>
        <v>0</v>
      </c>
      <c r="Y22" s="385">
        <f>'Owner CAPEX'!Y22+'MDO CAPEX'!Y16</f>
        <v>0</v>
      </c>
      <c r="Z22" s="385">
        <f>'Owner CAPEX'!Z22+'MDO CAPEX'!Z16</f>
        <v>0</v>
      </c>
      <c r="AA22" s="385">
        <f>'Owner CAPEX'!AA22+'MDO CAPEX'!AA16</f>
        <v>0</v>
      </c>
      <c r="AB22" s="385"/>
      <c r="AC22" s="385"/>
      <c r="AD22" s="385"/>
      <c r="AE22" s="385"/>
      <c r="AF22" s="385"/>
      <c r="AG22" s="385"/>
      <c r="AH22" s="385"/>
      <c r="AI22" s="385">
        <f>'Owner CAPEX'!AI22+'MDO CAPEX'!AI16</f>
        <v>0</v>
      </c>
      <c r="AJ22" s="385">
        <f>'Owner CAPEX'!AJ22+'MDO CAPEX'!AJ16</f>
        <v>0</v>
      </c>
      <c r="AK22" s="385">
        <f>'Owner CAPEX'!AK22+'MDO CAPEX'!AK16</f>
        <v>0</v>
      </c>
      <c r="AL22" s="385">
        <f>'Owner CAPEX'!AL22+'MDO CAPEX'!AL16</f>
        <v>0</v>
      </c>
      <c r="AM22" s="385">
        <f>'Owner CAPEX'!AM22+'MDO CAPEX'!AM16</f>
        <v>0</v>
      </c>
      <c r="AN22" s="385">
        <f>'Owner CAPEX'!AN22+'MDO CAPEX'!AN16</f>
        <v>0</v>
      </c>
      <c r="AO22" s="385">
        <f>'Owner CAPEX'!AO22+'MDO CAPEX'!AO16</f>
        <v>0</v>
      </c>
      <c r="AP22" s="385">
        <f>'Owner CAPEX'!AP22+'MDO CAPEX'!AP16</f>
        <v>0</v>
      </c>
      <c r="AQ22" s="385">
        <f>'Owner CAPEX'!AQ22+'MDO CAPEX'!AQ16</f>
        <v>0</v>
      </c>
      <c r="AR22" s="385">
        <f>'Owner CAPEX'!AR22+'MDO CAPEX'!AR16</f>
        <v>0</v>
      </c>
    </row>
    <row r="23" spans="1:44">
      <c r="A23" s="198">
        <f t="shared" si="4"/>
        <v>13</v>
      </c>
      <c r="B23" s="199" t="s">
        <v>576</v>
      </c>
      <c r="C23" s="121" t="s">
        <v>134</v>
      </c>
      <c r="D23" s="194">
        <f t="shared" si="3"/>
        <v>10</v>
      </c>
      <c r="E23" s="385">
        <f>'Owner CAPEX'!E23+'MDO CAPEX'!E17</f>
        <v>0</v>
      </c>
      <c r="F23" s="385">
        <f>'Owner CAPEX'!F23+'MDO CAPEX'!F17</f>
        <v>3</v>
      </c>
      <c r="G23" s="385">
        <f>'Owner CAPEX'!G23+'MDO CAPEX'!G17</f>
        <v>5</v>
      </c>
      <c r="H23" s="385">
        <f>'Owner CAPEX'!H23+'MDO CAPEX'!H17</f>
        <v>2</v>
      </c>
      <c r="I23" s="385">
        <f>'Owner CAPEX'!I23+'MDO CAPEX'!I17</f>
        <v>0</v>
      </c>
      <c r="J23" s="385">
        <f>'Owner CAPEX'!J23+'MDO CAPEX'!J17</f>
        <v>0</v>
      </c>
      <c r="K23" s="385">
        <f>'Owner CAPEX'!K23+'MDO CAPEX'!K17</f>
        <v>0</v>
      </c>
      <c r="L23" s="385">
        <f>'Owner CAPEX'!L23+'MDO CAPEX'!L17</f>
        <v>0</v>
      </c>
      <c r="M23" s="385">
        <f>'Owner CAPEX'!M23+'MDO CAPEX'!M17</f>
        <v>0</v>
      </c>
      <c r="N23" s="385">
        <f>'Owner CAPEX'!N23+'MDO CAPEX'!N17</f>
        <v>0</v>
      </c>
      <c r="O23" s="385">
        <f>'Owner CAPEX'!O23+'MDO CAPEX'!O17</f>
        <v>0</v>
      </c>
      <c r="P23" s="385">
        <f>'Owner CAPEX'!P23+'MDO CAPEX'!P17</f>
        <v>0</v>
      </c>
      <c r="Q23" s="385">
        <f>'Owner CAPEX'!Q23+'MDO CAPEX'!Q17</f>
        <v>0</v>
      </c>
      <c r="R23" s="385">
        <f>'Owner CAPEX'!R23+'MDO CAPEX'!R17</f>
        <v>0</v>
      </c>
      <c r="S23" s="385">
        <f>'Owner CAPEX'!S23+'MDO CAPEX'!S17</f>
        <v>0</v>
      </c>
      <c r="T23" s="385">
        <f>'Owner CAPEX'!T23+'MDO CAPEX'!T17</f>
        <v>0</v>
      </c>
      <c r="U23" s="385">
        <f>'Owner CAPEX'!U23+'MDO CAPEX'!U17</f>
        <v>0</v>
      </c>
      <c r="V23" s="385">
        <f>'Owner CAPEX'!V23+'MDO CAPEX'!V17</f>
        <v>0</v>
      </c>
      <c r="W23" s="385">
        <f>'Owner CAPEX'!W23+'MDO CAPEX'!W17</f>
        <v>0</v>
      </c>
      <c r="X23" s="385">
        <f>'Owner CAPEX'!X23+'MDO CAPEX'!X17</f>
        <v>0</v>
      </c>
      <c r="Y23" s="385">
        <f>'Owner CAPEX'!Y23+'MDO CAPEX'!Y17</f>
        <v>0</v>
      </c>
      <c r="Z23" s="385">
        <f>'Owner CAPEX'!Z23+'MDO CAPEX'!Z17</f>
        <v>0</v>
      </c>
      <c r="AA23" s="385">
        <f>'Owner CAPEX'!AA23+'MDO CAPEX'!AA17</f>
        <v>0</v>
      </c>
      <c r="AB23" s="385"/>
      <c r="AC23" s="385"/>
      <c r="AD23" s="385"/>
      <c r="AE23" s="385"/>
      <c r="AF23" s="385"/>
      <c r="AG23" s="385"/>
      <c r="AH23" s="385"/>
      <c r="AI23" s="385">
        <f>'Owner CAPEX'!AI23+'MDO CAPEX'!AI17</f>
        <v>0</v>
      </c>
      <c r="AJ23" s="385">
        <f>'Owner CAPEX'!AJ23+'MDO CAPEX'!AJ17</f>
        <v>0</v>
      </c>
      <c r="AK23" s="385">
        <f>'Owner CAPEX'!AK23+'MDO CAPEX'!AK17</f>
        <v>0</v>
      </c>
      <c r="AL23" s="385">
        <f>'Owner CAPEX'!AL23+'MDO CAPEX'!AL17</f>
        <v>0</v>
      </c>
      <c r="AM23" s="385">
        <f>'Owner CAPEX'!AM23+'MDO CAPEX'!AM17</f>
        <v>0</v>
      </c>
      <c r="AN23" s="385">
        <f>'Owner CAPEX'!AN23+'MDO CAPEX'!AN17</f>
        <v>0</v>
      </c>
      <c r="AO23" s="385">
        <f>'Owner CAPEX'!AO23+'MDO CAPEX'!AO17</f>
        <v>0</v>
      </c>
      <c r="AP23" s="385">
        <f>'Owner CAPEX'!AP23+'MDO CAPEX'!AP17</f>
        <v>0</v>
      </c>
      <c r="AQ23" s="385">
        <f>'Owner CAPEX'!AQ23+'MDO CAPEX'!AQ17</f>
        <v>0</v>
      </c>
      <c r="AR23" s="385">
        <f>'Owner CAPEX'!AR23+'MDO CAPEX'!AR17</f>
        <v>0</v>
      </c>
    </row>
    <row r="24" spans="1:44">
      <c r="A24" s="198">
        <f t="shared" si="4"/>
        <v>14</v>
      </c>
      <c r="B24" s="199" t="s">
        <v>577</v>
      </c>
      <c r="C24" s="121" t="s">
        <v>134</v>
      </c>
      <c r="D24" s="194">
        <f t="shared" ca="1" si="3"/>
        <v>617.48263888705969</v>
      </c>
      <c r="E24" s="385">
        <f ca="1">'Owner CAPEX'!E24+'MDO CAPEX'!E18</f>
        <v>17.116538999999996</v>
      </c>
      <c r="F24" s="385">
        <f ca="1">'Owner CAPEX'!F24+'MDO CAPEX'!F18</f>
        <v>44.800128191309994</v>
      </c>
      <c r="G24" s="385">
        <f ca="1">'Owner CAPEX'!G24+'MDO CAPEX'!G18</f>
        <v>88.397465127540002</v>
      </c>
      <c r="H24" s="385">
        <f ca="1">'Owner CAPEX'!H24+'MDO CAPEX'!H18</f>
        <v>67.485215127539988</v>
      </c>
      <c r="I24" s="385">
        <f>'Owner CAPEX'!I24+'MDO CAPEX'!I18</f>
        <v>60.326308066771446</v>
      </c>
      <c r="J24" s="385">
        <f>'Owner CAPEX'!J24+'MDO CAPEX'!J18</f>
        <v>24.236479198829468</v>
      </c>
      <c r="K24" s="385">
        <f>'Owner CAPEX'!K24+'MDO CAPEX'!K18</f>
        <v>27.916778201329073</v>
      </c>
      <c r="L24" s="385">
        <f>'Owner CAPEX'!L24+'MDO CAPEX'!L18</f>
        <v>76.665102211219036</v>
      </c>
      <c r="M24" s="385">
        <f>'Owner CAPEX'!M24+'MDO CAPEX'!M18</f>
        <v>42.78156840345018</v>
      </c>
      <c r="N24" s="385">
        <f>'Owner CAPEX'!N24+'MDO CAPEX'!N18</f>
        <v>57.033894737631684</v>
      </c>
      <c r="O24" s="385">
        <f>'Owner CAPEX'!O24+'MDO CAPEX'!O18</f>
        <v>39.059487137631685</v>
      </c>
      <c r="P24" s="385">
        <f>'Owner CAPEX'!P24+'MDO CAPEX'!P18</f>
        <v>38.783157137631683</v>
      </c>
      <c r="Q24" s="385">
        <f>'Owner CAPEX'!Q24+'MDO CAPEX'!Q18</f>
        <v>23.054606671759544</v>
      </c>
      <c r="R24" s="385">
        <f>'Owner CAPEX'!R24+'MDO CAPEX'!R18</f>
        <v>3.6015275432859024</v>
      </c>
      <c r="S24" s="385">
        <f>'Owner CAPEX'!S24+'MDO CAPEX'!S18</f>
        <v>4.3975806726909887</v>
      </c>
      <c r="T24" s="385">
        <f>'Owner CAPEX'!T24+'MDO CAPEX'!T18</f>
        <v>0</v>
      </c>
      <c r="U24" s="385">
        <f>'Owner CAPEX'!U24+'MDO CAPEX'!U18</f>
        <v>0.55266000000000004</v>
      </c>
      <c r="V24" s="385">
        <f>'Owner CAPEX'!V24+'MDO CAPEX'!V18</f>
        <v>0.27633000000000002</v>
      </c>
      <c r="W24" s="385">
        <f>'Owner CAPEX'!W24+'MDO CAPEX'!W18</f>
        <v>0.99781145843916252</v>
      </c>
      <c r="X24" s="385">
        <f>'Owner CAPEX'!X24+'MDO CAPEX'!X18</f>
        <v>0</v>
      </c>
      <c r="Y24" s="385">
        <f>'Owner CAPEX'!Y24+'MDO CAPEX'!Y18</f>
        <v>0</v>
      </c>
      <c r="Z24" s="385">
        <f>'Owner CAPEX'!Z24+'MDO CAPEX'!Z18</f>
        <v>0</v>
      </c>
      <c r="AA24" s="385">
        <f>'Owner CAPEX'!AA24+'MDO CAPEX'!AA18</f>
        <v>0</v>
      </c>
      <c r="AB24" s="385"/>
      <c r="AC24" s="385"/>
      <c r="AD24" s="385"/>
      <c r="AE24" s="385"/>
      <c r="AF24" s="385"/>
      <c r="AG24" s="385"/>
      <c r="AH24" s="385"/>
      <c r="AI24" s="385">
        <f>'Owner CAPEX'!AI24+'MDO CAPEX'!AI18</f>
        <v>0</v>
      </c>
      <c r="AJ24" s="385">
        <f>'Owner CAPEX'!AJ24+'MDO CAPEX'!AJ18</f>
        <v>0</v>
      </c>
      <c r="AK24" s="385">
        <f>'Owner CAPEX'!AK24+'MDO CAPEX'!AK18</f>
        <v>0</v>
      </c>
      <c r="AL24" s="385">
        <f>'Owner CAPEX'!AL24+'MDO CAPEX'!AL18</f>
        <v>0</v>
      </c>
      <c r="AM24" s="385">
        <f>'Owner CAPEX'!AM24+'MDO CAPEX'!AM18</f>
        <v>0</v>
      </c>
      <c r="AN24" s="385">
        <f>'Owner CAPEX'!AN24+'MDO CAPEX'!AN18</f>
        <v>0</v>
      </c>
      <c r="AO24" s="385">
        <f>'Owner CAPEX'!AO24+'MDO CAPEX'!AO18</f>
        <v>0</v>
      </c>
      <c r="AP24" s="385">
        <f>'Owner CAPEX'!AP24+'MDO CAPEX'!AP18</f>
        <v>0</v>
      </c>
      <c r="AQ24" s="385">
        <f>'Owner CAPEX'!AQ24+'MDO CAPEX'!AQ18</f>
        <v>0</v>
      </c>
      <c r="AR24" s="385">
        <f>'Owner CAPEX'!AR24+'MDO CAPEX'!AR18</f>
        <v>0</v>
      </c>
    </row>
    <row r="25" spans="1:44">
      <c r="A25" s="198">
        <f t="shared" si="4"/>
        <v>15</v>
      </c>
      <c r="B25" s="199" t="s">
        <v>281</v>
      </c>
      <c r="C25" s="121" t="s">
        <v>134</v>
      </c>
      <c r="D25" s="194">
        <f t="shared" ca="1" si="3"/>
        <v>0</v>
      </c>
      <c r="E25" s="385">
        <f ca="1">'Owner CAPEX'!E25+'MDO CAPEX'!E19</f>
        <v>0</v>
      </c>
      <c r="F25" s="385">
        <f ca="1">'Owner CAPEX'!F25+'MDO CAPEX'!F19</f>
        <v>0</v>
      </c>
      <c r="G25" s="385">
        <f ca="1">'Owner CAPEX'!G25+'MDO CAPEX'!G19</f>
        <v>0</v>
      </c>
      <c r="H25" s="385">
        <f ca="1">'Owner CAPEX'!H25+'MDO CAPEX'!H19</f>
        <v>0</v>
      </c>
      <c r="I25" s="385">
        <f>'Owner CAPEX'!I25+'MDO CAPEX'!I19</f>
        <v>0</v>
      </c>
      <c r="J25" s="385">
        <f>'Owner CAPEX'!J25+'MDO CAPEX'!J19</f>
        <v>0</v>
      </c>
      <c r="K25" s="385">
        <f>'Owner CAPEX'!K25+'MDO CAPEX'!K19</f>
        <v>0</v>
      </c>
      <c r="L25" s="385">
        <f>'Owner CAPEX'!L25+'MDO CAPEX'!L19</f>
        <v>0</v>
      </c>
      <c r="M25" s="385">
        <f>'Owner CAPEX'!M25+'MDO CAPEX'!M19</f>
        <v>0</v>
      </c>
      <c r="N25" s="385">
        <f>'Owner CAPEX'!N25+'MDO CAPEX'!N19</f>
        <v>0</v>
      </c>
      <c r="O25" s="385">
        <f>'Owner CAPEX'!O25+'MDO CAPEX'!O19</f>
        <v>0</v>
      </c>
      <c r="P25" s="385">
        <f>'Owner CAPEX'!P25+'MDO CAPEX'!P19</f>
        <v>0</v>
      </c>
      <c r="Q25" s="385">
        <f>'Owner CAPEX'!Q25+'MDO CAPEX'!Q19</f>
        <v>0</v>
      </c>
      <c r="R25" s="385">
        <f>'Owner CAPEX'!R25+'MDO CAPEX'!R19</f>
        <v>0</v>
      </c>
      <c r="S25" s="385">
        <f>'Owner CAPEX'!S25+'MDO CAPEX'!S19</f>
        <v>0</v>
      </c>
      <c r="T25" s="385">
        <f>'Owner CAPEX'!T25+'MDO CAPEX'!T19</f>
        <v>0</v>
      </c>
      <c r="U25" s="385">
        <f>'Owner CAPEX'!U25+'MDO CAPEX'!U19</f>
        <v>0</v>
      </c>
      <c r="V25" s="385">
        <f>'Owner CAPEX'!V25+'MDO CAPEX'!V19</f>
        <v>0</v>
      </c>
      <c r="W25" s="385">
        <f>'Owner CAPEX'!W25+'MDO CAPEX'!W19</f>
        <v>0</v>
      </c>
      <c r="X25" s="385">
        <f>'Owner CAPEX'!X25+'MDO CAPEX'!X19</f>
        <v>0</v>
      </c>
      <c r="Y25" s="385">
        <f>'Owner CAPEX'!Y25+'MDO CAPEX'!Y19</f>
        <v>0</v>
      </c>
      <c r="Z25" s="385">
        <f>'Owner CAPEX'!Z25+'MDO CAPEX'!Z19</f>
        <v>0</v>
      </c>
      <c r="AA25" s="385">
        <f>'Owner CAPEX'!AA25+'MDO CAPEX'!AA19</f>
        <v>0</v>
      </c>
      <c r="AB25" s="385"/>
      <c r="AC25" s="385"/>
      <c r="AD25" s="385"/>
      <c r="AE25" s="385"/>
      <c r="AF25" s="385"/>
      <c r="AG25" s="385"/>
      <c r="AH25" s="385"/>
      <c r="AI25" s="385">
        <f>'Owner CAPEX'!AI25+'MDO CAPEX'!AI19</f>
        <v>0</v>
      </c>
      <c r="AJ25" s="385">
        <f>'Owner CAPEX'!AJ25+'MDO CAPEX'!AJ19</f>
        <v>0</v>
      </c>
      <c r="AK25" s="385">
        <f>'Owner CAPEX'!AK25+'MDO CAPEX'!AK19</f>
        <v>0</v>
      </c>
      <c r="AL25" s="385">
        <f>'Owner CAPEX'!AL25+'MDO CAPEX'!AL19</f>
        <v>0</v>
      </c>
      <c r="AM25" s="385">
        <f>'Owner CAPEX'!AM25+'MDO CAPEX'!AM19</f>
        <v>0</v>
      </c>
      <c r="AN25" s="385">
        <f>'Owner CAPEX'!AN25+'MDO CAPEX'!AN19</f>
        <v>0</v>
      </c>
      <c r="AO25" s="385">
        <f>'Owner CAPEX'!AO25+'MDO CAPEX'!AO19</f>
        <v>0</v>
      </c>
      <c r="AP25" s="385">
        <f>'Owner CAPEX'!AP25+'MDO CAPEX'!AP19</f>
        <v>0</v>
      </c>
      <c r="AQ25" s="385">
        <f>'Owner CAPEX'!AQ25+'MDO CAPEX'!AQ19</f>
        <v>0</v>
      </c>
      <c r="AR25" s="385">
        <f>'Owner CAPEX'!AR25+'MDO CAPEX'!AR19</f>
        <v>0</v>
      </c>
    </row>
    <row r="26" spans="1:44" ht="21.5" customHeight="1">
      <c r="A26" s="117"/>
      <c r="B26" s="1224" t="s">
        <v>162</v>
      </c>
      <c r="C26" s="1225" t="s">
        <v>134</v>
      </c>
      <c r="D26" s="1226">
        <f t="shared" ref="D26:AA26" ca="1" si="5">SUM(D11:D25)</f>
        <v>4833.1035648007928</v>
      </c>
      <c r="E26" s="1227">
        <f t="shared" ca="1" si="5"/>
        <v>155.99429899999996</v>
      </c>
      <c r="F26" s="1227">
        <f t="shared" ca="1" si="5"/>
        <v>343.46764946670999</v>
      </c>
      <c r="G26" s="1227">
        <f t="shared" ca="1" si="5"/>
        <v>677.71389931114004</v>
      </c>
      <c r="H26" s="1227">
        <f t="shared" ca="1" si="5"/>
        <v>542.15414931113992</v>
      </c>
      <c r="I26" s="1227">
        <f t="shared" si="5"/>
        <v>512.03669517858111</v>
      </c>
      <c r="J26" s="1227">
        <f t="shared" si="5"/>
        <v>185.81300719102592</v>
      </c>
      <c r="K26" s="1227">
        <f t="shared" si="5"/>
        <v>214.02863287685622</v>
      </c>
      <c r="L26" s="1227">
        <f t="shared" si="5"/>
        <v>587.76578361934594</v>
      </c>
      <c r="M26" s="1227">
        <f t="shared" si="5"/>
        <v>327.99202442645139</v>
      </c>
      <c r="N26" s="1227">
        <f t="shared" si="5"/>
        <v>437.25985965517623</v>
      </c>
      <c r="O26" s="1227">
        <f t="shared" si="5"/>
        <v>299.45606805517622</v>
      </c>
      <c r="P26" s="1227">
        <f t="shared" si="5"/>
        <v>297.33753805517625</v>
      </c>
      <c r="Q26" s="1227">
        <f t="shared" si="5"/>
        <v>176.75198448348982</v>
      </c>
      <c r="R26" s="1227">
        <f t="shared" si="5"/>
        <v>27.61171116519192</v>
      </c>
      <c r="S26" s="1227">
        <f t="shared" si="5"/>
        <v>33.714785157297584</v>
      </c>
      <c r="T26" s="1227">
        <f t="shared" si="5"/>
        <v>0</v>
      </c>
      <c r="U26" s="1227">
        <f t="shared" si="5"/>
        <v>4.2370600000000005</v>
      </c>
      <c r="V26" s="1227">
        <f t="shared" si="5"/>
        <v>2.1185300000000002</v>
      </c>
      <c r="W26" s="1227">
        <f t="shared" si="5"/>
        <v>7.6498878480335799</v>
      </c>
      <c r="X26" s="1227">
        <f t="shared" si="5"/>
        <v>0</v>
      </c>
      <c r="Y26" s="1227">
        <f t="shared" si="5"/>
        <v>0</v>
      </c>
      <c r="Z26" s="1227">
        <f t="shared" si="5"/>
        <v>0</v>
      </c>
      <c r="AA26" s="1227">
        <f t="shared" si="5"/>
        <v>0</v>
      </c>
      <c r="AB26" s="1227"/>
      <c r="AC26" s="1227"/>
      <c r="AD26" s="1227"/>
      <c r="AE26" s="1227"/>
      <c r="AF26" s="1227"/>
      <c r="AG26" s="1227"/>
      <c r="AH26" s="1227"/>
      <c r="AI26" s="1227">
        <f t="shared" ref="AI26:AR26" si="6">SUM(AI11:AI25)</f>
        <v>0</v>
      </c>
      <c r="AJ26" s="1227">
        <f t="shared" si="6"/>
        <v>0</v>
      </c>
      <c r="AK26" s="1227">
        <f t="shared" si="6"/>
        <v>0</v>
      </c>
      <c r="AL26" s="1227">
        <f t="shared" si="6"/>
        <v>0</v>
      </c>
      <c r="AM26" s="1227">
        <f t="shared" si="6"/>
        <v>0</v>
      </c>
      <c r="AN26" s="1227">
        <f t="shared" si="6"/>
        <v>0</v>
      </c>
      <c r="AO26" s="1227">
        <f t="shared" si="6"/>
        <v>0</v>
      </c>
      <c r="AP26" s="1227">
        <f t="shared" si="6"/>
        <v>0</v>
      </c>
      <c r="AQ26" s="1227">
        <f t="shared" si="6"/>
        <v>0</v>
      </c>
      <c r="AR26" s="1227">
        <f t="shared" si="6"/>
        <v>0</v>
      </c>
    </row>
    <row r="27" spans="1:44">
      <c r="A27" s="121"/>
      <c r="B27" s="199"/>
      <c r="C27" s="121"/>
      <c r="D27" s="190"/>
    </row>
    <row r="28" spans="1:44">
      <c r="A28" s="121"/>
      <c r="B28" s="200"/>
      <c r="C28" s="121"/>
      <c r="D28" s="194"/>
    </row>
    <row r="29" spans="1:44">
      <c r="A29" s="121"/>
      <c r="B29" s="200" t="s">
        <v>578</v>
      </c>
      <c r="C29" s="117"/>
      <c r="D29" s="197"/>
      <c r="E29" s="201">
        <f t="shared" ref="E29:AA29" si="7">E9</f>
        <v>46023</v>
      </c>
      <c r="F29" s="201">
        <f t="shared" si="7"/>
        <v>46389</v>
      </c>
      <c r="G29" s="201">
        <f t="shared" si="7"/>
        <v>46755</v>
      </c>
      <c r="H29" s="201">
        <f t="shared" si="7"/>
        <v>47121</v>
      </c>
      <c r="I29" s="201">
        <f t="shared" si="7"/>
        <v>47487</v>
      </c>
      <c r="J29" s="201">
        <f t="shared" si="7"/>
        <v>47853</v>
      </c>
      <c r="K29" s="201">
        <f t="shared" si="7"/>
        <v>48219</v>
      </c>
      <c r="L29" s="201">
        <f t="shared" si="7"/>
        <v>48585</v>
      </c>
      <c r="M29" s="201">
        <f t="shared" si="7"/>
        <v>48951</v>
      </c>
      <c r="N29" s="201">
        <f t="shared" si="7"/>
        <v>49317</v>
      </c>
      <c r="O29" s="201">
        <f t="shared" si="7"/>
        <v>49683</v>
      </c>
      <c r="P29" s="201">
        <f t="shared" si="7"/>
        <v>50049</v>
      </c>
      <c r="Q29" s="201">
        <f t="shared" si="7"/>
        <v>50415</v>
      </c>
      <c r="R29" s="201">
        <f t="shared" si="7"/>
        <v>50781</v>
      </c>
      <c r="S29" s="201">
        <f t="shared" si="7"/>
        <v>51147</v>
      </c>
      <c r="T29" s="201">
        <f t="shared" si="7"/>
        <v>51513</v>
      </c>
      <c r="U29" s="201">
        <f t="shared" si="7"/>
        <v>51879</v>
      </c>
      <c r="V29" s="201">
        <f t="shared" si="7"/>
        <v>52245</v>
      </c>
      <c r="W29" s="201">
        <f t="shared" si="7"/>
        <v>52611</v>
      </c>
      <c r="X29" s="201">
        <f t="shared" si="7"/>
        <v>52977</v>
      </c>
      <c r="Y29" s="201">
        <f t="shared" si="7"/>
        <v>53343</v>
      </c>
      <c r="Z29" s="201">
        <f t="shared" si="7"/>
        <v>53709</v>
      </c>
      <c r="AA29" s="201">
        <f t="shared" si="7"/>
        <v>54075</v>
      </c>
      <c r="AB29" s="201"/>
      <c r="AC29" s="201"/>
      <c r="AD29" s="201"/>
      <c r="AE29" s="201"/>
      <c r="AF29" s="201"/>
      <c r="AG29" s="201"/>
      <c r="AH29" s="201"/>
      <c r="AI29" s="201">
        <f t="shared" ref="AI29:AO30" si="8">AI9</f>
        <v>0</v>
      </c>
      <c r="AJ29" s="201">
        <f t="shared" si="8"/>
        <v>0</v>
      </c>
      <c r="AK29" s="201">
        <f t="shared" si="8"/>
        <v>0</v>
      </c>
      <c r="AL29" s="201">
        <f t="shared" si="8"/>
        <v>0</v>
      </c>
      <c r="AM29" s="201">
        <f t="shared" si="8"/>
        <v>0</v>
      </c>
      <c r="AN29" s="201">
        <f t="shared" si="8"/>
        <v>0</v>
      </c>
      <c r="AO29" s="201">
        <f t="shared" si="8"/>
        <v>0</v>
      </c>
      <c r="AP29" s="201"/>
      <c r="AQ29" s="201"/>
      <c r="AR29" s="201"/>
    </row>
    <row r="30" spans="1:44">
      <c r="A30" s="117"/>
      <c r="B30" s="1228" t="s">
        <v>94</v>
      </c>
      <c r="C30" s="788" t="s">
        <v>95</v>
      </c>
      <c r="D30" s="1223" t="s">
        <v>96</v>
      </c>
      <c r="E30" s="1141">
        <f t="shared" ref="E30:AA30" si="9">E10</f>
        <v>-4</v>
      </c>
      <c r="F30" s="1141">
        <f t="shared" si="9"/>
        <v>-3</v>
      </c>
      <c r="G30" s="1141">
        <f t="shared" si="9"/>
        <v>-2</v>
      </c>
      <c r="H30" s="1141">
        <f t="shared" si="9"/>
        <v>-1</v>
      </c>
      <c r="I30" s="1141">
        <f t="shared" si="9"/>
        <v>1</v>
      </c>
      <c r="J30" s="1141">
        <f t="shared" si="9"/>
        <v>2</v>
      </c>
      <c r="K30" s="1141">
        <f t="shared" si="9"/>
        <v>3</v>
      </c>
      <c r="L30" s="1141">
        <f t="shared" si="9"/>
        <v>4</v>
      </c>
      <c r="M30" s="1141">
        <f t="shared" si="9"/>
        <v>5</v>
      </c>
      <c r="N30" s="1141">
        <f t="shared" si="9"/>
        <v>6</v>
      </c>
      <c r="O30" s="1141">
        <f t="shared" si="9"/>
        <v>7</v>
      </c>
      <c r="P30" s="1141">
        <f t="shared" si="9"/>
        <v>8</v>
      </c>
      <c r="Q30" s="1141">
        <f t="shared" si="9"/>
        <v>9</v>
      </c>
      <c r="R30" s="1141">
        <f t="shared" si="9"/>
        <v>10</v>
      </c>
      <c r="S30" s="1141">
        <f t="shared" si="9"/>
        <v>11</v>
      </c>
      <c r="T30" s="1141">
        <f t="shared" si="9"/>
        <v>12</v>
      </c>
      <c r="U30" s="1141">
        <f t="shared" si="9"/>
        <v>13</v>
      </c>
      <c r="V30" s="1141">
        <f t="shared" si="9"/>
        <v>14</v>
      </c>
      <c r="W30" s="1141">
        <f t="shared" si="9"/>
        <v>15</v>
      </c>
      <c r="X30" s="1141">
        <f t="shared" si="9"/>
        <v>16</v>
      </c>
      <c r="Y30" s="1141">
        <f t="shared" si="9"/>
        <v>17</v>
      </c>
      <c r="Z30" s="1141">
        <f t="shared" si="9"/>
        <v>18</v>
      </c>
      <c r="AA30" s="1141">
        <f t="shared" si="9"/>
        <v>19</v>
      </c>
      <c r="AB30" s="1141"/>
      <c r="AC30" s="1141"/>
      <c r="AD30" s="1141"/>
      <c r="AE30" s="1141"/>
      <c r="AF30" s="1141"/>
      <c r="AG30" s="1141"/>
      <c r="AH30" s="1141"/>
      <c r="AI30" s="1141">
        <f t="shared" si="8"/>
        <v>0</v>
      </c>
      <c r="AJ30" s="1141">
        <f t="shared" si="8"/>
        <v>0</v>
      </c>
      <c r="AK30" s="1141">
        <f t="shared" si="8"/>
        <v>0</v>
      </c>
      <c r="AL30" s="1141">
        <f t="shared" si="8"/>
        <v>0</v>
      </c>
      <c r="AM30" s="1141">
        <f t="shared" si="8"/>
        <v>0</v>
      </c>
      <c r="AN30" s="1141">
        <f t="shared" si="8"/>
        <v>0</v>
      </c>
      <c r="AO30" s="1141">
        <f t="shared" si="8"/>
        <v>0</v>
      </c>
      <c r="AP30" s="1141">
        <f>AP10</f>
        <v>0</v>
      </c>
      <c r="AQ30" s="1141">
        <f>AQ10</f>
        <v>0</v>
      </c>
      <c r="AR30" s="1141">
        <f>AR10</f>
        <v>0</v>
      </c>
    </row>
    <row r="31" spans="1:44">
      <c r="A31" s="198">
        <f t="shared" ref="A31:A38" si="10">A11</f>
        <v>1</v>
      </c>
      <c r="B31" s="199" t="s">
        <v>579</v>
      </c>
      <c r="C31" s="121" t="s">
        <v>134</v>
      </c>
      <c r="D31" s="194">
        <f t="shared" ref="D31:D38" si="11">+SUM(E31:AR31)</f>
        <v>1365.0487594828739</v>
      </c>
      <c r="E31" s="385">
        <f>'Owner CAPEX'!E31+'MDO CAPEX'!E25</f>
        <v>0</v>
      </c>
      <c r="F31" s="385">
        <f>'Owner CAPEX'!F31+'MDO CAPEX'!F25</f>
        <v>0</v>
      </c>
      <c r="G31" s="385">
        <f>'Owner CAPEX'!G31+'MDO CAPEX'!G25</f>
        <v>0</v>
      </c>
      <c r="H31" s="385">
        <f>'Owner CAPEX'!H31+'MDO CAPEX'!H25</f>
        <v>0</v>
      </c>
      <c r="I31" s="385">
        <f>'Owner CAPEX'!I31+'MDO CAPEX'!I25</f>
        <v>0</v>
      </c>
      <c r="J31" s="385">
        <f>'Owner CAPEX'!J31+'MDO CAPEX'!J25</f>
        <v>0</v>
      </c>
      <c r="K31" s="385">
        <f>'Owner CAPEX'!K31+'MDO CAPEX'!K25</f>
        <v>0</v>
      </c>
      <c r="L31" s="385">
        <f>'Owner CAPEX'!L31+'MDO CAPEX'!L25</f>
        <v>0</v>
      </c>
      <c r="M31" s="385">
        <f>'Owner CAPEX'!M31+'MDO CAPEX'!M25</f>
        <v>0</v>
      </c>
      <c r="N31" s="385">
        <f>'Owner CAPEX'!N31+'MDO CAPEX'!N25</f>
        <v>76.680000000000007</v>
      </c>
      <c r="O31" s="385">
        <f>'Owner CAPEX'!O31+'MDO CAPEX'!O25</f>
        <v>25.3156</v>
      </c>
      <c r="P31" s="385">
        <f>'Owner CAPEX'!P31+'MDO CAPEX'!P25</f>
        <v>79.373661163960321</v>
      </c>
      <c r="Q31" s="385">
        <f>'Owner CAPEX'!Q31+'MDO CAPEX'!Q25</f>
        <v>152.65219999999999</v>
      </c>
      <c r="R31" s="385">
        <f>'Owner CAPEX'!R31+'MDO CAPEX'!R25</f>
        <v>73.456861163960312</v>
      </c>
      <c r="S31" s="385">
        <f>'Owner CAPEX'!S31+'MDO CAPEX'!S25</f>
        <v>94.363200000000006</v>
      </c>
      <c r="T31" s="385">
        <f>'Owner CAPEX'!T31+'MDO CAPEX'!T25</f>
        <v>26.558854800000002</v>
      </c>
      <c r="U31" s="385">
        <f>'Owner CAPEX'!U31+'MDO CAPEX'!U25</f>
        <v>80.112400000000008</v>
      </c>
      <c r="V31" s="385">
        <f>'Owner CAPEX'!V31+'MDO CAPEX'!V25</f>
        <v>232.38658279999999</v>
      </c>
      <c r="W31" s="385">
        <f>'Owner CAPEX'!W31+'MDO CAPEX'!W25</f>
        <v>42.660029163960317</v>
      </c>
      <c r="X31" s="385">
        <f>'Owner CAPEX'!X31+'MDO CAPEX'!X25</f>
        <v>203.02134661351636</v>
      </c>
      <c r="Y31" s="385">
        <f>'Owner CAPEX'!Y31+'MDO CAPEX'!Y25</f>
        <v>28.090261163960317</v>
      </c>
      <c r="Z31" s="385">
        <f>'Owner CAPEX'!Z31+'MDO CAPEX'!Z25</f>
        <v>93.352162613516413</v>
      </c>
      <c r="AA31" s="385">
        <f>'Owner CAPEX'!AA31+'MDO CAPEX'!AA25</f>
        <v>157.0256</v>
      </c>
      <c r="AB31" s="385"/>
      <c r="AC31" s="385"/>
      <c r="AD31" s="385"/>
      <c r="AE31" s="385"/>
      <c r="AF31" s="385"/>
      <c r="AG31" s="385"/>
      <c r="AH31" s="385"/>
      <c r="AI31" s="385">
        <f>'Owner CAPEX'!AI31+'MDO CAPEX'!AI25</f>
        <v>0</v>
      </c>
      <c r="AJ31" s="385">
        <f>'Owner CAPEX'!AJ31+'MDO CAPEX'!AJ25</f>
        <v>0</v>
      </c>
      <c r="AK31" s="385">
        <f>'Owner CAPEX'!AK31+'MDO CAPEX'!AK25</f>
        <v>0</v>
      </c>
      <c r="AL31" s="385">
        <f>'Owner CAPEX'!AL31+'MDO CAPEX'!AL25</f>
        <v>0</v>
      </c>
      <c r="AM31" s="385">
        <f>'Owner CAPEX'!AM31+'MDO CAPEX'!AM25</f>
        <v>0</v>
      </c>
      <c r="AN31" s="385">
        <f>'Owner CAPEX'!AN31+'MDO CAPEX'!AN25</f>
        <v>0</v>
      </c>
      <c r="AO31" s="385">
        <f>'Owner CAPEX'!AO31+'MDO CAPEX'!AO25</f>
        <v>0</v>
      </c>
      <c r="AP31" s="385">
        <f>'Owner CAPEX'!AP31+'MDO CAPEX'!AP25</f>
        <v>0</v>
      </c>
      <c r="AQ31" s="385">
        <f>'Owner CAPEX'!AQ31+'MDO CAPEX'!AQ25</f>
        <v>0</v>
      </c>
      <c r="AR31" s="385">
        <f>'Owner CAPEX'!AR31+'MDO CAPEX'!AR25</f>
        <v>0</v>
      </c>
    </row>
    <row r="32" spans="1:44">
      <c r="A32" s="198">
        <f t="shared" si="10"/>
        <v>2</v>
      </c>
      <c r="B32" s="199" t="str">
        <f>B16</f>
        <v>CHP</v>
      </c>
      <c r="C32" s="121" t="s">
        <v>134</v>
      </c>
      <c r="D32" s="194">
        <f t="shared" si="11"/>
        <v>20.1114</v>
      </c>
      <c r="E32" s="385">
        <f>'Owner CAPEX'!E32</f>
        <v>0</v>
      </c>
      <c r="F32" s="385">
        <f>'Owner CAPEX'!F32</f>
        <v>0</v>
      </c>
      <c r="G32" s="385">
        <f>'Owner CAPEX'!G32</f>
        <v>0</v>
      </c>
      <c r="H32" s="385">
        <f>'Owner CAPEX'!H32</f>
        <v>0</v>
      </c>
      <c r="I32" s="385">
        <f>'Owner CAPEX'!I32</f>
        <v>0</v>
      </c>
      <c r="J32" s="385">
        <f>'Owner CAPEX'!J32</f>
        <v>0</v>
      </c>
      <c r="K32" s="385">
        <f>'Owner CAPEX'!K32</f>
        <v>0</v>
      </c>
      <c r="L32" s="385">
        <f>'Owner CAPEX'!L32</f>
        <v>0</v>
      </c>
      <c r="M32" s="385">
        <f>'Owner CAPEX'!M32</f>
        <v>0</v>
      </c>
      <c r="N32" s="385">
        <f>'Owner CAPEX'!N32</f>
        <v>0</v>
      </c>
      <c r="O32" s="385">
        <f>'Owner CAPEX'!O32</f>
        <v>0</v>
      </c>
      <c r="P32" s="385">
        <f>'Owner CAPEX'!P32</f>
        <v>10.0557</v>
      </c>
      <c r="Q32" s="385">
        <f>'Owner CAPEX'!Q32</f>
        <v>0</v>
      </c>
      <c r="R32" s="385">
        <f>'Owner CAPEX'!R32</f>
        <v>0</v>
      </c>
      <c r="S32" s="385">
        <f>'Owner CAPEX'!S32</f>
        <v>0</v>
      </c>
      <c r="T32" s="385">
        <f>'Owner CAPEX'!T32</f>
        <v>0</v>
      </c>
      <c r="U32" s="385">
        <f>'Owner CAPEX'!U32</f>
        <v>0</v>
      </c>
      <c r="V32" s="385">
        <f>'Owner CAPEX'!V32</f>
        <v>0</v>
      </c>
      <c r="W32" s="385">
        <f>'Owner CAPEX'!W32</f>
        <v>0</v>
      </c>
      <c r="X32" s="385">
        <f>'Owner CAPEX'!X32</f>
        <v>10.0557</v>
      </c>
      <c r="Y32" s="385">
        <f>'Owner CAPEX'!Y32</f>
        <v>0</v>
      </c>
      <c r="Z32" s="385">
        <f>'Owner CAPEX'!Z32</f>
        <v>0</v>
      </c>
      <c r="AA32" s="385">
        <f>'Owner CAPEX'!AA32</f>
        <v>0</v>
      </c>
      <c r="AB32" s="385"/>
      <c r="AC32" s="385"/>
      <c r="AD32" s="385"/>
      <c r="AE32" s="385"/>
      <c r="AF32" s="385"/>
      <c r="AG32" s="385"/>
      <c r="AH32" s="385"/>
      <c r="AI32" s="385">
        <f>'Owner CAPEX'!AI32</f>
        <v>0</v>
      </c>
      <c r="AJ32" s="385">
        <f>'Owner CAPEX'!AJ32</f>
        <v>0</v>
      </c>
      <c r="AK32" s="385">
        <f>'Owner CAPEX'!AK32</f>
        <v>0</v>
      </c>
      <c r="AL32" s="385">
        <f>'Owner CAPEX'!AL32</f>
        <v>0</v>
      </c>
      <c r="AM32" s="385">
        <f>'Owner CAPEX'!AM32</f>
        <v>0</v>
      </c>
      <c r="AN32" s="385">
        <f>'Owner CAPEX'!AN32</f>
        <v>0</v>
      </c>
      <c r="AO32" s="385">
        <f>'Owner CAPEX'!AO32</f>
        <v>0</v>
      </c>
      <c r="AP32" s="385">
        <f>'Owner CAPEX'!AP32</f>
        <v>0</v>
      </c>
      <c r="AQ32" s="385">
        <f>'Owner CAPEX'!AQ32</f>
        <v>0</v>
      </c>
      <c r="AR32" s="385">
        <f>'Owner CAPEX'!AR32</f>
        <v>0</v>
      </c>
    </row>
    <row r="33" spans="1:44">
      <c r="A33" s="198">
        <f t="shared" si="10"/>
        <v>3</v>
      </c>
      <c r="B33" s="199" t="str">
        <f>B18</f>
        <v>Civil Infrastructure</v>
      </c>
      <c r="C33" s="121" t="s">
        <v>134</v>
      </c>
      <c r="D33" s="194">
        <f t="shared" si="11"/>
        <v>6.6850000000000005</v>
      </c>
      <c r="E33" s="385">
        <f>'Owner CAPEX'!E33+'MDO CAPEX'!E26</f>
        <v>0</v>
      </c>
      <c r="F33" s="385">
        <f>'Owner CAPEX'!F33+'MDO CAPEX'!F26</f>
        <v>0</v>
      </c>
      <c r="G33" s="385">
        <f>'Owner CAPEX'!G33+'MDO CAPEX'!G26</f>
        <v>0</v>
      </c>
      <c r="H33" s="385">
        <f>'Owner CAPEX'!H33+'MDO CAPEX'!H26</f>
        <v>0</v>
      </c>
      <c r="I33" s="385">
        <f>'Owner CAPEX'!I33+'MDO CAPEX'!I26</f>
        <v>0</v>
      </c>
      <c r="J33" s="385">
        <f>'Owner CAPEX'!J33+'MDO CAPEX'!J26</f>
        <v>0</v>
      </c>
      <c r="K33" s="385">
        <f>'Owner CAPEX'!K33+'MDO CAPEX'!K26</f>
        <v>0</v>
      </c>
      <c r="L33" s="385">
        <f>'Owner CAPEX'!L33+'MDO CAPEX'!L26</f>
        <v>0</v>
      </c>
      <c r="M33" s="385">
        <f>'Owner CAPEX'!M33+'MDO CAPEX'!M26</f>
        <v>0</v>
      </c>
      <c r="N33" s="385">
        <f>'Owner CAPEX'!N33+'MDO CAPEX'!N26</f>
        <v>0</v>
      </c>
      <c r="O33" s="385">
        <f>'Owner CAPEX'!O33+'MDO CAPEX'!O26</f>
        <v>0</v>
      </c>
      <c r="P33" s="385">
        <f>'Owner CAPEX'!P33+'MDO CAPEX'!P26</f>
        <v>0</v>
      </c>
      <c r="Q33" s="385">
        <f>'Owner CAPEX'!Q33+'MDO CAPEX'!Q26</f>
        <v>0</v>
      </c>
      <c r="R33" s="385">
        <f>'Owner CAPEX'!R33+'MDO CAPEX'!R26</f>
        <v>6.6850000000000005</v>
      </c>
      <c r="S33" s="385">
        <f>'Owner CAPEX'!S33+'MDO CAPEX'!S26</f>
        <v>0</v>
      </c>
      <c r="T33" s="385">
        <f>'Owner CAPEX'!T33+'MDO CAPEX'!T26</f>
        <v>0</v>
      </c>
      <c r="U33" s="385">
        <f>'Owner CAPEX'!U33+'MDO CAPEX'!U26</f>
        <v>0</v>
      </c>
      <c r="V33" s="385">
        <f>'Owner CAPEX'!V33+'MDO CAPEX'!V26</f>
        <v>0</v>
      </c>
      <c r="W33" s="385">
        <f>'Owner CAPEX'!W33+'MDO CAPEX'!W26</f>
        <v>0</v>
      </c>
      <c r="X33" s="385">
        <f>'Owner CAPEX'!X33+'MDO CAPEX'!X26</f>
        <v>0</v>
      </c>
      <c r="Y33" s="385">
        <f>'Owner CAPEX'!Y33+'MDO CAPEX'!Y26</f>
        <v>0</v>
      </c>
      <c r="Z33" s="385">
        <f>'Owner CAPEX'!Z33+'MDO CAPEX'!Z26</f>
        <v>0</v>
      </c>
      <c r="AA33" s="385">
        <f>'Owner CAPEX'!AA33+'MDO CAPEX'!AA26</f>
        <v>0</v>
      </c>
      <c r="AB33" s="385"/>
      <c r="AC33" s="385"/>
      <c r="AD33" s="385"/>
      <c r="AE33" s="385"/>
      <c r="AF33" s="385"/>
      <c r="AG33" s="385"/>
      <c r="AH33" s="385"/>
      <c r="AI33" s="385">
        <f>'Owner CAPEX'!AI33+'MDO CAPEX'!AI26</f>
        <v>0</v>
      </c>
      <c r="AJ33" s="385">
        <f>'Owner CAPEX'!AJ33+'MDO CAPEX'!AJ26</f>
        <v>0</v>
      </c>
      <c r="AK33" s="385">
        <f>'Owner CAPEX'!AK33+'MDO CAPEX'!AK26</f>
        <v>0</v>
      </c>
      <c r="AL33" s="385">
        <f>'Owner CAPEX'!AL33+'MDO CAPEX'!AL26</f>
        <v>0</v>
      </c>
      <c r="AM33" s="385">
        <f>'Owner CAPEX'!AM33+'MDO CAPEX'!AM26</f>
        <v>0</v>
      </c>
      <c r="AN33" s="385">
        <f>'Owner CAPEX'!AN33+'MDO CAPEX'!AN26</f>
        <v>0</v>
      </c>
      <c r="AO33" s="385">
        <f>'Owner CAPEX'!AO33+'MDO CAPEX'!AO26</f>
        <v>0</v>
      </c>
      <c r="AP33" s="385">
        <f>'Owner CAPEX'!AP33+'MDO CAPEX'!AP26</f>
        <v>0</v>
      </c>
      <c r="AQ33" s="385">
        <f>'Owner CAPEX'!AQ33+'MDO CAPEX'!AQ26</f>
        <v>0</v>
      </c>
      <c r="AR33" s="385">
        <f>'Owner CAPEX'!AR33+'MDO CAPEX'!AR26</f>
        <v>0</v>
      </c>
    </row>
    <row r="34" spans="1:44">
      <c r="A34" s="198">
        <f t="shared" si="10"/>
        <v>4</v>
      </c>
      <c r="B34" s="199" t="str">
        <f>B20</f>
        <v>Workshop and Store</v>
      </c>
      <c r="C34" s="121" t="s">
        <v>134</v>
      </c>
      <c r="D34" s="194">
        <f t="shared" si="11"/>
        <v>0</v>
      </c>
      <c r="E34" s="355"/>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row>
    <row r="35" spans="1:44">
      <c r="A35" s="198">
        <f t="shared" si="10"/>
        <v>5</v>
      </c>
      <c r="B35" s="199" t="str">
        <f>B21</f>
        <v xml:space="preserve">Electrical </v>
      </c>
      <c r="C35" s="121" t="s">
        <v>134</v>
      </c>
      <c r="D35" s="194">
        <f t="shared" si="11"/>
        <v>0</v>
      </c>
      <c r="E35" s="355"/>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row>
    <row r="36" spans="1:44">
      <c r="A36" s="198">
        <f t="shared" si="10"/>
        <v>6</v>
      </c>
      <c r="B36" s="199" t="str">
        <f t="shared" ref="B36:B37" si="12">B22</f>
        <v>Mine Dewatering System</v>
      </c>
      <c r="C36" s="121" t="s">
        <v>134</v>
      </c>
      <c r="D36" s="194">
        <f t="shared" si="11"/>
        <v>0</v>
      </c>
      <c r="E36" s="355"/>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row>
    <row r="37" spans="1:44">
      <c r="A37" s="198">
        <f t="shared" si="10"/>
        <v>7</v>
      </c>
      <c r="B37" s="199" t="str">
        <f t="shared" si="12"/>
        <v>Digitalization</v>
      </c>
      <c r="C37" s="121" t="s">
        <v>134</v>
      </c>
      <c r="D37" s="194">
        <f t="shared" si="11"/>
        <v>0</v>
      </c>
      <c r="E37" s="355"/>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row>
    <row r="38" spans="1:44">
      <c r="A38" s="198">
        <f t="shared" si="10"/>
        <v>8</v>
      </c>
      <c r="B38" s="199" t="s">
        <v>577</v>
      </c>
      <c r="C38" s="121" t="s">
        <v>134</v>
      </c>
      <c r="D38" s="194">
        <f t="shared" si="11"/>
        <v>208.77677392243115</v>
      </c>
      <c r="E38" s="385">
        <f>'Owner CAPEX'!E38+'MDO CAPEX'!E31</f>
        <v>0</v>
      </c>
      <c r="F38" s="385">
        <f>'Owner CAPEX'!F38+'MDO CAPEX'!F31</f>
        <v>0</v>
      </c>
      <c r="G38" s="385">
        <f>'Owner CAPEX'!G38+'MDO CAPEX'!G31</f>
        <v>0</v>
      </c>
      <c r="H38" s="385">
        <f>'Owner CAPEX'!H38+'MDO CAPEX'!H31</f>
        <v>0</v>
      </c>
      <c r="I38" s="385">
        <f>'Owner CAPEX'!I38+'MDO CAPEX'!I31</f>
        <v>0</v>
      </c>
      <c r="J38" s="385">
        <f>'Owner CAPEX'!J38+'MDO CAPEX'!J31</f>
        <v>0</v>
      </c>
      <c r="K38" s="385">
        <f>'Owner CAPEX'!K38+'MDO CAPEX'!K31</f>
        <v>0</v>
      </c>
      <c r="L38" s="385">
        <f>'Owner CAPEX'!L38+'MDO CAPEX'!L31</f>
        <v>0</v>
      </c>
      <c r="M38" s="385">
        <f>'Owner CAPEX'!M38+'MDO CAPEX'!M31</f>
        <v>0</v>
      </c>
      <c r="N38" s="385">
        <f>'Owner CAPEX'!N38+'MDO CAPEX'!N31</f>
        <v>11.502000000000001</v>
      </c>
      <c r="O38" s="385">
        <f>'Owner CAPEX'!O38+'MDO CAPEX'!O31</f>
        <v>3.7973399999999997</v>
      </c>
      <c r="P38" s="385">
        <f>'Owner CAPEX'!P38+'MDO CAPEX'!P31</f>
        <v>13.414404174594049</v>
      </c>
      <c r="Q38" s="385">
        <f>'Owner CAPEX'!Q38+'MDO CAPEX'!Q31</f>
        <v>22.897829999999999</v>
      </c>
      <c r="R38" s="385">
        <f>'Owner CAPEX'!R38+'MDO CAPEX'!R31</f>
        <v>12.021279174594047</v>
      </c>
      <c r="S38" s="385">
        <f>'Owner CAPEX'!S38+'MDO CAPEX'!S31</f>
        <v>14.154480000000001</v>
      </c>
      <c r="T38" s="385">
        <f>'Owner CAPEX'!T38+'MDO CAPEX'!T31</f>
        <v>3.9838282200000004</v>
      </c>
      <c r="U38" s="385">
        <f>'Owner CAPEX'!U38+'MDO CAPEX'!U31</f>
        <v>12.016860000000001</v>
      </c>
      <c r="V38" s="385">
        <f>'Owner CAPEX'!V38+'MDO CAPEX'!V31</f>
        <v>34.857987419999994</v>
      </c>
      <c r="W38" s="385">
        <f>'Owner CAPEX'!W38+'MDO CAPEX'!W31</f>
        <v>6.399004374594047</v>
      </c>
      <c r="X38" s="385">
        <f>'Owner CAPEX'!X38+'MDO CAPEX'!X31</f>
        <v>31.961556992027454</v>
      </c>
      <c r="Y38" s="385">
        <f>'Owner CAPEX'!Y38+'MDO CAPEX'!Y31</f>
        <v>4.2135391745940476</v>
      </c>
      <c r="Z38" s="385">
        <f>'Owner CAPEX'!Z38+'MDO CAPEX'!Z31</f>
        <v>14.002824392027462</v>
      </c>
      <c r="AA38" s="385">
        <f>'Owner CAPEX'!AA38+'MDO CAPEX'!AA31</f>
        <v>23.553839999999997</v>
      </c>
      <c r="AB38" s="385"/>
      <c r="AC38" s="385"/>
      <c r="AD38" s="385"/>
      <c r="AE38" s="385"/>
      <c r="AF38" s="385"/>
      <c r="AG38" s="385"/>
      <c r="AH38" s="385"/>
      <c r="AI38" s="385">
        <f>'Owner CAPEX'!AI38+'MDO CAPEX'!AI31</f>
        <v>0</v>
      </c>
      <c r="AJ38" s="385">
        <f>'Owner CAPEX'!AJ38+'MDO CAPEX'!AJ31</f>
        <v>0</v>
      </c>
      <c r="AK38" s="385">
        <f>'Owner CAPEX'!AK38+'MDO CAPEX'!AK31</f>
        <v>0</v>
      </c>
      <c r="AL38" s="385">
        <f>'Owner CAPEX'!AL38+'MDO CAPEX'!AL31</f>
        <v>0</v>
      </c>
      <c r="AM38" s="385">
        <f>'Owner CAPEX'!AM38+'MDO CAPEX'!AM31</f>
        <v>0</v>
      </c>
      <c r="AN38" s="385">
        <f>'Owner CAPEX'!AN38+'MDO CAPEX'!AN31</f>
        <v>0</v>
      </c>
      <c r="AO38" s="385">
        <f>'Owner CAPEX'!AO38+'MDO CAPEX'!AO31</f>
        <v>0</v>
      </c>
      <c r="AP38" s="385">
        <f>'Owner CAPEX'!AP38+'MDO CAPEX'!AP31</f>
        <v>0</v>
      </c>
      <c r="AQ38" s="385">
        <f>'Owner CAPEX'!AQ38+'MDO CAPEX'!AQ31</f>
        <v>0</v>
      </c>
      <c r="AR38" s="385">
        <f>'Owner CAPEX'!AR38+'MDO CAPEX'!AR31</f>
        <v>0</v>
      </c>
    </row>
    <row r="39" spans="1:44" ht="18.5" customHeight="1">
      <c r="A39" s="121"/>
      <c r="B39" s="1224" t="s">
        <v>580</v>
      </c>
      <c r="C39" s="1225" t="s">
        <v>134</v>
      </c>
      <c r="D39" s="1226">
        <f>+SUM(E39:AN39)</f>
        <v>1600.6219334053048</v>
      </c>
      <c r="E39" s="1229">
        <f t="shared" ref="E39:AR39" si="13">SUM(E31:E38)</f>
        <v>0</v>
      </c>
      <c r="F39" s="1229">
        <f t="shared" si="13"/>
        <v>0</v>
      </c>
      <c r="G39" s="1229">
        <f t="shared" si="13"/>
        <v>0</v>
      </c>
      <c r="H39" s="1229">
        <f t="shared" si="13"/>
        <v>0</v>
      </c>
      <c r="I39" s="1229">
        <f t="shared" si="13"/>
        <v>0</v>
      </c>
      <c r="J39" s="1229">
        <f t="shared" si="13"/>
        <v>0</v>
      </c>
      <c r="K39" s="1229">
        <f t="shared" si="13"/>
        <v>0</v>
      </c>
      <c r="L39" s="1229">
        <f t="shared" si="13"/>
        <v>0</v>
      </c>
      <c r="M39" s="1229">
        <f t="shared" si="13"/>
        <v>0</v>
      </c>
      <c r="N39" s="1229">
        <f t="shared" si="13"/>
        <v>88.182000000000002</v>
      </c>
      <c r="O39" s="1229">
        <f t="shared" si="13"/>
        <v>29.112939999999998</v>
      </c>
      <c r="P39" s="1229">
        <f t="shared" si="13"/>
        <v>102.84376533855438</v>
      </c>
      <c r="Q39" s="1229">
        <f t="shared" si="13"/>
        <v>175.55002999999999</v>
      </c>
      <c r="R39" s="1229">
        <f t="shared" si="13"/>
        <v>92.163140338554356</v>
      </c>
      <c r="S39" s="1229">
        <f t="shared" si="13"/>
        <v>108.51768000000001</v>
      </c>
      <c r="T39" s="1229">
        <f t="shared" si="13"/>
        <v>30.542683020000002</v>
      </c>
      <c r="U39" s="1229">
        <f t="shared" si="13"/>
        <v>92.129260000000016</v>
      </c>
      <c r="V39" s="1229">
        <f t="shared" si="13"/>
        <v>267.24457021999996</v>
      </c>
      <c r="W39" s="1229">
        <f t="shared" si="13"/>
        <v>49.059033538554367</v>
      </c>
      <c r="X39" s="1229">
        <f t="shared" si="13"/>
        <v>245.03860360554381</v>
      </c>
      <c r="Y39" s="1229">
        <f t="shared" si="13"/>
        <v>32.303800338554367</v>
      </c>
      <c r="Z39" s="1229">
        <f t="shared" si="13"/>
        <v>107.35498700554388</v>
      </c>
      <c r="AA39" s="1229">
        <f t="shared" si="13"/>
        <v>180.57944000000001</v>
      </c>
      <c r="AB39" s="1229"/>
      <c r="AC39" s="1229"/>
      <c r="AD39" s="1229"/>
      <c r="AE39" s="1229"/>
      <c r="AF39" s="1229"/>
      <c r="AG39" s="1229"/>
      <c r="AH39" s="1229"/>
      <c r="AI39" s="1229">
        <f t="shared" si="13"/>
        <v>0</v>
      </c>
      <c r="AJ39" s="1229">
        <f t="shared" si="13"/>
        <v>0</v>
      </c>
      <c r="AK39" s="1229">
        <f t="shared" si="13"/>
        <v>0</v>
      </c>
      <c r="AL39" s="1229">
        <f t="shared" si="13"/>
        <v>0</v>
      </c>
      <c r="AM39" s="1229">
        <f t="shared" si="13"/>
        <v>0</v>
      </c>
      <c r="AN39" s="1229">
        <f t="shared" si="13"/>
        <v>0</v>
      </c>
      <c r="AO39" s="1229">
        <f t="shared" si="13"/>
        <v>0</v>
      </c>
      <c r="AP39" s="1229">
        <f t="shared" si="13"/>
        <v>0</v>
      </c>
      <c r="AQ39" s="1229">
        <f t="shared" si="13"/>
        <v>0</v>
      </c>
      <c r="AR39" s="1229">
        <f t="shared" si="13"/>
        <v>0</v>
      </c>
    </row>
    <row r="40" spans="1:44">
      <c r="A40" s="121"/>
      <c r="B40" s="199"/>
      <c r="C40" s="121"/>
      <c r="D40" s="121"/>
    </row>
    <row r="41" spans="1:44" ht="21.5" customHeight="1">
      <c r="A41" s="121"/>
      <c r="B41" s="1224" t="s">
        <v>581</v>
      </c>
      <c r="C41" s="1225" t="s">
        <v>134</v>
      </c>
      <c r="D41" s="1226">
        <f ca="1">+SUM(E41:AN41)</f>
        <v>6433.7254982060995</v>
      </c>
      <c r="E41" s="1229">
        <f t="shared" ref="E41:AR41" ca="1" si="14">SUM(E26,E39)</f>
        <v>155.99429899999996</v>
      </c>
      <c r="F41" s="1229">
        <f t="shared" ca="1" si="14"/>
        <v>343.46764946670999</v>
      </c>
      <c r="G41" s="1229">
        <f t="shared" ca="1" si="14"/>
        <v>677.71389931114004</v>
      </c>
      <c r="H41" s="1229">
        <f t="shared" ca="1" si="14"/>
        <v>542.15414931113992</v>
      </c>
      <c r="I41" s="1229">
        <f t="shared" si="14"/>
        <v>512.03669517858111</v>
      </c>
      <c r="J41" s="1229">
        <f t="shared" si="14"/>
        <v>185.81300719102592</v>
      </c>
      <c r="K41" s="1229">
        <f t="shared" si="14"/>
        <v>214.02863287685622</v>
      </c>
      <c r="L41" s="1229">
        <f t="shared" si="14"/>
        <v>587.76578361934594</v>
      </c>
      <c r="M41" s="1229">
        <f t="shared" si="14"/>
        <v>327.99202442645139</v>
      </c>
      <c r="N41" s="1229">
        <f t="shared" si="14"/>
        <v>525.44185965517624</v>
      </c>
      <c r="O41" s="1229">
        <f t="shared" si="14"/>
        <v>328.5690080551762</v>
      </c>
      <c r="P41" s="1229">
        <f t="shared" si="14"/>
        <v>400.18130339373062</v>
      </c>
      <c r="Q41" s="1229">
        <f t="shared" si="14"/>
        <v>352.30201448348981</v>
      </c>
      <c r="R41" s="1229">
        <f t="shared" si="14"/>
        <v>119.77485150374628</v>
      </c>
      <c r="S41" s="1229">
        <f t="shared" si="14"/>
        <v>142.23246515729761</v>
      </c>
      <c r="T41" s="1229">
        <f t="shared" si="14"/>
        <v>30.542683020000002</v>
      </c>
      <c r="U41" s="1229">
        <f t="shared" si="14"/>
        <v>96.366320000000016</v>
      </c>
      <c r="V41" s="1229">
        <f t="shared" si="14"/>
        <v>269.36310021999998</v>
      </c>
      <c r="W41" s="1229">
        <f t="shared" si="14"/>
        <v>56.708921386587946</v>
      </c>
      <c r="X41" s="1229">
        <f t="shared" si="14"/>
        <v>245.03860360554381</v>
      </c>
      <c r="Y41" s="1229">
        <f t="shared" si="14"/>
        <v>32.303800338554367</v>
      </c>
      <c r="Z41" s="1229">
        <f t="shared" si="14"/>
        <v>107.35498700554388</v>
      </c>
      <c r="AA41" s="1229">
        <f t="shared" si="14"/>
        <v>180.57944000000001</v>
      </c>
      <c r="AB41" s="1229"/>
      <c r="AC41" s="1229"/>
      <c r="AD41" s="1229"/>
      <c r="AE41" s="1229"/>
      <c r="AF41" s="1229"/>
      <c r="AG41" s="1229"/>
      <c r="AH41" s="1229"/>
      <c r="AI41" s="1229">
        <f t="shared" si="14"/>
        <v>0</v>
      </c>
      <c r="AJ41" s="1229">
        <f t="shared" si="14"/>
        <v>0</v>
      </c>
      <c r="AK41" s="1229">
        <f t="shared" si="14"/>
        <v>0</v>
      </c>
      <c r="AL41" s="1229">
        <f t="shared" si="14"/>
        <v>0</v>
      </c>
      <c r="AM41" s="1229">
        <f t="shared" si="14"/>
        <v>0</v>
      </c>
      <c r="AN41" s="1229">
        <f t="shared" si="14"/>
        <v>0</v>
      </c>
      <c r="AO41" s="1229">
        <f t="shared" si="14"/>
        <v>0</v>
      </c>
      <c r="AP41" s="1229">
        <f t="shared" si="14"/>
        <v>0</v>
      </c>
      <c r="AQ41" s="1229">
        <f t="shared" si="14"/>
        <v>0</v>
      </c>
      <c r="AR41" s="1229">
        <f t="shared" si="14"/>
        <v>0</v>
      </c>
    </row>
    <row r="43" spans="1:44">
      <c r="D43" s="818" t="b">
        <f ca="1">'Owner CAPEX'!D41+'MDO CAPEX'!D34=D41</f>
        <v>1</v>
      </c>
    </row>
    <row r="45" spans="1:44">
      <c r="D45" s="545"/>
    </row>
    <row r="46" spans="1:44">
      <c r="F46" s="145"/>
    </row>
  </sheetData>
  <dataValidations disablePrompts="1" count="1">
    <dataValidation type="list" allowBlank="1" showInputMessage="1" showErrorMessage="1" sqref="A8" xr:uid="{3A4559AF-9A13-44FF-B3F8-6CE8CD1C379E}">
      <formula1>"ON,OFF"</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FDF50-916D-4105-99E5-7937A850E3D4}">
  <sheetPr codeName="Sheet10">
    <tabColor rgb="FFFF0000"/>
  </sheetPr>
  <dimension ref="A1:AA41"/>
  <sheetViews>
    <sheetView showGridLines="0" workbookViewId="0">
      <selection activeCell="I15" sqref="I15"/>
    </sheetView>
  </sheetViews>
  <sheetFormatPr baseColWidth="10" defaultColWidth="8.83203125" defaultRowHeight="13"/>
  <cols>
    <col min="2" max="2" width="45.83203125" bestFit="1" customWidth="1"/>
    <col min="8" max="8" width="10.83203125" bestFit="1" customWidth="1"/>
  </cols>
  <sheetData>
    <row r="1" spans="1:27">
      <c r="A1" s="117" t="s">
        <v>561</v>
      </c>
      <c r="B1" s="121"/>
      <c r="C1" s="121"/>
      <c r="D1" s="121"/>
    </row>
    <row r="2" spans="1:27">
      <c r="A2" s="121"/>
      <c r="B2" s="121"/>
      <c r="C2" s="121"/>
      <c r="D2" s="121"/>
    </row>
    <row r="3" spans="1:27">
      <c r="A3" s="117"/>
      <c r="B3" s="117" t="s">
        <v>562</v>
      </c>
      <c r="C3" s="117"/>
      <c r="D3" s="117"/>
      <c r="E3" s="201">
        <f>'Production Schedule'!E1</f>
        <v>46023</v>
      </c>
      <c r="F3" s="201">
        <f>'Production Schedule'!F1</f>
        <v>46389</v>
      </c>
      <c r="G3" s="201">
        <f>'Production Schedule'!G1</f>
        <v>46755</v>
      </c>
      <c r="H3" s="201">
        <f>'Production Schedule'!H1</f>
        <v>47121</v>
      </c>
      <c r="I3" s="201">
        <f>'Production Schedule'!I1</f>
        <v>47487</v>
      </c>
      <c r="J3" s="201">
        <f>'Production Schedule'!J1</f>
        <v>47853</v>
      </c>
      <c r="K3" s="201">
        <f>'Production Schedule'!K1</f>
        <v>48219</v>
      </c>
      <c r="L3" s="201">
        <f>'Production Schedule'!L1</f>
        <v>48585</v>
      </c>
      <c r="M3" s="201">
        <f>'Production Schedule'!M1</f>
        <v>48951</v>
      </c>
      <c r="N3" s="201">
        <f>'Production Schedule'!N1</f>
        <v>49317</v>
      </c>
      <c r="O3" s="201">
        <f>'Production Schedule'!O1</f>
        <v>49683</v>
      </c>
      <c r="P3" s="201">
        <f>'Production Schedule'!P1</f>
        <v>50049</v>
      </c>
      <c r="Q3" s="201">
        <f>'Production Schedule'!Q1</f>
        <v>50415</v>
      </c>
      <c r="R3" s="201">
        <f>'Production Schedule'!R1</f>
        <v>50781</v>
      </c>
      <c r="S3" s="201">
        <f>'Production Schedule'!S1</f>
        <v>51147</v>
      </c>
      <c r="T3" s="201">
        <f>'Production Schedule'!T1</f>
        <v>51513</v>
      </c>
      <c r="U3" s="201">
        <f>'Production Schedule'!U1</f>
        <v>51879</v>
      </c>
      <c r="V3" s="201">
        <f>'Production Schedule'!V1</f>
        <v>52245</v>
      </c>
      <c r="W3" s="201">
        <f>'Production Schedule'!W1</f>
        <v>52611</v>
      </c>
      <c r="X3" s="201">
        <f>'Production Schedule'!X1</f>
        <v>52977</v>
      </c>
      <c r="Y3" s="201">
        <f>'Production Schedule'!Y1</f>
        <v>53343</v>
      </c>
      <c r="Z3" s="201">
        <f>'Production Schedule'!Z1</f>
        <v>53709</v>
      </c>
      <c r="AA3" s="201">
        <f>'Production Schedule'!AA1</f>
        <v>54075</v>
      </c>
    </row>
    <row r="4" spans="1:27">
      <c r="A4" s="117"/>
      <c r="B4" s="788" t="s">
        <v>94</v>
      </c>
      <c r="C4" s="788" t="s">
        <v>95</v>
      </c>
      <c r="D4" s="787" t="s">
        <v>96</v>
      </c>
      <c r="E4" s="1141">
        <f>'Production Schedule'!E3</f>
        <v>-4</v>
      </c>
      <c r="F4" s="1141">
        <f>'Production Schedule'!F3</f>
        <v>-3</v>
      </c>
      <c r="G4" s="1141">
        <f>'Production Schedule'!G3</f>
        <v>-2</v>
      </c>
      <c r="H4" s="1141">
        <f>'Production Schedule'!H3</f>
        <v>-1</v>
      </c>
      <c r="I4" s="1141">
        <f>'Production Schedule'!I3</f>
        <v>1</v>
      </c>
      <c r="J4" s="1141">
        <f>'Production Schedule'!J3</f>
        <v>2</v>
      </c>
      <c r="K4" s="1141">
        <f>'Production Schedule'!K3</f>
        <v>3</v>
      </c>
      <c r="L4" s="1141">
        <f>'Production Schedule'!L3</f>
        <v>4</v>
      </c>
      <c r="M4" s="1141">
        <f>'Production Schedule'!M3</f>
        <v>5</v>
      </c>
      <c r="N4" s="1141">
        <f>'Production Schedule'!N3</f>
        <v>6</v>
      </c>
      <c r="O4" s="1141">
        <f>'Production Schedule'!O3</f>
        <v>7</v>
      </c>
      <c r="P4" s="1141">
        <f>'Production Schedule'!P3</f>
        <v>8</v>
      </c>
      <c r="Q4" s="1141">
        <f>'Production Schedule'!Q3</f>
        <v>9</v>
      </c>
      <c r="R4" s="1141">
        <f>'Production Schedule'!R3</f>
        <v>10</v>
      </c>
      <c r="S4" s="1141">
        <f>'Production Schedule'!S3</f>
        <v>11</v>
      </c>
      <c r="T4" s="1141">
        <f>'Production Schedule'!T3</f>
        <v>12</v>
      </c>
      <c r="U4" s="1141">
        <f>'Production Schedule'!U3</f>
        <v>13</v>
      </c>
      <c r="V4" s="1141">
        <f>'Production Schedule'!V3</f>
        <v>14</v>
      </c>
      <c r="W4" s="1141">
        <f>'Production Schedule'!W3</f>
        <v>15</v>
      </c>
      <c r="X4" s="1141">
        <f>'Production Schedule'!X3</f>
        <v>16</v>
      </c>
      <c r="Y4" s="1141">
        <f>'Production Schedule'!Y3</f>
        <v>17</v>
      </c>
      <c r="Z4" s="1141">
        <f>'Production Schedule'!Z3</f>
        <v>18</v>
      </c>
      <c r="AA4" s="1141">
        <f>'Production Schedule'!AA3</f>
        <v>19</v>
      </c>
    </row>
    <row r="5" spans="1:27">
      <c r="A5" s="121"/>
      <c r="B5" s="121" t="s">
        <v>563</v>
      </c>
      <c r="C5" s="121" t="s">
        <v>113</v>
      </c>
      <c r="D5" s="194">
        <f>+SUM(E5:AN5)</f>
        <v>225.70440651000001</v>
      </c>
      <c r="E5" s="189">
        <f>'Production Schedule'!E5</f>
        <v>0</v>
      </c>
      <c r="F5" s="189">
        <f>'Production Schedule'!F5</f>
        <v>0</v>
      </c>
      <c r="G5" s="189">
        <f>'Production Schedule'!G5</f>
        <v>0</v>
      </c>
      <c r="H5" s="189">
        <f>'Production Schedule'!H5</f>
        <v>0</v>
      </c>
      <c r="I5" s="189">
        <f>'Production Schedule'!I5</f>
        <v>1.9999997549999999</v>
      </c>
      <c r="J5" s="189">
        <f>'Production Schedule'!J5</f>
        <v>3.9999986549999997</v>
      </c>
      <c r="K5" s="189">
        <f>'Production Schedule'!K5</f>
        <v>8.00000073</v>
      </c>
      <c r="L5" s="189">
        <f>'Production Schedule'!L5</f>
        <v>11.999998529999999</v>
      </c>
      <c r="M5" s="189">
        <f>'Production Schedule'!M5</f>
        <v>14.99999517</v>
      </c>
      <c r="N5" s="189">
        <f>'Production Schedule'!N5</f>
        <v>15.000007140000001</v>
      </c>
      <c r="O5" s="189">
        <f>'Production Schedule'!O5</f>
        <v>14.999998590000001</v>
      </c>
      <c r="P5" s="189">
        <f>'Production Schedule'!P5</f>
        <v>14.999996879999999</v>
      </c>
      <c r="Q5" s="189">
        <f>'Production Schedule'!Q5</f>
        <v>15.000003719999999</v>
      </c>
      <c r="R5" s="189">
        <f>'Production Schedule'!R5</f>
        <v>14.99999517</v>
      </c>
      <c r="S5" s="189">
        <f>'Production Schedule'!S5</f>
        <v>14.999996879999999</v>
      </c>
      <c r="T5" s="189">
        <f>'Production Schedule'!T5</f>
        <v>15.000002009999999</v>
      </c>
      <c r="U5" s="189">
        <f>'Production Schedule'!U5</f>
        <v>15.00001569</v>
      </c>
      <c r="V5" s="189">
        <f>'Production Schedule'!V5</f>
        <v>15.000002009999999</v>
      </c>
      <c r="W5" s="189">
        <f>'Production Schedule'!W5</f>
        <v>15.000002009999999</v>
      </c>
      <c r="X5" s="189">
        <f>'Production Schedule'!X5</f>
        <v>15.000000299999998</v>
      </c>
      <c r="Y5" s="189">
        <f>'Production Schedule'!Y5</f>
        <v>9.9999996299999996</v>
      </c>
      <c r="Z5" s="189">
        <f>'Production Schedule'!Z5</f>
        <v>7.5000027149999999</v>
      </c>
      <c r="AA5" s="189">
        <f>'Production Schedule'!AA5</f>
        <v>2.2043909249999998</v>
      </c>
    </row>
    <row r="6" spans="1:27">
      <c r="A6" s="121"/>
      <c r="B6" s="1220" t="s">
        <v>564</v>
      </c>
      <c r="C6" s="1220" t="s">
        <v>118</v>
      </c>
      <c r="D6" s="1221">
        <f>+SUM(E6:AN6)</f>
        <v>535.39467341478871</v>
      </c>
      <c r="E6" s="189">
        <f>'Production Schedule'!E8</f>
        <v>0</v>
      </c>
      <c r="F6" s="189">
        <f>'Production Schedule'!F8</f>
        <v>0</v>
      </c>
      <c r="G6" s="189">
        <f>'Production Schedule'!G8</f>
        <v>0</v>
      </c>
      <c r="H6" s="189">
        <f>'Production Schedule'!H8</f>
        <v>0</v>
      </c>
      <c r="I6" s="189">
        <f>'Production Schedule'!I8</f>
        <v>11.466045729050279</v>
      </c>
      <c r="J6" s="189">
        <f>'Production Schedule'!J8</f>
        <v>9.5178188259668506</v>
      </c>
      <c r="K6" s="189">
        <f>'Production Schedule'!K8</f>
        <v>17.240514972375692</v>
      </c>
      <c r="L6" s="189">
        <f>'Production Schedule'!L8</f>
        <v>36.817196150000001</v>
      </c>
      <c r="M6" s="189">
        <f>'Production Schedule'!M8</f>
        <v>35.420574905555554</v>
      </c>
      <c r="N6" s="189">
        <f>'Production Schedule'!N8</f>
        <v>47.463611318435753</v>
      </c>
      <c r="O6" s="189">
        <f>'Production Schedule'!O8</f>
        <v>43.447467227777778</v>
      </c>
      <c r="P6" s="189">
        <f>'Production Schedule'!P8</f>
        <v>36.33747506666667</v>
      </c>
      <c r="Q6" s="189">
        <f>'Production Schedule'!Q8</f>
        <v>37.865191711111116</v>
      </c>
      <c r="R6" s="189">
        <f>'Production Schedule'!R8</f>
        <v>33.778948184357539</v>
      </c>
      <c r="S6" s="189">
        <f>'Production Schedule'!S8</f>
        <v>38.053482346368718</v>
      </c>
      <c r="T6" s="189">
        <f>'Production Schedule'!T8</f>
        <v>28.983164832402235</v>
      </c>
      <c r="U6" s="189">
        <f>'Production Schedule'!U8</f>
        <v>25.4498801284916</v>
      </c>
      <c r="V6" s="189">
        <f>'Production Schedule'!V8</f>
        <v>31.615550832402231</v>
      </c>
      <c r="W6" s="189">
        <f>'Production Schedule'!W8</f>
        <v>31.515274825842699</v>
      </c>
      <c r="X6" s="189">
        <f>'Production Schedule'!X8</f>
        <v>40.123366662921349</v>
      </c>
      <c r="Y6" s="189">
        <f>'Production Schedule'!Y8</f>
        <v>24.726595192090397</v>
      </c>
      <c r="Z6" s="189">
        <f>'Production Schedule'!Z8</f>
        <v>4.2960406619318183</v>
      </c>
      <c r="AA6" s="189">
        <f>'Production Schedule'!AA8</f>
        <v>1.2764738410404626</v>
      </c>
    </row>
    <row r="7" spans="1:27">
      <c r="A7" s="121"/>
      <c r="B7" s="121" t="s">
        <v>565</v>
      </c>
      <c r="C7" s="121" t="s">
        <v>566</v>
      </c>
      <c r="D7" s="195">
        <f>IFERROR(D6/D5,0)</f>
        <v>2.3721055414621142</v>
      </c>
      <c r="E7" s="1229">
        <f>IFERROR(E6/E5,0)</f>
        <v>0</v>
      </c>
      <c r="F7" s="1229">
        <f t="shared" ref="F7:AA7" si="0">IFERROR(F6/F5,0)</f>
        <v>0</v>
      </c>
      <c r="G7" s="1229">
        <f t="shared" si="0"/>
        <v>0</v>
      </c>
      <c r="H7" s="1229">
        <f t="shared" si="0"/>
        <v>0</v>
      </c>
      <c r="I7" s="1229">
        <f t="shared" si="0"/>
        <v>5.7330235668205267</v>
      </c>
      <c r="J7" s="1229">
        <f t="shared" si="0"/>
        <v>2.3794555065836267</v>
      </c>
      <c r="K7" s="1229">
        <f t="shared" si="0"/>
        <v>2.1550641748973556</v>
      </c>
      <c r="L7" s="1229">
        <f t="shared" si="0"/>
        <v>3.0681000550089239</v>
      </c>
      <c r="M7" s="1229">
        <f t="shared" si="0"/>
        <v>2.3613724207322897</v>
      </c>
      <c r="N7" s="1229">
        <f t="shared" si="0"/>
        <v>3.1642392483845012</v>
      </c>
      <c r="O7" s="1229">
        <f t="shared" si="0"/>
        <v>2.8964980874560053</v>
      </c>
      <c r="P7" s="1229">
        <f t="shared" si="0"/>
        <v>2.422498841657537</v>
      </c>
      <c r="Q7" s="1229">
        <f t="shared" si="0"/>
        <v>2.5243454880363938</v>
      </c>
      <c r="R7" s="1229">
        <f t="shared" si="0"/>
        <v>2.2519306040788236</v>
      </c>
      <c r="S7" s="1229">
        <f t="shared" si="0"/>
        <v>2.5368993507663129</v>
      </c>
      <c r="T7" s="1229">
        <f t="shared" si="0"/>
        <v>1.932210729910578</v>
      </c>
      <c r="U7" s="1229">
        <f t="shared" si="0"/>
        <v>1.6966569005296555</v>
      </c>
      <c r="V7" s="1229">
        <f t="shared" si="0"/>
        <v>2.1077031063945992</v>
      </c>
      <c r="W7" s="1229">
        <f t="shared" si="0"/>
        <v>2.1010180401864291</v>
      </c>
      <c r="X7" s="1229">
        <f t="shared" si="0"/>
        <v>2.6748910573636024</v>
      </c>
      <c r="Y7" s="1229">
        <f t="shared" si="0"/>
        <v>2.4726596106974452</v>
      </c>
      <c r="Z7" s="1229">
        <f t="shared" si="0"/>
        <v>0.57280521423542152</v>
      </c>
      <c r="AA7" s="1229">
        <f t="shared" si="0"/>
        <v>0.57905965160896433</v>
      </c>
    </row>
    <row r="8" spans="1:27">
      <c r="A8" s="196"/>
      <c r="B8" s="121"/>
      <c r="C8" s="121"/>
      <c r="D8" s="190"/>
    </row>
    <row r="9" spans="1:27">
      <c r="A9" s="305" t="s">
        <v>93</v>
      </c>
      <c r="B9" s="117" t="s">
        <v>567</v>
      </c>
      <c r="C9" s="117"/>
      <c r="D9" s="197"/>
      <c r="E9" s="201">
        <f>E3</f>
        <v>46023</v>
      </c>
      <c r="F9" s="201">
        <f t="shared" ref="F9:AA10" si="1">F3</f>
        <v>46389</v>
      </c>
      <c r="G9" s="201">
        <f t="shared" si="1"/>
        <v>46755</v>
      </c>
      <c r="H9" s="201">
        <f t="shared" si="1"/>
        <v>47121</v>
      </c>
      <c r="I9" s="201">
        <f t="shared" si="1"/>
        <v>47487</v>
      </c>
      <c r="J9" s="201">
        <f t="shared" si="1"/>
        <v>47853</v>
      </c>
      <c r="K9" s="201">
        <f t="shared" si="1"/>
        <v>48219</v>
      </c>
      <c r="L9" s="201">
        <f t="shared" si="1"/>
        <v>48585</v>
      </c>
      <c r="M9" s="201">
        <f t="shared" si="1"/>
        <v>48951</v>
      </c>
      <c r="N9" s="201">
        <f t="shared" si="1"/>
        <v>49317</v>
      </c>
      <c r="O9" s="201">
        <f t="shared" si="1"/>
        <v>49683</v>
      </c>
      <c r="P9" s="201">
        <f t="shared" si="1"/>
        <v>50049</v>
      </c>
      <c r="Q9" s="201">
        <f t="shared" si="1"/>
        <v>50415</v>
      </c>
      <c r="R9" s="201">
        <f t="shared" si="1"/>
        <v>50781</v>
      </c>
      <c r="S9" s="201">
        <f t="shared" si="1"/>
        <v>51147</v>
      </c>
      <c r="T9" s="201">
        <f t="shared" si="1"/>
        <v>51513</v>
      </c>
      <c r="U9" s="201">
        <f t="shared" si="1"/>
        <v>51879</v>
      </c>
      <c r="V9" s="201">
        <f t="shared" si="1"/>
        <v>52245</v>
      </c>
      <c r="W9" s="201">
        <f t="shared" si="1"/>
        <v>52611</v>
      </c>
      <c r="X9" s="201">
        <f t="shared" si="1"/>
        <v>52977</v>
      </c>
      <c r="Y9" s="201">
        <f t="shared" si="1"/>
        <v>53343</v>
      </c>
      <c r="Z9" s="201">
        <f t="shared" si="1"/>
        <v>53709</v>
      </c>
      <c r="AA9" s="201">
        <f t="shared" si="1"/>
        <v>54075</v>
      </c>
    </row>
    <row r="10" spans="1:27">
      <c r="A10" s="117"/>
      <c r="B10" s="788" t="s">
        <v>94</v>
      </c>
      <c r="C10" s="788" t="s">
        <v>95</v>
      </c>
      <c r="D10" s="1223" t="s">
        <v>96</v>
      </c>
      <c r="E10" s="1141">
        <f>E4</f>
        <v>-4</v>
      </c>
      <c r="F10" s="1141">
        <f t="shared" si="1"/>
        <v>-3</v>
      </c>
      <c r="G10" s="1141">
        <f t="shared" si="1"/>
        <v>-2</v>
      </c>
      <c r="H10" s="1141">
        <f t="shared" si="1"/>
        <v>-1</v>
      </c>
      <c r="I10" s="1141">
        <f t="shared" si="1"/>
        <v>1</v>
      </c>
      <c r="J10" s="1141">
        <f t="shared" si="1"/>
        <v>2</v>
      </c>
      <c r="K10" s="1141">
        <f t="shared" si="1"/>
        <v>3</v>
      </c>
      <c r="L10" s="1141">
        <f t="shared" si="1"/>
        <v>4</v>
      </c>
      <c r="M10" s="1141">
        <f t="shared" si="1"/>
        <v>5</v>
      </c>
      <c r="N10" s="1141">
        <f t="shared" si="1"/>
        <v>6</v>
      </c>
      <c r="O10" s="1141">
        <f t="shared" si="1"/>
        <v>7</v>
      </c>
      <c r="P10" s="1141">
        <f t="shared" si="1"/>
        <v>8</v>
      </c>
      <c r="Q10" s="1141">
        <f t="shared" si="1"/>
        <v>9</v>
      </c>
      <c r="R10" s="1141">
        <f t="shared" si="1"/>
        <v>10</v>
      </c>
      <c r="S10" s="1141">
        <f t="shared" si="1"/>
        <v>11</v>
      </c>
      <c r="T10" s="1141">
        <f t="shared" si="1"/>
        <v>12</v>
      </c>
      <c r="U10" s="1141">
        <f t="shared" si="1"/>
        <v>13</v>
      </c>
      <c r="V10" s="1141">
        <f t="shared" si="1"/>
        <v>14</v>
      </c>
      <c r="W10" s="1141">
        <f t="shared" si="1"/>
        <v>15</v>
      </c>
      <c r="X10" s="1141">
        <f t="shared" si="1"/>
        <v>16</v>
      </c>
      <c r="Y10" s="1141">
        <f t="shared" si="1"/>
        <v>17</v>
      </c>
      <c r="Z10" s="1141">
        <f t="shared" si="1"/>
        <v>18</v>
      </c>
      <c r="AA10" s="1141">
        <f t="shared" si="1"/>
        <v>19</v>
      </c>
    </row>
    <row r="11" spans="1:27">
      <c r="A11" s="198">
        <v>1</v>
      </c>
      <c r="B11" s="199" t="s">
        <v>568</v>
      </c>
      <c r="C11" s="121" t="s">
        <v>134</v>
      </c>
      <c r="D11" s="194">
        <f ca="1">+SUM(E11:AR11)</f>
        <v>214.12703999999999</v>
      </c>
      <c r="E11" s="375">
        <f ca="1">'Pre-Operative'!F40</f>
        <v>114.11025999999998</v>
      </c>
      <c r="F11" s="375">
        <f ca="1">'Pre-Operative'!G40</f>
        <v>32.27026</v>
      </c>
      <c r="G11" s="375">
        <f ca="1">'Pre-Operative'!H40</f>
        <v>33.458260000000003</v>
      </c>
      <c r="H11" s="375">
        <f ca="1">'Pre-Operative'!I40</f>
        <v>34.288260000000001</v>
      </c>
      <c r="I11" s="375">
        <f>'Pre-Operative'!J40</f>
        <v>0</v>
      </c>
      <c r="J11" s="375">
        <f>'Pre-Operative'!K40</f>
        <v>0</v>
      </c>
      <c r="K11" s="375">
        <f>'Pre-Operative'!L40</f>
        <v>0</v>
      </c>
      <c r="L11" s="375">
        <f>'Pre-Operative'!M40</f>
        <v>0</v>
      </c>
      <c r="M11" s="375">
        <f>'Pre-Operative'!K40</f>
        <v>0</v>
      </c>
      <c r="N11" s="375">
        <f>'Pre-Operative'!L40</f>
        <v>0</v>
      </c>
      <c r="O11" s="375">
        <f>'Pre-Operative'!M40</f>
        <v>0</v>
      </c>
      <c r="P11" s="375">
        <f>'Pre-Operative'!N40</f>
        <v>0</v>
      </c>
      <c r="Q11" s="375">
        <f>'Pre-Operative'!O40</f>
        <v>0</v>
      </c>
      <c r="R11" s="375">
        <f>'Pre-Operative'!P40</f>
        <v>0</v>
      </c>
      <c r="S11" s="375">
        <f>'Pre-Operative'!Q40</f>
        <v>0</v>
      </c>
      <c r="T11" s="375">
        <f>'Pre-Operative'!R40</f>
        <v>0</v>
      </c>
      <c r="U11" s="375">
        <f>'Pre-Operative'!S40</f>
        <v>0</v>
      </c>
      <c r="V11" s="375">
        <f>'Pre-Operative'!T40</f>
        <v>0</v>
      </c>
      <c r="W11" s="375">
        <f>'Pre-Operative'!U40</f>
        <v>0</v>
      </c>
      <c r="X11" s="375">
        <f>'Pre-Operative'!V40</f>
        <v>0</v>
      </c>
      <c r="Y11" s="375">
        <f>'Pre-Operative'!W40</f>
        <v>0</v>
      </c>
      <c r="Z11" s="375">
        <f>'Pre-Operative'!X40</f>
        <v>0</v>
      </c>
      <c r="AA11" s="375">
        <f>'Pre-Operative'!Y40</f>
        <v>0</v>
      </c>
    </row>
    <row r="12" spans="1:27">
      <c r="A12" s="198">
        <f>A11+1</f>
        <v>2</v>
      </c>
      <c r="B12" s="199" t="s">
        <v>340</v>
      </c>
      <c r="C12" s="121" t="s">
        <v>134</v>
      </c>
      <c r="D12" s="194">
        <f t="shared" ref="D12:D24" si="2">+SUM(E12:AR12)</f>
        <v>99.07</v>
      </c>
      <c r="E12" s="375">
        <f>Government!E13</f>
        <v>24.767499999999998</v>
      </c>
      <c r="F12" s="375">
        <f>Government!F13</f>
        <v>0</v>
      </c>
      <c r="G12" s="375">
        <f>Government!G13</f>
        <v>0</v>
      </c>
      <c r="H12" s="375">
        <f>Government!H13</f>
        <v>24.767499999999998</v>
      </c>
      <c r="I12" s="375">
        <f>Government!I13</f>
        <v>49.534999999999997</v>
      </c>
      <c r="J12" s="375">
        <f>Government!J13</f>
        <v>0</v>
      </c>
      <c r="K12" s="375">
        <f>Government!K13</f>
        <v>0</v>
      </c>
      <c r="L12" s="375">
        <f>Government!L13</f>
        <v>0</v>
      </c>
      <c r="M12" s="375">
        <f>Government!M13</f>
        <v>0</v>
      </c>
      <c r="N12" s="375">
        <f>Government!N13</f>
        <v>0</v>
      </c>
      <c r="O12" s="375">
        <f>Government!O13</f>
        <v>0</v>
      </c>
      <c r="P12" s="375">
        <f>Government!P13</f>
        <v>0</v>
      </c>
      <c r="Q12" s="375">
        <f>Government!Q13</f>
        <v>0</v>
      </c>
      <c r="R12" s="375">
        <f>Government!R13</f>
        <v>0</v>
      </c>
      <c r="S12" s="375">
        <f>Government!S13</f>
        <v>0</v>
      </c>
      <c r="T12" s="375">
        <f>Government!T13</f>
        <v>0</v>
      </c>
      <c r="U12" s="375">
        <f>Government!U13</f>
        <v>0</v>
      </c>
      <c r="V12" s="375">
        <f>Government!V13</f>
        <v>0</v>
      </c>
      <c r="W12" s="375">
        <f>Government!W13</f>
        <v>0</v>
      </c>
      <c r="X12" s="375">
        <f>Government!X13</f>
        <v>0</v>
      </c>
      <c r="Y12" s="375">
        <f>Government!Y13</f>
        <v>0</v>
      </c>
      <c r="Z12" s="375">
        <f>Government!Z13</f>
        <v>0</v>
      </c>
      <c r="AA12" s="375">
        <f>Government!AA13</f>
        <v>0</v>
      </c>
    </row>
    <row r="13" spans="1:27">
      <c r="A13" s="198">
        <f t="shared" ref="A13:A25" si="3">A12+1</f>
        <v>3</v>
      </c>
      <c r="B13" s="199" t="s">
        <v>569</v>
      </c>
      <c r="C13" s="121" t="s">
        <v>134</v>
      </c>
      <c r="D13" s="194">
        <f t="shared" si="2"/>
        <v>985.07801770063588</v>
      </c>
      <c r="E13" s="375">
        <f>Land!D5</f>
        <v>0</v>
      </c>
      <c r="F13" s="375">
        <f>Land!E5</f>
        <v>147.76226127539996</v>
      </c>
      <c r="G13" s="375">
        <f>Land!F5</f>
        <v>98.508174183599976</v>
      </c>
      <c r="H13" s="375">
        <f>Land!G5</f>
        <v>98.508174183599976</v>
      </c>
      <c r="I13" s="375">
        <f>Land!H5</f>
        <v>95.878699625956514</v>
      </c>
      <c r="J13" s="375">
        <f>Land!I5</f>
        <v>58.261429208676397</v>
      </c>
      <c r="K13" s="375">
        <f>Land!J5</f>
        <v>73.814176098050424</v>
      </c>
      <c r="L13" s="375">
        <f>Land!K5</f>
        <v>134.22055030231269</v>
      </c>
      <c r="M13" s="375">
        <f>Land!L5</f>
        <v>45.69977963240305</v>
      </c>
      <c r="N13" s="375">
        <f>Land!M5</f>
        <v>46.998174705916021</v>
      </c>
      <c r="O13" s="375">
        <f>Land!N5</f>
        <v>46.998174705916021</v>
      </c>
      <c r="P13" s="375">
        <f>Land!O5</f>
        <v>46.998174705916021</v>
      </c>
      <c r="Q13" s="375">
        <f>Land!P5</f>
        <v>46.998174705916021</v>
      </c>
      <c r="R13" s="375">
        <f>Land!Q5</f>
        <v>18.79926988236641</v>
      </c>
      <c r="S13" s="375">
        <f>Land!R5</f>
        <v>25.632804484606595</v>
      </c>
      <c r="T13" s="375">
        <f>Land!S5</f>
        <v>0</v>
      </c>
      <c r="U13" s="375">
        <f>Land!T5</f>
        <v>0</v>
      </c>
      <c r="V13" s="375">
        <f>Land!U5</f>
        <v>0</v>
      </c>
      <c r="W13" s="375">
        <f>Land!V5</f>
        <v>0</v>
      </c>
      <c r="X13" s="375">
        <f>Land!W5</f>
        <v>0</v>
      </c>
      <c r="Y13" s="375">
        <f>Land!X5</f>
        <v>0</v>
      </c>
      <c r="Z13" s="375">
        <f>Land!Y5</f>
        <v>0</v>
      </c>
      <c r="AA13" s="375">
        <f>Land!Z5</f>
        <v>0</v>
      </c>
    </row>
    <row r="14" spans="1:27">
      <c r="A14" s="198">
        <f t="shared" si="3"/>
        <v>4</v>
      </c>
      <c r="B14" s="199" t="s">
        <v>570</v>
      </c>
      <c r="C14" s="121" t="s">
        <v>134</v>
      </c>
      <c r="D14" s="194">
        <f t="shared" si="2"/>
        <v>1048.5700310581428</v>
      </c>
      <c r="E14" s="375">
        <f>'R&amp;R'!D6</f>
        <v>0</v>
      </c>
      <c r="F14" s="375">
        <f>'R&amp;R'!E6</f>
        <v>0</v>
      </c>
      <c r="G14" s="375">
        <f>'R&amp;R'!F6</f>
        <v>0</v>
      </c>
      <c r="H14" s="375">
        <f>'R&amp;R'!G6</f>
        <v>0</v>
      </c>
      <c r="I14" s="375">
        <f>'R&amp;R'!H6</f>
        <v>0</v>
      </c>
      <c r="J14" s="375">
        <f>'R&amp;R'!I6</f>
        <v>0</v>
      </c>
      <c r="K14" s="375">
        <f>'R&amp;R'!J6</f>
        <v>0</v>
      </c>
      <c r="L14" s="375">
        <f>'R&amp;R'!K6</f>
        <v>104.85700310581429</v>
      </c>
      <c r="M14" s="375">
        <f>'R&amp;R'!L6</f>
        <v>209.71400621162857</v>
      </c>
      <c r="N14" s="375">
        <f>'R&amp;R'!M6</f>
        <v>209.71400621162857</v>
      </c>
      <c r="O14" s="375">
        <f>'R&amp;R'!N6</f>
        <v>209.71400621162857</v>
      </c>
      <c r="P14" s="375">
        <f>'R&amp;R'!O6</f>
        <v>209.71400621162857</v>
      </c>
      <c r="Q14" s="375">
        <f>'R&amp;R'!P6</f>
        <v>104.85700310581429</v>
      </c>
      <c r="R14" s="375">
        <f>'R&amp;R'!Q6</f>
        <v>0</v>
      </c>
      <c r="S14" s="375">
        <f>'R&amp;R'!R6</f>
        <v>0</v>
      </c>
      <c r="T14" s="375">
        <f>'R&amp;R'!S6</f>
        <v>0</v>
      </c>
      <c r="U14" s="375">
        <f>'R&amp;R'!T6</f>
        <v>0</v>
      </c>
      <c r="V14" s="375">
        <f>'R&amp;R'!U6</f>
        <v>0</v>
      </c>
      <c r="W14" s="375">
        <f>'R&amp;R'!V6</f>
        <v>0</v>
      </c>
      <c r="X14" s="375">
        <f>'R&amp;R'!W6</f>
        <v>0</v>
      </c>
      <c r="Y14" s="375">
        <f>'R&amp;R'!X6</f>
        <v>0</v>
      </c>
      <c r="Z14" s="375">
        <f>'R&amp;R'!Y6</f>
        <v>0</v>
      </c>
      <c r="AA14" s="375">
        <f>'R&amp;R'!Z6</f>
        <v>0</v>
      </c>
    </row>
    <row r="15" spans="1:27">
      <c r="A15" s="198">
        <f t="shared" si="3"/>
        <v>5</v>
      </c>
      <c r="B15" s="199" t="s">
        <v>571</v>
      </c>
      <c r="C15" s="121" t="s">
        <v>134</v>
      </c>
      <c r="D15" s="194">
        <f t="shared" si="2"/>
        <v>701.5158371549536</v>
      </c>
      <c r="E15" s="375">
        <f>IF(Assumptions_Dashboard!$L$4=Assumptions_Dashboard!$M$5,(Fleet!G366),0)</f>
        <v>0</v>
      </c>
      <c r="F15" s="375">
        <f>IF(Assumptions_Dashboard!$L$4=Assumptions_Dashboard!$M$5,(Fleet!H366),0)</f>
        <v>0</v>
      </c>
      <c r="G15" s="375">
        <f>IF(Assumptions_Dashboard!$L$4=Assumptions_Dashboard!$M$5,(Fleet!I366),0)</f>
        <v>0</v>
      </c>
      <c r="H15" s="375">
        <f>IF(Assumptions_Dashboard!$L$4=Assumptions_Dashboard!$M$5,(Fleet!J366),0)</f>
        <v>0</v>
      </c>
      <c r="I15" s="375">
        <f>IF(Assumptions_Dashboard!$L$4=Assumptions_Dashboard!$M$5,(Fleet!K366),0)</f>
        <v>134.12607857747673</v>
      </c>
      <c r="J15" s="375">
        <f>IF(Assumptions_Dashboard!$L$4=Assumptions_Dashboard!$M$5,(Fleet!L366),0)</f>
        <v>14.8766</v>
      </c>
      <c r="K15" s="375">
        <f>IF(Assumptions_Dashboard!$L$4=Assumptions_Dashboard!$M$5,(Fleet!M366),0)</f>
        <v>108.86267857747673</v>
      </c>
      <c r="L15" s="375">
        <f>IF(Assumptions_Dashboard!$L$4=Assumptions_Dashboard!$M$5,(Fleet!N366),0)</f>
        <v>272.02312799999999</v>
      </c>
      <c r="M15" s="375">
        <f>IF(Assumptions_Dashboard!$L$4=Assumptions_Dashboard!$M$5,(Fleet!O366),0)</f>
        <v>26.007168</v>
      </c>
      <c r="N15" s="375">
        <f>IF(Assumptions_Dashboard!$L$4=Assumptions_Dashboard!$M$5,(Fleet!P366),0)</f>
        <v>123.513784</v>
      </c>
      <c r="O15" s="375">
        <f>IF(Assumptions_Dashboard!$L$4=Assumptions_Dashboard!$M$5,(Fleet!Q366),0)</f>
        <v>3.6844000000000001</v>
      </c>
      <c r="P15" s="375">
        <f>IF(Assumptions_Dashboard!$L$4=Assumptions_Dashboard!$M$5,(Fleet!R366),0)</f>
        <v>1.8422000000000001</v>
      </c>
      <c r="Q15" s="375">
        <f>IF(Assumptions_Dashboard!$L$4=Assumptions_Dashboard!$M$5,(Fleet!S366),0)</f>
        <v>1.8422000000000001</v>
      </c>
      <c r="R15" s="375">
        <f>IF(Assumptions_Dashboard!$L$4=Assumptions_Dashboard!$M$5,(Fleet!T366),0)</f>
        <v>1.8422000000000001</v>
      </c>
      <c r="S15" s="375">
        <f>IF(Assumptions_Dashboard!$L$4=Assumptions_Dashboard!$M$5,(Fleet!U366),0)</f>
        <v>3.6844000000000001</v>
      </c>
      <c r="T15" s="375">
        <f>IF(Assumptions_Dashboard!$L$4=Assumptions_Dashboard!$M$5,(Fleet!V366),0)</f>
        <v>0</v>
      </c>
      <c r="U15" s="375">
        <f>IF(Assumptions_Dashboard!$L$4=Assumptions_Dashboard!$M$5,(Fleet!W366),0)</f>
        <v>3.6844000000000001</v>
      </c>
      <c r="V15" s="375">
        <f>IF(Assumptions_Dashboard!$L$4=Assumptions_Dashboard!$M$5,(Fleet!X366),0)</f>
        <v>1.8422000000000001</v>
      </c>
      <c r="W15" s="375">
        <f>IF(Assumptions_Dashboard!$L$4=Assumptions_Dashboard!$M$5,(Fleet!Y366),0)</f>
        <v>3.6844000000000001</v>
      </c>
      <c r="X15" s="375">
        <f>IF(Assumptions_Dashboard!$L$4=Assumptions_Dashboard!$M$5,(Fleet!Z366),0)</f>
        <v>0</v>
      </c>
      <c r="Y15" s="375">
        <f>IF(Assumptions_Dashboard!$L$4=Assumptions_Dashboard!$M$5,(Fleet!AA366),0)</f>
        <v>0</v>
      </c>
      <c r="Z15" s="375">
        <f>IF(Assumptions_Dashboard!$L$4=Assumptions_Dashboard!$M$5,(Fleet!AB366),0)</f>
        <v>0</v>
      </c>
      <c r="AA15" s="375">
        <f>IF(Assumptions_Dashboard!$L$4=Assumptions_Dashboard!$M$5,(Fleet!AC366),0)</f>
        <v>0</v>
      </c>
    </row>
    <row r="16" spans="1:27">
      <c r="A16" s="198">
        <f t="shared" si="3"/>
        <v>6</v>
      </c>
      <c r="B16" s="199" t="s">
        <v>572</v>
      </c>
      <c r="C16" s="121" t="s">
        <v>134</v>
      </c>
      <c r="D16" s="194">
        <f t="shared" si="2"/>
        <v>335.19</v>
      </c>
      <c r="E16" s="375">
        <f>'Capex Breakups'!E4</f>
        <v>0</v>
      </c>
      <c r="F16" s="375">
        <f>'Capex Breakups'!F4</f>
        <v>0</v>
      </c>
      <c r="G16" s="375">
        <f>'Capex Breakups'!G4</f>
        <v>11.99</v>
      </c>
      <c r="H16" s="375">
        <f>'Capex Breakups'!H4</f>
        <v>89.79249999999999</v>
      </c>
      <c r="I16" s="375">
        <f>'Capex Breakups'!I4</f>
        <v>155.60499999999999</v>
      </c>
      <c r="J16" s="375">
        <f>'Capex Breakups'!J4</f>
        <v>77.802499999999995</v>
      </c>
      <c r="K16" s="375">
        <f>'Capex Breakups'!K4</f>
        <v>0</v>
      </c>
      <c r="L16" s="375">
        <f>'Capex Breakups'!L4</f>
        <v>0</v>
      </c>
      <c r="M16" s="375">
        <f>'Capex Breakups'!M4</f>
        <v>0</v>
      </c>
      <c r="N16" s="375">
        <f>'Capex Breakups'!N4</f>
        <v>0</v>
      </c>
      <c r="O16" s="375">
        <f>'Capex Breakups'!O4</f>
        <v>0</v>
      </c>
      <c r="P16" s="375">
        <f>'Capex Breakups'!P4</f>
        <v>0</v>
      </c>
      <c r="Q16" s="375">
        <f>'Capex Breakups'!Q4</f>
        <v>0</v>
      </c>
      <c r="R16" s="375">
        <f>'Capex Breakups'!R4</f>
        <v>0</v>
      </c>
      <c r="S16" s="375">
        <f>'Capex Breakups'!S4</f>
        <v>0</v>
      </c>
      <c r="T16" s="375">
        <f>'Capex Breakups'!T4</f>
        <v>0</v>
      </c>
      <c r="U16" s="375">
        <f>'Capex Breakups'!U4</f>
        <v>0</v>
      </c>
      <c r="V16" s="375">
        <f>'Capex Breakups'!V4</f>
        <v>0</v>
      </c>
      <c r="W16" s="375">
        <f>'Capex Breakups'!W4</f>
        <v>0</v>
      </c>
      <c r="X16" s="375">
        <f>'Capex Breakups'!X4</f>
        <v>0</v>
      </c>
      <c r="Y16" s="375">
        <f>'Capex Breakups'!Y4</f>
        <v>0</v>
      </c>
      <c r="Z16" s="375">
        <f>'Capex Breakups'!Z4</f>
        <v>0</v>
      </c>
      <c r="AA16" s="375">
        <f>'Capex Breakups'!AA4</f>
        <v>0</v>
      </c>
    </row>
    <row r="17" spans="1:27">
      <c r="A17" s="198">
        <f t="shared" si="3"/>
        <v>7</v>
      </c>
      <c r="B17" s="199" t="s">
        <v>251</v>
      </c>
      <c r="C17" s="121" t="s">
        <v>134</v>
      </c>
      <c r="D17" s="194">
        <f t="shared" si="2"/>
        <v>540</v>
      </c>
      <c r="E17" s="375">
        <f>'Capex Breakups'!E5</f>
        <v>0</v>
      </c>
      <c r="F17" s="375">
        <f>'Capex Breakups'!F5</f>
        <v>54</v>
      </c>
      <c r="G17" s="375">
        <f>'Capex Breakups'!G5</f>
        <v>324</v>
      </c>
      <c r="H17" s="375">
        <f>'Capex Breakups'!H5</f>
        <v>162</v>
      </c>
      <c r="I17" s="375">
        <f>'Capex Breakups'!I5</f>
        <v>0</v>
      </c>
      <c r="J17" s="375">
        <f>'Capex Breakups'!J5</f>
        <v>0</v>
      </c>
      <c r="K17" s="375">
        <f>'Capex Breakups'!K5</f>
        <v>0</v>
      </c>
      <c r="L17" s="375">
        <f>'Capex Breakups'!L5</f>
        <v>0</v>
      </c>
      <c r="M17" s="375">
        <f>'Capex Breakups'!M5</f>
        <v>0</v>
      </c>
      <c r="N17" s="375">
        <f>'Capex Breakups'!N5</f>
        <v>0</v>
      </c>
      <c r="O17" s="375">
        <f>'Capex Breakups'!O5</f>
        <v>0</v>
      </c>
      <c r="P17" s="375">
        <f>'Capex Breakups'!P5</f>
        <v>0</v>
      </c>
      <c r="Q17" s="375">
        <f>'Capex Breakups'!Q5</f>
        <v>0</v>
      </c>
      <c r="R17" s="375">
        <f>'Capex Breakups'!R5</f>
        <v>0</v>
      </c>
      <c r="S17" s="375">
        <f>'Capex Breakups'!S5</f>
        <v>0</v>
      </c>
      <c r="T17" s="375">
        <f>'Capex Breakups'!T5</f>
        <v>0</v>
      </c>
      <c r="U17" s="375">
        <f>'Capex Breakups'!U5</f>
        <v>0</v>
      </c>
      <c r="V17" s="375">
        <f>'Capex Breakups'!V5</f>
        <v>0</v>
      </c>
      <c r="W17" s="375">
        <f>'Capex Breakups'!W5</f>
        <v>0</v>
      </c>
      <c r="X17" s="375">
        <f>'Capex Breakups'!X5</f>
        <v>0</v>
      </c>
      <c r="Y17" s="375">
        <f>'Capex Breakups'!Y5</f>
        <v>0</v>
      </c>
      <c r="Z17" s="375">
        <f>'Capex Breakups'!Z5</f>
        <v>0</v>
      </c>
      <c r="AA17" s="375">
        <f>'Capex Breakups'!AA5</f>
        <v>0</v>
      </c>
    </row>
    <row r="18" spans="1:27">
      <c r="A18" s="198">
        <f t="shared" si="3"/>
        <v>8</v>
      </c>
      <c r="B18" s="199" t="s">
        <v>573</v>
      </c>
      <c r="C18" s="121" t="s">
        <v>134</v>
      </c>
      <c r="D18" s="194">
        <f t="shared" si="2"/>
        <v>191</v>
      </c>
      <c r="E18" s="375">
        <f>'Capex Breakups'!E6</f>
        <v>0</v>
      </c>
      <c r="F18" s="375">
        <f>'Capex Breakups'!F6</f>
        <v>57.3</v>
      </c>
      <c r="G18" s="375">
        <f>'Capex Breakups'!G6</f>
        <v>95.5</v>
      </c>
      <c r="H18" s="375">
        <f>'Capex Breakups'!H6</f>
        <v>38.200000000000003</v>
      </c>
      <c r="I18" s="375">
        <f>'Capex Breakups'!I6</f>
        <v>0</v>
      </c>
      <c r="J18" s="375">
        <f>'Capex Breakups'!J6</f>
        <v>0</v>
      </c>
      <c r="K18" s="375">
        <f>'Capex Breakups'!K6</f>
        <v>0</v>
      </c>
      <c r="L18" s="375">
        <f>'Capex Breakups'!L6</f>
        <v>0</v>
      </c>
      <c r="M18" s="375">
        <f>'Capex Breakups'!M6</f>
        <v>0</v>
      </c>
      <c r="N18" s="375">
        <f>'Capex Breakups'!N6</f>
        <v>0</v>
      </c>
      <c r="O18" s="375">
        <f>'Capex Breakups'!O6</f>
        <v>0</v>
      </c>
      <c r="P18" s="375">
        <f>'Capex Breakups'!P6</f>
        <v>0</v>
      </c>
      <c r="Q18" s="375">
        <f>'Capex Breakups'!Q6</f>
        <v>0</v>
      </c>
      <c r="R18" s="375">
        <f>'Capex Breakups'!R6</f>
        <v>0</v>
      </c>
      <c r="S18" s="375">
        <f>'Capex Breakups'!S6</f>
        <v>0</v>
      </c>
      <c r="T18" s="375">
        <f>'Capex Breakups'!T6</f>
        <v>0</v>
      </c>
      <c r="U18" s="375">
        <f>'Capex Breakups'!U6</f>
        <v>0</v>
      </c>
      <c r="V18" s="375">
        <f>'Capex Breakups'!V6</f>
        <v>0</v>
      </c>
      <c r="W18" s="375">
        <f>'Capex Breakups'!W6</f>
        <v>0</v>
      </c>
      <c r="X18" s="375">
        <f>'Capex Breakups'!X6</f>
        <v>0</v>
      </c>
      <c r="Y18" s="375">
        <f>'Capex Breakups'!Y6</f>
        <v>0</v>
      </c>
      <c r="Z18" s="375">
        <f>'Capex Breakups'!Z6</f>
        <v>0</v>
      </c>
      <c r="AA18" s="375">
        <f>'Capex Breakups'!AA6</f>
        <v>0</v>
      </c>
    </row>
    <row r="19" spans="1:27">
      <c r="A19" s="198">
        <f t="shared" si="3"/>
        <v>9</v>
      </c>
      <c r="B19" s="199" t="s">
        <v>574</v>
      </c>
      <c r="C19" s="121" t="s">
        <v>134</v>
      </c>
      <c r="D19" s="194">
        <f t="shared" si="2"/>
        <v>14.45</v>
      </c>
      <c r="E19" s="375">
        <f>'Capex Breakups'!E7</f>
        <v>0</v>
      </c>
      <c r="F19" s="375">
        <f>'Capex Breakups'!F7</f>
        <v>4.335</v>
      </c>
      <c r="G19" s="375">
        <f>'Capex Breakups'!G7</f>
        <v>7.2249999999999996</v>
      </c>
      <c r="H19" s="375">
        <f>'Capex Breakups'!H7</f>
        <v>2.89</v>
      </c>
      <c r="I19" s="375">
        <f>'Capex Breakups'!I7</f>
        <v>0</v>
      </c>
      <c r="J19" s="375">
        <f>'Capex Breakups'!J7</f>
        <v>0</v>
      </c>
      <c r="K19" s="375">
        <f>'Capex Breakups'!K7</f>
        <v>0</v>
      </c>
      <c r="L19" s="375">
        <f>'Capex Breakups'!L7</f>
        <v>0</v>
      </c>
      <c r="M19" s="375">
        <f>'Capex Breakups'!M7</f>
        <v>0</v>
      </c>
      <c r="N19" s="375">
        <f>'Capex Breakups'!N7</f>
        <v>0</v>
      </c>
      <c r="O19" s="375">
        <f>'Capex Breakups'!O7</f>
        <v>0</v>
      </c>
      <c r="P19" s="375">
        <f>'Capex Breakups'!P7</f>
        <v>0</v>
      </c>
      <c r="Q19" s="375">
        <f>'Capex Breakups'!Q7</f>
        <v>0</v>
      </c>
      <c r="R19" s="375">
        <f>'Capex Breakups'!R7</f>
        <v>0</v>
      </c>
      <c r="S19" s="375">
        <f>'Capex Breakups'!S7</f>
        <v>0</v>
      </c>
      <c r="T19" s="375">
        <f>'Capex Breakups'!T7</f>
        <v>0</v>
      </c>
      <c r="U19" s="375">
        <f>'Capex Breakups'!U7</f>
        <v>0</v>
      </c>
      <c r="V19" s="375">
        <f>'Capex Breakups'!V7</f>
        <v>0</v>
      </c>
      <c r="W19" s="375">
        <f>'Capex Breakups'!W7</f>
        <v>0</v>
      </c>
      <c r="X19" s="375">
        <f>'Capex Breakups'!X7</f>
        <v>0</v>
      </c>
      <c r="Y19" s="375">
        <f>'Capex Breakups'!Y7</f>
        <v>0</v>
      </c>
      <c r="Z19" s="375">
        <f>'Capex Breakups'!Z7</f>
        <v>0</v>
      </c>
      <c r="AA19" s="375">
        <f>'Capex Breakups'!AA7</f>
        <v>0</v>
      </c>
    </row>
    <row r="20" spans="1:27">
      <c r="A20" s="198">
        <f>A19+1</f>
        <v>10</v>
      </c>
      <c r="B20" s="199" t="str">
        <f>'Project CAPEX'!B20</f>
        <v>Workshop and Store</v>
      </c>
      <c r="C20" s="121" t="s">
        <v>134</v>
      </c>
      <c r="D20" s="194">
        <f t="shared" si="2"/>
        <v>27.27</v>
      </c>
      <c r="E20" s="375">
        <f>IF(Assumptions_Dashboard!$L$4="Departmental",'Capex Breakups'!E8,0)</f>
        <v>0</v>
      </c>
      <c r="F20" s="375">
        <f>IF(Assumptions_Dashboard!$L$4="Departmental",'Capex Breakups'!F8,0)</f>
        <v>0</v>
      </c>
      <c r="G20" s="375">
        <f>IF(Assumptions_Dashboard!$L$4="Departmental",'Capex Breakups'!G8,0)</f>
        <v>13.635</v>
      </c>
      <c r="H20" s="375">
        <f>IF(Assumptions_Dashboard!$L$4="Departmental",'Capex Breakups'!H8,0)</f>
        <v>13.635</v>
      </c>
      <c r="I20" s="375">
        <f>IF(Assumptions_Dashboard!$L$4="Departmental",'Capex Breakups'!I8,0)</f>
        <v>0</v>
      </c>
      <c r="J20" s="375">
        <f>IF(Assumptions_Dashboard!$L$4="Departmental",'Capex Breakups'!J8,0)</f>
        <v>0</v>
      </c>
      <c r="K20" s="375">
        <f>IF(Assumptions_Dashboard!$L$4="Departmental",'Capex Breakups'!K8,0)</f>
        <v>0</v>
      </c>
      <c r="L20" s="375">
        <f>IF(Assumptions_Dashboard!$L$4="Departmental",'Capex Breakups'!L8,0)</f>
        <v>0</v>
      </c>
      <c r="M20" s="375">
        <f>IF(Assumptions_Dashboard!$L$4="Departmental",'Capex Breakups'!M8,0)</f>
        <v>0</v>
      </c>
      <c r="N20" s="375">
        <f>IF(Assumptions_Dashboard!$L$4="Departmental",'Capex Breakups'!N8,0)</f>
        <v>0</v>
      </c>
      <c r="O20" s="375">
        <f>IF(Assumptions_Dashboard!$L$4="Departmental",'Capex Breakups'!O8,0)</f>
        <v>0</v>
      </c>
      <c r="P20" s="375">
        <f>IF(Assumptions_Dashboard!$L$4="Departmental",'Capex Breakups'!P8,0)</f>
        <v>0</v>
      </c>
      <c r="Q20" s="375">
        <f>IF(Assumptions_Dashboard!$L$4="Departmental",'Capex Breakups'!Q8,0)</f>
        <v>0</v>
      </c>
      <c r="R20" s="375">
        <f>IF(Assumptions_Dashboard!$L$4="Departmental",'Capex Breakups'!R8,0)</f>
        <v>0</v>
      </c>
      <c r="S20" s="375">
        <f>IF(Assumptions_Dashboard!$L$4="Departmental",'Capex Breakups'!S8,0)</f>
        <v>0</v>
      </c>
      <c r="T20" s="375">
        <f>IF(Assumptions_Dashboard!$L$4="Departmental",'Capex Breakups'!T8,0)</f>
        <v>0</v>
      </c>
      <c r="U20" s="375">
        <f>IF(Assumptions_Dashboard!$L$4="Departmental",'Capex Breakups'!U8,0)</f>
        <v>0</v>
      </c>
      <c r="V20" s="375">
        <f>IF(Assumptions_Dashboard!$L$4="Departmental",'Capex Breakups'!V8,0)</f>
        <v>0</v>
      </c>
      <c r="W20" s="375">
        <f>IF(Assumptions_Dashboard!$L$4="Departmental",'Capex Breakups'!W8,0)</f>
        <v>0</v>
      </c>
      <c r="X20" s="375">
        <f>IF(Assumptions_Dashboard!$L$4="Departmental",'Capex Breakups'!X8,0)</f>
        <v>0</v>
      </c>
      <c r="Y20" s="375">
        <f>IF(Assumptions_Dashboard!$L$4="Departmental",'Capex Breakups'!Y8,0)</f>
        <v>0</v>
      </c>
      <c r="Z20" s="375">
        <f>IF(Assumptions_Dashboard!$L$4="Departmental",'Capex Breakups'!Z8,0)</f>
        <v>0</v>
      </c>
      <c r="AA20" s="375">
        <f>IF(Assumptions_Dashboard!$L$4="Departmental",'Capex Breakups'!AA8,0)</f>
        <v>0</v>
      </c>
    </row>
    <row r="21" spans="1:27">
      <c r="A21" s="198">
        <f t="shared" si="3"/>
        <v>11</v>
      </c>
      <c r="B21" s="199" t="s">
        <v>273</v>
      </c>
      <c r="C21" s="121" t="s">
        <v>134</v>
      </c>
      <c r="D21" s="194">
        <f t="shared" si="2"/>
        <v>34.35</v>
      </c>
      <c r="E21" s="375">
        <f>'Capex Breakups'!E9</f>
        <v>0</v>
      </c>
      <c r="F21" s="375">
        <f>'Capex Breakups'!F9</f>
        <v>0</v>
      </c>
      <c r="G21" s="375">
        <f>'Capex Breakups'!G9</f>
        <v>0</v>
      </c>
      <c r="H21" s="375">
        <f>'Capex Breakups'!H9</f>
        <v>8.5875000000000004</v>
      </c>
      <c r="I21" s="375">
        <f>'Capex Breakups'!I9</f>
        <v>13.740000000000002</v>
      </c>
      <c r="J21" s="375">
        <f>'Capex Breakups'!J9</f>
        <v>8.5875000000000004</v>
      </c>
      <c r="K21" s="375">
        <f>'Capex Breakups'!K9</f>
        <v>3.4350000000000005</v>
      </c>
      <c r="L21" s="375">
        <f>'Capex Breakups'!L9</f>
        <v>0</v>
      </c>
      <c r="M21" s="375">
        <f>'Capex Breakups'!M9</f>
        <v>0</v>
      </c>
      <c r="N21" s="375">
        <f>'Capex Breakups'!N9</f>
        <v>0</v>
      </c>
      <c r="O21" s="375">
        <f>'Capex Breakups'!O9</f>
        <v>0</v>
      </c>
      <c r="P21" s="375">
        <f>'Capex Breakups'!P9</f>
        <v>0</v>
      </c>
      <c r="Q21" s="375">
        <f>'Capex Breakups'!Q9</f>
        <v>0</v>
      </c>
      <c r="R21" s="375">
        <f>'Capex Breakups'!R9</f>
        <v>0</v>
      </c>
      <c r="S21" s="375">
        <f>'Capex Breakups'!S9</f>
        <v>0</v>
      </c>
      <c r="T21" s="375">
        <f>'Capex Breakups'!T9</f>
        <v>0</v>
      </c>
      <c r="U21" s="375">
        <f>'Capex Breakups'!U9</f>
        <v>0</v>
      </c>
      <c r="V21" s="375">
        <f>'Capex Breakups'!V9</f>
        <v>0</v>
      </c>
      <c r="W21" s="375">
        <f>'Capex Breakups'!W9</f>
        <v>0</v>
      </c>
      <c r="X21" s="375">
        <f>'Capex Breakups'!X9</f>
        <v>0</v>
      </c>
      <c r="Y21" s="375">
        <f>'Capex Breakups'!Y9</f>
        <v>0</v>
      </c>
      <c r="Z21" s="375">
        <f>'Capex Breakups'!Z9</f>
        <v>0</v>
      </c>
      <c r="AA21" s="375">
        <f>'Capex Breakups'!AA9</f>
        <v>0</v>
      </c>
    </row>
    <row r="22" spans="1:27">
      <c r="A22" s="198">
        <f t="shared" si="3"/>
        <v>12</v>
      </c>
      <c r="B22" s="199" t="s">
        <v>276</v>
      </c>
      <c r="C22" s="121" t="s">
        <v>134</v>
      </c>
      <c r="D22" s="194">
        <f t="shared" si="2"/>
        <v>15</v>
      </c>
      <c r="E22" s="375">
        <f>IF(Assumptions_Dashboard!$L$4="Departmental",'Capex Breakups'!E10,0)</f>
        <v>0</v>
      </c>
      <c r="F22" s="375">
        <f>IF(Assumptions_Dashboard!$L$4="Departmental",'Capex Breakups'!F10,0)</f>
        <v>0</v>
      </c>
      <c r="G22" s="375">
        <f>IF(Assumptions_Dashboard!$L$4="Departmental",'Capex Breakups'!G10,0)</f>
        <v>0</v>
      </c>
      <c r="H22" s="375">
        <f>IF(Assumptions_Dashboard!$L$4="Departmental",'Capex Breakups'!H10,0)</f>
        <v>0</v>
      </c>
      <c r="I22" s="375">
        <f>IF(Assumptions_Dashboard!$L$4="Departmental",'Capex Breakups'!I10,0)</f>
        <v>2.8256089083763327</v>
      </c>
      <c r="J22" s="375">
        <f>IF(Assumptions_Dashboard!$L$4="Departmental",'Capex Breakups'!J10,0)</f>
        <v>2.0484987835200386</v>
      </c>
      <c r="K22" s="375">
        <f>IF(Assumptions_Dashboard!$L$4="Departmental",'Capex Breakups'!K10,0)</f>
        <v>0</v>
      </c>
      <c r="L22" s="375">
        <f>IF(Assumptions_Dashboard!$L$4="Departmental",'Capex Breakups'!L10,0)</f>
        <v>0</v>
      </c>
      <c r="M22" s="375">
        <f>IF(Assumptions_Dashboard!$L$4="Departmental",'Capex Breakups'!M10,0)</f>
        <v>3.7895021789696011</v>
      </c>
      <c r="N22" s="375">
        <f>IF(Assumptions_Dashboard!$L$4="Departmental",'Capex Breakups'!N10,0)</f>
        <v>0</v>
      </c>
      <c r="O22" s="375">
        <f>IF(Assumptions_Dashboard!$L$4="Departmental",'Capex Breakups'!O10,0)</f>
        <v>0</v>
      </c>
      <c r="P22" s="375">
        <f>IF(Assumptions_Dashboard!$L$4="Departmental",'Capex Breakups'!P10,0)</f>
        <v>0</v>
      </c>
      <c r="Q22" s="375">
        <f>IF(Assumptions_Dashboard!$L$4="Departmental",'Capex Breakups'!Q10,0)</f>
        <v>0</v>
      </c>
      <c r="R22" s="375">
        <f>IF(Assumptions_Dashboard!$L$4="Departmental",'Capex Breakups'!R10,0)</f>
        <v>3.3687137395396092</v>
      </c>
      <c r="S22" s="375">
        <f>IF(Assumptions_Dashboard!$L$4="Departmental",'Capex Breakups'!S10,0)</f>
        <v>0</v>
      </c>
      <c r="T22" s="375">
        <f>IF(Assumptions_Dashboard!$L$4="Departmental",'Capex Breakups'!T10,0)</f>
        <v>0</v>
      </c>
      <c r="U22" s="375">
        <f>IF(Assumptions_Dashboard!$L$4="Departmental",'Capex Breakups'!U10,0)</f>
        <v>0</v>
      </c>
      <c r="V22" s="375">
        <f>IF(Assumptions_Dashboard!$L$4="Departmental",'Capex Breakups'!V10,0)</f>
        <v>0</v>
      </c>
      <c r="W22" s="375">
        <f>IF(Assumptions_Dashboard!$L$4="Departmental",'Capex Breakups'!W10,0)</f>
        <v>2.9676763895944172</v>
      </c>
      <c r="X22" s="375">
        <f>IF(Assumptions_Dashboard!$L$4="Departmental",'Capex Breakups'!X10,0)</f>
        <v>0</v>
      </c>
      <c r="Y22" s="375">
        <f>IF(Assumptions_Dashboard!$L$4="Departmental",'Capex Breakups'!Y10,0)</f>
        <v>0</v>
      </c>
      <c r="Z22" s="375">
        <f>IF(Assumptions_Dashboard!$L$4="Departmental",'Capex Breakups'!Z10,0)</f>
        <v>0</v>
      </c>
      <c r="AA22" s="375">
        <f>IF(Assumptions_Dashboard!$L$4="Departmental",'Capex Breakups'!AA10,0)</f>
        <v>0</v>
      </c>
    </row>
    <row r="23" spans="1:27">
      <c r="A23" s="198">
        <f t="shared" si="3"/>
        <v>13</v>
      </c>
      <c r="B23" s="199" t="s">
        <v>279</v>
      </c>
      <c r="C23" s="121" t="s">
        <v>134</v>
      </c>
      <c r="D23" s="194">
        <f>+SUM(E23:AR23)</f>
        <v>10</v>
      </c>
      <c r="E23" s="375">
        <f>'Capex Breakups'!E11</f>
        <v>0</v>
      </c>
      <c r="F23" s="375">
        <f>'Capex Breakups'!F11</f>
        <v>3</v>
      </c>
      <c r="G23" s="375">
        <f>'Capex Breakups'!G11</f>
        <v>5</v>
      </c>
      <c r="H23" s="375">
        <f>'Capex Breakups'!H11</f>
        <v>2</v>
      </c>
      <c r="I23" s="375">
        <f>'Capex Breakups'!I11</f>
        <v>0</v>
      </c>
      <c r="J23" s="375">
        <f>'Capex Breakups'!J11</f>
        <v>0</v>
      </c>
      <c r="K23" s="375">
        <f>'Capex Breakups'!K11</f>
        <v>0</v>
      </c>
      <c r="L23" s="375">
        <f>'Capex Breakups'!L11</f>
        <v>0</v>
      </c>
      <c r="M23" s="375">
        <f>'Capex Breakups'!M11</f>
        <v>0</v>
      </c>
      <c r="N23" s="375">
        <f>'Capex Breakups'!N11</f>
        <v>0</v>
      </c>
      <c r="O23" s="375">
        <f>'Capex Breakups'!O11</f>
        <v>0</v>
      </c>
      <c r="P23" s="375">
        <f>'Capex Breakups'!P11</f>
        <v>0</v>
      </c>
      <c r="Q23" s="375">
        <f>'Capex Breakups'!Q11</f>
        <v>0</v>
      </c>
      <c r="R23" s="375">
        <f>'Capex Breakups'!R11</f>
        <v>0</v>
      </c>
      <c r="S23" s="375">
        <f>'Capex Breakups'!S11</f>
        <v>0</v>
      </c>
      <c r="T23" s="375">
        <f>'Capex Breakups'!T11</f>
        <v>0</v>
      </c>
      <c r="U23" s="375">
        <f>'Capex Breakups'!U11</f>
        <v>0</v>
      </c>
      <c r="V23" s="375">
        <f>'Capex Breakups'!V11</f>
        <v>0</v>
      </c>
      <c r="W23" s="375">
        <f>'Capex Breakups'!W11</f>
        <v>0</v>
      </c>
      <c r="X23" s="375">
        <f>'Capex Breakups'!X11</f>
        <v>0</v>
      </c>
      <c r="Y23" s="375">
        <f>'Capex Breakups'!Y11</f>
        <v>0</v>
      </c>
      <c r="Z23" s="375">
        <f>'Capex Breakups'!Z11</f>
        <v>0</v>
      </c>
      <c r="AA23" s="375">
        <f>'Capex Breakups'!AA11</f>
        <v>0</v>
      </c>
    </row>
    <row r="24" spans="1:27">
      <c r="A24" s="198">
        <f t="shared" si="3"/>
        <v>14</v>
      </c>
      <c r="B24" s="199" t="s">
        <v>255</v>
      </c>
      <c r="C24" s="121" t="s">
        <v>134</v>
      </c>
      <c r="D24" s="194">
        <f t="shared" ca="1" si="2"/>
        <v>617.48263888705969</v>
      </c>
      <c r="E24" s="375">
        <f ca="1">SUM(E11,E13:E23)*Assumptions_Dashboard!$D$100</f>
        <v>17.116538999999996</v>
      </c>
      <c r="F24" s="375">
        <f ca="1">SUM(F11,F13:F23)*Assumptions_Dashboard!$D$100</f>
        <v>44.800128191309994</v>
      </c>
      <c r="G24" s="375">
        <f ca="1">SUM(G11,G13:G23)*Assumptions_Dashboard!$D$100</f>
        <v>88.397465127540002</v>
      </c>
      <c r="H24" s="375">
        <f ca="1">SUM(H11,H13:H23)*Assumptions_Dashboard!$D$100</f>
        <v>67.485215127539988</v>
      </c>
      <c r="I24" s="375">
        <f>SUM(I11,I13:I23)*Assumptions_Dashboard!$D$100</f>
        <v>60.326308066771446</v>
      </c>
      <c r="J24" s="375">
        <f>SUM(J11,J13:J23)*Assumptions_Dashboard!$D$100</f>
        <v>24.236479198829468</v>
      </c>
      <c r="K24" s="375">
        <f>SUM(K11,K13:K23)*Assumptions_Dashboard!$D$100</f>
        <v>27.916778201329073</v>
      </c>
      <c r="L24" s="375">
        <f>SUM(L11,L13:L23)*Assumptions_Dashboard!$D$100</f>
        <v>76.665102211219036</v>
      </c>
      <c r="M24" s="375">
        <f>SUM(M11,M13:M23)*Assumptions_Dashboard!$D$100</f>
        <v>42.78156840345018</v>
      </c>
      <c r="N24" s="375">
        <f>SUM(N11,N13:N23)*Assumptions_Dashboard!$D$100</f>
        <v>57.033894737631684</v>
      </c>
      <c r="O24" s="375">
        <f>SUM(O11,O13:O23)*Assumptions_Dashboard!$D$100</f>
        <v>39.059487137631685</v>
      </c>
      <c r="P24" s="375">
        <f>SUM(P11,P13:P23)*Assumptions_Dashboard!$D$100</f>
        <v>38.783157137631683</v>
      </c>
      <c r="Q24" s="375">
        <f>SUM(Q11,Q13:Q23)*Assumptions_Dashboard!$D$100</f>
        <v>23.054606671759544</v>
      </c>
      <c r="R24" s="375">
        <f>SUM(R11,R13:R23)*Assumptions_Dashboard!$D$100</f>
        <v>3.6015275432859024</v>
      </c>
      <c r="S24" s="375">
        <f>SUM(S11,S13:S23)*Assumptions_Dashboard!$D$100</f>
        <v>4.3975806726909887</v>
      </c>
      <c r="T24" s="375">
        <f>SUM(T11,T13:T23)*Assumptions_Dashboard!$D$100</f>
        <v>0</v>
      </c>
      <c r="U24" s="375">
        <f>SUM(U11,U13:U23)*Assumptions_Dashboard!$D$100</f>
        <v>0.55266000000000004</v>
      </c>
      <c r="V24" s="375">
        <f>SUM(V11,V13:V23)*Assumptions_Dashboard!$D$100</f>
        <v>0.27633000000000002</v>
      </c>
      <c r="W24" s="375">
        <f>SUM(W11,W13:W23)*Assumptions_Dashboard!$D$100</f>
        <v>0.99781145843916252</v>
      </c>
      <c r="X24" s="375">
        <f>SUM(X11,X13:X23)*Assumptions_Dashboard!$D$100</f>
        <v>0</v>
      </c>
      <c r="Y24" s="375">
        <f>SUM(Y11,Y13:Y23)*Assumptions_Dashboard!$D$100</f>
        <v>0</v>
      </c>
      <c r="Z24" s="375">
        <f>SUM(Z11,Z13:Z23)*Assumptions_Dashboard!$D$100</f>
        <v>0</v>
      </c>
      <c r="AA24" s="375">
        <f>SUM(AA11,AA13:AA23)*Assumptions_Dashboard!$D$100</f>
        <v>0</v>
      </c>
    </row>
    <row r="25" spans="1:27">
      <c r="A25" s="198">
        <f t="shared" si="3"/>
        <v>15</v>
      </c>
      <c r="B25" s="199" t="s">
        <v>281</v>
      </c>
      <c r="C25" s="121" t="s">
        <v>134</v>
      </c>
      <c r="D25" s="194">
        <f ca="1">+SUM(E25:AR25)</f>
        <v>0</v>
      </c>
      <c r="E25" s="375">
        <f ca="1">'Borrowings-Owner'!G96</f>
        <v>0</v>
      </c>
      <c r="F25" s="375">
        <f ca="1">'Borrowings-Owner'!H96</f>
        <v>0</v>
      </c>
      <c r="G25" s="375">
        <f ca="1">'Borrowings-Owner'!I96</f>
        <v>0</v>
      </c>
      <c r="H25" s="375">
        <f ca="1">'Borrowings-Owner'!J96</f>
        <v>0</v>
      </c>
      <c r="I25" s="375"/>
      <c r="J25" s="375"/>
      <c r="K25" s="375"/>
      <c r="L25" s="375"/>
      <c r="M25" s="375"/>
      <c r="N25" s="375"/>
      <c r="O25" s="375"/>
      <c r="P25" s="375"/>
      <c r="Q25" s="375"/>
      <c r="R25" s="375"/>
      <c r="S25" s="375"/>
      <c r="T25" s="375"/>
      <c r="U25" s="375"/>
      <c r="V25" s="375"/>
      <c r="W25" s="375"/>
      <c r="X25" s="375"/>
      <c r="Y25" s="375"/>
      <c r="Z25" s="375"/>
      <c r="AA25" s="375"/>
    </row>
    <row r="26" spans="1:27">
      <c r="A26" s="117"/>
      <c r="B26" s="1230" t="s">
        <v>162</v>
      </c>
      <c r="C26" s="1231" t="s">
        <v>134</v>
      </c>
      <c r="D26" s="1232">
        <f t="shared" ref="D26:AA26" ca="1" si="4">SUM(D11:D25)</f>
        <v>4833.1035648007928</v>
      </c>
      <c r="E26" s="1233">
        <f t="shared" ca="1" si="4"/>
        <v>155.99429899999996</v>
      </c>
      <c r="F26" s="1233">
        <f t="shared" ca="1" si="4"/>
        <v>343.46764946670999</v>
      </c>
      <c r="G26" s="1233">
        <f t="shared" ca="1" si="4"/>
        <v>677.71389931114004</v>
      </c>
      <c r="H26" s="1233">
        <f t="shared" ca="1" si="4"/>
        <v>542.15414931113992</v>
      </c>
      <c r="I26" s="1233">
        <f t="shared" si="4"/>
        <v>512.03669517858111</v>
      </c>
      <c r="J26" s="1233">
        <f t="shared" si="4"/>
        <v>185.81300719102592</v>
      </c>
      <c r="K26" s="1233">
        <f t="shared" si="4"/>
        <v>214.02863287685622</v>
      </c>
      <c r="L26" s="1233">
        <f t="shared" si="4"/>
        <v>587.76578361934594</v>
      </c>
      <c r="M26" s="1233">
        <f t="shared" si="4"/>
        <v>327.99202442645139</v>
      </c>
      <c r="N26" s="1233">
        <f t="shared" si="4"/>
        <v>437.25985965517623</v>
      </c>
      <c r="O26" s="1233">
        <f t="shared" si="4"/>
        <v>299.45606805517622</v>
      </c>
      <c r="P26" s="1233">
        <f t="shared" si="4"/>
        <v>297.33753805517625</v>
      </c>
      <c r="Q26" s="1233">
        <f t="shared" si="4"/>
        <v>176.75198448348982</v>
      </c>
      <c r="R26" s="1233">
        <f t="shared" si="4"/>
        <v>27.61171116519192</v>
      </c>
      <c r="S26" s="1233">
        <f t="shared" si="4"/>
        <v>33.714785157297584</v>
      </c>
      <c r="T26" s="1233">
        <f t="shared" si="4"/>
        <v>0</v>
      </c>
      <c r="U26" s="1233">
        <f t="shared" si="4"/>
        <v>4.2370600000000005</v>
      </c>
      <c r="V26" s="1233">
        <f t="shared" si="4"/>
        <v>2.1185300000000002</v>
      </c>
      <c r="W26" s="1233">
        <f t="shared" si="4"/>
        <v>7.6498878480335799</v>
      </c>
      <c r="X26" s="1233">
        <f t="shared" si="4"/>
        <v>0</v>
      </c>
      <c r="Y26" s="1233">
        <f t="shared" si="4"/>
        <v>0</v>
      </c>
      <c r="Z26" s="1233">
        <f t="shared" si="4"/>
        <v>0</v>
      </c>
      <c r="AA26" s="1233">
        <f t="shared" si="4"/>
        <v>0</v>
      </c>
    </row>
    <row r="27" spans="1:27">
      <c r="A27" s="121"/>
      <c r="B27" s="199"/>
      <c r="C27" s="121"/>
      <c r="D27" s="190"/>
    </row>
    <row r="28" spans="1:27">
      <c r="A28" s="121"/>
      <c r="B28" s="200"/>
      <c r="C28" s="121"/>
      <c r="D28" s="194"/>
    </row>
    <row r="29" spans="1:27">
      <c r="A29" s="121"/>
      <c r="B29" s="200" t="s">
        <v>578</v>
      </c>
      <c r="C29" s="117"/>
      <c r="D29" s="197"/>
      <c r="E29" s="201">
        <f t="shared" ref="E29:AA29" si="5">E9</f>
        <v>46023</v>
      </c>
      <c r="F29" s="201">
        <f t="shared" si="5"/>
        <v>46389</v>
      </c>
      <c r="G29" s="201">
        <f t="shared" si="5"/>
        <v>46755</v>
      </c>
      <c r="H29" s="201">
        <f t="shared" si="5"/>
        <v>47121</v>
      </c>
      <c r="I29" s="201">
        <f t="shared" si="5"/>
        <v>47487</v>
      </c>
      <c r="J29" s="201">
        <f t="shared" si="5"/>
        <v>47853</v>
      </c>
      <c r="K29" s="201">
        <f t="shared" si="5"/>
        <v>48219</v>
      </c>
      <c r="L29" s="201">
        <f t="shared" si="5"/>
        <v>48585</v>
      </c>
      <c r="M29" s="201">
        <f t="shared" si="5"/>
        <v>48951</v>
      </c>
      <c r="N29" s="201">
        <f t="shared" si="5"/>
        <v>49317</v>
      </c>
      <c r="O29" s="201">
        <f t="shared" si="5"/>
        <v>49683</v>
      </c>
      <c r="P29" s="201">
        <f t="shared" si="5"/>
        <v>50049</v>
      </c>
      <c r="Q29" s="201">
        <f t="shared" si="5"/>
        <v>50415</v>
      </c>
      <c r="R29" s="201">
        <f t="shared" si="5"/>
        <v>50781</v>
      </c>
      <c r="S29" s="201">
        <f t="shared" si="5"/>
        <v>51147</v>
      </c>
      <c r="T29" s="201">
        <f t="shared" si="5"/>
        <v>51513</v>
      </c>
      <c r="U29" s="201">
        <f t="shared" si="5"/>
        <v>51879</v>
      </c>
      <c r="V29" s="201">
        <f t="shared" si="5"/>
        <v>52245</v>
      </c>
      <c r="W29" s="201">
        <f t="shared" si="5"/>
        <v>52611</v>
      </c>
      <c r="X29" s="201">
        <f t="shared" si="5"/>
        <v>52977</v>
      </c>
      <c r="Y29" s="201">
        <f t="shared" si="5"/>
        <v>53343</v>
      </c>
      <c r="Z29" s="201">
        <f t="shared" si="5"/>
        <v>53709</v>
      </c>
      <c r="AA29" s="201">
        <f t="shared" si="5"/>
        <v>54075</v>
      </c>
    </row>
    <row r="30" spans="1:27">
      <c r="A30" s="117"/>
      <c r="B30" s="1228" t="s">
        <v>94</v>
      </c>
      <c r="C30" s="788" t="s">
        <v>95</v>
      </c>
      <c r="D30" s="1223" t="s">
        <v>96</v>
      </c>
      <c r="E30" s="1141">
        <f t="shared" ref="E30:AA30" si="6">E10</f>
        <v>-4</v>
      </c>
      <c r="F30" s="1141">
        <f t="shared" si="6"/>
        <v>-3</v>
      </c>
      <c r="G30" s="1141">
        <f t="shared" si="6"/>
        <v>-2</v>
      </c>
      <c r="H30" s="1141">
        <f t="shared" si="6"/>
        <v>-1</v>
      </c>
      <c r="I30" s="1141">
        <f t="shared" si="6"/>
        <v>1</v>
      </c>
      <c r="J30" s="1141">
        <f t="shared" si="6"/>
        <v>2</v>
      </c>
      <c r="K30" s="1141">
        <f t="shared" si="6"/>
        <v>3</v>
      </c>
      <c r="L30" s="1141">
        <f t="shared" si="6"/>
        <v>4</v>
      </c>
      <c r="M30" s="1141">
        <f t="shared" si="6"/>
        <v>5</v>
      </c>
      <c r="N30" s="1141">
        <f t="shared" si="6"/>
        <v>6</v>
      </c>
      <c r="O30" s="1141">
        <f t="shared" si="6"/>
        <v>7</v>
      </c>
      <c r="P30" s="1141">
        <f t="shared" si="6"/>
        <v>8</v>
      </c>
      <c r="Q30" s="1141">
        <f t="shared" si="6"/>
        <v>9</v>
      </c>
      <c r="R30" s="1141">
        <f t="shared" si="6"/>
        <v>10</v>
      </c>
      <c r="S30" s="1141">
        <f t="shared" si="6"/>
        <v>11</v>
      </c>
      <c r="T30" s="1141">
        <f t="shared" si="6"/>
        <v>12</v>
      </c>
      <c r="U30" s="1141">
        <f t="shared" si="6"/>
        <v>13</v>
      </c>
      <c r="V30" s="1141">
        <f t="shared" si="6"/>
        <v>14</v>
      </c>
      <c r="W30" s="1141">
        <f t="shared" si="6"/>
        <v>15</v>
      </c>
      <c r="X30" s="1141">
        <f t="shared" si="6"/>
        <v>16</v>
      </c>
      <c r="Y30" s="1141">
        <f t="shared" si="6"/>
        <v>17</v>
      </c>
      <c r="Z30" s="1141">
        <f t="shared" si="6"/>
        <v>18</v>
      </c>
      <c r="AA30" s="1141">
        <f t="shared" si="6"/>
        <v>19</v>
      </c>
    </row>
    <row r="31" spans="1:27">
      <c r="A31" s="198">
        <f t="shared" ref="A31:A38" si="7">A11</f>
        <v>1</v>
      </c>
      <c r="B31" s="199" t="s">
        <v>579</v>
      </c>
      <c r="C31" s="121" t="s">
        <v>134</v>
      </c>
      <c r="D31" s="194">
        <f>+SUM(E31:AR31)</f>
        <v>1365.0487594828739</v>
      </c>
      <c r="E31" s="366">
        <f>IF(Assumptions_Dashboard!$L$4=Assumptions_Dashboard!$M$5,(Fleet!G413),0)</f>
        <v>0</v>
      </c>
      <c r="F31" s="366">
        <f>IF(Assumptions_Dashboard!$L$4=Assumptions_Dashboard!$M$5,(Fleet!H413),0)</f>
        <v>0</v>
      </c>
      <c r="G31" s="366">
        <f>IF(Assumptions_Dashboard!$L$4=Assumptions_Dashboard!$M$5,(Fleet!I413),0)</f>
        <v>0</v>
      </c>
      <c r="H31" s="366">
        <f>IF(Assumptions_Dashboard!$L$4=Assumptions_Dashboard!$M$5,(Fleet!J413),0)</f>
        <v>0</v>
      </c>
      <c r="I31" s="366">
        <f>IF(Assumptions_Dashboard!$L$4=Assumptions_Dashboard!$M$5,(Fleet!K413),0)</f>
        <v>0</v>
      </c>
      <c r="J31" s="366">
        <f>IF(Assumptions_Dashboard!$L$4=Assumptions_Dashboard!$M$5,(Fleet!L413),0)</f>
        <v>0</v>
      </c>
      <c r="K31" s="366">
        <f>IF(Assumptions_Dashboard!$L$4=Assumptions_Dashboard!$M$5,(Fleet!M413),0)</f>
        <v>0</v>
      </c>
      <c r="L31" s="366">
        <f>IF(Assumptions_Dashboard!$L$4=Assumptions_Dashboard!$M$5,(Fleet!N413),0)</f>
        <v>0</v>
      </c>
      <c r="M31" s="366">
        <f>IF(Assumptions_Dashboard!$L$4=Assumptions_Dashboard!$M$5,(Fleet!O413),0)</f>
        <v>0</v>
      </c>
      <c r="N31" s="366">
        <f>IF(Assumptions_Dashboard!$L$4=Assumptions_Dashboard!$M$5,(Fleet!P413),0)</f>
        <v>76.680000000000007</v>
      </c>
      <c r="O31" s="366">
        <f>IF(Assumptions_Dashboard!$L$4=Assumptions_Dashboard!$M$5,(Fleet!Q413),0)</f>
        <v>25.3156</v>
      </c>
      <c r="P31" s="366">
        <f>IF(Assumptions_Dashboard!$L$4=Assumptions_Dashboard!$M$5,(Fleet!R413),0)</f>
        <v>79.373661163960321</v>
      </c>
      <c r="Q31" s="366">
        <f>IF(Assumptions_Dashboard!$L$4=Assumptions_Dashboard!$M$5,(Fleet!S413),0)</f>
        <v>152.65219999999999</v>
      </c>
      <c r="R31" s="366">
        <f>IF(Assumptions_Dashboard!$L$4=Assumptions_Dashboard!$M$5,(Fleet!T413),0)</f>
        <v>73.456861163960312</v>
      </c>
      <c r="S31" s="366">
        <f>IF(Assumptions_Dashboard!$L$4=Assumptions_Dashboard!$M$5,(Fleet!U413),0)</f>
        <v>94.363200000000006</v>
      </c>
      <c r="T31" s="366">
        <f>IF(Assumptions_Dashboard!$L$4=Assumptions_Dashboard!$M$5,(Fleet!V413),0)</f>
        <v>26.558854800000002</v>
      </c>
      <c r="U31" s="366">
        <f>IF(Assumptions_Dashboard!$L$4=Assumptions_Dashboard!$M$5,(Fleet!W413),0)</f>
        <v>80.112400000000008</v>
      </c>
      <c r="V31" s="366">
        <f>IF(Assumptions_Dashboard!$L$4=Assumptions_Dashboard!$M$5,(Fleet!X413),0)</f>
        <v>232.38658279999999</v>
      </c>
      <c r="W31" s="366">
        <f>IF(Assumptions_Dashboard!$L$4=Assumptions_Dashboard!$M$5,(Fleet!Y413),0)</f>
        <v>42.660029163960317</v>
      </c>
      <c r="X31" s="366">
        <f>IF(Assumptions_Dashboard!$L$4=Assumptions_Dashboard!$M$5,(Fleet!Z413),0)</f>
        <v>203.02134661351636</v>
      </c>
      <c r="Y31" s="366">
        <f>IF(Assumptions_Dashboard!$L$4=Assumptions_Dashboard!$M$5,(Fleet!AA413),0)</f>
        <v>28.090261163960317</v>
      </c>
      <c r="Z31" s="366">
        <f>IF(Assumptions_Dashboard!$L$4=Assumptions_Dashboard!$M$5,(Fleet!AB413),0)</f>
        <v>93.352162613516413</v>
      </c>
      <c r="AA31" s="366">
        <f>IF(Assumptions_Dashboard!$L$4=Assumptions_Dashboard!$M$5,(Fleet!AC413),0)</f>
        <v>157.0256</v>
      </c>
    </row>
    <row r="32" spans="1:27">
      <c r="A32" s="198">
        <f t="shared" si="7"/>
        <v>2</v>
      </c>
      <c r="B32" s="199" t="str">
        <f>B16</f>
        <v>CHP</v>
      </c>
      <c r="C32" s="121" t="s">
        <v>134</v>
      </c>
      <c r="D32" s="194">
        <f t="shared" ref="D32:D38" si="8">+SUM(E32:AR32)</f>
        <v>20.1114</v>
      </c>
      <c r="E32" s="366"/>
      <c r="F32" s="366"/>
      <c r="G32" s="366"/>
      <c r="H32" s="366"/>
      <c r="I32" s="366"/>
      <c r="J32" s="366"/>
      <c r="K32" s="366"/>
      <c r="L32" s="366"/>
      <c r="M32" s="366"/>
      <c r="N32" s="366"/>
      <c r="O32" s="366"/>
      <c r="P32" s="366">
        <f>$D$16*Assumptions_Dashboard!$D$117</f>
        <v>10.0557</v>
      </c>
      <c r="Q32" s="366"/>
      <c r="R32" s="366"/>
      <c r="S32" s="366"/>
      <c r="T32" s="366"/>
      <c r="U32" s="366"/>
      <c r="V32" s="366"/>
      <c r="W32" s="366"/>
      <c r="X32" s="366">
        <f>$D$16*Assumptions_Dashboard!$D$117</f>
        <v>10.0557</v>
      </c>
      <c r="Y32" s="366"/>
      <c r="Z32" s="366"/>
      <c r="AA32" s="366"/>
    </row>
    <row r="33" spans="1:27">
      <c r="A33" s="198">
        <f t="shared" si="7"/>
        <v>3</v>
      </c>
      <c r="B33" s="199" t="str">
        <f>B18</f>
        <v>Civil Infrastructure</v>
      </c>
      <c r="C33" s="121" t="s">
        <v>134</v>
      </c>
      <c r="D33" s="194">
        <f t="shared" si="8"/>
        <v>6.6850000000000005</v>
      </c>
      <c r="E33" s="366"/>
      <c r="F33" s="366"/>
      <c r="G33" s="366"/>
      <c r="H33" s="366"/>
      <c r="I33" s="366"/>
      <c r="J33" s="366"/>
      <c r="K33" s="366"/>
      <c r="L33" s="366"/>
      <c r="M33" s="366"/>
      <c r="N33" s="366"/>
      <c r="O33" s="366"/>
      <c r="P33" s="366"/>
      <c r="Q33" s="366"/>
      <c r="R33" s="366">
        <f>$D$18*Assumptions_Dashboard!$D$118</f>
        <v>6.6850000000000005</v>
      </c>
      <c r="S33" s="366"/>
      <c r="T33" s="366"/>
      <c r="U33" s="366"/>
      <c r="V33" s="366"/>
      <c r="W33" s="366"/>
      <c r="X33" s="366"/>
      <c r="Y33" s="366"/>
      <c r="Z33" s="366"/>
      <c r="AA33" s="366"/>
    </row>
    <row r="34" spans="1:27">
      <c r="A34" s="198">
        <f t="shared" si="7"/>
        <v>4</v>
      </c>
      <c r="B34" s="199" t="str">
        <f>B20</f>
        <v>Workshop and Store</v>
      </c>
      <c r="C34" s="121" t="s">
        <v>134</v>
      </c>
      <c r="D34" s="194">
        <f t="shared" si="8"/>
        <v>0</v>
      </c>
      <c r="E34" s="366"/>
      <c r="F34" s="366"/>
      <c r="G34" s="366"/>
      <c r="H34" s="366"/>
      <c r="I34" s="366"/>
      <c r="J34" s="366"/>
      <c r="K34" s="366"/>
      <c r="L34" s="366"/>
      <c r="M34" s="366"/>
      <c r="N34" s="366"/>
      <c r="O34" s="366"/>
      <c r="P34" s="366"/>
      <c r="Q34" s="366"/>
      <c r="R34" s="366"/>
      <c r="S34" s="366"/>
      <c r="T34" s="366"/>
      <c r="U34" s="366"/>
      <c r="V34" s="366"/>
      <c r="W34" s="366"/>
      <c r="X34" s="366"/>
      <c r="Y34" s="366"/>
      <c r="Z34" s="366"/>
      <c r="AA34" s="366"/>
    </row>
    <row r="35" spans="1:27">
      <c r="A35" s="198">
        <f t="shared" si="7"/>
        <v>5</v>
      </c>
      <c r="B35" s="199" t="str">
        <f>B21</f>
        <v xml:space="preserve">Electrical </v>
      </c>
      <c r="C35" s="121" t="s">
        <v>134</v>
      </c>
      <c r="D35" s="194">
        <f t="shared" si="8"/>
        <v>0</v>
      </c>
      <c r="E35" s="366"/>
      <c r="F35" s="366"/>
      <c r="G35" s="366"/>
      <c r="H35" s="366"/>
      <c r="I35" s="366"/>
      <c r="J35" s="366"/>
      <c r="K35" s="366"/>
      <c r="L35" s="366"/>
      <c r="M35" s="366"/>
      <c r="N35" s="366"/>
      <c r="O35" s="366"/>
      <c r="P35" s="366"/>
      <c r="Q35" s="366"/>
      <c r="R35" s="366"/>
      <c r="S35" s="366"/>
      <c r="T35" s="366"/>
      <c r="U35" s="366"/>
      <c r="V35" s="366"/>
      <c r="W35" s="366"/>
      <c r="X35" s="366"/>
      <c r="Y35" s="366"/>
      <c r="Z35" s="366"/>
      <c r="AA35" s="366"/>
    </row>
    <row r="36" spans="1:27">
      <c r="A36" s="198">
        <f t="shared" si="7"/>
        <v>6</v>
      </c>
      <c r="B36" s="199" t="str">
        <f t="shared" ref="B36:B37" si="9">B22</f>
        <v>Mine Dewatering System</v>
      </c>
      <c r="C36" s="121" t="s">
        <v>134</v>
      </c>
      <c r="D36" s="194">
        <f t="shared" si="8"/>
        <v>0</v>
      </c>
      <c r="E36" s="366"/>
      <c r="F36" s="366"/>
      <c r="G36" s="366"/>
      <c r="H36" s="366"/>
      <c r="I36" s="366"/>
      <c r="J36" s="366"/>
      <c r="K36" s="366"/>
      <c r="L36" s="366"/>
      <c r="M36" s="366"/>
      <c r="N36" s="366"/>
      <c r="O36" s="366"/>
      <c r="P36" s="366"/>
      <c r="Q36" s="366"/>
      <c r="R36" s="366"/>
      <c r="S36" s="366"/>
      <c r="T36" s="366"/>
      <c r="U36" s="366"/>
      <c r="V36" s="366"/>
      <c r="W36" s="366"/>
      <c r="X36" s="366"/>
      <c r="Y36" s="366"/>
      <c r="Z36" s="366"/>
      <c r="AA36" s="366"/>
    </row>
    <row r="37" spans="1:27">
      <c r="A37" s="198">
        <f t="shared" si="7"/>
        <v>7</v>
      </c>
      <c r="B37" s="199" t="str">
        <f t="shared" si="9"/>
        <v>Digitalisation</v>
      </c>
      <c r="C37" s="121" t="s">
        <v>134</v>
      </c>
      <c r="D37" s="194">
        <f t="shared" si="8"/>
        <v>0</v>
      </c>
      <c r="E37" s="366"/>
      <c r="F37" s="366"/>
      <c r="G37" s="366"/>
      <c r="H37" s="366"/>
      <c r="I37" s="366"/>
      <c r="J37" s="366"/>
      <c r="K37" s="366"/>
      <c r="L37" s="366"/>
      <c r="M37" s="366"/>
      <c r="N37" s="366"/>
      <c r="O37" s="366"/>
      <c r="P37" s="366"/>
      <c r="Q37" s="366"/>
      <c r="R37" s="366"/>
      <c r="S37" s="366"/>
      <c r="T37" s="366"/>
      <c r="U37" s="366"/>
      <c r="V37" s="366"/>
      <c r="W37" s="366"/>
      <c r="X37" s="366"/>
      <c r="Y37" s="366"/>
      <c r="Z37" s="366"/>
      <c r="AA37" s="366"/>
    </row>
    <row r="38" spans="1:27">
      <c r="A38" s="198">
        <f t="shared" si="7"/>
        <v>8</v>
      </c>
      <c r="B38" s="199" t="s">
        <v>577</v>
      </c>
      <c r="C38" s="121" t="s">
        <v>134</v>
      </c>
      <c r="D38" s="194">
        <f t="shared" si="8"/>
        <v>208.77677392243115</v>
      </c>
      <c r="E38" s="366">
        <f>SUM(E31:E37)*Assumptions_Dashboard!$D$100</f>
        <v>0</v>
      </c>
      <c r="F38" s="366">
        <f>SUM(F31:F37)*Assumptions_Dashboard!$D$100</f>
        <v>0</v>
      </c>
      <c r="G38" s="366">
        <f>SUM(G31:G37)*Assumptions_Dashboard!$D$100</f>
        <v>0</v>
      </c>
      <c r="H38" s="366">
        <f>SUM(H31:H37)*Assumptions_Dashboard!$D$100</f>
        <v>0</v>
      </c>
      <c r="I38" s="366">
        <f>SUM(I31:I37)*Assumptions_Dashboard!$D$100</f>
        <v>0</v>
      </c>
      <c r="J38" s="366">
        <f>SUM(J31:J37)*Assumptions_Dashboard!$D$100</f>
        <v>0</v>
      </c>
      <c r="K38" s="366">
        <f>SUM(K31:K37)*Assumptions_Dashboard!$D$100</f>
        <v>0</v>
      </c>
      <c r="L38" s="366">
        <f>SUM(L31:L37)*Assumptions_Dashboard!$D$100</f>
        <v>0</v>
      </c>
      <c r="M38" s="366">
        <f>SUM(M31:M37)*Assumptions_Dashboard!$D$100</f>
        <v>0</v>
      </c>
      <c r="N38" s="366">
        <f>SUM(N31:N37)*Assumptions_Dashboard!$D$100</f>
        <v>11.502000000000001</v>
      </c>
      <c r="O38" s="366">
        <f>SUM(O31:O37)*Assumptions_Dashboard!$D$100</f>
        <v>3.7973399999999997</v>
      </c>
      <c r="P38" s="366">
        <f>SUM(P31:P37)*Assumptions_Dashboard!$D$100</f>
        <v>13.414404174594049</v>
      </c>
      <c r="Q38" s="366">
        <f>SUM(Q31:Q37)*Assumptions_Dashboard!$D$100</f>
        <v>22.897829999999999</v>
      </c>
      <c r="R38" s="366">
        <f>SUM(R31:R37)*Assumptions_Dashboard!$D$100</f>
        <v>12.021279174594047</v>
      </c>
      <c r="S38" s="366">
        <f>SUM(S31:S37)*Assumptions_Dashboard!$D$100</f>
        <v>14.154480000000001</v>
      </c>
      <c r="T38" s="366">
        <f>SUM(T31:T37)*Assumptions_Dashboard!$D$100</f>
        <v>3.9838282200000004</v>
      </c>
      <c r="U38" s="366">
        <f>SUM(U31:U37)*Assumptions_Dashboard!$D$100</f>
        <v>12.016860000000001</v>
      </c>
      <c r="V38" s="366">
        <f>SUM(V31:V37)*Assumptions_Dashboard!$D$100</f>
        <v>34.857987419999994</v>
      </c>
      <c r="W38" s="366">
        <f>SUM(W31:W37)*Assumptions_Dashboard!$D$100</f>
        <v>6.399004374594047</v>
      </c>
      <c r="X38" s="366">
        <f>SUM(X31:X37)*Assumptions_Dashboard!$D$100</f>
        <v>31.961556992027454</v>
      </c>
      <c r="Y38" s="366">
        <f>SUM(Y31:Y37)*Assumptions_Dashboard!$D$100</f>
        <v>4.2135391745940476</v>
      </c>
      <c r="Z38" s="366">
        <f>SUM(Z31:Z37)*Assumptions_Dashboard!$D$100</f>
        <v>14.002824392027462</v>
      </c>
      <c r="AA38" s="366">
        <f>SUM(AA31:AA37)*Assumptions_Dashboard!$D$100</f>
        <v>23.553839999999997</v>
      </c>
    </row>
    <row r="39" spans="1:27">
      <c r="A39" s="121"/>
      <c r="B39" s="1230" t="s">
        <v>582</v>
      </c>
      <c r="C39" s="1231" t="s">
        <v>134</v>
      </c>
      <c r="D39" s="1232">
        <f>+SUM(E39:AN39)</f>
        <v>1600.6219334053048</v>
      </c>
      <c r="E39" s="1233">
        <f t="shared" ref="E39:AA39" si="10">SUM(E31:E38)</f>
        <v>0</v>
      </c>
      <c r="F39" s="1233">
        <f t="shared" si="10"/>
        <v>0</v>
      </c>
      <c r="G39" s="1233">
        <f t="shared" si="10"/>
        <v>0</v>
      </c>
      <c r="H39" s="1233">
        <f t="shared" si="10"/>
        <v>0</v>
      </c>
      <c r="I39" s="1233">
        <f t="shared" si="10"/>
        <v>0</v>
      </c>
      <c r="J39" s="1233">
        <f t="shared" si="10"/>
        <v>0</v>
      </c>
      <c r="K39" s="1233">
        <f t="shared" si="10"/>
        <v>0</v>
      </c>
      <c r="L39" s="1233">
        <f t="shared" si="10"/>
        <v>0</v>
      </c>
      <c r="M39" s="1233">
        <f t="shared" si="10"/>
        <v>0</v>
      </c>
      <c r="N39" s="1233">
        <f t="shared" si="10"/>
        <v>88.182000000000002</v>
      </c>
      <c r="O39" s="1233">
        <f t="shared" si="10"/>
        <v>29.112939999999998</v>
      </c>
      <c r="P39" s="1233">
        <f t="shared" si="10"/>
        <v>102.84376533855438</v>
      </c>
      <c r="Q39" s="1233">
        <f t="shared" si="10"/>
        <v>175.55002999999999</v>
      </c>
      <c r="R39" s="1233">
        <f t="shared" si="10"/>
        <v>92.163140338554356</v>
      </c>
      <c r="S39" s="1233">
        <f t="shared" si="10"/>
        <v>108.51768000000001</v>
      </c>
      <c r="T39" s="1233">
        <f t="shared" si="10"/>
        <v>30.542683020000002</v>
      </c>
      <c r="U39" s="1233">
        <f t="shared" si="10"/>
        <v>92.129260000000016</v>
      </c>
      <c r="V39" s="1233">
        <f t="shared" si="10"/>
        <v>267.24457021999996</v>
      </c>
      <c r="W39" s="1233">
        <f t="shared" si="10"/>
        <v>49.059033538554367</v>
      </c>
      <c r="X39" s="1233">
        <f t="shared" si="10"/>
        <v>245.03860360554381</v>
      </c>
      <c r="Y39" s="1233">
        <f t="shared" si="10"/>
        <v>32.303800338554367</v>
      </c>
      <c r="Z39" s="1233">
        <f t="shared" si="10"/>
        <v>107.35498700554388</v>
      </c>
      <c r="AA39" s="1233">
        <f t="shared" si="10"/>
        <v>180.57944000000001</v>
      </c>
    </row>
    <row r="40" spans="1:27">
      <c r="A40" s="121"/>
      <c r="B40" s="199"/>
      <c r="C40" s="121"/>
      <c r="D40" s="121"/>
      <c r="E40" s="434"/>
      <c r="F40" s="434"/>
      <c r="G40" s="434"/>
      <c r="H40" s="434"/>
      <c r="I40" s="434"/>
      <c r="J40" s="434"/>
      <c r="K40" s="434"/>
      <c r="L40" s="434"/>
      <c r="M40" s="434"/>
      <c r="N40" s="434"/>
      <c r="O40" s="434"/>
      <c r="P40" s="434"/>
      <c r="Q40" s="434"/>
      <c r="R40" s="434"/>
      <c r="S40" s="434"/>
      <c r="T40" s="434"/>
      <c r="U40" s="434"/>
      <c r="V40" s="434"/>
      <c r="W40" s="434"/>
      <c r="X40" s="434"/>
      <c r="Y40" s="434"/>
      <c r="Z40" s="434"/>
      <c r="AA40" s="434"/>
    </row>
    <row r="41" spans="1:27">
      <c r="A41" s="121"/>
      <c r="B41" s="1230" t="s">
        <v>581</v>
      </c>
      <c r="C41" s="1231" t="s">
        <v>134</v>
      </c>
      <c r="D41" s="1232">
        <f ca="1">+SUM(E41:AN41)</f>
        <v>6433.7254982060995</v>
      </c>
      <c r="E41" s="1233">
        <f t="shared" ref="E41:AA41" ca="1" si="11">SUM(E26,E39)</f>
        <v>155.99429899999996</v>
      </c>
      <c r="F41" s="1233">
        <f t="shared" ca="1" si="11"/>
        <v>343.46764946670999</v>
      </c>
      <c r="G41" s="1233">
        <f t="shared" ca="1" si="11"/>
        <v>677.71389931114004</v>
      </c>
      <c r="H41" s="1233">
        <f t="shared" ca="1" si="11"/>
        <v>542.15414931113992</v>
      </c>
      <c r="I41" s="1233">
        <f t="shared" si="11"/>
        <v>512.03669517858111</v>
      </c>
      <c r="J41" s="1233">
        <f t="shared" si="11"/>
        <v>185.81300719102592</v>
      </c>
      <c r="K41" s="1233">
        <f t="shared" si="11"/>
        <v>214.02863287685622</v>
      </c>
      <c r="L41" s="1233">
        <f t="shared" si="11"/>
        <v>587.76578361934594</v>
      </c>
      <c r="M41" s="1233">
        <f t="shared" si="11"/>
        <v>327.99202442645139</v>
      </c>
      <c r="N41" s="1233">
        <f t="shared" si="11"/>
        <v>525.44185965517624</v>
      </c>
      <c r="O41" s="1233">
        <f t="shared" si="11"/>
        <v>328.5690080551762</v>
      </c>
      <c r="P41" s="1233">
        <f t="shared" si="11"/>
        <v>400.18130339373062</v>
      </c>
      <c r="Q41" s="1233">
        <f t="shared" si="11"/>
        <v>352.30201448348981</v>
      </c>
      <c r="R41" s="1233">
        <f t="shared" si="11"/>
        <v>119.77485150374628</v>
      </c>
      <c r="S41" s="1233">
        <f t="shared" si="11"/>
        <v>142.23246515729761</v>
      </c>
      <c r="T41" s="1233">
        <f t="shared" si="11"/>
        <v>30.542683020000002</v>
      </c>
      <c r="U41" s="1233">
        <f t="shared" si="11"/>
        <v>96.366320000000016</v>
      </c>
      <c r="V41" s="1233">
        <f t="shared" si="11"/>
        <v>269.36310021999998</v>
      </c>
      <c r="W41" s="1233">
        <f t="shared" si="11"/>
        <v>56.708921386587946</v>
      </c>
      <c r="X41" s="1233">
        <f t="shared" si="11"/>
        <v>245.03860360554381</v>
      </c>
      <c r="Y41" s="1233">
        <f t="shared" si="11"/>
        <v>32.303800338554367</v>
      </c>
      <c r="Z41" s="1233">
        <f t="shared" si="11"/>
        <v>107.35498700554388</v>
      </c>
      <c r="AA41" s="1233">
        <f t="shared" si="11"/>
        <v>180.57944000000001</v>
      </c>
    </row>
  </sheetData>
  <dataValidations disablePrompts="1" count="1">
    <dataValidation type="list" allowBlank="1" showInputMessage="1" showErrorMessage="1" sqref="A8" xr:uid="{6DE4AD2D-691D-4420-95E1-0D2A2F4AD514}">
      <formula1>"ON,OFF"</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D5CE-6E3D-42D2-BA64-D276570298BA}">
  <sheetPr codeName="Sheet11">
    <tabColor rgb="FFFF0000"/>
  </sheetPr>
  <dimension ref="A1:AA34"/>
  <sheetViews>
    <sheetView showGridLines="0" workbookViewId="0">
      <selection activeCell="M42" sqref="M42"/>
    </sheetView>
  </sheetViews>
  <sheetFormatPr baseColWidth="10" defaultColWidth="8.83203125" defaultRowHeight="13"/>
  <cols>
    <col min="2" max="2" width="45.83203125" bestFit="1" customWidth="1"/>
  </cols>
  <sheetData>
    <row r="1" spans="1:27">
      <c r="A1" s="117" t="s">
        <v>561</v>
      </c>
      <c r="B1" s="121"/>
      <c r="C1" s="121"/>
      <c r="D1" s="121"/>
    </row>
    <row r="2" spans="1:27">
      <c r="A2" s="121"/>
      <c r="B2" s="121"/>
      <c r="C2" s="121"/>
      <c r="D2" s="121"/>
    </row>
    <row r="3" spans="1:27">
      <c r="A3" s="117"/>
      <c r="B3" s="117" t="s">
        <v>562</v>
      </c>
      <c r="C3" s="117"/>
      <c r="D3" s="117"/>
      <c r="E3" s="201">
        <f>'Production Schedule'!E1</f>
        <v>46023</v>
      </c>
      <c r="F3" s="201">
        <f>'Production Schedule'!F1</f>
        <v>46389</v>
      </c>
      <c r="G3" s="201">
        <f>'Production Schedule'!G1</f>
        <v>46755</v>
      </c>
      <c r="H3" s="201">
        <f>'Production Schedule'!H1</f>
        <v>47121</v>
      </c>
      <c r="I3" s="201">
        <f>'Production Schedule'!I1</f>
        <v>47487</v>
      </c>
      <c r="J3" s="201">
        <f>'Production Schedule'!J1</f>
        <v>47853</v>
      </c>
      <c r="K3" s="201">
        <f>'Production Schedule'!K1</f>
        <v>48219</v>
      </c>
      <c r="L3" s="201">
        <f>'Production Schedule'!L1</f>
        <v>48585</v>
      </c>
      <c r="M3" s="201">
        <f>'Production Schedule'!M1</f>
        <v>48951</v>
      </c>
      <c r="N3" s="201">
        <f>'Production Schedule'!N1</f>
        <v>49317</v>
      </c>
      <c r="O3" s="201">
        <f>'Production Schedule'!O1</f>
        <v>49683</v>
      </c>
      <c r="P3" s="201">
        <f>'Production Schedule'!P1</f>
        <v>50049</v>
      </c>
      <c r="Q3" s="201">
        <f>'Production Schedule'!Q1</f>
        <v>50415</v>
      </c>
      <c r="R3" s="201">
        <f>'Production Schedule'!R1</f>
        <v>50781</v>
      </c>
      <c r="S3" s="201">
        <f>'Production Schedule'!S1</f>
        <v>51147</v>
      </c>
      <c r="T3" s="201">
        <f>'Production Schedule'!T1</f>
        <v>51513</v>
      </c>
      <c r="U3" s="201">
        <f>'Production Schedule'!U1</f>
        <v>51879</v>
      </c>
      <c r="V3" s="201">
        <f>'Production Schedule'!V1</f>
        <v>52245</v>
      </c>
      <c r="W3" s="201">
        <f>'Production Schedule'!W1</f>
        <v>52611</v>
      </c>
      <c r="X3" s="201">
        <f>'Production Schedule'!X1</f>
        <v>52977</v>
      </c>
      <c r="Y3" s="201">
        <f>'Production Schedule'!Y1</f>
        <v>53343</v>
      </c>
      <c r="Z3" s="201">
        <f>'Production Schedule'!Z1</f>
        <v>53709</v>
      </c>
      <c r="AA3" s="201">
        <f>'Production Schedule'!AA1</f>
        <v>54075</v>
      </c>
    </row>
    <row r="4" spans="1:27">
      <c r="A4" s="117"/>
      <c r="B4" s="788" t="s">
        <v>94</v>
      </c>
      <c r="C4" s="788" t="s">
        <v>95</v>
      </c>
      <c r="D4" s="787" t="s">
        <v>96</v>
      </c>
      <c r="E4" s="1141">
        <f>'Production Schedule'!E3</f>
        <v>-4</v>
      </c>
      <c r="F4" s="1141">
        <f>'Production Schedule'!F3</f>
        <v>-3</v>
      </c>
      <c r="G4" s="1141">
        <f>'Production Schedule'!G3</f>
        <v>-2</v>
      </c>
      <c r="H4" s="1141">
        <f>'Production Schedule'!H3</f>
        <v>-1</v>
      </c>
      <c r="I4" s="1141">
        <f>'Production Schedule'!I3</f>
        <v>1</v>
      </c>
      <c r="J4" s="1141">
        <f>'Production Schedule'!J3</f>
        <v>2</v>
      </c>
      <c r="K4" s="1141">
        <f>'Production Schedule'!K3</f>
        <v>3</v>
      </c>
      <c r="L4" s="1141">
        <f>'Production Schedule'!L3</f>
        <v>4</v>
      </c>
      <c r="M4" s="1141">
        <f>'Production Schedule'!M3</f>
        <v>5</v>
      </c>
      <c r="N4" s="1141">
        <f>'Production Schedule'!N3</f>
        <v>6</v>
      </c>
      <c r="O4" s="1141">
        <f>'Production Schedule'!O3</f>
        <v>7</v>
      </c>
      <c r="P4" s="1141">
        <f>'Production Schedule'!P3</f>
        <v>8</v>
      </c>
      <c r="Q4" s="1141">
        <f>'Production Schedule'!Q3</f>
        <v>9</v>
      </c>
      <c r="R4" s="1141">
        <f>'Production Schedule'!R3</f>
        <v>10</v>
      </c>
      <c r="S4" s="1141">
        <f>'Production Schedule'!S3</f>
        <v>11</v>
      </c>
      <c r="T4" s="1141">
        <f>'Production Schedule'!T3</f>
        <v>12</v>
      </c>
      <c r="U4" s="1141">
        <f>'Production Schedule'!U3</f>
        <v>13</v>
      </c>
      <c r="V4" s="1141">
        <f>'Production Schedule'!V3</f>
        <v>14</v>
      </c>
      <c r="W4" s="1141">
        <f>'Production Schedule'!W3</f>
        <v>15</v>
      </c>
      <c r="X4" s="1141">
        <f>'Production Schedule'!X3</f>
        <v>16</v>
      </c>
      <c r="Y4" s="1141">
        <f>'Production Schedule'!Y3</f>
        <v>17</v>
      </c>
      <c r="Z4" s="1141">
        <f>'Production Schedule'!Z3</f>
        <v>18</v>
      </c>
      <c r="AA4" s="1141">
        <f>'Production Schedule'!AA3</f>
        <v>19</v>
      </c>
    </row>
    <row r="5" spans="1:27">
      <c r="A5" s="121"/>
      <c r="B5" s="121" t="s">
        <v>563</v>
      </c>
      <c r="C5" s="121" t="s">
        <v>113</v>
      </c>
      <c r="D5" s="194">
        <f>+SUM(E5:AN5)</f>
        <v>225.70440651000001</v>
      </c>
      <c r="E5" s="189">
        <f>'Production Schedule'!E5</f>
        <v>0</v>
      </c>
      <c r="F5" s="189">
        <f>'Production Schedule'!F5</f>
        <v>0</v>
      </c>
      <c r="G5" s="189">
        <f>'Production Schedule'!G5</f>
        <v>0</v>
      </c>
      <c r="H5" s="189">
        <f>'Production Schedule'!H5</f>
        <v>0</v>
      </c>
      <c r="I5" s="189">
        <f>'Production Schedule'!I5</f>
        <v>1.9999997549999999</v>
      </c>
      <c r="J5" s="189">
        <f>'Production Schedule'!J5</f>
        <v>3.9999986549999997</v>
      </c>
      <c r="K5" s="189">
        <f>'Production Schedule'!K5</f>
        <v>8.00000073</v>
      </c>
      <c r="L5" s="189">
        <f>'Production Schedule'!L5</f>
        <v>11.999998529999999</v>
      </c>
      <c r="M5" s="189">
        <f>'Production Schedule'!M5</f>
        <v>14.99999517</v>
      </c>
      <c r="N5" s="189">
        <f>'Production Schedule'!N5</f>
        <v>15.000007140000001</v>
      </c>
      <c r="O5" s="189">
        <f>'Production Schedule'!O5</f>
        <v>14.999998590000001</v>
      </c>
      <c r="P5" s="189">
        <f>'Production Schedule'!P5</f>
        <v>14.999996879999999</v>
      </c>
      <c r="Q5" s="189">
        <f>'Production Schedule'!Q5</f>
        <v>15.000003719999999</v>
      </c>
      <c r="R5" s="189">
        <f>'Production Schedule'!R5</f>
        <v>14.99999517</v>
      </c>
      <c r="S5" s="189">
        <f>'Production Schedule'!S5</f>
        <v>14.999996879999999</v>
      </c>
      <c r="T5" s="189">
        <f>'Production Schedule'!T5</f>
        <v>15.000002009999999</v>
      </c>
      <c r="U5" s="189">
        <f>'Production Schedule'!U5</f>
        <v>15.00001569</v>
      </c>
      <c r="V5" s="189">
        <f>'Production Schedule'!V5</f>
        <v>15.000002009999999</v>
      </c>
      <c r="W5" s="189">
        <f>'Production Schedule'!W5</f>
        <v>15.000002009999999</v>
      </c>
      <c r="X5" s="189">
        <f>'Production Schedule'!X5</f>
        <v>15.000000299999998</v>
      </c>
      <c r="Y5" s="189">
        <f>'Production Schedule'!Y5</f>
        <v>9.9999996299999996</v>
      </c>
      <c r="Z5" s="189">
        <f>'Production Schedule'!Z5</f>
        <v>7.5000027149999999</v>
      </c>
      <c r="AA5" s="189">
        <f>'Production Schedule'!AA5</f>
        <v>2.2043909249999998</v>
      </c>
    </row>
    <row r="6" spans="1:27">
      <c r="A6" s="121"/>
      <c r="B6" s="1220" t="s">
        <v>564</v>
      </c>
      <c r="C6" s="1220" t="s">
        <v>118</v>
      </c>
      <c r="D6" s="1221">
        <f>+SUM(E6:AN6)</f>
        <v>535.39467341478871</v>
      </c>
      <c r="E6" s="189">
        <f>'Production Schedule'!E8</f>
        <v>0</v>
      </c>
      <c r="F6" s="189">
        <f>'Production Schedule'!F8</f>
        <v>0</v>
      </c>
      <c r="G6" s="189">
        <f>'Production Schedule'!G8</f>
        <v>0</v>
      </c>
      <c r="H6" s="189">
        <f>'Production Schedule'!H8</f>
        <v>0</v>
      </c>
      <c r="I6" s="189">
        <f>'Production Schedule'!I8</f>
        <v>11.466045729050279</v>
      </c>
      <c r="J6" s="189">
        <f>'Production Schedule'!J8</f>
        <v>9.5178188259668506</v>
      </c>
      <c r="K6" s="189">
        <f>'Production Schedule'!K8</f>
        <v>17.240514972375692</v>
      </c>
      <c r="L6" s="189">
        <f>'Production Schedule'!L8</f>
        <v>36.817196150000001</v>
      </c>
      <c r="M6" s="189">
        <f>'Production Schedule'!M8</f>
        <v>35.420574905555554</v>
      </c>
      <c r="N6" s="189">
        <f>'Production Schedule'!N8</f>
        <v>47.463611318435753</v>
      </c>
      <c r="O6" s="189">
        <f>'Production Schedule'!O8</f>
        <v>43.447467227777778</v>
      </c>
      <c r="P6" s="189">
        <f>'Production Schedule'!P8</f>
        <v>36.33747506666667</v>
      </c>
      <c r="Q6" s="189">
        <f>'Production Schedule'!Q8</f>
        <v>37.865191711111116</v>
      </c>
      <c r="R6" s="189">
        <f>'Production Schedule'!R8</f>
        <v>33.778948184357539</v>
      </c>
      <c r="S6" s="189">
        <f>'Production Schedule'!S8</f>
        <v>38.053482346368718</v>
      </c>
      <c r="T6" s="189">
        <f>'Production Schedule'!T8</f>
        <v>28.983164832402235</v>
      </c>
      <c r="U6" s="189">
        <f>'Production Schedule'!U8</f>
        <v>25.4498801284916</v>
      </c>
      <c r="V6" s="189">
        <f>'Production Schedule'!V8</f>
        <v>31.615550832402231</v>
      </c>
      <c r="W6" s="189">
        <f>'Production Schedule'!W8</f>
        <v>31.515274825842699</v>
      </c>
      <c r="X6" s="189">
        <f>'Production Schedule'!X8</f>
        <v>40.123366662921349</v>
      </c>
      <c r="Y6" s="189">
        <f>'Production Schedule'!Y8</f>
        <v>24.726595192090397</v>
      </c>
      <c r="Z6" s="189">
        <f>'Production Schedule'!Z8</f>
        <v>4.2960406619318183</v>
      </c>
      <c r="AA6" s="189">
        <f>'Production Schedule'!AA8</f>
        <v>1.2764738410404626</v>
      </c>
    </row>
    <row r="7" spans="1:27">
      <c r="A7" s="121"/>
      <c r="B7" s="121" t="s">
        <v>565</v>
      </c>
      <c r="C7" s="121" t="s">
        <v>566</v>
      </c>
      <c r="D7" s="195">
        <f>IFERROR(D6/D5,0)</f>
        <v>2.3721055414621142</v>
      </c>
      <c r="E7" s="1229">
        <f>IFERROR(E6/E5,0)</f>
        <v>0</v>
      </c>
      <c r="F7" s="1229">
        <f t="shared" ref="F7:AA7" si="0">IFERROR(F6/F5,0)</f>
        <v>0</v>
      </c>
      <c r="G7" s="1229">
        <f t="shared" si="0"/>
        <v>0</v>
      </c>
      <c r="H7" s="1229">
        <f t="shared" si="0"/>
        <v>0</v>
      </c>
      <c r="I7" s="1234">
        <f t="shared" si="0"/>
        <v>5.7330235668205267</v>
      </c>
      <c r="J7" s="1234">
        <f t="shared" si="0"/>
        <v>2.3794555065836267</v>
      </c>
      <c r="K7" s="1234">
        <f t="shared" si="0"/>
        <v>2.1550641748973556</v>
      </c>
      <c r="L7" s="1234">
        <f t="shared" si="0"/>
        <v>3.0681000550089239</v>
      </c>
      <c r="M7" s="1234">
        <f t="shared" si="0"/>
        <v>2.3613724207322897</v>
      </c>
      <c r="N7" s="1234">
        <f t="shared" si="0"/>
        <v>3.1642392483845012</v>
      </c>
      <c r="O7" s="1234">
        <f t="shared" si="0"/>
        <v>2.8964980874560053</v>
      </c>
      <c r="P7" s="1234">
        <f t="shared" si="0"/>
        <v>2.422498841657537</v>
      </c>
      <c r="Q7" s="1234">
        <f t="shared" si="0"/>
        <v>2.5243454880363938</v>
      </c>
      <c r="R7" s="1234">
        <f t="shared" si="0"/>
        <v>2.2519306040788236</v>
      </c>
      <c r="S7" s="1234">
        <f t="shared" si="0"/>
        <v>2.5368993507663129</v>
      </c>
      <c r="T7" s="1234">
        <f t="shared" si="0"/>
        <v>1.932210729910578</v>
      </c>
      <c r="U7" s="1234">
        <f t="shared" si="0"/>
        <v>1.6966569005296555</v>
      </c>
      <c r="V7" s="1234">
        <f t="shared" si="0"/>
        <v>2.1077031063945992</v>
      </c>
      <c r="W7" s="1234">
        <f t="shared" si="0"/>
        <v>2.1010180401864291</v>
      </c>
      <c r="X7" s="1234">
        <f t="shared" si="0"/>
        <v>2.6748910573636024</v>
      </c>
      <c r="Y7" s="1234">
        <f t="shared" si="0"/>
        <v>2.4726596106974452</v>
      </c>
      <c r="Z7" s="1234">
        <f t="shared" si="0"/>
        <v>0.57280521423542152</v>
      </c>
      <c r="AA7" s="1234">
        <f t="shared" si="0"/>
        <v>0.57905965160896433</v>
      </c>
    </row>
    <row r="8" spans="1:27">
      <c r="A8" s="196"/>
      <c r="B8" s="121"/>
      <c r="C8" s="121"/>
      <c r="D8" s="190"/>
    </row>
    <row r="9" spans="1:27">
      <c r="A9" s="117"/>
      <c r="B9" s="117" t="s">
        <v>567</v>
      </c>
      <c r="C9" s="117"/>
      <c r="D9" s="197"/>
      <c r="E9" s="201">
        <f>E3</f>
        <v>46023</v>
      </c>
      <c r="F9" s="201">
        <f t="shared" ref="F9:AA10" si="1">F3</f>
        <v>46389</v>
      </c>
      <c r="G9" s="201">
        <f t="shared" si="1"/>
        <v>46755</v>
      </c>
      <c r="H9" s="201">
        <f t="shared" si="1"/>
        <v>47121</v>
      </c>
      <c r="I9" s="201">
        <f t="shared" si="1"/>
        <v>47487</v>
      </c>
      <c r="J9" s="201">
        <f t="shared" si="1"/>
        <v>47853</v>
      </c>
      <c r="K9" s="201">
        <f t="shared" si="1"/>
        <v>48219</v>
      </c>
      <c r="L9" s="201">
        <f t="shared" si="1"/>
        <v>48585</v>
      </c>
      <c r="M9" s="201">
        <f t="shared" si="1"/>
        <v>48951</v>
      </c>
      <c r="N9" s="201">
        <f t="shared" si="1"/>
        <v>49317</v>
      </c>
      <c r="O9" s="201">
        <f t="shared" si="1"/>
        <v>49683</v>
      </c>
      <c r="P9" s="201">
        <f t="shared" si="1"/>
        <v>50049</v>
      </c>
      <c r="Q9" s="201">
        <f t="shared" si="1"/>
        <v>50415</v>
      </c>
      <c r="R9" s="201">
        <f t="shared" si="1"/>
        <v>50781</v>
      </c>
      <c r="S9" s="201">
        <f t="shared" si="1"/>
        <v>51147</v>
      </c>
      <c r="T9" s="201">
        <f t="shared" si="1"/>
        <v>51513</v>
      </c>
      <c r="U9" s="201">
        <f t="shared" si="1"/>
        <v>51879</v>
      </c>
      <c r="V9" s="201">
        <f t="shared" si="1"/>
        <v>52245</v>
      </c>
      <c r="W9" s="201">
        <f t="shared" si="1"/>
        <v>52611</v>
      </c>
      <c r="X9" s="201">
        <f t="shared" si="1"/>
        <v>52977</v>
      </c>
      <c r="Y9" s="201">
        <f t="shared" si="1"/>
        <v>53343</v>
      </c>
      <c r="Z9" s="201">
        <f t="shared" si="1"/>
        <v>53709</v>
      </c>
      <c r="AA9" s="201">
        <f t="shared" si="1"/>
        <v>54075</v>
      </c>
    </row>
    <row r="10" spans="1:27">
      <c r="A10" s="117"/>
      <c r="B10" s="788" t="s">
        <v>94</v>
      </c>
      <c r="C10" s="788" t="s">
        <v>95</v>
      </c>
      <c r="D10" s="1223" t="s">
        <v>96</v>
      </c>
      <c r="E10" s="1141">
        <f>E4</f>
        <v>-4</v>
      </c>
      <c r="F10" s="1141">
        <f t="shared" si="1"/>
        <v>-3</v>
      </c>
      <c r="G10" s="1141">
        <f t="shared" si="1"/>
        <v>-2</v>
      </c>
      <c r="H10" s="1141">
        <f t="shared" si="1"/>
        <v>-1</v>
      </c>
      <c r="I10" s="1141">
        <f t="shared" si="1"/>
        <v>1</v>
      </c>
      <c r="J10" s="1141">
        <f t="shared" si="1"/>
        <v>2</v>
      </c>
      <c r="K10" s="1141">
        <f t="shared" si="1"/>
        <v>3</v>
      </c>
      <c r="L10" s="1141">
        <f t="shared" si="1"/>
        <v>4</v>
      </c>
      <c r="M10" s="1141">
        <f t="shared" si="1"/>
        <v>5</v>
      </c>
      <c r="N10" s="1141">
        <f t="shared" si="1"/>
        <v>6</v>
      </c>
      <c r="O10" s="1141">
        <f t="shared" si="1"/>
        <v>7</v>
      </c>
      <c r="P10" s="1141">
        <f t="shared" si="1"/>
        <v>8</v>
      </c>
      <c r="Q10" s="1141">
        <f t="shared" si="1"/>
        <v>9</v>
      </c>
      <c r="R10" s="1141">
        <f t="shared" si="1"/>
        <v>10</v>
      </c>
      <c r="S10" s="1141">
        <f t="shared" si="1"/>
        <v>11</v>
      </c>
      <c r="T10" s="1141">
        <f t="shared" si="1"/>
        <v>12</v>
      </c>
      <c r="U10" s="1141">
        <f t="shared" si="1"/>
        <v>13</v>
      </c>
      <c r="V10" s="1141">
        <f t="shared" si="1"/>
        <v>14</v>
      </c>
      <c r="W10" s="1141">
        <f t="shared" si="1"/>
        <v>15</v>
      </c>
      <c r="X10" s="1141">
        <f t="shared" si="1"/>
        <v>16</v>
      </c>
      <c r="Y10" s="1141">
        <f t="shared" si="1"/>
        <v>17</v>
      </c>
      <c r="Z10" s="1141">
        <f t="shared" si="1"/>
        <v>18</v>
      </c>
      <c r="AA10" s="1141">
        <f t="shared" si="1"/>
        <v>19</v>
      </c>
    </row>
    <row r="11" spans="1:27">
      <c r="A11" s="198">
        <v>1</v>
      </c>
      <c r="B11" s="199" t="s">
        <v>571</v>
      </c>
      <c r="C11" s="121" t="s">
        <v>134</v>
      </c>
      <c r="D11" s="194">
        <f>+SUM(E11:AR11)</f>
        <v>0</v>
      </c>
      <c r="E11" s="189">
        <f>IF(Assumptions_Dashboard!$L$4=Assumptions_Dashboard!$M$5,0,(Fleet!G366))</f>
        <v>0</v>
      </c>
      <c r="F11" s="189">
        <f>IF(Assumptions_Dashboard!$L$4=Assumptions_Dashboard!$M$5,0,(Fleet!H366))</f>
        <v>0</v>
      </c>
      <c r="G11" s="189">
        <f>IF(Assumptions_Dashboard!$L$4=Assumptions_Dashboard!$M$5,0,(Fleet!I366))</f>
        <v>0</v>
      </c>
      <c r="H11" s="189">
        <f>IF(Assumptions_Dashboard!$L$4=Assumptions_Dashboard!$M$5,0,(Fleet!J366))</f>
        <v>0</v>
      </c>
      <c r="I11" s="189">
        <f>IF(Assumptions_Dashboard!$L$4=Assumptions_Dashboard!$M$5,0,(Fleet!K366))</f>
        <v>0</v>
      </c>
      <c r="J11" s="189">
        <f>IF(Assumptions_Dashboard!$L$4=Assumptions_Dashboard!$M$5,0,(Fleet!L366))</f>
        <v>0</v>
      </c>
      <c r="K11" s="189">
        <f>IF(Assumptions_Dashboard!$L$4=Assumptions_Dashboard!$M$5,0,(Fleet!M366))</f>
        <v>0</v>
      </c>
      <c r="L11" s="189">
        <f>IF(Assumptions_Dashboard!$L$4=Assumptions_Dashboard!$M$5,0,(Fleet!N366))</f>
        <v>0</v>
      </c>
      <c r="M11" s="189">
        <f>IF(Assumptions_Dashboard!$L$4=Assumptions_Dashboard!$M$5,0,(Fleet!O366))</f>
        <v>0</v>
      </c>
      <c r="N11" s="189">
        <f>IF(Assumptions_Dashboard!$L$4=Assumptions_Dashboard!$M$5,0,(Fleet!P366))</f>
        <v>0</v>
      </c>
      <c r="O11" s="189">
        <f>IF(Assumptions_Dashboard!$L$4=Assumptions_Dashboard!$M$5,0,(Fleet!Q366))</f>
        <v>0</v>
      </c>
      <c r="P11" s="189">
        <f>IF(Assumptions_Dashboard!$L$4=Assumptions_Dashboard!$M$5,0,(Fleet!R366))</f>
        <v>0</v>
      </c>
      <c r="Q11" s="189">
        <f>IF(Assumptions_Dashboard!$L$4=Assumptions_Dashboard!$M$5,0,(Fleet!S366))</f>
        <v>0</v>
      </c>
      <c r="R11" s="189">
        <f>IF(Assumptions_Dashboard!$L$4=Assumptions_Dashboard!$M$5,0,(Fleet!T366))</f>
        <v>0</v>
      </c>
      <c r="S11" s="189">
        <f>IF(Assumptions_Dashboard!$L$4=Assumptions_Dashboard!$M$5,0,(Fleet!U366))</f>
        <v>0</v>
      </c>
      <c r="T11" s="189">
        <f>IF(Assumptions_Dashboard!$L$4=Assumptions_Dashboard!$M$5,0,(Fleet!V366))</f>
        <v>0</v>
      </c>
      <c r="U11" s="189">
        <f>IF(Assumptions_Dashboard!$L$4=Assumptions_Dashboard!$M$5,0,(Fleet!W366))</f>
        <v>0</v>
      </c>
      <c r="V11" s="189">
        <f>IF(Assumptions_Dashboard!$L$4=Assumptions_Dashboard!$M$5,0,(Fleet!X366))</f>
        <v>0</v>
      </c>
      <c r="W11" s="189">
        <f>IF(Assumptions_Dashboard!$L$4=Assumptions_Dashboard!$M$5,0,(Fleet!Y366))</f>
        <v>0</v>
      </c>
      <c r="X11" s="189">
        <f>IF(Assumptions_Dashboard!$L$4=Assumptions_Dashboard!$M$5,0,(Fleet!Z366))</f>
        <v>0</v>
      </c>
      <c r="Y11" s="189">
        <f>IF(Assumptions_Dashboard!$L$4=Assumptions_Dashboard!$M$5,0,(Fleet!AA366))</f>
        <v>0</v>
      </c>
      <c r="Z11" s="189">
        <f>IF(Assumptions_Dashboard!$L$4=Assumptions_Dashboard!$M$5,0,(Fleet!AB366))</f>
        <v>0</v>
      </c>
      <c r="AA11" s="189">
        <f>IF(Assumptions_Dashboard!$L$4=Assumptions_Dashboard!$M$5,0,(Fleet!AC366))</f>
        <v>0</v>
      </c>
    </row>
    <row r="12" spans="1:27">
      <c r="A12" s="198">
        <f>A11+1</f>
        <v>2</v>
      </c>
      <c r="B12" s="199" t="s">
        <v>573</v>
      </c>
      <c r="C12" s="121" t="s">
        <v>134</v>
      </c>
      <c r="D12" s="194">
        <f t="shared" ref="D12:D18" si="2">+SUM(E12:AR12)</f>
        <v>0</v>
      </c>
      <c r="E12" s="189">
        <f>IF(Assumptions_Dashboard!$L$4=Assumptions_Dashboard!$M$5,0,'Capex Breakups'!$C$50)*'Capex Breakups'!J15</f>
        <v>0</v>
      </c>
      <c r="F12" s="189">
        <f>IF(Assumptions_Dashboard!$L$4=Assumptions_Dashboard!$M$5,0,'Capex Breakups'!$C$50)*'Capex Breakups'!K15</f>
        <v>0</v>
      </c>
      <c r="G12" s="189">
        <f>IF(Assumptions_Dashboard!$L$4=Assumptions_Dashboard!$M$5,0,'Capex Breakups'!$C$50)*'Capex Breakups'!L15</f>
        <v>0</v>
      </c>
      <c r="H12" s="189">
        <f>IF(Assumptions_Dashboard!$L$4=Assumptions_Dashboard!$M$5,0,'Capex Breakups'!$C$50)*'Capex Breakups'!M15</f>
        <v>0</v>
      </c>
      <c r="I12" s="189">
        <f>IF(Assumptions_Dashboard!$L$4=Assumptions_Dashboard!$M$5,0,'Capex Breakups'!$C$50)*'Capex Breakups'!N15</f>
        <v>0</v>
      </c>
      <c r="J12" s="189">
        <f>IF(Assumptions_Dashboard!$L$4=Assumptions_Dashboard!$M$5,0,'Capex Breakups'!$C$50)*'Capex Breakups'!O15</f>
        <v>0</v>
      </c>
      <c r="K12" s="189">
        <f>IF(Assumptions_Dashboard!$L$4=Assumptions_Dashboard!$M$5,0,'Capex Breakups'!$C$50)*'Capex Breakups'!P15</f>
        <v>0</v>
      </c>
      <c r="L12" s="189">
        <f>IF(Assumptions_Dashboard!$L$4=Assumptions_Dashboard!$M$5,0,'Capex Breakups'!$C$50)*'Capex Breakups'!Q15</f>
        <v>0</v>
      </c>
      <c r="M12" s="189">
        <f>IF(Assumptions_Dashboard!$L$4=Assumptions_Dashboard!$M$5,0,'Capex Breakups'!$C$50)*'Capex Breakups'!R15</f>
        <v>0</v>
      </c>
      <c r="N12" s="189">
        <f>IF(Assumptions_Dashboard!$L$4=Assumptions_Dashboard!$M$5,0,'Capex Breakups'!$C$50)*'Capex Breakups'!S15</f>
        <v>0</v>
      </c>
      <c r="O12" s="189">
        <f>IF(Assumptions_Dashboard!$L$4=Assumptions_Dashboard!$M$5,0,'Capex Breakups'!$C$50)*'Capex Breakups'!T15</f>
        <v>0</v>
      </c>
      <c r="P12" s="189">
        <f>IF(Assumptions_Dashboard!$L$4=Assumptions_Dashboard!$M$5,0,'Capex Breakups'!$C$50)*'Capex Breakups'!U15</f>
        <v>0</v>
      </c>
      <c r="Q12" s="189">
        <f>IF(Assumptions_Dashboard!$L$4=Assumptions_Dashboard!$M$5,0,'Capex Breakups'!$C$50)*'Capex Breakups'!V15</f>
        <v>0</v>
      </c>
      <c r="R12" s="189">
        <f>IF(Assumptions_Dashboard!$L$4=Assumptions_Dashboard!$M$5,0,'Capex Breakups'!$C$50)*'Capex Breakups'!W15</f>
        <v>0</v>
      </c>
      <c r="S12" s="189">
        <f>IF(Assumptions_Dashboard!$L$4=Assumptions_Dashboard!$M$5,0,'Capex Breakups'!$C$50)*'Capex Breakups'!X15</f>
        <v>0</v>
      </c>
      <c r="T12" s="189">
        <f>IF(Assumptions_Dashboard!$L$4=Assumptions_Dashboard!$M$5,0,'Capex Breakups'!$C$50)*'Capex Breakups'!Y15</f>
        <v>0</v>
      </c>
      <c r="U12" s="189">
        <f>IF(Assumptions_Dashboard!$L$4=Assumptions_Dashboard!$M$5,0,'Capex Breakups'!$C$50)*'Capex Breakups'!Z15</f>
        <v>0</v>
      </c>
      <c r="V12" s="189">
        <f>IF(Assumptions_Dashboard!$L$4=Assumptions_Dashboard!$M$5,0,'Capex Breakups'!$C$50)*'Capex Breakups'!AA15</f>
        <v>0</v>
      </c>
      <c r="W12" s="189">
        <f>IF(Assumptions_Dashboard!$L$4=Assumptions_Dashboard!$M$5,0,'Capex Breakups'!$C$50)*'Capex Breakups'!AB15</f>
        <v>0</v>
      </c>
      <c r="X12" s="189">
        <f>IF(Assumptions_Dashboard!$L$4=Assumptions_Dashboard!$M$5,0,'Capex Breakups'!$C$50)*'Capex Breakups'!AC15</f>
        <v>0</v>
      </c>
      <c r="Y12" s="189">
        <f>IF(Assumptions_Dashboard!$L$4=Assumptions_Dashboard!$M$5,0,'Capex Breakups'!$C$50)*'Capex Breakups'!AD15</f>
        <v>0</v>
      </c>
      <c r="Z12" s="189">
        <f>IF(Assumptions_Dashboard!$L$4=Assumptions_Dashboard!$M$5,0,'Capex Breakups'!$C$50)*'Capex Breakups'!AE15</f>
        <v>0</v>
      </c>
      <c r="AA12" s="189">
        <f>IF(Assumptions_Dashboard!$L$4=Assumptions_Dashboard!$M$5,0,'Capex Breakups'!$C$50)*'Capex Breakups'!AF15</f>
        <v>0</v>
      </c>
    </row>
    <row r="13" spans="1:27">
      <c r="A13" s="198">
        <f t="shared" ref="A13:A19" si="3">A12+1</f>
        <v>3</v>
      </c>
      <c r="B13" s="199" t="s">
        <v>574</v>
      </c>
      <c r="C13" s="121" t="s">
        <v>134</v>
      </c>
      <c r="D13" s="194">
        <f t="shared" si="2"/>
        <v>0</v>
      </c>
      <c r="E13" s="189"/>
      <c r="F13" s="189"/>
      <c r="G13" s="189"/>
      <c r="H13" s="189"/>
      <c r="I13" s="189"/>
      <c r="J13" s="189"/>
      <c r="K13" s="189"/>
      <c r="L13" s="189"/>
      <c r="M13" s="189"/>
      <c r="N13" s="189"/>
      <c r="O13" s="189"/>
      <c r="P13" s="189"/>
      <c r="Q13" s="189"/>
      <c r="R13" s="189"/>
      <c r="S13" s="189"/>
      <c r="T13" s="189"/>
      <c r="U13" s="189"/>
      <c r="V13" s="189"/>
      <c r="W13" s="189"/>
      <c r="X13" s="189"/>
      <c r="Y13" s="189"/>
      <c r="Z13" s="189"/>
      <c r="AA13" s="189"/>
    </row>
    <row r="14" spans="1:27">
      <c r="A14" s="198">
        <f t="shared" si="3"/>
        <v>4</v>
      </c>
      <c r="B14" s="199" t="str">
        <f>'Owner CAPEX'!B20</f>
        <v>Workshop and Store</v>
      </c>
      <c r="C14" s="121" t="s">
        <v>134</v>
      </c>
      <c r="D14" s="194">
        <f t="shared" si="2"/>
        <v>0</v>
      </c>
      <c r="E14" s="189">
        <f>IF(Assumptions_Dashboard!$L$4="MDO",'Capex Breakups'!E8,0)</f>
        <v>0</v>
      </c>
      <c r="F14" s="189">
        <f>IF(Assumptions_Dashboard!$L$4="MDO",'Capex Breakups'!F8,0)</f>
        <v>0</v>
      </c>
      <c r="G14" s="189">
        <f>IF(Assumptions_Dashboard!$L$4="MDO",'Capex Breakups'!G8,0)</f>
        <v>0</v>
      </c>
      <c r="H14" s="189">
        <f>IF(Assumptions_Dashboard!$L$4="MDO",'Capex Breakups'!H8,0)</f>
        <v>0</v>
      </c>
      <c r="I14" s="189">
        <f>IF(Assumptions_Dashboard!$L$4="MDO",'Capex Breakups'!I8,0)</f>
        <v>0</v>
      </c>
      <c r="J14" s="189">
        <f>IF(Assumptions_Dashboard!$L$4="MDO",'Capex Breakups'!J8,0)</f>
        <v>0</v>
      </c>
      <c r="K14" s="189">
        <f>IF(Assumptions_Dashboard!$L$4="MDO",'Capex Breakups'!K8,0)</f>
        <v>0</v>
      </c>
      <c r="L14" s="189">
        <f>IF(Assumptions_Dashboard!$L$4="MDO",'Capex Breakups'!L8,0)</f>
        <v>0</v>
      </c>
      <c r="M14" s="189">
        <f>IF(Assumptions_Dashboard!$L$4="MDO",'Capex Breakups'!M8,0)</f>
        <v>0</v>
      </c>
      <c r="N14" s="189">
        <f>IF(Assumptions_Dashboard!$L$4="MDO",'Capex Breakups'!N8,0)</f>
        <v>0</v>
      </c>
      <c r="O14" s="189">
        <f>IF(Assumptions_Dashboard!$L$4="MDO",'Capex Breakups'!O8,0)</f>
        <v>0</v>
      </c>
      <c r="P14" s="189">
        <f>IF(Assumptions_Dashboard!$L$4="MDO",'Capex Breakups'!P8,0)</f>
        <v>0</v>
      </c>
      <c r="Q14" s="189">
        <f>IF(Assumptions_Dashboard!$L$4="MDO",'Capex Breakups'!Q8,0)</f>
        <v>0</v>
      </c>
      <c r="R14" s="189">
        <f>IF(Assumptions_Dashboard!$L$4="MDO",'Capex Breakups'!R8,0)</f>
        <v>0</v>
      </c>
      <c r="S14" s="189">
        <f>IF(Assumptions_Dashboard!$L$4="MDO",'Capex Breakups'!S8,0)</f>
        <v>0</v>
      </c>
      <c r="T14" s="189">
        <f>IF(Assumptions_Dashboard!$L$4="MDO",'Capex Breakups'!T8,0)</f>
        <v>0</v>
      </c>
      <c r="U14" s="189">
        <f>IF(Assumptions_Dashboard!$L$4="MDO",'Capex Breakups'!U8,0)</f>
        <v>0</v>
      </c>
      <c r="V14" s="189">
        <f>IF(Assumptions_Dashboard!$L$4="MDO",'Capex Breakups'!V8,0)</f>
        <v>0</v>
      </c>
      <c r="W14" s="189">
        <f>IF(Assumptions_Dashboard!$L$4="MDO",'Capex Breakups'!W8,0)</f>
        <v>0</v>
      </c>
      <c r="X14" s="189">
        <f>IF(Assumptions_Dashboard!$L$4="MDO",'Capex Breakups'!X8,0)</f>
        <v>0</v>
      </c>
      <c r="Y14" s="189">
        <f>IF(Assumptions_Dashboard!$L$4="MDO",'Capex Breakups'!Y8,0)</f>
        <v>0</v>
      </c>
      <c r="Z14" s="189">
        <f>IF(Assumptions_Dashboard!$L$4="MDO",'Capex Breakups'!Z8,0)</f>
        <v>0</v>
      </c>
      <c r="AA14" s="189">
        <f>IF(Assumptions_Dashboard!$L$4="MDO",'Capex Breakups'!AA8,0)</f>
        <v>0</v>
      </c>
    </row>
    <row r="15" spans="1:27">
      <c r="A15" s="198">
        <f t="shared" si="3"/>
        <v>5</v>
      </c>
      <c r="B15" s="199" t="s">
        <v>273</v>
      </c>
      <c r="C15" s="121" t="s">
        <v>134</v>
      </c>
      <c r="D15" s="194">
        <f t="shared" si="2"/>
        <v>0</v>
      </c>
      <c r="E15" s="189"/>
      <c r="F15" s="189"/>
      <c r="G15" s="189"/>
      <c r="H15" s="189"/>
      <c r="I15" s="189"/>
      <c r="J15" s="189"/>
      <c r="K15" s="189"/>
      <c r="L15" s="189"/>
      <c r="M15" s="189"/>
      <c r="N15" s="189"/>
      <c r="O15" s="189"/>
      <c r="P15" s="189"/>
      <c r="Q15" s="189"/>
      <c r="R15" s="189"/>
      <c r="S15" s="189"/>
      <c r="T15" s="189"/>
      <c r="U15" s="189"/>
      <c r="V15" s="189"/>
      <c r="W15" s="189"/>
      <c r="X15" s="189"/>
      <c r="Y15" s="189"/>
      <c r="Z15" s="189"/>
      <c r="AA15" s="189"/>
    </row>
    <row r="16" spans="1:27">
      <c r="A16" s="198">
        <f t="shared" si="3"/>
        <v>6</v>
      </c>
      <c r="B16" s="199" t="s">
        <v>276</v>
      </c>
      <c r="C16" s="121" t="s">
        <v>134</v>
      </c>
      <c r="D16" s="194">
        <f t="shared" si="2"/>
        <v>0</v>
      </c>
      <c r="E16" s="189">
        <f>IF(Assumptions_Dashboard!$L$4="MDO",'Capex Breakups'!E10,0)</f>
        <v>0</v>
      </c>
      <c r="F16" s="189">
        <f>IF(Assumptions_Dashboard!$L$4="MDO",'Capex Breakups'!F10,0)</f>
        <v>0</v>
      </c>
      <c r="G16" s="189">
        <f>IF(Assumptions_Dashboard!$L$4="MDO",'Capex Breakups'!G10,0)</f>
        <v>0</v>
      </c>
      <c r="H16" s="189">
        <f>IF(Assumptions_Dashboard!$L$4="MDO",'Capex Breakups'!H10,0)</f>
        <v>0</v>
      </c>
      <c r="I16" s="189">
        <f>IF(Assumptions_Dashboard!$L$4="MDO",'Capex Breakups'!I10,0)</f>
        <v>0</v>
      </c>
      <c r="J16" s="189">
        <f>IF(Assumptions_Dashboard!$L$4="MDO",'Capex Breakups'!J10,0)</f>
        <v>0</v>
      </c>
      <c r="K16" s="189">
        <f>IF(Assumptions_Dashboard!$L$4="MDO",'Capex Breakups'!K10,0)</f>
        <v>0</v>
      </c>
      <c r="L16" s="189">
        <f>IF(Assumptions_Dashboard!$L$4="MDO",'Capex Breakups'!L10,0)</f>
        <v>0</v>
      </c>
      <c r="M16" s="189">
        <f>IF(Assumptions_Dashboard!$L$4="MDO",'Capex Breakups'!M10,0)</f>
        <v>0</v>
      </c>
      <c r="N16" s="189">
        <f>IF(Assumptions_Dashboard!$L$4="MDO",'Capex Breakups'!N10,0)</f>
        <v>0</v>
      </c>
      <c r="O16" s="189">
        <f>IF(Assumptions_Dashboard!$L$4="MDO",'Capex Breakups'!O10,0)</f>
        <v>0</v>
      </c>
      <c r="P16" s="189">
        <f>IF(Assumptions_Dashboard!$L$4="MDO",'Capex Breakups'!P10,0)</f>
        <v>0</v>
      </c>
      <c r="Q16" s="189">
        <f>IF(Assumptions_Dashboard!$L$4="MDO",'Capex Breakups'!Q10,0)</f>
        <v>0</v>
      </c>
      <c r="R16" s="189">
        <f>IF(Assumptions_Dashboard!$L$4="MDO",'Capex Breakups'!R10,0)</f>
        <v>0</v>
      </c>
      <c r="S16" s="189">
        <f>IF(Assumptions_Dashboard!$L$4="MDO",'Capex Breakups'!S10,0)</f>
        <v>0</v>
      </c>
      <c r="T16" s="189">
        <f>IF(Assumptions_Dashboard!$L$4="MDO",'Capex Breakups'!T10,0)</f>
        <v>0</v>
      </c>
      <c r="U16" s="189">
        <f>IF(Assumptions_Dashboard!$L$4="MDO",'Capex Breakups'!U10,0)</f>
        <v>0</v>
      </c>
      <c r="V16" s="189">
        <f>IF(Assumptions_Dashboard!$L$4="MDO",'Capex Breakups'!V10,0)</f>
        <v>0</v>
      </c>
      <c r="W16" s="189">
        <f>IF(Assumptions_Dashboard!$L$4="MDO",'Capex Breakups'!W10,0)</f>
        <v>0</v>
      </c>
      <c r="X16" s="189">
        <f>IF(Assumptions_Dashboard!$L$4="MDO",'Capex Breakups'!X10,0)</f>
        <v>0</v>
      </c>
      <c r="Y16" s="189">
        <f>IF(Assumptions_Dashboard!$L$4="MDO",'Capex Breakups'!Y10,0)</f>
        <v>0</v>
      </c>
      <c r="Z16" s="189">
        <f>IF(Assumptions_Dashboard!$L$4="MDO",'Capex Breakups'!Z10,0)</f>
        <v>0</v>
      </c>
      <c r="AA16" s="189">
        <f>IF(Assumptions_Dashboard!$L$4="MDO",'Capex Breakups'!AA10,0)</f>
        <v>0</v>
      </c>
    </row>
    <row r="17" spans="1:27">
      <c r="A17" s="198">
        <f t="shared" si="3"/>
        <v>7</v>
      </c>
      <c r="B17" s="199" t="s">
        <v>576</v>
      </c>
      <c r="C17" s="121" t="s">
        <v>134</v>
      </c>
      <c r="D17" s="194">
        <f t="shared" si="2"/>
        <v>0</v>
      </c>
      <c r="E17" s="189"/>
      <c r="F17" s="189"/>
      <c r="G17" s="189"/>
      <c r="H17" s="189"/>
      <c r="I17" s="189"/>
      <c r="J17" s="189"/>
      <c r="K17" s="189"/>
      <c r="L17" s="189"/>
      <c r="M17" s="189"/>
      <c r="N17" s="189"/>
      <c r="O17" s="189"/>
      <c r="P17" s="189"/>
      <c r="Q17" s="189"/>
      <c r="R17" s="189"/>
      <c r="S17" s="189"/>
      <c r="T17" s="189"/>
      <c r="U17" s="189"/>
      <c r="V17" s="189"/>
      <c r="W17" s="189"/>
      <c r="X17" s="189"/>
      <c r="Y17" s="189"/>
      <c r="Z17" s="189"/>
      <c r="AA17" s="189"/>
    </row>
    <row r="18" spans="1:27">
      <c r="A18" s="198">
        <f t="shared" si="3"/>
        <v>8</v>
      </c>
      <c r="B18" s="199" t="s">
        <v>577</v>
      </c>
      <c r="C18" s="121" t="s">
        <v>134</v>
      </c>
      <c r="D18" s="194">
        <f t="shared" si="2"/>
        <v>0</v>
      </c>
      <c r="E18" s="189">
        <f>SUM(E11:E17)*Assumptions_Dashboard!$D$100</f>
        <v>0</v>
      </c>
      <c r="F18" s="189">
        <f>SUM(F11:F17)*Assumptions_Dashboard!$D$100</f>
        <v>0</v>
      </c>
      <c r="G18" s="189">
        <f>SUM(G11:G17)*Assumptions_Dashboard!$D$100</f>
        <v>0</v>
      </c>
      <c r="H18" s="189">
        <f>SUM(H11:H17)*Assumptions_Dashboard!$D$100</f>
        <v>0</v>
      </c>
      <c r="I18" s="189">
        <f>SUM(I11:I17)*Assumptions_Dashboard!$D$100</f>
        <v>0</v>
      </c>
      <c r="J18" s="189">
        <f>SUM(J11:J17)*Assumptions_Dashboard!$D$100</f>
        <v>0</v>
      </c>
      <c r="K18" s="189">
        <f>SUM(K11:K17)*Assumptions_Dashboard!$D$100</f>
        <v>0</v>
      </c>
      <c r="L18" s="189">
        <f>SUM(L11:L17)*Assumptions_Dashboard!$D$100</f>
        <v>0</v>
      </c>
      <c r="M18" s="189">
        <f>SUM(M11:M17)*Assumptions_Dashboard!$D$100</f>
        <v>0</v>
      </c>
      <c r="N18" s="189">
        <f>SUM(N11:N17)*Assumptions_Dashboard!$D$100</f>
        <v>0</v>
      </c>
      <c r="O18" s="189">
        <f>SUM(O11:O17)*Assumptions_Dashboard!$D$100</f>
        <v>0</v>
      </c>
      <c r="P18" s="189">
        <f>SUM(P11:P17)*Assumptions_Dashboard!$D$100</f>
        <v>0</v>
      </c>
      <c r="Q18" s="189">
        <f>SUM(Q11:Q17)*Assumptions_Dashboard!$D$100</f>
        <v>0</v>
      </c>
      <c r="R18" s="189">
        <f>SUM(R11:R17)*Assumptions_Dashboard!$D$100</f>
        <v>0</v>
      </c>
      <c r="S18" s="189">
        <f>SUM(S11:S17)*Assumptions_Dashboard!$D$100</f>
        <v>0</v>
      </c>
      <c r="T18" s="189">
        <f>SUM(T11:T17)*Assumptions_Dashboard!$D$100</f>
        <v>0</v>
      </c>
      <c r="U18" s="189">
        <f>SUM(U11:U17)*Assumptions_Dashboard!$D$100</f>
        <v>0</v>
      </c>
      <c r="V18" s="189">
        <f>SUM(V11:V17)*Assumptions_Dashboard!$D$100</f>
        <v>0</v>
      </c>
      <c r="W18" s="189">
        <f>SUM(W11:W17)*Assumptions_Dashboard!$D$100</f>
        <v>0</v>
      </c>
      <c r="X18" s="189">
        <f>SUM(X11:X17)*Assumptions_Dashboard!$D$100</f>
        <v>0</v>
      </c>
      <c r="Y18" s="189">
        <f>SUM(Y11:Y17)*Assumptions_Dashboard!$D$100</f>
        <v>0</v>
      </c>
      <c r="Z18" s="189">
        <f>SUM(Z11:Z17)*Assumptions_Dashboard!$D$100</f>
        <v>0</v>
      </c>
      <c r="AA18" s="189">
        <f>SUM(AA11:AA17)*Assumptions_Dashboard!$D$100</f>
        <v>0</v>
      </c>
    </row>
    <row r="19" spans="1:27">
      <c r="A19" s="198">
        <f t="shared" si="3"/>
        <v>9</v>
      </c>
      <c r="B19" s="199" t="s">
        <v>281</v>
      </c>
      <c r="C19" s="121" t="s">
        <v>134</v>
      </c>
      <c r="D19" s="194">
        <f>+SUM(E19:AR19)</f>
        <v>0</v>
      </c>
      <c r="E19" s="189">
        <f>'Borrowings-MDO'!G96</f>
        <v>0</v>
      </c>
      <c r="F19" s="189">
        <f>'Borrowings-MDO'!H96</f>
        <v>0</v>
      </c>
      <c r="G19" s="189">
        <f>'Borrowings-MDO'!I96</f>
        <v>0</v>
      </c>
      <c r="H19" s="189">
        <f>'Borrowings-MDO'!J96</f>
        <v>0</v>
      </c>
      <c r="I19" s="189">
        <f>'Borrowings-MDO'!K96</f>
        <v>0</v>
      </c>
      <c r="J19" s="189"/>
      <c r="K19" s="189"/>
      <c r="L19" s="189"/>
      <c r="M19" s="189"/>
      <c r="N19" s="189"/>
      <c r="O19" s="189"/>
      <c r="P19" s="189"/>
      <c r="Q19" s="189"/>
      <c r="R19" s="189"/>
      <c r="S19" s="189"/>
      <c r="T19" s="189"/>
      <c r="U19" s="189"/>
      <c r="V19" s="189"/>
      <c r="W19" s="189"/>
      <c r="X19" s="189"/>
      <c r="Y19" s="189"/>
      <c r="Z19" s="189"/>
      <c r="AA19" s="189"/>
    </row>
    <row r="20" spans="1:27">
      <c r="A20" s="117"/>
      <c r="B20" s="1230" t="s">
        <v>162</v>
      </c>
      <c r="C20" s="1231" t="s">
        <v>134</v>
      </c>
      <c r="D20" s="1232">
        <f t="shared" ref="D20:AA20" si="4">SUM(D11:D19)</f>
        <v>0</v>
      </c>
      <c r="E20" s="1234">
        <f t="shared" si="4"/>
        <v>0</v>
      </c>
      <c r="F20" s="1234">
        <f t="shared" si="4"/>
        <v>0</v>
      </c>
      <c r="G20" s="1234">
        <f t="shared" si="4"/>
        <v>0</v>
      </c>
      <c r="H20" s="1234">
        <f t="shared" si="4"/>
        <v>0</v>
      </c>
      <c r="I20" s="1234">
        <f t="shared" si="4"/>
        <v>0</v>
      </c>
      <c r="J20" s="1234">
        <f t="shared" si="4"/>
        <v>0</v>
      </c>
      <c r="K20" s="1234">
        <f t="shared" si="4"/>
        <v>0</v>
      </c>
      <c r="L20" s="1234">
        <f t="shared" si="4"/>
        <v>0</v>
      </c>
      <c r="M20" s="1234">
        <f t="shared" si="4"/>
        <v>0</v>
      </c>
      <c r="N20" s="1234">
        <f t="shared" si="4"/>
        <v>0</v>
      </c>
      <c r="O20" s="1234">
        <f t="shared" si="4"/>
        <v>0</v>
      </c>
      <c r="P20" s="1234">
        <f t="shared" si="4"/>
        <v>0</v>
      </c>
      <c r="Q20" s="1234">
        <f t="shared" si="4"/>
        <v>0</v>
      </c>
      <c r="R20" s="1234">
        <f t="shared" si="4"/>
        <v>0</v>
      </c>
      <c r="S20" s="1234">
        <f t="shared" si="4"/>
        <v>0</v>
      </c>
      <c r="T20" s="1234">
        <f t="shared" si="4"/>
        <v>0</v>
      </c>
      <c r="U20" s="1234">
        <f t="shared" si="4"/>
        <v>0</v>
      </c>
      <c r="V20" s="1234">
        <f t="shared" si="4"/>
        <v>0</v>
      </c>
      <c r="W20" s="1234">
        <f t="shared" si="4"/>
        <v>0</v>
      </c>
      <c r="X20" s="1234">
        <f t="shared" si="4"/>
        <v>0</v>
      </c>
      <c r="Y20" s="1234">
        <f t="shared" si="4"/>
        <v>0</v>
      </c>
      <c r="Z20" s="1234">
        <f t="shared" si="4"/>
        <v>0</v>
      </c>
      <c r="AA20" s="1234">
        <f t="shared" si="4"/>
        <v>0</v>
      </c>
    </row>
    <row r="21" spans="1:27">
      <c r="A21" s="121"/>
      <c r="B21" s="199"/>
      <c r="C21" s="121"/>
      <c r="D21" s="190"/>
    </row>
    <row r="22" spans="1:27">
      <c r="A22" s="121"/>
      <c r="B22" s="200"/>
      <c r="C22" s="121"/>
      <c r="D22" s="194"/>
    </row>
    <row r="23" spans="1:27">
      <c r="A23" s="121"/>
      <c r="B23" s="200" t="s">
        <v>578</v>
      </c>
      <c r="C23" s="117"/>
      <c r="D23" s="197"/>
      <c r="E23" s="201">
        <f t="shared" ref="E23:AA23" si="5">E9</f>
        <v>46023</v>
      </c>
      <c r="F23" s="201">
        <f t="shared" si="5"/>
        <v>46389</v>
      </c>
      <c r="G23" s="201">
        <f t="shared" si="5"/>
        <v>46755</v>
      </c>
      <c r="H23" s="201">
        <f t="shared" si="5"/>
        <v>47121</v>
      </c>
      <c r="I23" s="201">
        <f t="shared" si="5"/>
        <v>47487</v>
      </c>
      <c r="J23" s="201">
        <f t="shared" si="5"/>
        <v>47853</v>
      </c>
      <c r="K23" s="201">
        <f t="shared" si="5"/>
        <v>48219</v>
      </c>
      <c r="L23" s="201">
        <f t="shared" si="5"/>
        <v>48585</v>
      </c>
      <c r="M23" s="201">
        <f t="shared" si="5"/>
        <v>48951</v>
      </c>
      <c r="N23" s="201">
        <f t="shared" si="5"/>
        <v>49317</v>
      </c>
      <c r="O23" s="201">
        <f t="shared" si="5"/>
        <v>49683</v>
      </c>
      <c r="P23" s="201">
        <f t="shared" si="5"/>
        <v>50049</v>
      </c>
      <c r="Q23" s="201">
        <f t="shared" si="5"/>
        <v>50415</v>
      </c>
      <c r="R23" s="201">
        <f t="shared" si="5"/>
        <v>50781</v>
      </c>
      <c r="S23" s="201">
        <f t="shared" si="5"/>
        <v>51147</v>
      </c>
      <c r="T23" s="201">
        <f t="shared" si="5"/>
        <v>51513</v>
      </c>
      <c r="U23" s="201">
        <f t="shared" si="5"/>
        <v>51879</v>
      </c>
      <c r="V23" s="201">
        <f t="shared" si="5"/>
        <v>52245</v>
      </c>
      <c r="W23" s="201">
        <f t="shared" si="5"/>
        <v>52611</v>
      </c>
      <c r="X23" s="201">
        <f t="shared" si="5"/>
        <v>52977</v>
      </c>
      <c r="Y23" s="201">
        <f t="shared" si="5"/>
        <v>53343</v>
      </c>
      <c r="Z23" s="201">
        <f t="shared" si="5"/>
        <v>53709</v>
      </c>
      <c r="AA23" s="201">
        <f t="shared" si="5"/>
        <v>54075</v>
      </c>
    </row>
    <row r="24" spans="1:27">
      <c r="A24" s="117"/>
      <c r="B24" s="1228" t="s">
        <v>94</v>
      </c>
      <c r="C24" s="788" t="s">
        <v>95</v>
      </c>
      <c r="D24" s="1223" t="s">
        <v>96</v>
      </c>
      <c r="E24" s="1141">
        <f t="shared" ref="E24:AA24" si="6">E10</f>
        <v>-4</v>
      </c>
      <c r="F24" s="1141">
        <f t="shared" si="6"/>
        <v>-3</v>
      </c>
      <c r="G24" s="1141">
        <f t="shared" si="6"/>
        <v>-2</v>
      </c>
      <c r="H24" s="1141">
        <f t="shared" si="6"/>
        <v>-1</v>
      </c>
      <c r="I24" s="1141">
        <f t="shared" si="6"/>
        <v>1</v>
      </c>
      <c r="J24" s="1141">
        <f t="shared" si="6"/>
        <v>2</v>
      </c>
      <c r="K24" s="1141">
        <f t="shared" si="6"/>
        <v>3</v>
      </c>
      <c r="L24" s="1141">
        <f t="shared" si="6"/>
        <v>4</v>
      </c>
      <c r="M24" s="1141">
        <f t="shared" si="6"/>
        <v>5</v>
      </c>
      <c r="N24" s="1141">
        <f t="shared" si="6"/>
        <v>6</v>
      </c>
      <c r="O24" s="1141">
        <f t="shared" si="6"/>
        <v>7</v>
      </c>
      <c r="P24" s="1141">
        <f t="shared" si="6"/>
        <v>8</v>
      </c>
      <c r="Q24" s="1141">
        <f t="shared" si="6"/>
        <v>9</v>
      </c>
      <c r="R24" s="1141">
        <f t="shared" si="6"/>
        <v>10</v>
      </c>
      <c r="S24" s="1141">
        <f t="shared" si="6"/>
        <v>11</v>
      </c>
      <c r="T24" s="1141">
        <f t="shared" si="6"/>
        <v>12</v>
      </c>
      <c r="U24" s="1141">
        <f t="shared" si="6"/>
        <v>13</v>
      </c>
      <c r="V24" s="1141">
        <f t="shared" si="6"/>
        <v>14</v>
      </c>
      <c r="W24" s="1141">
        <f t="shared" si="6"/>
        <v>15</v>
      </c>
      <c r="X24" s="1141">
        <f t="shared" si="6"/>
        <v>16</v>
      </c>
      <c r="Y24" s="1141">
        <f t="shared" si="6"/>
        <v>17</v>
      </c>
      <c r="Z24" s="1141">
        <f t="shared" si="6"/>
        <v>18</v>
      </c>
      <c r="AA24" s="1141">
        <f t="shared" si="6"/>
        <v>19</v>
      </c>
    </row>
    <row r="25" spans="1:27">
      <c r="A25" s="198">
        <f>A11</f>
        <v>1</v>
      </c>
      <c r="B25" s="199" t="s">
        <v>579</v>
      </c>
      <c r="C25" s="121" t="s">
        <v>134</v>
      </c>
      <c r="D25" s="194">
        <f>+SUM(E25:AR25)</f>
        <v>0</v>
      </c>
      <c r="E25" s="189">
        <f>IF(Assumptions_Dashboard!$L$4=Assumptions_Dashboard!$M$5,0,(Fleet!G413))</f>
        <v>0</v>
      </c>
      <c r="F25" s="189">
        <f>IF(Assumptions_Dashboard!$L$4=Assumptions_Dashboard!$M$5,0,(Fleet!H413))</f>
        <v>0</v>
      </c>
      <c r="G25" s="189">
        <f>IF(Assumptions_Dashboard!$L$4=Assumptions_Dashboard!$M$5,0,(Fleet!I413))</f>
        <v>0</v>
      </c>
      <c r="H25" s="189">
        <f>IF(Assumptions_Dashboard!$L$4=Assumptions_Dashboard!$M$5,0,(Fleet!J413))</f>
        <v>0</v>
      </c>
      <c r="I25" s="189">
        <f>IF(Assumptions_Dashboard!$L$4=Assumptions_Dashboard!$M$5,0,(Fleet!K413))</f>
        <v>0</v>
      </c>
      <c r="J25" s="189">
        <f>IF(Assumptions_Dashboard!$L$4=Assumptions_Dashboard!$M$5,0,(Fleet!L413))</f>
        <v>0</v>
      </c>
      <c r="K25" s="189">
        <f>IF(Assumptions_Dashboard!$L$4=Assumptions_Dashboard!$M$5,0,(Fleet!M413))</f>
        <v>0</v>
      </c>
      <c r="L25" s="189">
        <f>IF(Assumptions_Dashboard!$L$4=Assumptions_Dashboard!$M$5,0,(Fleet!N413))</f>
        <v>0</v>
      </c>
      <c r="M25" s="189">
        <f>IF(Assumptions_Dashboard!$L$4=Assumptions_Dashboard!$M$5,0,(Fleet!O413))</f>
        <v>0</v>
      </c>
      <c r="N25" s="189">
        <f>IF(Assumptions_Dashboard!$L$4=Assumptions_Dashboard!$M$5,0,(Fleet!P413))</f>
        <v>0</v>
      </c>
      <c r="O25" s="189">
        <f>IF(Assumptions_Dashboard!$L$4=Assumptions_Dashboard!$M$5,0,(Fleet!Q413))</f>
        <v>0</v>
      </c>
      <c r="P25" s="189">
        <f>IF(Assumptions_Dashboard!$L$4=Assumptions_Dashboard!$M$5,0,(Fleet!R413))</f>
        <v>0</v>
      </c>
      <c r="Q25" s="189">
        <f>IF(Assumptions_Dashboard!$L$4=Assumptions_Dashboard!$M$5,0,(Fleet!S413))</f>
        <v>0</v>
      </c>
      <c r="R25" s="189">
        <f>IF(Assumptions_Dashboard!$L$4=Assumptions_Dashboard!$M$5,0,(Fleet!T413))</f>
        <v>0</v>
      </c>
      <c r="S25" s="189">
        <f>IF(Assumptions_Dashboard!$L$4=Assumptions_Dashboard!$M$5,0,(Fleet!U413))</f>
        <v>0</v>
      </c>
      <c r="T25" s="189">
        <f>IF(Assumptions_Dashboard!$L$4=Assumptions_Dashboard!$M$5,0,(Fleet!V413))</f>
        <v>0</v>
      </c>
      <c r="U25" s="189">
        <f>IF(Assumptions_Dashboard!$L$4=Assumptions_Dashboard!$M$5,0,(Fleet!W413))</f>
        <v>0</v>
      </c>
      <c r="V25" s="189">
        <f>IF(Assumptions_Dashboard!$L$4=Assumptions_Dashboard!$M$5,0,(Fleet!X413))</f>
        <v>0</v>
      </c>
      <c r="W25" s="189">
        <f>IF(Assumptions_Dashboard!$L$4=Assumptions_Dashboard!$M$5,0,(Fleet!Y413))</f>
        <v>0</v>
      </c>
      <c r="X25" s="189">
        <f>IF(Assumptions_Dashboard!$L$4=Assumptions_Dashboard!$M$5,0,(Fleet!Z413))</f>
        <v>0</v>
      </c>
      <c r="Y25" s="189">
        <f>IF(Assumptions_Dashboard!$L$4=Assumptions_Dashboard!$M$5,0,(Fleet!AA413))</f>
        <v>0</v>
      </c>
      <c r="Z25" s="189">
        <f>IF(Assumptions_Dashboard!$L$4=Assumptions_Dashboard!$M$5,0,(Fleet!AB413))</f>
        <v>0</v>
      </c>
      <c r="AA25" s="189">
        <f>IF(Assumptions_Dashboard!$L$4=Assumptions_Dashboard!$M$5,0,(Fleet!AC413))</f>
        <v>0</v>
      </c>
    </row>
    <row r="26" spans="1:27">
      <c r="A26" s="198">
        <f t="shared" ref="A26:A31" si="7">A12</f>
        <v>2</v>
      </c>
      <c r="B26" s="199" t="str">
        <f>B12</f>
        <v>Civil Infrastructure</v>
      </c>
      <c r="C26" s="121" t="s">
        <v>134</v>
      </c>
      <c r="D26" s="194">
        <f t="shared" ref="D26:D30" si="8">+SUM(E26:AR26)</f>
        <v>0</v>
      </c>
      <c r="E26" s="189"/>
      <c r="F26" s="189"/>
      <c r="G26" s="189"/>
      <c r="H26" s="189"/>
      <c r="I26" s="189"/>
      <c r="J26" s="189"/>
      <c r="K26" s="189"/>
      <c r="L26" s="189"/>
      <c r="M26" s="189"/>
      <c r="N26" s="189"/>
      <c r="O26" s="189"/>
      <c r="P26" s="189"/>
      <c r="Q26" s="189"/>
      <c r="R26" s="189">
        <f>$D$12*Assumptions_Dashboard!$D$118</f>
        <v>0</v>
      </c>
      <c r="S26" s="189"/>
      <c r="T26" s="189"/>
      <c r="U26" s="189"/>
      <c r="V26" s="189"/>
      <c r="W26" s="189"/>
      <c r="X26" s="189"/>
      <c r="Y26" s="189"/>
      <c r="Z26" s="189"/>
      <c r="AA26" s="189"/>
    </row>
    <row r="27" spans="1:27">
      <c r="A27" s="198">
        <f t="shared" si="7"/>
        <v>3</v>
      </c>
      <c r="B27" s="199" t="str">
        <f>B14</f>
        <v>Workshop and Store</v>
      </c>
      <c r="C27" s="121" t="s">
        <v>134</v>
      </c>
      <c r="D27" s="194">
        <f t="shared" si="8"/>
        <v>0</v>
      </c>
      <c r="E27" s="189"/>
      <c r="F27" s="189"/>
      <c r="G27" s="189"/>
      <c r="H27" s="189"/>
      <c r="I27" s="189"/>
      <c r="J27" s="189"/>
      <c r="K27" s="189"/>
      <c r="L27" s="189"/>
      <c r="M27" s="189"/>
      <c r="N27" s="189"/>
      <c r="O27" s="189"/>
      <c r="P27" s="189"/>
      <c r="Q27" s="189"/>
      <c r="R27" s="189"/>
      <c r="S27" s="189"/>
      <c r="T27" s="189"/>
      <c r="U27" s="189"/>
      <c r="V27" s="189"/>
      <c r="W27" s="189"/>
      <c r="X27" s="189"/>
      <c r="Y27" s="189"/>
      <c r="Z27" s="189"/>
      <c r="AA27" s="189"/>
    </row>
    <row r="28" spans="1:27">
      <c r="A28" s="198">
        <f t="shared" si="7"/>
        <v>4</v>
      </c>
      <c r="B28" s="199" t="str">
        <f>B15</f>
        <v xml:space="preserve">Electrical </v>
      </c>
      <c r="C28" s="121" t="s">
        <v>134</v>
      </c>
      <c r="D28" s="194">
        <f t="shared" si="8"/>
        <v>0</v>
      </c>
      <c r="E28" s="189"/>
      <c r="F28" s="189"/>
      <c r="G28" s="189"/>
      <c r="H28" s="189"/>
      <c r="I28" s="189"/>
      <c r="J28" s="189"/>
      <c r="K28" s="189"/>
      <c r="L28" s="189"/>
      <c r="M28" s="189"/>
      <c r="N28" s="189"/>
      <c r="O28" s="189"/>
      <c r="P28" s="189"/>
      <c r="Q28" s="189"/>
      <c r="R28" s="189"/>
      <c r="S28" s="189"/>
      <c r="T28" s="189"/>
      <c r="U28" s="189"/>
      <c r="V28" s="189"/>
      <c r="W28" s="189"/>
      <c r="X28" s="189"/>
      <c r="Y28" s="189"/>
      <c r="Z28" s="189"/>
      <c r="AA28" s="189"/>
    </row>
    <row r="29" spans="1:27">
      <c r="A29" s="198">
        <f t="shared" si="7"/>
        <v>5</v>
      </c>
      <c r="B29" s="199" t="str">
        <f>B16</f>
        <v>Mine Dewatering System</v>
      </c>
      <c r="C29" s="121" t="s">
        <v>134</v>
      </c>
      <c r="D29" s="194">
        <f t="shared" si="8"/>
        <v>0</v>
      </c>
      <c r="E29" s="189"/>
      <c r="F29" s="189"/>
      <c r="G29" s="189"/>
      <c r="H29" s="189"/>
      <c r="I29" s="189"/>
      <c r="J29" s="189"/>
      <c r="K29" s="189"/>
      <c r="L29" s="189"/>
      <c r="M29" s="189"/>
      <c r="N29" s="189"/>
      <c r="O29" s="189"/>
      <c r="P29" s="189"/>
      <c r="Q29" s="189"/>
      <c r="R29" s="189"/>
      <c r="S29" s="189"/>
      <c r="T29" s="189"/>
      <c r="U29" s="189"/>
      <c r="V29" s="189"/>
      <c r="W29" s="189"/>
      <c r="X29" s="189"/>
      <c r="Y29" s="189"/>
      <c r="Z29" s="189"/>
      <c r="AA29" s="189"/>
    </row>
    <row r="30" spans="1:27">
      <c r="A30" s="198">
        <f t="shared" si="7"/>
        <v>6</v>
      </c>
      <c r="B30" s="199" t="str">
        <f>B17</f>
        <v>Digitalization</v>
      </c>
      <c r="C30" s="121" t="s">
        <v>134</v>
      </c>
      <c r="D30" s="194">
        <f t="shared" si="8"/>
        <v>0</v>
      </c>
      <c r="E30" s="189"/>
      <c r="F30" s="189"/>
      <c r="G30" s="189"/>
      <c r="H30" s="189"/>
      <c r="I30" s="189"/>
      <c r="J30" s="189"/>
      <c r="K30" s="189"/>
      <c r="L30" s="189"/>
      <c r="M30" s="189"/>
      <c r="N30" s="189"/>
      <c r="O30" s="189"/>
      <c r="P30" s="189"/>
      <c r="Q30" s="189"/>
      <c r="R30" s="189"/>
      <c r="S30" s="189"/>
      <c r="T30" s="189"/>
      <c r="U30" s="189"/>
      <c r="V30" s="189"/>
      <c r="W30" s="189"/>
      <c r="X30" s="189"/>
      <c r="Y30" s="189"/>
      <c r="Z30" s="189"/>
      <c r="AA30" s="189"/>
    </row>
    <row r="31" spans="1:27">
      <c r="A31" s="198">
        <f t="shared" si="7"/>
        <v>7</v>
      </c>
      <c r="B31" s="199" t="s">
        <v>577</v>
      </c>
      <c r="C31" s="121" t="s">
        <v>134</v>
      </c>
      <c r="D31" s="194">
        <f>+SUM(E31:AR31)</f>
        <v>0</v>
      </c>
      <c r="E31" s="189">
        <f>SUM(E25:E30)*Assumptions_Dashboard!$D$100</f>
        <v>0</v>
      </c>
      <c r="F31" s="189">
        <f>SUM(F25:F30)*Assumptions_Dashboard!$D$100</f>
        <v>0</v>
      </c>
      <c r="G31" s="189">
        <f>SUM(G25:G30)*Assumptions_Dashboard!$D$100</f>
        <v>0</v>
      </c>
      <c r="H31" s="189">
        <f>SUM(H25:H30)*Assumptions_Dashboard!$D$100</f>
        <v>0</v>
      </c>
      <c r="I31" s="189">
        <f>SUM(I25:I30)*Assumptions_Dashboard!$D$100</f>
        <v>0</v>
      </c>
      <c r="J31" s="189">
        <f>SUM(J25:J30)*Assumptions_Dashboard!$D$100</f>
        <v>0</v>
      </c>
      <c r="K31" s="189">
        <f>SUM(K25:K30)*Assumptions_Dashboard!$D$100</f>
        <v>0</v>
      </c>
      <c r="L31" s="189">
        <f>SUM(L25:L30)*Assumptions_Dashboard!$D$100</f>
        <v>0</v>
      </c>
      <c r="M31" s="189">
        <f>SUM(M25:M30)*Assumptions_Dashboard!$D$100</f>
        <v>0</v>
      </c>
      <c r="N31" s="189">
        <f>SUM(N25:N30)*Assumptions_Dashboard!$D$100</f>
        <v>0</v>
      </c>
      <c r="O31" s="189">
        <f>SUM(O25:O30)*Assumptions_Dashboard!$D$100</f>
        <v>0</v>
      </c>
      <c r="P31" s="189">
        <f>SUM(P25:P30)*Assumptions_Dashboard!$D$100</f>
        <v>0</v>
      </c>
      <c r="Q31" s="189">
        <f>SUM(Q25:Q30)*Assumptions_Dashboard!$D$100</f>
        <v>0</v>
      </c>
      <c r="R31" s="189">
        <f>SUM(R25:R30)*Assumptions_Dashboard!$D$100</f>
        <v>0</v>
      </c>
      <c r="S31" s="189">
        <f>SUM(S25:S30)*Assumptions_Dashboard!$D$100</f>
        <v>0</v>
      </c>
      <c r="T31" s="189">
        <f>SUM(T25:T30)*Assumptions_Dashboard!$D$100</f>
        <v>0</v>
      </c>
      <c r="U31" s="189">
        <f>SUM(U25:U30)*Assumptions_Dashboard!$D$100</f>
        <v>0</v>
      </c>
      <c r="V31" s="189">
        <f>SUM(V25:V30)*Assumptions_Dashboard!$D$100</f>
        <v>0</v>
      </c>
      <c r="W31" s="189">
        <f>SUM(W25:W30)*Assumptions_Dashboard!$D$100</f>
        <v>0</v>
      </c>
      <c r="X31" s="189">
        <f>SUM(X25:X30)*Assumptions_Dashboard!$D$100</f>
        <v>0</v>
      </c>
      <c r="Y31" s="189">
        <f>SUM(Y25:Y30)*Assumptions_Dashboard!$D$100</f>
        <v>0</v>
      </c>
      <c r="Z31" s="189">
        <f>SUM(Z25:Z30)*Assumptions_Dashboard!$D$100</f>
        <v>0</v>
      </c>
      <c r="AA31" s="189">
        <f>SUM(AA25:AA30)*Assumptions_Dashboard!$D$100</f>
        <v>0</v>
      </c>
    </row>
    <row r="32" spans="1:27">
      <c r="A32" s="121"/>
      <c r="B32" s="1230" t="s">
        <v>582</v>
      </c>
      <c r="C32" s="1231" t="s">
        <v>134</v>
      </c>
      <c r="D32" s="1232">
        <f>+SUM(E32:AN32)</f>
        <v>0</v>
      </c>
      <c r="E32" s="1234">
        <f t="shared" ref="E32:AA32" si="9">SUM(E25:E31)</f>
        <v>0</v>
      </c>
      <c r="F32" s="1234">
        <f t="shared" si="9"/>
        <v>0</v>
      </c>
      <c r="G32" s="1234">
        <f t="shared" si="9"/>
        <v>0</v>
      </c>
      <c r="H32" s="1234">
        <f t="shared" si="9"/>
        <v>0</v>
      </c>
      <c r="I32" s="1234">
        <f t="shared" si="9"/>
        <v>0</v>
      </c>
      <c r="J32" s="1234">
        <f t="shared" si="9"/>
        <v>0</v>
      </c>
      <c r="K32" s="1234">
        <f t="shared" si="9"/>
        <v>0</v>
      </c>
      <c r="L32" s="1234">
        <f t="shared" si="9"/>
        <v>0</v>
      </c>
      <c r="M32" s="1234">
        <f t="shared" si="9"/>
        <v>0</v>
      </c>
      <c r="N32" s="1234">
        <f t="shared" si="9"/>
        <v>0</v>
      </c>
      <c r="O32" s="1234">
        <f t="shared" si="9"/>
        <v>0</v>
      </c>
      <c r="P32" s="1234">
        <f t="shared" si="9"/>
        <v>0</v>
      </c>
      <c r="Q32" s="1234">
        <f t="shared" si="9"/>
        <v>0</v>
      </c>
      <c r="R32" s="1234">
        <f t="shared" si="9"/>
        <v>0</v>
      </c>
      <c r="S32" s="1234">
        <f t="shared" si="9"/>
        <v>0</v>
      </c>
      <c r="T32" s="1234">
        <f t="shared" si="9"/>
        <v>0</v>
      </c>
      <c r="U32" s="1234">
        <f t="shared" si="9"/>
        <v>0</v>
      </c>
      <c r="V32" s="1234">
        <f t="shared" si="9"/>
        <v>0</v>
      </c>
      <c r="W32" s="1234">
        <f t="shared" si="9"/>
        <v>0</v>
      </c>
      <c r="X32" s="1234">
        <f t="shared" si="9"/>
        <v>0</v>
      </c>
      <c r="Y32" s="1234">
        <f t="shared" si="9"/>
        <v>0</v>
      </c>
      <c r="Z32" s="1234">
        <f t="shared" si="9"/>
        <v>0</v>
      </c>
      <c r="AA32" s="1234">
        <f t="shared" si="9"/>
        <v>0</v>
      </c>
    </row>
    <row r="34" spans="2:27">
      <c r="B34" s="1230" t="s">
        <v>581</v>
      </c>
      <c r="C34" s="1231" t="s">
        <v>134</v>
      </c>
      <c r="D34" s="1232">
        <f>+SUM(E34:AN34)</f>
        <v>0</v>
      </c>
      <c r="E34" s="1234">
        <f t="shared" ref="E34:AA34" si="10">SUM(E20,E32)</f>
        <v>0</v>
      </c>
      <c r="F34" s="1234">
        <f t="shared" si="10"/>
        <v>0</v>
      </c>
      <c r="G34" s="1234">
        <f t="shared" si="10"/>
        <v>0</v>
      </c>
      <c r="H34" s="1234">
        <f t="shared" si="10"/>
        <v>0</v>
      </c>
      <c r="I34" s="1234">
        <f t="shared" si="10"/>
        <v>0</v>
      </c>
      <c r="J34" s="1234">
        <f t="shared" si="10"/>
        <v>0</v>
      </c>
      <c r="K34" s="1234">
        <f t="shared" si="10"/>
        <v>0</v>
      </c>
      <c r="L34" s="1234">
        <f t="shared" si="10"/>
        <v>0</v>
      </c>
      <c r="M34" s="1234">
        <f t="shared" si="10"/>
        <v>0</v>
      </c>
      <c r="N34" s="1234">
        <f t="shared" si="10"/>
        <v>0</v>
      </c>
      <c r="O34" s="1234">
        <f t="shared" si="10"/>
        <v>0</v>
      </c>
      <c r="P34" s="1234">
        <f t="shared" si="10"/>
        <v>0</v>
      </c>
      <c r="Q34" s="1234">
        <f t="shared" si="10"/>
        <v>0</v>
      </c>
      <c r="R34" s="1234">
        <f t="shared" si="10"/>
        <v>0</v>
      </c>
      <c r="S34" s="1234">
        <f t="shared" si="10"/>
        <v>0</v>
      </c>
      <c r="T34" s="1234">
        <f t="shared" si="10"/>
        <v>0</v>
      </c>
      <c r="U34" s="1234">
        <f t="shared" si="10"/>
        <v>0</v>
      </c>
      <c r="V34" s="1234">
        <f t="shared" si="10"/>
        <v>0</v>
      </c>
      <c r="W34" s="1234">
        <f t="shared" si="10"/>
        <v>0</v>
      </c>
      <c r="X34" s="1234">
        <f t="shared" si="10"/>
        <v>0</v>
      </c>
      <c r="Y34" s="1234">
        <f t="shared" si="10"/>
        <v>0</v>
      </c>
      <c r="Z34" s="1234">
        <f t="shared" si="10"/>
        <v>0</v>
      </c>
      <c r="AA34" s="1234">
        <f t="shared" si="10"/>
        <v>0</v>
      </c>
    </row>
  </sheetData>
  <dataValidations disablePrompts="1" count="1">
    <dataValidation type="list" allowBlank="1" showInputMessage="1" showErrorMessage="1" sqref="A8" xr:uid="{DF9D6307-7A0E-4F13-B3B8-25CF1D70CE70}">
      <formula1>"ON,OFF"</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8C18-F761-4151-9AA0-8393C1E2F546}">
  <sheetPr>
    <tabColor rgb="FFFF0000"/>
  </sheetPr>
  <dimension ref="A2:AA105"/>
  <sheetViews>
    <sheetView showGridLines="0" workbookViewId="0">
      <selection activeCell="F5" sqref="F5"/>
    </sheetView>
  </sheetViews>
  <sheetFormatPr baseColWidth="10" defaultColWidth="8.83203125" defaultRowHeight="13"/>
  <cols>
    <col min="1" max="1" width="7" bestFit="1" customWidth="1"/>
    <col min="2" max="2" width="47.5" customWidth="1"/>
    <col min="3" max="3" width="37.33203125" bestFit="1" customWidth="1"/>
    <col min="4" max="4" width="39.6640625" bestFit="1" customWidth="1"/>
    <col min="5" max="27" width="5.6640625" customWidth="1"/>
  </cols>
  <sheetData>
    <row r="2" spans="1:27">
      <c r="E2" s="1235">
        <v>2026</v>
      </c>
      <c r="F2" s="1235">
        <v>2027</v>
      </c>
      <c r="G2" s="1235">
        <v>2028</v>
      </c>
      <c r="H2" s="1235">
        <v>2029</v>
      </c>
      <c r="I2" s="1235">
        <v>2030</v>
      </c>
      <c r="J2" s="1235">
        <v>2031</v>
      </c>
      <c r="K2" s="1235">
        <v>2032</v>
      </c>
      <c r="L2" s="1235">
        <v>2033</v>
      </c>
      <c r="M2" s="1236">
        <v>2034</v>
      </c>
      <c r="N2" s="1236">
        <v>2035</v>
      </c>
      <c r="O2" s="1236">
        <v>2036</v>
      </c>
      <c r="P2" s="1236">
        <v>2037</v>
      </c>
      <c r="Q2" s="1236">
        <v>2038</v>
      </c>
      <c r="R2" s="1236">
        <v>2039</v>
      </c>
      <c r="S2" s="1236">
        <v>2040</v>
      </c>
      <c r="T2" s="1236">
        <v>2041</v>
      </c>
      <c r="U2" s="1236">
        <v>2042</v>
      </c>
      <c r="V2" s="1236">
        <v>2043</v>
      </c>
      <c r="W2" s="1236">
        <v>2044</v>
      </c>
      <c r="X2" s="1236">
        <v>2045</v>
      </c>
      <c r="Y2" s="1236">
        <v>2046</v>
      </c>
      <c r="Z2" s="1236">
        <v>2047</v>
      </c>
      <c r="AA2" s="1236">
        <v>2048</v>
      </c>
    </row>
    <row r="3" spans="1:27">
      <c r="A3" s="1237" t="s">
        <v>93</v>
      </c>
      <c r="B3" s="1237" t="s">
        <v>583</v>
      </c>
      <c r="C3" s="1238" t="s">
        <v>584</v>
      </c>
      <c r="D3" s="629"/>
      <c r="E3" s="1239">
        <v>-1</v>
      </c>
      <c r="F3" s="1239">
        <v>-2</v>
      </c>
      <c r="G3" s="1239">
        <v>-3</v>
      </c>
      <c r="H3" s="1239">
        <v>-4</v>
      </c>
      <c r="I3" s="1240">
        <v>1</v>
      </c>
      <c r="J3" s="1240">
        <v>2</v>
      </c>
      <c r="K3" s="1240">
        <v>3</v>
      </c>
      <c r="L3" s="1240">
        <v>4</v>
      </c>
      <c r="M3" s="1241">
        <v>5</v>
      </c>
      <c r="N3" s="1241">
        <v>6</v>
      </c>
      <c r="O3" s="1241">
        <v>7</v>
      </c>
      <c r="P3" s="1241">
        <v>8</v>
      </c>
      <c r="Q3" s="1241">
        <v>9</v>
      </c>
      <c r="R3" s="1241">
        <v>10</v>
      </c>
      <c r="S3" s="1241">
        <v>11</v>
      </c>
      <c r="T3" s="1241">
        <v>12</v>
      </c>
      <c r="U3" s="1241">
        <v>13</v>
      </c>
      <c r="V3" s="1241">
        <v>14</v>
      </c>
      <c r="W3" s="1241">
        <v>15</v>
      </c>
      <c r="X3" s="1241">
        <v>16</v>
      </c>
      <c r="Y3" s="1241">
        <v>17</v>
      </c>
      <c r="Z3" s="1241">
        <v>18</v>
      </c>
      <c r="AA3" s="1241">
        <v>19</v>
      </c>
    </row>
    <row r="4" spans="1:27">
      <c r="A4" s="629">
        <v>1</v>
      </c>
      <c r="B4" s="1242" t="s">
        <v>572</v>
      </c>
      <c r="C4" s="1243">
        <f>C20+C27</f>
        <v>335.19</v>
      </c>
      <c r="D4" s="825" t="b">
        <f t="shared" ref="D4:D9" si="0">SUM(E4:AA4)=C4</f>
        <v>1</v>
      </c>
      <c r="E4" s="1244">
        <v>0</v>
      </c>
      <c r="F4" s="1244">
        <v>0</v>
      </c>
      <c r="G4" s="1244">
        <f>$C$20*G14</f>
        <v>11.99</v>
      </c>
      <c r="H4" s="1244">
        <f>$C$20*H14+C27*I14</f>
        <v>89.79249999999999</v>
      </c>
      <c r="I4" s="1244">
        <f>$C$27*$H$14</f>
        <v>155.60499999999999</v>
      </c>
      <c r="J4" s="1244">
        <f>$C$27*$I$14</f>
        <v>77.802499999999995</v>
      </c>
      <c r="K4" s="1244"/>
      <c r="L4" s="1244"/>
      <c r="M4" s="1245"/>
      <c r="N4" s="1245"/>
      <c r="O4" s="1245"/>
      <c r="P4" s="1245"/>
      <c r="Q4" s="1245"/>
      <c r="R4" s="1245"/>
      <c r="S4" s="1245"/>
      <c r="T4" s="1245"/>
      <c r="U4" s="1245"/>
      <c r="V4" s="1245"/>
      <c r="W4" s="1245"/>
      <c r="X4" s="1245"/>
      <c r="Y4" s="1245"/>
      <c r="Z4" s="1245"/>
      <c r="AA4" s="1245"/>
    </row>
    <row r="5" spans="1:27">
      <c r="A5" s="629">
        <f>A4+1</f>
        <v>2</v>
      </c>
      <c r="B5" s="1242" t="s">
        <v>251</v>
      </c>
      <c r="C5" s="1243">
        <f>C36</f>
        <v>540</v>
      </c>
      <c r="D5" s="825" t="b">
        <f t="shared" si="0"/>
        <v>1</v>
      </c>
      <c r="E5" s="1244">
        <v>0</v>
      </c>
      <c r="F5" s="1244">
        <f>$C$5*J14</f>
        <v>54</v>
      </c>
      <c r="G5" s="1244">
        <f t="shared" ref="G5:H5" si="1">$C$5*K14</f>
        <v>324</v>
      </c>
      <c r="H5" s="1244">
        <f t="shared" si="1"/>
        <v>162</v>
      </c>
      <c r="I5" s="1244">
        <f t="shared" ref="I5" si="2">$C$5*M14</f>
        <v>0</v>
      </c>
      <c r="J5" s="1244">
        <f t="shared" ref="J5" si="3">$C$5*N14</f>
        <v>0</v>
      </c>
      <c r="K5" s="1244"/>
      <c r="L5" s="1244"/>
      <c r="M5" s="1244"/>
      <c r="N5" s="1244"/>
      <c r="O5" s="1244"/>
      <c r="P5" s="1244"/>
      <c r="Q5" s="1244"/>
      <c r="R5" s="1244"/>
      <c r="S5" s="1244"/>
      <c r="T5" s="1244"/>
      <c r="U5" s="1244"/>
      <c r="V5" s="1244"/>
      <c r="W5" s="1244"/>
      <c r="X5" s="1244"/>
      <c r="Y5" s="1244"/>
      <c r="Z5" s="1244"/>
      <c r="AA5" s="1244"/>
    </row>
    <row r="6" spans="1:27">
      <c r="A6" s="629">
        <f t="shared" ref="A6:A11" si="4">A5+1</f>
        <v>3</v>
      </c>
      <c r="B6" s="1242" t="s">
        <v>585</v>
      </c>
      <c r="C6" s="1243">
        <f>IF(Assumptions_Dashboard!$L$4="MDO",C56+C67,C50+C56+C67)</f>
        <v>191</v>
      </c>
      <c r="D6" s="825" t="b">
        <f t="shared" si="0"/>
        <v>1</v>
      </c>
      <c r="E6" s="1244">
        <v>0</v>
      </c>
      <c r="F6" s="1244">
        <f>$C$6*J15</f>
        <v>57.3</v>
      </c>
      <c r="G6" s="1244">
        <f t="shared" ref="G6:H6" si="5">$C$6*K15</f>
        <v>95.5</v>
      </c>
      <c r="H6" s="1244">
        <f t="shared" si="5"/>
        <v>38.200000000000003</v>
      </c>
      <c r="I6" s="1244">
        <f t="shared" ref="I6" si="6">$C$6*M15</f>
        <v>0</v>
      </c>
      <c r="J6" s="1244">
        <f t="shared" ref="J6" si="7">$C$6*N15</f>
        <v>0</v>
      </c>
      <c r="K6" s="1244"/>
      <c r="L6" s="1244"/>
      <c r="M6" s="1244"/>
      <c r="N6" s="1244"/>
      <c r="O6" s="1244"/>
      <c r="P6" s="1244"/>
      <c r="Q6" s="1244"/>
      <c r="R6" s="1244"/>
      <c r="S6" s="1244"/>
      <c r="T6" s="1244"/>
      <c r="U6" s="1244"/>
      <c r="V6" s="1244"/>
      <c r="W6" s="1244"/>
      <c r="X6" s="1244"/>
      <c r="Y6" s="1244"/>
      <c r="Z6" s="1244"/>
      <c r="AA6" s="1244"/>
    </row>
    <row r="7" spans="1:27">
      <c r="A7" s="629">
        <f t="shared" si="4"/>
        <v>4</v>
      </c>
      <c r="B7" s="1242" t="s">
        <v>586</v>
      </c>
      <c r="C7" s="1243">
        <f>C72</f>
        <v>14.45</v>
      </c>
      <c r="D7" s="825" t="b">
        <f t="shared" si="0"/>
        <v>1</v>
      </c>
      <c r="E7" s="1244">
        <v>0</v>
      </c>
      <c r="F7" s="1244">
        <f>$C$7*J15</f>
        <v>4.335</v>
      </c>
      <c r="G7" s="1244">
        <f t="shared" ref="G7:H7" si="8">$C$7*K15</f>
        <v>7.2249999999999996</v>
      </c>
      <c r="H7" s="1244">
        <f t="shared" si="8"/>
        <v>2.89</v>
      </c>
      <c r="I7" s="1244">
        <f t="shared" ref="I7" si="9">$C$7*M15</f>
        <v>0</v>
      </c>
      <c r="J7" s="1244">
        <f t="shared" ref="J7" si="10">$C$7*N15</f>
        <v>0</v>
      </c>
      <c r="K7" s="1244"/>
      <c r="L7" s="1244"/>
      <c r="M7" s="1244"/>
      <c r="N7" s="1244"/>
      <c r="O7" s="1244"/>
      <c r="P7" s="1244"/>
      <c r="Q7" s="1244"/>
      <c r="R7" s="1244"/>
      <c r="S7" s="1244"/>
      <c r="T7" s="1244"/>
      <c r="U7" s="1244"/>
      <c r="V7" s="1244"/>
      <c r="W7" s="1244"/>
      <c r="X7" s="1244"/>
      <c r="Y7" s="1244"/>
      <c r="Z7" s="1244"/>
      <c r="AA7" s="1244"/>
    </row>
    <row r="8" spans="1:27">
      <c r="A8" s="629">
        <f t="shared" si="4"/>
        <v>5</v>
      </c>
      <c r="B8" s="1189" t="s">
        <v>587</v>
      </c>
      <c r="C8" s="1246">
        <f>D80</f>
        <v>27.27</v>
      </c>
      <c r="D8" s="825" t="b">
        <f t="shared" si="0"/>
        <v>1</v>
      </c>
      <c r="E8" s="1244">
        <v>0</v>
      </c>
      <c r="F8" s="1244">
        <v>0</v>
      </c>
      <c r="G8" s="1244">
        <f>$D$80*G14</f>
        <v>13.635</v>
      </c>
      <c r="H8" s="1244">
        <f>$D$80*H14</f>
        <v>13.635</v>
      </c>
      <c r="I8" s="1244">
        <v>0</v>
      </c>
      <c r="J8" s="1244">
        <v>0</v>
      </c>
      <c r="K8" s="1244"/>
      <c r="L8" s="1244"/>
      <c r="M8" s="1244"/>
      <c r="N8" s="1244"/>
      <c r="O8" s="1244"/>
      <c r="P8" s="1244"/>
      <c r="Q8" s="1244"/>
      <c r="R8" s="1244"/>
      <c r="S8" s="1244"/>
      <c r="T8" s="1244"/>
      <c r="U8" s="1244"/>
      <c r="V8" s="1244"/>
      <c r="W8" s="1244"/>
      <c r="X8" s="1244"/>
      <c r="Y8" s="1244"/>
      <c r="Z8" s="1244"/>
      <c r="AA8" s="1244"/>
    </row>
    <row r="9" spans="1:27">
      <c r="A9" s="629">
        <f t="shared" si="4"/>
        <v>6</v>
      </c>
      <c r="B9" s="552" t="s">
        <v>588</v>
      </c>
      <c r="C9" s="1247">
        <f>D89</f>
        <v>34.35</v>
      </c>
      <c r="D9" s="825" t="b">
        <f t="shared" si="0"/>
        <v>1</v>
      </c>
      <c r="E9" s="1244">
        <v>0</v>
      </c>
      <c r="F9" s="1244">
        <v>0</v>
      </c>
      <c r="G9" s="1244">
        <v>0</v>
      </c>
      <c r="H9" s="1244">
        <f>$C$9*I16</f>
        <v>8.5875000000000004</v>
      </c>
      <c r="I9" s="1244">
        <f t="shared" ref="I9:K9" si="11">$C$9*J16</f>
        <v>13.740000000000002</v>
      </c>
      <c r="J9" s="1244">
        <f t="shared" si="11"/>
        <v>8.5875000000000004</v>
      </c>
      <c r="K9" s="1244">
        <f t="shared" si="11"/>
        <v>3.4350000000000005</v>
      </c>
      <c r="L9" s="1244"/>
      <c r="M9" s="1244"/>
      <c r="N9" s="1244"/>
      <c r="O9" s="1244"/>
      <c r="P9" s="1244"/>
      <c r="Q9" s="1244"/>
      <c r="R9" s="1244"/>
      <c r="S9" s="1244"/>
      <c r="T9" s="1244"/>
      <c r="U9" s="1244"/>
      <c r="V9" s="1244"/>
      <c r="W9" s="1244"/>
      <c r="X9" s="1244"/>
      <c r="Y9" s="1244"/>
      <c r="Z9" s="1244"/>
      <c r="AA9" s="1244"/>
    </row>
    <row r="10" spans="1:27">
      <c r="A10" s="629">
        <f t="shared" si="4"/>
        <v>7</v>
      </c>
      <c r="B10" s="629" t="s">
        <v>276</v>
      </c>
      <c r="C10" s="1243">
        <f>(C97)</f>
        <v>15</v>
      </c>
      <c r="D10" s="1248" t="b">
        <f>SUM(E10:AA10)=C10</f>
        <v>1</v>
      </c>
      <c r="E10" s="1244">
        <v>0</v>
      </c>
      <c r="F10" s="1244">
        <v>0</v>
      </c>
      <c r="G10" s="1244">
        <v>0</v>
      </c>
      <c r="H10" s="1244">
        <v>0</v>
      </c>
      <c r="I10" s="1244">
        <f>$C$10*I17</f>
        <v>2.8256089083763327</v>
      </c>
      <c r="J10" s="1244">
        <f t="shared" ref="J10:W10" si="12">$C$10*J17</f>
        <v>2.0484987835200386</v>
      </c>
      <c r="K10" s="1244">
        <f t="shared" si="12"/>
        <v>0</v>
      </c>
      <c r="L10" s="1244">
        <f t="shared" si="12"/>
        <v>0</v>
      </c>
      <c r="M10" s="1244">
        <f t="shared" si="12"/>
        <v>3.7895021789696011</v>
      </c>
      <c r="N10" s="1244">
        <f t="shared" si="12"/>
        <v>0</v>
      </c>
      <c r="O10" s="1244">
        <f t="shared" si="12"/>
        <v>0</v>
      </c>
      <c r="P10" s="1244">
        <f t="shared" si="12"/>
        <v>0</v>
      </c>
      <c r="Q10" s="1244">
        <f t="shared" si="12"/>
        <v>0</v>
      </c>
      <c r="R10" s="1244">
        <f t="shared" si="12"/>
        <v>3.3687137395396092</v>
      </c>
      <c r="S10" s="1244">
        <f t="shared" si="12"/>
        <v>0</v>
      </c>
      <c r="T10" s="1244">
        <f t="shared" si="12"/>
        <v>0</v>
      </c>
      <c r="U10" s="1244">
        <f t="shared" si="12"/>
        <v>0</v>
      </c>
      <c r="V10" s="1244">
        <f t="shared" si="12"/>
        <v>0</v>
      </c>
      <c r="W10" s="1244">
        <f t="shared" si="12"/>
        <v>2.9676763895944172</v>
      </c>
      <c r="X10" s="1244"/>
      <c r="Y10" s="1244"/>
      <c r="Z10" s="1244"/>
      <c r="AA10" s="1244"/>
    </row>
    <row r="11" spans="1:27">
      <c r="A11" s="629">
        <f t="shared" si="4"/>
        <v>8</v>
      </c>
      <c r="B11" s="1249" t="s">
        <v>279</v>
      </c>
      <c r="C11" s="1243">
        <f>C105</f>
        <v>10</v>
      </c>
      <c r="D11" s="1248" t="b">
        <f>SUM(E11:AA11)=C11</f>
        <v>1</v>
      </c>
      <c r="E11" s="1244">
        <v>0</v>
      </c>
      <c r="F11" s="1244">
        <f>$C$11*G18</f>
        <v>3</v>
      </c>
      <c r="G11" s="1244">
        <f t="shared" ref="G11:H11" si="13">$C$11*H18</f>
        <v>5</v>
      </c>
      <c r="H11" s="1244">
        <f t="shared" si="13"/>
        <v>2</v>
      </c>
      <c r="I11" s="1244"/>
      <c r="J11" s="1244"/>
      <c r="K11" s="1244"/>
      <c r="L11" s="1244"/>
      <c r="M11" s="1244"/>
      <c r="N11" s="1244"/>
      <c r="O11" s="1244"/>
      <c r="P11" s="1244"/>
      <c r="Q11" s="1244"/>
      <c r="R11" s="1244"/>
      <c r="S11" s="1244"/>
      <c r="T11" s="1244"/>
      <c r="U11" s="1244"/>
      <c r="V11" s="1244"/>
      <c r="W11" s="1244"/>
      <c r="X11" s="1244"/>
      <c r="Y11" s="1244"/>
      <c r="Z11" s="1244"/>
      <c r="AA11" s="1244"/>
    </row>
    <row r="12" spans="1:27">
      <c r="B12" s="544" t="s">
        <v>267</v>
      </c>
      <c r="C12" s="831">
        <f>SUM(C4:C11)</f>
        <v>1167.26</v>
      </c>
      <c r="O12" s="94"/>
    </row>
    <row r="13" spans="1:27">
      <c r="C13" s="817"/>
      <c r="F13" s="94"/>
      <c r="G13" s="94"/>
      <c r="H13" s="94"/>
      <c r="I13" s="94"/>
      <c r="J13" s="94"/>
      <c r="K13" s="94"/>
      <c r="L13" s="94"/>
      <c r="M13" s="94"/>
      <c r="N13" s="94"/>
      <c r="O13" s="94"/>
      <c r="P13" s="94"/>
      <c r="Q13" s="94"/>
      <c r="R13" s="94"/>
      <c r="S13" s="94"/>
      <c r="T13" s="94"/>
      <c r="U13" s="94"/>
      <c r="V13" s="94"/>
      <c r="W13" s="94"/>
    </row>
    <row r="14" spans="1:27" ht="21" customHeight="1">
      <c r="A14" s="1721" t="s">
        <v>589</v>
      </c>
      <c r="B14" s="1722"/>
      <c r="C14" s="1723"/>
      <c r="F14" s="94"/>
      <c r="G14" s="826">
        <v>0.5</v>
      </c>
      <c r="H14" s="826">
        <v>0.5</v>
      </c>
      <c r="I14" s="826">
        <v>0.25</v>
      </c>
      <c r="J14" s="826">
        <v>0.1</v>
      </c>
      <c r="K14" s="826">
        <v>0.6</v>
      </c>
      <c r="L14" s="826">
        <v>0.3</v>
      </c>
      <c r="M14" s="827"/>
      <c r="N14" s="827"/>
      <c r="O14" s="827"/>
      <c r="P14" s="827"/>
      <c r="Q14" s="827"/>
      <c r="R14" s="827"/>
      <c r="S14" s="827"/>
      <c r="T14" s="827"/>
      <c r="U14" s="827"/>
      <c r="V14" s="827"/>
      <c r="W14" s="827"/>
    </row>
    <row r="15" spans="1:27">
      <c r="A15" s="1250" t="s">
        <v>590</v>
      </c>
      <c r="B15" s="1250" t="s">
        <v>591</v>
      </c>
      <c r="C15" s="1250" t="s">
        <v>592</v>
      </c>
      <c r="F15" s="94"/>
      <c r="G15" s="827"/>
      <c r="H15" s="827"/>
      <c r="I15" s="827"/>
      <c r="J15" s="826">
        <v>0.3</v>
      </c>
      <c r="K15" s="826">
        <v>0.5</v>
      </c>
      <c r="L15" s="826">
        <v>0.2</v>
      </c>
      <c r="M15" s="827"/>
      <c r="N15" s="827"/>
      <c r="O15" s="827"/>
      <c r="P15" s="827"/>
      <c r="Q15" s="827"/>
      <c r="R15" s="827"/>
      <c r="S15" s="827"/>
      <c r="T15" s="827"/>
      <c r="U15" s="827"/>
      <c r="V15" s="827"/>
      <c r="W15" s="827"/>
    </row>
    <row r="16" spans="1:27" ht="21.75" customHeight="1">
      <c r="A16" s="1189">
        <v>1</v>
      </c>
      <c r="B16" s="1189" t="s">
        <v>593</v>
      </c>
      <c r="C16" s="1189">
        <v>1529</v>
      </c>
      <c r="F16" s="94"/>
      <c r="G16" s="827"/>
      <c r="H16" s="827"/>
      <c r="I16" s="828">
        <v>0.25</v>
      </c>
      <c r="J16" s="828">
        <v>0.4</v>
      </c>
      <c r="K16" s="828">
        <v>0.25</v>
      </c>
      <c r="L16" s="828">
        <v>0.1</v>
      </c>
      <c r="M16" s="827"/>
      <c r="N16" s="827"/>
      <c r="O16" s="827"/>
      <c r="P16" s="827"/>
      <c r="Q16" s="827"/>
      <c r="R16" s="827"/>
      <c r="S16" s="827"/>
      <c r="T16" s="827"/>
      <c r="U16" s="827"/>
      <c r="V16" s="827"/>
      <c r="W16" s="827"/>
    </row>
    <row r="17" spans="1:27">
      <c r="A17" s="1189">
        <v>2</v>
      </c>
      <c r="B17" s="1189" t="s">
        <v>594</v>
      </c>
      <c r="C17" s="1189">
        <v>556</v>
      </c>
      <c r="F17" s="94"/>
      <c r="G17" s="827"/>
      <c r="H17" s="827"/>
      <c r="I17" s="828">
        <v>0.18837392722508886</v>
      </c>
      <c r="J17" s="828">
        <v>0.13656658556800258</v>
      </c>
      <c r="K17" s="828">
        <v>0</v>
      </c>
      <c r="L17" s="828">
        <v>0</v>
      </c>
      <c r="M17" s="828">
        <v>0.25263347859797342</v>
      </c>
      <c r="N17" s="828">
        <v>0</v>
      </c>
      <c r="O17" s="828">
        <v>0</v>
      </c>
      <c r="P17" s="828">
        <v>0</v>
      </c>
      <c r="Q17" s="828">
        <v>0</v>
      </c>
      <c r="R17" s="828">
        <v>0.22458091596930727</v>
      </c>
      <c r="S17" s="828">
        <v>0</v>
      </c>
      <c r="T17" s="828">
        <v>0</v>
      </c>
      <c r="U17" s="828">
        <v>0</v>
      </c>
      <c r="V17" s="828">
        <v>0</v>
      </c>
      <c r="W17" s="828">
        <v>0.19784509263962782</v>
      </c>
    </row>
    <row r="18" spans="1:27">
      <c r="A18" s="1189">
        <v>3</v>
      </c>
      <c r="B18" s="1189" t="s">
        <v>595</v>
      </c>
      <c r="C18" s="1189">
        <v>313</v>
      </c>
      <c r="F18" s="94"/>
      <c r="G18" s="826">
        <v>0.3</v>
      </c>
      <c r="H18" s="826">
        <v>0.5</v>
      </c>
      <c r="I18" s="826">
        <v>0.2</v>
      </c>
      <c r="J18" s="826"/>
      <c r="K18" s="826"/>
      <c r="L18" s="826"/>
      <c r="M18" s="827"/>
      <c r="N18" s="827"/>
      <c r="O18" s="827"/>
      <c r="P18" s="827"/>
      <c r="Q18" s="827"/>
      <c r="R18" s="827"/>
      <c r="S18" s="827"/>
      <c r="T18" s="827"/>
      <c r="U18" s="827"/>
      <c r="V18" s="827"/>
      <c r="W18" s="827"/>
    </row>
    <row r="19" spans="1:27">
      <c r="A19" s="645"/>
      <c r="B19" s="645" t="s">
        <v>596</v>
      </c>
      <c r="C19" s="645">
        <f>SUM(C16:C18)</f>
        <v>2398</v>
      </c>
      <c r="F19" s="94"/>
      <c r="G19" s="94"/>
      <c r="H19" s="94"/>
      <c r="I19" s="94"/>
      <c r="J19" s="94"/>
      <c r="K19" s="94"/>
      <c r="L19" s="94"/>
      <c r="M19" s="94"/>
      <c r="N19" s="94"/>
      <c r="O19" s="94"/>
      <c r="P19" s="94"/>
      <c r="Q19" s="94"/>
      <c r="R19" s="94"/>
      <c r="S19" s="94"/>
      <c r="T19" s="94"/>
      <c r="U19" s="94"/>
      <c r="V19" s="94"/>
      <c r="W19" s="94"/>
    </row>
    <row r="20" spans="1:27">
      <c r="A20" s="645"/>
      <c r="B20" s="645" t="s">
        <v>597</v>
      </c>
      <c r="C20" s="1251">
        <f>C19/100</f>
        <v>23.98</v>
      </c>
      <c r="D20" s="368" t="s">
        <v>1662</v>
      </c>
      <c r="E20" s="1677"/>
      <c r="F20" s="1176"/>
      <c r="G20" s="1176"/>
      <c r="H20" s="1176"/>
      <c r="I20" s="1678">
        <v>1.45</v>
      </c>
      <c r="J20" s="1679">
        <v>3.35</v>
      </c>
      <c r="K20" s="1679">
        <v>5.41</v>
      </c>
      <c r="L20" s="1679">
        <v>9.86</v>
      </c>
      <c r="M20" s="1679">
        <v>26.97</v>
      </c>
      <c r="N20" s="1679">
        <f>M20</f>
        <v>26.97</v>
      </c>
      <c r="O20" s="1679">
        <f t="shared" ref="O20:Q20" si="14">N20</f>
        <v>26.97</v>
      </c>
      <c r="P20" s="1679">
        <f t="shared" si="14"/>
        <v>26.97</v>
      </c>
      <c r="Q20" s="1679">
        <f t="shared" si="14"/>
        <v>26.97</v>
      </c>
      <c r="R20" s="1679">
        <v>28.22</v>
      </c>
      <c r="S20" s="1679">
        <f>R20</f>
        <v>28.22</v>
      </c>
      <c r="T20" s="1679">
        <f t="shared" ref="T20:X20" si="15">S20</f>
        <v>28.22</v>
      </c>
      <c r="U20" s="1679">
        <f t="shared" si="15"/>
        <v>28.22</v>
      </c>
      <c r="V20" s="1679">
        <f t="shared" si="15"/>
        <v>28.22</v>
      </c>
      <c r="W20" s="1679">
        <f t="shared" si="15"/>
        <v>28.22</v>
      </c>
      <c r="X20" s="1679">
        <f t="shared" si="15"/>
        <v>28.22</v>
      </c>
      <c r="Y20" s="1679">
        <f>X20*Y21/$X$21</f>
        <v>18.813346737837648</v>
      </c>
      <c r="Z20" s="1679">
        <f t="shared" ref="Z20:AA20" si="16">Y20*Z21/$X$21</f>
        <v>9.4066787307243711</v>
      </c>
      <c r="AA20" s="1679">
        <f t="shared" si="16"/>
        <v>1.3982438686005552</v>
      </c>
    </row>
    <row r="21" spans="1:27">
      <c r="A21" s="1721" t="s">
        <v>598</v>
      </c>
      <c r="B21" s="1722"/>
      <c r="C21" s="1723"/>
      <c r="F21" s="94"/>
      <c r="G21" s="94"/>
      <c r="H21" s="94"/>
      <c r="I21" s="94">
        <f>'[1]Production Schedule'!I5</f>
        <v>1.9999997549999999</v>
      </c>
      <c r="J21" s="94">
        <f>'[1]Production Schedule'!J5</f>
        <v>4.000000365</v>
      </c>
      <c r="K21" s="94">
        <f>'[1]Production Schedule'!K5</f>
        <v>7.9999998750000003</v>
      </c>
      <c r="L21" s="94">
        <f>'[1]Production Schedule'!L5</f>
        <v>12.000005369999998</v>
      </c>
      <c r="M21" s="94">
        <f>'[1]Production Schedule'!M5</f>
        <v>14.999998590000001</v>
      </c>
      <c r="N21" s="94">
        <f>'[1]Production Schedule'!N5</f>
        <v>14.999990039999998</v>
      </c>
      <c r="O21" s="94">
        <f>'[1]Production Schedule'!O5</f>
        <v>15.000003719999999</v>
      </c>
      <c r="P21" s="94">
        <f>'[1]Production Schedule'!P5</f>
        <v>14.999996879999999</v>
      </c>
      <c r="Q21" s="94">
        <f>'[1]Production Schedule'!Q5</f>
        <v>15.000000299999998</v>
      </c>
      <c r="R21" s="94">
        <f>'[1]Production Schedule'!R5</f>
        <v>15.000000299999998</v>
      </c>
      <c r="S21" s="94">
        <f>'[1]Production Schedule'!S5</f>
        <v>15.00000543</v>
      </c>
      <c r="T21" s="94">
        <f>'[1]Production Schedule'!T5</f>
        <v>15.000000299999998</v>
      </c>
      <c r="U21" s="94">
        <f>'[1]Production Schedule'!U5</f>
        <v>15.000002009999999</v>
      </c>
      <c r="V21" s="94">
        <f>'[1]Production Schedule'!V5</f>
        <v>15.000003719999999</v>
      </c>
      <c r="W21" s="94">
        <f>'[1]Production Schedule'!W5</f>
        <v>14.999998590000001</v>
      </c>
      <c r="X21" s="94">
        <f>'[1]Production Schedule'!X5</f>
        <v>14.99999517</v>
      </c>
      <c r="Y21" s="94">
        <f>'[1]Production Schedule'!Y5</f>
        <v>10.000003905</v>
      </c>
      <c r="Z21" s="94">
        <f>'[1]Production Schedule'!Z5</f>
        <v>7.5000018599999994</v>
      </c>
      <c r="AA21" s="94">
        <f>'[1]Production Schedule'!AA5</f>
        <v>2.22965532</v>
      </c>
    </row>
    <row r="22" spans="1:27">
      <c r="A22" s="1250" t="s">
        <v>590</v>
      </c>
      <c r="B22" s="1250" t="s">
        <v>591</v>
      </c>
      <c r="C22" s="1250" t="s">
        <v>592</v>
      </c>
    </row>
    <row r="23" spans="1:27">
      <c r="A23" s="1189">
        <v>1</v>
      </c>
      <c r="B23" s="1189" t="s">
        <v>599</v>
      </c>
      <c r="C23" s="1189">
        <v>11484</v>
      </c>
    </row>
    <row r="24" spans="1:27">
      <c r="A24" s="1189">
        <v>2</v>
      </c>
      <c r="B24" s="1189" t="s">
        <v>594</v>
      </c>
      <c r="C24" s="1189">
        <v>16680</v>
      </c>
    </row>
    <row r="25" spans="1:27">
      <c r="A25" s="1189">
        <v>3</v>
      </c>
      <c r="B25" s="1189" t="s">
        <v>595</v>
      </c>
      <c r="C25" s="1189">
        <v>2957</v>
      </c>
    </row>
    <row r="26" spans="1:27">
      <c r="A26" s="645"/>
      <c r="B26" s="645" t="s">
        <v>596</v>
      </c>
      <c r="C26" s="645">
        <f>SUM(C23:C25)</f>
        <v>31121</v>
      </c>
    </row>
    <row r="27" spans="1:27">
      <c r="A27" s="645"/>
      <c r="B27" s="645" t="s">
        <v>597</v>
      </c>
      <c r="C27" s="1251">
        <f>C26/100</f>
        <v>311.20999999999998</v>
      </c>
    </row>
    <row r="28" spans="1:27">
      <c r="A28" s="191"/>
      <c r="B28" s="191"/>
      <c r="C28" s="830"/>
    </row>
    <row r="29" spans="1:27">
      <c r="A29" s="1721" t="s">
        <v>600</v>
      </c>
      <c r="B29" s="1722"/>
      <c r="C29" s="1723"/>
    </row>
    <row r="30" spans="1:27">
      <c r="A30" s="805" t="s">
        <v>601</v>
      </c>
      <c r="B30" s="813" t="s">
        <v>602</v>
      </c>
      <c r="C30" s="807" t="s">
        <v>603</v>
      </c>
    </row>
    <row r="31" spans="1:27" ht="14">
      <c r="A31" s="804" t="s">
        <v>604</v>
      </c>
      <c r="B31" s="1252" t="s">
        <v>605</v>
      </c>
      <c r="C31" s="1252">
        <v>370</v>
      </c>
    </row>
    <row r="32" spans="1:27" ht="14">
      <c r="A32" s="804" t="s">
        <v>606</v>
      </c>
      <c r="B32" s="1252" t="s">
        <v>607</v>
      </c>
      <c r="C32" s="1252">
        <v>105</v>
      </c>
    </row>
    <row r="33" spans="1:3" ht="14">
      <c r="A33" s="804" t="s">
        <v>608</v>
      </c>
      <c r="B33" s="1252" t="s">
        <v>609</v>
      </c>
      <c r="C33" s="1252">
        <v>33</v>
      </c>
    </row>
    <row r="34" spans="1:3" ht="14">
      <c r="A34" s="804" t="s">
        <v>610</v>
      </c>
      <c r="B34" s="1252" t="s">
        <v>611</v>
      </c>
      <c r="C34" s="1252">
        <v>29</v>
      </c>
    </row>
    <row r="35" spans="1:3" ht="14">
      <c r="A35" s="804" t="s">
        <v>612</v>
      </c>
      <c r="B35" s="1252" t="s">
        <v>613</v>
      </c>
      <c r="C35" s="1252">
        <v>3</v>
      </c>
    </row>
    <row r="36" spans="1:3">
      <c r="A36" s="803"/>
      <c r="B36" s="1253" t="s">
        <v>614</v>
      </c>
      <c r="C36" s="1254">
        <f>SUM(C31:C35)</f>
        <v>540</v>
      </c>
    </row>
    <row r="38" spans="1:3">
      <c r="A38" s="1721" t="s">
        <v>615</v>
      </c>
      <c r="B38" s="1722"/>
      <c r="C38" s="1723"/>
    </row>
    <row r="39" spans="1:3">
      <c r="A39" s="805" t="s">
        <v>601</v>
      </c>
      <c r="B39" s="806" t="s">
        <v>602</v>
      </c>
      <c r="C39" s="807" t="s">
        <v>603</v>
      </c>
    </row>
    <row r="40" spans="1:3">
      <c r="A40" s="804" t="s">
        <v>604</v>
      </c>
      <c r="B40" s="808" t="s">
        <v>616</v>
      </c>
      <c r="C40" s="819">
        <v>6</v>
      </c>
    </row>
    <row r="41" spans="1:3">
      <c r="A41" s="804" t="s">
        <v>606</v>
      </c>
      <c r="B41" s="808" t="s">
        <v>617</v>
      </c>
      <c r="C41" s="819">
        <v>7</v>
      </c>
    </row>
    <row r="42" spans="1:3">
      <c r="A42" s="804" t="s">
        <v>608</v>
      </c>
      <c r="B42" s="808" t="s">
        <v>618</v>
      </c>
      <c r="C42" s="819">
        <v>2</v>
      </c>
    </row>
    <row r="43" spans="1:3">
      <c r="A43" s="804" t="s">
        <v>610</v>
      </c>
      <c r="B43" s="808" t="s">
        <v>619</v>
      </c>
      <c r="C43" s="819">
        <v>26</v>
      </c>
    </row>
    <row r="44" spans="1:3">
      <c r="A44" s="804" t="s">
        <v>612</v>
      </c>
      <c r="B44" s="808" t="s">
        <v>620</v>
      </c>
      <c r="C44" s="819">
        <v>18</v>
      </c>
    </row>
    <row r="45" spans="1:3">
      <c r="A45" s="804" t="s">
        <v>621</v>
      </c>
      <c r="B45" s="808" t="s">
        <v>622</v>
      </c>
      <c r="C45" s="819">
        <v>4</v>
      </c>
    </row>
    <row r="46" spans="1:3">
      <c r="A46" s="804" t="s">
        <v>623</v>
      </c>
      <c r="B46" s="808" t="s">
        <v>624</v>
      </c>
      <c r="C46" s="819">
        <v>1</v>
      </c>
    </row>
    <row r="47" spans="1:3">
      <c r="A47" s="1166" t="s">
        <v>625</v>
      </c>
      <c r="B47" s="812" t="s">
        <v>626</v>
      </c>
      <c r="C47" s="1255">
        <v>3</v>
      </c>
    </row>
    <row r="48" spans="1:3">
      <c r="A48" s="804" t="s">
        <v>627</v>
      </c>
      <c r="B48" s="808" t="s">
        <v>628</v>
      </c>
      <c r="C48" s="819">
        <v>1</v>
      </c>
    </row>
    <row r="49" spans="1:3">
      <c r="A49" s="814" t="s">
        <v>629</v>
      </c>
      <c r="B49" s="815" t="s">
        <v>630</v>
      </c>
      <c r="C49" s="820">
        <v>1</v>
      </c>
    </row>
    <row r="50" spans="1:3">
      <c r="A50" s="803"/>
      <c r="B50" s="816" t="s">
        <v>614</v>
      </c>
      <c r="C50" s="821">
        <f>SUM(C40:C49)</f>
        <v>69</v>
      </c>
    </row>
    <row r="52" spans="1:3">
      <c r="A52" s="1721" t="s">
        <v>631</v>
      </c>
      <c r="B52" s="1722"/>
      <c r="C52" s="1723"/>
    </row>
    <row r="53" spans="1:3">
      <c r="A53" s="805" t="s">
        <v>601</v>
      </c>
      <c r="B53" s="806" t="s">
        <v>602</v>
      </c>
      <c r="C53" s="807" t="s">
        <v>603</v>
      </c>
    </row>
    <row r="54" spans="1:3">
      <c r="A54" s="804" t="s">
        <v>604</v>
      </c>
      <c r="B54" s="808" t="s">
        <v>632</v>
      </c>
      <c r="C54" s="819"/>
    </row>
    <row r="55" spans="1:3" ht="28">
      <c r="A55" s="804" t="s">
        <v>606</v>
      </c>
      <c r="B55" s="829" t="s">
        <v>633</v>
      </c>
      <c r="C55" s="819"/>
    </row>
    <row r="56" spans="1:3">
      <c r="A56" s="813" t="s">
        <v>267</v>
      </c>
      <c r="B56" s="811"/>
      <c r="C56" s="845">
        <v>80</v>
      </c>
    </row>
    <row r="58" spans="1:3">
      <c r="A58" s="1721" t="s">
        <v>634</v>
      </c>
      <c r="B58" s="1722"/>
      <c r="C58" s="1723"/>
    </row>
    <row r="59" spans="1:3">
      <c r="A59" s="805" t="s">
        <v>601</v>
      </c>
      <c r="B59" s="806" t="s">
        <v>602</v>
      </c>
      <c r="C59" s="807" t="s">
        <v>603</v>
      </c>
    </row>
    <row r="60" spans="1:3" ht="70">
      <c r="A60" s="809" t="s">
        <v>604</v>
      </c>
      <c r="B60" s="1689" t="s">
        <v>635</v>
      </c>
      <c r="C60" s="846">
        <v>20</v>
      </c>
    </row>
    <row r="61" spans="1:3">
      <c r="A61" s="809" t="s">
        <v>606</v>
      </c>
      <c r="B61" s="810" t="s">
        <v>636</v>
      </c>
      <c r="C61" s="846">
        <v>8</v>
      </c>
    </row>
    <row r="62" spans="1:3">
      <c r="A62" s="809" t="s">
        <v>608</v>
      </c>
      <c r="B62" s="810" t="s">
        <v>637</v>
      </c>
      <c r="C62" s="846">
        <v>4</v>
      </c>
    </row>
    <row r="63" spans="1:3">
      <c r="A63" s="809" t="s">
        <v>610</v>
      </c>
      <c r="B63" s="811" t="s">
        <v>638</v>
      </c>
      <c r="C63" s="846">
        <v>1</v>
      </c>
    </row>
    <row r="64" spans="1:3">
      <c r="A64" s="809" t="s">
        <v>612</v>
      </c>
      <c r="B64" s="811" t="s">
        <v>639</v>
      </c>
      <c r="C64" s="846">
        <v>1</v>
      </c>
    </row>
    <row r="65" spans="1:4">
      <c r="A65" s="809" t="s">
        <v>621</v>
      </c>
      <c r="B65" s="811" t="s">
        <v>640</v>
      </c>
      <c r="C65" s="846">
        <v>0</v>
      </c>
    </row>
    <row r="66" spans="1:4">
      <c r="A66" s="809" t="s">
        <v>623</v>
      </c>
      <c r="B66" s="811" t="s">
        <v>641</v>
      </c>
      <c r="C66" s="846">
        <v>8</v>
      </c>
    </row>
    <row r="67" spans="1:4">
      <c r="A67" s="813" t="s">
        <v>267</v>
      </c>
      <c r="B67" s="811"/>
      <c r="C67" s="847">
        <f>SUM(C60:C66)</f>
        <v>42</v>
      </c>
    </row>
    <row r="69" spans="1:4">
      <c r="A69" s="1721" t="s">
        <v>642</v>
      </c>
      <c r="B69" s="1722"/>
      <c r="C69" s="1723"/>
    </row>
    <row r="70" spans="1:4">
      <c r="A70" s="1250" t="s">
        <v>590</v>
      </c>
      <c r="B70" s="1250" t="s">
        <v>591</v>
      </c>
      <c r="C70" s="1250" t="s">
        <v>592</v>
      </c>
    </row>
    <row r="71" spans="1:4">
      <c r="A71" s="1189">
        <v>1</v>
      </c>
      <c r="B71" s="1189" t="s">
        <v>586</v>
      </c>
      <c r="C71" s="1189">
        <v>1445</v>
      </c>
    </row>
    <row r="72" spans="1:4">
      <c r="A72" s="645"/>
      <c r="B72" s="645" t="s">
        <v>597</v>
      </c>
      <c r="C72" s="1251">
        <f>C71/100</f>
        <v>14.45</v>
      </c>
    </row>
    <row r="74" spans="1:4">
      <c r="A74" s="1721" t="s">
        <v>643</v>
      </c>
      <c r="B74" s="1722"/>
      <c r="C74" s="1722"/>
      <c r="D74" s="1723"/>
    </row>
    <row r="75" spans="1:4">
      <c r="A75" s="1250" t="s">
        <v>590</v>
      </c>
      <c r="B75" s="1250" t="s">
        <v>591</v>
      </c>
      <c r="C75" s="1250" t="s">
        <v>644</v>
      </c>
      <c r="D75" s="1250" t="s">
        <v>645</v>
      </c>
    </row>
    <row r="76" spans="1:4">
      <c r="A76" s="1189">
        <v>1</v>
      </c>
      <c r="B76" s="1189" t="s">
        <v>646</v>
      </c>
      <c r="C76" s="1189">
        <v>47000</v>
      </c>
      <c r="D76" s="1189">
        <v>2032</v>
      </c>
    </row>
    <row r="77" spans="1:4">
      <c r="A77" s="1189">
        <v>2</v>
      </c>
      <c r="B77" s="1189" t="s">
        <v>647</v>
      </c>
      <c r="C77" s="1189">
        <v>9775</v>
      </c>
      <c r="D77" s="1189">
        <v>475</v>
      </c>
    </row>
    <row r="78" spans="1:4">
      <c r="A78" s="1189">
        <v>3</v>
      </c>
      <c r="B78" s="1189" t="s">
        <v>648</v>
      </c>
      <c r="C78" s="1189">
        <v>6525</v>
      </c>
      <c r="D78" s="1189">
        <v>220</v>
      </c>
    </row>
    <row r="79" spans="1:4">
      <c r="A79" s="645"/>
      <c r="B79" s="645" t="s">
        <v>596</v>
      </c>
      <c r="C79" s="645"/>
      <c r="D79" s="1251">
        <f>SUM(D76:D78)</f>
        <v>2727</v>
      </c>
    </row>
    <row r="80" spans="1:4">
      <c r="A80" s="645"/>
      <c r="B80" s="645" t="s">
        <v>597</v>
      </c>
      <c r="C80" s="645"/>
      <c r="D80" s="1251">
        <f>D79/100</f>
        <v>27.27</v>
      </c>
    </row>
    <row r="82" spans="1:4">
      <c r="A82" s="1721" t="s">
        <v>649</v>
      </c>
      <c r="B82" s="1722"/>
      <c r="C82" s="1722"/>
      <c r="D82" s="1723"/>
    </row>
    <row r="83" spans="1:4">
      <c r="A83" s="1250" t="s">
        <v>650</v>
      </c>
      <c r="B83" s="1250" t="s">
        <v>583</v>
      </c>
      <c r="C83" s="1250" t="s">
        <v>644</v>
      </c>
      <c r="D83" s="1250" t="s">
        <v>651</v>
      </c>
    </row>
    <row r="84" spans="1:4">
      <c r="A84" s="1189">
        <v>1</v>
      </c>
      <c r="B84" s="1189" t="s">
        <v>652</v>
      </c>
      <c r="C84" s="1189" t="s">
        <v>653</v>
      </c>
      <c r="D84" s="1189">
        <v>2027</v>
      </c>
    </row>
    <row r="85" spans="1:4">
      <c r="A85" s="1189">
        <v>2</v>
      </c>
      <c r="B85" s="1189" t="s">
        <v>654</v>
      </c>
      <c r="C85" s="1189" t="s">
        <v>655</v>
      </c>
      <c r="D85" s="1189">
        <v>641</v>
      </c>
    </row>
    <row r="86" spans="1:4">
      <c r="A86" s="1189">
        <v>3</v>
      </c>
      <c r="B86" s="1189" t="s">
        <v>594</v>
      </c>
      <c r="C86" s="1189" t="s">
        <v>655</v>
      </c>
      <c r="D86" s="1189">
        <v>203</v>
      </c>
    </row>
    <row r="87" spans="1:4">
      <c r="A87" s="1189">
        <v>4</v>
      </c>
      <c r="B87" s="1189" t="s">
        <v>656</v>
      </c>
      <c r="C87" s="1189" t="s">
        <v>655</v>
      </c>
      <c r="D87" s="1189">
        <v>564</v>
      </c>
    </row>
    <row r="88" spans="1:4">
      <c r="A88" s="1189"/>
      <c r="B88" s="1189" t="s">
        <v>267</v>
      </c>
      <c r="C88" s="1189"/>
      <c r="D88" s="1189">
        <f>SUM(D84:D87)</f>
        <v>3435</v>
      </c>
    </row>
    <row r="89" spans="1:4">
      <c r="A89" s="645"/>
      <c r="B89" s="645" t="s">
        <v>597</v>
      </c>
      <c r="C89" s="645"/>
      <c r="D89" s="1251">
        <f>D88/100</f>
        <v>34.35</v>
      </c>
    </row>
    <row r="91" spans="1:4">
      <c r="A91" s="1721" t="s">
        <v>657</v>
      </c>
      <c r="B91" s="1722"/>
      <c r="C91" s="1723"/>
    </row>
    <row r="92" spans="1:4">
      <c r="A92" s="1250" t="s">
        <v>590</v>
      </c>
      <c r="B92" s="1250" t="s">
        <v>591</v>
      </c>
      <c r="C92" s="1250" t="s">
        <v>592</v>
      </c>
    </row>
    <row r="93" spans="1:4">
      <c r="A93" s="1189">
        <v>1</v>
      </c>
      <c r="B93" s="1189" t="s">
        <v>658</v>
      </c>
      <c r="C93" s="1189">
        <v>833</v>
      </c>
    </row>
    <row r="94" spans="1:4">
      <c r="A94" s="1189">
        <v>2</v>
      </c>
      <c r="B94" s="1189" t="s">
        <v>659</v>
      </c>
      <c r="C94" s="1189">
        <v>534</v>
      </c>
    </row>
    <row r="95" spans="1:4">
      <c r="A95" s="1189">
        <v>3</v>
      </c>
      <c r="B95" s="1189" t="s">
        <v>595</v>
      </c>
      <c r="C95" s="1189">
        <v>133</v>
      </c>
    </row>
    <row r="96" spans="1:4">
      <c r="A96" s="645"/>
      <c r="B96" s="645" t="s">
        <v>596</v>
      </c>
      <c r="C96" s="645">
        <f>SUM(C93:C95)</f>
        <v>1500</v>
      </c>
    </row>
    <row r="97" spans="1:3">
      <c r="A97" s="645"/>
      <c r="B97" s="645" t="s">
        <v>597</v>
      </c>
      <c r="C97" s="1251">
        <f>C96/100</f>
        <v>15</v>
      </c>
    </row>
    <row r="99" spans="1:3">
      <c r="A99" s="1721" t="s">
        <v>660</v>
      </c>
      <c r="B99" s="1722"/>
      <c r="C99" s="1723"/>
    </row>
    <row r="100" spans="1:3">
      <c r="A100" s="1250" t="s">
        <v>590</v>
      </c>
      <c r="B100" s="1250" t="s">
        <v>591</v>
      </c>
      <c r="C100" s="1250" t="s">
        <v>592</v>
      </c>
    </row>
    <row r="101" spans="1:3">
      <c r="A101" s="1189">
        <v>1</v>
      </c>
      <c r="B101" s="1189"/>
      <c r="C101" s="1189">
        <v>1000</v>
      </c>
    </row>
    <row r="102" spans="1:3">
      <c r="A102" s="1189">
        <v>2</v>
      </c>
      <c r="B102" s="1189"/>
      <c r="C102" s="1189"/>
    </row>
    <row r="103" spans="1:3">
      <c r="A103" s="1189">
        <v>3</v>
      </c>
      <c r="B103" s="1189"/>
      <c r="C103" s="1189"/>
    </row>
    <row r="104" spans="1:3">
      <c r="A104" s="645"/>
      <c r="B104" s="645" t="s">
        <v>596</v>
      </c>
      <c r="C104" s="645">
        <f>SUM(C101:C103)</f>
        <v>1000</v>
      </c>
    </row>
    <row r="105" spans="1:3">
      <c r="A105" s="645"/>
      <c r="B105" s="645" t="s">
        <v>597</v>
      </c>
      <c r="C105" s="1251">
        <f>C104/100</f>
        <v>10</v>
      </c>
    </row>
  </sheetData>
  <mergeCells count="11">
    <mergeCell ref="A69:C69"/>
    <mergeCell ref="A74:D74"/>
    <mergeCell ref="A82:D82"/>
    <mergeCell ref="A91:C91"/>
    <mergeCell ref="A99:C99"/>
    <mergeCell ref="A14:C14"/>
    <mergeCell ref="A21:C21"/>
    <mergeCell ref="A29:C29"/>
    <mergeCell ref="A38:C38"/>
    <mergeCell ref="A58:C58"/>
    <mergeCell ref="A52:C5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29223-5339-4581-AA87-08A0374D3825}">
  <sheetPr codeName="Sheet12">
    <tabColor rgb="FFFF0000"/>
  </sheetPr>
  <dimension ref="A1:AA102"/>
  <sheetViews>
    <sheetView showGridLines="0" workbookViewId="0">
      <selection activeCell="S27" sqref="S27"/>
    </sheetView>
  </sheetViews>
  <sheetFormatPr baseColWidth="10" defaultColWidth="8.83203125" defaultRowHeight="13"/>
  <cols>
    <col min="1" max="1" width="15.83203125" bestFit="1" customWidth="1"/>
    <col min="2" max="2" width="59.1640625" bestFit="1" customWidth="1"/>
    <col min="4" max="4" width="14.83203125" bestFit="1" customWidth="1"/>
    <col min="9" max="10" width="13.5" bestFit="1" customWidth="1"/>
    <col min="11" max="26" width="12" bestFit="1" customWidth="1"/>
    <col min="27" max="27" width="13.5" bestFit="1" customWidth="1"/>
  </cols>
  <sheetData>
    <row r="1" spans="1:27">
      <c r="A1" s="117" t="s">
        <v>661</v>
      </c>
      <c r="B1" s="121"/>
      <c r="C1" s="121"/>
      <c r="D1" s="121"/>
    </row>
    <row r="2" spans="1:27">
      <c r="A2" s="121"/>
      <c r="B2" s="121"/>
      <c r="C2" s="121"/>
      <c r="D2" s="121"/>
    </row>
    <row r="3" spans="1:27">
      <c r="A3" s="117"/>
      <c r="B3" s="117" t="s">
        <v>562</v>
      </c>
      <c r="C3" s="117"/>
      <c r="D3" s="117"/>
      <c r="E3" s="201">
        <f>'Project CAPEX'!E3</f>
        <v>46023</v>
      </c>
      <c r="F3" s="201">
        <f>'Project CAPEX'!F3</f>
        <v>46389</v>
      </c>
      <c r="G3" s="201">
        <f>'Project CAPEX'!G3</f>
        <v>46755</v>
      </c>
      <c r="H3" s="201">
        <f>'Project CAPEX'!H3</f>
        <v>47121</v>
      </c>
      <c r="I3" s="201">
        <f>'Project CAPEX'!I3</f>
        <v>47487</v>
      </c>
      <c r="J3" s="201">
        <f>'Project CAPEX'!J3</f>
        <v>47853</v>
      </c>
      <c r="K3" s="201">
        <f>'Project CAPEX'!K3</f>
        <v>48219</v>
      </c>
      <c r="L3" s="201">
        <f>'Project CAPEX'!L3</f>
        <v>48585</v>
      </c>
      <c r="M3" s="201">
        <f>'Project CAPEX'!M3</f>
        <v>48951</v>
      </c>
      <c r="N3" s="201">
        <f>'Project CAPEX'!N3</f>
        <v>49317</v>
      </c>
      <c r="O3" s="201">
        <f>'Project CAPEX'!O3</f>
        <v>49683</v>
      </c>
      <c r="P3" s="201">
        <f>'Project CAPEX'!P3</f>
        <v>50049</v>
      </c>
      <c r="Q3" s="201">
        <f>'Project CAPEX'!Q3</f>
        <v>50415</v>
      </c>
      <c r="R3" s="201">
        <f>'Project CAPEX'!R3</f>
        <v>50781</v>
      </c>
      <c r="S3" s="201">
        <f>'Project CAPEX'!S3</f>
        <v>51147</v>
      </c>
      <c r="T3" s="201">
        <f>'Project CAPEX'!T3</f>
        <v>51513</v>
      </c>
      <c r="U3" s="201">
        <f>'Project CAPEX'!U3</f>
        <v>51879</v>
      </c>
      <c r="V3" s="201">
        <f>'Project CAPEX'!V3</f>
        <v>52245</v>
      </c>
      <c r="W3" s="201">
        <f>'Project CAPEX'!W3</f>
        <v>52611</v>
      </c>
      <c r="X3" s="201">
        <f>'Project CAPEX'!X3</f>
        <v>52977</v>
      </c>
      <c r="Y3" s="201">
        <f>'Project CAPEX'!Y3</f>
        <v>53343</v>
      </c>
      <c r="Z3" s="201">
        <f>'Project CAPEX'!Z3</f>
        <v>53709</v>
      </c>
      <c r="AA3" s="201">
        <f>'Project CAPEX'!AA3</f>
        <v>54075</v>
      </c>
    </row>
    <row r="4" spans="1:27">
      <c r="A4" s="117"/>
      <c r="B4" s="788" t="s">
        <v>34</v>
      </c>
      <c r="C4" s="788" t="s">
        <v>95</v>
      </c>
      <c r="D4" s="787" t="s">
        <v>96</v>
      </c>
      <c r="E4" s="1141">
        <f>'Project CAPEX'!E4</f>
        <v>-4</v>
      </c>
      <c r="F4" s="1141">
        <f>'Project CAPEX'!F4</f>
        <v>-3</v>
      </c>
      <c r="G4" s="1141">
        <f>'Project CAPEX'!G4</f>
        <v>-2</v>
      </c>
      <c r="H4" s="1141">
        <f>'Project CAPEX'!H4</f>
        <v>-1</v>
      </c>
      <c r="I4" s="1141">
        <f>'Project CAPEX'!I4</f>
        <v>1</v>
      </c>
      <c r="J4" s="1141">
        <f>'Project CAPEX'!J4</f>
        <v>2</v>
      </c>
      <c r="K4" s="1141">
        <f>'Project CAPEX'!K4</f>
        <v>3</v>
      </c>
      <c r="L4" s="1141">
        <f>'Project CAPEX'!L4</f>
        <v>4</v>
      </c>
      <c r="M4" s="1141">
        <f>'Project CAPEX'!M4</f>
        <v>5</v>
      </c>
      <c r="N4" s="1141">
        <f>'Project CAPEX'!N4</f>
        <v>6</v>
      </c>
      <c r="O4" s="1141">
        <f>'Project CAPEX'!O4</f>
        <v>7</v>
      </c>
      <c r="P4" s="1141">
        <f>'Project CAPEX'!P4</f>
        <v>8</v>
      </c>
      <c r="Q4" s="1141">
        <f>'Project CAPEX'!Q4</f>
        <v>9</v>
      </c>
      <c r="R4" s="1141">
        <f>'Project CAPEX'!R4</f>
        <v>10</v>
      </c>
      <c r="S4" s="1141">
        <f>'Project CAPEX'!S4</f>
        <v>11</v>
      </c>
      <c r="T4" s="1141">
        <f>'Project CAPEX'!T4</f>
        <v>12</v>
      </c>
      <c r="U4" s="1141">
        <f>'Project CAPEX'!U4</f>
        <v>13</v>
      </c>
      <c r="V4" s="1141">
        <f>'Project CAPEX'!V4</f>
        <v>14</v>
      </c>
      <c r="W4" s="1141">
        <f>'Project CAPEX'!W4</f>
        <v>15</v>
      </c>
      <c r="X4" s="1141">
        <f>'Project CAPEX'!X4</f>
        <v>16</v>
      </c>
      <c r="Y4" s="1141">
        <f>'Project CAPEX'!Y4</f>
        <v>17</v>
      </c>
      <c r="Z4" s="1141">
        <f>'Project CAPEX'!Z4</f>
        <v>18</v>
      </c>
      <c r="AA4" s="1141">
        <f>'Project CAPEX'!AA4</f>
        <v>19</v>
      </c>
    </row>
    <row r="5" spans="1:27">
      <c r="A5" s="121"/>
      <c r="B5" s="1008" t="s">
        <v>563</v>
      </c>
      <c r="C5" s="1008" t="s">
        <v>113</v>
      </c>
      <c r="D5" s="1256">
        <f>SUM(E5:AN5)</f>
        <v>225.70440651000001</v>
      </c>
      <c r="E5" s="1257">
        <f>'Project CAPEX'!E5</f>
        <v>0</v>
      </c>
      <c r="F5" s="1257">
        <f>'Project CAPEX'!F5</f>
        <v>0</v>
      </c>
      <c r="G5" s="1257">
        <f>'Project CAPEX'!G5</f>
        <v>0</v>
      </c>
      <c r="H5" s="1257">
        <f>'Project CAPEX'!H5</f>
        <v>0</v>
      </c>
      <c r="I5" s="1257">
        <f>'Project CAPEX'!I5</f>
        <v>1.9999997549999999</v>
      </c>
      <c r="J5" s="1257">
        <f>'Project CAPEX'!J5</f>
        <v>3.9999986549999997</v>
      </c>
      <c r="K5" s="1257">
        <f>'Project CAPEX'!K5</f>
        <v>8.00000073</v>
      </c>
      <c r="L5" s="1257">
        <f>'Project CAPEX'!L5</f>
        <v>11.999998529999999</v>
      </c>
      <c r="M5" s="1257">
        <f>'Project CAPEX'!M5</f>
        <v>14.99999517</v>
      </c>
      <c r="N5" s="1257">
        <f>'Project CAPEX'!N5</f>
        <v>15.000007140000001</v>
      </c>
      <c r="O5" s="1257">
        <f>'Project CAPEX'!O5</f>
        <v>14.999998590000001</v>
      </c>
      <c r="P5" s="1257">
        <f>'Project CAPEX'!P5</f>
        <v>14.999996879999999</v>
      </c>
      <c r="Q5" s="1257">
        <f>'Project CAPEX'!Q5</f>
        <v>15.000003719999999</v>
      </c>
      <c r="R5" s="1257">
        <f>'Project CAPEX'!R5</f>
        <v>14.99999517</v>
      </c>
      <c r="S5" s="1257">
        <f>'Project CAPEX'!S5</f>
        <v>14.999996879999999</v>
      </c>
      <c r="T5" s="1257">
        <f>'Project CAPEX'!T5</f>
        <v>15.000002009999999</v>
      </c>
      <c r="U5" s="1257">
        <f>'Project CAPEX'!U5</f>
        <v>15.00001569</v>
      </c>
      <c r="V5" s="1257">
        <f>'Project CAPEX'!V5</f>
        <v>15.000002009999999</v>
      </c>
      <c r="W5" s="1257">
        <f>'Project CAPEX'!W5</f>
        <v>15.000002009999999</v>
      </c>
      <c r="X5" s="1257">
        <f>'Project CAPEX'!X5</f>
        <v>15.000000299999998</v>
      </c>
      <c r="Y5" s="1257">
        <f>'Project CAPEX'!Y5</f>
        <v>9.9999996299999996</v>
      </c>
      <c r="Z5" s="1257">
        <f>'Project CAPEX'!Z5</f>
        <v>7.5000027149999999</v>
      </c>
      <c r="AA5" s="1257">
        <f>'Project CAPEX'!AA5</f>
        <v>2.2043909249999998</v>
      </c>
    </row>
    <row r="6" spans="1:27">
      <c r="A6" s="121"/>
      <c r="B6" s="121" t="s">
        <v>392</v>
      </c>
      <c r="C6" s="121" t="s">
        <v>662</v>
      </c>
      <c r="D6" s="194">
        <f>'Production Schedule'!D14</f>
        <v>3113.3822718404308</v>
      </c>
      <c r="E6" s="1257">
        <f>IFERROR('Production Schedule'!E14,0)</f>
        <v>0</v>
      </c>
      <c r="F6" s="1257">
        <f>IFERROR('Production Schedule'!F14,0)</f>
        <v>0</v>
      </c>
      <c r="G6" s="1257">
        <f>IFERROR('Production Schedule'!G14,0)</f>
        <v>0</v>
      </c>
      <c r="H6" s="1257">
        <f>IFERROR('Production Schedule'!H14,0)</f>
        <v>0</v>
      </c>
      <c r="I6" s="1257">
        <f>IFERROR('Production Schedule'!I14,0)</f>
        <v>3210</v>
      </c>
      <c r="J6" s="1257">
        <f>IFERROR('Production Schedule'!J14,0)</f>
        <v>3150</v>
      </c>
      <c r="K6" s="1257">
        <f>IFERROR('Production Schedule'!K14,0)</f>
        <v>3160</v>
      </c>
      <c r="L6" s="1257">
        <f>IFERROR('Production Schedule'!L14,0)</f>
        <v>3150</v>
      </c>
      <c r="M6" s="1257">
        <f>IFERROR('Production Schedule'!M14,0)</f>
        <v>3120</v>
      </c>
      <c r="N6" s="1257">
        <f>IFERROR('Production Schedule'!N14,0)</f>
        <v>3190</v>
      </c>
      <c r="O6" s="1257">
        <f>IFERROR('Production Schedule'!O14,0)</f>
        <v>3090</v>
      </c>
      <c r="P6" s="1257">
        <f>IFERROR('Production Schedule'!P14,0)</f>
        <v>3160</v>
      </c>
      <c r="Q6" s="1257">
        <f>IFERROR('Production Schedule'!Q14,0)</f>
        <v>3190</v>
      </c>
      <c r="R6" s="1257">
        <f>IFERROR('Production Schedule'!R14,0)</f>
        <v>3280</v>
      </c>
      <c r="S6" s="1257">
        <f>IFERROR('Production Schedule'!S14,0)</f>
        <v>3280</v>
      </c>
      <c r="T6" s="1257">
        <f>IFERROR('Production Schedule'!T14,0)</f>
        <v>3020</v>
      </c>
      <c r="U6" s="1257">
        <f>IFERROR('Production Schedule'!U14,0)</f>
        <v>3120</v>
      </c>
      <c r="V6" s="1257">
        <f>IFERROR('Production Schedule'!V14,0)</f>
        <v>3100</v>
      </c>
      <c r="W6" s="1257">
        <f>IFERROR('Production Schedule'!W14,0)</f>
        <v>2850</v>
      </c>
      <c r="X6" s="1257">
        <f>IFERROR('Production Schedule'!X14,0)</f>
        <v>2970</v>
      </c>
      <c r="Y6" s="1257">
        <f>IFERROR('Production Schedule'!Y14,0)</f>
        <v>3020</v>
      </c>
      <c r="Z6" s="1257">
        <f>IFERROR('Production Schedule'!Z14,0)</f>
        <v>3040</v>
      </c>
      <c r="AA6" s="1257">
        <f>IFERROR('Production Schedule'!AA14,0)</f>
        <v>3200</v>
      </c>
    </row>
    <row r="7" spans="1:27">
      <c r="A7" s="121"/>
      <c r="B7" s="121" t="s">
        <v>564</v>
      </c>
      <c r="C7" s="121" t="s">
        <v>663</v>
      </c>
      <c r="D7" s="194">
        <f>SUM(E7:AN7)</f>
        <v>535.39467341478871</v>
      </c>
      <c r="E7" s="1257">
        <f>'Project CAPEX'!E6</f>
        <v>0</v>
      </c>
      <c r="F7" s="1257">
        <f>'Project CAPEX'!F6</f>
        <v>0</v>
      </c>
      <c r="G7" s="1257">
        <f>'Project CAPEX'!G6</f>
        <v>0</v>
      </c>
      <c r="H7" s="1257">
        <f>'Project CAPEX'!H6</f>
        <v>0</v>
      </c>
      <c r="I7" s="1257">
        <f>'Project CAPEX'!I6</f>
        <v>11.466045729050279</v>
      </c>
      <c r="J7" s="1257">
        <f>'Project CAPEX'!J6</f>
        <v>9.5178188259668506</v>
      </c>
      <c r="K7" s="1257">
        <f>'Project CAPEX'!K6</f>
        <v>17.240514972375692</v>
      </c>
      <c r="L7" s="1257">
        <f>'Project CAPEX'!L6</f>
        <v>36.817196150000001</v>
      </c>
      <c r="M7" s="1257">
        <f>'Project CAPEX'!M6</f>
        <v>35.420574905555554</v>
      </c>
      <c r="N7" s="1257">
        <f>'Project CAPEX'!N6</f>
        <v>47.463611318435753</v>
      </c>
      <c r="O7" s="1257">
        <f>'Project CAPEX'!O6</f>
        <v>43.447467227777778</v>
      </c>
      <c r="P7" s="1257">
        <f>'Project CAPEX'!P6</f>
        <v>36.33747506666667</v>
      </c>
      <c r="Q7" s="1257">
        <f>'Project CAPEX'!Q6</f>
        <v>37.865191711111116</v>
      </c>
      <c r="R7" s="1257">
        <f>'Project CAPEX'!R6</f>
        <v>33.778948184357539</v>
      </c>
      <c r="S7" s="1257">
        <f>'Project CAPEX'!S6</f>
        <v>38.053482346368718</v>
      </c>
      <c r="T7" s="1257">
        <f>'Project CAPEX'!T6</f>
        <v>28.983164832402235</v>
      </c>
      <c r="U7" s="1257">
        <f>'Project CAPEX'!U6</f>
        <v>25.4498801284916</v>
      </c>
      <c r="V7" s="1257">
        <f>'Project CAPEX'!V6</f>
        <v>31.615550832402231</v>
      </c>
      <c r="W7" s="1257">
        <f>'Project CAPEX'!W6</f>
        <v>31.515274825842699</v>
      </c>
      <c r="X7" s="1257">
        <f>'Project CAPEX'!X6</f>
        <v>40.123366662921349</v>
      </c>
      <c r="Y7" s="1257">
        <f>'Project CAPEX'!Y6</f>
        <v>24.726595192090397</v>
      </c>
      <c r="Z7" s="1257">
        <f>'Project CAPEX'!Z6</f>
        <v>4.2960406619318183</v>
      </c>
      <c r="AA7" s="1257">
        <f>'Project CAPEX'!AA6</f>
        <v>1.2764738410404626</v>
      </c>
    </row>
    <row r="8" spans="1:27">
      <c r="A8" s="121"/>
      <c r="B8" s="1220" t="s">
        <v>419</v>
      </c>
      <c r="C8" s="1220" t="s">
        <v>421</v>
      </c>
      <c r="D8" s="1258">
        <f>IFERROR(D7/D5,0)</f>
        <v>2.3721055414621142</v>
      </c>
      <c r="E8" s="1259">
        <f>IFERROR(E7/E5,0)</f>
        <v>0</v>
      </c>
      <c r="F8" s="1259">
        <f t="shared" ref="F8:AA8" si="0">IFERROR(F7/F5,0)</f>
        <v>0</v>
      </c>
      <c r="G8" s="1259">
        <f t="shared" si="0"/>
        <v>0</v>
      </c>
      <c r="H8" s="1259">
        <f t="shared" si="0"/>
        <v>0</v>
      </c>
      <c r="I8" s="1259">
        <f t="shared" si="0"/>
        <v>5.7330235668205267</v>
      </c>
      <c r="J8" s="1259">
        <f t="shared" si="0"/>
        <v>2.3794555065836267</v>
      </c>
      <c r="K8" s="1259">
        <f t="shared" si="0"/>
        <v>2.1550641748973556</v>
      </c>
      <c r="L8" s="1259">
        <f t="shared" si="0"/>
        <v>3.0681000550089239</v>
      </c>
      <c r="M8" s="1259">
        <f t="shared" si="0"/>
        <v>2.3613724207322897</v>
      </c>
      <c r="N8" s="1259">
        <f t="shared" si="0"/>
        <v>3.1642392483845012</v>
      </c>
      <c r="O8" s="1259">
        <f t="shared" si="0"/>
        <v>2.8964980874560053</v>
      </c>
      <c r="P8" s="1259">
        <f t="shared" si="0"/>
        <v>2.422498841657537</v>
      </c>
      <c r="Q8" s="1259">
        <f t="shared" si="0"/>
        <v>2.5243454880363938</v>
      </c>
      <c r="R8" s="1259">
        <f t="shared" si="0"/>
        <v>2.2519306040788236</v>
      </c>
      <c r="S8" s="1259">
        <f t="shared" si="0"/>
        <v>2.5368993507663129</v>
      </c>
      <c r="T8" s="1259">
        <f t="shared" si="0"/>
        <v>1.932210729910578</v>
      </c>
      <c r="U8" s="1259">
        <f t="shared" si="0"/>
        <v>1.6966569005296555</v>
      </c>
      <c r="V8" s="1259">
        <f t="shared" si="0"/>
        <v>2.1077031063945992</v>
      </c>
      <c r="W8" s="1259">
        <f t="shared" si="0"/>
        <v>2.1010180401864291</v>
      </c>
      <c r="X8" s="1259">
        <f t="shared" si="0"/>
        <v>2.6748910573636024</v>
      </c>
      <c r="Y8" s="1259">
        <f t="shared" si="0"/>
        <v>2.4726596106974452</v>
      </c>
      <c r="Z8" s="1259">
        <f t="shared" si="0"/>
        <v>0.57280521423542152</v>
      </c>
      <c r="AA8" s="1259">
        <f t="shared" si="0"/>
        <v>0.57905965160896433</v>
      </c>
    </row>
    <row r="9" spans="1:27">
      <c r="A9" s="121"/>
      <c r="B9" s="121"/>
      <c r="C9" s="121"/>
      <c r="D9" s="194"/>
    </row>
    <row r="10" spans="1:27">
      <c r="A10" s="121"/>
      <c r="B10" s="117" t="s">
        <v>664</v>
      </c>
      <c r="C10" s="117"/>
      <c r="D10" s="197"/>
      <c r="E10" s="201">
        <f>E3</f>
        <v>46023</v>
      </c>
      <c r="F10" s="201">
        <f t="shared" ref="F10:AA10" si="1">F3</f>
        <v>46389</v>
      </c>
      <c r="G10" s="201">
        <f t="shared" si="1"/>
        <v>46755</v>
      </c>
      <c r="H10" s="201">
        <f t="shared" si="1"/>
        <v>47121</v>
      </c>
      <c r="I10" s="201">
        <f t="shared" si="1"/>
        <v>47487</v>
      </c>
      <c r="J10" s="201">
        <f t="shared" si="1"/>
        <v>47853</v>
      </c>
      <c r="K10" s="201">
        <f t="shared" si="1"/>
        <v>48219</v>
      </c>
      <c r="L10" s="201">
        <f t="shared" si="1"/>
        <v>48585</v>
      </c>
      <c r="M10" s="201">
        <f t="shared" si="1"/>
        <v>48951</v>
      </c>
      <c r="N10" s="201">
        <f t="shared" si="1"/>
        <v>49317</v>
      </c>
      <c r="O10" s="201">
        <f t="shared" si="1"/>
        <v>49683</v>
      </c>
      <c r="P10" s="201">
        <f t="shared" si="1"/>
        <v>50049</v>
      </c>
      <c r="Q10" s="201">
        <f t="shared" si="1"/>
        <v>50415</v>
      </c>
      <c r="R10" s="201">
        <f t="shared" si="1"/>
        <v>50781</v>
      </c>
      <c r="S10" s="201">
        <f t="shared" si="1"/>
        <v>51147</v>
      </c>
      <c r="T10" s="201">
        <f t="shared" si="1"/>
        <v>51513</v>
      </c>
      <c r="U10" s="201">
        <f t="shared" si="1"/>
        <v>51879</v>
      </c>
      <c r="V10" s="201">
        <f t="shared" si="1"/>
        <v>52245</v>
      </c>
      <c r="W10" s="201">
        <f t="shared" si="1"/>
        <v>52611</v>
      </c>
      <c r="X10" s="201">
        <f t="shared" si="1"/>
        <v>52977</v>
      </c>
      <c r="Y10" s="201">
        <f t="shared" si="1"/>
        <v>53343</v>
      </c>
      <c r="Z10" s="201">
        <f t="shared" si="1"/>
        <v>53709</v>
      </c>
      <c r="AA10" s="201">
        <f t="shared" si="1"/>
        <v>54075</v>
      </c>
    </row>
    <row r="11" spans="1:27">
      <c r="A11" s="117"/>
      <c r="B11" s="788" t="s">
        <v>94</v>
      </c>
      <c r="C11" s="788" t="s">
        <v>95</v>
      </c>
      <c r="D11" s="1223" t="s">
        <v>96</v>
      </c>
      <c r="E11" s="1141">
        <f>E4</f>
        <v>-4</v>
      </c>
      <c r="F11" s="1141">
        <f t="shared" ref="F11:AA11" si="2">F4</f>
        <v>-3</v>
      </c>
      <c r="G11" s="1141">
        <f t="shared" si="2"/>
        <v>-2</v>
      </c>
      <c r="H11" s="1141">
        <f t="shared" si="2"/>
        <v>-1</v>
      </c>
      <c r="I11" s="1141">
        <f t="shared" si="2"/>
        <v>1</v>
      </c>
      <c r="J11" s="1141">
        <f t="shared" si="2"/>
        <v>2</v>
      </c>
      <c r="K11" s="1141">
        <f t="shared" si="2"/>
        <v>3</v>
      </c>
      <c r="L11" s="1141">
        <f t="shared" si="2"/>
        <v>4</v>
      </c>
      <c r="M11" s="1141">
        <f t="shared" si="2"/>
        <v>5</v>
      </c>
      <c r="N11" s="1141">
        <f t="shared" si="2"/>
        <v>6</v>
      </c>
      <c r="O11" s="1141">
        <f t="shared" si="2"/>
        <v>7</v>
      </c>
      <c r="P11" s="1141">
        <f t="shared" si="2"/>
        <v>8</v>
      </c>
      <c r="Q11" s="1141">
        <f t="shared" si="2"/>
        <v>9</v>
      </c>
      <c r="R11" s="1141">
        <f t="shared" si="2"/>
        <v>10</v>
      </c>
      <c r="S11" s="1141">
        <f t="shared" si="2"/>
        <v>11</v>
      </c>
      <c r="T11" s="1141">
        <f t="shared" si="2"/>
        <v>12</v>
      </c>
      <c r="U11" s="1141">
        <f t="shared" si="2"/>
        <v>13</v>
      </c>
      <c r="V11" s="1141">
        <f t="shared" si="2"/>
        <v>14</v>
      </c>
      <c r="W11" s="1141">
        <f t="shared" si="2"/>
        <v>15</v>
      </c>
      <c r="X11" s="1141">
        <f t="shared" si="2"/>
        <v>16</v>
      </c>
      <c r="Y11" s="1141">
        <f t="shared" si="2"/>
        <v>17</v>
      </c>
      <c r="Z11" s="1141">
        <f t="shared" si="2"/>
        <v>18</v>
      </c>
      <c r="AA11" s="1141">
        <f t="shared" si="2"/>
        <v>19</v>
      </c>
    </row>
    <row r="12" spans="1:27">
      <c r="A12" s="117"/>
      <c r="B12" s="117"/>
      <c r="C12" s="121"/>
      <c r="D12" s="190"/>
    </row>
    <row r="13" spans="1:27">
      <c r="A13" s="121"/>
      <c r="B13" s="1260" t="str">
        <f>B59</f>
        <v>MDO/ Contractor Cost</v>
      </c>
      <c r="C13" s="1261" t="s">
        <v>109</v>
      </c>
      <c r="D13" s="1262">
        <f>SUMPRODUCT($E$5:$AR$5,E13:AR13)/$D$5</f>
        <v>0</v>
      </c>
      <c r="E13" s="1263">
        <f>IFERROR(E59*10/E$5,0)</f>
        <v>0</v>
      </c>
      <c r="F13" s="1263">
        <f t="shared" ref="F13:AA13" si="3">IFERROR(F59*10/F$5,0)</f>
        <v>0</v>
      </c>
      <c r="G13" s="1263">
        <f t="shared" si="3"/>
        <v>0</v>
      </c>
      <c r="H13" s="1263">
        <f>IFERROR(H59*10/H$5,0)</f>
        <v>0</v>
      </c>
      <c r="I13" s="1263">
        <f>IFERROR(I59*10/I$5,0)</f>
        <v>0</v>
      </c>
      <c r="J13" s="1263">
        <f t="shared" si="3"/>
        <v>0</v>
      </c>
      <c r="K13" s="1263">
        <f t="shared" si="3"/>
        <v>0</v>
      </c>
      <c r="L13" s="1263">
        <f t="shared" si="3"/>
        <v>0</v>
      </c>
      <c r="M13" s="1263">
        <f t="shared" si="3"/>
        <v>0</v>
      </c>
      <c r="N13" s="1263">
        <f t="shared" si="3"/>
        <v>0</v>
      </c>
      <c r="O13" s="1263">
        <f t="shared" si="3"/>
        <v>0</v>
      </c>
      <c r="P13" s="1263">
        <f t="shared" si="3"/>
        <v>0</v>
      </c>
      <c r="Q13" s="1263">
        <f t="shared" si="3"/>
        <v>0</v>
      </c>
      <c r="R13" s="1263">
        <f t="shared" si="3"/>
        <v>0</v>
      </c>
      <c r="S13" s="1263">
        <f t="shared" si="3"/>
        <v>0</v>
      </c>
      <c r="T13" s="1263">
        <f t="shared" si="3"/>
        <v>0</v>
      </c>
      <c r="U13" s="1263">
        <f t="shared" si="3"/>
        <v>0</v>
      </c>
      <c r="V13" s="1263">
        <f t="shared" si="3"/>
        <v>0</v>
      </c>
      <c r="W13" s="1263">
        <f t="shared" si="3"/>
        <v>0</v>
      </c>
      <c r="X13" s="1263">
        <f t="shared" si="3"/>
        <v>0</v>
      </c>
      <c r="Y13" s="1263">
        <f t="shared" si="3"/>
        <v>0</v>
      </c>
      <c r="Z13" s="1263">
        <f t="shared" si="3"/>
        <v>0</v>
      </c>
      <c r="AA13" s="1263">
        <f t="shared" si="3"/>
        <v>0</v>
      </c>
    </row>
    <row r="14" spans="1:27">
      <c r="A14" s="121"/>
      <c r="B14" s="117"/>
      <c r="C14" s="121"/>
      <c r="D14" s="224"/>
    </row>
    <row r="15" spans="1:27" ht="14">
      <c r="A15" s="121"/>
      <c r="B15" s="267" t="str">
        <f>B61</f>
        <v xml:space="preserve">Diesel </v>
      </c>
      <c r="C15" s="121" t="s">
        <v>109</v>
      </c>
      <c r="D15" s="268">
        <f t="shared" ref="D15:D21" si="4">SUMPRODUCT($E$5:$AR$5,E15:AR15)/$D$5</f>
        <v>128.69363752327683</v>
      </c>
      <c r="E15" s="302">
        <f t="shared" ref="E15:AA15" si="5">IFERROR(E61*10/E$5,0)</f>
        <v>0</v>
      </c>
      <c r="F15" s="302">
        <f t="shared" si="5"/>
        <v>0</v>
      </c>
      <c r="G15" s="302">
        <f t="shared" si="5"/>
        <v>0</v>
      </c>
      <c r="H15" s="302">
        <f t="shared" si="5"/>
        <v>0</v>
      </c>
      <c r="I15" s="302">
        <f t="shared" si="5"/>
        <v>135.51101805687298</v>
      </c>
      <c r="J15" s="302">
        <f t="shared" si="5"/>
        <v>78.307238022356074</v>
      </c>
      <c r="K15" s="302">
        <f t="shared" si="5"/>
        <v>82.106608113019675</v>
      </c>
      <c r="L15" s="302">
        <f t="shared" si="5"/>
        <v>131.44517139220778</v>
      </c>
      <c r="M15" s="302">
        <f t="shared" si="5"/>
        <v>114.51680178996888</v>
      </c>
      <c r="N15" s="302">
        <f t="shared" si="5"/>
        <v>148.35173759148114</v>
      </c>
      <c r="O15" s="302">
        <f t="shared" si="5"/>
        <v>143.55335042129772</v>
      </c>
      <c r="P15" s="302">
        <f t="shared" si="5"/>
        <v>132.51614861786024</v>
      </c>
      <c r="Q15" s="302">
        <f t="shared" si="5"/>
        <v>139.34979187719509</v>
      </c>
      <c r="R15" s="302">
        <f t="shared" si="5"/>
        <v>133.2191620279975</v>
      </c>
      <c r="S15" s="302">
        <f t="shared" si="5"/>
        <v>143.18492966834017</v>
      </c>
      <c r="T15" s="302">
        <f t="shared" si="5"/>
        <v>122.22619908930518</v>
      </c>
      <c r="U15" s="302">
        <f t="shared" si="5"/>
        <v>115.10040038018941</v>
      </c>
      <c r="V15" s="302">
        <f t="shared" si="5"/>
        <v>128.90561833058214</v>
      </c>
      <c r="W15" s="302">
        <f t="shared" si="5"/>
        <v>129.15868599668141</v>
      </c>
      <c r="X15" s="302">
        <f t="shared" si="5"/>
        <v>147.18275886641368</v>
      </c>
      <c r="Y15" s="302">
        <f t="shared" si="5"/>
        <v>145.28207948639414</v>
      </c>
      <c r="Z15" s="302">
        <f t="shared" si="5"/>
        <v>77.232231123777055</v>
      </c>
      <c r="AA15" s="302">
        <f t="shared" si="5"/>
        <v>107.61569153302871</v>
      </c>
    </row>
    <row r="16" spans="1:27" ht="14">
      <c r="A16" s="121"/>
      <c r="B16" s="267" t="str">
        <f>B62</f>
        <v>Lubrication</v>
      </c>
      <c r="C16" s="121" t="s">
        <v>109</v>
      </c>
      <c r="D16" s="268">
        <f t="shared" si="4"/>
        <v>7.4349181000981588</v>
      </c>
      <c r="E16" s="302">
        <f t="shared" ref="E16:AA16" si="6">IFERROR(E62*10/E$5,0)</f>
        <v>0</v>
      </c>
      <c r="F16" s="302">
        <f t="shared" si="6"/>
        <v>0</v>
      </c>
      <c r="G16" s="302">
        <f t="shared" si="6"/>
        <v>0</v>
      </c>
      <c r="H16" s="302">
        <f t="shared" si="6"/>
        <v>0</v>
      </c>
      <c r="I16" s="302">
        <f t="shared" si="6"/>
        <v>6.8553070006333314</v>
      </c>
      <c r="J16" s="302">
        <f t="shared" si="6"/>
        <v>3.9552400301368125</v>
      </c>
      <c r="K16" s="302">
        <f t="shared" si="6"/>
        <v>5.1370054487761374</v>
      </c>
      <c r="L16" s="302">
        <f t="shared" si="6"/>
        <v>7.6055950143863242</v>
      </c>
      <c r="M16" s="302">
        <f t="shared" si="6"/>
        <v>6.7598411077867535</v>
      </c>
      <c r="N16" s="302">
        <f t="shared" si="6"/>
        <v>8.4515878863455143</v>
      </c>
      <c r="O16" s="302">
        <f t="shared" si="6"/>
        <v>8.211668529048767</v>
      </c>
      <c r="P16" s="302">
        <f t="shared" si="6"/>
        <v>7.6598084467567329</v>
      </c>
      <c r="Q16" s="302">
        <f t="shared" si="6"/>
        <v>8.001490632756644</v>
      </c>
      <c r="R16" s="302">
        <f t="shared" si="6"/>
        <v>7.6949591169605567</v>
      </c>
      <c r="S16" s="302">
        <f t="shared" si="6"/>
        <v>8.1932474992807318</v>
      </c>
      <c r="T16" s="302">
        <f t="shared" si="6"/>
        <v>7.1453109685104756</v>
      </c>
      <c r="U16" s="302">
        <f t="shared" si="6"/>
        <v>6.781045525161459</v>
      </c>
      <c r="V16" s="302">
        <f t="shared" si="6"/>
        <v>7.4673186596427614</v>
      </c>
      <c r="W16" s="302">
        <f t="shared" si="6"/>
        <v>7.4715249950821594</v>
      </c>
      <c r="X16" s="302">
        <f t="shared" si="6"/>
        <v>8.369212404289236</v>
      </c>
      <c r="Y16" s="302">
        <f t="shared" si="6"/>
        <v>8.2608860332811052</v>
      </c>
      <c r="Z16" s="302">
        <f t="shared" si="6"/>
        <v>4.8716860262494004</v>
      </c>
      <c r="AA16" s="302">
        <f t="shared" si="6"/>
        <v>6.3269943629325205</v>
      </c>
    </row>
    <row r="17" spans="2:27" ht="14">
      <c r="B17" s="267" t="str">
        <f>B63</f>
        <v>HEMM Spares (including drill consumables)</v>
      </c>
      <c r="C17" s="121"/>
      <c r="D17" s="349">
        <f t="shared" si="4"/>
        <v>47.514654954956939</v>
      </c>
      <c r="E17" s="302">
        <f t="shared" ref="E17:AA17" si="7">IFERROR(E63*10/E$5,0)</f>
        <v>0</v>
      </c>
      <c r="F17" s="302">
        <f t="shared" si="7"/>
        <v>0</v>
      </c>
      <c r="G17" s="302">
        <f t="shared" si="7"/>
        <v>0</v>
      </c>
      <c r="H17" s="302">
        <f t="shared" si="7"/>
        <v>0</v>
      </c>
      <c r="I17" s="302">
        <f t="shared" si="7"/>
        <v>73.311189944182857</v>
      </c>
      <c r="J17" s="302">
        <f t="shared" si="7"/>
        <v>37.693997435786294</v>
      </c>
      <c r="K17" s="302">
        <f t="shared" si="7"/>
        <v>38.165447698856447</v>
      </c>
      <c r="L17" s="302">
        <f t="shared" si="7"/>
        <v>52.054902661341309</v>
      </c>
      <c r="M17" s="302">
        <f t="shared" si="7"/>
        <v>43.81673460563912</v>
      </c>
      <c r="N17" s="302">
        <f t="shared" si="7"/>
        <v>55.695422956017808</v>
      </c>
      <c r="O17" s="302">
        <f t="shared" si="7"/>
        <v>53.205156980613523</v>
      </c>
      <c r="P17" s="302">
        <f t="shared" si="7"/>
        <v>48.226457234249601</v>
      </c>
      <c r="Q17" s="302">
        <f t="shared" si="7"/>
        <v>50.314543828688457</v>
      </c>
      <c r="R17" s="302">
        <f t="shared" si="7"/>
        <v>47.50040753841553</v>
      </c>
      <c r="S17" s="302">
        <f t="shared" si="7"/>
        <v>51.294218569959916</v>
      </c>
      <c r="T17" s="302">
        <f t="shared" si="7"/>
        <v>43.406783803880693</v>
      </c>
      <c r="U17" s="302">
        <f t="shared" si="7"/>
        <v>40.603970388413408</v>
      </c>
      <c r="V17" s="302">
        <f t="shared" si="7"/>
        <v>45.900828043468124</v>
      </c>
      <c r="W17" s="302">
        <f t="shared" si="7"/>
        <v>45.970126465361332</v>
      </c>
      <c r="X17" s="302">
        <f t="shared" si="7"/>
        <v>53.066939739723004</v>
      </c>
      <c r="Y17" s="302">
        <f t="shared" si="7"/>
        <v>52.844332891850797</v>
      </c>
      <c r="Z17" s="302">
        <f t="shared" si="7"/>
        <v>26.211159609100871</v>
      </c>
      <c r="AA17" s="302">
        <f t="shared" si="7"/>
        <v>39.391705547205447</v>
      </c>
    </row>
    <row r="18" spans="2:27" ht="14">
      <c r="B18" s="267" t="str">
        <f>B64</f>
        <v>Tyres</v>
      </c>
      <c r="C18" s="121" t="s">
        <v>109</v>
      </c>
      <c r="D18" s="349">
        <f t="shared" si="4"/>
        <v>12.606884503065155</v>
      </c>
      <c r="E18" s="302">
        <f t="shared" ref="E18:AA18" si="8">IFERROR(E64*10/E$5,0)</f>
        <v>0</v>
      </c>
      <c r="F18" s="302">
        <f t="shared" si="8"/>
        <v>0</v>
      </c>
      <c r="G18" s="302">
        <f t="shared" si="8"/>
        <v>0</v>
      </c>
      <c r="H18" s="302">
        <f t="shared" si="8"/>
        <v>0</v>
      </c>
      <c r="I18" s="302">
        <f t="shared" si="8"/>
        <v>4.9393959814095645</v>
      </c>
      <c r="J18" s="302">
        <f t="shared" si="8"/>
        <v>3.0581157150629985</v>
      </c>
      <c r="K18" s="302">
        <f t="shared" si="8"/>
        <v>3.3368574934967499</v>
      </c>
      <c r="L18" s="302">
        <f t="shared" si="8"/>
        <v>12.022600324791968</v>
      </c>
      <c r="M18" s="302">
        <f t="shared" si="8"/>
        <v>10.461595528141551</v>
      </c>
      <c r="N18" s="302">
        <f t="shared" si="8"/>
        <v>15.330131281759776</v>
      </c>
      <c r="O18" s="302">
        <f t="shared" si="8"/>
        <v>14.84033791917064</v>
      </c>
      <c r="P18" s="302">
        <f t="shared" si="8"/>
        <v>13.554437000517142</v>
      </c>
      <c r="Q18" s="302">
        <f t="shared" si="8"/>
        <v>14.597833334314034</v>
      </c>
      <c r="R18" s="302">
        <f t="shared" si="8"/>
        <v>13.899315137024367</v>
      </c>
      <c r="S18" s="302">
        <f t="shared" si="8"/>
        <v>15.18280234399483</v>
      </c>
      <c r="T18" s="302">
        <f t="shared" si="8"/>
        <v>12.250833505074374</v>
      </c>
      <c r="U18" s="302">
        <f t="shared" si="8"/>
        <v>11.24952489451449</v>
      </c>
      <c r="V18" s="302">
        <f t="shared" si="8"/>
        <v>13.066837323342691</v>
      </c>
      <c r="W18" s="302">
        <f t="shared" si="8"/>
        <v>13.017266771118214</v>
      </c>
      <c r="X18" s="302">
        <f t="shared" si="8"/>
        <v>15.403212427165736</v>
      </c>
      <c r="Y18" s="302">
        <f t="shared" si="8"/>
        <v>14.683051642486486</v>
      </c>
      <c r="Z18" s="302">
        <f t="shared" si="8"/>
        <v>5.9637431194545982</v>
      </c>
      <c r="AA18" s="302">
        <f t="shared" si="8"/>
        <v>8.1570741962649667</v>
      </c>
    </row>
    <row r="19" spans="2:27" ht="14">
      <c r="B19" s="267" t="str">
        <f t="shared" ref="B19" si="9">B65</f>
        <v>CHP</v>
      </c>
      <c r="C19" s="121" t="s">
        <v>109</v>
      </c>
      <c r="D19" s="349">
        <f t="shared" si="4"/>
        <v>9.7551601186946595</v>
      </c>
      <c r="E19" s="302">
        <f t="shared" ref="E19:AA19" si="10">IFERROR(E65*10/E$5,0)</f>
        <v>0</v>
      </c>
      <c r="F19" s="302">
        <f t="shared" si="10"/>
        <v>0</v>
      </c>
      <c r="G19" s="302">
        <f t="shared" si="10"/>
        <v>0</v>
      </c>
      <c r="H19" s="302">
        <f t="shared" si="10"/>
        <v>0</v>
      </c>
      <c r="I19" s="302">
        <f t="shared" si="10"/>
        <v>45.042818017745205</v>
      </c>
      <c r="J19" s="302">
        <f t="shared" si="10"/>
        <v>29.329134861921602</v>
      </c>
      <c r="K19" s="302">
        <f t="shared" si="10"/>
        <v>14.664561161858796</v>
      </c>
      <c r="L19" s="302">
        <f t="shared" si="10"/>
        <v>9.776376197606087</v>
      </c>
      <c r="M19" s="302">
        <f t="shared" si="10"/>
        <v>7.821102518395012</v>
      </c>
      <c r="N19" s="302">
        <f t="shared" si="10"/>
        <v>7.8210962771581727</v>
      </c>
      <c r="O19" s="302">
        <f t="shared" si="10"/>
        <v>7.82110073518347</v>
      </c>
      <c r="P19" s="302">
        <f t="shared" si="10"/>
        <v>7.8211016267891402</v>
      </c>
      <c r="Q19" s="302">
        <f t="shared" si="10"/>
        <v>7.8210980603676834</v>
      </c>
      <c r="R19" s="302">
        <f t="shared" si="10"/>
        <v>7.821102518395012</v>
      </c>
      <c r="S19" s="302">
        <f t="shared" si="10"/>
        <v>7.8211016267891402</v>
      </c>
      <c r="T19" s="302">
        <f t="shared" si="10"/>
        <v>7.8210989519727416</v>
      </c>
      <c r="U19" s="302">
        <f t="shared" si="10"/>
        <v>7.8210918191379584</v>
      </c>
      <c r="V19" s="302">
        <f t="shared" si="10"/>
        <v>7.8210989519727416</v>
      </c>
      <c r="W19" s="302">
        <f t="shared" si="10"/>
        <v>7.8210989519727416</v>
      </c>
      <c r="X19" s="302">
        <f t="shared" si="10"/>
        <v>7.821099843578005</v>
      </c>
      <c r="Y19" s="302">
        <f t="shared" si="10"/>
        <v>11.731650434071069</v>
      </c>
      <c r="Z19" s="302">
        <f t="shared" si="10"/>
        <v>15.642194337525652</v>
      </c>
      <c r="AA19" s="302">
        <f t="shared" si="10"/>
        <v>53.219462423617095</v>
      </c>
    </row>
    <row r="20" spans="2:27" ht="14">
      <c r="B20" s="1264" t="str">
        <f>B66</f>
        <v>Power</v>
      </c>
      <c r="C20" s="1220" t="s">
        <v>109</v>
      </c>
      <c r="D20" s="349">
        <f t="shared" si="4"/>
        <v>10.001118940936532</v>
      </c>
      <c r="E20" s="302">
        <f t="shared" ref="E20:AA20" si="11">IFERROR(E66*10/E$5,0)</f>
        <v>0</v>
      </c>
      <c r="F20" s="1263">
        <f t="shared" si="11"/>
        <v>0</v>
      </c>
      <c r="G20" s="1263">
        <f t="shared" si="11"/>
        <v>0</v>
      </c>
      <c r="H20" s="1263">
        <f t="shared" si="11"/>
        <v>0</v>
      </c>
      <c r="I20" s="1263">
        <f t="shared" si="11"/>
        <v>10</v>
      </c>
      <c r="J20" s="1263">
        <f t="shared" si="11"/>
        <v>10.000004275001437</v>
      </c>
      <c r="K20" s="1263">
        <f t="shared" si="11"/>
        <v>9.9999989312500972</v>
      </c>
      <c r="L20" s="1263">
        <f t="shared" si="11"/>
        <v>10.000005700000697</v>
      </c>
      <c r="M20" s="1263">
        <f t="shared" si="11"/>
        <v>10.000002280000736</v>
      </c>
      <c r="N20" s="1263">
        <f t="shared" si="11"/>
        <v>9.9999886000054232</v>
      </c>
      <c r="O20" s="1263">
        <f t="shared" si="11"/>
        <v>10.00000342000032</v>
      </c>
      <c r="P20" s="1263">
        <f t="shared" si="11"/>
        <v>10</v>
      </c>
      <c r="Q20" s="1263">
        <f t="shared" si="11"/>
        <v>9.9999977200005663</v>
      </c>
      <c r="R20" s="1263">
        <f t="shared" si="11"/>
        <v>10.0000034200011</v>
      </c>
      <c r="S20" s="1263">
        <f t="shared" si="11"/>
        <v>10.000005700001186</v>
      </c>
      <c r="T20" s="1263">
        <f t="shared" si="11"/>
        <v>9.9999988600001526</v>
      </c>
      <c r="U20" s="1263">
        <f t="shared" si="11"/>
        <v>9.9999908800095394</v>
      </c>
      <c r="V20" s="1263">
        <f t="shared" si="11"/>
        <v>10.000001139999846</v>
      </c>
      <c r="W20" s="1263">
        <f t="shared" si="11"/>
        <v>9.999997720000307</v>
      </c>
      <c r="X20" s="1263">
        <f t="shared" si="11"/>
        <v>9.9999965800000687</v>
      </c>
      <c r="Y20" s="1263">
        <f t="shared" si="11"/>
        <v>10.000004275000158</v>
      </c>
      <c r="Z20" s="1263">
        <f t="shared" si="11"/>
        <v>9.9999988600004119</v>
      </c>
      <c r="AA20" s="1263">
        <f t="shared" si="11"/>
        <v>10.114609413028681</v>
      </c>
    </row>
    <row r="21" spans="2:27" ht="14">
      <c r="B21" s="304" t="str">
        <f>B67</f>
        <v xml:space="preserve">Sub Total </v>
      </c>
      <c r="C21" s="211" t="s">
        <v>109</v>
      </c>
      <c r="D21" s="1265">
        <f t="shared" si="4"/>
        <v>216.00637414102826</v>
      </c>
      <c r="E21" s="445">
        <f t="shared" ref="E21:AA21" si="12">IFERROR(E67*10/E$5,0)</f>
        <v>0</v>
      </c>
      <c r="F21" s="445">
        <f t="shared" si="12"/>
        <v>0</v>
      </c>
      <c r="G21" s="445">
        <f t="shared" si="12"/>
        <v>0</v>
      </c>
      <c r="H21" s="445">
        <f t="shared" si="12"/>
        <v>0</v>
      </c>
      <c r="I21" s="445">
        <f t="shared" si="12"/>
        <v>275.65972900084398</v>
      </c>
      <c r="J21" s="445">
        <f t="shared" si="12"/>
        <v>162.34373034026521</v>
      </c>
      <c r="K21" s="445">
        <f t="shared" si="12"/>
        <v>153.41047884725791</v>
      </c>
      <c r="L21" s="445">
        <f t="shared" si="12"/>
        <v>222.90465129033419</v>
      </c>
      <c r="M21" s="445">
        <f t="shared" si="12"/>
        <v>193.37607782993209</v>
      </c>
      <c r="N21" s="445">
        <f t="shared" si="12"/>
        <v>245.64996459276782</v>
      </c>
      <c r="O21" s="445">
        <f t="shared" si="12"/>
        <v>237.63161800531446</v>
      </c>
      <c r="P21" s="445">
        <f t="shared" si="12"/>
        <v>219.77795292617287</v>
      </c>
      <c r="Q21" s="445">
        <f t="shared" si="12"/>
        <v>230.08475545332249</v>
      </c>
      <c r="R21" s="445">
        <f t="shared" si="12"/>
        <v>220.13494975879408</v>
      </c>
      <c r="S21" s="445">
        <f t="shared" si="12"/>
        <v>235.67630540836598</v>
      </c>
      <c r="T21" s="445">
        <f t="shared" si="12"/>
        <v>202.85022517874364</v>
      </c>
      <c r="U21" s="445">
        <f t="shared" si="12"/>
        <v>191.55602388742625</v>
      </c>
      <c r="V21" s="445">
        <f t="shared" si="12"/>
        <v>213.16170244900829</v>
      </c>
      <c r="W21" s="445">
        <f t="shared" si="12"/>
        <v>213.43870090021619</v>
      </c>
      <c r="X21" s="445">
        <f t="shared" si="12"/>
        <v>241.84321986116973</v>
      </c>
      <c r="Y21" s="445">
        <f t="shared" si="12"/>
        <v>242.80200476308374</v>
      </c>
      <c r="Z21" s="445">
        <f t="shared" si="12"/>
        <v>139.92101307610798</v>
      </c>
      <c r="AA21" s="445">
        <f t="shared" si="12"/>
        <v>224.82553747607739</v>
      </c>
    </row>
    <row r="22" spans="2:27">
      <c r="B22" s="267"/>
      <c r="C22" s="121"/>
      <c r="D22" s="190"/>
    </row>
    <row r="23" spans="2:27" ht="14">
      <c r="B23" s="267" t="str">
        <f t="shared" ref="B23" si="13">B69</f>
        <v>Owner Wage</v>
      </c>
      <c r="C23" s="121" t="s">
        <v>109</v>
      </c>
      <c r="D23" s="303">
        <f ca="1">SUMPRODUCT($E$5:$AR$5,E23:AR23)/$D$5</f>
        <v>41.628473919864355</v>
      </c>
      <c r="E23" s="302">
        <f t="shared" ref="E23:AA23" si="14">IFERROR(E69*10/E$5,0)</f>
        <v>0</v>
      </c>
      <c r="F23" s="302">
        <f t="shared" si="14"/>
        <v>0</v>
      </c>
      <c r="G23" s="302">
        <f t="shared" si="14"/>
        <v>0</v>
      </c>
      <c r="H23" s="302">
        <f t="shared" si="14"/>
        <v>0</v>
      </c>
      <c r="I23" s="302">
        <f t="shared" ca="1" si="14"/>
        <v>212.02502597306571</v>
      </c>
      <c r="J23" s="302">
        <f t="shared" ca="1" si="14"/>
        <v>106.6125358484652</v>
      </c>
      <c r="K23" s="302">
        <f t="shared" ca="1" si="14"/>
        <v>57.101244789511405</v>
      </c>
      <c r="L23" s="302">
        <f t="shared" ca="1" si="14"/>
        <v>41.818755122797512</v>
      </c>
      <c r="M23" s="302">
        <f t="shared" ca="1" si="14"/>
        <v>33.815677555314842</v>
      </c>
      <c r="N23" s="302">
        <f t="shared" ca="1" si="14"/>
        <v>35.157649931625301</v>
      </c>
      <c r="O23" s="302">
        <f t="shared" ca="1" si="14"/>
        <v>35.650003351100317</v>
      </c>
      <c r="P23" s="302">
        <f t="shared" ca="1" si="14"/>
        <v>34.546340518972158</v>
      </c>
      <c r="Q23" s="302">
        <f t="shared" ca="1" si="14"/>
        <v>34.830324695412813</v>
      </c>
      <c r="R23" s="302">
        <f t="shared" ca="1" si="14"/>
        <v>34.545011123493587</v>
      </c>
      <c r="S23" s="302">
        <f t="shared" ca="1" si="14"/>
        <v>35.112340636700189</v>
      </c>
      <c r="T23" s="302">
        <f t="shared" ca="1" si="14"/>
        <v>34.05499543663062</v>
      </c>
      <c r="U23" s="302">
        <f t="shared" ca="1" si="14"/>
        <v>33.810297967761656</v>
      </c>
      <c r="V23" s="302">
        <f t="shared" ca="1" si="14"/>
        <v>34.418995387854622</v>
      </c>
      <c r="W23" s="302">
        <f t="shared" ca="1" si="14"/>
        <v>34.498995377134619</v>
      </c>
      <c r="X23" s="302">
        <f t="shared" ca="1" si="14"/>
        <v>35.272999294540021</v>
      </c>
      <c r="Y23" s="302">
        <f t="shared" ca="1" si="14"/>
        <v>49.084001816108064</v>
      </c>
      <c r="Z23" s="302">
        <f t="shared" ca="1" si="14"/>
        <v>58.629312109522353</v>
      </c>
      <c r="AA23" s="302">
        <f t="shared" ca="1" si="14"/>
        <v>190.67852041715335</v>
      </c>
    </row>
    <row r="24" spans="2:27" ht="14">
      <c r="B24" s="267" t="str">
        <f>B70</f>
        <v>Explosives</v>
      </c>
      <c r="C24" s="121" t="s">
        <v>109</v>
      </c>
      <c r="D24" s="303">
        <f>SUMPRODUCT($E$5:$AR$5,E24:AR24)/$D$5</f>
        <v>56.41307818787574</v>
      </c>
      <c r="E24" s="302">
        <f t="shared" ref="E24:AA24" si="15">IFERROR(E70*10/E$5,0)</f>
        <v>0</v>
      </c>
      <c r="F24" s="302">
        <f t="shared" si="15"/>
        <v>0</v>
      </c>
      <c r="G24" s="302">
        <f t="shared" si="15"/>
        <v>0</v>
      </c>
      <c r="H24" s="302">
        <f t="shared" si="15"/>
        <v>0</v>
      </c>
      <c r="I24" s="302">
        <f t="shared" si="15"/>
        <v>140.37038427085812</v>
      </c>
      <c r="J24" s="302">
        <f t="shared" si="15"/>
        <v>62.405283977009482</v>
      </c>
      <c r="K24" s="302">
        <f t="shared" si="15"/>
        <v>50.782705878951361</v>
      </c>
      <c r="L24" s="302">
        <f t="shared" si="15"/>
        <v>72.206757383076223</v>
      </c>
      <c r="M24" s="302">
        <f t="shared" si="15"/>
        <v>55.902812763037829</v>
      </c>
      <c r="N24" s="302">
        <f t="shared" si="15"/>
        <v>74.74528838671479</v>
      </c>
      <c r="O24" s="302">
        <f t="shared" si="15"/>
        <v>68.501627343581617</v>
      </c>
      <c r="P24" s="302">
        <f t="shared" si="15"/>
        <v>57.448115226931918</v>
      </c>
      <c r="Q24" s="302">
        <f t="shared" si="15"/>
        <v>59.823141075897254</v>
      </c>
      <c r="R24" s="302">
        <f t="shared" si="15"/>
        <v>53.470514806546852</v>
      </c>
      <c r="S24" s="302">
        <f t="shared" si="15"/>
        <v>60.180135309474878</v>
      </c>
      <c r="T24" s="302">
        <f t="shared" si="15"/>
        <v>46.079002840380547</v>
      </c>
      <c r="U24" s="302">
        <f t="shared" si="15"/>
        <v>40.585926413070922</v>
      </c>
      <c r="V24" s="302">
        <f t="shared" si="15"/>
        <v>50.171411516793775</v>
      </c>
      <c r="W24" s="302">
        <f t="shared" si="15"/>
        <v>50.015494351338056</v>
      </c>
      <c r="X24" s="302">
        <f t="shared" si="15"/>
        <v>63.409767680445448</v>
      </c>
      <c r="Y24" s="302">
        <f t="shared" si="15"/>
        <v>58.647827781408935</v>
      </c>
      <c r="Z24" s="302">
        <f t="shared" si="15"/>
        <v>14.297788739438495</v>
      </c>
      <c r="AA24" s="302">
        <f t="shared" si="15"/>
        <v>14.001549544365083</v>
      </c>
    </row>
    <row r="25" spans="2:27" ht="14">
      <c r="B25" s="267" t="str">
        <f>B71</f>
        <v>Civil Infrastructure Maintenance</v>
      </c>
      <c r="C25" s="121" t="s">
        <v>109</v>
      </c>
      <c r="D25" s="303">
        <f>SUMPRODUCT($E$5:$AR$5,E25:AR25)/$D$5</f>
        <v>4.0196379593492946</v>
      </c>
      <c r="E25" s="302">
        <f t="shared" ref="E25:AA25" si="16">IFERROR(E71*10/E$5,0)</f>
        <v>0</v>
      </c>
      <c r="F25" s="302">
        <f t="shared" si="16"/>
        <v>0</v>
      </c>
      <c r="G25" s="302">
        <f t="shared" si="16"/>
        <v>0</v>
      </c>
      <c r="H25" s="302">
        <f t="shared" si="16"/>
        <v>0</v>
      </c>
      <c r="I25" s="302">
        <f t="shared" si="16"/>
        <v>23.875002924687859</v>
      </c>
      <c r="J25" s="302">
        <f t="shared" si="16"/>
        <v>11.937504013985725</v>
      </c>
      <c r="K25" s="302">
        <f t="shared" si="16"/>
        <v>5.9687494553516123</v>
      </c>
      <c r="L25" s="302">
        <f t="shared" si="16"/>
        <v>3.9791671541146432</v>
      </c>
      <c r="M25" s="302">
        <f t="shared" si="16"/>
        <v>3.1833343583669969</v>
      </c>
      <c r="N25" s="302">
        <f t="shared" si="16"/>
        <v>3.1833318180673875</v>
      </c>
      <c r="O25" s="302">
        <f t="shared" si="16"/>
        <v>3.1833336325666948</v>
      </c>
      <c r="P25" s="302">
        <f t="shared" si="16"/>
        <v>3.1833339954668047</v>
      </c>
      <c r="Q25" s="302">
        <f t="shared" si="16"/>
        <v>3.1833325438668627</v>
      </c>
      <c r="R25" s="302">
        <f t="shared" si="16"/>
        <v>3.1833343583669969</v>
      </c>
      <c r="S25" s="302">
        <f t="shared" si="16"/>
        <v>3.1833339954668047</v>
      </c>
      <c r="T25" s="302">
        <f t="shared" si="16"/>
        <v>3.183332906766724</v>
      </c>
      <c r="U25" s="302">
        <f t="shared" si="16"/>
        <v>3.1833300035701497</v>
      </c>
      <c r="V25" s="302">
        <f t="shared" si="16"/>
        <v>3.183332906766724</v>
      </c>
      <c r="W25" s="302">
        <f t="shared" si="16"/>
        <v>3.183332906766724</v>
      </c>
      <c r="X25" s="302">
        <f t="shared" si="16"/>
        <v>3.1833332696666683</v>
      </c>
      <c r="Y25" s="302">
        <f t="shared" si="16"/>
        <v>4.7750001766750065</v>
      </c>
      <c r="Z25" s="302">
        <f t="shared" si="16"/>
        <v>6.3666643619341681</v>
      </c>
      <c r="AA25" s="302">
        <f t="shared" si="16"/>
        <v>21.661312183092029</v>
      </c>
    </row>
    <row r="26" spans="2:27" ht="14">
      <c r="B26" s="267" t="str">
        <f>B72</f>
        <v>Railway Track &amp; Siding Repair &amp; Maintenance</v>
      </c>
      <c r="C26" s="121" t="s">
        <v>109</v>
      </c>
      <c r="D26" s="303">
        <f t="shared" ref="D26:D35" si="17">SUMPRODUCT($E$5:$AR$5,E26:AR26)/$D$5</f>
        <v>15.910190038052706</v>
      </c>
      <c r="E26" s="302">
        <f t="shared" ref="E26:AA26" si="18">IFERROR(E72*10/E$5,0)</f>
        <v>0</v>
      </c>
      <c r="F26" s="302">
        <f t="shared" si="18"/>
        <v>0</v>
      </c>
      <c r="G26" s="302">
        <f t="shared" si="18"/>
        <v>0</v>
      </c>
      <c r="H26" s="302">
        <f t="shared" si="18"/>
        <v>0</v>
      </c>
      <c r="I26" s="302">
        <f t="shared" si="18"/>
        <v>94.500011576251438</v>
      </c>
      <c r="J26" s="302">
        <f t="shared" si="18"/>
        <v>47.250015887817852</v>
      </c>
      <c r="K26" s="302">
        <f t="shared" si="18"/>
        <v>23.624997844218949</v>
      </c>
      <c r="L26" s="302">
        <f t="shared" si="18"/>
        <v>15.750001929375239</v>
      </c>
      <c r="M26" s="302">
        <f t="shared" si="18"/>
        <v>12.600004057201309</v>
      </c>
      <c r="N26" s="302">
        <f t="shared" si="18"/>
        <v>12.599994002402855</v>
      </c>
      <c r="O26" s="302">
        <f t="shared" si="18"/>
        <v>12.600001184400114</v>
      </c>
      <c r="P26" s="302">
        <f t="shared" si="18"/>
        <v>12.600002620800547</v>
      </c>
      <c r="Q26" s="302">
        <f t="shared" si="18"/>
        <v>12.599996875200778</v>
      </c>
      <c r="R26" s="302">
        <f t="shared" si="18"/>
        <v>12.600004057201309</v>
      </c>
      <c r="S26" s="302">
        <f t="shared" si="18"/>
        <v>12.600002620800547</v>
      </c>
      <c r="T26" s="302">
        <f t="shared" si="18"/>
        <v>12.599998311600229</v>
      </c>
      <c r="U26" s="302">
        <f t="shared" si="18"/>
        <v>12.599986820413788</v>
      </c>
      <c r="V26" s="302">
        <f t="shared" si="18"/>
        <v>12.599998311600229</v>
      </c>
      <c r="W26" s="302">
        <f t="shared" si="18"/>
        <v>12.599998311600229</v>
      </c>
      <c r="X26" s="302">
        <f t="shared" si="18"/>
        <v>12.599999748000009</v>
      </c>
      <c r="Y26" s="302">
        <f t="shared" si="18"/>
        <v>18.90000069930003</v>
      </c>
      <c r="Z26" s="302">
        <f t="shared" si="18"/>
        <v>25.199990877603305</v>
      </c>
      <c r="AA26" s="302">
        <f t="shared" si="18"/>
        <v>85.737968640929708</v>
      </c>
    </row>
    <row r="27" spans="2:27" ht="14">
      <c r="B27" s="267" t="str">
        <f>B73</f>
        <v xml:space="preserve">Fire Fighting &amp; Dust Suppression </v>
      </c>
      <c r="C27" s="121" t="s">
        <v>109</v>
      </c>
      <c r="D27" s="303">
        <f t="shared" ref="D27:D28" si="19">SUMPRODUCT($E$5:$AR$5,E27:AR27)/$D$5</f>
        <v>0.42574490009233629</v>
      </c>
      <c r="E27" s="302">
        <f t="shared" ref="E27:AA27" si="20">IFERROR(E73*10/E$5,0)</f>
        <v>0</v>
      </c>
      <c r="F27" s="302">
        <f t="shared" si="20"/>
        <v>0</v>
      </c>
      <c r="G27" s="302">
        <f t="shared" si="20"/>
        <v>0</v>
      </c>
      <c r="H27" s="302">
        <f t="shared" si="20"/>
        <v>0</v>
      </c>
      <c r="I27" s="302">
        <f t="shared" si="20"/>
        <v>2.5287503097719131</v>
      </c>
      <c r="J27" s="302">
        <f t="shared" si="20"/>
        <v>1.2643754251462369</v>
      </c>
      <c r="K27" s="302">
        <f t="shared" si="20"/>
        <v>0.63218744231289592</v>
      </c>
      <c r="L27" s="302">
        <f t="shared" si="20"/>
        <v>0.42145838496198551</v>
      </c>
      <c r="M27" s="302">
        <f t="shared" si="20"/>
        <v>0.33716677523436828</v>
      </c>
      <c r="N27" s="302">
        <f t="shared" si="20"/>
        <v>0.33716650617540972</v>
      </c>
      <c r="O27" s="302">
        <f t="shared" si="20"/>
        <v>0.3371666983603363</v>
      </c>
      <c r="P27" s="302">
        <f t="shared" si="20"/>
        <v>0.33716673679734793</v>
      </c>
      <c r="Q27" s="302">
        <f t="shared" si="20"/>
        <v>0.3371665830493541</v>
      </c>
      <c r="R27" s="302">
        <f t="shared" si="20"/>
        <v>0.33716677523436828</v>
      </c>
      <c r="S27" s="302">
        <f t="shared" si="20"/>
        <v>0.33716673679734793</v>
      </c>
      <c r="T27" s="302">
        <f t="shared" si="20"/>
        <v>0.33716662148633941</v>
      </c>
      <c r="U27" s="302">
        <f t="shared" si="20"/>
        <v>0.33716631399070224</v>
      </c>
      <c r="V27" s="302">
        <f t="shared" si="20"/>
        <v>0.33716662148633941</v>
      </c>
      <c r="W27" s="302">
        <f t="shared" si="20"/>
        <v>0.33716662148633941</v>
      </c>
      <c r="X27" s="302">
        <f t="shared" si="20"/>
        <v>0.3371666599233335</v>
      </c>
      <c r="Y27" s="302">
        <f t="shared" si="20"/>
        <v>0.50575001871275072</v>
      </c>
      <c r="Z27" s="302">
        <f t="shared" si="20"/>
        <v>0.6743330892247551</v>
      </c>
      <c r="AA27" s="302">
        <f t="shared" si="20"/>
        <v>2.2942845312248781</v>
      </c>
    </row>
    <row r="28" spans="2:27">
      <c r="B28" s="223" t="s">
        <v>429</v>
      </c>
      <c r="C28" s="121" t="s">
        <v>109</v>
      </c>
      <c r="D28" s="303">
        <f t="shared" si="19"/>
        <v>23.459001451818843</v>
      </c>
      <c r="E28" s="302">
        <f t="shared" ref="E28:AA28" si="21">IFERROR(E74*10/E$5,0)</f>
        <v>0</v>
      </c>
      <c r="F28" s="302">
        <f t="shared" si="21"/>
        <v>0</v>
      </c>
      <c r="G28" s="302">
        <f t="shared" si="21"/>
        <v>0</v>
      </c>
      <c r="H28" s="302">
        <f t="shared" si="21"/>
        <v>0</v>
      </c>
      <c r="I28" s="302">
        <f t="shared" si="21"/>
        <v>0</v>
      </c>
      <c r="J28" s="302">
        <f>IFERROR(J74*10/J$5,0)</f>
        <v>0</v>
      </c>
      <c r="K28" s="302">
        <f t="shared" si="21"/>
        <v>0</v>
      </c>
      <c r="L28" s="302">
        <f t="shared" si="21"/>
        <v>0</v>
      </c>
      <c r="M28" s="302">
        <f t="shared" si="21"/>
        <v>0</v>
      </c>
      <c r="N28" s="302">
        <f t="shared" si="21"/>
        <v>0</v>
      </c>
      <c r="O28" s="302">
        <f t="shared" si="21"/>
        <v>55.300005198200488</v>
      </c>
      <c r="P28" s="302">
        <f t="shared" si="21"/>
        <v>55.300011502402391</v>
      </c>
      <c r="Q28" s="302">
        <f t="shared" si="21"/>
        <v>55.299986285603403</v>
      </c>
      <c r="R28" s="302">
        <f t="shared" si="21"/>
        <v>55.30001780660573</v>
      </c>
      <c r="S28" s="302">
        <f t="shared" si="21"/>
        <v>32.946673519574766</v>
      </c>
      <c r="T28" s="302">
        <f t="shared" si="21"/>
        <v>32.946662251813926</v>
      </c>
      <c r="U28" s="302">
        <f t="shared" si="21"/>
        <v>32.946632204489383</v>
      </c>
      <c r="V28" s="302">
        <f t="shared" si="21"/>
        <v>32.946662251813926</v>
      </c>
      <c r="W28" s="302">
        <f t="shared" si="21"/>
        <v>0</v>
      </c>
      <c r="X28" s="302">
        <f t="shared" si="21"/>
        <v>0</v>
      </c>
      <c r="Y28" s="302">
        <f t="shared" si="21"/>
        <v>0</v>
      </c>
      <c r="Z28" s="302">
        <f t="shared" si="21"/>
        <v>0</v>
      </c>
      <c r="AA28" s="302">
        <f t="shared" si="21"/>
        <v>0</v>
      </c>
    </row>
    <row r="29" spans="2:27" ht="14">
      <c r="B29" s="267" t="str">
        <f>B75</f>
        <v>Digitalization (AMC)</v>
      </c>
      <c r="C29" s="121" t="s">
        <v>109</v>
      </c>
      <c r="D29" s="303">
        <f t="shared" si="17"/>
        <v>0.29463314885282793</v>
      </c>
      <c r="E29" s="302">
        <f t="shared" ref="E29:AA29" si="22">IFERROR(E75*10/E$5,0)</f>
        <v>0</v>
      </c>
      <c r="F29" s="302">
        <f t="shared" si="22"/>
        <v>0</v>
      </c>
      <c r="G29" s="302">
        <f t="shared" si="22"/>
        <v>0</v>
      </c>
      <c r="H29" s="302">
        <f t="shared" si="22"/>
        <v>0</v>
      </c>
      <c r="I29" s="302">
        <f t="shared" si="22"/>
        <v>1.7500002143750266</v>
      </c>
      <c r="J29" s="302">
        <f t="shared" si="22"/>
        <v>0.87500029421884906</v>
      </c>
      <c r="K29" s="302">
        <f t="shared" si="22"/>
        <v>0.43749996007812869</v>
      </c>
      <c r="L29" s="302">
        <f t="shared" si="22"/>
        <v>0.29166670239583775</v>
      </c>
      <c r="M29" s="302">
        <f t="shared" si="22"/>
        <v>0.2333334084666909</v>
      </c>
      <c r="N29" s="302">
        <f t="shared" si="22"/>
        <v>0.23333322226671954</v>
      </c>
      <c r="O29" s="302">
        <f t="shared" si="22"/>
        <v>0.23333335526666876</v>
      </c>
      <c r="P29" s="302">
        <f t="shared" si="22"/>
        <v>0.23333338186667679</v>
      </c>
      <c r="Q29" s="302">
        <f t="shared" si="22"/>
        <v>0.23333327546668106</v>
      </c>
      <c r="R29" s="302">
        <f t="shared" si="22"/>
        <v>0.2333334084666909</v>
      </c>
      <c r="S29" s="302">
        <f t="shared" si="22"/>
        <v>0.23333338186667679</v>
      </c>
      <c r="T29" s="302">
        <f t="shared" si="22"/>
        <v>0.23333330206667088</v>
      </c>
      <c r="U29" s="302">
        <f t="shared" si="22"/>
        <v>0.23333308926692201</v>
      </c>
      <c r="V29" s="302">
        <f t="shared" si="22"/>
        <v>0.23333330206667088</v>
      </c>
      <c r="W29" s="302">
        <f t="shared" si="22"/>
        <v>0.23333330206667088</v>
      </c>
      <c r="X29" s="302">
        <f t="shared" si="22"/>
        <v>0.23333332866666681</v>
      </c>
      <c r="Y29" s="302">
        <f t="shared" si="22"/>
        <v>0.35000001295000055</v>
      </c>
      <c r="Z29" s="302">
        <f t="shared" si="22"/>
        <v>0.46666649773339453</v>
      </c>
      <c r="AA29" s="302">
        <f t="shared" si="22"/>
        <v>1.587740160017217</v>
      </c>
    </row>
    <row r="30" spans="2:27" ht="14">
      <c r="B30" s="267" t="str">
        <f>B76</f>
        <v>Environment Management &amp; OHS  costs</v>
      </c>
      <c r="C30" s="121" t="s">
        <v>109</v>
      </c>
      <c r="D30" s="382">
        <f t="shared" si="17"/>
        <v>2.6937887895115691</v>
      </c>
      <c r="E30" s="302">
        <f t="shared" ref="E30:AA30" si="23">IFERROR(E76*10/E$5,0)</f>
        <v>0</v>
      </c>
      <c r="F30" s="302">
        <f t="shared" si="23"/>
        <v>0</v>
      </c>
      <c r="G30" s="302">
        <f t="shared" si="23"/>
        <v>0</v>
      </c>
      <c r="H30" s="302">
        <f t="shared" si="23"/>
        <v>0</v>
      </c>
      <c r="I30" s="302">
        <f t="shared" si="23"/>
        <v>16.00000196000024</v>
      </c>
      <c r="J30" s="302">
        <f t="shared" si="23"/>
        <v>8.0000026900009047</v>
      </c>
      <c r="K30" s="302">
        <f t="shared" si="23"/>
        <v>3.9999996350000333</v>
      </c>
      <c r="L30" s="302">
        <f t="shared" si="23"/>
        <v>2.6666669933333735</v>
      </c>
      <c r="M30" s="302">
        <f t="shared" si="23"/>
        <v>2.1333340202668878</v>
      </c>
      <c r="N30" s="302">
        <f t="shared" si="23"/>
        <v>2.1333323178671497</v>
      </c>
      <c r="O30" s="302">
        <f t="shared" si="23"/>
        <v>2.1333335338666854</v>
      </c>
      <c r="P30" s="302">
        <f t="shared" si="23"/>
        <v>2.1333337770667589</v>
      </c>
      <c r="Q30" s="302">
        <f t="shared" si="23"/>
        <v>2.1333328042667983</v>
      </c>
      <c r="R30" s="302">
        <f t="shared" si="23"/>
        <v>2.1333340202668878</v>
      </c>
      <c r="S30" s="302">
        <f t="shared" si="23"/>
        <v>2.1333337770667589</v>
      </c>
      <c r="T30" s="302">
        <f t="shared" si="23"/>
        <v>2.1333330474667052</v>
      </c>
      <c r="U30" s="302">
        <f t="shared" si="23"/>
        <v>2.1333311018690009</v>
      </c>
      <c r="V30" s="302">
        <f t="shared" si="23"/>
        <v>2.1333330474667052</v>
      </c>
      <c r="W30" s="302">
        <f t="shared" si="23"/>
        <v>2.1333330474667052</v>
      </c>
      <c r="X30" s="302">
        <f t="shared" si="23"/>
        <v>2.133333290666668</v>
      </c>
      <c r="Y30" s="302">
        <f t="shared" si="23"/>
        <v>3.2000001184000046</v>
      </c>
      <c r="Z30" s="302">
        <f t="shared" si="23"/>
        <v>4.2666651221338929</v>
      </c>
      <c r="AA30" s="302">
        <f t="shared" si="23"/>
        <v>14.516481463014554</v>
      </c>
    </row>
    <row r="31" spans="2:27" ht="14">
      <c r="B31" s="267" t="str">
        <f>B77</f>
        <v>Canteen, Accommodation, Laundry, Vehicle etc. Cost</v>
      </c>
      <c r="C31" s="121" t="s">
        <v>109</v>
      </c>
      <c r="D31" s="382">
        <f t="shared" ca="1" si="17"/>
        <v>0.1234468587956679</v>
      </c>
      <c r="E31" s="302">
        <f t="shared" ref="E31:AA31" si="24">IFERROR(E77*10/E$5,0)</f>
        <v>0</v>
      </c>
      <c r="F31" s="302">
        <f t="shared" si="24"/>
        <v>0</v>
      </c>
      <c r="G31" s="302">
        <f t="shared" si="24"/>
        <v>0</v>
      </c>
      <c r="H31" s="302">
        <f t="shared" si="24"/>
        <v>0</v>
      </c>
      <c r="I31" s="302">
        <f t="shared" ca="1" si="24"/>
        <v>0.72375008865938573</v>
      </c>
      <c r="J31" s="302">
        <f t="shared" ca="1" si="24"/>
        <v>0.36187512168050961</v>
      </c>
      <c r="K31" s="302">
        <f t="shared" ca="1" si="24"/>
        <v>0.18374998323281402</v>
      </c>
      <c r="L31" s="302">
        <f t="shared" ca="1" si="24"/>
        <v>0.12312501508281436</v>
      </c>
      <c r="M31" s="302">
        <f t="shared" ca="1" si="24"/>
        <v>9.8500031717010217E-2</v>
      </c>
      <c r="N31" s="302">
        <f t="shared" ca="1" si="24"/>
        <v>9.799995335202219E-2</v>
      </c>
      <c r="O31" s="302">
        <f t="shared" ca="1" si="24"/>
        <v>0.10050000944700087</v>
      </c>
      <c r="P31" s="302">
        <f t="shared" ca="1" si="24"/>
        <v>9.8000020384004238E-2</v>
      </c>
      <c r="Q31" s="302">
        <f t="shared" ca="1" si="24"/>
        <v>9.7999975696006034E-2</v>
      </c>
      <c r="R31" s="302">
        <f t="shared" ca="1" si="24"/>
        <v>9.8000031556010156E-2</v>
      </c>
      <c r="S31" s="302">
        <f t="shared" ca="1" si="24"/>
        <v>9.8000020384004238E-2</v>
      </c>
      <c r="T31" s="302">
        <f t="shared" ca="1" si="24"/>
        <v>9.7999986868001765E-2</v>
      </c>
      <c r="U31" s="302">
        <f t="shared" ca="1" si="24"/>
        <v>9.7999897492107219E-2</v>
      </c>
      <c r="V31" s="302">
        <f t="shared" ca="1" si="24"/>
        <v>9.7999986868001765E-2</v>
      </c>
      <c r="W31" s="302">
        <f t="shared" ca="1" si="24"/>
        <v>9.7999986868001765E-2</v>
      </c>
      <c r="X31" s="302">
        <f t="shared" ca="1" si="24"/>
        <v>9.799999804000005E-2</v>
      </c>
      <c r="Y31" s="302">
        <f t="shared" ca="1" si="24"/>
        <v>0.14625000541125019</v>
      </c>
      <c r="Z31" s="302">
        <f t="shared" ca="1" si="24"/>
        <v>0.19199993049602515</v>
      </c>
      <c r="AA31" s="302">
        <f t="shared" ca="1" si="24"/>
        <v>0.64983936549276078</v>
      </c>
    </row>
    <row r="32" spans="2:27" ht="14">
      <c r="B32" s="267" t="str">
        <f t="shared" ref="B32:B35" si="25">B78</f>
        <v xml:space="preserve">Admin and Overhead </v>
      </c>
      <c r="C32" s="121" t="s">
        <v>109</v>
      </c>
      <c r="D32" s="303">
        <f t="shared" si="17"/>
        <v>14.999999999999998</v>
      </c>
      <c r="E32" s="302">
        <f t="shared" ref="E32:AA32" si="26">IFERROR(E78*10/E$5,0)</f>
        <v>0</v>
      </c>
      <c r="F32" s="302">
        <f t="shared" si="26"/>
        <v>0</v>
      </c>
      <c r="G32" s="302">
        <f t="shared" si="26"/>
        <v>0</v>
      </c>
      <c r="H32" s="302">
        <f t="shared" si="26"/>
        <v>0</v>
      </c>
      <c r="I32" s="302">
        <f t="shared" si="26"/>
        <v>15</v>
      </c>
      <c r="J32" s="302">
        <f t="shared" si="26"/>
        <v>15</v>
      </c>
      <c r="K32" s="302">
        <f t="shared" si="26"/>
        <v>15</v>
      </c>
      <c r="L32" s="302">
        <f t="shared" si="26"/>
        <v>15</v>
      </c>
      <c r="M32" s="302">
        <f t="shared" si="26"/>
        <v>15</v>
      </c>
      <c r="N32" s="302">
        <f t="shared" si="26"/>
        <v>15</v>
      </c>
      <c r="O32" s="302">
        <f t="shared" si="26"/>
        <v>15</v>
      </c>
      <c r="P32" s="302">
        <f t="shared" si="26"/>
        <v>15</v>
      </c>
      <c r="Q32" s="302">
        <f t="shared" si="26"/>
        <v>15</v>
      </c>
      <c r="R32" s="302">
        <f t="shared" si="26"/>
        <v>15</v>
      </c>
      <c r="S32" s="302">
        <f t="shared" si="26"/>
        <v>15</v>
      </c>
      <c r="T32" s="302">
        <f t="shared" si="26"/>
        <v>15</v>
      </c>
      <c r="U32" s="302">
        <f t="shared" si="26"/>
        <v>15</v>
      </c>
      <c r="V32" s="302">
        <f t="shared" si="26"/>
        <v>15</v>
      </c>
      <c r="W32" s="302">
        <f t="shared" si="26"/>
        <v>15</v>
      </c>
      <c r="X32" s="302">
        <f t="shared" si="26"/>
        <v>14.999999999999996</v>
      </c>
      <c r="Y32" s="302">
        <f t="shared" si="26"/>
        <v>15</v>
      </c>
      <c r="Z32" s="302">
        <f t="shared" si="26"/>
        <v>15.000000000000004</v>
      </c>
      <c r="AA32" s="302">
        <f t="shared" si="26"/>
        <v>15</v>
      </c>
    </row>
    <row r="33" spans="2:27" ht="14">
      <c r="B33" s="267" t="str">
        <f t="shared" si="25"/>
        <v>R&amp;R (Resettlement &amp; Rehabilitation)</v>
      </c>
      <c r="C33" s="121" t="s">
        <v>109</v>
      </c>
      <c r="D33" s="303">
        <f t="shared" si="17"/>
        <v>3.2669140981709233</v>
      </c>
      <c r="E33" s="302">
        <f t="shared" ref="E33:AA33" si="27">IFERROR(E79*10/E$5,0)</f>
        <v>0</v>
      </c>
      <c r="F33" s="302">
        <f t="shared" si="27"/>
        <v>0</v>
      </c>
      <c r="G33" s="302">
        <f t="shared" si="27"/>
        <v>0</v>
      </c>
      <c r="H33" s="302">
        <f t="shared" si="27"/>
        <v>0</v>
      </c>
      <c r="I33" s="302">
        <f t="shared" si="27"/>
        <v>10.000001225000151</v>
      </c>
      <c r="J33" s="302">
        <f t="shared" si="27"/>
        <v>5.0000016812505654</v>
      </c>
      <c r="K33" s="302">
        <f t="shared" si="27"/>
        <v>2.4999997718750206</v>
      </c>
      <c r="L33" s="302">
        <f t="shared" si="27"/>
        <v>2.5000003062500378</v>
      </c>
      <c r="M33" s="302">
        <f t="shared" si="27"/>
        <v>2.0000006440002074</v>
      </c>
      <c r="N33" s="302">
        <f t="shared" si="27"/>
        <v>2.0999990004004756</v>
      </c>
      <c r="O33" s="302">
        <f t="shared" si="27"/>
        <v>2.2050002072700194</v>
      </c>
      <c r="P33" s="302">
        <f t="shared" si="27"/>
        <v>2.3152504815721007</v>
      </c>
      <c r="Q33" s="302">
        <f t="shared" si="27"/>
        <v>2.4310118971090495</v>
      </c>
      <c r="R33" s="302">
        <f t="shared" si="27"/>
        <v>2.5525639469255914</v>
      </c>
      <c r="S33" s="302">
        <f t="shared" si="27"/>
        <v>2.6801918387299022</v>
      </c>
      <c r="T33" s="302">
        <f t="shared" si="27"/>
        <v>2.8142004682096369</v>
      </c>
      <c r="U33" s="302">
        <f t="shared" si="27"/>
        <v>2.9549077967445694</v>
      </c>
      <c r="V33" s="302">
        <f t="shared" si="27"/>
        <v>3.1026560162011245</v>
      </c>
      <c r="W33" s="302">
        <f t="shared" si="27"/>
        <v>3.2577888170111815</v>
      </c>
      <c r="X33" s="302">
        <f t="shared" si="27"/>
        <v>3.4206786478190545</v>
      </c>
      <c r="Y33" s="302">
        <f t="shared" si="27"/>
        <v>5.3875691774064478</v>
      </c>
      <c r="Z33" s="302">
        <f t="shared" si="27"/>
        <v>7.5425938388739739</v>
      </c>
      <c r="AA33" s="302">
        <f t="shared" si="27"/>
        <v>26.945287838717597</v>
      </c>
    </row>
    <row r="34" spans="2:27" ht="14">
      <c r="B34" s="267" t="str">
        <f t="shared" si="25"/>
        <v>Contingency</v>
      </c>
      <c r="C34" s="121" t="s">
        <v>109</v>
      </c>
      <c r="D34" s="303">
        <f t="shared" ca="1" si="17"/>
        <v>56.886192524011889</v>
      </c>
      <c r="E34" s="302">
        <f t="shared" ref="E34:AA34" si="28">IFERROR(E80*10/E$5,0)</f>
        <v>0</v>
      </c>
      <c r="F34" s="302">
        <f t="shared" si="28"/>
        <v>0</v>
      </c>
      <c r="G34" s="302">
        <f t="shared" si="28"/>
        <v>0</v>
      </c>
      <c r="H34" s="302">
        <f t="shared" si="28"/>
        <v>0</v>
      </c>
      <c r="I34" s="302">
        <f t="shared" ca="1" si="28"/>
        <v>118.86489863152707</v>
      </c>
      <c r="J34" s="302">
        <f t="shared" ca="1" si="28"/>
        <v>63.157548791976069</v>
      </c>
      <c r="K34" s="302">
        <f t="shared" ca="1" si="28"/>
        <v>47.046242041168519</v>
      </c>
      <c r="L34" s="302">
        <f t="shared" ca="1" si="28"/>
        <v>56.649337542258266</v>
      </c>
      <c r="M34" s="302">
        <f t="shared" ca="1" si="28"/>
        <v>47.802036216530723</v>
      </c>
      <c r="N34" s="302">
        <f t="shared" ca="1" si="28"/>
        <v>58.685708959745995</v>
      </c>
      <c r="O34" s="302">
        <f t="shared" ca="1" si="28"/>
        <v>64.931388377906174</v>
      </c>
      <c r="P34" s="302">
        <f t="shared" ca="1" si="28"/>
        <v>60.445926178265054</v>
      </c>
      <c r="Q34" s="302">
        <f t="shared" ca="1" si="28"/>
        <v>62.408157219733724</v>
      </c>
      <c r="R34" s="302">
        <f t="shared" ca="1" si="28"/>
        <v>59.938234514018724</v>
      </c>
      <c r="S34" s="302">
        <f t="shared" ca="1" si="28"/>
        <v>60.027122586784195</v>
      </c>
      <c r="T34" s="302">
        <f t="shared" ca="1" si="28"/>
        <v>52.849537552804939</v>
      </c>
      <c r="U34" s="302">
        <f t="shared" ca="1" si="28"/>
        <v>50.315840324414317</v>
      </c>
      <c r="V34" s="302">
        <f t="shared" ca="1" si="28"/>
        <v>55.107988769688951</v>
      </c>
      <c r="W34" s="302">
        <f t="shared" ca="1" si="28"/>
        <v>50.219421543293201</v>
      </c>
      <c r="X34" s="302">
        <f t="shared" ca="1" si="28"/>
        <v>56.629774766840654</v>
      </c>
      <c r="Y34" s="302">
        <f t="shared" ca="1" si="28"/>
        <v>59.819760685418437</v>
      </c>
      <c r="Z34" s="302">
        <f t="shared" ca="1" si="28"/>
        <v>40.883554146460249</v>
      </c>
      <c r="AA34" s="302">
        <f t="shared" ca="1" si="28"/>
        <v>89.684778243012701</v>
      </c>
    </row>
    <row r="35" spans="2:27" ht="14">
      <c r="B35" s="1266" t="str">
        <f t="shared" si="25"/>
        <v xml:space="preserve">Sub Total </v>
      </c>
      <c r="C35" s="1008" t="s">
        <v>109</v>
      </c>
      <c r="D35" s="1265">
        <f t="shared" ca="1" si="17"/>
        <v>220.12110187639615</v>
      </c>
      <c r="E35" s="445">
        <f t="shared" ref="E35:AA35" si="29">IFERROR(E81*10/E$5,0)</f>
        <v>0</v>
      </c>
      <c r="F35" s="445">
        <f t="shared" si="29"/>
        <v>0</v>
      </c>
      <c r="G35" s="445">
        <f t="shared" si="29"/>
        <v>0</v>
      </c>
      <c r="H35" s="445">
        <f t="shared" si="29"/>
        <v>0</v>
      </c>
      <c r="I35" s="445">
        <f t="shared" ca="1" si="29"/>
        <v>635.63782717419701</v>
      </c>
      <c r="J35" s="445">
        <f t="shared" ca="1" si="29"/>
        <v>321.86414373155139</v>
      </c>
      <c r="K35" s="445">
        <f t="shared" ca="1" si="29"/>
        <v>207.27737680170077</v>
      </c>
      <c r="L35" s="445">
        <f t="shared" ca="1" si="29"/>
        <v>211.4069365336459</v>
      </c>
      <c r="M35" s="445">
        <f t="shared" ca="1" si="29"/>
        <v>173.10619983013686</v>
      </c>
      <c r="N35" s="445">
        <f t="shared" ca="1" si="29"/>
        <v>204.27380409861811</v>
      </c>
      <c r="O35" s="445">
        <f t="shared" ca="1" si="29"/>
        <v>260.17569289196615</v>
      </c>
      <c r="P35" s="445">
        <f t="shared" ca="1" si="29"/>
        <v>243.64081444052576</v>
      </c>
      <c r="Q35" s="445">
        <f t="shared" ca="1" si="29"/>
        <v>248.37778323130269</v>
      </c>
      <c r="R35" s="445">
        <f t="shared" ca="1" si="29"/>
        <v>239.39151484868279</v>
      </c>
      <c r="S35" s="445">
        <f t="shared" ca="1" si="29"/>
        <v>224.53163442364601</v>
      </c>
      <c r="T35" s="445">
        <f t="shared" ca="1" si="29"/>
        <v>202.32956272609434</v>
      </c>
      <c r="U35" s="445">
        <f t="shared" ca="1" si="29"/>
        <v>194.19875193308351</v>
      </c>
      <c r="V35" s="445">
        <f t="shared" ca="1" si="29"/>
        <v>209.33287811860706</v>
      </c>
      <c r="W35" s="445">
        <f t="shared" ca="1" si="29"/>
        <v>171.57686426503176</v>
      </c>
      <c r="X35" s="445">
        <f t="shared" ca="1" si="29"/>
        <v>192.31838668460853</v>
      </c>
      <c r="Y35" s="445">
        <f t="shared" ca="1" si="29"/>
        <v>215.81616049179092</v>
      </c>
      <c r="Z35" s="445">
        <f t="shared" ca="1" si="29"/>
        <v>173.5195687134206</v>
      </c>
      <c r="AA35" s="445">
        <f t="shared" ca="1" si="29"/>
        <v>462.75776238701991</v>
      </c>
    </row>
    <row r="36" spans="2:27">
      <c r="B36" s="117" t="str">
        <f t="shared" ref="B36:B41" si="30">B82</f>
        <v>Govt. Fees and charges</v>
      </c>
      <c r="C36" s="121"/>
      <c r="D36" s="224"/>
    </row>
    <row r="37" spans="2:27">
      <c r="B37" s="1267" t="str">
        <f t="shared" si="30"/>
        <v>Revenue Sharing</v>
      </c>
      <c r="C37" s="1008" t="s">
        <v>109</v>
      </c>
      <c r="D37" s="1265">
        <f t="shared" ref="D37:D45" si="31">SUMPRODUCT($E$5:$AR$5,E37:AR37)/$D$5</f>
        <v>204.54301073408092</v>
      </c>
      <c r="E37" s="445">
        <f t="shared" ref="E37:AA37" si="32">IFERROR(E83*10/E$5,0)</f>
        <v>0</v>
      </c>
      <c r="F37" s="445">
        <f t="shared" si="32"/>
        <v>0</v>
      </c>
      <c r="G37" s="445">
        <f t="shared" si="32"/>
        <v>0</v>
      </c>
      <c r="H37" s="445">
        <f t="shared" si="32"/>
        <v>0</v>
      </c>
      <c r="I37" s="445">
        <f t="shared" si="32"/>
        <v>108.36</v>
      </c>
      <c r="J37" s="445">
        <f t="shared" si="32"/>
        <v>108.36</v>
      </c>
      <c r="K37" s="445">
        <f t="shared" si="32"/>
        <v>174.15248234773594</v>
      </c>
      <c r="L37" s="445">
        <f t="shared" si="32"/>
        <v>216.71999999999997</v>
      </c>
      <c r="M37" s="445">
        <f t="shared" si="32"/>
        <v>216.72</v>
      </c>
      <c r="N37" s="445">
        <f t="shared" si="32"/>
        <v>216.72</v>
      </c>
      <c r="O37" s="445">
        <f t="shared" si="32"/>
        <v>216.71999999999997</v>
      </c>
      <c r="P37" s="445">
        <f t="shared" si="32"/>
        <v>216.71999999999997</v>
      </c>
      <c r="Q37" s="445">
        <f t="shared" si="32"/>
        <v>216.72</v>
      </c>
      <c r="R37" s="445">
        <f t="shared" si="32"/>
        <v>216.72</v>
      </c>
      <c r="S37" s="445">
        <f t="shared" si="32"/>
        <v>216.71999999999997</v>
      </c>
      <c r="T37" s="445">
        <f t="shared" si="32"/>
        <v>216.72</v>
      </c>
      <c r="U37" s="445">
        <f t="shared" si="32"/>
        <v>216.72</v>
      </c>
      <c r="V37" s="445">
        <f t="shared" si="32"/>
        <v>216.72</v>
      </c>
      <c r="W37" s="445">
        <f t="shared" si="32"/>
        <v>158.13</v>
      </c>
      <c r="X37" s="445">
        <f t="shared" si="32"/>
        <v>158.13</v>
      </c>
      <c r="Y37" s="445">
        <f t="shared" si="32"/>
        <v>216.72</v>
      </c>
      <c r="Z37" s="445">
        <f t="shared" si="32"/>
        <v>216.72</v>
      </c>
      <c r="AA37" s="445">
        <f t="shared" si="32"/>
        <v>216.71999999999997</v>
      </c>
    </row>
    <row r="38" spans="2:27">
      <c r="B38" s="223" t="str">
        <f t="shared" si="30"/>
        <v>GST on Revenue Sharing</v>
      </c>
      <c r="C38" s="121" t="s">
        <v>109</v>
      </c>
      <c r="D38" s="268">
        <f t="shared" si="31"/>
        <v>36.817741932134567</v>
      </c>
      <c r="E38" s="302">
        <f t="shared" ref="E38:AA38" si="33">IFERROR(E84*10/E$5,0)</f>
        <v>0</v>
      </c>
      <c r="F38" s="302">
        <f t="shared" si="33"/>
        <v>0</v>
      </c>
      <c r="G38" s="302">
        <f t="shared" si="33"/>
        <v>0</v>
      </c>
      <c r="H38" s="302">
        <f t="shared" si="33"/>
        <v>0</v>
      </c>
      <c r="I38" s="302">
        <f t="shared" si="33"/>
        <v>19.504799999999999</v>
      </c>
      <c r="J38" s="302">
        <f t="shared" si="33"/>
        <v>19.504799999999999</v>
      </c>
      <c r="K38" s="302">
        <f t="shared" si="33"/>
        <v>31.347446822592474</v>
      </c>
      <c r="L38" s="302">
        <f t="shared" si="33"/>
        <v>39.009600000000006</v>
      </c>
      <c r="M38" s="302">
        <f t="shared" si="33"/>
        <v>39.009599999999999</v>
      </c>
      <c r="N38" s="302">
        <f t="shared" si="33"/>
        <v>39.009599999999992</v>
      </c>
      <c r="O38" s="302">
        <f t="shared" si="33"/>
        <v>39.009599999999992</v>
      </c>
      <c r="P38" s="302">
        <f t="shared" si="33"/>
        <v>39.009599999999999</v>
      </c>
      <c r="Q38" s="302">
        <f t="shared" si="33"/>
        <v>39.009599999999999</v>
      </c>
      <c r="R38" s="302">
        <f t="shared" si="33"/>
        <v>39.009599999999999</v>
      </c>
      <c r="S38" s="302">
        <f t="shared" si="33"/>
        <v>39.009599999999999</v>
      </c>
      <c r="T38" s="302">
        <f t="shared" si="33"/>
        <v>39.009599999999999</v>
      </c>
      <c r="U38" s="302">
        <f t="shared" si="33"/>
        <v>39.009599999999992</v>
      </c>
      <c r="V38" s="302">
        <f t="shared" si="33"/>
        <v>39.009599999999999</v>
      </c>
      <c r="W38" s="302">
        <f t="shared" si="33"/>
        <v>28.463399999999996</v>
      </c>
      <c r="X38" s="302">
        <f t="shared" si="33"/>
        <v>28.463399999999996</v>
      </c>
      <c r="Y38" s="302">
        <f t="shared" si="33"/>
        <v>39.009599999999999</v>
      </c>
      <c r="Z38" s="302">
        <f t="shared" si="33"/>
        <v>39.009599999999999</v>
      </c>
      <c r="AA38" s="302">
        <f t="shared" si="33"/>
        <v>39.009599999999992</v>
      </c>
    </row>
    <row r="39" spans="2:27">
      <c r="B39" s="223" t="str">
        <f t="shared" si="30"/>
        <v>Royalty (% of NCI notified Price)</v>
      </c>
      <c r="C39" s="121" t="s">
        <v>109</v>
      </c>
      <c r="D39" s="268">
        <f t="shared" si="31"/>
        <v>139.28825337729199</v>
      </c>
      <c r="E39" s="302">
        <f t="shared" ref="E39:AA39" si="34">IFERROR(E85*10/E$5,0)</f>
        <v>0</v>
      </c>
      <c r="F39" s="302">
        <f t="shared" si="34"/>
        <v>0</v>
      </c>
      <c r="G39" s="302">
        <f t="shared" si="34"/>
        <v>0</v>
      </c>
      <c r="H39" s="302">
        <f t="shared" si="34"/>
        <v>0</v>
      </c>
      <c r="I39" s="302">
        <f t="shared" si="34"/>
        <v>144.48000000000002</v>
      </c>
      <c r="J39" s="302">
        <f t="shared" si="34"/>
        <v>144.48000000000002</v>
      </c>
      <c r="K39" s="302">
        <f t="shared" si="34"/>
        <v>144.48000000000002</v>
      </c>
      <c r="L39" s="302">
        <f t="shared" si="34"/>
        <v>144.48000000000002</v>
      </c>
      <c r="M39" s="302">
        <f t="shared" si="34"/>
        <v>144.47999999999999</v>
      </c>
      <c r="N39" s="302">
        <f t="shared" si="34"/>
        <v>144.48000000000002</v>
      </c>
      <c r="O39" s="302">
        <f t="shared" si="34"/>
        <v>144.48000000000002</v>
      </c>
      <c r="P39" s="302">
        <f t="shared" si="34"/>
        <v>144.48000000000002</v>
      </c>
      <c r="Q39" s="302">
        <f t="shared" si="34"/>
        <v>144.48000000000002</v>
      </c>
      <c r="R39" s="302">
        <f t="shared" si="34"/>
        <v>144.47999999999999</v>
      </c>
      <c r="S39" s="302">
        <f t="shared" si="34"/>
        <v>144.48000000000002</v>
      </c>
      <c r="T39" s="302">
        <f t="shared" si="34"/>
        <v>144.47999999999999</v>
      </c>
      <c r="U39" s="302">
        <f t="shared" si="34"/>
        <v>144.47999999999999</v>
      </c>
      <c r="V39" s="302">
        <f t="shared" si="34"/>
        <v>144.47999999999999</v>
      </c>
      <c r="W39" s="302">
        <f t="shared" si="34"/>
        <v>105.42</v>
      </c>
      <c r="X39" s="302">
        <f t="shared" si="34"/>
        <v>105.42000000000002</v>
      </c>
      <c r="Y39" s="302">
        <f t="shared" si="34"/>
        <v>144.48000000000002</v>
      </c>
      <c r="Z39" s="302">
        <f t="shared" si="34"/>
        <v>144.48000000000002</v>
      </c>
      <c r="AA39" s="302">
        <f t="shared" si="34"/>
        <v>144.47999999999999</v>
      </c>
    </row>
    <row r="40" spans="2:27">
      <c r="B40" s="223" t="str">
        <f t="shared" si="30"/>
        <v>DMF (District Mineral Foundation)</v>
      </c>
      <c r="C40" s="121" t="s">
        <v>109</v>
      </c>
      <c r="D40" s="268">
        <f t="shared" si="31"/>
        <v>13.928825337729201</v>
      </c>
      <c r="E40" s="302">
        <f t="shared" ref="E40:AA40" si="35">IFERROR(E86*10/E$5,0)</f>
        <v>0</v>
      </c>
      <c r="F40" s="302">
        <f t="shared" si="35"/>
        <v>0</v>
      </c>
      <c r="G40" s="302">
        <f t="shared" si="35"/>
        <v>0</v>
      </c>
      <c r="H40" s="302">
        <f t="shared" si="35"/>
        <v>0</v>
      </c>
      <c r="I40" s="302">
        <f t="shared" si="35"/>
        <v>14.448000000000004</v>
      </c>
      <c r="J40" s="302">
        <f t="shared" si="35"/>
        <v>14.448000000000002</v>
      </c>
      <c r="K40" s="302">
        <f t="shared" si="35"/>
        <v>14.448000000000004</v>
      </c>
      <c r="L40" s="302">
        <f t="shared" si="35"/>
        <v>14.448000000000002</v>
      </c>
      <c r="M40" s="302">
        <f t="shared" si="35"/>
        <v>14.448</v>
      </c>
      <c r="N40" s="302">
        <f t="shared" si="35"/>
        <v>14.448000000000002</v>
      </c>
      <c r="O40" s="302">
        <f t="shared" si="35"/>
        <v>14.448</v>
      </c>
      <c r="P40" s="302">
        <f t="shared" si="35"/>
        <v>14.448</v>
      </c>
      <c r="Q40" s="302">
        <f t="shared" si="35"/>
        <v>14.448000000000004</v>
      </c>
      <c r="R40" s="302">
        <f t="shared" si="35"/>
        <v>14.448</v>
      </c>
      <c r="S40" s="302">
        <f t="shared" si="35"/>
        <v>14.448</v>
      </c>
      <c r="T40" s="302">
        <f t="shared" si="35"/>
        <v>14.448</v>
      </c>
      <c r="U40" s="302">
        <f t="shared" si="35"/>
        <v>14.448000000000002</v>
      </c>
      <c r="V40" s="302">
        <f t="shared" si="35"/>
        <v>14.448</v>
      </c>
      <c r="W40" s="302">
        <f t="shared" si="35"/>
        <v>10.542000000000002</v>
      </c>
      <c r="X40" s="302">
        <f t="shared" si="35"/>
        <v>10.542</v>
      </c>
      <c r="Y40" s="302">
        <f t="shared" si="35"/>
        <v>14.448000000000002</v>
      </c>
      <c r="Z40" s="302">
        <f t="shared" si="35"/>
        <v>14.448000000000004</v>
      </c>
      <c r="AA40" s="302">
        <f t="shared" si="35"/>
        <v>14.448</v>
      </c>
    </row>
    <row r="41" spans="2:27">
      <c r="B41" s="223" t="str">
        <f t="shared" si="30"/>
        <v>NMET (National Mineral Exploration Trust)</v>
      </c>
      <c r="C41" s="121" t="s">
        <v>109</v>
      </c>
      <c r="D41" s="268">
        <f t="shared" si="31"/>
        <v>4.1786476013187599</v>
      </c>
      <c r="E41" s="302">
        <f t="shared" ref="E41:AA41" si="36">IFERROR(E87*10/E$5,0)</f>
        <v>0</v>
      </c>
      <c r="F41" s="302">
        <f t="shared" si="36"/>
        <v>0</v>
      </c>
      <c r="G41" s="302">
        <f t="shared" si="36"/>
        <v>0</v>
      </c>
      <c r="H41" s="302">
        <f t="shared" si="36"/>
        <v>0</v>
      </c>
      <c r="I41" s="302">
        <f t="shared" si="36"/>
        <v>4.3344000000000005</v>
      </c>
      <c r="J41" s="302">
        <f t="shared" si="36"/>
        <v>4.3344000000000005</v>
      </c>
      <c r="K41" s="302">
        <f t="shared" si="36"/>
        <v>4.3344000000000005</v>
      </c>
      <c r="L41" s="302">
        <f t="shared" si="36"/>
        <v>4.3344000000000005</v>
      </c>
      <c r="M41" s="302">
        <f t="shared" si="36"/>
        <v>4.3343999999999996</v>
      </c>
      <c r="N41" s="302">
        <f t="shared" si="36"/>
        <v>4.3343999999999996</v>
      </c>
      <c r="O41" s="302">
        <f t="shared" si="36"/>
        <v>4.3343999999999996</v>
      </c>
      <c r="P41" s="302">
        <f t="shared" si="36"/>
        <v>4.3343999999999996</v>
      </c>
      <c r="Q41" s="302">
        <f t="shared" si="36"/>
        <v>4.3344000000000005</v>
      </c>
      <c r="R41" s="302">
        <f t="shared" si="36"/>
        <v>4.3343999999999996</v>
      </c>
      <c r="S41" s="302">
        <f t="shared" si="36"/>
        <v>4.3343999999999996</v>
      </c>
      <c r="T41" s="302">
        <f t="shared" si="36"/>
        <v>4.3344000000000005</v>
      </c>
      <c r="U41" s="302">
        <f t="shared" si="36"/>
        <v>4.3344000000000005</v>
      </c>
      <c r="V41" s="302">
        <f t="shared" si="36"/>
        <v>4.3344000000000005</v>
      </c>
      <c r="W41" s="302">
        <f t="shared" si="36"/>
        <v>3.1625999999999999</v>
      </c>
      <c r="X41" s="302">
        <f t="shared" si="36"/>
        <v>3.1626000000000003</v>
      </c>
      <c r="Y41" s="302">
        <f t="shared" si="36"/>
        <v>4.3344000000000005</v>
      </c>
      <c r="Z41" s="302">
        <f t="shared" si="36"/>
        <v>4.3344000000000005</v>
      </c>
      <c r="AA41" s="302">
        <f t="shared" si="36"/>
        <v>4.3343999999999987</v>
      </c>
    </row>
    <row r="42" spans="2:27">
      <c r="B42" s="223" t="str">
        <f>B88</f>
        <v>Surface Rent</v>
      </c>
      <c r="C42" s="121" t="s">
        <v>109</v>
      </c>
      <c r="D42" s="381">
        <f t="shared" ref="D42:D43" si="37">SUMPRODUCT($E$5:$AR$5,E42:AR42)/$D$5</f>
        <v>0.1764431657130078</v>
      </c>
      <c r="E42" s="302">
        <f t="shared" ref="E42:AA42" si="38">IFERROR(E88*10/E$5,0)</f>
        <v>0</v>
      </c>
      <c r="F42" s="302">
        <f t="shared" si="38"/>
        <v>0</v>
      </c>
      <c r="G42" s="302">
        <f t="shared" si="38"/>
        <v>0</v>
      </c>
      <c r="H42" s="302">
        <f t="shared" si="38"/>
        <v>0</v>
      </c>
      <c r="I42" s="302">
        <f t="shared" si="38"/>
        <v>1.0480001283800158</v>
      </c>
      <c r="J42" s="302">
        <f t="shared" si="38"/>
        <v>0.52400017619505934</v>
      </c>
      <c r="K42" s="302">
        <f t="shared" si="38"/>
        <v>0.2619999760925022</v>
      </c>
      <c r="L42" s="302">
        <f t="shared" si="38"/>
        <v>0.17466668806333596</v>
      </c>
      <c r="M42" s="302">
        <f t="shared" si="38"/>
        <v>0.13973337832748117</v>
      </c>
      <c r="N42" s="302">
        <f t="shared" si="38"/>
        <v>0.13973326682029832</v>
      </c>
      <c r="O42" s="302">
        <f t="shared" si="38"/>
        <v>0.1397333464682679</v>
      </c>
      <c r="P42" s="302">
        <f t="shared" si="38"/>
        <v>0.13973336239787273</v>
      </c>
      <c r="Q42" s="302">
        <f t="shared" si="38"/>
        <v>0.13973329867947529</v>
      </c>
      <c r="R42" s="302">
        <f t="shared" si="38"/>
        <v>0.13973337832748117</v>
      </c>
      <c r="S42" s="302">
        <f t="shared" si="38"/>
        <v>0.13973336239787273</v>
      </c>
      <c r="T42" s="302">
        <f t="shared" si="38"/>
        <v>0.13973331460906918</v>
      </c>
      <c r="U42" s="302">
        <f t="shared" si="38"/>
        <v>0.13973318717241956</v>
      </c>
      <c r="V42" s="302">
        <f t="shared" si="38"/>
        <v>0.13973331460906918</v>
      </c>
      <c r="W42" s="302">
        <f t="shared" si="38"/>
        <v>0.13973331460906918</v>
      </c>
      <c r="X42" s="302">
        <f t="shared" si="38"/>
        <v>0.13973333053866674</v>
      </c>
      <c r="Y42" s="302">
        <f t="shared" si="38"/>
        <v>0.2096000077552003</v>
      </c>
      <c r="Z42" s="302">
        <f t="shared" si="38"/>
        <v>0.27946656549976995</v>
      </c>
      <c r="AA42" s="302">
        <f t="shared" si="38"/>
        <v>0.95082953582745322</v>
      </c>
    </row>
    <row r="43" spans="2:27">
      <c r="B43" s="223" t="str">
        <f>B89</f>
        <v>GST on Royalty, DMF, NMET, etc</v>
      </c>
      <c r="C43" s="121" t="s">
        <v>109</v>
      </c>
      <c r="D43" s="268">
        <f t="shared" si="37"/>
        <v>28.362990506769531</v>
      </c>
      <c r="E43" s="302">
        <f t="shared" ref="E43:AA43" si="39">IFERROR(E89*10/E$5,0)</f>
        <v>0</v>
      </c>
      <c r="F43" s="302">
        <f t="shared" si="39"/>
        <v>0</v>
      </c>
      <c r="G43" s="302">
        <f t="shared" si="39"/>
        <v>0</v>
      </c>
      <c r="H43" s="302">
        <f t="shared" si="39"/>
        <v>0</v>
      </c>
      <c r="I43" s="302">
        <f t="shared" si="39"/>
        <v>29.57587202310841</v>
      </c>
      <c r="J43" s="302">
        <f t="shared" si="39"/>
        <v>29.481552031715108</v>
      </c>
      <c r="K43" s="302">
        <f t="shared" si="39"/>
        <v>29.434391995696657</v>
      </c>
      <c r="L43" s="302">
        <f t="shared" si="39"/>
        <v>29.418672003851402</v>
      </c>
      <c r="M43" s="302">
        <f t="shared" si="39"/>
        <v>29.412384008098936</v>
      </c>
      <c r="N43" s="302">
        <f t="shared" si="39"/>
        <v>29.412383988027656</v>
      </c>
      <c r="O43" s="302">
        <f t="shared" si="39"/>
        <v>29.412384002364284</v>
      </c>
      <c r="P43" s="302">
        <f t="shared" si="39"/>
        <v>29.412384005231615</v>
      </c>
      <c r="Q43" s="302">
        <f t="shared" si="39"/>
        <v>29.412383993762308</v>
      </c>
      <c r="R43" s="302">
        <f t="shared" si="39"/>
        <v>29.412384008098936</v>
      </c>
      <c r="S43" s="302">
        <f t="shared" si="39"/>
        <v>29.412384005231615</v>
      </c>
      <c r="T43" s="302">
        <f t="shared" si="39"/>
        <v>29.412383996629636</v>
      </c>
      <c r="U43" s="302">
        <f t="shared" si="39"/>
        <v>29.412383973691039</v>
      </c>
      <c r="V43" s="302">
        <f t="shared" si="39"/>
        <v>29.412383996629636</v>
      </c>
      <c r="W43" s="302">
        <f t="shared" si="39"/>
        <v>21.467579996629635</v>
      </c>
      <c r="X43" s="302">
        <f t="shared" si="39"/>
        <v>21.467579999496962</v>
      </c>
      <c r="Y43" s="302">
        <f t="shared" si="39"/>
        <v>29.424960001395938</v>
      </c>
      <c r="Z43" s="302">
        <f t="shared" si="39"/>
        <v>29.43753598178996</v>
      </c>
      <c r="AA43" s="302">
        <f t="shared" si="39"/>
        <v>29.558381316448944</v>
      </c>
    </row>
    <row r="44" spans="2:27">
      <c r="B44" s="223" t="str">
        <f>B90</f>
        <v>Progressive Mine Closure Costs</v>
      </c>
      <c r="C44" s="121" t="s">
        <v>109</v>
      </c>
      <c r="D44" s="268">
        <f t="shared" si="31"/>
        <v>12.963778132962286</v>
      </c>
      <c r="E44" s="302">
        <f t="shared" ref="E44:AA44" si="40">IFERROR(E90*10/E$5,0)</f>
        <v>0</v>
      </c>
      <c r="F44" s="302">
        <f t="shared" si="40"/>
        <v>0</v>
      </c>
      <c r="G44" s="302">
        <f t="shared" si="40"/>
        <v>0</v>
      </c>
      <c r="H44" s="302">
        <f t="shared" si="40"/>
        <v>0</v>
      </c>
      <c r="I44" s="302">
        <f t="shared" si="40"/>
        <v>47.905658889885729</v>
      </c>
      <c r="J44" s="302">
        <f t="shared" si="40"/>
        <v>25.150476293104973</v>
      </c>
      <c r="K44" s="302">
        <f t="shared" si="40"/>
        <v>13.203994409170605</v>
      </c>
      <c r="L44" s="302">
        <f t="shared" si="40"/>
        <v>9.2427980620673296</v>
      </c>
      <c r="M44" s="302">
        <f t="shared" si="40"/>
        <v>7.7639519210451535</v>
      </c>
      <c r="N44" s="302">
        <f t="shared" si="40"/>
        <v>8.1521430116851938</v>
      </c>
      <c r="O44" s="302">
        <f t="shared" si="40"/>
        <v>8.5597550413275041</v>
      </c>
      <c r="P44" s="302">
        <f t="shared" si="40"/>
        <v>8.9877438179967744</v>
      </c>
      <c r="Q44" s="302">
        <f t="shared" si="40"/>
        <v>9.4371267055659409</v>
      </c>
      <c r="R44" s="302">
        <f t="shared" si="40"/>
        <v>9.9089886889663905</v>
      </c>
      <c r="S44" s="302">
        <f t="shared" si="40"/>
        <v>10.404436937308517</v>
      </c>
      <c r="T44" s="302">
        <f t="shared" si="40"/>
        <v>10.924655047941142</v>
      </c>
      <c r="U44" s="302">
        <f t="shared" si="40"/>
        <v>11.470877338899468</v>
      </c>
      <c r="V44" s="302">
        <f t="shared" si="40"/>
        <v>12.04443219035511</v>
      </c>
      <c r="W44" s="302">
        <f t="shared" si="40"/>
        <v>12.646653799872865</v>
      </c>
      <c r="X44" s="302">
        <f t="shared" si="40"/>
        <v>13.278988003670941</v>
      </c>
      <c r="Y44" s="302">
        <f t="shared" si="40"/>
        <v>20.914407297902919</v>
      </c>
      <c r="Z44" s="302">
        <f t="shared" si="40"/>
        <v>29.280158534280403</v>
      </c>
      <c r="AA44" s="302">
        <f t="shared" si="40"/>
        <v>104.60092595775413</v>
      </c>
    </row>
    <row r="45" spans="2:27">
      <c r="B45" s="1268" t="str">
        <f>B91</f>
        <v>Bank Fee on PBG</v>
      </c>
      <c r="C45" s="1220" t="s">
        <v>109</v>
      </c>
      <c r="D45" s="1026">
        <f t="shared" si="31"/>
        <v>2.2153887366742491</v>
      </c>
      <c r="E45" s="1263">
        <f t="shared" ref="E45:AA45" si="41">IFERROR(E91*10/E$5,0)</f>
        <v>0</v>
      </c>
      <c r="F45" s="1263">
        <f t="shared" si="41"/>
        <v>0</v>
      </c>
      <c r="G45" s="1263">
        <f t="shared" si="41"/>
        <v>0</v>
      </c>
      <c r="H45" s="1263">
        <f t="shared" si="41"/>
        <v>0</v>
      </c>
      <c r="I45" s="1269">
        <f t="shared" si="41"/>
        <v>13.158501611916449</v>
      </c>
      <c r="J45" s="1263">
        <f t="shared" si="41"/>
        <v>6.5792522122735582</v>
      </c>
      <c r="K45" s="1263">
        <f t="shared" si="41"/>
        <v>3.2896246998217467</v>
      </c>
      <c r="L45" s="1263">
        <f t="shared" si="41"/>
        <v>2.1930836019860749</v>
      </c>
      <c r="M45" s="1263">
        <f t="shared" si="41"/>
        <v>1.7544672316051155</v>
      </c>
      <c r="N45" s="1263">
        <f t="shared" si="41"/>
        <v>1.7544658315409309</v>
      </c>
      <c r="O45" s="1263">
        <f t="shared" si="41"/>
        <v>1.754466831586549</v>
      </c>
      <c r="P45" s="1263">
        <f t="shared" si="41"/>
        <v>1.7544670315958095</v>
      </c>
      <c r="Q45" s="1263">
        <f t="shared" si="41"/>
        <v>1.7544662315590416</v>
      </c>
      <c r="R45" s="1263">
        <f t="shared" si="41"/>
        <v>1.7544672316051155</v>
      </c>
      <c r="S45" s="1263">
        <f t="shared" si="41"/>
        <v>1.7544670315958095</v>
      </c>
      <c r="T45" s="1263">
        <f t="shared" si="41"/>
        <v>1.7544664315681651</v>
      </c>
      <c r="U45" s="1263">
        <f t="shared" si="41"/>
        <v>1.7544648314964533</v>
      </c>
      <c r="V45" s="1263">
        <f t="shared" si="41"/>
        <v>1.7544664315681651</v>
      </c>
      <c r="W45" s="1263">
        <f t="shared" si="41"/>
        <v>1.7544664315681651</v>
      </c>
      <c r="X45" s="1263">
        <f t="shared" si="41"/>
        <v>1.7544666315773345</v>
      </c>
      <c r="Y45" s="1263">
        <f t="shared" si="41"/>
        <v>2.6317000973729039</v>
      </c>
      <c r="Z45" s="1263">
        <f t="shared" si="41"/>
        <v>3.5089320630999272</v>
      </c>
      <c r="AA45" s="1263">
        <f t="shared" si="41"/>
        <v>11.938445083192313</v>
      </c>
    </row>
    <row r="46" spans="2:27">
      <c r="B46" s="263" t="str">
        <f>B92</f>
        <v xml:space="preserve">Sub Total </v>
      </c>
      <c r="C46" s="117" t="s">
        <v>109</v>
      </c>
      <c r="D46" s="307">
        <f>SUMPRODUCT($E$5:$AR$5,E46:AR46)/$D$5</f>
        <v>442.47507952467464</v>
      </c>
      <c r="E46" s="302">
        <f t="shared" ref="E46:AA46" si="42">IFERROR(E92*10/E$5,0)</f>
        <v>0</v>
      </c>
      <c r="F46" s="302">
        <f t="shared" si="42"/>
        <v>0</v>
      </c>
      <c r="G46" s="302">
        <f t="shared" si="42"/>
        <v>0</v>
      </c>
      <c r="H46" s="302">
        <f t="shared" si="42"/>
        <v>0</v>
      </c>
      <c r="I46" s="302">
        <f t="shared" si="42"/>
        <v>382.81523265329059</v>
      </c>
      <c r="J46" s="302">
        <f t="shared" si="42"/>
        <v>352.86248071328868</v>
      </c>
      <c r="K46" s="302">
        <f t="shared" si="42"/>
        <v>414.95234025111006</v>
      </c>
      <c r="L46" s="302">
        <f t="shared" si="42"/>
        <v>460.02122035596824</v>
      </c>
      <c r="M46" s="302">
        <f t="shared" si="42"/>
        <v>458.06253653907669</v>
      </c>
      <c r="N46" s="302">
        <f t="shared" si="42"/>
        <v>458.45072609807414</v>
      </c>
      <c r="O46" s="302">
        <f t="shared" si="42"/>
        <v>458.85833922174669</v>
      </c>
      <c r="P46" s="302">
        <f t="shared" si="42"/>
        <v>459.28632821722204</v>
      </c>
      <c r="Q46" s="302">
        <f t="shared" si="42"/>
        <v>459.73571022956685</v>
      </c>
      <c r="R46" s="302">
        <f t="shared" si="42"/>
        <v>460.20757330699792</v>
      </c>
      <c r="S46" s="302">
        <f t="shared" si="42"/>
        <v>460.70302133653388</v>
      </c>
      <c r="T46" s="302">
        <f t="shared" si="42"/>
        <v>461.22323879074793</v>
      </c>
      <c r="U46" s="302">
        <f t="shared" si="42"/>
        <v>461.76945933125938</v>
      </c>
      <c r="V46" s="302">
        <f t="shared" si="42"/>
        <v>462.34301593316195</v>
      </c>
      <c r="W46" s="302">
        <f t="shared" si="42"/>
        <v>341.72643354267979</v>
      </c>
      <c r="X46" s="302">
        <f t="shared" si="42"/>
        <v>342.3587679652839</v>
      </c>
      <c r="Y46" s="302">
        <f t="shared" si="42"/>
        <v>472.17266740442716</v>
      </c>
      <c r="Z46" s="302">
        <f t="shared" si="42"/>
        <v>481.49809314467018</v>
      </c>
      <c r="AA46" s="302">
        <f t="shared" si="42"/>
        <v>566.04058189322268</v>
      </c>
    </row>
    <row r="47" spans="2:27">
      <c r="B47" s="117"/>
      <c r="C47" s="121"/>
      <c r="D47" s="224"/>
    </row>
    <row r="48" spans="2:27">
      <c r="B48" s="117" t="str">
        <f>B94</f>
        <v>Transporation</v>
      </c>
      <c r="C48" s="121"/>
      <c r="D48" s="224"/>
    </row>
    <row r="49" spans="2:27">
      <c r="B49" s="1267" t="str">
        <f>B95</f>
        <v>Coal Transport (Railway)</v>
      </c>
      <c r="C49" s="1008" t="s">
        <v>109</v>
      </c>
      <c r="D49" s="1265">
        <f>SUMPRODUCT($E$5:$AR$5,E49:AR49)/$D$5</f>
        <v>0</v>
      </c>
      <c r="E49" s="445">
        <f t="shared" ref="E49:AA49" si="43">IFERROR(E95*10/E$5,0)</f>
        <v>0</v>
      </c>
      <c r="F49" s="445">
        <f t="shared" si="43"/>
        <v>0</v>
      </c>
      <c r="G49" s="445">
        <f t="shared" si="43"/>
        <v>0</v>
      </c>
      <c r="H49" s="445">
        <f t="shared" si="43"/>
        <v>0</v>
      </c>
      <c r="I49" s="445">
        <f t="shared" si="43"/>
        <v>0</v>
      </c>
      <c r="J49" s="445">
        <f t="shared" si="43"/>
        <v>0</v>
      </c>
      <c r="K49" s="445">
        <f t="shared" si="43"/>
        <v>0</v>
      </c>
      <c r="L49" s="445">
        <f t="shared" si="43"/>
        <v>0</v>
      </c>
      <c r="M49" s="445">
        <f t="shared" si="43"/>
        <v>0</v>
      </c>
      <c r="N49" s="445">
        <f t="shared" si="43"/>
        <v>0</v>
      </c>
      <c r="O49" s="445">
        <f t="shared" si="43"/>
        <v>0</v>
      </c>
      <c r="P49" s="445">
        <f t="shared" si="43"/>
        <v>0</v>
      </c>
      <c r="Q49" s="445">
        <f t="shared" si="43"/>
        <v>0</v>
      </c>
      <c r="R49" s="445">
        <f t="shared" si="43"/>
        <v>0</v>
      </c>
      <c r="S49" s="445">
        <f t="shared" si="43"/>
        <v>0</v>
      </c>
      <c r="T49" s="445">
        <f t="shared" si="43"/>
        <v>0</v>
      </c>
      <c r="U49" s="445">
        <f t="shared" si="43"/>
        <v>0</v>
      </c>
      <c r="V49" s="445">
        <f t="shared" si="43"/>
        <v>0</v>
      </c>
      <c r="W49" s="445">
        <f t="shared" si="43"/>
        <v>0</v>
      </c>
      <c r="X49" s="445">
        <f t="shared" si="43"/>
        <v>0</v>
      </c>
      <c r="Y49" s="445">
        <f t="shared" si="43"/>
        <v>0</v>
      </c>
      <c r="Z49" s="445">
        <f t="shared" si="43"/>
        <v>0</v>
      </c>
      <c r="AA49" s="445">
        <f t="shared" si="43"/>
        <v>0</v>
      </c>
    </row>
    <row r="50" spans="2:27">
      <c r="B50" s="223" t="str">
        <f>B96</f>
        <v>Coal Transport (Road)</v>
      </c>
      <c r="C50" s="121" t="s">
        <v>109</v>
      </c>
      <c r="D50" s="268">
        <f>SUMPRODUCT($E$5:$AR$5,E50:AR50)/$D$5</f>
        <v>0</v>
      </c>
      <c r="E50" s="302">
        <f t="shared" ref="E50:AA50" si="44">IFERROR(E96*10/E$5,0)</f>
        <v>0</v>
      </c>
      <c r="F50" s="302">
        <f t="shared" si="44"/>
        <v>0</v>
      </c>
      <c r="G50" s="302">
        <f t="shared" si="44"/>
        <v>0</v>
      </c>
      <c r="H50" s="302">
        <f t="shared" si="44"/>
        <v>0</v>
      </c>
      <c r="I50" s="302">
        <f t="shared" si="44"/>
        <v>0</v>
      </c>
      <c r="J50" s="302">
        <f t="shared" si="44"/>
        <v>0</v>
      </c>
      <c r="K50" s="302">
        <f t="shared" si="44"/>
        <v>0</v>
      </c>
      <c r="L50" s="302">
        <f t="shared" si="44"/>
        <v>0</v>
      </c>
      <c r="M50" s="302">
        <f t="shared" si="44"/>
        <v>0</v>
      </c>
      <c r="N50" s="302">
        <f t="shared" si="44"/>
        <v>0</v>
      </c>
      <c r="O50" s="302">
        <f t="shared" si="44"/>
        <v>0</v>
      </c>
      <c r="P50" s="302">
        <f t="shared" si="44"/>
        <v>0</v>
      </c>
      <c r="Q50" s="302">
        <f t="shared" si="44"/>
        <v>0</v>
      </c>
      <c r="R50" s="302">
        <f t="shared" si="44"/>
        <v>0</v>
      </c>
      <c r="S50" s="302">
        <f t="shared" si="44"/>
        <v>0</v>
      </c>
      <c r="T50" s="302">
        <f t="shared" si="44"/>
        <v>0</v>
      </c>
      <c r="U50" s="302">
        <f t="shared" si="44"/>
        <v>0</v>
      </c>
      <c r="V50" s="302">
        <f t="shared" si="44"/>
        <v>0</v>
      </c>
      <c r="W50" s="302">
        <f t="shared" si="44"/>
        <v>0</v>
      </c>
      <c r="X50" s="302">
        <f t="shared" si="44"/>
        <v>0</v>
      </c>
      <c r="Y50" s="302">
        <f t="shared" si="44"/>
        <v>0</v>
      </c>
      <c r="Z50" s="302">
        <f t="shared" si="44"/>
        <v>0</v>
      </c>
      <c r="AA50" s="302">
        <f t="shared" si="44"/>
        <v>0</v>
      </c>
    </row>
    <row r="51" spans="2:27">
      <c r="B51" s="1268" t="str">
        <f>B97</f>
        <v>Contigency</v>
      </c>
      <c r="C51" s="1220" t="s">
        <v>109</v>
      </c>
      <c r="D51" s="1270">
        <f>SUMPRODUCT($E$5:$AR$5,E51:AR51)/$D$5</f>
        <v>0</v>
      </c>
      <c r="E51" s="1263">
        <f t="shared" ref="E51:AA51" si="45">IFERROR(E97*10/E$5,0)</f>
        <v>0</v>
      </c>
      <c r="F51" s="1263">
        <f t="shared" si="45"/>
        <v>0</v>
      </c>
      <c r="G51" s="1263">
        <f t="shared" si="45"/>
        <v>0</v>
      </c>
      <c r="H51" s="1263">
        <f t="shared" si="45"/>
        <v>0</v>
      </c>
      <c r="I51" s="1263">
        <f t="shared" si="45"/>
        <v>0</v>
      </c>
      <c r="J51" s="1263">
        <f t="shared" si="45"/>
        <v>0</v>
      </c>
      <c r="K51" s="1263">
        <f t="shared" si="45"/>
        <v>0</v>
      </c>
      <c r="L51" s="1263">
        <f t="shared" si="45"/>
        <v>0</v>
      </c>
      <c r="M51" s="1263">
        <f t="shared" si="45"/>
        <v>0</v>
      </c>
      <c r="N51" s="1263">
        <f t="shared" si="45"/>
        <v>0</v>
      </c>
      <c r="O51" s="1263">
        <f t="shared" si="45"/>
        <v>0</v>
      </c>
      <c r="P51" s="1263">
        <f t="shared" si="45"/>
        <v>0</v>
      </c>
      <c r="Q51" s="1263">
        <f t="shared" si="45"/>
        <v>0</v>
      </c>
      <c r="R51" s="1263">
        <f t="shared" si="45"/>
        <v>0</v>
      </c>
      <c r="S51" s="1263">
        <f t="shared" si="45"/>
        <v>0</v>
      </c>
      <c r="T51" s="1263">
        <f t="shared" si="45"/>
        <v>0</v>
      </c>
      <c r="U51" s="1263">
        <f t="shared" si="45"/>
        <v>0</v>
      </c>
      <c r="V51" s="1263">
        <f t="shared" si="45"/>
        <v>0</v>
      </c>
      <c r="W51" s="1263">
        <f t="shared" si="45"/>
        <v>0</v>
      </c>
      <c r="X51" s="1263">
        <f t="shared" si="45"/>
        <v>0</v>
      </c>
      <c r="Y51" s="1263">
        <f t="shared" si="45"/>
        <v>0</v>
      </c>
      <c r="Z51" s="1263">
        <f t="shared" si="45"/>
        <v>0</v>
      </c>
      <c r="AA51" s="1263">
        <f t="shared" si="45"/>
        <v>0</v>
      </c>
    </row>
    <row r="52" spans="2:27">
      <c r="B52" s="263" t="str">
        <f>B98</f>
        <v>Sub Total</v>
      </c>
      <c r="C52" s="117" t="s">
        <v>109</v>
      </c>
      <c r="D52" s="303">
        <f>SUMPRODUCT($E$5:$AR$5,E52:AR52)/$D$5</f>
        <v>0</v>
      </c>
      <c r="E52" s="302">
        <f t="shared" ref="E52:AA52" si="46">IFERROR(E98*10/E$5,0)</f>
        <v>0</v>
      </c>
      <c r="F52" s="302">
        <f t="shared" si="46"/>
        <v>0</v>
      </c>
      <c r="G52" s="302">
        <f t="shared" si="46"/>
        <v>0</v>
      </c>
      <c r="H52" s="302">
        <f t="shared" si="46"/>
        <v>0</v>
      </c>
      <c r="I52" s="302">
        <f t="shared" si="46"/>
        <v>0</v>
      </c>
      <c r="J52" s="302">
        <f t="shared" si="46"/>
        <v>0</v>
      </c>
      <c r="K52" s="302">
        <f t="shared" si="46"/>
        <v>0</v>
      </c>
      <c r="L52" s="302">
        <f t="shared" si="46"/>
        <v>0</v>
      </c>
      <c r="M52" s="302">
        <f t="shared" si="46"/>
        <v>0</v>
      </c>
      <c r="N52" s="302">
        <f t="shared" si="46"/>
        <v>0</v>
      </c>
      <c r="O52" s="302">
        <f t="shared" si="46"/>
        <v>0</v>
      </c>
      <c r="P52" s="302">
        <f t="shared" si="46"/>
        <v>0</v>
      </c>
      <c r="Q52" s="302">
        <f t="shared" si="46"/>
        <v>0</v>
      </c>
      <c r="R52" s="302">
        <f t="shared" si="46"/>
        <v>0</v>
      </c>
      <c r="S52" s="302">
        <f t="shared" si="46"/>
        <v>0</v>
      </c>
      <c r="T52" s="302">
        <f t="shared" si="46"/>
        <v>0</v>
      </c>
      <c r="U52" s="302">
        <f t="shared" si="46"/>
        <v>0</v>
      </c>
      <c r="V52" s="302">
        <f t="shared" si="46"/>
        <v>0</v>
      </c>
      <c r="W52" s="302">
        <f t="shared" si="46"/>
        <v>0</v>
      </c>
      <c r="X52" s="302">
        <f t="shared" si="46"/>
        <v>0</v>
      </c>
      <c r="Y52" s="302">
        <f t="shared" si="46"/>
        <v>0</v>
      </c>
      <c r="Z52" s="302">
        <f t="shared" si="46"/>
        <v>0</v>
      </c>
      <c r="AA52" s="302">
        <f t="shared" si="46"/>
        <v>0</v>
      </c>
    </row>
    <row r="53" spans="2:27" ht="14" thickBot="1">
      <c r="B53" s="225" t="s">
        <v>665</v>
      </c>
      <c r="C53" s="225" t="s">
        <v>109</v>
      </c>
      <c r="D53" s="226">
        <f t="shared" ref="D53:AA53" ca="1" si="47">SUM(D13,D21,D35,D46,D52)</f>
        <v>878.60255554209903</v>
      </c>
      <c r="E53" s="322">
        <f t="shared" si="47"/>
        <v>0</v>
      </c>
      <c r="F53" s="322">
        <f t="shared" si="47"/>
        <v>0</v>
      </c>
      <c r="G53" s="322">
        <f t="shared" si="47"/>
        <v>0</v>
      </c>
      <c r="H53" s="322">
        <f t="shared" si="47"/>
        <v>0</v>
      </c>
      <c r="I53" s="322">
        <f t="shared" ca="1" si="47"/>
        <v>1294.1127888283315</v>
      </c>
      <c r="J53" s="322">
        <f t="shared" ca="1" si="47"/>
        <v>837.07035478510534</v>
      </c>
      <c r="K53" s="322">
        <f t="shared" ca="1" si="47"/>
        <v>775.64019590006876</v>
      </c>
      <c r="L53" s="322">
        <f t="shared" ca="1" si="47"/>
        <v>894.3328081799483</v>
      </c>
      <c r="M53" s="322">
        <f t="shared" ca="1" si="47"/>
        <v>824.54481419914555</v>
      </c>
      <c r="N53" s="322">
        <f t="shared" ca="1" si="47"/>
        <v>908.37449478946007</v>
      </c>
      <c r="O53" s="322">
        <f t="shared" ca="1" si="47"/>
        <v>956.6656501190273</v>
      </c>
      <c r="P53" s="322">
        <f t="shared" ca="1" si="47"/>
        <v>922.70509558392064</v>
      </c>
      <c r="Q53" s="322">
        <f t="shared" ca="1" si="47"/>
        <v>938.19824891419205</v>
      </c>
      <c r="R53" s="322">
        <f t="shared" ca="1" si="47"/>
        <v>919.73403791447481</v>
      </c>
      <c r="S53" s="322">
        <f t="shared" ca="1" si="47"/>
        <v>920.9109611685459</v>
      </c>
      <c r="T53" s="322">
        <f t="shared" ca="1" si="47"/>
        <v>866.40302669558594</v>
      </c>
      <c r="U53" s="322">
        <f t="shared" ca="1" si="47"/>
        <v>847.52423515176906</v>
      </c>
      <c r="V53" s="322">
        <f t="shared" ca="1" si="47"/>
        <v>884.83759650077729</v>
      </c>
      <c r="W53" s="322">
        <f t="shared" ca="1" si="47"/>
        <v>726.74199870792768</v>
      </c>
      <c r="X53" s="322">
        <f t="shared" ca="1" si="47"/>
        <v>776.52037451106207</v>
      </c>
      <c r="Y53" s="322">
        <f t="shared" ca="1" si="47"/>
        <v>930.79083265930183</v>
      </c>
      <c r="Z53" s="322">
        <f t="shared" ca="1" si="47"/>
        <v>794.93867493419873</v>
      </c>
      <c r="AA53" s="322">
        <f t="shared" ca="1" si="47"/>
        <v>1253.6238817563199</v>
      </c>
    </row>
    <row r="54" spans="2:27" ht="14" thickTop="1">
      <c r="B54" s="227"/>
      <c r="C54" s="228" t="s">
        <v>170</v>
      </c>
      <c r="D54" s="229">
        <f t="shared" ref="D54:AA54" ca="1" si="48">IFERROR(D53/D6,0)</f>
        <v>0.28220195235541246</v>
      </c>
      <c r="E54" s="188">
        <f t="shared" si="48"/>
        <v>0</v>
      </c>
      <c r="F54" s="326">
        <f t="shared" si="48"/>
        <v>0</v>
      </c>
      <c r="G54" s="326">
        <f t="shared" si="48"/>
        <v>0</v>
      </c>
      <c r="H54" s="326">
        <f t="shared" si="48"/>
        <v>0</v>
      </c>
      <c r="I54" s="326">
        <f t="shared" ca="1" si="48"/>
        <v>0.4031504015041531</v>
      </c>
      <c r="J54" s="326">
        <f t="shared" ca="1" si="48"/>
        <v>0.26573662056670011</v>
      </c>
      <c r="K54" s="326">
        <f t="shared" ca="1" si="48"/>
        <v>0.24545575819622428</v>
      </c>
      <c r="L54" s="326">
        <f t="shared" ca="1" si="48"/>
        <v>0.2839151771999836</v>
      </c>
      <c r="M54" s="326">
        <f t="shared" ca="1" si="48"/>
        <v>0.26427718403818767</v>
      </c>
      <c r="N54" s="326">
        <f t="shared" ca="1" si="48"/>
        <v>0.28475689491832606</v>
      </c>
      <c r="O54" s="326">
        <f t="shared" ca="1" si="48"/>
        <v>0.3096005340191027</v>
      </c>
      <c r="P54" s="326">
        <f t="shared" ca="1" si="48"/>
        <v>0.29199528341263309</v>
      </c>
      <c r="Q54" s="326">
        <f t="shared" ca="1" si="48"/>
        <v>0.29410603414237996</v>
      </c>
      <c r="R54" s="326">
        <f t="shared" ca="1" si="48"/>
        <v>0.28040671887636426</v>
      </c>
      <c r="S54" s="326">
        <f t="shared" ca="1" si="48"/>
        <v>0.28076553694162987</v>
      </c>
      <c r="T54" s="326">
        <f t="shared" ca="1" si="48"/>
        <v>0.28688841943562449</v>
      </c>
      <c r="U54" s="326">
        <f t="shared" ca="1" si="48"/>
        <v>0.27164238306146443</v>
      </c>
      <c r="V54" s="326">
        <f t="shared" ca="1" si="48"/>
        <v>0.28543148274218622</v>
      </c>
      <c r="W54" s="326">
        <f t="shared" ca="1" si="48"/>
        <v>0.25499719252909742</v>
      </c>
      <c r="X54" s="326">
        <f t="shared" ca="1" si="48"/>
        <v>0.26145467155254615</v>
      </c>
      <c r="Y54" s="326">
        <f t="shared" ca="1" si="48"/>
        <v>0.30820888498652377</v>
      </c>
      <c r="Z54" s="326">
        <f t="shared" ca="1" si="48"/>
        <v>0.26149298517572328</v>
      </c>
      <c r="AA54" s="326">
        <f t="shared" ca="1" si="48"/>
        <v>0.39175746304884995</v>
      </c>
    </row>
    <row r="55" spans="2:27">
      <c r="B55" s="227"/>
      <c r="C55" s="228"/>
      <c r="D55" s="737"/>
    </row>
    <row r="56" spans="2:27">
      <c r="B56" s="202"/>
      <c r="C56" s="203"/>
      <c r="D56" s="190"/>
      <c r="E56" s="201">
        <f t="shared" ref="E56:AA56" si="49">E10</f>
        <v>46023</v>
      </c>
      <c r="F56" s="201">
        <f t="shared" si="49"/>
        <v>46389</v>
      </c>
      <c r="G56" s="201">
        <f t="shared" si="49"/>
        <v>46755</v>
      </c>
      <c r="H56" s="201">
        <f t="shared" si="49"/>
        <v>47121</v>
      </c>
      <c r="I56" s="201">
        <f t="shared" si="49"/>
        <v>47487</v>
      </c>
      <c r="J56" s="201">
        <f t="shared" si="49"/>
        <v>47853</v>
      </c>
      <c r="K56" s="201">
        <f t="shared" si="49"/>
        <v>48219</v>
      </c>
      <c r="L56" s="201">
        <f t="shared" si="49"/>
        <v>48585</v>
      </c>
      <c r="M56" s="201">
        <f t="shared" si="49"/>
        <v>48951</v>
      </c>
      <c r="N56" s="201">
        <f t="shared" si="49"/>
        <v>49317</v>
      </c>
      <c r="O56" s="201">
        <f t="shared" si="49"/>
        <v>49683</v>
      </c>
      <c r="P56" s="201">
        <f t="shared" si="49"/>
        <v>50049</v>
      </c>
      <c r="Q56" s="201">
        <f t="shared" si="49"/>
        <v>50415</v>
      </c>
      <c r="R56" s="201">
        <f t="shared" si="49"/>
        <v>50781</v>
      </c>
      <c r="S56" s="201">
        <f t="shared" si="49"/>
        <v>51147</v>
      </c>
      <c r="T56" s="201">
        <f t="shared" si="49"/>
        <v>51513</v>
      </c>
      <c r="U56" s="201">
        <f t="shared" si="49"/>
        <v>51879</v>
      </c>
      <c r="V56" s="201">
        <f t="shared" si="49"/>
        <v>52245</v>
      </c>
      <c r="W56" s="201">
        <f t="shared" si="49"/>
        <v>52611</v>
      </c>
      <c r="X56" s="201">
        <f t="shared" si="49"/>
        <v>52977</v>
      </c>
      <c r="Y56" s="201">
        <f t="shared" si="49"/>
        <v>53343</v>
      </c>
      <c r="Z56" s="201">
        <f t="shared" si="49"/>
        <v>53709</v>
      </c>
      <c r="AA56" s="201">
        <f t="shared" si="49"/>
        <v>54075</v>
      </c>
    </row>
    <row r="57" spans="2:27">
      <c r="B57" s="788" t="s">
        <v>34</v>
      </c>
      <c r="C57" s="788" t="s">
        <v>95</v>
      </c>
      <c r="D57" s="1223" t="s">
        <v>96</v>
      </c>
      <c r="E57" s="1141">
        <f t="shared" ref="E57:AA57" si="50">E11</f>
        <v>-4</v>
      </c>
      <c r="F57" s="1141">
        <f t="shared" si="50"/>
        <v>-3</v>
      </c>
      <c r="G57" s="1141">
        <f t="shared" si="50"/>
        <v>-2</v>
      </c>
      <c r="H57" s="1141">
        <f t="shared" si="50"/>
        <v>-1</v>
      </c>
      <c r="I57" s="1141">
        <f t="shared" si="50"/>
        <v>1</v>
      </c>
      <c r="J57" s="1141">
        <f t="shared" si="50"/>
        <v>2</v>
      </c>
      <c r="K57" s="1141">
        <f t="shared" si="50"/>
        <v>3</v>
      </c>
      <c r="L57" s="1141">
        <f t="shared" si="50"/>
        <v>4</v>
      </c>
      <c r="M57" s="1141">
        <f t="shared" si="50"/>
        <v>5</v>
      </c>
      <c r="N57" s="1141">
        <f t="shared" si="50"/>
        <v>6</v>
      </c>
      <c r="O57" s="1141">
        <f t="shared" si="50"/>
        <v>7</v>
      </c>
      <c r="P57" s="1141">
        <f t="shared" si="50"/>
        <v>8</v>
      </c>
      <c r="Q57" s="1141">
        <f t="shared" si="50"/>
        <v>9</v>
      </c>
      <c r="R57" s="1141">
        <f t="shared" si="50"/>
        <v>10</v>
      </c>
      <c r="S57" s="1141">
        <f t="shared" si="50"/>
        <v>11</v>
      </c>
      <c r="T57" s="1141">
        <f t="shared" si="50"/>
        <v>12</v>
      </c>
      <c r="U57" s="1141">
        <f t="shared" si="50"/>
        <v>13</v>
      </c>
      <c r="V57" s="1141">
        <f t="shared" si="50"/>
        <v>14</v>
      </c>
      <c r="W57" s="1141">
        <f t="shared" si="50"/>
        <v>15</v>
      </c>
      <c r="X57" s="1141">
        <f t="shared" si="50"/>
        <v>16</v>
      </c>
      <c r="Y57" s="1141">
        <f t="shared" si="50"/>
        <v>17</v>
      </c>
      <c r="Z57" s="1141">
        <f t="shared" si="50"/>
        <v>18</v>
      </c>
      <c r="AA57" s="1141">
        <f t="shared" si="50"/>
        <v>19</v>
      </c>
    </row>
    <row r="58" spans="2:27">
      <c r="B58" s="117"/>
      <c r="C58" s="121"/>
      <c r="D58" s="190"/>
    </row>
    <row r="59" spans="2:27">
      <c r="B59" s="1268" t="s">
        <v>299</v>
      </c>
      <c r="C59" s="1271" t="s">
        <v>134</v>
      </c>
      <c r="D59" s="1270">
        <f>SUM(E59:AR59)</f>
        <v>0</v>
      </c>
      <c r="E59" s="1026">
        <f>IF(Assumptions_Dashboard!$L$4="MDO",'Contractor OPEX'!E20,0)</f>
        <v>0</v>
      </c>
      <c r="F59" s="1026">
        <f>IF(Assumptions_Dashboard!$L$4="MDO",'Contractor OPEX'!F20,0)</f>
        <v>0</v>
      </c>
      <c r="G59" s="1026">
        <f>IF(Assumptions_Dashboard!$L$4="MDO",'Contractor OPEX'!G20,0)</f>
        <v>0</v>
      </c>
      <c r="H59" s="1026">
        <f>IF(Assumptions_Dashboard!$L$4="MDO",'Contractor OPEX'!H20,0)</f>
        <v>0</v>
      </c>
      <c r="I59" s="1026">
        <f>IF(Assumptions_Dashboard!$L$4="MDO",'Contractor OPEX'!I20,0)</f>
        <v>0</v>
      </c>
      <c r="J59" s="1026">
        <f>IF(Assumptions_Dashboard!$L$4="MDO",'Contractor OPEX'!J20,0)</f>
        <v>0</v>
      </c>
      <c r="K59" s="1026">
        <f>IF(Assumptions_Dashboard!$L$4="MDO",'Contractor OPEX'!K20,0)</f>
        <v>0</v>
      </c>
      <c r="L59" s="1026">
        <f>IF(Assumptions_Dashboard!$L$4="MDO",'Contractor OPEX'!L20,0)</f>
        <v>0</v>
      </c>
      <c r="M59" s="1026">
        <f>IF(Assumptions_Dashboard!$L$4="MDO",'Contractor OPEX'!M20,0)</f>
        <v>0</v>
      </c>
      <c r="N59" s="1026">
        <f>IF(Assumptions_Dashboard!$L$4="MDO",'Contractor OPEX'!N20,0)</f>
        <v>0</v>
      </c>
      <c r="O59" s="1026">
        <f>IF(Assumptions_Dashboard!$L$4="MDO",'Contractor OPEX'!O20,0)</f>
        <v>0</v>
      </c>
      <c r="P59" s="1026">
        <f>IF(Assumptions_Dashboard!$L$4="MDO",'Contractor OPEX'!P20,0)</f>
        <v>0</v>
      </c>
      <c r="Q59" s="1026">
        <f>IF(Assumptions_Dashboard!$L$4="MDO",'Contractor OPEX'!Q20,0)</f>
        <v>0</v>
      </c>
      <c r="R59" s="1026">
        <f>IF(Assumptions_Dashboard!$L$4="MDO",'Contractor OPEX'!R20,0)</f>
        <v>0</v>
      </c>
      <c r="S59" s="1026">
        <f>IF(Assumptions_Dashboard!$L$4="MDO",'Contractor OPEX'!S20,0)</f>
        <v>0</v>
      </c>
      <c r="T59" s="1026">
        <f>IF(Assumptions_Dashboard!$L$4="MDO",'Contractor OPEX'!T20,0)</f>
        <v>0</v>
      </c>
      <c r="U59" s="1026">
        <f>IF(Assumptions_Dashboard!$L$4="MDO",'Contractor OPEX'!U20,0)</f>
        <v>0</v>
      </c>
      <c r="V59" s="1026">
        <f>IF(Assumptions_Dashboard!$L$4="MDO",'Contractor OPEX'!V20,0)</f>
        <v>0</v>
      </c>
      <c r="W59" s="1026">
        <f>IF(Assumptions_Dashboard!$L$4="MDO",'Contractor OPEX'!W20,0)</f>
        <v>0</v>
      </c>
      <c r="X59" s="1026">
        <f>IF(Assumptions_Dashboard!$L$4="MDO",'Contractor OPEX'!X20,0)</f>
        <v>0</v>
      </c>
      <c r="Y59" s="1026">
        <f>IF(Assumptions_Dashboard!$L$4="MDO",'Contractor OPEX'!Y20,0)</f>
        <v>0</v>
      </c>
      <c r="Z59" s="1026">
        <f>IF(Assumptions_Dashboard!$L$4="MDO",'Contractor OPEX'!Z20,0)</f>
        <v>0</v>
      </c>
      <c r="AA59" s="1026">
        <f>IF(Assumptions_Dashboard!$L$4="MDO",'Contractor OPEX'!AA20,0)</f>
        <v>0</v>
      </c>
    </row>
    <row r="60" spans="2:27" s="264" customFormat="1">
      <c r="B60" s="223"/>
      <c r="C60" s="265"/>
      <c r="D60" s="224"/>
    </row>
    <row r="61" spans="2:27" s="264" customFormat="1" ht="14">
      <c r="B61" s="1272" t="s">
        <v>666</v>
      </c>
      <c r="C61" s="1273" t="s">
        <v>134</v>
      </c>
      <c r="D61" s="783">
        <f>SUM(E61:AR61)</f>
        <v>2904.6721078804262</v>
      </c>
      <c r="E61" s="1265">
        <f>IF(Assumptions_Dashboard!$L$4="MDO",0,'Owner OPEX'!E56)</f>
        <v>0</v>
      </c>
      <c r="F61" s="1265">
        <f>IF(Assumptions_Dashboard!$L$4="MDO",0,'Owner OPEX'!F56)</f>
        <v>0</v>
      </c>
      <c r="G61" s="1265">
        <f>IF(Assumptions_Dashboard!$L$4="MDO",0,'Owner OPEX'!G56)</f>
        <v>0</v>
      </c>
      <c r="H61" s="1265">
        <f>IF(Assumptions_Dashboard!$L$4="MDO",0,'Owner OPEX'!H56)</f>
        <v>0</v>
      </c>
      <c r="I61" s="1265">
        <f>IF(Assumptions_Dashboard!$L$4="MDO",0,'Owner OPEX'!I56)</f>
        <v>27.102200291354656</v>
      </c>
      <c r="J61" s="1265">
        <f>IF(Assumptions_Dashboard!$L$4="MDO",0,'Owner OPEX'!J56)</f>
        <v>31.322884676618912</v>
      </c>
      <c r="K61" s="1265">
        <f>IF(Assumptions_Dashboard!$L$4="MDO",0,'Owner OPEX'!K56)</f>
        <v>65.685292484198129</v>
      </c>
      <c r="L61" s="1265">
        <f>IF(Assumptions_Dashboard!$L$4="MDO",0,'Owner OPEX'!L56)</f>
        <v>157.73418634820914</v>
      </c>
      <c r="M61" s="1265">
        <f>IF(Assumptions_Dashboard!$L$4="MDO",0,'Owner OPEX'!M56)</f>
        <v>171.77514737333806</v>
      </c>
      <c r="N61" s="1265">
        <f>IF(Assumptions_Dashboard!$L$4="MDO",0,'Owner OPEX'!N56)</f>
        <v>222.52771231036235</v>
      </c>
      <c r="O61" s="1265">
        <f>IF(Assumptions_Dashboard!$L$4="MDO",0,'Owner OPEX'!O56)</f>
        <v>215.33000539092419</v>
      </c>
      <c r="P61" s="1265">
        <f>IF(Assumptions_Dashboard!$L$4="MDO",0,'Owner OPEX'!P56)</f>
        <v>198.77418158175198</v>
      </c>
      <c r="Q61" s="1265">
        <f>IF(Assumptions_Dashboard!$L$4="MDO",0,'Owner OPEX'!Q56)</f>
        <v>209.02473965391516</v>
      </c>
      <c r="R61" s="1265">
        <f>IF(Assumptions_Dashboard!$L$4="MDO",0,'Owner OPEX'!R56)</f>
        <v>199.82867869714099</v>
      </c>
      <c r="S61" s="1265">
        <f>IF(Assumptions_Dashboard!$L$4="MDO",0,'Owner OPEX'!S56)</f>
        <v>214.77734982881222</v>
      </c>
      <c r="T61" s="1265">
        <f>IF(Assumptions_Dashboard!$L$4="MDO",0,'Owner OPEX'!T56)</f>
        <v>183.33932320142378</v>
      </c>
      <c r="U61" s="1265">
        <f>IF(Assumptions_Dashboard!$L$4="MDO",0,'Owner OPEX'!U56)</f>
        <v>172.65078116281231</v>
      </c>
      <c r="V61" s="1265">
        <f>IF(Assumptions_Dashboard!$L$4="MDO",0,'Owner OPEX'!V56)</f>
        <v>193.35845340590248</v>
      </c>
      <c r="W61" s="1265">
        <f>IF(Assumptions_Dashboard!$L$4="MDO",0,'Owner OPEX'!W56)</f>
        <v>193.73805495591799</v>
      </c>
      <c r="X61" s="1265">
        <f>IF(Assumptions_Dashboard!$L$4="MDO",0,'Owner OPEX'!X56)</f>
        <v>220.77414271510327</v>
      </c>
      <c r="Y61" s="1265">
        <f>IF(Assumptions_Dashboard!$L$4="MDO",0,'Owner OPEX'!Y56)</f>
        <v>145.28207411095721</v>
      </c>
      <c r="Z61" s="1265">
        <f>IF(Assumptions_Dashboard!$L$4="MDO",0,'Owner OPEX'!Z56)</f>
        <v>57.924194311383538</v>
      </c>
      <c r="AA61" s="1265">
        <f>IF(Assumptions_Dashboard!$L$4="MDO",0,'Owner OPEX'!AA56)</f>
        <v>23.722705380300781</v>
      </c>
    </row>
    <row r="62" spans="2:27" s="264" customFormat="1" ht="14">
      <c r="B62" s="267" t="s">
        <v>667</v>
      </c>
      <c r="C62" s="265" t="s">
        <v>134</v>
      </c>
      <c r="D62" s="268">
        <f t="shared" ref="D62:D66" si="51">SUM(E62:AR62)</f>
        <v>167.8093777233112</v>
      </c>
      <c r="E62" s="303">
        <f>IF(Assumptions_Dashboard!$L$4="MDO",0,'Owner OPEX'!E57)</f>
        <v>0</v>
      </c>
      <c r="F62" s="303">
        <f>IF(Assumptions_Dashboard!$L$4="MDO",0,'Owner OPEX'!F57)</f>
        <v>0</v>
      </c>
      <c r="G62" s="303">
        <f>IF(Assumptions_Dashboard!$L$4="MDO",0,'Owner OPEX'!G57)</f>
        <v>0</v>
      </c>
      <c r="H62" s="303">
        <f>IF(Assumptions_Dashboard!$L$4="MDO",0,'Owner OPEX'!H57)</f>
        <v>0</v>
      </c>
      <c r="I62" s="303">
        <f>IF(Assumptions_Dashboard!$L$4="MDO",0,'Owner OPEX'!I57)</f>
        <v>1.3710612321716447</v>
      </c>
      <c r="J62" s="303">
        <f>IF(Assumptions_Dashboard!$L$4="MDO",0,'Owner OPEX'!J57)</f>
        <v>1.5820954800749409</v>
      </c>
      <c r="K62" s="303">
        <f>IF(Assumptions_Dashboard!$L$4="MDO",0,'Owner OPEX'!K57)</f>
        <v>4.1096047340223079</v>
      </c>
      <c r="L62" s="303">
        <f>IF(Assumptions_Dashboard!$L$4="MDO",0,'Owner OPEX'!L57)</f>
        <v>9.1267128992411219</v>
      </c>
      <c r="M62" s="303">
        <f>IF(Assumptions_Dashboard!$L$4="MDO",0,'Owner OPEX'!M57)</f>
        <v>10.139758396676875</v>
      </c>
      <c r="N62" s="303">
        <f>IF(Assumptions_Dashboard!$L$4="MDO",0,'Owner OPEX'!N57)</f>
        <v>12.677387863952024</v>
      </c>
      <c r="O62" s="303">
        <f>IF(Assumptions_Dashboard!$L$4="MDO",0,'Owner OPEX'!O57)</f>
        <v>12.317501635727888</v>
      </c>
      <c r="P62" s="303">
        <f>IF(Assumptions_Dashboard!$L$4="MDO",0,'Owner OPEX'!P57)</f>
        <v>11.489710280274863</v>
      </c>
      <c r="Q62" s="303">
        <f>IF(Assumptions_Dashboard!$L$4="MDO",0,'Owner OPEX'!Q57)</f>
        <v>12.002238925689481</v>
      </c>
      <c r="R62" s="303">
        <f>IF(Assumptions_Dashboard!$L$4="MDO",0,'Owner OPEX'!R57)</f>
        <v>11.542434958775582</v>
      </c>
      <c r="S62" s="303">
        <f>IF(Assumptions_Dashboard!$L$4="MDO",0,'Owner OPEX'!S57)</f>
        <v>12.289868692627877</v>
      </c>
      <c r="T62" s="303">
        <f>IF(Assumptions_Dashboard!$L$4="MDO",0,'Owner OPEX'!T57)</f>
        <v>10.717967888973217</v>
      </c>
      <c r="U62" s="303">
        <f>IF(Assumptions_Dashboard!$L$4="MDO",0,'Owner OPEX'!U57)</f>
        <v>10.171578927202617</v>
      </c>
      <c r="V62" s="303">
        <f>IF(Assumptions_Dashboard!$L$4="MDO",0,'Owner OPEX'!V57)</f>
        <v>11.200979490395193</v>
      </c>
      <c r="W62" s="303">
        <f>IF(Assumptions_Dashboard!$L$4="MDO",0,'Owner OPEX'!W57)</f>
        <v>11.207288994399763</v>
      </c>
      <c r="X62" s="303">
        <f>IF(Assumptions_Dashboard!$L$4="MDO",0,'Owner OPEX'!X57)</f>
        <v>12.553818857510224</v>
      </c>
      <c r="Y62" s="303">
        <f>IF(Assumptions_Dashboard!$L$4="MDO",0,'Owner OPEX'!Y57)</f>
        <v>8.2608857276283221</v>
      </c>
      <c r="Z62" s="303">
        <f>IF(Assumptions_Dashboard!$L$4="MDO",0,'Owner OPEX'!Z57)</f>
        <v>3.6537658423498067</v>
      </c>
      <c r="AA62" s="303">
        <f>IF(Assumptions_Dashboard!$L$4="MDO",0,'Owner OPEX'!AA57)</f>
        <v>1.3947168956174605</v>
      </c>
    </row>
    <row r="63" spans="2:27" s="264" customFormat="1" ht="14">
      <c r="B63" s="267" t="s">
        <v>668</v>
      </c>
      <c r="C63" s="265" t="s">
        <v>134</v>
      </c>
      <c r="D63" s="268">
        <f t="shared" si="51"/>
        <v>1072.4266997135987</v>
      </c>
      <c r="E63" s="303">
        <f>IF(Assumptions_Dashboard!$L$4="MDO",0,'Owner OPEX'!E58)</f>
        <v>0</v>
      </c>
      <c r="F63" s="303">
        <f>IF(Assumptions_Dashboard!$L$4="MDO",0,'Owner OPEX'!F58)</f>
        <v>0</v>
      </c>
      <c r="G63" s="303">
        <f>IF(Assumptions_Dashboard!$L$4="MDO",0,'Owner OPEX'!G58)</f>
        <v>0</v>
      </c>
      <c r="H63" s="303">
        <f>IF(Assumptions_Dashboard!$L$4="MDO",0,'Owner OPEX'!H58)</f>
        <v>0</v>
      </c>
      <c r="I63" s="303">
        <f>IF(Assumptions_Dashboard!$L$4="MDO",0,'Owner OPEX'!I58)</f>
        <v>14.662236192712417</v>
      </c>
      <c r="J63" s="303">
        <f>IF(Assumptions_Dashboard!$L$4="MDO",0,'Owner OPEX'!J58)</f>
        <v>15.077593904471863</v>
      </c>
      <c r="K63" s="303">
        <f>IF(Assumptions_Dashboard!$L$4="MDO",0,'Owner OPEX'!K58)</f>
        <v>30.532360945162836</v>
      </c>
      <c r="L63" s="303">
        <f>IF(Assumptions_Dashboard!$L$4="MDO",0,'Owner OPEX'!L58)</f>
        <v>62.465875541538878</v>
      </c>
      <c r="M63" s="303">
        <f>IF(Assumptions_Dashboard!$L$4="MDO",0,'Owner OPEX'!M58)</f>
        <v>65.72508074497587</v>
      </c>
      <c r="N63" s="303">
        <f>IF(Assumptions_Dashboard!$L$4="MDO",0,'Owner OPEX'!N58)</f>
        <v>83.54317420055871</v>
      </c>
      <c r="O63" s="303">
        <f>IF(Assumptions_Dashboard!$L$4="MDO",0,'Owner OPEX'!O58)</f>
        <v>79.807727968993149</v>
      </c>
      <c r="P63" s="303">
        <f>IF(Assumptions_Dashboard!$L$4="MDO",0,'Owner OPEX'!P58)</f>
        <v>72.339670804719745</v>
      </c>
      <c r="Q63" s="303">
        <f>IF(Assumptions_Dashboard!$L$4="MDO",0,'Owner OPEX'!Q58)</f>
        <v>75.471834460042984</v>
      </c>
      <c r="R63" s="303">
        <f>IF(Assumptions_Dashboard!$L$4="MDO",0,'Owner OPEX'!R58)</f>
        <v>71.250588364926458</v>
      </c>
      <c r="S63" s="303">
        <f>IF(Assumptions_Dashboard!$L$4="MDO",0,'Owner OPEX'!S58)</f>
        <v>76.941311851143681</v>
      </c>
      <c r="T63" s="303">
        <f>IF(Assumptions_Dashboard!$L$4="MDO",0,'Owner OPEX'!T58)</f>
        <v>65.110184430584582</v>
      </c>
      <c r="U63" s="303">
        <f>IF(Assumptions_Dashboard!$L$4="MDO",0,'Owner OPEX'!U58)</f>
        <v>60.906019290249652</v>
      </c>
      <c r="V63" s="303">
        <f>IF(Assumptions_Dashboard!$L$4="MDO",0,'Owner OPEX'!V58)</f>
        <v>68.851251291268625</v>
      </c>
      <c r="W63" s="303">
        <f>IF(Assumptions_Dashboard!$L$4="MDO",0,'Owner OPEX'!W58)</f>
        <v>68.955198938037412</v>
      </c>
      <c r="X63" s="303">
        <f>IF(Assumptions_Dashboard!$L$4="MDO",0,'Owner OPEX'!X58)</f>
        <v>79.600411201592692</v>
      </c>
      <c r="Y63" s="303">
        <f>IF(Assumptions_Dashboard!$L$4="MDO",0,'Owner OPEX'!Y58)</f>
        <v>52.844330936610483</v>
      </c>
      <c r="Z63" s="303">
        <f>IF(Assumptions_Dashboard!$L$4="MDO",0,'Owner OPEX'!Z58)</f>
        <v>19.658376823155486</v>
      </c>
      <c r="AA63" s="303">
        <f>IF(Assumptions_Dashboard!$L$4="MDO",0,'Owner OPEX'!AA58)</f>
        <v>8.6834718228531838</v>
      </c>
    </row>
    <row r="64" spans="2:27" s="264" customFormat="1" ht="14">
      <c r="B64" s="267" t="s">
        <v>669</v>
      </c>
      <c r="C64" s="265" t="s">
        <v>134</v>
      </c>
      <c r="D64" s="268">
        <f t="shared" si="51"/>
        <v>284.5429384704438</v>
      </c>
      <c r="E64" s="303">
        <f>IF(Assumptions_Dashboard!$L$4="MDO",0,'Owner OPEX'!E59)</f>
        <v>0</v>
      </c>
      <c r="F64" s="303">
        <f>IF(Assumptions_Dashboard!$L$4="MDO",0,'Owner OPEX'!F59)</f>
        <v>0</v>
      </c>
      <c r="G64" s="303">
        <f>IF(Assumptions_Dashboard!$L$4="MDO",0,'Owner OPEX'!G59)</f>
        <v>0</v>
      </c>
      <c r="H64" s="303">
        <f>IF(Assumptions_Dashboard!$L$4="MDO",0,'Owner OPEX'!H59)</f>
        <v>0</v>
      </c>
      <c r="I64" s="303">
        <f>IF(Assumptions_Dashboard!$L$4="MDO",0,'Owner OPEX'!I59)</f>
        <v>0.98787907526671126</v>
      </c>
      <c r="J64" s="303">
        <f>IF(Assumptions_Dashboard!$L$4="MDO",0,'Owner OPEX'!J59)</f>
        <v>1.2232458747086357</v>
      </c>
      <c r="K64" s="303">
        <f>IF(Assumptions_Dashboard!$L$4="MDO",0,'Owner OPEX'!K59)</f>
        <v>2.6694862383879969</v>
      </c>
      <c r="L64" s="303">
        <f>IF(Assumptions_Dashboard!$L$4="MDO",0,'Owner OPEX'!L59)</f>
        <v>14.427118622428113</v>
      </c>
      <c r="M64" s="303">
        <f>IF(Assumptions_Dashboard!$L$4="MDO",0,'Owner OPEX'!M59)</f>
        <v>15.692388239261685</v>
      </c>
      <c r="N64" s="303">
        <f>IF(Assumptions_Dashboard!$L$4="MDO",0,'Owner OPEX'!N59)</f>
        <v>22.9952078683534</v>
      </c>
      <c r="O64" s="303">
        <f>IF(Assumptions_Dashboard!$L$4="MDO",0,'Owner OPEX'!O59)</f>
        <v>22.260504786268314</v>
      </c>
      <c r="P64" s="303">
        <f>IF(Assumptions_Dashboard!$L$4="MDO",0,'Owner OPEX'!P59)</f>
        <v>20.331651271791365</v>
      </c>
      <c r="Q64" s="303">
        <f>IF(Assumptions_Dashboard!$L$4="MDO",0,'Owner OPEX'!Q59)</f>
        <v>21.896755431865049</v>
      </c>
      <c r="R64" s="303">
        <f>IF(Assumptions_Dashboard!$L$4="MDO",0,'Owner OPEX'!R59)</f>
        <v>20.84896599216734</v>
      </c>
      <c r="S64" s="303">
        <f>IF(Assumptions_Dashboard!$L$4="MDO",0,'Owner OPEX'!S59)</f>
        <v>22.774198778957913</v>
      </c>
      <c r="T64" s="303">
        <f>IF(Assumptions_Dashboard!$L$4="MDO",0,'Owner OPEX'!T59)</f>
        <v>18.376252720029093</v>
      </c>
      <c r="U64" s="303">
        <f>IF(Assumptions_Dashboard!$L$4="MDO",0,'Owner OPEX'!U59)</f>
        <v>16.874304992276294</v>
      </c>
      <c r="V64" s="303">
        <f>IF(Assumptions_Dashboard!$L$4="MDO",0,'Owner OPEX'!V59)</f>
        <v>19.600258611448336</v>
      </c>
      <c r="W64" s="303">
        <f>IF(Assumptions_Dashboard!$L$4="MDO",0,'Owner OPEX'!W59)</f>
        <v>19.525902773147941</v>
      </c>
      <c r="X64" s="303">
        <f>IF(Assumptions_Dashboard!$L$4="MDO",0,'Owner OPEX'!X59)</f>
        <v>23.104819102844974</v>
      </c>
      <c r="Y64" s="303">
        <f>IF(Assumptions_Dashboard!$L$4="MDO",0,'Owner OPEX'!Y59)</f>
        <v>14.683051099213575</v>
      </c>
      <c r="Z64" s="303">
        <f>IF(Assumptions_Dashboard!$L$4="MDO",0,'Owner OPEX'!Z59)</f>
        <v>4.4728089587472057</v>
      </c>
      <c r="AA64" s="303">
        <f>IF(Assumptions_Dashboard!$L$4="MDO",0,'Owner OPEX'!AA59)</f>
        <v>1.798138033279816</v>
      </c>
    </row>
    <row r="65" spans="2:27" s="264" customFormat="1" ht="14">
      <c r="B65" s="267" t="s">
        <v>572</v>
      </c>
      <c r="C65" s="265" t="s">
        <v>134</v>
      </c>
      <c r="D65" s="268">
        <f t="shared" si="51"/>
        <v>220.17826250000002</v>
      </c>
      <c r="E65" s="307">
        <f>IFERROR('Owner OPEX'!E60,0)</f>
        <v>0</v>
      </c>
      <c r="F65" s="307">
        <f>IFERROR('Owner OPEX'!F60,0)</f>
        <v>0</v>
      </c>
      <c r="G65" s="307">
        <f>IFERROR('Owner OPEX'!G60,0)</f>
        <v>0</v>
      </c>
      <c r="H65" s="307">
        <f>IFERROR('Owner OPEX'!H60,0)</f>
        <v>0</v>
      </c>
      <c r="I65" s="307">
        <f>IFERROR('Owner OPEX'!I60,0)</f>
        <v>9.0085625</v>
      </c>
      <c r="J65" s="307">
        <f>IFERROR('Owner OPEX'!J60,0)</f>
        <v>11.731650000000002</v>
      </c>
      <c r="K65" s="307">
        <f>IFERROR('Owner OPEX'!K60,0)</f>
        <v>11.731650000000002</v>
      </c>
      <c r="L65" s="307">
        <f>IFERROR('Owner OPEX'!L60,0)</f>
        <v>11.731650000000002</v>
      </c>
      <c r="M65" s="307">
        <f>IFERROR('Owner OPEX'!M60,0)</f>
        <v>11.731650000000002</v>
      </c>
      <c r="N65" s="307">
        <f>IFERROR('Owner OPEX'!N60,0)</f>
        <v>11.731650000000002</v>
      </c>
      <c r="O65" s="307">
        <f>IFERROR('Owner OPEX'!O60,0)</f>
        <v>11.731650000000002</v>
      </c>
      <c r="P65" s="307">
        <f>IFERROR('Owner OPEX'!P60,0)</f>
        <v>11.731650000000002</v>
      </c>
      <c r="Q65" s="307">
        <f>IFERROR('Owner OPEX'!Q60,0)</f>
        <v>11.731650000000002</v>
      </c>
      <c r="R65" s="307">
        <f>IFERROR('Owner OPEX'!R60,0)</f>
        <v>11.731650000000002</v>
      </c>
      <c r="S65" s="307">
        <f>IFERROR('Owner OPEX'!S60,0)</f>
        <v>11.731650000000002</v>
      </c>
      <c r="T65" s="307">
        <f>IFERROR('Owner OPEX'!T60,0)</f>
        <v>11.731650000000002</v>
      </c>
      <c r="U65" s="307">
        <f>IFERROR('Owner OPEX'!U60,0)</f>
        <v>11.731650000000002</v>
      </c>
      <c r="V65" s="307">
        <f>IFERROR('Owner OPEX'!V60,0)</f>
        <v>11.731650000000002</v>
      </c>
      <c r="W65" s="307">
        <f>IFERROR('Owner OPEX'!W60,0)</f>
        <v>11.731650000000002</v>
      </c>
      <c r="X65" s="307">
        <f>IFERROR('Owner OPEX'!X60,0)</f>
        <v>11.731650000000002</v>
      </c>
      <c r="Y65" s="307">
        <f>IFERROR('Owner OPEX'!Y60,0)</f>
        <v>11.731650000000002</v>
      </c>
      <c r="Z65" s="307">
        <f>IFERROR('Owner OPEX'!Z60,0)</f>
        <v>11.731650000000002</v>
      </c>
      <c r="AA65" s="307">
        <f>IFERROR('Owner OPEX'!AA60,0)</f>
        <v>11.731650000000002</v>
      </c>
    </row>
    <row r="66" spans="2:27" s="264" customFormat="1" ht="14">
      <c r="B66" s="1264" t="s">
        <v>670</v>
      </c>
      <c r="C66" s="1271" t="s">
        <v>134</v>
      </c>
      <c r="D66" s="268">
        <f t="shared" si="51"/>
        <v>225.72966149999999</v>
      </c>
      <c r="E66" s="1026">
        <f>IFERROR('Owner OPEX'!E61,0)</f>
        <v>0</v>
      </c>
      <c r="F66" s="1026">
        <f>IFERROR('Owner OPEX'!F61,0)</f>
        <v>0</v>
      </c>
      <c r="G66" s="1026">
        <f>IFERROR('Owner OPEX'!G61,0)</f>
        <v>0</v>
      </c>
      <c r="H66" s="1026">
        <f>IFERROR('Owner OPEX'!H61,0)</f>
        <v>0</v>
      </c>
      <c r="I66" s="1026">
        <f>IFERROR('Owner OPEX'!I61,0)</f>
        <v>1.9999997549999999</v>
      </c>
      <c r="J66" s="1026">
        <f>IFERROR('Owner OPEX'!J61,0)</f>
        <v>4.000000365</v>
      </c>
      <c r="K66" s="1026">
        <f>IFERROR('Owner OPEX'!K61,0)</f>
        <v>7.9999998750000003</v>
      </c>
      <c r="L66" s="1026">
        <f>IFERROR('Owner OPEX'!L61,0)</f>
        <v>12.000005369999998</v>
      </c>
      <c r="M66" s="1026">
        <f>IFERROR('Owner OPEX'!M61,0)</f>
        <v>14.999998590000001</v>
      </c>
      <c r="N66" s="1026">
        <f>IFERROR('Owner OPEX'!N61,0)</f>
        <v>14.999990039999998</v>
      </c>
      <c r="O66" s="1026">
        <f>IFERROR('Owner OPEX'!O61,0)</f>
        <v>15.000003719999999</v>
      </c>
      <c r="P66" s="1026">
        <f>IFERROR('Owner OPEX'!P61,0)</f>
        <v>14.999996879999999</v>
      </c>
      <c r="Q66" s="1026">
        <f>IFERROR('Owner OPEX'!Q61,0)</f>
        <v>15.000000299999998</v>
      </c>
      <c r="R66" s="1026">
        <f>IFERROR('Owner OPEX'!R61,0)</f>
        <v>15.000000299999998</v>
      </c>
      <c r="S66" s="1026">
        <f>IFERROR('Owner OPEX'!S61,0)</f>
        <v>15.00000543</v>
      </c>
      <c r="T66" s="1026">
        <f>IFERROR('Owner OPEX'!T61,0)</f>
        <v>15.000000299999998</v>
      </c>
      <c r="U66" s="1026">
        <f>IFERROR('Owner OPEX'!U61,0)</f>
        <v>15.000002009999999</v>
      </c>
      <c r="V66" s="1026">
        <f>IFERROR('Owner OPEX'!V61,0)</f>
        <v>15.000003719999999</v>
      </c>
      <c r="W66" s="1026">
        <f>IFERROR('Owner OPEX'!W61,0)</f>
        <v>14.999998590000001</v>
      </c>
      <c r="X66" s="1026">
        <f>IFERROR('Owner OPEX'!X61,0)</f>
        <v>14.99999517</v>
      </c>
      <c r="Y66" s="1026">
        <f>IFERROR('Owner OPEX'!Y61,0)</f>
        <v>10.000003905</v>
      </c>
      <c r="Z66" s="1026">
        <f>IFERROR('Owner OPEX'!Z61,0)</f>
        <v>7.5000018599999994</v>
      </c>
      <c r="AA66" s="1026">
        <f>IFERROR('Owner OPEX'!AA61,0)</f>
        <v>2.22965532</v>
      </c>
    </row>
    <row r="67" spans="2:27" s="264" customFormat="1" ht="14">
      <c r="B67" s="304" t="s">
        <v>671</v>
      </c>
      <c r="C67" s="305" t="s">
        <v>134</v>
      </c>
      <c r="D67" s="783">
        <f t="shared" ref="D67:AA67" si="52">SUM(D61:D66)</f>
        <v>4875.3590477877788</v>
      </c>
      <c r="E67" s="307">
        <f t="shared" si="52"/>
        <v>0</v>
      </c>
      <c r="F67" s="307">
        <f t="shared" si="52"/>
        <v>0</v>
      </c>
      <c r="G67" s="307">
        <f t="shared" si="52"/>
        <v>0</v>
      </c>
      <c r="H67" s="307">
        <f t="shared" si="52"/>
        <v>0</v>
      </c>
      <c r="I67" s="307">
        <f t="shared" si="52"/>
        <v>55.13193904650543</v>
      </c>
      <c r="J67" s="307">
        <f t="shared" si="52"/>
        <v>64.937470300874352</v>
      </c>
      <c r="K67" s="307">
        <f t="shared" si="52"/>
        <v>122.72839427677128</v>
      </c>
      <c r="L67" s="307">
        <f t="shared" si="52"/>
        <v>267.48554878141726</v>
      </c>
      <c r="M67" s="307">
        <f t="shared" si="52"/>
        <v>290.06402334425252</v>
      </c>
      <c r="N67" s="307">
        <f t="shared" si="52"/>
        <v>368.47512228322648</v>
      </c>
      <c r="O67" s="307">
        <f t="shared" si="52"/>
        <v>356.44739350191355</v>
      </c>
      <c r="P67" s="307">
        <f t="shared" si="52"/>
        <v>329.666860818538</v>
      </c>
      <c r="Q67" s="307">
        <f t="shared" si="52"/>
        <v>345.12721877151273</v>
      </c>
      <c r="R67" s="307">
        <f t="shared" si="52"/>
        <v>330.20231831301038</v>
      </c>
      <c r="S67" s="307">
        <f t="shared" si="52"/>
        <v>353.51438458154166</v>
      </c>
      <c r="T67" s="307">
        <f t="shared" si="52"/>
        <v>304.2753785410107</v>
      </c>
      <c r="U67" s="307">
        <f t="shared" si="52"/>
        <v>287.33433638254087</v>
      </c>
      <c r="V67" s="307">
        <f t="shared" si="52"/>
        <v>319.74259651901463</v>
      </c>
      <c r="W67" s="307">
        <f t="shared" si="52"/>
        <v>320.15809425150314</v>
      </c>
      <c r="X67" s="307">
        <f t="shared" si="52"/>
        <v>362.76483704705117</v>
      </c>
      <c r="Y67" s="307">
        <f t="shared" si="52"/>
        <v>242.80199577940959</v>
      </c>
      <c r="Z67" s="307">
        <f t="shared" si="52"/>
        <v>104.94079779563603</v>
      </c>
      <c r="AA67" s="307">
        <f t="shared" si="52"/>
        <v>49.560337452051236</v>
      </c>
    </row>
    <row r="68" spans="2:27" s="264" customFormat="1">
      <c r="C68" s="265"/>
      <c r="D68" s="224"/>
    </row>
    <row r="69" spans="2:27" s="264" customFormat="1">
      <c r="B69" s="1267" t="s">
        <v>310</v>
      </c>
      <c r="C69" s="1273" t="s">
        <v>134</v>
      </c>
      <c r="D69" s="783">
        <f t="shared" ref="D69:D90" ca="1" si="53">SUM(E69:AR69)</f>
        <v>939.57299999999998</v>
      </c>
      <c r="E69" s="1265">
        <f>IFERROR('Owner OPEX'!E62,0)</f>
        <v>0</v>
      </c>
      <c r="F69" s="1265">
        <f>IFERROR('Owner OPEX'!F62,0)</f>
        <v>0</v>
      </c>
      <c r="G69" s="1265">
        <f>IFERROR('Owner OPEX'!G62,0)</f>
        <v>0</v>
      </c>
      <c r="H69" s="1265">
        <f>IFERROR('Owner OPEX'!H62,0)</f>
        <v>0</v>
      </c>
      <c r="I69" s="1265">
        <f ca="1">IFERROR('Owner OPEX'!I62,0)</f>
        <v>42.405000000000008</v>
      </c>
      <c r="J69" s="1265">
        <f ca="1">IFERROR('Owner OPEX'!J62,0)</f>
        <v>42.645000000000003</v>
      </c>
      <c r="K69" s="1265">
        <f ca="1">IFERROR('Owner OPEX'!K62,0)</f>
        <v>45.680999999999997</v>
      </c>
      <c r="L69" s="1265">
        <f ca="1">IFERROR('Owner OPEX'!L62,0)</f>
        <v>50.182500000000005</v>
      </c>
      <c r="M69" s="1265">
        <f ca="1">IFERROR('Owner OPEX'!M62,0)</f>
        <v>50.723500000000001</v>
      </c>
      <c r="N69" s="1265">
        <f ca="1">IFERROR('Owner OPEX'!N62,0)</f>
        <v>52.736499999999999</v>
      </c>
      <c r="O69" s="1265">
        <f ca="1">IFERROR('Owner OPEX'!O62,0)</f>
        <v>53.475000000000001</v>
      </c>
      <c r="P69" s="1265">
        <f ca="1">IFERROR('Owner OPEX'!P62,0)</f>
        <v>51.819499999999998</v>
      </c>
      <c r="Q69" s="1265">
        <f ca="1">IFERROR('Owner OPEX'!Q62,0)</f>
        <v>52.2455</v>
      </c>
      <c r="R69" s="1265">
        <f ca="1">IFERROR('Owner OPEX'!R62,0)</f>
        <v>51.817500000000003</v>
      </c>
      <c r="S69" s="1265">
        <f ca="1">IFERROR('Owner OPEX'!S62,0)</f>
        <v>52.668500000000002</v>
      </c>
      <c r="T69" s="1265">
        <f ca="1">IFERROR('Owner OPEX'!T62,0)</f>
        <v>51.082500000000003</v>
      </c>
      <c r="U69" s="1265">
        <f ca="1">IFERROR('Owner OPEX'!U62,0)</f>
        <v>50.715499999999999</v>
      </c>
      <c r="V69" s="1265">
        <f ca="1">IFERROR('Owner OPEX'!V62,0)</f>
        <v>51.628500000000003</v>
      </c>
      <c r="W69" s="1265">
        <f ca="1">IFERROR('Owner OPEX'!W62,0)</f>
        <v>51.7485</v>
      </c>
      <c r="X69" s="1265">
        <f ca="1">IFERROR('Owner OPEX'!X62,0)</f>
        <v>52.909500000000001</v>
      </c>
      <c r="Y69" s="1265">
        <f ca="1">IFERROR('Owner OPEX'!Y62,0)</f>
        <v>49.083999999999996</v>
      </c>
      <c r="Z69" s="1265">
        <f ca="1">IFERROR('Owner OPEX'!Z62,0)</f>
        <v>43.972000000000001</v>
      </c>
      <c r="AA69" s="1265">
        <f ca="1">IFERROR('Owner OPEX'!AA62,0)</f>
        <v>42.033000000000001</v>
      </c>
    </row>
    <row r="70" spans="2:27" s="264" customFormat="1" ht="14">
      <c r="B70" s="267" t="s">
        <v>313</v>
      </c>
      <c r="C70" s="265" t="s">
        <v>134</v>
      </c>
      <c r="D70" s="268">
        <f>SUM(E70:AR70)</f>
        <v>1273.2680331796721</v>
      </c>
      <c r="E70" s="307">
        <f>IF(Assumptions_Dashboard!$L$4="MDO",0,'Owner OPEX'!E63)</f>
        <v>0</v>
      </c>
      <c r="F70" s="307">
        <f>IF(Assumptions_Dashboard!$L$4="MDO",0,'Owner OPEX'!F63)</f>
        <v>0</v>
      </c>
      <c r="G70" s="307">
        <f>IF(Assumptions_Dashboard!$L$4="MDO",0,'Owner OPEX'!G63)</f>
        <v>0</v>
      </c>
      <c r="H70" s="307">
        <f>IF(Assumptions_Dashboard!$L$4="MDO",0,'Owner OPEX'!H63)</f>
        <v>0</v>
      </c>
      <c r="I70" s="307">
        <f>IF(Assumptions_Dashboard!$L$4="MDO",0,'Owner OPEX'!I63)</f>
        <v>28.07407341509721</v>
      </c>
      <c r="J70" s="307">
        <f>IF(Assumptions_Dashboard!$L$4="MDO",0,'Owner OPEX'!J63)</f>
        <v>24.962105197293095</v>
      </c>
      <c r="K70" s="307">
        <f>IF(Assumptions_Dashboard!$L$4="MDO",0,'Owner OPEX'!K63)</f>
        <v>40.626168410298618</v>
      </c>
      <c r="L70" s="307">
        <f>IF(Assumptions_Dashboard!$L$4="MDO",0,'Owner OPEX'!L63)</f>
        <v>86.648098245298129</v>
      </c>
      <c r="M70" s="307">
        <f>IF(Assumptions_Dashboard!$L$4="MDO",0,'Owner OPEX'!M63)</f>
        <v>83.854192143498182</v>
      </c>
      <c r="N70" s="307">
        <f>IF(Assumptions_Dashboard!$L$4="MDO",0,'Owner OPEX'!N63)</f>
        <v>112.1179859482081</v>
      </c>
      <c r="O70" s="307">
        <f>IF(Assumptions_Dashboard!$L$4="MDO",0,'Owner OPEX'!O63)</f>
        <v>102.75243135664297</v>
      </c>
      <c r="P70" s="307">
        <f>IF(Assumptions_Dashboard!$L$4="MDO",0,'Owner OPEX'!P63)</f>
        <v>86.172154916585924</v>
      </c>
      <c r="Q70" s="307">
        <f>IF(Assumptions_Dashboard!$L$4="MDO",0,'Owner OPEX'!Q63)</f>
        <v>89.734733868054349</v>
      </c>
      <c r="R70" s="307">
        <f>IF(Assumptions_Dashboard!$L$4="MDO",0,'Owner OPEX'!R63)</f>
        <v>80.205746383561632</v>
      </c>
      <c r="S70" s="307">
        <f>IF(Assumptions_Dashboard!$L$4="MDO",0,'Owner OPEX'!S63)</f>
        <v>90.270184188010091</v>
      </c>
      <c r="T70" s="307">
        <f>IF(Assumptions_Dashboard!$L$4="MDO",0,'Owner OPEX'!T63)</f>
        <v>69.118513522450385</v>
      </c>
      <c r="U70" s="307">
        <f>IF(Assumptions_Dashboard!$L$4="MDO",0,'Owner OPEX'!U63)</f>
        <v>60.87895329892492</v>
      </c>
      <c r="V70" s="307">
        <f>IF(Assumptions_Dashboard!$L$4="MDO",0,'Owner OPEX'!V63)</f>
        <v>75.257127359644372</v>
      </c>
      <c r="W70" s="307">
        <f>IF(Assumptions_Dashboard!$L$4="MDO",0,'Owner OPEX'!W63)</f>
        <v>75.023251580121453</v>
      </c>
      <c r="X70" s="307">
        <f>IF(Assumptions_Dashboard!$L$4="MDO",0,'Owner OPEX'!X63)</f>
        <v>95.114653422961197</v>
      </c>
      <c r="Y70" s="307">
        <f>IF(Assumptions_Dashboard!$L$4="MDO",0,'Owner OPEX'!Y63)</f>
        <v>58.647825611439309</v>
      </c>
      <c r="Z70" s="307">
        <f>IF(Assumptions_Dashboard!$L$4="MDO",0,'Owner OPEX'!Z63)</f>
        <v>10.723345436428513</v>
      </c>
      <c r="AA70" s="307">
        <f>IF(Assumptions_Dashboard!$L$4="MDO",0,'Owner OPEX'!AA63)</f>
        <v>3.086488875153627</v>
      </c>
    </row>
    <row r="71" spans="2:27">
      <c r="B71" s="223" t="s">
        <v>672</v>
      </c>
      <c r="C71" s="265" t="s">
        <v>134</v>
      </c>
      <c r="D71" s="268">
        <f t="shared" si="53"/>
        <v>90.725000000000023</v>
      </c>
      <c r="E71" s="307">
        <f>IFERROR('Owner OPEX'!E64,0)</f>
        <v>0</v>
      </c>
      <c r="F71" s="307">
        <f>IFERROR('Owner OPEX'!F64,0)</f>
        <v>0</v>
      </c>
      <c r="G71" s="307">
        <f>IFERROR('Owner OPEX'!G64,0)</f>
        <v>0</v>
      </c>
      <c r="H71" s="307">
        <f>IFERROR('Owner OPEX'!H64,0)</f>
        <v>0</v>
      </c>
      <c r="I71" s="307">
        <f>IFERROR('Owner OPEX'!I64,0)</f>
        <v>4.7750000000000004</v>
      </c>
      <c r="J71" s="307">
        <f>IFERROR('Owner OPEX'!J64,0)</f>
        <v>4.7750000000000004</v>
      </c>
      <c r="K71" s="307">
        <f>IFERROR('Owner OPEX'!K64,0)</f>
        <v>4.7750000000000004</v>
      </c>
      <c r="L71" s="307">
        <f>IFERROR('Owner OPEX'!L64,0)</f>
        <v>4.7750000000000004</v>
      </c>
      <c r="M71" s="307">
        <f>IFERROR('Owner OPEX'!M64,0)</f>
        <v>4.7750000000000004</v>
      </c>
      <c r="N71" s="307">
        <f>IFERROR('Owner OPEX'!N64,0)</f>
        <v>4.7750000000000004</v>
      </c>
      <c r="O71" s="307">
        <f>IFERROR('Owner OPEX'!O64,0)</f>
        <v>4.7750000000000004</v>
      </c>
      <c r="P71" s="307">
        <f>IFERROR('Owner OPEX'!P64,0)</f>
        <v>4.7750000000000004</v>
      </c>
      <c r="Q71" s="307">
        <f>IFERROR('Owner OPEX'!Q64,0)</f>
        <v>4.7750000000000004</v>
      </c>
      <c r="R71" s="307">
        <f>IFERROR('Owner OPEX'!R64,0)</f>
        <v>4.7750000000000004</v>
      </c>
      <c r="S71" s="307">
        <f>IFERROR('Owner OPEX'!S64,0)</f>
        <v>4.7750000000000004</v>
      </c>
      <c r="T71" s="307">
        <f>IFERROR('Owner OPEX'!T64,0)</f>
        <v>4.7750000000000004</v>
      </c>
      <c r="U71" s="307">
        <f>IFERROR('Owner OPEX'!U64,0)</f>
        <v>4.7750000000000004</v>
      </c>
      <c r="V71" s="307">
        <f>IFERROR('Owner OPEX'!V64,0)</f>
        <v>4.7750000000000004</v>
      </c>
      <c r="W71" s="307">
        <f>IFERROR('Owner OPEX'!W64,0)</f>
        <v>4.7750000000000004</v>
      </c>
      <c r="X71" s="307">
        <f>IFERROR('Owner OPEX'!X64,0)</f>
        <v>4.7750000000000004</v>
      </c>
      <c r="Y71" s="307">
        <f>IFERROR('Owner OPEX'!Y64,0)</f>
        <v>4.7750000000000004</v>
      </c>
      <c r="Z71" s="307">
        <f>IFERROR('Owner OPEX'!Z64,0)</f>
        <v>4.7750000000000004</v>
      </c>
      <c r="AA71" s="307">
        <f>IFERROR('Owner OPEX'!AA64,0)</f>
        <v>4.7750000000000004</v>
      </c>
    </row>
    <row r="72" spans="2:27">
      <c r="B72" s="223" t="s">
        <v>673</v>
      </c>
      <c r="C72" s="265" t="s">
        <v>134</v>
      </c>
      <c r="D72" s="268">
        <f t="shared" si="53"/>
        <v>359.09999999999991</v>
      </c>
      <c r="E72" s="307">
        <f>IFERROR('Owner OPEX'!E65,0)</f>
        <v>0</v>
      </c>
      <c r="F72" s="307">
        <f>IFERROR('Owner OPEX'!F65,0)</f>
        <v>0</v>
      </c>
      <c r="G72" s="307">
        <f>IFERROR('Owner OPEX'!G65,0)</f>
        <v>0</v>
      </c>
      <c r="H72" s="307">
        <f>IFERROR('Owner OPEX'!H65,0)</f>
        <v>0</v>
      </c>
      <c r="I72" s="307">
        <f>IFERROR('Owner OPEX'!I65,0)</f>
        <v>18.900000000000002</v>
      </c>
      <c r="J72" s="307">
        <f>IFERROR('Owner OPEX'!J65,0)</f>
        <v>18.900000000000002</v>
      </c>
      <c r="K72" s="307">
        <f>IFERROR('Owner OPEX'!K65,0)</f>
        <v>18.900000000000002</v>
      </c>
      <c r="L72" s="307">
        <f>IFERROR('Owner OPEX'!L65,0)</f>
        <v>18.900000000000002</v>
      </c>
      <c r="M72" s="307">
        <f>IFERROR('Owner OPEX'!M65,0)</f>
        <v>18.900000000000002</v>
      </c>
      <c r="N72" s="307">
        <f>IFERROR('Owner OPEX'!N65,0)</f>
        <v>18.900000000000002</v>
      </c>
      <c r="O72" s="307">
        <f>IFERROR('Owner OPEX'!O65,0)</f>
        <v>18.900000000000002</v>
      </c>
      <c r="P72" s="307">
        <f>IFERROR('Owner OPEX'!P65,0)</f>
        <v>18.900000000000002</v>
      </c>
      <c r="Q72" s="307">
        <f>IFERROR('Owner OPEX'!Q65,0)</f>
        <v>18.900000000000002</v>
      </c>
      <c r="R72" s="307">
        <f>IFERROR('Owner OPEX'!R65,0)</f>
        <v>18.900000000000002</v>
      </c>
      <c r="S72" s="307">
        <f>IFERROR('Owner OPEX'!S65,0)</f>
        <v>18.900000000000002</v>
      </c>
      <c r="T72" s="307">
        <f>IFERROR('Owner OPEX'!T65,0)</f>
        <v>18.900000000000002</v>
      </c>
      <c r="U72" s="307">
        <f>IFERROR('Owner OPEX'!U65,0)</f>
        <v>18.900000000000002</v>
      </c>
      <c r="V72" s="307">
        <f>IFERROR('Owner OPEX'!V65,0)</f>
        <v>18.900000000000002</v>
      </c>
      <c r="W72" s="307">
        <f>IFERROR('Owner OPEX'!W65,0)</f>
        <v>18.900000000000002</v>
      </c>
      <c r="X72" s="307">
        <f>IFERROR('Owner OPEX'!X65,0)</f>
        <v>18.900000000000002</v>
      </c>
      <c r="Y72" s="307">
        <f>IFERROR('Owner OPEX'!Y65,0)</f>
        <v>18.900000000000002</v>
      </c>
      <c r="Z72" s="307">
        <f>IFERROR('Owner OPEX'!Z65,0)</f>
        <v>18.900000000000002</v>
      </c>
      <c r="AA72" s="307">
        <f>IFERROR('Owner OPEX'!AA65,0)</f>
        <v>18.900000000000002</v>
      </c>
    </row>
    <row r="73" spans="2:27">
      <c r="B73" s="223" t="s">
        <v>674</v>
      </c>
      <c r="C73" s="265" t="s">
        <v>134</v>
      </c>
      <c r="D73" s="268">
        <f t="shared" si="53"/>
        <v>9.609250000000003</v>
      </c>
      <c r="E73" s="307">
        <f>IFERROR('Owner OPEX'!E66,0)</f>
        <v>0</v>
      </c>
      <c r="F73" s="307">
        <f>IFERROR('Owner OPEX'!F66,0)</f>
        <v>0</v>
      </c>
      <c r="G73" s="307">
        <f>IFERROR('Owner OPEX'!G66,0)</f>
        <v>0</v>
      </c>
      <c r="H73" s="307">
        <f>IFERROR('Owner OPEX'!H66,0)</f>
        <v>0</v>
      </c>
      <c r="I73" s="307">
        <f>IFERROR('Owner OPEX'!I66,0)</f>
        <v>0.50575000000000003</v>
      </c>
      <c r="J73" s="307">
        <f>IFERROR('Owner OPEX'!J66,0)</f>
        <v>0.50575000000000003</v>
      </c>
      <c r="K73" s="307">
        <f>IFERROR('Owner OPEX'!K66,0)</f>
        <v>0.50575000000000003</v>
      </c>
      <c r="L73" s="307">
        <f>IFERROR('Owner OPEX'!L66,0)</f>
        <v>0.50575000000000003</v>
      </c>
      <c r="M73" s="307">
        <f>IFERROR('Owner OPEX'!M66,0)</f>
        <v>0.50575000000000003</v>
      </c>
      <c r="N73" s="307">
        <f>IFERROR('Owner OPEX'!N66,0)</f>
        <v>0.50575000000000003</v>
      </c>
      <c r="O73" s="307">
        <f>IFERROR('Owner OPEX'!O66,0)</f>
        <v>0.50575000000000003</v>
      </c>
      <c r="P73" s="307">
        <f>IFERROR('Owner OPEX'!P66,0)</f>
        <v>0.50575000000000003</v>
      </c>
      <c r="Q73" s="307">
        <f>IFERROR('Owner OPEX'!Q66,0)</f>
        <v>0.50575000000000003</v>
      </c>
      <c r="R73" s="307">
        <f>IFERROR('Owner OPEX'!R66,0)</f>
        <v>0.50575000000000003</v>
      </c>
      <c r="S73" s="307">
        <f>IFERROR('Owner OPEX'!S66,0)</f>
        <v>0.50575000000000003</v>
      </c>
      <c r="T73" s="307">
        <f>IFERROR('Owner OPEX'!T66,0)</f>
        <v>0.50575000000000003</v>
      </c>
      <c r="U73" s="307">
        <f>IFERROR('Owner OPEX'!U66,0)</f>
        <v>0.50575000000000003</v>
      </c>
      <c r="V73" s="307">
        <f>IFERROR('Owner OPEX'!V66,0)</f>
        <v>0.50575000000000003</v>
      </c>
      <c r="W73" s="307">
        <f>IFERROR('Owner OPEX'!W66,0)</f>
        <v>0.50575000000000003</v>
      </c>
      <c r="X73" s="307">
        <f>IFERROR('Owner OPEX'!X66,0)</f>
        <v>0.50575000000000003</v>
      </c>
      <c r="Y73" s="307">
        <f>IFERROR('Owner OPEX'!Y66,0)</f>
        <v>0.50575000000000003</v>
      </c>
      <c r="Z73" s="307">
        <f>IFERROR('Owner OPEX'!Z66,0)</f>
        <v>0.50575000000000003</v>
      </c>
      <c r="AA73" s="307">
        <f>IFERROR('Owner OPEX'!AA66,0)</f>
        <v>0.50575000000000003</v>
      </c>
    </row>
    <row r="74" spans="2:27">
      <c r="B74" s="223" t="s">
        <v>429</v>
      </c>
      <c r="C74" s="265" t="s">
        <v>134</v>
      </c>
      <c r="D74" s="268">
        <f>SUM(E74:AR74)</f>
        <v>529.48</v>
      </c>
      <c r="E74" s="307">
        <f>IF(Assumptions_Dashboard!$L$4="MDO",0,'Contractor OPEX'!E18)</f>
        <v>0</v>
      </c>
      <c r="F74" s="307">
        <f>IF(Assumptions_Dashboard!$L$4="MDO",0,'Contractor OPEX'!F18)</f>
        <v>0</v>
      </c>
      <c r="G74" s="307">
        <f>IF(Assumptions_Dashboard!$L$4="MDO",0,'Contractor OPEX'!G18)</f>
        <v>0</v>
      </c>
      <c r="H74" s="307">
        <f>IF(Assumptions_Dashboard!$L$4="MDO",0,'Contractor OPEX'!H18)</f>
        <v>0</v>
      </c>
      <c r="I74" s="307">
        <f>IF(Assumptions_Dashboard!$L$4="MDO",0,'Contractor OPEX'!I18)</f>
        <v>0</v>
      </c>
      <c r="J74" s="307">
        <f>IF(Assumptions_Dashboard!$L$4="MDO",0,'Contractor OPEX'!J18)</f>
        <v>0</v>
      </c>
      <c r="K74" s="307">
        <f>IF(Assumptions_Dashboard!$L$4="MDO",0,'Contractor OPEX'!K18)</f>
        <v>0</v>
      </c>
      <c r="L74" s="307">
        <f>IF(Assumptions_Dashboard!$L$4="MDO",0,'Contractor OPEX'!L18)</f>
        <v>0</v>
      </c>
      <c r="M74" s="307">
        <f>IF(Assumptions_Dashboard!$L$4="MDO",0,'Contractor OPEX'!M18)</f>
        <v>0</v>
      </c>
      <c r="N74" s="307">
        <f>IF(Assumptions_Dashboard!$L$4="MDO",0,'Contractor OPEX'!N18)</f>
        <v>0</v>
      </c>
      <c r="O74" s="307">
        <f>IF(Assumptions_Dashboard!$L$4="MDO",0,'Contractor OPEX'!O18)</f>
        <v>82.95</v>
      </c>
      <c r="P74" s="307">
        <f>IF(Assumptions_Dashboard!$L$4="MDO",0,'Contractor OPEX'!P18)</f>
        <v>82.95</v>
      </c>
      <c r="Q74" s="307">
        <f>IF(Assumptions_Dashboard!$L$4="MDO",0,'Contractor OPEX'!Q18)</f>
        <v>82.95</v>
      </c>
      <c r="R74" s="307">
        <f>IF(Assumptions_Dashboard!$L$4="MDO",0,'Contractor OPEX'!R18)</f>
        <v>82.95</v>
      </c>
      <c r="S74" s="307">
        <f>IF(Assumptions_Dashboard!$L$4="MDO",0,'Contractor OPEX'!S18)</f>
        <v>49.42</v>
      </c>
      <c r="T74" s="307">
        <f>IF(Assumptions_Dashboard!$L$4="MDO",0,'Contractor OPEX'!T18)</f>
        <v>49.42</v>
      </c>
      <c r="U74" s="307">
        <f>IF(Assumptions_Dashboard!$L$4="MDO",0,'Contractor OPEX'!U18)</f>
        <v>49.42</v>
      </c>
      <c r="V74" s="307">
        <f>IF(Assumptions_Dashboard!$L$4="MDO",0,'Contractor OPEX'!V18)</f>
        <v>49.42</v>
      </c>
      <c r="W74" s="307">
        <f>IF(Assumptions_Dashboard!$L$4="MDO",0,'Contractor OPEX'!W18)</f>
        <v>0</v>
      </c>
      <c r="X74" s="307">
        <f>IF(Assumptions_Dashboard!$L$4="MDO",0,'Contractor OPEX'!X18)</f>
        <v>0</v>
      </c>
      <c r="Y74" s="307">
        <f>IF(Assumptions_Dashboard!$L$4="MDO",0,'Contractor OPEX'!Y18)</f>
        <v>0</v>
      </c>
      <c r="Z74" s="307">
        <f>IF(Assumptions_Dashboard!$L$4="MDO",0,'Contractor OPEX'!Z18)</f>
        <v>0</v>
      </c>
      <c r="AA74" s="307">
        <f>IF(Assumptions_Dashboard!$L$4="MDO",0,'Contractor OPEX'!AA18)</f>
        <v>0</v>
      </c>
    </row>
    <row r="75" spans="2:27">
      <c r="B75" s="223" t="s">
        <v>675</v>
      </c>
      <c r="C75" s="265" t="s">
        <v>134</v>
      </c>
      <c r="D75" s="268">
        <f t="shared" si="53"/>
        <v>6.6499999999999977</v>
      </c>
      <c r="E75" s="307">
        <f>IFERROR('Owner OPEX'!E68,0)</f>
        <v>0</v>
      </c>
      <c r="F75" s="307">
        <f>IFERROR('Owner OPEX'!F68,0)</f>
        <v>0</v>
      </c>
      <c r="G75" s="307">
        <f>IFERROR('Owner OPEX'!G68,0)</f>
        <v>0</v>
      </c>
      <c r="H75" s="307">
        <f>IFERROR('Owner OPEX'!H68,0)</f>
        <v>0</v>
      </c>
      <c r="I75" s="307">
        <f>IFERROR('Owner OPEX'!I68,0)</f>
        <v>0.35000000000000003</v>
      </c>
      <c r="J75" s="307">
        <f>IFERROR('Owner OPEX'!J68,0)</f>
        <v>0.35000000000000003</v>
      </c>
      <c r="K75" s="307">
        <f>IFERROR('Owner OPEX'!K68,0)</f>
        <v>0.35000000000000003</v>
      </c>
      <c r="L75" s="307">
        <f>IFERROR('Owner OPEX'!L68,0)</f>
        <v>0.35000000000000003</v>
      </c>
      <c r="M75" s="307">
        <f>IFERROR('Owner OPEX'!M68,0)</f>
        <v>0.35000000000000003</v>
      </c>
      <c r="N75" s="307">
        <f>IFERROR('Owner OPEX'!N68,0)</f>
        <v>0.35000000000000003</v>
      </c>
      <c r="O75" s="307">
        <f>IFERROR('Owner OPEX'!O68,0)</f>
        <v>0.35000000000000003</v>
      </c>
      <c r="P75" s="307">
        <f>IFERROR('Owner OPEX'!P68,0)</f>
        <v>0.35000000000000003</v>
      </c>
      <c r="Q75" s="307">
        <f>IFERROR('Owner OPEX'!Q68,0)</f>
        <v>0.35000000000000003</v>
      </c>
      <c r="R75" s="307">
        <f>IFERROR('Owner OPEX'!R68,0)</f>
        <v>0.35000000000000003</v>
      </c>
      <c r="S75" s="307">
        <f>IFERROR('Owner OPEX'!S68,0)</f>
        <v>0.35000000000000003</v>
      </c>
      <c r="T75" s="307">
        <f>IFERROR('Owner OPEX'!T68,0)</f>
        <v>0.35000000000000003</v>
      </c>
      <c r="U75" s="307">
        <f>IFERROR('Owner OPEX'!U68,0)</f>
        <v>0.35000000000000003</v>
      </c>
      <c r="V75" s="307">
        <f>IFERROR('Owner OPEX'!V68,0)</f>
        <v>0.35000000000000003</v>
      </c>
      <c r="W75" s="307">
        <f>IFERROR('Owner OPEX'!W68,0)</f>
        <v>0.35000000000000003</v>
      </c>
      <c r="X75" s="307">
        <f>IFERROR('Owner OPEX'!X68,0)</f>
        <v>0.35000000000000003</v>
      </c>
      <c r="Y75" s="307">
        <f>IFERROR('Owner OPEX'!Y68,0)</f>
        <v>0.35000000000000003</v>
      </c>
      <c r="Z75" s="307">
        <f>IFERROR('Owner OPEX'!Z68,0)</f>
        <v>0.35000000000000003</v>
      </c>
      <c r="AA75" s="307">
        <f>IFERROR('Owner OPEX'!AA68,0)</f>
        <v>0.35000000000000003</v>
      </c>
    </row>
    <row r="76" spans="2:27">
      <c r="B76" s="223" t="s">
        <v>676</v>
      </c>
      <c r="C76" s="265" t="s">
        <v>134</v>
      </c>
      <c r="D76" s="268">
        <f t="shared" si="53"/>
        <v>60.800000000000018</v>
      </c>
      <c r="E76" s="307">
        <f>IFERROR('Owner OPEX'!E69,0)</f>
        <v>0</v>
      </c>
      <c r="F76" s="307">
        <f>IFERROR('Owner OPEX'!F69,0)</f>
        <v>0</v>
      </c>
      <c r="G76" s="307">
        <f>IFERROR('Owner OPEX'!G69,0)</f>
        <v>0</v>
      </c>
      <c r="H76" s="307">
        <f>IFERROR('Owner OPEX'!H69,0)</f>
        <v>0</v>
      </c>
      <c r="I76" s="307">
        <f>IFERROR('Owner OPEX'!I69,0)</f>
        <v>3.2</v>
      </c>
      <c r="J76" s="307">
        <f>IFERROR('Owner OPEX'!J69,0)</f>
        <v>3.2</v>
      </c>
      <c r="K76" s="307">
        <f>IFERROR('Owner OPEX'!K69,0)</f>
        <v>3.2</v>
      </c>
      <c r="L76" s="307">
        <f>IFERROR('Owner OPEX'!L69,0)</f>
        <v>3.2</v>
      </c>
      <c r="M76" s="307">
        <f>IFERROR('Owner OPEX'!M69,0)</f>
        <v>3.2</v>
      </c>
      <c r="N76" s="307">
        <f>IFERROR('Owner OPEX'!N69,0)</f>
        <v>3.2</v>
      </c>
      <c r="O76" s="307">
        <f>IFERROR('Owner OPEX'!O69,0)</f>
        <v>3.2</v>
      </c>
      <c r="P76" s="307">
        <f>IFERROR('Owner OPEX'!P69,0)</f>
        <v>3.2</v>
      </c>
      <c r="Q76" s="307">
        <f>IFERROR('Owner OPEX'!Q69,0)</f>
        <v>3.2</v>
      </c>
      <c r="R76" s="307">
        <f>IFERROR('Owner OPEX'!R69,0)</f>
        <v>3.2</v>
      </c>
      <c r="S76" s="307">
        <f>IFERROR('Owner OPEX'!S69,0)</f>
        <v>3.2</v>
      </c>
      <c r="T76" s="307">
        <f>IFERROR('Owner OPEX'!T69,0)</f>
        <v>3.2</v>
      </c>
      <c r="U76" s="307">
        <f>IFERROR('Owner OPEX'!U69,0)</f>
        <v>3.2</v>
      </c>
      <c r="V76" s="307">
        <f>IFERROR('Owner OPEX'!V69,0)</f>
        <v>3.2</v>
      </c>
      <c r="W76" s="307">
        <f>IFERROR('Owner OPEX'!W69,0)</f>
        <v>3.2</v>
      </c>
      <c r="X76" s="307">
        <f>IFERROR('Owner OPEX'!X69,0)</f>
        <v>3.2</v>
      </c>
      <c r="Y76" s="307">
        <f>IFERROR('Owner OPEX'!Y69,0)</f>
        <v>3.2</v>
      </c>
      <c r="Z76" s="307">
        <f>IFERROR('Owner OPEX'!Z69,0)</f>
        <v>3.2</v>
      </c>
      <c r="AA76" s="307">
        <f>IFERROR('Owner OPEX'!AA69,0)</f>
        <v>3.2</v>
      </c>
    </row>
    <row r="77" spans="2:27">
      <c r="B77" s="223" t="s">
        <v>677</v>
      </c>
      <c r="C77" s="265" t="s">
        <v>134</v>
      </c>
      <c r="D77" s="268">
        <f t="shared" ca="1" si="53"/>
        <v>2.7862499999999999</v>
      </c>
      <c r="E77" s="307">
        <f>IFERROR('Owner OPEX'!E70,0)</f>
        <v>0</v>
      </c>
      <c r="F77" s="307">
        <f>IFERROR('Owner OPEX'!F70,0)</f>
        <v>0</v>
      </c>
      <c r="G77" s="307">
        <f>IFERROR('Owner OPEX'!G70,0)</f>
        <v>0</v>
      </c>
      <c r="H77" s="307">
        <f>IFERROR('Owner OPEX'!H70,0)</f>
        <v>0</v>
      </c>
      <c r="I77" s="307">
        <f ca="1">IFERROR('Owner OPEX'!I70,0)</f>
        <v>0.14474999999999999</v>
      </c>
      <c r="J77" s="307">
        <f ca="1">IFERROR('Owner OPEX'!J70,0)</f>
        <v>0.14474999999999999</v>
      </c>
      <c r="K77" s="307">
        <f ca="1">IFERROR('Owner OPEX'!K70,0)</f>
        <v>0.14699999999999999</v>
      </c>
      <c r="L77" s="307">
        <f ca="1">IFERROR('Owner OPEX'!L70,0)</f>
        <v>0.14774999999999999</v>
      </c>
      <c r="M77" s="307">
        <f ca="1">IFERROR('Owner OPEX'!M70,0)</f>
        <v>0.14774999999999999</v>
      </c>
      <c r="N77" s="307">
        <f ca="1">IFERROR('Owner OPEX'!N70,0)</f>
        <v>0.14699999999999999</v>
      </c>
      <c r="O77" s="307">
        <f ca="1">IFERROR('Owner OPEX'!O70,0)</f>
        <v>0.15075</v>
      </c>
      <c r="P77" s="307">
        <f ca="1">IFERROR('Owner OPEX'!P70,0)</f>
        <v>0.14699999999999999</v>
      </c>
      <c r="Q77" s="307">
        <f ca="1">IFERROR('Owner OPEX'!Q70,0)</f>
        <v>0.14699999999999999</v>
      </c>
      <c r="R77" s="307">
        <f ca="1">IFERROR('Owner OPEX'!R70,0)</f>
        <v>0.14699999999999999</v>
      </c>
      <c r="S77" s="307">
        <f ca="1">IFERROR('Owner OPEX'!S70,0)</f>
        <v>0.14699999999999999</v>
      </c>
      <c r="T77" s="307">
        <f ca="1">IFERROR('Owner OPEX'!T70,0)</f>
        <v>0.14699999999999999</v>
      </c>
      <c r="U77" s="307">
        <f ca="1">IFERROR('Owner OPEX'!U70,0)</f>
        <v>0.14699999999999999</v>
      </c>
      <c r="V77" s="307">
        <f ca="1">IFERROR('Owner OPEX'!V70,0)</f>
        <v>0.14699999999999999</v>
      </c>
      <c r="W77" s="307">
        <f ca="1">IFERROR('Owner OPEX'!W70,0)</f>
        <v>0.14699999999999999</v>
      </c>
      <c r="X77" s="307">
        <f ca="1">IFERROR('Owner OPEX'!X70,0)</f>
        <v>0.14699999999999999</v>
      </c>
      <c r="Y77" s="307">
        <f ca="1">IFERROR('Owner OPEX'!Y70,0)</f>
        <v>0.14624999999999999</v>
      </c>
      <c r="Z77" s="307">
        <f ca="1">IFERROR('Owner OPEX'!Z70,0)</f>
        <v>0.14399999999999999</v>
      </c>
      <c r="AA77" s="307">
        <f ca="1">IFERROR('Owner OPEX'!AA70,0)</f>
        <v>0.14324999999999999</v>
      </c>
    </row>
    <row r="78" spans="2:27">
      <c r="B78" s="223" t="s">
        <v>678</v>
      </c>
      <c r="C78" s="265" t="s">
        <v>134</v>
      </c>
      <c r="D78" s="268">
        <f t="shared" si="53"/>
        <v>338.55660976500002</v>
      </c>
      <c r="E78" s="307">
        <f>IFERROR('Owner OPEX'!E71,0)</f>
        <v>0</v>
      </c>
      <c r="F78" s="307">
        <f>IFERROR('Owner OPEX'!F71,0)</f>
        <v>0</v>
      </c>
      <c r="G78" s="307">
        <f>IFERROR('Owner OPEX'!G71,0)</f>
        <v>0</v>
      </c>
      <c r="H78" s="307">
        <f>IFERROR('Owner OPEX'!H71,0)</f>
        <v>0</v>
      </c>
      <c r="I78" s="307">
        <f>IFERROR('Owner OPEX'!I71,0)</f>
        <v>2.9999996324999998</v>
      </c>
      <c r="J78" s="307">
        <f>IFERROR('Owner OPEX'!J71,0)</f>
        <v>5.9999979825</v>
      </c>
      <c r="K78" s="307">
        <f>IFERROR('Owner OPEX'!K71,0)</f>
        <v>12.000001095</v>
      </c>
      <c r="L78" s="307">
        <f>IFERROR('Owner OPEX'!L71,0)</f>
        <v>17.999997794999999</v>
      </c>
      <c r="M78" s="307">
        <f>IFERROR('Owner OPEX'!M71,0)</f>
        <v>22.499992755000001</v>
      </c>
      <c r="N78" s="307">
        <f>IFERROR('Owner OPEX'!N71,0)</f>
        <v>22.500010710000002</v>
      </c>
      <c r="O78" s="307">
        <f>IFERROR('Owner OPEX'!O71,0)</f>
        <v>22.499997885000003</v>
      </c>
      <c r="P78" s="307">
        <f>IFERROR('Owner OPEX'!P71,0)</f>
        <v>22.49999532</v>
      </c>
      <c r="Q78" s="307">
        <f>IFERROR('Owner OPEX'!Q71,0)</f>
        <v>22.50000558</v>
      </c>
      <c r="R78" s="307">
        <f>IFERROR('Owner OPEX'!R71,0)</f>
        <v>22.499992755000001</v>
      </c>
      <c r="S78" s="307">
        <f>IFERROR('Owner OPEX'!S71,0)</f>
        <v>22.49999532</v>
      </c>
      <c r="T78" s="307">
        <f>IFERROR('Owner OPEX'!T71,0)</f>
        <v>22.500003014999997</v>
      </c>
      <c r="U78" s="307">
        <f>IFERROR('Owner OPEX'!U71,0)</f>
        <v>22.500023535</v>
      </c>
      <c r="V78" s="307">
        <f>IFERROR('Owner OPEX'!V71,0)</f>
        <v>22.500003014999997</v>
      </c>
      <c r="W78" s="307">
        <f>IFERROR('Owner OPEX'!W71,0)</f>
        <v>22.500003014999997</v>
      </c>
      <c r="X78" s="307">
        <f>IFERROR('Owner OPEX'!X71,0)</f>
        <v>22.500000449999995</v>
      </c>
      <c r="Y78" s="307">
        <f>IFERROR('Owner OPEX'!Y71,0)</f>
        <v>14.999999445</v>
      </c>
      <c r="Z78" s="307">
        <f>IFERROR('Owner OPEX'!Z71,0)</f>
        <v>11.250004072500001</v>
      </c>
      <c r="AA78" s="307">
        <f>IFERROR('Owner OPEX'!AA71,0)</f>
        <v>3.3065863874999999</v>
      </c>
    </row>
    <row r="79" spans="2:27">
      <c r="B79" s="223" t="s">
        <v>679</v>
      </c>
      <c r="C79" s="265" t="s">
        <v>134</v>
      </c>
      <c r="D79" s="268">
        <f t="shared" si="53"/>
        <v>73.735690764682019</v>
      </c>
      <c r="E79" s="307">
        <f>IFERROR('Owner OPEX'!E72,0)</f>
        <v>0</v>
      </c>
      <c r="F79" s="307">
        <f>IFERROR('Owner OPEX'!F72,0)</f>
        <v>0</v>
      </c>
      <c r="G79" s="307">
        <f>IFERROR('Owner OPEX'!G72,0)</f>
        <v>0</v>
      </c>
      <c r="H79" s="307">
        <f>IFERROR('Owner OPEX'!H72,0)</f>
        <v>0</v>
      </c>
      <c r="I79" s="307">
        <f>IFERROR('Owner OPEX'!I72,0)</f>
        <v>2</v>
      </c>
      <c r="J79" s="307">
        <f>IFERROR('Owner OPEX'!J72,0)</f>
        <v>2</v>
      </c>
      <c r="K79" s="307">
        <f>IFERROR('Owner OPEX'!K72,0)</f>
        <v>2</v>
      </c>
      <c r="L79" s="307">
        <f>IFERROR('Owner OPEX'!L72,0)</f>
        <v>3</v>
      </c>
      <c r="M79" s="307">
        <f>IFERROR('Owner OPEX'!M72,0)</f>
        <v>3</v>
      </c>
      <c r="N79" s="307">
        <f>IFERROR('Owner OPEX'!N72,0)</f>
        <v>3.15</v>
      </c>
      <c r="O79" s="307">
        <f>IFERROR('Owner OPEX'!O72,0)</f>
        <v>3.3075000000000001</v>
      </c>
      <c r="P79" s="307">
        <f>IFERROR('Owner OPEX'!P72,0)</f>
        <v>3.4728750000000002</v>
      </c>
      <c r="Q79" s="307">
        <f>IFERROR('Owner OPEX'!Q72,0)</f>
        <v>3.6465187500000003</v>
      </c>
      <c r="R79" s="307">
        <f>IFERROR('Owner OPEX'!R72,0)</f>
        <v>3.8288446875000002</v>
      </c>
      <c r="S79" s="307">
        <f>IFERROR('Owner OPEX'!S72,0)</f>
        <v>4.0202869218749999</v>
      </c>
      <c r="T79" s="307">
        <f>IFERROR('Owner OPEX'!T72,0)</f>
        <v>4.2213012679687498</v>
      </c>
      <c r="U79" s="307">
        <f>IFERROR('Owner OPEX'!U72,0)</f>
        <v>4.4323663313671871</v>
      </c>
      <c r="V79" s="307">
        <f>IFERROR('Owner OPEX'!V72,0)</f>
        <v>4.6539846479355464</v>
      </c>
      <c r="W79" s="307">
        <f>IFERROR('Owner OPEX'!W72,0)</f>
        <v>4.886683880332324</v>
      </c>
      <c r="X79" s="307">
        <f>IFERROR('Owner OPEX'!X72,0)</f>
        <v>5.1310180743489404</v>
      </c>
      <c r="Y79" s="307">
        <f>IFERROR('Owner OPEX'!Y72,0)</f>
        <v>5.3875689780663878</v>
      </c>
      <c r="Z79" s="307">
        <f>IFERROR('Owner OPEX'!Z72,0)</f>
        <v>5.6569474269697073</v>
      </c>
      <c r="AA79" s="307">
        <f>IFERROR('Owner OPEX'!AA72,0)</f>
        <v>5.9397947983181929</v>
      </c>
    </row>
    <row r="80" spans="2:27">
      <c r="B80" s="1268" t="s">
        <v>255</v>
      </c>
      <c r="C80" s="1271" t="s">
        <v>134</v>
      </c>
      <c r="D80" s="1270">
        <f t="shared" ca="1" si="53"/>
        <v>1283.9464322245701</v>
      </c>
      <c r="E80" s="1026">
        <f>SUM(E61:E66,E69:E79)*Assumptions_Dashboard!$D$99</f>
        <v>0</v>
      </c>
      <c r="F80" s="1026">
        <f>SUM(F61:F66,F69:F79)*Assumptions_Dashboard!$D$99</f>
        <v>0</v>
      </c>
      <c r="G80" s="1026">
        <f>SUM(G61:G66,G69:G79)*Assumptions_Dashboard!$D$99</f>
        <v>0</v>
      </c>
      <c r="H80" s="1026">
        <f>SUM(H61:H66,H69:H79)*Assumptions_Dashboard!$D$99</f>
        <v>0</v>
      </c>
      <c r="I80" s="1026">
        <f ca="1">SUM(I61:I66,I69:I79)*Assumptions_Dashboard!$D$99</f>
        <v>23.772976814115395</v>
      </c>
      <c r="J80" s="1026">
        <f ca="1">SUM(J61:J66,J69:J79)*Assumptions_Dashboard!$D$99</f>
        <v>25.263011022100113</v>
      </c>
      <c r="K80" s="1026">
        <f ca="1">SUM(K61:K66,K69:K79)*Assumptions_Dashboard!$D$99</f>
        <v>37.636997067310482</v>
      </c>
      <c r="L80" s="1026">
        <f ca="1">SUM(L61:L66,L69:L79)*Assumptions_Dashboard!$D$99</f>
        <v>67.979196723257289</v>
      </c>
      <c r="M80" s="1026">
        <f ca="1">SUM(M61:M66,M69:M79)*Assumptions_Dashboard!$D$99</f>
        <v>71.703031236412599</v>
      </c>
      <c r="N80" s="1026">
        <f ca="1">SUM(N61:N66,N69:N79)*Assumptions_Dashboard!$D$99</f>
        <v>88.028605341215197</v>
      </c>
      <c r="O80" s="1026">
        <f ca="1">SUM(O61:O66,O69:O79)*Assumptions_Dashboard!$D$99</f>
        <v>97.397073411533498</v>
      </c>
      <c r="P80" s="1026">
        <f ca="1">SUM(P61:P66,P69:P79)*Assumptions_Dashboard!$D$99</f>
        <v>90.668870408268603</v>
      </c>
      <c r="Q80" s="1026">
        <f ca="1">SUM(Q61:Q66,Q69:Q79)*Assumptions_Dashboard!$D$99</f>
        <v>93.612259045435067</v>
      </c>
      <c r="R80" s="1026">
        <f ca="1">SUM(R61:R66,R69:R79)*Assumptions_Dashboard!$D$99</f>
        <v>89.907322820860813</v>
      </c>
      <c r="S80" s="1026">
        <f ca="1">SUM(S61:S66,S69:S79)*Assumptions_Dashboard!$D$99</f>
        <v>90.040665151714038</v>
      </c>
      <c r="T80" s="1026">
        <f ca="1">SUM(T61:T66,T69:T79)*Assumptions_Dashboard!$D$99</f>
        <v>79.274316951964451</v>
      </c>
      <c r="U80" s="1026">
        <f ca="1">SUM(U61:U66,U69:U79)*Assumptions_Dashboard!$D$99</f>
        <v>75.473839432174941</v>
      </c>
      <c r="V80" s="1026">
        <f ca="1">SUM(V61:V66,V69:V79)*Assumptions_Dashboard!$D$99</f>
        <v>82.661994231239163</v>
      </c>
      <c r="W80" s="1026">
        <f ca="1">SUM(W61:W66,W69:W79)*Assumptions_Dashboard!$D$99</f>
        <v>75.329142409043527</v>
      </c>
      <c r="X80" s="1026">
        <f ca="1">SUM(X61:X66,X69:X79)*Assumptions_Dashboard!$D$99</f>
        <v>84.94466384915421</v>
      </c>
      <c r="Y80" s="1026">
        <f ca="1">SUM(Y61:Y66,Y69:Y79)*Assumptions_Dashboard!$D$99</f>
        <v>59.819758472087287</v>
      </c>
      <c r="Z80" s="1026">
        <f ca="1">SUM(Z61:Z66,Z69:Z79)*Assumptions_Dashboard!$D$99</f>
        <v>30.662676709730135</v>
      </c>
      <c r="AA80" s="1026">
        <f ca="1">SUM(AA61:AA66,AA69:AA79)*Assumptions_Dashboard!$D$99</f>
        <v>19.770031126953462</v>
      </c>
    </row>
    <row r="81" spans="2:27">
      <c r="B81" s="263" t="s">
        <v>671</v>
      </c>
      <c r="C81" s="117" t="s">
        <v>134</v>
      </c>
      <c r="D81" s="268">
        <f t="shared" ref="D81:AA81" ca="1" si="54">SUM(D69:D80)</f>
        <v>4968.2302659339248</v>
      </c>
      <c r="E81" s="307">
        <f t="shared" si="54"/>
        <v>0</v>
      </c>
      <c r="F81" s="307">
        <f t="shared" si="54"/>
        <v>0</v>
      </c>
      <c r="G81" s="307">
        <f t="shared" si="54"/>
        <v>0</v>
      </c>
      <c r="H81" s="307">
        <f t="shared" si="54"/>
        <v>0</v>
      </c>
      <c r="I81" s="307">
        <f t="shared" ca="1" si="54"/>
        <v>127.12754986171262</v>
      </c>
      <c r="J81" s="307">
        <f t="shared" ca="1" si="54"/>
        <v>128.74561420189323</v>
      </c>
      <c r="K81" s="307">
        <f t="shared" ca="1" si="54"/>
        <v>165.82191657260913</v>
      </c>
      <c r="L81" s="307">
        <f t="shared" ca="1" si="54"/>
        <v>253.68829276355541</v>
      </c>
      <c r="M81" s="307">
        <f t="shared" ca="1" si="54"/>
        <v>259.65921613491076</v>
      </c>
      <c r="N81" s="307">
        <f t="shared" ca="1" si="54"/>
        <v>306.4108519994233</v>
      </c>
      <c r="O81" s="307">
        <f t="shared" ca="1" si="54"/>
        <v>390.26350265317654</v>
      </c>
      <c r="P81" s="307">
        <f t="shared" ca="1" si="54"/>
        <v>365.46114564485453</v>
      </c>
      <c r="Q81" s="307">
        <f t="shared" ca="1" si="54"/>
        <v>372.56676724348938</v>
      </c>
      <c r="R81" s="307">
        <f t="shared" ca="1" si="54"/>
        <v>359.08715664692249</v>
      </c>
      <c r="S81" s="307">
        <f t="shared" ca="1" si="54"/>
        <v>336.7973815815991</v>
      </c>
      <c r="T81" s="307">
        <f t="shared" ca="1" si="54"/>
        <v>303.49438475738361</v>
      </c>
      <c r="U81" s="307">
        <f t="shared" ca="1" si="54"/>
        <v>291.29843259746701</v>
      </c>
      <c r="V81" s="307">
        <f t="shared" ca="1" si="54"/>
        <v>313.99935925381908</v>
      </c>
      <c r="W81" s="307">
        <f t="shared" ca="1" si="54"/>
        <v>257.36533088449733</v>
      </c>
      <c r="X81" s="307">
        <f t="shared" ca="1" si="54"/>
        <v>288.47758579646433</v>
      </c>
      <c r="Y81" s="307">
        <f t="shared" ca="1" si="54"/>
        <v>215.81615250659297</v>
      </c>
      <c r="Z81" s="307">
        <f t="shared" ca="1" si="54"/>
        <v>130.13972364562835</v>
      </c>
      <c r="AA81" s="307">
        <f t="shared" ca="1" si="54"/>
        <v>102.00990118792529</v>
      </c>
    </row>
    <row r="82" spans="2:27">
      <c r="B82" s="200" t="s">
        <v>680</v>
      </c>
      <c r="C82" s="265"/>
      <c r="D82" s="224">
        <f t="shared" si="53"/>
        <v>0</v>
      </c>
    </row>
    <row r="83" spans="2:27">
      <c r="B83" s="1267" t="s">
        <v>321</v>
      </c>
      <c r="C83" s="1273" t="s">
        <v>134</v>
      </c>
      <c r="D83" s="783">
        <f t="shared" si="53"/>
        <v>4616.6258843504302</v>
      </c>
      <c r="E83" s="1265">
        <f>'Owner OPEX'!E76</f>
        <v>0</v>
      </c>
      <c r="F83" s="1265">
        <f>'Owner OPEX'!F76</f>
        <v>0</v>
      </c>
      <c r="G83" s="1265">
        <f>'Owner OPEX'!G76</f>
        <v>0</v>
      </c>
      <c r="H83" s="1265">
        <f>'Owner OPEX'!H76</f>
        <v>0</v>
      </c>
      <c r="I83" s="1265">
        <f>'Owner OPEX'!I76</f>
        <v>21.671997345179999</v>
      </c>
      <c r="J83" s="1265">
        <f>'Owner OPEX'!J76</f>
        <v>43.343985425579994</v>
      </c>
      <c r="K83" s="1265">
        <f>'Owner OPEX'!K76</f>
        <v>139.32199859131998</v>
      </c>
      <c r="L83" s="1265">
        <f>'Owner OPEX'!L76</f>
        <v>260.06396814215998</v>
      </c>
      <c r="M83" s="1265">
        <f>'Owner OPEX'!M76</f>
        <v>325.07989532424</v>
      </c>
      <c r="N83" s="1265">
        <f>'Owner OPEX'!N76</f>
        <v>325.08015473808001</v>
      </c>
      <c r="O83" s="1265">
        <f>'Owner OPEX'!O76</f>
        <v>325.07996944247998</v>
      </c>
      <c r="P83" s="1265">
        <f>'Owner OPEX'!P76</f>
        <v>325.07993238335996</v>
      </c>
      <c r="Q83" s="1265">
        <f>'Owner OPEX'!Q76</f>
        <v>325.08008061983998</v>
      </c>
      <c r="R83" s="1265">
        <f>'Owner OPEX'!R76</f>
        <v>325.07989532424</v>
      </c>
      <c r="S83" s="1265">
        <f>'Owner OPEX'!S76</f>
        <v>325.07993238335996</v>
      </c>
      <c r="T83" s="1265">
        <f>'Owner OPEX'!T76</f>
        <v>325.08004356071996</v>
      </c>
      <c r="U83" s="1265">
        <f>'Owner OPEX'!U76</f>
        <v>325.08034003367999</v>
      </c>
      <c r="V83" s="1265">
        <f>'Owner OPEX'!V76</f>
        <v>325.08004356071996</v>
      </c>
      <c r="W83" s="1265">
        <f>'Owner OPEX'!W76</f>
        <v>237.19503178412998</v>
      </c>
      <c r="X83" s="1265">
        <f>'Owner OPEX'!X76</f>
        <v>237.19500474389997</v>
      </c>
      <c r="Y83" s="1265">
        <f>'Owner OPEX'!Y76</f>
        <v>216.71999198136001</v>
      </c>
      <c r="Z83" s="1265">
        <f>'Owner OPEX'!Z76</f>
        <v>162.54005883948</v>
      </c>
      <c r="AA83" s="1265">
        <f>'Owner OPEX'!AA76</f>
        <v>47.773560126599989</v>
      </c>
    </row>
    <row r="84" spans="2:27">
      <c r="B84" s="223" t="s">
        <v>324</v>
      </c>
      <c r="C84" s="265" t="s">
        <v>134</v>
      </c>
      <c r="D84" s="268">
        <f t="shared" si="53"/>
        <v>830.99265918307742</v>
      </c>
      <c r="E84" s="307">
        <f>'Owner OPEX'!E77</f>
        <v>0</v>
      </c>
      <c r="F84" s="303">
        <f>'Owner OPEX'!F77</f>
        <v>0</v>
      </c>
      <c r="G84" s="303">
        <f>'Owner OPEX'!G77</f>
        <v>0</v>
      </c>
      <c r="H84" s="303">
        <f>'Owner OPEX'!H77</f>
        <v>0</v>
      </c>
      <c r="I84" s="303">
        <f>'Owner OPEX'!I77</f>
        <v>3.9009595221323998</v>
      </c>
      <c r="J84" s="303">
        <f>'Owner OPEX'!J77</f>
        <v>7.8019173766043988</v>
      </c>
      <c r="K84" s="303">
        <f>'Owner OPEX'!K77</f>
        <v>25.077959746437596</v>
      </c>
      <c r="L84" s="303">
        <f>'Owner OPEX'!L77</f>
        <v>46.811514265588798</v>
      </c>
      <c r="M84" s="303">
        <f>'Owner OPEX'!M77</f>
        <v>58.5143811583632</v>
      </c>
      <c r="N84" s="303">
        <f>'Owner OPEX'!N77</f>
        <v>58.514427852854396</v>
      </c>
      <c r="O84" s="303">
        <f>'Owner OPEX'!O77</f>
        <v>58.514394499646393</v>
      </c>
      <c r="P84" s="303">
        <f>'Owner OPEX'!P77</f>
        <v>58.514387829004789</v>
      </c>
      <c r="Q84" s="303">
        <f>'Owner OPEX'!Q77</f>
        <v>58.514414511571196</v>
      </c>
      <c r="R84" s="303">
        <f>'Owner OPEX'!R77</f>
        <v>58.5143811583632</v>
      </c>
      <c r="S84" s="303">
        <f>'Owner OPEX'!S77</f>
        <v>58.514387829004789</v>
      </c>
      <c r="T84" s="303">
        <f>'Owner OPEX'!T77</f>
        <v>58.514407840929593</v>
      </c>
      <c r="U84" s="303">
        <f>'Owner OPEX'!U77</f>
        <v>58.514461206062393</v>
      </c>
      <c r="V84" s="303">
        <f>'Owner OPEX'!V77</f>
        <v>58.514407840929593</v>
      </c>
      <c r="W84" s="303">
        <f>'Owner OPEX'!W77</f>
        <v>42.695105721143392</v>
      </c>
      <c r="X84" s="303">
        <f>'Owner OPEX'!X77</f>
        <v>42.695100853901991</v>
      </c>
      <c r="Y84" s="303">
        <f>'Owner OPEX'!Y77</f>
        <v>39.009598556644804</v>
      </c>
      <c r="Z84" s="303">
        <f>'Owner OPEX'!Z77</f>
        <v>29.2572105911064</v>
      </c>
      <c r="AA84" s="303">
        <f>'Owner OPEX'!AA77</f>
        <v>8.5992408227879977</v>
      </c>
    </row>
    <row r="85" spans="2:27">
      <c r="B85" s="223" t="s">
        <v>681</v>
      </c>
      <c r="C85" s="265" t="s">
        <v>134</v>
      </c>
      <c r="D85" s="268">
        <f t="shared" si="53"/>
        <v>3143.7972562336199</v>
      </c>
      <c r="E85" s="307">
        <f>'Owner OPEX'!E78</f>
        <v>0</v>
      </c>
      <c r="F85" s="303">
        <f>'Owner OPEX'!F78</f>
        <v>0</v>
      </c>
      <c r="G85" s="303">
        <f>'Owner OPEX'!G78</f>
        <v>0</v>
      </c>
      <c r="H85" s="303">
        <f>'Owner OPEX'!H78</f>
        <v>0</v>
      </c>
      <c r="I85" s="303">
        <f>'Owner OPEX'!I78</f>
        <v>28.895996460240003</v>
      </c>
      <c r="J85" s="303">
        <f>'Owner OPEX'!J78</f>
        <v>57.79198056744</v>
      </c>
      <c r="K85" s="303">
        <f>'Owner OPEX'!K78</f>
        <v>115.58401054704002</v>
      </c>
      <c r="L85" s="303">
        <f>'Owner OPEX'!L78</f>
        <v>173.37597876144002</v>
      </c>
      <c r="M85" s="303">
        <f>'Owner OPEX'!M78</f>
        <v>216.71993021615998</v>
      </c>
      <c r="N85" s="303">
        <f>'Owner OPEX'!N78</f>
        <v>216.72010315872004</v>
      </c>
      <c r="O85" s="303">
        <f>'Owner OPEX'!O78</f>
        <v>216.71997962832</v>
      </c>
      <c r="P85" s="303">
        <f>'Owner OPEX'!P78</f>
        <v>216.71995492223999</v>
      </c>
      <c r="Q85" s="303">
        <f>'Owner OPEX'!Q78</f>
        <v>216.72005374656001</v>
      </c>
      <c r="R85" s="303">
        <f>'Owner OPEX'!R78</f>
        <v>216.71993021615998</v>
      </c>
      <c r="S85" s="303">
        <f>'Owner OPEX'!S78</f>
        <v>216.71995492223999</v>
      </c>
      <c r="T85" s="303">
        <f>'Owner OPEX'!T78</f>
        <v>216.72002904048</v>
      </c>
      <c r="U85" s="303">
        <f>'Owner OPEX'!U78</f>
        <v>216.72022668912001</v>
      </c>
      <c r="V85" s="303">
        <f>'Owner OPEX'!V78</f>
        <v>216.72002904048</v>
      </c>
      <c r="W85" s="303">
        <f>'Owner OPEX'!W78</f>
        <v>158.13002118942001</v>
      </c>
      <c r="X85" s="303">
        <f>'Owner OPEX'!X78</f>
        <v>158.13000316259999</v>
      </c>
      <c r="Y85" s="303">
        <f>'Owner OPEX'!Y78</f>
        <v>144.47999465424002</v>
      </c>
      <c r="Z85" s="303">
        <f>'Owner OPEX'!Z78</f>
        <v>108.36003922632001</v>
      </c>
      <c r="AA85" s="303">
        <f>'Owner OPEX'!AA78</f>
        <v>31.849040084399995</v>
      </c>
    </row>
    <row r="86" spans="2:27">
      <c r="B86" s="223" t="s">
        <v>682</v>
      </c>
      <c r="C86" s="265" t="s">
        <v>134</v>
      </c>
      <c r="D86" s="268">
        <f t="shared" si="53"/>
        <v>314.37972562336205</v>
      </c>
      <c r="E86" s="307">
        <f>'Owner OPEX'!E79</f>
        <v>0</v>
      </c>
      <c r="F86" s="303">
        <f>'Owner OPEX'!F79</f>
        <v>0</v>
      </c>
      <c r="G86" s="303">
        <f>'Owner OPEX'!G79</f>
        <v>0</v>
      </c>
      <c r="H86" s="303">
        <f>'Owner OPEX'!H79</f>
        <v>0</v>
      </c>
      <c r="I86" s="303">
        <f>'Owner OPEX'!I79</f>
        <v>2.8895996460240005</v>
      </c>
      <c r="J86" s="303">
        <f>'Owner OPEX'!J79</f>
        <v>5.7791980567440007</v>
      </c>
      <c r="K86" s="303">
        <f>'Owner OPEX'!K79</f>
        <v>11.558401054704003</v>
      </c>
      <c r="L86" s="303">
        <f>'Owner OPEX'!L79</f>
        <v>17.337597876144002</v>
      </c>
      <c r="M86" s="303">
        <f>'Owner OPEX'!M79</f>
        <v>21.671993021616</v>
      </c>
      <c r="N86" s="303">
        <f>'Owner OPEX'!N79</f>
        <v>21.672010315872004</v>
      </c>
      <c r="O86" s="303">
        <f>'Owner OPEX'!O79</f>
        <v>21.671997962832002</v>
      </c>
      <c r="P86" s="303">
        <f>'Owner OPEX'!P79</f>
        <v>21.671995492223999</v>
      </c>
      <c r="Q86" s="303">
        <f>'Owner OPEX'!Q79</f>
        <v>21.672005374656003</v>
      </c>
      <c r="R86" s="303">
        <f>'Owner OPEX'!R79</f>
        <v>21.671993021616</v>
      </c>
      <c r="S86" s="303">
        <f>'Owner OPEX'!S79</f>
        <v>21.671995492223999</v>
      </c>
      <c r="T86" s="303">
        <f>'Owner OPEX'!T79</f>
        <v>21.672002904048</v>
      </c>
      <c r="U86" s="303">
        <f>'Owner OPEX'!U79</f>
        <v>21.672022668912003</v>
      </c>
      <c r="V86" s="303">
        <f>'Owner OPEX'!V79</f>
        <v>21.672002904048</v>
      </c>
      <c r="W86" s="303">
        <f>'Owner OPEX'!W79</f>
        <v>15.813002118942002</v>
      </c>
      <c r="X86" s="303">
        <f>'Owner OPEX'!X79</f>
        <v>15.81300031626</v>
      </c>
      <c r="Y86" s="303">
        <f>'Owner OPEX'!Y79</f>
        <v>14.447999465424003</v>
      </c>
      <c r="Z86" s="303">
        <f>'Owner OPEX'!Z79</f>
        <v>10.836003922632003</v>
      </c>
      <c r="AA86" s="303">
        <f>'Owner OPEX'!AA79</f>
        <v>3.1849040084399998</v>
      </c>
    </row>
    <row r="87" spans="2:27">
      <c r="B87" s="223" t="s">
        <v>683</v>
      </c>
      <c r="C87" s="265" t="s">
        <v>134</v>
      </c>
      <c r="D87" s="268">
        <f t="shared" si="53"/>
        <v>94.313917687008583</v>
      </c>
      <c r="E87" s="307">
        <f>'Owner OPEX'!E80</f>
        <v>0</v>
      </c>
      <c r="F87" s="303">
        <f>'Owner OPEX'!F80</f>
        <v>0</v>
      </c>
      <c r="G87" s="303">
        <f>'Owner OPEX'!G80</f>
        <v>0</v>
      </c>
      <c r="H87" s="303">
        <f>'Owner OPEX'!H80</f>
        <v>0</v>
      </c>
      <c r="I87" s="303">
        <f>'Owner OPEX'!I80</f>
        <v>0.8668798938072001</v>
      </c>
      <c r="J87" s="303">
        <f>'Owner OPEX'!J80</f>
        <v>1.7337594170232</v>
      </c>
      <c r="K87" s="303">
        <f>'Owner OPEX'!K80</f>
        <v>3.4675203164112007</v>
      </c>
      <c r="L87" s="303">
        <f>'Owner OPEX'!L80</f>
        <v>5.2012793628432004</v>
      </c>
      <c r="M87" s="303">
        <f>'Owner OPEX'!M80</f>
        <v>6.5015979064847995</v>
      </c>
      <c r="N87" s="303">
        <f>'Owner OPEX'!N80</f>
        <v>6.5016030947616006</v>
      </c>
      <c r="O87" s="303">
        <f>'Owner OPEX'!O80</f>
        <v>6.5015993888496002</v>
      </c>
      <c r="P87" s="303">
        <f>'Owner OPEX'!P80</f>
        <v>6.5015986476671994</v>
      </c>
      <c r="Q87" s="303">
        <f>'Owner OPEX'!Q80</f>
        <v>6.5016016123967999</v>
      </c>
      <c r="R87" s="303">
        <f>'Owner OPEX'!R80</f>
        <v>6.5015979064847995</v>
      </c>
      <c r="S87" s="303">
        <f>'Owner OPEX'!S80</f>
        <v>6.5015986476671994</v>
      </c>
      <c r="T87" s="303">
        <f>'Owner OPEX'!T80</f>
        <v>6.5016008712144</v>
      </c>
      <c r="U87" s="303">
        <f>'Owner OPEX'!U80</f>
        <v>6.5016068006736001</v>
      </c>
      <c r="V87" s="303">
        <f>'Owner OPEX'!V80</f>
        <v>6.5016008712144</v>
      </c>
      <c r="W87" s="303">
        <f>'Owner OPEX'!W80</f>
        <v>4.7439006356825999</v>
      </c>
      <c r="X87" s="303">
        <f>'Owner OPEX'!X80</f>
        <v>4.7439000948779997</v>
      </c>
      <c r="Y87" s="303">
        <f>'Owner OPEX'!Y80</f>
        <v>4.3343998396272001</v>
      </c>
      <c r="Z87" s="303">
        <f>'Owner OPEX'!Z80</f>
        <v>3.2508011767896003</v>
      </c>
      <c r="AA87" s="303">
        <f>'Owner OPEX'!AA80</f>
        <v>0.9554712025319998</v>
      </c>
    </row>
    <row r="88" spans="2:27">
      <c r="B88" s="223" t="s">
        <v>342</v>
      </c>
      <c r="C88" s="265" t="s">
        <v>134</v>
      </c>
      <c r="D88" s="268">
        <f t="shared" si="53"/>
        <v>3.9824000000000002</v>
      </c>
      <c r="E88" s="307">
        <f>'Owner OPEX'!E81</f>
        <v>0</v>
      </c>
      <c r="F88" s="303">
        <f>'Owner OPEX'!F81</f>
        <v>0</v>
      </c>
      <c r="G88" s="382">
        <f>'Owner OPEX'!G81</f>
        <v>0</v>
      </c>
      <c r="H88" s="382">
        <f>'Owner OPEX'!H81</f>
        <v>0</v>
      </c>
      <c r="I88" s="382">
        <f>'Owner OPEX'!I81</f>
        <v>0.20960000000000001</v>
      </c>
      <c r="J88" s="382">
        <f>'Owner OPEX'!J81</f>
        <v>0.20960000000000001</v>
      </c>
      <c r="K88" s="382">
        <f>'Owner OPEX'!K81</f>
        <v>0.20960000000000001</v>
      </c>
      <c r="L88" s="382">
        <f>'Owner OPEX'!L81</f>
        <v>0.20960000000000001</v>
      </c>
      <c r="M88" s="382">
        <f>'Owner OPEX'!M81</f>
        <v>0.20960000000000001</v>
      </c>
      <c r="N88" s="382">
        <f>'Owner OPEX'!N81</f>
        <v>0.20960000000000001</v>
      </c>
      <c r="O88" s="382">
        <f>'Owner OPEX'!O81</f>
        <v>0.20960000000000001</v>
      </c>
      <c r="P88" s="382">
        <f>'Owner OPEX'!P81</f>
        <v>0.20960000000000001</v>
      </c>
      <c r="Q88" s="382">
        <f>'Owner OPEX'!Q81</f>
        <v>0.20960000000000001</v>
      </c>
      <c r="R88" s="382">
        <f>'Owner OPEX'!R81</f>
        <v>0.20960000000000001</v>
      </c>
      <c r="S88" s="382">
        <f>'Owner OPEX'!S81</f>
        <v>0.20960000000000001</v>
      </c>
      <c r="T88" s="382">
        <f>'Owner OPEX'!T81</f>
        <v>0.20960000000000001</v>
      </c>
      <c r="U88" s="382">
        <f>'Owner OPEX'!U81</f>
        <v>0.20960000000000001</v>
      </c>
      <c r="V88" s="382">
        <f>'Owner OPEX'!V81</f>
        <v>0.20960000000000001</v>
      </c>
      <c r="W88" s="382">
        <f>'Owner OPEX'!W81</f>
        <v>0.20960000000000001</v>
      </c>
      <c r="X88" s="382">
        <f>'Owner OPEX'!X81</f>
        <v>0.20960000000000001</v>
      </c>
      <c r="Y88" s="382">
        <f>'Owner OPEX'!Y81</f>
        <v>0.20960000000000001</v>
      </c>
      <c r="Z88" s="382">
        <f>'Owner OPEX'!Z81</f>
        <v>0.20960000000000001</v>
      </c>
      <c r="AA88" s="382">
        <f>'Owner OPEX'!AA81</f>
        <v>0.20960000000000001</v>
      </c>
    </row>
    <row r="89" spans="2:27">
      <c r="B89" s="223" t="s">
        <v>684</v>
      </c>
      <c r="C89" s="265" t="s">
        <v>134</v>
      </c>
      <c r="D89" s="268">
        <f t="shared" si="53"/>
        <v>640.16519391791826</v>
      </c>
      <c r="E89" s="307">
        <f>'Owner OPEX'!E82</f>
        <v>0</v>
      </c>
      <c r="F89" s="303">
        <f>'Owner OPEX'!F82</f>
        <v>0</v>
      </c>
      <c r="G89" s="303">
        <f>'Owner OPEX'!G82</f>
        <v>0</v>
      </c>
      <c r="H89" s="303">
        <f>'Owner OPEX'!H82</f>
        <v>0</v>
      </c>
      <c r="I89" s="303">
        <f>'Owner OPEX'!I82</f>
        <v>5.915173680012817</v>
      </c>
      <c r="J89" s="303">
        <f>'Owner OPEX'!J82</f>
        <v>11.792616847417294</v>
      </c>
      <c r="K89" s="303">
        <f>'Owner OPEX'!K82</f>
        <v>23.54751574526794</v>
      </c>
      <c r="L89" s="303">
        <f>'Owner OPEX'!L82</f>
        <v>35.302402080076895</v>
      </c>
      <c r="M89" s="303">
        <f>'Owner OPEX'!M82</f>
        <v>44.118561805966934</v>
      </c>
      <c r="N89" s="303">
        <f>'Owner OPEX'!N82</f>
        <v>44.118596982483652</v>
      </c>
      <c r="O89" s="303">
        <f>'Owner OPEX'!O82</f>
        <v>44.118571856400287</v>
      </c>
      <c r="P89" s="303">
        <f>'Owner OPEX'!P82</f>
        <v>44.118566831183614</v>
      </c>
      <c r="Q89" s="303">
        <f>'Owner OPEX'!Q82</f>
        <v>44.118586932050306</v>
      </c>
      <c r="R89" s="303">
        <f>'Owner OPEX'!R82</f>
        <v>44.118561805966934</v>
      </c>
      <c r="S89" s="303">
        <f>'Owner OPEX'!S82</f>
        <v>44.118566831183614</v>
      </c>
      <c r="T89" s="303">
        <f>'Owner OPEX'!T82</f>
        <v>44.118581906833633</v>
      </c>
      <c r="U89" s="303">
        <f>'Owner OPEX'!U82</f>
        <v>44.11862210856701</v>
      </c>
      <c r="V89" s="303">
        <f>'Owner OPEX'!V82</f>
        <v>44.118581906833633</v>
      </c>
      <c r="W89" s="303">
        <f>'Owner OPEX'!W82</f>
        <v>32.201374309928028</v>
      </c>
      <c r="X89" s="303">
        <f>'Owner OPEX'!X82</f>
        <v>32.201370643272838</v>
      </c>
      <c r="Y89" s="303">
        <f>'Owner OPEX'!Y82</f>
        <v>29.424958912672416</v>
      </c>
      <c r="Z89" s="303">
        <f>'Owner OPEX'!Z82</f>
        <v>22.078159978633487</v>
      </c>
      <c r="AA89" s="303">
        <f>'Owner OPEX'!AA82</f>
        <v>6.5158227531669599</v>
      </c>
    </row>
    <row r="90" spans="2:27">
      <c r="B90" s="223" t="s">
        <v>685</v>
      </c>
      <c r="C90" s="265" t="s">
        <v>134</v>
      </c>
      <c r="D90" s="268">
        <f t="shared" si="53"/>
        <v>292.59818496275693</v>
      </c>
      <c r="E90" s="307">
        <f>'Owner OPEX'!E83</f>
        <v>0</v>
      </c>
      <c r="F90" s="303">
        <f>'Owner OPEX'!F83</f>
        <v>0</v>
      </c>
      <c r="G90" s="303">
        <f>'Owner OPEX'!G83</f>
        <v>0</v>
      </c>
      <c r="H90" s="303">
        <f>'Owner OPEX'!H83</f>
        <v>0</v>
      </c>
      <c r="I90" s="303">
        <f>'Owner OPEX'!I83</f>
        <v>9.5811306042885018</v>
      </c>
      <c r="J90" s="303">
        <f>'Owner OPEX'!J83</f>
        <v>10.060187134502927</v>
      </c>
      <c r="K90" s="303">
        <f>'Owner OPEX'!K83</f>
        <v>10.563196491228075</v>
      </c>
      <c r="L90" s="303">
        <f>'Owner OPEX'!L83</f>
        <v>11.091356315789479</v>
      </c>
      <c r="M90" s="303">
        <f>'Owner OPEX'!M83</f>
        <v>11.645924131578953</v>
      </c>
      <c r="N90" s="303">
        <f>'Owner OPEX'!N83</f>
        <v>12.228220338157902</v>
      </c>
      <c r="O90" s="303">
        <f>'Owner OPEX'!O83</f>
        <v>12.839631355065798</v>
      </c>
      <c r="P90" s="303">
        <f>'Owner OPEX'!P83</f>
        <v>13.481612922819089</v>
      </c>
      <c r="Q90" s="303">
        <f>'Owner OPEX'!Q83</f>
        <v>14.155693568960045</v>
      </c>
      <c r="R90" s="303">
        <f>'Owner OPEX'!R83</f>
        <v>14.863478247408048</v>
      </c>
      <c r="S90" s="303">
        <f>'Owner OPEX'!S83</f>
        <v>15.606652159778452</v>
      </c>
      <c r="T90" s="303">
        <f>'Owner OPEX'!T83</f>
        <v>16.386984767767377</v>
      </c>
      <c r="U90" s="303">
        <f>'Owner OPEX'!U83</f>
        <v>17.206334006155746</v>
      </c>
      <c r="V90" s="303">
        <f>'Owner OPEX'!V83</f>
        <v>18.066650706463534</v>
      </c>
      <c r="W90" s="303">
        <f>'Owner OPEX'!W83</f>
        <v>18.969983241786711</v>
      </c>
      <c r="X90" s="303">
        <f>'Owner OPEX'!X83</f>
        <v>19.918482403876048</v>
      </c>
      <c r="Y90" s="303">
        <f>'Owner OPEX'!Y83</f>
        <v>20.91440652406985</v>
      </c>
      <c r="Z90" s="303">
        <f>'Owner OPEX'!Z83</f>
        <v>21.960126850273344</v>
      </c>
      <c r="AA90" s="303">
        <f>'Owner OPEX'!AA83</f>
        <v>23.058133192787011</v>
      </c>
    </row>
    <row r="91" spans="2:27">
      <c r="B91" s="1268" t="s">
        <v>686</v>
      </c>
      <c r="C91" s="1271" t="s">
        <v>134</v>
      </c>
      <c r="D91" s="1270">
        <f>SUM(E91:AR91)</f>
        <v>50.002300000000027</v>
      </c>
      <c r="E91" s="1274">
        <f>'Owner OPEX'!E84</f>
        <v>0</v>
      </c>
      <c r="F91" s="1274">
        <f>'Owner OPEX'!F84</f>
        <v>0</v>
      </c>
      <c r="G91" s="1274">
        <f>'Owner OPEX'!G84</f>
        <v>0</v>
      </c>
      <c r="H91" s="1274">
        <f>'Owner OPEX'!H84</f>
        <v>0</v>
      </c>
      <c r="I91" s="1274">
        <f>'Owner OPEX'!I84</f>
        <v>2.6317000000000004</v>
      </c>
      <c r="J91" s="1274">
        <f>'Owner OPEX'!J84</f>
        <v>2.6317000000000004</v>
      </c>
      <c r="K91" s="1274">
        <f>'Owner OPEX'!K84</f>
        <v>2.6317000000000004</v>
      </c>
      <c r="L91" s="1274">
        <f>'Owner OPEX'!L84</f>
        <v>2.6317000000000004</v>
      </c>
      <c r="M91" s="1274">
        <f>'Owner OPEX'!M84</f>
        <v>2.6317000000000004</v>
      </c>
      <c r="N91" s="1274">
        <f>'Owner OPEX'!N84</f>
        <v>2.6317000000000004</v>
      </c>
      <c r="O91" s="1274">
        <f>'Owner OPEX'!O84</f>
        <v>2.6317000000000004</v>
      </c>
      <c r="P91" s="1274">
        <f>'Owner OPEX'!P84</f>
        <v>2.6317000000000004</v>
      </c>
      <c r="Q91" s="1274">
        <f>'Owner OPEX'!Q84</f>
        <v>2.6317000000000004</v>
      </c>
      <c r="R91" s="1274">
        <f>'Owner OPEX'!R84</f>
        <v>2.6317000000000004</v>
      </c>
      <c r="S91" s="1274">
        <f>'Owner OPEX'!S84</f>
        <v>2.6317000000000004</v>
      </c>
      <c r="T91" s="1274">
        <f>'Owner OPEX'!T84</f>
        <v>2.6317000000000004</v>
      </c>
      <c r="U91" s="1274">
        <f>'Owner OPEX'!U84</f>
        <v>2.6317000000000004</v>
      </c>
      <c r="V91" s="1274">
        <f>'Owner OPEX'!V84</f>
        <v>2.6317000000000004</v>
      </c>
      <c r="W91" s="1274">
        <f>'Owner OPEX'!W84</f>
        <v>2.6317000000000004</v>
      </c>
      <c r="X91" s="1274">
        <f>'Owner OPEX'!X84</f>
        <v>2.6317000000000004</v>
      </c>
      <c r="Y91" s="1274">
        <f>'Owner OPEX'!Y84</f>
        <v>2.6317000000000004</v>
      </c>
      <c r="Z91" s="1274">
        <f>'Owner OPEX'!Z84</f>
        <v>2.6317000000000004</v>
      </c>
      <c r="AA91" s="1274">
        <f>'Owner OPEX'!AA84</f>
        <v>2.6317000000000004</v>
      </c>
    </row>
    <row r="92" spans="2:27">
      <c r="B92" s="1275" t="s">
        <v>671</v>
      </c>
      <c r="C92" s="1276" t="s">
        <v>134</v>
      </c>
      <c r="D92" s="1277">
        <f>SUM(E92:AR92)</f>
        <v>9986.8575219581744</v>
      </c>
      <c r="E92" s="1265">
        <f t="shared" ref="E92:AA92" si="55">SUM(E83:E91)</f>
        <v>0</v>
      </c>
      <c r="F92" s="1265">
        <f t="shared" si="55"/>
        <v>0</v>
      </c>
      <c r="G92" s="1265">
        <f t="shared" si="55"/>
        <v>0</v>
      </c>
      <c r="H92" s="1265">
        <f t="shared" si="55"/>
        <v>0</v>
      </c>
      <c r="I92" s="1265">
        <f t="shared" si="55"/>
        <v>76.563037151684924</v>
      </c>
      <c r="J92" s="1265">
        <f t="shared" si="55"/>
        <v>141.14494482531182</v>
      </c>
      <c r="K92" s="1265">
        <f t="shared" si="55"/>
        <v>331.96190249240891</v>
      </c>
      <c r="L92" s="1265">
        <f t="shared" si="55"/>
        <v>552.02539680404243</v>
      </c>
      <c r="M92" s="1265">
        <f t="shared" si="55"/>
        <v>687.09358356440987</v>
      </c>
      <c r="N92" s="1265">
        <f t="shared" si="55"/>
        <v>687.67641648092967</v>
      </c>
      <c r="O92" s="1265">
        <f t="shared" si="55"/>
        <v>688.28744413359425</v>
      </c>
      <c r="P92" s="1265">
        <f t="shared" si="55"/>
        <v>688.92934902849868</v>
      </c>
      <c r="Q92" s="1265">
        <f t="shared" si="55"/>
        <v>689.60373636603447</v>
      </c>
      <c r="R92" s="1265">
        <f t="shared" si="55"/>
        <v>690.31113768023897</v>
      </c>
      <c r="S92" s="1265">
        <f t="shared" si="55"/>
        <v>691.0543882654581</v>
      </c>
      <c r="T92" s="1265">
        <f t="shared" si="55"/>
        <v>691.83495089199289</v>
      </c>
      <c r="U92" s="1265">
        <f t="shared" si="55"/>
        <v>692.65491351317075</v>
      </c>
      <c r="V92" s="1265">
        <f t="shared" si="55"/>
        <v>693.51461683068908</v>
      </c>
      <c r="W92" s="1265">
        <f t="shared" si="55"/>
        <v>512.58971900103279</v>
      </c>
      <c r="X92" s="1265">
        <f t="shared" si="55"/>
        <v>513.53816221868885</v>
      </c>
      <c r="Y92" s="1265">
        <f t="shared" si="55"/>
        <v>472.17264993403842</v>
      </c>
      <c r="Z92" s="1265">
        <f t="shared" si="55"/>
        <v>361.12370058523493</v>
      </c>
      <c r="AA92" s="1265">
        <f t="shared" si="55"/>
        <v>124.77747219071394</v>
      </c>
    </row>
    <row r="93" spans="2:27">
      <c r="B93" s="117"/>
      <c r="C93" s="117"/>
      <c r="D93" s="230"/>
    </row>
    <row r="94" spans="2:27">
      <c r="B94" s="117" t="s">
        <v>687</v>
      </c>
      <c r="C94" s="117"/>
      <c r="D94" s="230"/>
    </row>
    <row r="95" spans="2:27">
      <c r="B95" s="1267" t="s">
        <v>688</v>
      </c>
      <c r="C95" s="1273" t="s">
        <v>134</v>
      </c>
      <c r="D95" s="1265">
        <f>SUM(E95:AR95)</f>
        <v>0</v>
      </c>
      <c r="E95" s="1265">
        <f>'Owner OPEX'!E88</f>
        <v>0</v>
      </c>
      <c r="F95" s="1265">
        <f>'Owner OPEX'!F88</f>
        <v>0</v>
      </c>
      <c r="G95" s="1265">
        <f>'Owner OPEX'!G88</f>
        <v>0</v>
      </c>
      <c r="H95" s="1265">
        <f>'Owner OPEX'!H88</f>
        <v>0</v>
      </c>
      <c r="I95" s="1265">
        <f>'Owner OPEX'!I88</f>
        <v>0</v>
      </c>
      <c r="J95" s="1265">
        <f>'Owner OPEX'!J88</f>
        <v>0</v>
      </c>
      <c r="K95" s="1265">
        <f>'Owner OPEX'!K88</f>
        <v>0</v>
      </c>
      <c r="L95" s="1265">
        <f>'Owner OPEX'!L88</f>
        <v>0</v>
      </c>
      <c r="M95" s="1265">
        <f>'Owner OPEX'!M88</f>
        <v>0</v>
      </c>
      <c r="N95" s="1265">
        <f>'Owner OPEX'!N88</f>
        <v>0</v>
      </c>
      <c r="O95" s="1265">
        <f>'Owner OPEX'!O88</f>
        <v>0</v>
      </c>
      <c r="P95" s="1265">
        <f>'Owner OPEX'!P88</f>
        <v>0</v>
      </c>
      <c r="Q95" s="1265">
        <f>'Owner OPEX'!Q88</f>
        <v>0</v>
      </c>
      <c r="R95" s="1265">
        <f>'Owner OPEX'!R88</f>
        <v>0</v>
      </c>
      <c r="S95" s="1265">
        <f>'Owner OPEX'!S88</f>
        <v>0</v>
      </c>
      <c r="T95" s="1265">
        <f>'Owner OPEX'!T88</f>
        <v>0</v>
      </c>
      <c r="U95" s="1265">
        <f>'Owner OPEX'!U88</f>
        <v>0</v>
      </c>
      <c r="V95" s="1265">
        <f>'Owner OPEX'!V88</f>
        <v>0</v>
      </c>
      <c r="W95" s="1265">
        <f>'Owner OPEX'!W88</f>
        <v>0</v>
      </c>
      <c r="X95" s="1265">
        <f>'Owner OPEX'!X88</f>
        <v>0</v>
      </c>
      <c r="Y95" s="1265">
        <f>'Owner OPEX'!Y88</f>
        <v>0</v>
      </c>
      <c r="Z95" s="1265">
        <f>'Owner OPEX'!Z88</f>
        <v>0</v>
      </c>
      <c r="AA95" s="1265">
        <f>'Owner OPEX'!AA88</f>
        <v>0</v>
      </c>
    </row>
    <row r="96" spans="2:27">
      <c r="B96" s="223" t="s">
        <v>689</v>
      </c>
      <c r="C96" s="265" t="s">
        <v>134</v>
      </c>
      <c r="D96" s="307">
        <f>SUM(E96:AR96)</f>
        <v>0</v>
      </c>
      <c r="E96" s="307">
        <f>'Owner OPEX'!E89</f>
        <v>0</v>
      </c>
      <c r="F96" s="303">
        <f>'Owner OPEX'!F89</f>
        <v>0</v>
      </c>
      <c r="G96" s="303">
        <f>'Owner OPEX'!G89</f>
        <v>0</v>
      </c>
      <c r="H96" s="303">
        <f>'Owner OPEX'!H89</f>
        <v>0</v>
      </c>
      <c r="I96" s="303">
        <f>'Owner OPEX'!I89</f>
        <v>0</v>
      </c>
      <c r="J96" s="303">
        <f>'Owner OPEX'!J89</f>
        <v>0</v>
      </c>
      <c r="K96" s="303">
        <f>'Owner OPEX'!K89</f>
        <v>0</v>
      </c>
      <c r="L96" s="303">
        <f>'Owner OPEX'!L89</f>
        <v>0</v>
      </c>
      <c r="M96" s="303">
        <f>'Owner OPEX'!M89</f>
        <v>0</v>
      </c>
      <c r="N96" s="303">
        <f>'Owner OPEX'!N89</f>
        <v>0</v>
      </c>
      <c r="O96" s="303">
        <f>'Owner OPEX'!O89</f>
        <v>0</v>
      </c>
      <c r="P96" s="303">
        <f>'Owner OPEX'!P89</f>
        <v>0</v>
      </c>
      <c r="Q96" s="303">
        <f>'Owner OPEX'!Q89</f>
        <v>0</v>
      </c>
      <c r="R96" s="303">
        <f>'Owner OPEX'!R89</f>
        <v>0</v>
      </c>
      <c r="S96" s="303">
        <f>'Owner OPEX'!S89</f>
        <v>0</v>
      </c>
      <c r="T96" s="303">
        <f>'Owner OPEX'!T89</f>
        <v>0</v>
      </c>
      <c r="U96" s="303">
        <f>'Owner OPEX'!U89</f>
        <v>0</v>
      </c>
      <c r="V96" s="303">
        <f>'Owner OPEX'!V89</f>
        <v>0</v>
      </c>
      <c r="W96" s="303">
        <f>'Owner OPEX'!W89</f>
        <v>0</v>
      </c>
      <c r="X96" s="303">
        <f>'Owner OPEX'!X89</f>
        <v>0</v>
      </c>
      <c r="Y96" s="303">
        <f>'Owner OPEX'!Y89</f>
        <v>0</v>
      </c>
      <c r="Z96" s="303">
        <f>'Owner OPEX'!Z89</f>
        <v>0</v>
      </c>
      <c r="AA96" s="303">
        <f>'Owner OPEX'!AA89</f>
        <v>0</v>
      </c>
    </row>
    <row r="97" spans="2:27">
      <c r="B97" s="1268" t="s">
        <v>690</v>
      </c>
      <c r="C97" s="1271" t="s">
        <v>134</v>
      </c>
      <c r="D97" s="1278">
        <f t="shared" ref="D97" si="56">SUM(E97:AN97)</f>
        <v>0</v>
      </c>
      <c r="E97" s="303">
        <f>'Owner OPEX'!E90</f>
        <v>0</v>
      </c>
      <c r="F97" s="303">
        <f>'Owner OPEX'!F90</f>
        <v>0</v>
      </c>
      <c r="G97" s="303">
        <f>'Owner OPEX'!G90</f>
        <v>0</v>
      </c>
      <c r="H97" s="303">
        <f>'Owner OPEX'!H90</f>
        <v>0</v>
      </c>
      <c r="I97" s="303">
        <f>'Owner OPEX'!I90</f>
        <v>0</v>
      </c>
      <c r="J97" s="303">
        <f>'Owner OPEX'!J90</f>
        <v>0</v>
      </c>
      <c r="K97" s="303">
        <f>'Owner OPEX'!K90</f>
        <v>0</v>
      </c>
      <c r="L97" s="303">
        <f>'Owner OPEX'!L90</f>
        <v>0</v>
      </c>
      <c r="M97" s="303">
        <f>'Owner OPEX'!M90</f>
        <v>0</v>
      </c>
      <c r="N97" s="303">
        <f>'Owner OPEX'!N90</f>
        <v>0</v>
      </c>
      <c r="O97" s="303">
        <f>'Owner OPEX'!O90</f>
        <v>0</v>
      </c>
      <c r="P97" s="303">
        <f>'Owner OPEX'!P90</f>
        <v>0</v>
      </c>
      <c r="Q97" s="303">
        <f>'Owner OPEX'!Q90</f>
        <v>0</v>
      </c>
      <c r="R97" s="303">
        <f>'Owner OPEX'!R90</f>
        <v>0</v>
      </c>
      <c r="S97" s="303">
        <f>'Owner OPEX'!S90</f>
        <v>0</v>
      </c>
      <c r="T97" s="303">
        <f>'Owner OPEX'!T90</f>
        <v>0</v>
      </c>
      <c r="U97" s="303">
        <f>'Owner OPEX'!U90</f>
        <v>0</v>
      </c>
      <c r="V97" s="303">
        <f>'Owner OPEX'!V90</f>
        <v>0</v>
      </c>
      <c r="W97" s="303">
        <f>'Owner OPEX'!W90</f>
        <v>0</v>
      </c>
      <c r="X97" s="303">
        <f>'Owner OPEX'!X90</f>
        <v>0</v>
      </c>
      <c r="Y97" s="303">
        <f>'Owner OPEX'!Y90</f>
        <v>0</v>
      </c>
      <c r="Z97" s="303">
        <f>'Owner OPEX'!Z90</f>
        <v>0</v>
      </c>
      <c r="AA97" s="303">
        <f>'Owner OPEX'!AA90</f>
        <v>0</v>
      </c>
    </row>
    <row r="98" spans="2:27">
      <c r="B98" s="263" t="s">
        <v>691</v>
      </c>
      <c r="C98" s="265" t="s">
        <v>134</v>
      </c>
      <c r="D98" s="230">
        <f t="shared" ref="D98:AA98" si="57">SUM(D95:D97)</f>
        <v>0</v>
      </c>
      <c r="E98" s="1265">
        <f t="shared" si="57"/>
        <v>0</v>
      </c>
      <c r="F98" s="1265">
        <f t="shared" si="57"/>
        <v>0</v>
      </c>
      <c r="G98" s="1265">
        <f t="shared" si="57"/>
        <v>0</v>
      </c>
      <c r="H98" s="1265">
        <f t="shared" si="57"/>
        <v>0</v>
      </c>
      <c r="I98" s="1265">
        <f t="shared" si="57"/>
        <v>0</v>
      </c>
      <c r="J98" s="1265">
        <f t="shared" si="57"/>
        <v>0</v>
      </c>
      <c r="K98" s="1265">
        <f t="shared" si="57"/>
        <v>0</v>
      </c>
      <c r="L98" s="1265">
        <f t="shared" si="57"/>
        <v>0</v>
      </c>
      <c r="M98" s="1265">
        <f t="shared" si="57"/>
        <v>0</v>
      </c>
      <c r="N98" s="1265">
        <f t="shared" si="57"/>
        <v>0</v>
      </c>
      <c r="O98" s="1265">
        <f t="shared" si="57"/>
        <v>0</v>
      </c>
      <c r="P98" s="1265">
        <f t="shared" si="57"/>
        <v>0</v>
      </c>
      <c r="Q98" s="1265">
        <f t="shared" si="57"/>
        <v>0</v>
      </c>
      <c r="R98" s="1265">
        <f t="shared" si="57"/>
        <v>0</v>
      </c>
      <c r="S98" s="1265">
        <f t="shared" si="57"/>
        <v>0</v>
      </c>
      <c r="T98" s="1265">
        <f t="shared" si="57"/>
        <v>0</v>
      </c>
      <c r="U98" s="1265">
        <f t="shared" si="57"/>
        <v>0</v>
      </c>
      <c r="V98" s="1265">
        <f t="shared" si="57"/>
        <v>0</v>
      </c>
      <c r="W98" s="1265">
        <f t="shared" si="57"/>
        <v>0</v>
      </c>
      <c r="X98" s="1265">
        <f t="shared" si="57"/>
        <v>0</v>
      </c>
      <c r="Y98" s="1265">
        <f t="shared" si="57"/>
        <v>0</v>
      </c>
      <c r="Z98" s="1265">
        <f t="shared" si="57"/>
        <v>0</v>
      </c>
      <c r="AA98" s="1265">
        <f t="shared" si="57"/>
        <v>0</v>
      </c>
    </row>
    <row r="99" spans="2:27">
      <c r="B99" s="223"/>
      <c r="C99" s="265"/>
      <c r="D99" s="230"/>
    </row>
    <row r="100" spans="2:27" ht="14" thickBot="1">
      <c r="B100" s="320" t="s">
        <v>614</v>
      </c>
      <c r="C100" s="321" t="s">
        <v>134</v>
      </c>
      <c r="D100" s="266">
        <f ca="1">SUM(E100:AN100)</f>
        <v>19830.446835679882</v>
      </c>
      <c r="E100" s="306">
        <f t="shared" ref="E100:AA100" si="58">SUM(E59,E67,E81,E92,E98)</f>
        <v>0</v>
      </c>
      <c r="F100" s="306">
        <f t="shared" si="58"/>
        <v>0</v>
      </c>
      <c r="G100" s="714">
        <f t="shared" si="58"/>
        <v>0</v>
      </c>
      <c r="H100" s="714">
        <f t="shared" si="58"/>
        <v>0</v>
      </c>
      <c r="I100" s="306">
        <f t="shared" ca="1" si="58"/>
        <v>258.822526059903</v>
      </c>
      <c r="J100" s="306">
        <f t="shared" ca="1" si="58"/>
        <v>334.82802932807942</v>
      </c>
      <c r="K100" s="306">
        <f t="shared" ca="1" si="58"/>
        <v>620.51221334178933</v>
      </c>
      <c r="L100" s="306">
        <f ca="1">SUM(L59,L67,L81,L92,L98)</f>
        <v>1073.1992383490151</v>
      </c>
      <c r="M100" s="306">
        <f t="shared" ca="1" si="58"/>
        <v>1236.8168230435731</v>
      </c>
      <c r="N100" s="306">
        <f t="shared" ca="1" si="58"/>
        <v>1362.5623907635795</v>
      </c>
      <c r="O100" s="306">
        <f t="shared" ca="1" si="58"/>
        <v>1434.9983402886842</v>
      </c>
      <c r="P100" s="306">
        <f t="shared" ca="1" si="58"/>
        <v>1384.057355491891</v>
      </c>
      <c r="Q100" s="306">
        <f t="shared" ca="1" si="58"/>
        <v>1407.2977223810367</v>
      </c>
      <c r="R100" s="306">
        <f t="shared" ca="1" si="58"/>
        <v>1379.6006126401719</v>
      </c>
      <c r="S100" s="306">
        <f t="shared" ca="1" si="58"/>
        <v>1381.3661544285987</v>
      </c>
      <c r="T100" s="306">
        <f t="shared" ca="1" si="58"/>
        <v>1299.6047141903873</v>
      </c>
      <c r="U100" s="306">
        <f t="shared" ca="1" si="58"/>
        <v>1271.2876824931786</v>
      </c>
      <c r="V100" s="306">
        <f t="shared" ca="1" si="58"/>
        <v>1327.2565726035227</v>
      </c>
      <c r="W100" s="306">
        <f t="shared" ca="1" si="58"/>
        <v>1090.1131441370333</v>
      </c>
      <c r="X100" s="306">
        <f t="shared" ca="1" si="58"/>
        <v>1164.7805850622044</v>
      </c>
      <c r="Y100" s="306">
        <f t="shared" ca="1" si="58"/>
        <v>930.79079822004098</v>
      </c>
      <c r="Z100" s="306">
        <f t="shared" ca="1" si="58"/>
        <v>596.20422202649934</v>
      </c>
      <c r="AA100" s="306">
        <f t="shared" ca="1" si="58"/>
        <v>276.34771083069046</v>
      </c>
    </row>
    <row r="101" spans="2:27" ht="14" thickTop="1"/>
    <row r="102" spans="2:27">
      <c r="I102" s="545">
        <f ca="1">I59+I67+I81</f>
        <v>182.25948890821806</v>
      </c>
      <c r="J102" s="545">
        <f t="shared" ref="J102:AA102" ca="1" si="59">J59+J67+J81</f>
        <v>193.6830845027676</v>
      </c>
      <c r="K102" s="545">
        <f t="shared" ca="1" si="59"/>
        <v>288.55031084938042</v>
      </c>
      <c r="L102" s="545">
        <f t="shared" ca="1" si="59"/>
        <v>521.17384154497267</v>
      </c>
      <c r="M102" s="545">
        <f t="shared" ca="1" si="59"/>
        <v>549.72323947916334</v>
      </c>
      <c r="N102" s="545">
        <f t="shared" ca="1" si="59"/>
        <v>674.88597428264984</v>
      </c>
      <c r="O102" s="545">
        <f t="shared" ca="1" si="59"/>
        <v>746.71089615509004</v>
      </c>
      <c r="P102" s="545">
        <f t="shared" ca="1" si="59"/>
        <v>695.12800646339247</v>
      </c>
      <c r="Q102" s="545">
        <f t="shared" ca="1" si="59"/>
        <v>717.69398601500211</v>
      </c>
      <c r="R102" s="545">
        <f t="shared" ca="1" si="59"/>
        <v>689.28947495993293</v>
      </c>
      <c r="S102" s="545">
        <f t="shared" ca="1" si="59"/>
        <v>690.31176616314076</v>
      </c>
      <c r="T102" s="545">
        <f t="shared" ca="1" si="59"/>
        <v>607.76976329839431</v>
      </c>
      <c r="U102" s="545">
        <f t="shared" ca="1" si="59"/>
        <v>578.63276898000788</v>
      </c>
      <c r="V102" s="545">
        <f t="shared" ca="1" si="59"/>
        <v>633.74195577283376</v>
      </c>
      <c r="W102" s="545">
        <f t="shared" ca="1" si="59"/>
        <v>577.52342513600047</v>
      </c>
      <c r="X102" s="545">
        <f t="shared" ca="1" si="59"/>
        <v>651.24242284351544</v>
      </c>
      <c r="Y102" s="545">
        <f t="shared" ca="1" si="59"/>
        <v>458.61814828600257</v>
      </c>
      <c r="Z102" s="545">
        <f t="shared" ca="1" si="59"/>
        <v>235.08052144126438</v>
      </c>
      <c r="AA102" s="545">
        <f t="shared" ca="1" si="59"/>
        <v>151.57023863997654</v>
      </c>
    </row>
  </sheetData>
  <pageMargins left="0.7" right="0.7" top="0.75" bottom="0.75" header="0.3" footer="0.3"/>
  <pageSetup paperSize="9" orientation="portrait" verticalDpi="0" r:id="rId1"/>
  <ignoredErrors>
    <ignoredError sqref="D6"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190C-647F-411D-90EE-E17E37819F77}">
  <sheetPr codeName="Sheet13">
    <tabColor rgb="FFFF0000"/>
  </sheetPr>
  <dimension ref="A1:AA92"/>
  <sheetViews>
    <sheetView showGridLines="0" workbookViewId="0">
      <selection activeCell="I69" sqref="I69"/>
    </sheetView>
  </sheetViews>
  <sheetFormatPr baseColWidth="10" defaultColWidth="8.83203125" defaultRowHeight="13"/>
  <cols>
    <col min="1" max="1" width="10.6640625" customWidth="1"/>
    <col min="2" max="2" width="59.1640625" bestFit="1" customWidth="1"/>
    <col min="4" max="4" width="7.33203125" bestFit="1" customWidth="1"/>
  </cols>
  <sheetData>
    <row r="1" spans="1:27">
      <c r="A1" s="117" t="s">
        <v>661</v>
      </c>
      <c r="B1" s="121"/>
      <c r="C1" s="121"/>
      <c r="D1" s="121"/>
    </row>
    <row r="2" spans="1:27">
      <c r="A2" s="121"/>
      <c r="B2" s="121"/>
      <c r="C2" s="121"/>
      <c r="D2" s="121"/>
    </row>
    <row r="3" spans="1:27">
      <c r="A3" s="117"/>
      <c r="B3" s="117" t="s">
        <v>562</v>
      </c>
      <c r="C3" s="117"/>
      <c r="D3" s="117"/>
      <c r="E3" s="201">
        <f>'Project CAPEX'!E3</f>
        <v>46023</v>
      </c>
      <c r="F3" s="201">
        <f>'Project CAPEX'!F3</f>
        <v>46389</v>
      </c>
      <c r="G3" s="201">
        <f>'Project CAPEX'!G3</f>
        <v>46755</v>
      </c>
      <c r="H3" s="201">
        <f>'Project CAPEX'!H3</f>
        <v>47121</v>
      </c>
      <c r="I3" s="201">
        <f>'Project CAPEX'!I3</f>
        <v>47487</v>
      </c>
      <c r="J3" s="201">
        <f>'Project CAPEX'!J3</f>
        <v>47853</v>
      </c>
      <c r="K3" s="201">
        <f>'Project CAPEX'!K3</f>
        <v>48219</v>
      </c>
      <c r="L3" s="201">
        <f>'Project CAPEX'!L3</f>
        <v>48585</v>
      </c>
      <c r="M3" s="201">
        <f>'Project CAPEX'!M3</f>
        <v>48951</v>
      </c>
      <c r="N3" s="201">
        <f>'Project CAPEX'!N3</f>
        <v>49317</v>
      </c>
      <c r="O3" s="201">
        <f>'Project CAPEX'!O3</f>
        <v>49683</v>
      </c>
      <c r="P3" s="201">
        <f>'Project CAPEX'!P3</f>
        <v>50049</v>
      </c>
      <c r="Q3" s="201">
        <f>'Project CAPEX'!Q3</f>
        <v>50415</v>
      </c>
      <c r="R3" s="201">
        <f>'Project CAPEX'!R3</f>
        <v>50781</v>
      </c>
      <c r="S3" s="201">
        <f>'Project CAPEX'!S3</f>
        <v>51147</v>
      </c>
      <c r="T3" s="201">
        <f>'Project CAPEX'!T3</f>
        <v>51513</v>
      </c>
      <c r="U3" s="201">
        <f>'Project CAPEX'!U3</f>
        <v>51879</v>
      </c>
      <c r="V3" s="201">
        <f>'Project CAPEX'!V3</f>
        <v>52245</v>
      </c>
      <c r="W3" s="201">
        <f>'Project CAPEX'!W3</f>
        <v>52611</v>
      </c>
      <c r="X3" s="201">
        <f>'Project CAPEX'!X3</f>
        <v>52977</v>
      </c>
      <c r="Y3" s="201">
        <f>'Project CAPEX'!Y3</f>
        <v>53343</v>
      </c>
      <c r="Z3" s="201">
        <f>'Project CAPEX'!Z3</f>
        <v>53709</v>
      </c>
      <c r="AA3" s="201">
        <f>'Project CAPEX'!AA3</f>
        <v>54075</v>
      </c>
    </row>
    <row r="4" spans="1:27">
      <c r="A4" s="117"/>
      <c r="B4" s="788" t="s">
        <v>34</v>
      </c>
      <c r="C4" s="788" t="s">
        <v>95</v>
      </c>
      <c r="D4" s="787" t="s">
        <v>96</v>
      </c>
      <c r="E4" s="1141">
        <f>'Project CAPEX'!E4</f>
        <v>-4</v>
      </c>
      <c r="F4" s="1141">
        <f>'Project CAPEX'!F4</f>
        <v>-3</v>
      </c>
      <c r="G4" s="1141">
        <f>'Project CAPEX'!G4</f>
        <v>-2</v>
      </c>
      <c r="H4" s="1141">
        <f>'Project CAPEX'!H4</f>
        <v>-1</v>
      </c>
      <c r="I4" s="1141">
        <f>'Project CAPEX'!I4</f>
        <v>1</v>
      </c>
      <c r="J4" s="1141">
        <f>'Project CAPEX'!J4</f>
        <v>2</v>
      </c>
      <c r="K4" s="1141">
        <f>'Project CAPEX'!K4</f>
        <v>3</v>
      </c>
      <c r="L4" s="1141">
        <f>'Project CAPEX'!L4</f>
        <v>4</v>
      </c>
      <c r="M4" s="1141">
        <f>'Project CAPEX'!M4</f>
        <v>5</v>
      </c>
      <c r="N4" s="1141">
        <f>'Project CAPEX'!N4</f>
        <v>6</v>
      </c>
      <c r="O4" s="1141">
        <f>'Project CAPEX'!O4</f>
        <v>7</v>
      </c>
      <c r="P4" s="1141">
        <f>'Project CAPEX'!P4</f>
        <v>8</v>
      </c>
      <c r="Q4" s="1141">
        <f>'Project CAPEX'!Q4</f>
        <v>9</v>
      </c>
      <c r="R4" s="1141">
        <f>'Project CAPEX'!R4</f>
        <v>10</v>
      </c>
      <c r="S4" s="1141">
        <f>'Project CAPEX'!S4</f>
        <v>11</v>
      </c>
      <c r="T4" s="1141">
        <f>'Project CAPEX'!T4</f>
        <v>12</v>
      </c>
      <c r="U4" s="1141">
        <f>'Project CAPEX'!U4</f>
        <v>13</v>
      </c>
      <c r="V4" s="1141">
        <f>'Project CAPEX'!V4</f>
        <v>14</v>
      </c>
      <c r="W4" s="1141">
        <f>'Project CAPEX'!W4</f>
        <v>15</v>
      </c>
      <c r="X4" s="1141">
        <f>'Project CAPEX'!X4</f>
        <v>16</v>
      </c>
      <c r="Y4" s="1141">
        <f>'Project CAPEX'!Y4</f>
        <v>17</v>
      </c>
      <c r="Z4" s="1141">
        <f>'Project CAPEX'!Z4</f>
        <v>18</v>
      </c>
      <c r="AA4" s="1141">
        <f>'Project CAPEX'!AA4</f>
        <v>19</v>
      </c>
    </row>
    <row r="5" spans="1:27">
      <c r="A5" s="121"/>
      <c r="B5" s="1008" t="s">
        <v>563</v>
      </c>
      <c r="C5" s="1008" t="s">
        <v>113</v>
      </c>
      <c r="D5" s="1256">
        <f>SUM(E5:AN5)</f>
        <v>225.70440651000001</v>
      </c>
      <c r="E5" s="1257">
        <f>'Project CAPEX'!E5</f>
        <v>0</v>
      </c>
      <c r="F5" s="1257">
        <f>'Project CAPEX'!F5</f>
        <v>0</v>
      </c>
      <c r="G5" s="1257">
        <f>'Project CAPEX'!G5</f>
        <v>0</v>
      </c>
      <c r="H5" s="1257">
        <f>'Project CAPEX'!H5</f>
        <v>0</v>
      </c>
      <c r="I5" s="1257">
        <f>'Project CAPEX'!I5</f>
        <v>1.9999997549999999</v>
      </c>
      <c r="J5" s="1257">
        <f>'Project CAPEX'!J5</f>
        <v>3.9999986549999997</v>
      </c>
      <c r="K5" s="1257">
        <f>'Project CAPEX'!K5</f>
        <v>8.00000073</v>
      </c>
      <c r="L5" s="1257">
        <f>'Project CAPEX'!L5</f>
        <v>11.999998529999999</v>
      </c>
      <c r="M5" s="1257">
        <f>'Project CAPEX'!M5</f>
        <v>14.99999517</v>
      </c>
      <c r="N5" s="1257">
        <f>'Project CAPEX'!N5</f>
        <v>15.000007140000001</v>
      </c>
      <c r="O5" s="1257">
        <f>'Project CAPEX'!O5</f>
        <v>14.999998590000001</v>
      </c>
      <c r="P5" s="1257">
        <f>'Project CAPEX'!P5</f>
        <v>14.999996879999999</v>
      </c>
      <c r="Q5" s="1257">
        <f>'Project CAPEX'!Q5</f>
        <v>15.000003719999999</v>
      </c>
      <c r="R5" s="1257">
        <f>'Project CAPEX'!R5</f>
        <v>14.99999517</v>
      </c>
      <c r="S5" s="1257">
        <f>'Project CAPEX'!S5</f>
        <v>14.999996879999999</v>
      </c>
      <c r="T5" s="1257">
        <f>'Project CAPEX'!T5</f>
        <v>15.000002009999999</v>
      </c>
      <c r="U5" s="1257">
        <f>'Project CAPEX'!U5</f>
        <v>15.00001569</v>
      </c>
      <c r="V5" s="1257">
        <f>'Project CAPEX'!V5</f>
        <v>15.000002009999999</v>
      </c>
      <c r="W5" s="1257">
        <f>'Project CAPEX'!W5</f>
        <v>15.000002009999999</v>
      </c>
      <c r="X5" s="1257">
        <f>'Project CAPEX'!X5</f>
        <v>15.000000299999998</v>
      </c>
      <c r="Y5" s="1257">
        <f>'Project CAPEX'!Y5</f>
        <v>9.9999996299999996</v>
      </c>
      <c r="Z5" s="1257">
        <f>'Project CAPEX'!Z5</f>
        <v>7.5000027149999999</v>
      </c>
      <c r="AA5" s="1257">
        <f>'Project CAPEX'!AA5</f>
        <v>2.2043909249999998</v>
      </c>
    </row>
    <row r="6" spans="1:27">
      <c r="A6" s="121"/>
      <c r="B6" s="121" t="s">
        <v>392</v>
      </c>
      <c r="C6" s="121" t="s">
        <v>662</v>
      </c>
      <c r="D6" s="194">
        <f>'Production Schedule'!D14</f>
        <v>3113.3822718404308</v>
      </c>
      <c r="E6" s="1257">
        <f>IFERROR('Production Schedule'!E14,0)</f>
        <v>0</v>
      </c>
      <c r="F6" s="1257">
        <f>IFERROR('Production Schedule'!F14,0)</f>
        <v>0</v>
      </c>
      <c r="G6" s="1257">
        <f>IFERROR('Production Schedule'!G14,0)</f>
        <v>0</v>
      </c>
      <c r="H6" s="1257">
        <f>IFERROR('Production Schedule'!H14,0)</f>
        <v>0</v>
      </c>
      <c r="I6" s="1257">
        <f>IFERROR('Production Schedule'!I14,0)</f>
        <v>3210</v>
      </c>
      <c r="J6" s="1257">
        <f>IFERROR('Production Schedule'!J14,0)</f>
        <v>3150</v>
      </c>
      <c r="K6" s="1257">
        <f>IFERROR('Production Schedule'!K14,0)</f>
        <v>3160</v>
      </c>
      <c r="L6" s="1257">
        <f>IFERROR('Production Schedule'!L14,0)</f>
        <v>3150</v>
      </c>
      <c r="M6" s="1257">
        <f>IFERROR('Production Schedule'!M14,0)</f>
        <v>3120</v>
      </c>
      <c r="N6" s="1257">
        <f>IFERROR('Production Schedule'!N14,0)</f>
        <v>3190</v>
      </c>
      <c r="O6" s="1257">
        <f>IFERROR('Production Schedule'!O14,0)</f>
        <v>3090</v>
      </c>
      <c r="P6" s="1257">
        <f>IFERROR('Production Schedule'!P14,0)</f>
        <v>3160</v>
      </c>
      <c r="Q6" s="1257">
        <f>IFERROR('Production Schedule'!Q14,0)</f>
        <v>3190</v>
      </c>
      <c r="R6" s="1257">
        <f>IFERROR('Production Schedule'!R14,0)</f>
        <v>3280</v>
      </c>
      <c r="S6" s="1257">
        <f>IFERROR('Production Schedule'!S14,0)</f>
        <v>3280</v>
      </c>
      <c r="T6" s="1257">
        <f>IFERROR('Production Schedule'!T14,0)</f>
        <v>3020</v>
      </c>
      <c r="U6" s="1257">
        <f>IFERROR('Production Schedule'!U14,0)</f>
        <v>3120</v>
      </c>
      <c r="V6" s="1257">
        <f>IFERROR('Production Schedule'!V14,0)</f>
        <v>3100</v>
      </c>
      <c r="W6" s="1257">
        <f>IFERROR('Production Schedule'!W14,0)</f>
        <v>2850</v>
      </c>
      <c r="X6" s="1257">
        <f>IFERROR('Production Schedule'!X14,0)</f>
        <v>2970</v>
      </c>
      <c r="Y6" s="1257">
        <f>IFERROR('Production Schedule'!Y14,0)</f>
        <v>3020</v>
      </c>
      <c r="Z6" s="1257">
        <f>IFERROR('Production Schedule'!Z14,0)</f>
        <v>3040</v>
      </c>
      <c r="AA6" s="1257">
        <f>IFERROR('Production Schedule'!AA14,0)</f>
        <v>3200</v>
      </c>
    </row>
    <row r="7" spans="1:27">
      <c r="A7" s="121"/>
      <c r="B7" s="121" t="s">
        <v>564</v>
      </c>
      <c r="C7" s="121" t="s">
        <v>663</v>
      </c>
      <c r="D7" s="194">
        <f>SUM(E7:AN7)</f>
        <v>535.39467341478871</v>
      </c>
      <c r="E7" s="1257">
        <f>'Project CAPEX'!E6</f>
        <v>0</v>
      </c>
      <c r="F7" s="1257">
        <f>'Project CAPEX'!F6</f>
        <v>0</v>
      </c>
      <c r="G7" s="1257">
        <f>'Project CAPEX'!G6</f>
        <v>0</v>
      </c>
      <c r="H7" s="1257">
        <f>'Project CAPEX'!H6</f>
        <v>0</v>
      </c>
      <c r="I7" s="1257">
        <f>'Project CAPEX'!I6</f>
        <v>11.466045729050279</v>
      </c>
      <c r="J7" s="1257">
        <f>'Project CAPEX'!J6</f>
        <v>9.5178188259668506</v>
      </c>
      <c r="K7" s="1257">
        <f>'Project CAPEX'!K6</f>
        <v>17.240514972375692</v>
      </c>
      <c r="L7" s="1257">
        <f>'Project CAPEX'!L6</f>
        <v>36.817196150000001</v>
      </c>
      <c r="M7" s="1257">
        <f>'Project CAPEX'!M6</f>
        <v>35.420574905555554</v>
      </c>
      <c r="N7" s="1257">
        <f>'Project CAPEX'!N6</f>
        <v>47.463611318435753</v>
      </c>
      <c r="O7" s="1257">
        <f>'Project CAPEX'!O6</f>
        <v>43.447467227777778</v>
      </c>
      <c r="P7" s="1257">
        <f>'Project CAPEX'!P6</f>
        <v>36.33747506666667</v>
      </c>
      <c r="Q7" s="1257">
        <f>'Project CAPEX'!Q6</f>
        <v>37.865191711111116</v>
      </c>
      <c r="R7" s="1257">
        <f>'Project CAPEX'!R6</f>
        <v>33.778948184357539</v>
      </c>
      <c r="S7" s="1257">
        <f>'Project CAPEX'!S6</f>
        <v>38.053482346368718</v>
      </c>
      <c r="T7" s="1257">
        <f>'Project CAPEX'!T6</f>
        <v>28.983164832402235</v>
      </c>
      <c r="U7" s="1257">
        <f>'Project CAPEX'!U6</f>
        <v>25.4498801284916</v>
      </c>
      <c r="V7" s="1257">
        <f>'Project CAPEX'!V6</f>
        <v>31.615550832402231</v>
      </c>
      <c r="W7" s="1257">
        <f>'Project CAPEX'!W6</f>
        <v>31.515274825842699</v>
      </c>
      <c r="X7" s="1257">
        <f>'Project CAPEX'!X6</f>
        <v>40.123366662921349</v>
      </c>
      <c r="Y7" s="1257">
        <f>'Project CAPEX'!Y6</f>
        <v>24.726595192090397</v>
      </c>
      <c r="Z7" s="1257">
        <f>'Project CAPEX'!Z6</f>
        <v>4.2960406619318183</v>
      </c>
      <c r="AA7" s="1257">
        <f>'Project CAPEX'!AA6</f>
        <v>1.2764738410404626</v>
      </c>
    </row>
    <row r="8" spans="1:27">
      <c r="A8" s="121"/>
      <c r="B8" s="1220" t="s">
        <v>419</v>
      </c>
      <c r="C8" s="1220" t="s">
        <v>421</v>
      </c>
      <c r="D8" s="1258">
        <f>IFERROR(D7/D5,0)</f>
        <v>2.3721055414621142</v>
      </c>
      <c r="E8" s="1259">
        <f>IFERROR(E7/E5,0)</f>
        <v>0</v>
      </c>
      <c r="F8" s="1259">
        <f t="shared" ref="F8:AA8" si="0">IFERROR(F7/F5,0)</f>
        <v>0</v>
      </c>
      <c r="G8" s="1259">
        <f t="shared" si="0"/>
        <v>0</v>
      </c>
      <c r="H8" s="1259">
        <f t="shared" si="0"/>
        <v>0</v>
      </c>
      <c r="I8" s="1259">
        <f t="shared" si="0"/>
        <v>5.7330235668205267</v>
      </c>
      <c r="J8" s="1259">
        <f t="shared" si="0"/>
        <v>2.3794555065836267</v>
      </c>
      <c r="K8" s="1259">
        <f t="shared" si="0"/>
        <v>2.1550641748973556</v>
      </c>
      <c r="L8" s="1259">
        <f t="shared" si="0"/>
        <v>3.0681000550089239</v>
      </c>
      <c r="M8" s="1259">
        <f t="shared" si="0"/>
        <v>2.3613724207322897</v>
      </c>
      <c r="N8" s="1259">
        <f t="shared" si="0"/>
        <v>3.1642392483845012</v>
      </c>
      <c r="O8" s="1259">
        <f t="shared" si="0"/>
        <v>2.8964980874560053</v>
      </c>
      <c r="P8" s="1259">
        <f t="shared" si="0"/>
        <v>2.422498841657537</v>
      </c>
      <c r="Q8" s="1259">
        <f t="shared" si="0"/>
        <v>2.5243454880363938</v>
      </c>
      <c r="R8" s="1259">
        <f t="shared" si="0"/>
        <v>2.2519306040788236</v>
      </c>
      <c r="S8" s="1259">
        <f t="shared" si="0"/>
        <v>2.5368993507663129</v>
      </c>
      <c r="T8" s="1259">
        <f t="shared" si="0"/>
        <v>1.932210729910578</v>
      </c>
      <c r="U8" s="1259">
        <f t="shared" si="0"/>
        <v>1.6966569005296555</v>
      </c>
      <c r="V8" s="1259">
        <f t="shared" si="0"/>
        <v>2.1077031063945992</v>
      </c>
      <c r="W8" s="1259">
        <f t="shared" si="0"/>
        <v>2.1010180401864291</v>
      </c>
      <c r="X8" s="1259">
        <f t="shared" si="0"/>
        <v>2.6748910573636024</v>
      </c>
      <c r="Y8" s="1259">
        <f t="shared" si="0"/>
        <v>2.4726596106974452</v>
      </c>
      <c r="Z8" s="1259">
        <f t="shared" si="0"/>
        <v>0.57280521423542152</v>
      </c>
      <c r="AA8" s="1259">
        <f t="shared" si="0"/>
        <v>0.57905965160896433</v>
      </c>
    </row>
    <row r="9" spans="1:27">
      <c r="A9" s="121"/>
      <c r="B9" s="121"/>
      <c r="C9" s="121"/>
      <c r="D9" s="194"/>
    </row>
    <row r="10" spans="1:27">
      <c r="A10" s="121"/>
      <c r="B10" s="117" t="s">
        <v>664</v>
      </c>
      <c r="C10" s="117"/>
      <c r="D10" s="197"/>
      <c r="E10" s="201">
        <f>E3</f>
        <v>46023</v>
      </c>
      <c r="F10" s="201">
        <f t="shared" ref="F10:AA11" si="1">F3</f>
        <v>46389</v>
      </c>
      <c r="G10" s="201">
        <f t="shared" si="1"/>
        <v>46755</v>
      </c>
      <c r="H10" s="201">
        <f t="shared" si="1"/>
        <v>47121</v>
      </c>
      <c r="I10" s="201">
        <f t="shared" si="1"/>
        <v>47487</v>
      </c>
      <c r="J10" s="201">
        <f t="shared" si="1"/>
        <v>47853</v>
      </c>
      <c r="K10" s="201">
        <f t="shared" si="1"/>
        <v>48219</v>
      </c>
      <c r="L10" s="201">
        <f t="shared" si="1"/>
        <v>48585</v>
      </c>
      <c r="M10" s="201">
        <f t="shared" si="1"/>
        <v>48951</v>
      </c>
      <c r="N10" s="201">
        <f t="shared" si="1"/>
        <v>49317</v>
      </c>
      <c r="O10" s="201">
        <f t="shared" si="1"/>
        <v>49683</v>
      </c>
      <c r="P10" s="201">
        <f t="shared" si="1"/>
        <v>50049</v>
      </c>
      <c r="Q10" s="201">
        <f t="shared" si="1"/>
        <v>50415</v>
      </c>
      <c r="R10" s="201">
        <f t="shared" si="1"/>
        <v>50781</v>
      </c>
      <c r="S10" s="201">
        <f t="shared" si="1"/>
        <v>51147</v>
      </c>
      <c r="T10" s="201">
        <f t="shared" si="1"/>
        <v>51513</v>
      </c>
      <c r="U10" s="201">
        <f t="shared" si="1"/>
        <v>51879</v>
      </c>
      <c r="V10" s="201">
        <f t="shared" si="1"/>
        <v>52245</v>
      </c>
      <c r="W10" s="201">
        <f t="shared" si="1"/>
        <v>52611</v>
      </c>
      <c r="X10" s="201">
        <f t="shared" si="1"/>
        <v>52977</v>
      </c>
      <c r="Y10" s="201">
        <f t="shared" si="1"/>
        <v>53343</v>
      </c>
      <c r="Z10" s="201">
        <f t="shared" si="1"/>
        <v>53709</v>
      </c>
      <c r="AA10" s="201">
        <f t="shared" si="1"/>
        <v>54075</v>
      </c>
    </row>
    <row r="11" spans="1:27">
      <c r="A11" s="117"/>
      <c r="B11" s="788" t="s">
        <v>94</v>
      </c>
      <c r="C11" s="788" t="s">
        <v>95</v>
      </c>
      <c r="D11" s="1223" t="s">
        <v>96</v>
      </c>
      <c r="E11" s="1141">
        <f>E4</f>
        <v>-4</v>
      </c>
      <c r="F11" s="1141">
        <f t="shared" si="1"/>
        <v>-3</v>
      </c>
      <c r="G11" s="1141">
        <f t="shared" si="1"/>
        <v>-2</v>
      </c>
      <c r="H11" s="1141">
        <f t="shared" si="1"/>
        <v>-1</v>
      </c>
      <c r="I11" s="1141">
        <f t="shared" si="1"/>
        <v>1</v>
      </c>
      <c r="J11" s="1141">
        <f t="shared" si="1"/>
        <v>2</v>
      </c>
      <c r="K11" s="1141">
        <f t="shared" si="1"/>
        <v>3</v>
      </c>
      <c r="L11" s="1141">
        <f t="shared" si="1"/>
        <v>4</v>
      </c>
      <c r="M11" s="1141">
        <f t="shared" si="1"/>
        <v>5</v>
      </c>
      <c r="N11" s="1141">
        <f t="shared" si="1"/>
        <v>6</v>
      </c>
      <c r="O11" s="1141">
        <f t="shared" si="1"/>
        <v>7</v>
      </c>
      <c r="P11" s="1141">
        <f t="shared" si="1"/>
        <v>8</v>
      </c>
      <c r="Q11" s="1141">
        <f t="shared" si="1"/>
        <v>9</v>
      </c>
      <c r="R11" s="1141">
        <f t="shared" si="1"/>
        <v>10</v>
      </c>
      <c r="S11" s="1141">
        <f t="shared" si="1"/>
        <v>11</v>
      </c>
      <c r="T11" s="1141">
        <f t="shared" si="1"/>
        <v>12</v>
      </c>
      <c r="U11" s="1141">
        <f t="shared" si="1"/>
        <v>13</v>
      </c>
      <c r="V11" s="1141">
        <f t="shared" si="1"/>
        <v>14</v>
      </c>
      <c r="W11" s="1141">
        <f t="shared" si="1"/>
        <v>15</v>
      </c>
      <c r="X11" s="1141">
        <f t="shared" si="1"/>
        <v>16</v>
      </c>
      <c r="Y11" s="1141">
        <f t="shared" si="1"/>
        <v>17</v>
      </c>
      <c r="Z11" s="1141">
        <f t="shared" si="1"/>
        <v>18</v>
      </c>
      <c r="AA11" s="1141">
        <f t="shared" si="1"/>
        <v>19</v>
      </c>
    </row>
    <row r="12" spans="1:27">
      <c r="A12" s="121"/>
      <c r="B12" s="117" t="str">
        <f>B55</f>
        <v xml:space="preserve">HEMM Consumables </v>
      </c>
      <c r="C12" s="121"/>
      <c r="D12" s="190"/>
    </row>
    <row r="13" spans="1:27">
      <c r="A13" s="121"/>
      <c r="B13" s="223" t="str">
        <f>B56</f>
        <v xml:space="preserve">Diesel </v>
      </c>
      <c r="C13" s="121" t="s">
        <v>109</v>
      </c>
      <c r="D13" s="190">
        <f>SUMPRODUCT($E$5:$AR$5,E13:AR13)/$D$5</f>
        <v>128.69363752327683</v>
      </c>
      <c r="E13" s="302">
        <f t="shared" ref="E13:AA13" si="2">IFERROR(E56*10/E$5,0)</f>
        <v>0</v>
      </c>
      <c r="F13" s="302">
        <f t="shared" si="2"/>
        <v>0</v>
      </c>
      <c r="G13" s="302">
        <f t="shared" si="2"/>
        <v>0</v>
      </c>
      <c r="H13" s="302">
        <f t="shared" si="2"/>
        <v>0</v>
      </c>
      <c r="I13" s="302">
        <f t="shared" si="2"/>
        <v>135.51101805687298</v>
      </c>
      <c r="J13" s="302">
        <f t="shared" si="2"/>
        <v>78.307238022356074</v>
      </c>
      <c r="K13" s="302">
        <f t="shared" si="2"/>
        <v>82.106608113019675</v>
      </c>
      <c r="L13" s="302">
        <f t="shared" si="2"/>
        <v>131.44517139220778</v>
      </c>
      <c r="M13" s="302">
        <f t="shared" si="2"/>
        <v>114.51680178996888</v>
      </c>
      <c r="N13" s="302">
        <f t="shared" si="2"/>
        <v>148.35173759148114</v>
      </c>
      <c r="O13" s="302">
        <f t="shared" si="2"/>
        <v>143.55335042129772</v>
      </c>
      <c r="P13" s="302">
        <f t="shared" si="2"/>
        <v>132.51614861786024</v>
      </c>
      <c r="Q13" s="302">
        <f t="shared" si="2"/>
        <v>139.34979187719509</v>
      </c>
      <c r="R13" s="302">
        <f t="shared" si="2"/>
        <v>133.2191620279975</v>
      </c>
      <c r="S13" s="302">
        <f t="shared" si="2"/>
        <v>143.18492966834017</v>
      </c>
      <c r="T13" s="302">
        <f t="shared" si="2"/>
        <v>122.22619908930518</v>
      </c>
      <c r="U13" s="302">
        <f t="shared" si="2"/>
        <v>115.10040038018941</v>
      </c>
      <c r="V13" s="302">
        <f t="shared" si="2"/>
        <v>128.90561833058214</v>
      </c>
      <c r="W13" s="302">
        <f t="shared" si="2"/>
        <v>129.15868599668141</v>
      </c>
      <c r="X13" s="302">
        <f t="shared" si="2"/>
        <v>147.18275886641368</v>
      </c>
      <c r="Y13" s="302">
        <f t="shared" si="2"/>
        <v>145.28207948639414</v>
      </c>
      <c r="Z13" s="302">
        <f t="shared" si="2"/>
        <v>77.232231123777055</v>
      </c>
      <c r="AA13" s="302">
        <f t="shared" si="2"/>
        <v>107.61569153302871</v>
      </c>
    </row>
    <row r="14" spans="1:27">
      <c r="A14" s="121"/>
      <c r="B14" s="223" t="str">
        <f>B57</f>
        <v>Lubrication</v>
      </c>
      <c r="C14" s="121" t="s">
        <v>109</v>
      </c>
      <c r="D14" s="190">
        <f t="shared" ref="D14:D48" si="3">SUMPRODUCT($E$5:$AN$5,E14:AN14)/$D$5</f>
        <v>7.4349181000981588</v>
      </c>
      <c r="E14" s="302">
        <f t="shared" ref="E14:AA14" si="4">IFERROR(E57*10/E$5,0)</f>
        <v>0</v>
      </c>
      <c r="F14" s="302">
        <f t="shared" si="4"/>
        <v>0</v>
      </c>
      <c r="G14" s="302">
        <f t="shared" si="4"/>
        <v>0</v>
      </c>
      <c r="H14" s="302">
        <f t="shared" si="4"/>
        <v>0</v>
      </c>
      <c r="I14" s="302">
        <f t="shared" si="4"/>
        <v>6.8553070006333314</v>
      </c>
      <c r="J14" s="302">
        <f t="shared" si="4"/>
        <v>3.9552400301368125</v>
      </c>
      <c r="K14" s="302">
        <f t="shared" si="4"/>
        <v>5.1370054487761374</v>
      </c>
      <c r="L14" s="302">
        <f t="shared" si="4"/>
        <v>7.6055950143863242</v>
      </c>
      <c r="M14" s="302">
        <f t="shared" si="4"/>
        <v>6.7598411077867535</v>
      </c>
      <c r="N14" s="302">
        <f t="shared" si="4"/>
        <v>8.4515878863455143</v>
      </c>
      <c r="O14" s="302">
        <f t="shared" si="4"/>
        <v>8.211668529048767</v>
      </c>
      <c r="P14" s="302">
        <f t="shared" si="4"/>
        <v>7.6598084467567329</v>
      </c>
      <c r="Q14" s="302">
        <f t="shared" si="4"/>
        <v>8.001490632756644</v>
      </c>
      <c r="R14" s="302">
        <f t="shared" si="4"/>
        <v>7.6949591169605567</v>
      </c>
      <c r="S14" s="302">
        <f t="shared" si="4"/>
        <v>8.1932474992807318</v>
      </c>
      <c r="T14" s="302">
        <f t="shared" si="4"/>
        <v>7.1453109685104756</v>
      </c>
      <c r="U14" s="302">
        <f t="shared" si="4"/>
        <v>6.781045525161459</v>
      </c>
      <c r="V14" s="302">
        <f t="shared" si="4"/>
        <v>7.4673186596427614</v>
      </c>
      <c r="W14" s="302">
        <f t="shared" si="4"/>
        <v>7.4715249950821594</v>
      </c>
      <c r="X14" s="302">
        <f t="shared" si="4"/>
        <v>8.369212404289236</v>
      </c>
      <c r="Y14" s="302">
        <f t="shared" si="4"/>
        <v>8.2608860332811052</v>
      </c>
      <c r="Z14" s="302">
        <f t="shared" si="4"/>
        <v>4.8716860262494004</v>
      </c>
      <c r="AA14" s="302">
        <f t="shared" si="4"/>
        <v>6.3269943629325205</v>
      </c>
    </row>
    <row r="15" spans="1:27">
      <c r="A15" s="121"/>
      <c r="B15" s="223" t="str">
        <f>B58</f>
        <v>HEMM Spares (including drill consumables)</v>
      </c>
      <c r="C15" s="121" t="s">
        <v>109</v>
      </c>
      <c r="D15" s="190">
        <f t="shared" si="3"/>
        <v>47.514654954956939</v>
      </c>
      <c r="E15" s="302">
        <f t="shared" ref="E15:AA15" si="5">IFERROR(E58*10/E$5,0)</f>
        <v>0</v>
      </c>
      <c r="F15" s="302">
        <f t="shared" si="5"/>
        <v>0</v>
      </c>
      <c r="G15" s="302">
        <f t="shared" si="5"/>
        <v>0</v>
      </c>
      <c r="H15" s="302">
        <f t="shared" si="5"/>
        <v>0</v>
      </c>
      <c r="I15" s="302">
        <f t="shared" si="5"/>
        <v>73.311189944182857</v>
      </c>
      <c r="J15" s="302">
        <f t="shared" si="5"/>
        <v>37.693997435786294</v>
      </c>
      <c r="K15" s="302">
        <f t="shared" si="5"/>
        <v>38.165447698856447</v>
      </c>
      <c r="L15" s="302">
        <f t="shared" si="5"/>
        <v>52.054902661341309</v>
      </c>
      <c r="M15" s="302">
        <f t="shared" si="5"/>
        <v>43.81673460563912</v>
      </c>
      <c r="N15" s="302">
        <f t="shared" si="5"/>
        <v>55.695422956017808</v>
      </c>
      <c r="O15" s="302">
        <f t="shared" si="5"/>
        <v>53.205156980613523</v>
      </c>
      <c r="P15" s="302">
        <f t="shared" si="5"/>
        <v>48.226457234249601</v>
      </c>
      <c r="Q15" s="302">
        <f t="shared" si="5"/>
        <v>50.314543828688457</v>
      </c>
      <c r="R15" s="302">
        <f t="shared" si="5"/>
        <v>47.50040753841553</v>
      </c>
      <c r="S15" s="302">
        <f t="shared" si="5"/>
        <v>51.294218569959916</v>
      </c>
      <c r="T15" s="302">
        <f t="shared" si="5"/>
        <v>43.406783803880693</v>
      </c>
      <c r="U15" s="302">
        <f t="shared" si="5"/>
        <v>40.603970388413408</v>
      </c>
      <c r="V15" s="302">
        <f t="shared" si="5"/>
        <v>45.900828043468124</v>
      </c>
      <c r="W15" s="302">
        <f t="shared" si="5"/>
        <v>45.970126465361332</v>
      </c>
      <c r="X15" s="302">
        <f t="shared" si="5"/>
        <v>53.066939739723004</v>
      </c>
      <c r="Y15" s="302">
        <f t="shared" si="5"/>
        <v>52.844332891850797</v>
      </c>
      <c r="Z15" s="302">
        <f t="shared" si="5"/>
        <v>26.211159609100871</v>
      </c>
      <c r="AA15" s="302">
        <f t="shared" si="5"/>
        <v>39.391705547205447</v>
      </c>
    </row>
    <row r="16" spans="1:27">
      <c r="A16" s="121"/>
      <c r="B16" s="223" t="str">
        <f>B59</f>
        <v>Tyres</v>
      </c>
      <c r="C16" s="121" t="s">
        <v>109</v>
      </c>
      <c r="D16" s="190">
        <f t="shared" si="3"/>
        <v>12.606884503065155</v>
      </c>
      <c r="E16" s="302">
        <f t="shared" ref="E16:AA16" si="6">IFERROR(E59*10/E$5,0)</f>
        <v>0</v>
      </c>
      <c r="F16" s="302">
        <f t="shared" si="6"/>
        <v>0</v>
      </c>
      <c r="G16" s="302">
        <f t="shared" si="6"/>
        <v>0</v>
      </c>
      <c r="H16" s="302">
        <f t="shared" si="6"/>
        <v>0</v>
      </c>
      <c r="I16" s="302">
        <f t="shared" si="6"/>
        <v>4.9393959814095645</v>
      </c>
      <c r="J16" s="302">
        <f t="shared" si="6"/>
        <v>3.0581157150629985</v>
      </c>
      <c r="K16" s="302">
        <f t="shared" si="6"/>
        <v>3.3368574934967499</v>
      </c>
      <c r="L16" s="302">
        <f t="shared" si="6"/>
        <v>12.022600324791968</v>
      </c>
      <c r="M16" s="302">
        <f t="shared" si="6"/>
        <v>10.461595528141551</v>
      </c>
      <c r="N16" s="302">
        <f t="shared" si="6"/>
        <v>15.330131281759776</v>
      </c>
      <c r="O16" s="302">
        <f t="shared" si="6"/>
        <v>14.84033791917064</v>
      </c>
      <c r="P16" s="302">
        <f t="shared" si="6"/>
        <v>13.554437000517142</v>
      </c>
      <c r="Q16" s="302">
        <f t="shared" si="6"/>
        <v>14.597833334314034</v>
      </c>
      <c r="R16" s="302">
        <f t="shared" si="6"/>
        <v>13.899315137024367</v>
      </c>
      <c r="S16" s="302">
        <f t="shared" si="6"/>
        <v>15.18280234399483</v>
      </c>
      <c r="T16" s="302">
        <f t="shared" si="6"/>
        <v>12.250833505074374</v>
      </c>
      <c r="U16" s="302">
        <f t="shared" si="6"/>
        <v>11.24952489451449</v>
      </c>
      <c r="V16" s="302">
        <f t="shared" si="6"/>
        <v>13.066837323342691</v>
      </c>
      <c r="W16" s="302">
        <f t="shared" si="6"/>
        <v>13.017266771118214</v>
      </c>
      <c r="X16" s="302">
        <f t="shared" si="6"/>
        <v>15.403212427165736</v>
      </c>
      <c r="Y16" s="302">
        <f t="shared" si="6"/>
        <v>14.683051642486486</v>
      </c>
      <c r="Z16" s="302">
        <f t="shared" si="6"/>
        <v>5.9637431194545982</v>
      </c>
      <c r="AA16" s="302">
        <f t="shared" si="6"/>
        <v>8.1570741962649667</v>
      </c>
    </row>
    <row r="17" spans="2:27">
      <c r="B17" s="223" t="str">
        <f t="shared" ref="B17" si="7">B60</f>
        <v>CHP</v>
      </c>
      <c r="C17" s="121" t="s">
        <v>109</v>
      </c>
      <c r="D17" s="190">
        <f t="shared" si="3"/>
        <v>9.7551601186946595</v>
      </c>
      <c r="E17" s="302">
        <f t="shared" ref="E17:AA17" si="8">IFERROR(E60*10/E$5,0)</f>
        <v>0</v>
      </c>
      <c r="F17" s="302">
        <f t="shared" si="8"/>
        <v>0</v>
      </c>
      <c r="G17" s="302">
        <f t="shared" si="8"/>
        <v>0</v>
      </c>
      <c r="H17" s="302">
        <f t="shared" si="8"/>
        <v>0</v>
      </c>
      <c r="I17" s="302">
        <f t="shared" si="8"/>
        <v>45.042818017745205</v>
      </c>
      <c r="J17" s="302">
        <f t="shared" si="8"/>
        <v>29.329134861921602</v>
      </c>
      <c r="K17" s="302">
        <f t="shared" si="8"/>
        <v>14.664561161858796</v>
      </c>
      <c r="L17" s="302">
        <f t="shared" si="8"/>
        <v>9.776376197606087</v>
      </c>
      <c r="M17" s="302">
        <f t="shared" si="8"/>
        <v>7.821102518395012</v>
      </c>
      <c r="N17" s="302">
        <f t="shared" si="8"/>
        <v>7.8210962771581727</v>
      </c>
      <c r="O17" s="302">
        <f t="shared" si="8"/>
        <v>7.82110073518347</v>
      </c>
      <c r="P17" s="302">
        <f t="shared" si="8"/>
        <v>7.8211016267891402</v>
      </c>
      <c r="Q17" s="302">
        <f t="shared" si="8"/>
        <v>7.8210980603676834</v>
      </c>
      <c r="R17" s="302">
        <f t="shared" si="8"/>
        <v>7.821102518395012</v>
      </c>
      <c r="S17" s="302">
        <f t="shared" si="8"/>
        <v>7.8211016267891402</v>
      </c>
      <c r="T17" s="302">
        <f t="shared" si="8"/>
        <v>7.8210989519727416</v>
      </c>
      <c r="U17" s="302">
        <f t="shared" si="8"/>
        <v>7.8210918191379584</v>
      </c>
      <c r="V17" s="302">
        <f t="shared" si="8"/>
        <v>7.8210989519727416</v>
      </c>
      <c r="W17" s="302">
        <f t="shared" si="8"/>
        <v>7.8210989519727416</v>
      </c>
      <c r="X17" s="302">
        <f t="shared" si="8"/>
        <v>7.821099843578005</v>
      </c>
      <c r="Y17" s="302">
        <f t="shared" si="8"/>
        <v>11.731650434071069</v>
      </c>
      <c r="Z17" s="302">
        <f t="shared" si="8"/>
        <v>15.642194337525652</v>
      </c>
      <c r="AA17" s="302">
        <f t="shared" si="8"/>
        <v>53.219462423617095</v>
      </c>
    </row>
    <row r="18" spans="2:27">
      <c r="B18" s="223" t="str">
        <f>B61</f>
        <v>Power</v>
      </c>
      <c r="C18" s="121" t="s">
        <v>109</v>
      </c>
      <c r="D18" s="190">
        <f t="shared" si="3"/>
        <v>10.001118940936532</v>
      </c>
      <c r="E18" s="302">
        <f t="shared" ref="E18:AA18" si="9">IFERROR(E61*10/E$5,0)</f>
        <v>0</v>
      </c>
      <c r="F18" s="302">
        <f t="shared" si="9"/>
        <v>0</v>
      </c>
      <c r="G18" s="302">
        <f t="shared" si="9"/>
        <v>0</v>
      </c>
      <c r="H18" s="302">
        <f t="shared" si="9"/>
        <v>0</v>
      </c>
      <c r="I18" s="302">
        <f t="shared" si="9"/>
        <v>10</v>
      </c>
      <c r="J18" s="302">
        <f t="shared" si="9"/>
        <v>10.000004275001437</v>
      </c>
      <c r="K18" s="302">
        <f t="shared" si="9"/>
        <v>9.9999989312500972</v>
      </c>
      <c r="L18" s="302">
        <f t="shared" si="9"/>
        <v>10.000005700000697</v>
      </c>
      <c r="M18" s="302">
        <f t="shared" si="9"/>
        <v>10.000002280000736</v>
      </c>
      <c r="N18" s="302">
        <f t="shared" si="9"/>
        <v>9.9999886000054232</v>
      </c>
      <c r="O18" s="302">
        <f t="shared" si="9"/>
        <v>10.00000342000032</v>
      </c>
      <c r="P18" s="302">
        <f t="shared" si="9"/>
        <v>10</v>
      </c>
      <c r="Q18" s="302">
        <f t="shared" si="9"/>
        <v>9.9999977200005663</v>
      </c>
      <c r="R18" s="302">
        <f t="shared" si="9"/>
        <v>10.0000034200011</v>
      </c>
      <c r="S18" s="302">
        <f t="shared" si="9"/>
        <v>10.000005700001186</v>
      </c>
      <c r="T18" s="302">
        <f t="shared" si="9"/>
        <v>9.9999988600001526</v>
      </c>
      <c r="U18" s="302">
        <f t="shared" si="9"/>
        <v>9.9999908800095394</v>
      </c>
      <c r="V18" s="302">
        <f t="shared" si="9"/>
        <v>10.000001139999846</v>
      </c>
      <c r="W18" s="302">
        <f t="shared" si="9"/>
        <v>9.999997720000307</v>
      </c>
      <c r="X18" s="302">
        <f t="shared" si="9"/>
        <v>9.9999965800000687</v>
      </c>
      <c r="Y18" s="302">
        <f t="shared" si="9"/>
        <v>10.000004275000158</v>
      </c>
      <c r="Z18" s="302">
        <f t="shared" si="9"/>
        <v>9.9999988600004119</v>
      </c>
      <c r="AA18" s="302">
        <f t="shared" si="9"/>
        <v>10.114609413028681</v>
      </c>
    </row>
    <row r="19" spans="2:27">
      <c r="B19" s="223" t="str">
        <f>B62</f>
        <v>Owner Wage</v>
      </c>
      <c r="C19" s="121" t="s">
        <v>109</v>
      </c>
      <c r="D19" s="190">
        <f t="shared" ca="1" si="3"/>
        <v>41.628473919864355</v>
      </c>
      <c r="E19" s="302">
        <f t="shared" ref="E19:AA19" si="10">IFERROR(E62*10/E$5,0)</f>
        <v>0</v>
      </c>
      <c r="F19" s="302">
        <f t="shared" si="10"/>
        <v>0</v>
      </c>
      <c r="G19" s="302">
        <f t="shared" si="10"/>
        <v>0</v>
      </c>
      <c r="H19" s="302">
        <f t="shared" si="10"/>
        <v>0</v>
      </c>
      <c r="I19" s="302">
        <f t="shared" ca="1" si="10"/>
        <v>212.02502597306571</v>
      </c>
      <c r="J19" s="302">
        <f t="shared" ca="1" si="10"/>
        <v>106.6125358484652</v>
      </c>
      <c r="K19" s="302">
        <f t="shared" ca="1" si="10"/>
        <v>57.101244789511405</v>
      </c>
      <c r="L19" s="302">
        <f t="shared" ca="1" si="10"/>
        <v>41.818755122797512</v>
      </c>
      <c r="M19" s="302">
        <f t="shared" ca="1" si="10"/>
        <v>33.815677555314842</v>
      </c>
      <c r="N19" s="302">
        <f t="shared" ca="1" si="10"/>
        <v>35.157649931625301</v>
      </c>
      <c r="O19" s="302">
        <f t="shared" ca="1" si="10"/>
        <v>35.650003351100317</v>
      </c>
      <c r="P19" s="302">
        <f t="shared" ca="1" si="10"/>
        <v>34.546340518972158</v>
      </c>
      <c r="Q19" s="302">
        <f t="shared" ca="1" si="10"/>
        <v>34.830324695412813</v>
      </c>
      <c r="R19" s="302">
        <f t="shared" ca="1" si="10"/>
        <v>34.545011123493587</v>
      </c>
      <c r="S19" s="302">
        <f t="shared" ca="1" si="10"/>
        <v>35.112340636700189</v>
      </c>
      <c r="T19" s="302">
        <f t="shared" ca="1" si="10"/>
        <v>34.05499543663062</v>
      </c>
      <c r="U19" s="302">
        <f t="shared" ca="1" si="10"/>
        <v>33.810297967761656</v>
      </c>
      <c r="V19" s="302">
        <f t="shared" ca="1" si="10"/>
        <v>34.418995387854622</v>
      </c>
      <c r="W19" s="302">
        <f t="shared" ca="1" si="10"/>
        <v>34.498995377134619</v>
      </c>
      <c r="X19" s="302">
        <f t="shared" ca="1" si="10"/>
        <v>35.272999294540021</v>
      </c>
      <c r="Y19" s="302">
        <f t="shared" ca="1" si="10"/>
        <v>49.084001816108064</v>
      </c>
      <c r="Z19" s="302">
        <f t="shared" ca="1" si="10"/>
        <v>58.629312109522353</v>
      </c>
      <c r="AA19" s="302">
        <f t="shared" ca="1" si="10"/>
        <v>190.67852041715335</v>
      </c>
    </row>
    <row r="20" spans="2:27">
      <c r="B20" s="223" t="str">
        <f>B63</f>
        <v>Explosives</v>
      </c>
      <c r="C20" s="121" t="s">
        <v>109</v>
      </c>
      <c r="D20" s="190">
        <f>SUMPRODUCT($E$5:$AN$5,E20:AN20)/$D$5</f>
        <v>56.41307818787574</v>
      </c>
      <c r="E20" s="302">
        <f t="shared" ref="E20:AA20" si="11">IFERROR(E63*10/E$5,0)</f>
        <v>0</v>
      </c>
      <c r="F20" s="302">
        <f t="shared" si="11"/>
        <v>0</v>
      </c>
      <c r="G20" s="302">
        <f t="shared" si="11"/>
        <v>0</v>
      </c>
      <c r="H20" s="302">
        <f t="shared" si="11"/>
        <v>0</v>
      </c>
      <c r="I20" s="302">
        <f t="shared" si="11"/>
        <v>140.37038427085812</v>
      </c>
      <c r="J20" s="302">
        <f t="shared" si="11"/>
        <v>62.405283977009482</v>
      </c>
      <c r="K20" s="302">
        <f t="shared" si="11"/>
        <v>50.782705878951361</v>
      </c>
      <c r="L20" s="302">
        <f t="shared" si="11"/>
        <v>72.206757383076223</v>
      </c>
      <c r="M20" s="302">
        <f t="shared" si="11"/>
        <v>55.902812763037829</v>
      </c>
      <c r="N20" s="302">
        <f t="shared" si="11"/>
        <v>74.74528838671479</v>
      </c>
      <c r="O20" s="302">
        <f t="shared" si="11"/>
        <v>68.501627343581617</v>
      </c>
      <c r="P20" s="302">
        <f t="shared" si="11"/>
        <v>57.448115226931918</v>
      </c>
      <c r="Q20" s="302">
        <f t="shared" si="11"/>
        <v>59.823141075897254</v>
      </c>
      <c r="R20" s="302">
        <f t="shared" si="11"/>
        <v>53.470514806546852</v>
      </c>
      <c r="S20" s="302">
        <f t="shared" si="11"/>
        <v>60.180135309474878</v>
      </c>
      <c r="T20" s="302">
        <f t="shared" si="11"/>
        <v>46.079002840380547</v>
      </c>
      <c r="U20" s="302">
        <f t="shared" si="11"/>
        <v>40.585926413070922</v>
      </c>
      <c r="V20" s="302">
        <f t="shared" si="11"/>
        <v>50.171411516793775</v>
      </c>
      <c r="W20" s="302">
        <f t="shared" si="11"/>
        <v>50.015494351338056</v>
      </c>
      <c r="X20" s="302">
        <f t="shared" si="11"/>
        <v>63.409767680445448</v>
      </c>
      <c r="Y20" s="302">
        <f t="shared" si="11"/>
        <v>58.647827781408935</v>
      </c>
      <c r="Z20" s="302">
        <f t="shared" si="11"/>
        <v>14.297788739438495</v>
      </c>
      <c r="AA20" s="302">
        <f t="shared" si="11"/>
        <v>14.001549544365083</v>
      </c>
    </row>
    <row r="21" spans="2:27">
      <c r="B21" s="223" t="str">
        <f t="shared" ref="B21:B23" si="12">B64</f>
        <v>Civil Infrastructure</v>
      </c>
      <c r="C21" s="121" t="s">
        <v>109</v>
      </c>
      <c r="D21" s="190">
        <f t="shared" si="3"/>
        <v>4.0196379593492946</v>
      </c>
      <c r="E21" s="302">
        <f t="shared" ref="E21:AA21" si="13">IFERROR(E64*10/E$5,0)</f>
        <v>0</v>
      </c>
      <c r="F21" s="302">
        <f t="shared" si="13"/>
        <v>0</v>
      </c>
      <c r="G21" s="302">
        <f t="shared" si="13"/>
        <v>0</v>
      </c>
      <c r="H21" s="302">
        <f t="shared" si="13"/>
        <v>0</v>
      </c>
      <c r="I21" s="302">
        <f t="shared" si="13"/>
        <v>23.875002924687859</v>
      </c>
      <c r="J21" s="302">
        <f t="shared" si="13"/>
        <v>11.937504013985725</v>
      </c>
      <c r="K21" s="302">
        <f t="shared" si="13"/>
        <v>5.9687494553516123</v>
      </c>
      <c r="L21" s="302">
        <f t="shared" si="13"/>
        <v>3.9791671541146432</v>
      </c>
      <c r="M21" s="302">
        <f t="shared" si="13"/>
        <v>3.1833343583669969</v>
      </c>
      <c r="N21" s="302">
        <f t="shared" si="13"/>
        <v>3.1833318180673875</v>
      </c>
      <c r="O21" s="302">
        <f t="shared" si="13"/>
        <v>3.1833336325666948</v>
      </c>
      <c r="P21" s="302">
        <f t="shared" si="13"/>
        <v>3.1833339954668047</v>
      </c>
      <c r="Q21" s="302">
        <f t="shared" si="13"/>
        <v>3.1833325438668627</v>
      </c>
      <c r="R21" s="302">
        <f t="shared" si="13"/>
        <v>3.1833343583669969</v>
      </c>
      <c r="S21" s="302">
        <f t="shared" si="13"/>
        <v>3.1833339954668047</v>
      </c>
      <c r="T21" s="302">
        <f t="shared" si="13"/>
        <v>3.183332906766724</v>
      </c>
      <c r="U21" s="302">
        <f t="shared" si="13"/>
        <v>3.1833300035701497</v>
      </c>
      <c r="V21" s="302">
        <f t="shared" si="13"/>
        <v>3.183332906766724</v>
      </c>
      <c r="W21" s="302">
        <f t="shared" si="13"/>
        <v>3.183332906766724</v>
      </c>
      <c r="X21" s="302">
        <f t="shared" si="13"/>
        <v>3.1833332696666683</v>
      </c>
      <c r="Y21" s="302">
        <f t="shared" si="13"/>
        <v>4.7750001766750065</v>
      </c>
      <c r="Z21" s="302">
        <f t="shared" si="13"/>
        <v>6.3666643619341681</v>
      </c>
      <c r="AA21" s="302">
        <f t="shared" si="13"/>
        <v>21.661312183092029</v>
      </c>
    </row>
    <row r="22" spans="2:27">
      <c r="B22" s="223" t="str">
        <f t="shared" si="12"/>
        <v>Railway Track &amp; Siding</v>
      </c>
      <c r="C22" s="121" t="s">
        <v>109</v>
      </c>
      <c r="D22" s="190">
        <f t="shared" si="3"/>
        <v>15.910190038052706</v>
      </c>
      <c r="E22" s="302">
        <f t="shared" ref="E22:AA22" si="14">IFERROR(E65*10/E$5,0)</f>
        <v>0</v>
      </c>
      <c r="F22" s="302">
        <f t="shared" si="14"/>
        <v>0</v>
      </c>
      <c r="G22" s="302">
        <f t="shared" si="14"/>
        <v>0</v>
      </c>
      <c r="H22" s="302">
        <f t="shared" si="14"/>
        <v>0</v>
      </c>
      <c r="I22" s="302">
        <f t="shared" si="14"/>
        <v>94.500011576251438</v>
      </c>
      <c r="J22" s="302">
        <f t="shared" si="14"/>
        <v>47.250015887817852</v>
      </c>
      <c r="K22" s="302">
        <f t="shared" si="14"/>
        <v>23.624997844218949</v>
      </c>
      <c r="L22" s="302">
        <f t="shared" si="14"/>
        <v>15.750001929375239</v>
      </c>
      <c r="M22" s="302">
        <f t="shared" si="14"/>
        <v>12.600004057201309</v>
      </c>
      <c r="N22" s="302">
        <f t="shared" si="14"/>
        <v>12.599994002402855</v>
      </c>
      <c r="O22" s="302">
        <f t="shared" si="14"/>
        <v>12.600001184400114</v>
      </c>
      <c r="P22" s="302">
        <f t="shared" si="14"/>
        <v>12.600002620800547</v>
      </c>
      <c r="Q22" s="302">
        <f t="shared" si="14"/>
        <v>12.599996875200778</v>
      </c>
      <c r="R22" s="302">
        <f t="shared" si="14"/>
        <v>12.600004057201309</v>
      </c>
      <c r="S22" s="302">
        <f t="shared" si="14"/>
        <v>12.600002620800547</v>
      </c>
      <c r="T22" s="302">
        <f t="shared" si="14"/>
        <v>12.599998311600229</v>
      </c>
      <c r="U22" s="302">
        <f t="shared" si="14"/>
        <v>12.599986820413788</v>
      </c>
      <c r="V22" s="302">
        <f t="shared" si="14"/>
        <v>12.599998311600229</v>
      </c>
      <c r="W22" s="302">
        <f t="shared" si="14"/>
        <v>12.599998311600229</v>
      </c>
      <c r="X22" s="302">
        <f t="shared" si="14"/>
        <v>12.599999748000009</v>
      </c>
      <c r="Y22" s="302">
        <f t="shared" si="14"/>
        <v>18.90000069930003</v>
      </c>
      <c r="Z22" s="302">
        <f t="shared" si="14"/>
        <v>25.199990877603305</v>
      </c>
      <c r="AA22" s="302">
        <f t="shared" si="14"/>
        <v>85.737968640929708</v>
      </c>
    </row>
    <row r="23" spans="2:27">
      <c r="B23" s="223" t="str">
        <f t="shared" si="12"/>
        <v xml:space="preserve">Fire Fighting &amp; Dust Suppression </v>
      </c>
      <c r="C23" s="121" t="s">
        <v>109</v>
      </c>
      <c r="D23" s="190">
        <f t="shared" ref="D23" si="15">SUMPRODUCT($E$5:$AN$5,E23:AN23)/$D$5</f>
        <v>0.42574490009233629</v>
      </c>
      <c r="E23" s="302">
        <f t="shared" ref="E23:AA23" si="16">IFERROR(E66*10/E$5,0)</f>
        <v>0</v>
      </c>
      <c r="F23" s="302">
        <f t="shared" si="16"/>
        <v>0</v>
      </c>
      <c r="G23" s="302">
        <f t="shared" si="16"/>
        <v>0</v>
      </c>
      <c r="H23" s="302">
        <f t="shared" si="16"/>
        <v>0</v>
      </c>
      <c r="I23" s="302">
        <f t="shared" si="16"/>
        <v>2.5287503097719131</v>
      </c>
      <c r="J23" s="302">
        <f t="shared" si="16"/>
        <v>1.2643754251462369</v>
      </c>
      <c r="K23" s="302">
        <f t="shared" si="16"/>
        <v>0.63218744231289592</v>
      </c>
      <c r="L23" s="302">
        <f t="shared" si="16"/>
        <v>0.42145838496198551</v>
      </c>
      <c r="M23" s="302">
        <f t="shared" si="16"/>
        <v>0.33716677523436828</v>
      </c>
      <c r="N23" s="302">
        <f t="shared" si="16"/>
        <v>0.33716650617540972</v>
      </c>
      <c r="O23" s="302">
        <f t="shared" si="16"/>
        <v>0.3371666983603363</v>
      </c>
      <c r="P23" s="302">
        <f t="shared" si="16"/>
        <v>0.33716673679734793</v>
      </c>
      <c r="Q23" s="302">
        <f t="shared" si="16"/>
        <v>0.3371665830493541</v>
      </c>
      <c r="R23" s="302">
        <f t="shared" si="16"/>
        <v>0.33716677523436828</v>
      </c>
      <c r="S23" s="302">
        <f t="shared" si="16"/>
        <v>0.33716673679734793</v>
      </c>
      <c r="T23" s="302">
        <f t="shared" si="16"/>
        <v>0.33716662148633941</v>
      </c>
      <c r="U23" s="302">
        <f t="shared" si="16"/>
        <v>0.33716631399070224</v>
      </c>
      <c r="V23" s="302">
        <f t="shared" si="16"/>
        <v>0.33716662148633941</v>
      </c>
      <c r="W23" s="302">
        <f t="shared" si="16"/>
        <v>0.33716662148633941</v>
      </c>
      <c r="X23" s="302">
        <f t="shared" si="16"/>
        <v>0.3371666599233335</v>
      </c>
      <c r="Y23" s="302">
        <f t="shared" si="16"/>
        <v>0.50575001871275072</v>
      </c>
      <c r="Z23" s="302">
        <f t="shared" si="16"/>
        <v>0.6743330892247551</v>
      </c>
      <c r="AA23" s="302">
        <f t="shared" si="16"/>
        <v>2.2942845312248781</v>
      </c>
    </row>
    <row r="24" spans="2:27">
      <c r="B24" s="223" t="s">
        <v>429</v>
      </c>
      <c r="C24" s="121" t="s">
        <v>109</v>
      </c>
      <c r="D24" s="190">
        <f>SUMPRODUCT($E$5:$AN$5,E24:AN24)/$D$5</f>
        <v>23.459001451818843</v>
      </c>
      <c r="E24" s="302">
        <f t="shared" ref="E24:AA24" si="17">IFERROR(E67*10/E$5,0)</f>
        <v>0</v>
      </c>
      <c r="F24" s="302">
        <f t="shared" si="17"/>
        <v>0</v>
      </c>
      <c r="G24" s="302">
        <f t="shared" si="17"/>
        <v>0</v>
      </c>
      <c r="H24" s="302">
        <f t="shared" si="17"/>
        <v>0</v>
      </c>
      <c r="I24" s="302">
        <f t="shared" si="17"/>
        <v>0</v>
      </c>
      <c r="J24" s="302">
        <f t="shared" si="17"/>
        <v>0</v>
      </c>
      <c r="K24" s="302">
        <f t="shared" si="17"/>
        <v>0</v>
      </c>
      <c r="L24" s="302">
        <f t="shared" si="17"/>
        <v>0</v>
      </c>
      <c r="M24" s="302">
        <f t="shared" si="17"/>
        <v>0</v>
      </c>
      <c r="N24" s="302">
        <f t="shared" si="17"/>
        <v>0</v>
      </c>
      <c r="O24" s="302">
        <f t="shared" si="17"/>
        <v>55.300005198200488</v>
      </c>
      <c r="P24" s="302">
        <f t="shared" si="17"/>
        <v>55.300011502402391</v>
      </c>
      <c r="Q24" s="302">
        <f t="shared" si="17"/>
        <v>55.299986285603403</v>
      </c>
      <c r="R24" s="302">
        <f t="shared" si="17"/>
        <v>55.30001780660573</v>
      </c>
      <c r="S24" s="302">
        <f t="shared" si="17"/>
        <v>32.946673519574766</v>
      </c>
      <c r="T24" s="302">
        <f t="shared" si="17"/>
        <v>32.946662251813926</v>
      </c>
      <c r="U24" s="302">
        <f t="shared" si="17"/>
        <v>32.946632204489383</v>
      </c>
      <c r="V24" s="302">
        <f t="shared" si="17"/>
        <v>32.946662251813926</v>
      </c>
      <c r="W24" s="302">
        <f t="shared" si="17"/>
        <v>0</v>
      </c>
      <c r="X24" s="302">
        <f t="shared" si="17"/>
        <v>0</v>
      </c>
      <c r="Y24" s="302">
        <f t="shared" si="17"/>
        <v>0</v>
      </c>
      <c r="Z24" s="302">
        <f t="shared" si="17"/>
        <v>0</v>
      </c>
      <c r="AA24" s="302">
        <f t="shared" si="17"/>
        <v>0</v>
      </c>
    </row>
    <row r="25" spans="2:27">
      <c r="B25" s="223" t="str">
        <f>B68</f>
        <v>Digitalisation (AMC)</v>
      </c>
      <c r="C25" s="121" t="s">
        <v>109</v>
      </c>
      <c r="D25" s="190">
        <f t="shared" si="3"/>
        <v>0.29463314885282793</v>
      </c>
      <c r="E25" s="302">
        <f t="shared" ref="E25:AA25" si="18">IFERROR(E68*10/E$5,0)</f>
        <v>0</v>
      </c>
      <c r="F25" s="302">
        <f t="shared" si="18"/>
        <v>0</v>
      </c>
      <c r="G25" s="302">
        <f t="shared" si="18"/>
        <v>0</v>
      </c>
      <c r="H25" s="302">
        <f t="shared" si="18"/>
        <v>0</v>
      </c>
      <c r="I25" s="302">
        <f t="shared" si="18"/>
        <v>1.7500002143750266</v>
      </c>
      <c r="J25" s="302">
        <f t="shared" si="18"/>
        <v>0.87500029421884906</v>
      </c>
      <c r="K25" s="302">
        <f t="shared" si="18"/>
        <v>0.43749996007812869</v>
      </c>
      <c r="L25" s="302">
        <f t="shared" si="18"/>
        <v>0.29166670239583775</v>
      </c>
      <c r="M25" s="302">
        <f t="shared" si="18"/>
        <v>0.2333334084666909</v>
      </c>
      <c r="N25" s="302">
        <f t="shared" si="18"/>
        <v>0.23333322226671954</v>
      </c>
      <c r="O25" s="302">
        <f t="shared" si="18"/>
        <v>0.23333335526666876</v>
      </c>
      <c r="P25" s="302">
        <f t="shared" si="18"/>
        <v>0.23333338186667679</v>
      </c>
      <c r="Q25" s="302">
        <f t="shared" si="18"/>
        <v>0.23333327546668106</v>
      </c>
      <c r="R25" s="302">
        <f t="shared" si="18"/>
        <v>0.2333334084666909</v>
      </c>
      <c r="S25" s="302">
        <f t="shared" si="18"/>
        <v>0.23333338186667679</v>
      </c>
      <c r="T25" s="302">
        <f t="shared" si="18"/>
        <v>0.23333330206667088</v>
      </c>
      <c r="U25" s="302">
        <f t="shared" si="18"/>
        <v>0.23333308926692201</v>
      </c>
      <c r="V25" s="302">
        <f t="shared" si="18"/>
        <v>0.23333330206667088</v>
      </c>
      <c r="W25" s="302">
        <f t="shared" si="18"/>
        <v>0.23333330206667088</v>
      </c>
      <c r="X25" s="302">
        <f t="shared" si="18"/>
        <v>0.23333332866666681</v>
      </c>
      <c r="Y25" s="302">
        <f t="shared" si="18"/>
        <v>0.35000001295000055</v>
      </c>
      <c r="Z25" s="302">
        <f t="shared" si="18"/>
        <v>0.46666649773339453</v>
      </c>
      <c r="AA25" s="302">
        <f t="shared" si="18"/>
        <v>1.587740160017217</v>
      </c>
    </row>
    <row r="26" spans="2:27">
      <c r="B26" s="223" t="str">
        <f t="shared" ref="B26:B30" si="19">B69</f>
        <v>Environment Management &amp; OHS  costs</v>
      </c>
      <c r="C26" s="121" t="s">
        <v>109</v>
      </c>
      <c r="D26" s="190">
        <f t="shared" si="3"/>
        <v>2.6937887895115691</v>
      </c>
      <c r="E26" s="302">
        <f t="shared" ref="E26:AA26" si="20">IFERROR(E69*10/E$5,0)</f>
        <v>0</v>
      </c>
      <c r="F26" s="302">
        <f t="shared" si="20"/>
        <v>0</v>
      </c>
      <c r="G26" s="302">
        <f t="shared" si="20"/>
        <v>0</v>
      </c>
      <c r="H26" s="302">
        <f t="shared" si="20"/>
        <v>0</v>
      </c>
      <c r="I26" s="302">
        <f t="shared" si="20"/>
        <v>16.00000196000024</v>
      </c>
      <c r="J26" s="302">
        <f t="shared" si="20"/>
        <v>8.0000026900009047</v>
      </c>
      <c r="K26" s="302">
        <f t="shared" si="20"/>
        <v>3.9999996350000333</v>
      </c>
      <c r="L26" s="302">
        <f t="shared" si="20"/>
        <v>2.6666669933333735</v>
      </c>
      <c r="M26" s="302">
        <f t="shared" si="20"/>
        <v>2.1333340202668878</v>
      </c>
      <c r="N26" s="302">
        <f t="shared" si="20"/>
        <v>2.1333323178671497</v>
      </c>
      <c r="O26" s="302">
        <f t="shared" si="20"/>
        <v>2.1333335338666854</v>
      </c>
      <c r="P26" s="302">
        <f t="shared" si="20"/>
        <v>2.1333337770667589</v>
      </c>
      <c r="Q26" s="302">
        <f t="shared" si="20"/>
        <v>2.1333328042667983</v>
      </c>
      <c r="R26" s="302">
        <f t="shared" si="20"/>
        <v>2.1333340202668878</v>
      </c>
      <c r="S26" s="302">
        <f t="shared" si="20"/>
        <v>2.1333337770667589</v>
      </c>
      <c r="T26" s="302">
        <f t="shared" si="20"/>
        <v>2.1333330474667052</v>
      </c>
      <c r="U26" s="302">
        <f t="shared" si="20"/>
        <v>2.1333311018690009</v>
      </c>
      <c r="V26" s="302">
        <f t="shared" si="20"/>
        <v>2.1333330474667052</v>
      </c>
      <c r="W26" s="302">
        <f t="shared" si="20"/>
        <v>2.1333330474667052</v>
      </c>
      <c r="X26" s="302">
        <f t="shared" si="20"/>
        <v>2.133333290666668</v>
      </c>
      <c r="Y26" s="302">
        <f t="shared" si="20"/>
        <v>3.2000001184000046</v>
      </c>
      <c r="Z26" s="302">
        <f t="shared" si="20"/>
        <v>4.2666651221338929</v>
      </c>
      <c r="AA26" s="302">
        <f t="shared" si="20"/>
        <v>14.516481463014554</v>
      </c>
    </row>
    <row r="27" spans="2:27">
      <c r="B27" s="223" t="str">
        <f>B70</f>
        <v>Other Misc.</v>
      </c>
      <c r="C27" s="121" t="s">
        <v>109</v>
      </c>
      <c r="D27" s="614">
        <f t="shared" ca="1" si="3"/>
        <v>0.1234468587956679</v>
      </c>
      <c r="E27" s="302">
        <f t="shared" ref="E27:AA27" si="21">IFERROR(E70*10/E$5,0)</f>
        <v>0</v>
      </c>
      <c r="F27" s="302">
        <f t="shared" si="21"/>
        <v>0</v>
      </c>
      <c r="G27" s="302">
        <f t="shared" si="21"/>
        <v>0</v>
      </c>
      <c r="H27" s="302">
        <f t="shared" si="21"/>
        <v>0</v>
      </c>
      <c r="I27" s="302">
        <f t="shared" ca="1" si="21"/>
        <v>0.72375008865938573</v>
      </c>
      <c r="J27" s="302">
        <f t="shared" ca="1" si="21"/>
        <v>0.36187512168050961</v>
      </c>
      <c r="K27" s="302">
        <f t="shared" ca="1" si="21"/>
        <v>0.18374998323281402</v>
      </c>
      <c r="L27" s="302">
        <f t="shared" ca="1" si="21"/>
        <v>0.12312501508281436</v>
      </c>
      <c r="M27" s="302">
        <f t="shared" ca="1" si="21"/>
        <v>9.8500031717010217E-2</v>
      </c>
      <c r="N27" s="302">
        <f t="shared" ca="1" si="21"/>
        <v>9.799995335202219E-2</v>
      </c>
      <c r="O27" s="302">
        <f t="shared" ca="1" si="21"/>
        <v>0.10050000944700087</v>
      </c>
      <c r="P27" s="302">
        <f t="shared" ca="1" si="21"/>
        <v>9.8000020384004238E-2</v>
      </c>
      <c r="Q27" s="302">
        <f t="shared" ca="1" si="21"/>
        <v>9.7999975696006034E-2</v>
      </c>
      <c r="R27" s="302">
        <f t="shared" ca="1" si="21"/>
        <v>9.8000031556010156E-2</v>
      </c>
      <c r="S27" s="302">
        <f t="shared" ca="1" si="21"/>
        <v>9.8000020384004238E-2</v>
      </c>
      <c r="T27" s="302">
        <f t="shared" ca="1" si="21"/>
        <v>9.7999986868001765E-2</v>
      </c>
      <c r="U27" s="302">
        <f t="shared" ca="1" si="21"/>
        <v>9.7999897492107219E-2</v>
      </c>
      <c r="V27" s="302">
        <f t="shared" ca="1" si="21"/>
        <v>9.7999986868001765E-2</v>
      </c>
      <c r="W27" s="302">
        <f t="shared" ca="1" si="21"/>
        <v>9.7999986868001765E-2</v>
      </c>
      <c r="X27" s="302">
        <f t="shared" ca="1" si="21"/>
        <v>9.799999804000005E-2</v>
      </c>
      <c r="Y27" s="302">
        <f t="shared" ca="1" si="21"/>
        <v>0.14625000541125019</v>
      </c>
      <c r="Z27" s="302">
        <f t="shared" ca="1" si="21"/>
        <v>0.19199993049602515</v>
      </c>
      <c r="AA27" s="302">
        <f t="shared" ca="1" si="21"/>
        <v>0.64983936549276078</v>
      </c>
    </row>
    <row r="28" spans="2:27">
      <c r="B28" s="223" t="str">
        <f t="shared" si="19"/>
        <v xml:space="preserve">Admin and Overhead </v>
      </c>
      <c r="C28" s="121" t="s">
        <v>109</v>
      </c>
      <c r="D28" s="190">
        <f t="shared" si="3"/>
        <v>14.999999999999998</v>
      </c>
      <c r="E28" s="302">
        <f t="shared" ref="E28:AA28" si="22">IFERROR(E71*10/E$5,0)</f>
        <v>0</v>
      </c>
      <c r="F28" s="302">
        <f t="shared" si="22"/>
        <v>0</v>
      </c>
      <c r="G28" s="302">
        <f t="shared" si="22"/>
        <v>0</v>
      </c>
      <c r="H28" s="302">
        <f t="shared" si="22"/>
        <v>0</v>
      </c>
      <c r="I28" s="302">
        <f t="shared" si="22"/>
        <v>15</v>
      </c>
      <c r="J28" s="302">
        <f t="shared" si="22"/>
        <v>15</v>
      </c>
      <c r="K28" s="302">
        <f t="shared" si="22"/>
        <v>15</v>
      </c>
      <c r="L28" s="302">
        <f t="shared" si="22"/>
        <v>15</v>
      </c>
      <c r="M28" s="302">
        <f t="shared" si="22"/>
        <v>15</v>
      </c>
      <c r="N28" s="302">
        <f t="shared" si="22"/>
        <v>15</v>
      </c>
      <c r="O28" s="302">
        <f t="shared" si="22"/>
        <v>15</v>
      </c>
      <c r="P28" s="302">
        <f t="shared" si="22"/>
        <v>15</v>
      </c>
      <c r="Q28" s="302">
        <f t="shared" si="22"/>
        <v>15</v>
      </c>
      <c r="R28" s="302">
        <f t="shared" si="22"/>
        <v>15</v>
      </c>
      <c r="S28" s="302">
        <f t="shared" si="22"/>
        <v>15</v>
      </c>
      <c r="T28" s="302">
        <f t="shared" si="22"/>
        <v>15</v>
      </c>
      <c r="U28" s="302">
        <f t="shared" si="22"/>
        <v>15</v>
      </c>
      <c r="V28" s="302">
        <f t="shared" si="22"/>
        <v>15</v>
      </c>
      <c r="W28" s="302">
        <f t="shared" si="22"/>
        <v>15</v>
      </c>
      <c r="X28" s="302">
        <f t="shared" si="22"/>
        <v>14.999999999999996</v>
      </c>
      <c r="Y28" s="302">
        <f t="shared" si="22"/>
        <v>15</v>
      </c>
      <c r="Z28" s="302">
        <f t="shared" si="22"/>
        <v>15.000000000000004</v>
      </c>
      <c r="AA28" s="302">
        <f t="shared" si="22"/>
        <v>15</v>
      </c>
    </row>
    <row r="29" spans="2:27">
      <c r="B29" s="223" t="str">
        <f t="shared" si="19"/>
        <v>R&amp;R</v>
      </c>
      <c r="C29" s="121" t="s">
        <v>109</v>
      </c>
      <c r="D29" s="190">
        <f t="shared" si="3"/>
        <v>3.2669140981709233</v>
      </c>
      <c r="E29" s="302">
        <f t="shared" ref="E29:AA29" si="23">IFERROR(E72*10/E$5,0)</f>
        <v>0</v>
      </c>
      <c r="F29" s="302">
        <f t="shared" si="23"/>
        <v>0</v>
      </c>
      <c r="G29" s="302">
        <f t="shared" si="23"/>
        <v>0</v>
      </c>
      <c r="H29" s="302">
        <f t="shared" si="23"/>
        <v>0</v>
      </c>
      <c r="I29" s="302">
        <f t="shared" si="23"/>
        <v>10.000001225000151</v>
      </c>
      <c r="J29" s="302">
        <f t="shared" si="23"/>
        <v>5.0000016812505654</v>
      </c>
      <c r="K29" s="302">
        <f t="shared" si="23"/>
        <v>2.4999997718750206</v>
      </c>
      <c r="L29" s="302">
        <f t="shared" si="23"/>
        <v>2.5000003062500378</v>
      </c>
      <c r="M29" s="302">
        <f t="shared" si="23"/>
        <v>2.0000006440002074</v>
      </c>
      <c r="N29" s="302">
        <f t="shared" si="23"/>
        <v>2.0999990004004756</v>
      </c>
      <c r="O29" s="302">
        <f t="shared" si="23"/>
        <v>2.2050002072700194</v>
      </c>
      <c r="P29" s="302">
        <f t="shared" si="23"/>
        <v>2.3152504815721007</v>
      </c>
      <c r="Q29" s="302">
        <f t="shared" si="23"/>
        <v>2.4310118971090495</v>
      </c>
      <c r="R29" s="302">
        <f t="shared" si="23"/>
        <v>2.5525639469255914</v>
      </c>
      <c r="S29" s="302">
        <f t="shared" si="23"/>
        <v>2.6801918387299022</v>
      </c>
      <c r="T29" s="302">
        <f t="shared" si="23"/>
        <v>2.8142004682096369</v>
      </c>
      <c r="U29" s="302">
        <f t="shared" si="23"/>
        <v>2.9549077967445694</v>
      </c>
      <c r="V29" s="302">
        <f t="shared" si="23"/>
        <v>3.1026560162011245</v>
      </c>
      <c r="W29" s="302">
        <f t="shared" si="23"/>
        <v>3.2577888170111815</v>
      </c>
      <c r="X29" s="302">
        <f t="shared" si="23"/>
        <v>3.4206786478190545</v>
      </c>
      <c r="Y29" s="302">
        <f t="shared" si="23"/>
        <v>5.3875691774064478</v>
      </c>
      <c r="Z29" s="302">
        <f t="shared" si="23"/>
        <v>7.5425938388739739</v>
      </c>
      <c r="AA29" s="302">
        <f t="shared" si="23"/>
        <v>26.945287838717597</v>
      </c>
    </row>
    <row r="30" spans="2:27">
      <c r="B30" s="223" t="str">
        <f t="shared" si="19"/>
        <v>Contingency</v>
      </c>
      <c r="C30" s="121" t="s">
        <v>109</v>
      </c>
      <c r="D30" s="190">
        <f t="shared" ca="1" si="3"/>
        <v>56.886192524011889</v>
      </c>
      <c r="E30" s="302">
        <f t="shared" ref="E30:AA30" si="24">IFERROR(E73*10/E$5,0)</f>
        <v>0</v>
      </c>
      <c r="F30" s="302">
        <f t="shared" si="24"/>
        <v>0</v>
      </c>
      <c r="G30" s="302">
        <f t="shared" si="24"/>
        <v>0</v>
      </c>
      <c r="H30" s="302">
        <f t="shared" si="24"/>
        <v>0</v>
      </c>
      <c r="I30" s="302">
        <f t="shared" ca="1" si="24"/>
        <v>118.86489863152707</v>
      </c>
      <c r="J30" s="302">
        <f t="shared" ca="1" si="24"/>
        <v>63.157548791976069</v>
      </c>
      <c r="K30" s="302">
        <f t="shared" ca="1" si="24"/>
        <v>47.046242041168519</v>
      </c>
      <c r="L30" s="302">
        <f t="shared" ca="1" si="24"/>
        <v>56.649337542258266</v>
      </c>
      <c r="M30" s="302">
        <f t="shared" ca="1" si="24"/>
        <v>47.802036216530723</v>
      </c>
      <c r="N30" s="302">
        <f t="shared" ca="1" si="24"/>
        <v>58.685708959745995</v>
      </c>
      <c r="O30" s="302">
        <f t="shared" ca="1" si="24"/>
        <v>64.931388377906174</v>
      </c>
      <c r="P30" s="302">
        <f t="shared" ca="1" si="24"/>
        <v>60.445926178265054</v>
      </c>
      <c r="Q30" s="302">
        <f t="shared" ca="1" si="24"/>
        <v>62.408157219733724</v>
      </c>
      <c r="R30" s="302">
        <f t="shared" ca="1" si="24"/>
        <v>59.938234514018724</v>
      </c>
      <c r="S30" s="302">
        <f t="shared" ca="1" si="24"/>
        <v>60.027122586784195</v>
      </c>
      <c r="T30" s="302">
        <f t="shared" ca="1" si="24"/>
        <v>52.849537552804939</v>
      </c>
      <c r="U30" s="302">
        <f t="shared" ca="1" si="24"/>
        <v>50.315840324414317</v>
      </c>
      <c r="V30" s="302">
        <f t="shared" ca="1" si="24"/>
        <v>55.107988769688951</v>
      </c>
      <c r="W30" s="302">
        <f t="shared" ca="1" si="24"/>
        <v>50.219421543293201</v>
      </c>
      <c r="X30" s="302">
        <f t="shared" ca="1" si="24"/>
        <v>56.629774766840654</v>
      </c>
      <c r="Y30" s="302">
        <f t="shared" ca="1" si="24"/>
        <v>59.819760685418437</v>
      </c>
      <c r="Z30" s="302">
        <f t="shared" ca="1" si="24"/>
        <v>40.883554146460249</v>
      </c>
      <c r="AA30" s="302">
        <f t="shared" ca="1" si="24"/>
        <v>89.684778243012701</v>
      </c>
    </row>
    <row r="31" spans="2:27">
      <c r="B31" s="1275" t="str">
        <f t="shared" ref="B31:B42" si="25">B74</f>
        <v xml:space="preserve">Sub Total </v>
      </c>
      <c r="C31" s="1008" t="s">
        <v>109</v>
      </c>
      <c r="D31" s="1279">
        <f ca="1">SUMPRODUCT($E$5:$AN$5,E31:AN31)/$D$5</f>
        <v>436.12747601742444</v>
      </c>
      <c r="E31" s="445">
        <f t="shared" ref="E31:AA31" si="26">IFERROR(E74*10/E$5,0)</f>
        <v>0</v>
      </c>
      <c r="F31" s="445">
        <f t="shared" si="26"/>
        <v>0</v>
      </c>
      <c r="G31" s="445">
        <f t="shared" si="26"/>
        <v>0</v>
      </c>
      <c r="H31" s="445">
        <f t="shared" si="26"/>
        <v>0</v>
      </c>
      <c r="I31" s="445">
        <f t="shared" ca="1" si="26"/>
        <v>911.29755617504077</v>
      </c>
      <c r="J31" s="445">
        <f t="shared" ca="1" si="26"/>
        <v>484.20787407181649</v>
      </c>
      <c r="K31" s="445">
        <f t="shared" ca="1" si="26"/>
        <v>360.68785564895865</v>
      </c>
      <c r="L31" s="445">
        <f t="shared" ca="1" si="26"/>
        <v>434.31158782398001</v>
      </c>
      <c r="M31" s="445">
        <f t="shared" ca="1" si="26"/>
        <v>366.48227766006886</v>
      </c>
      <c r="N31" s="445">
        <f t="shared" ca="1" si="26"/>
        <v>449.92376869138599</v>
      </c>
      <c r="O31" s="445">
        <f t="shared" ca="1" si="26"/>
        <v>497.80731089728067</v>
      </c>
      <c r="P31" s="445">
        <f t="shared" ca="1" si="26"/>
        <v>463.41876736669877</v>
      </c>
      <c r="Q31" s="445">
        <f t="shared" ca="1" si="26"/>
        <v>478.46253868462526</v>
      </c>
      <c r="R31" s="445">
        <f t="shared" ca="1" si="26"/>
        <v>459.52646460747684</v>
      </c>
      <c r="S31" s="445">
        <f t="shared" ca="1" si="26"/>
        <v>460.20793983201213</v>
      </c>
      <c r="T31" s="445">
        <f t="shared" ca="1" si="26"/>
        <v>405.17978790483789</v>
      </c>
      <c r="U31" s="445">
        <f t="shared" ca="1" si="26"/>
        <v>385.75477582050974</v>
      </c>
      <c r="V31" s="445">
        <f t="shared" ca="1" si="26"/>
        <v>422.49458056761529</v>
      </c>
      <c r="W31" s="445">
        <f t="shared" ca="1" si="26"/>
        <v>385.01556516524784</v>
      </c>
      <c r="X31" s="445">
        <f t="shared" ca="1" si="26"/>
        <v>434.16160654577834</v>
      </c>
      <c r="Y31" s="445">
        <f t="shared" ca="1" si="26"/>
        <v>458.61816525487467</v>
      </c>
      <c r="Z31" s="445">
        <f t="shared" ca="1" si="26"/>
        <v>313.44058178952855</v>
      </c>
      <c r="AA31" s="445">
        <f t="shared" ca="1" si="26"/>
        <v>687.5832998630973</v>
      </c>
    </row>
    <row r="32" spans="2:27">
      <c r="B32" s="117" t="str">
        <f t="shared" si="25"/>
        <v>Govt. Fees and charges</v>
      </c>
      <c r="C32" s="121"/>
      <c r="D32" s="190"/>
    </row>
    <row r="33" spans="2:27">
      <c r="B33" s="1267" t="str">
        <f t="shared" si="25"/>
        <v>Revenue Sharing</v>
      </c>
      <c r="C33" s="1008" t="s">
        <v>109</v>
      </c>
      <c r="D33" s="1279">
        <f t="shared" si="3"/>
        <v>204.54301073408092</v>
      </c>
      <c r="E33" s="445">
        <f t="shared" ref="E33:AA33" si="27">IFERROR(E76*10/E$5,0)</f>
        <v>0</v>
      </c>
      <c r="F33" s="445">
        <f t="shared" si="27"/>
        <v>0</v>
      </c>
      <c r="G33" s="445">
        <f t="shared" si="27"/>
        <v>0</v>
      </c>
      <c r="H33" s="445">
        <f t="shared" si="27"/>
        <v>0</v>
      </c>
      <c r="I33" s="445">
        <f t="shared" si="27"/>
        <v>108.36</v>
      </c>
      <c r="J33" s="445">
        <f t="shared" si="27"/>
        <v>108.36</v>
      </c>
      <c r="K33" s="445">
        <f t="shared" si="27"/>
        <v>174.15248234773594</v>
      </c>
      <c r="L33" s="445">
        <f t="shared" si="27"/>
        <v>216.71999999999997</v>
      </c>
      <c r="M33" s="445">
        <f t="shared" si="27"/>
        <v>216.72</v>
      </c>
      <c r="N33" s="445">
        <f t="shared" si="27"/>
        <v>216.72</v>
      </c>
      <c r="O33" s="445">
        <f t="shared" si="27"/>
        <v>216.71999999999997</v>
      </c>
      <c r="P33" s="445">
        <f t="shared" si="27"/>
        <v>216.71999999999997</v>
      </c>
      <c r="Q33" s="445">
        <f t="shared" si="27"/>
        <v>216.72</v>
      </c>
      <c r="R33" s="445">
        <f t="shared" si="27"/>
        <v>216.72</v>
      </c>
      <c r="S33" s="445">
        <f t="shared" si="27"/>
        <v>216.71999999999997</v>
      </c>
      <c r="T33" s="445">
        <f t="shared" si="27"/>
        <v>216.72</v>
      </c>
      <c r="U33" s="445">
        <f t="shared" si="27"/>
        <v>216.72</v>
      </c>
      <c r="V33" s="445">
        <f t="shared" si="27"/>
        <v>216.72</v>
      </c>
      <c r="W33" s="445">
        <f t="shared" si="27"/>
        <v>158.13</v>
      </c>
      <c r="X33" s="445">
        <f t="shared" si="27"/>
        <v>158.13</v>
      </c>
      <c r="Y33" s="445">
        <f t="shared" si="27"/>
        <v>216.72</v>
      </c>
      <c r="Z33" s="445">
        <f t="shared" si="27"/>
        <v>216.72</v>
      </c>
      <c r="AA33" s="445">
        <f t="shared" si="27"/>
        <v>216.71999999999997</v>
      </c>
    </row>
    <row r="34" spans="2:27">
      <c r="B34" s="223" t="str">
        <f t="shared" si="25"/>
        <v>GST on Revenue Sharing</v>
      </c>
      <c r="C34" s="121" t="s">
        <v>109</v>
      </c>
      <c r="D34" s="190">
        <f t="shared" si="3"/>
        <v>36.817741932134567</v>
      </c>
      <c r="E34" s="302">
        <f t="shared" ref="E34:AA34" si="28">IFERROR(E77*10/E$5,0)</f>
        <v>0</v>
      </c>
      <c r="F34" s="302">
        <f t="shared" si="28"/>
        <v>0</v>
      </c>
      <c r="G34" s="302">
        <f t="shared" si="28"/>
        <v>0</v>
      </c>
      <c r="H34" s="302">
        <f t="shared" si="28"/>
        <v>0</v>
      </c>
      <c r="I34" s="302">
        <f t="shared" si="28"/>
        <v>19.504799999999999</v>
      </c>
      <c r="J34" s="302">
        <f t="shared" si="28"/>
        <v>19.504799999999999</v>
      </c>
      <c r="K34" s="302">
        <f t="shared" si="28"/>
        <v>31.347446822592474</v>
      </c>
      <c r="L34" s="302">
        <f t="shared" si="28"/>
        <v>39.009600000000006</v>
      </c>
      <c r="M34" s="302">
        <f t="shared" si="28"/>
        <v>39.009599999999999</v>
      </c>
      <c r="N34" s="302">
        <f t="shared" si="28"/>
        <v>39.009599999999992</v>
      </c>
      <c r="O34" s="302">
        <f t="shared" si="28"/>
        <v>39.009599999999992</v>
      </c>
      <c r="P34" s="302">
        <f t="shared" si="28"/>
        <v>39.009599999999999</v>
      </c>
      <c r="Q34" s="302">
        <f t="shared" si="28"/>
        <v>39.009599999999999</v>
      </c>
      <c r="R34" s="302">
        <f t="shared" si="28"/>
        <v>39.009599999999999</v>
      </c>
      <c r="S34" s="302">
        <f t="shared" si="28"/>
        <v>39.009599999999999</v>
      </c>
      <c r="T34" s="302">
        <f t="shared" si="28"/>
        <v>39.009599999999999</v>
      </c>
      <c r="U34" s="302">
        <f t="shared" si="28"/>
        <v>39.009599999999992</v>
      </c>
      <c r="V34" s="302">
        <f t="shared" si="28"/>
        <v>39.009599999999999</v>
      </c>
      <c r="W34" s="302">
        <f t="shared" si="28"/>
        <v>28.463399999999996</v>
      </c>
      <c r="X34" s="302">
        <f t="shared" si="28"/>
        <v>28.463399999999996</v>
      </c>
      <c r="Y34" s="302">
        <f t="shared" si="28"/>
        <v>39.009599999999999</v>
      </c>
      <c r="Z34" s="302">
        <f t="shared" si="28"/>
        <v>39.009599999999999</v>
      </c>
      <c r="AA34" s="302">
        <f t="shared" si="28"/>
        <v>39.009599999999992</v>
      </c>
    </row>
    <row r="35" spans="2:27">
      <c r="B35" s="223" t="str">
        <f t="shared" si="25"/>
        <v>Royalty</v>
      </c>
      <c r="C35" s="121" t="s">
        <v>109</v>
      </c>
      <c r="D35" s="190">
        <f t="shared" si="3"/>
        <v>139.28825337729199</v>
      </c>
      <c r="E35" s="302">
        <f t="shared" ref="E35:AA35" si="29">IFERROR(E78*10/E$5,0)</f>
        <v>0</v>
      </c>
      <c r="F35" s="302">
        <f t="shared" si="29"/>
        <v>0</v>
      </c>
      <c r="G35" s="302">
        <f t="shared" si="29"/>
        <v>0</v>
      </c>
      <c r="H35" s="302">
        <f t="shared" si="29"/>
        <v>0</v>
      </c>
      <c r="I35" s="302">
        <f t="shared" si="29"/>
        <v>144.48000000000002</v>
      </c>
      <c r="J35" s="302">
        <f t="shared" si="29"/>
        <v>144.48000000000002</v>
      </c>
      <c r="K35" s="302">
        <f t="shared" si="29"/>
        <v>144.48000000000002</v>
      </c>
      <c r="L35" s="302">
        <f t="shared" si="29"/>
        <v>144.48000000000002</v>
      </c>
      <c r="M35" s="302">
        <f t="shared" si="29"/>
        <v>144.47999999999999</v>
      </c>
      <c r="N35" s="302">
        <f t="shared" si="29"/>
        <v>144.48000000000002</v>
      </c>
      <c r="O35" s="302">
        <f t="shared" si="29"/>
        <v>144.48000000000002</v>
      </c>
      <c r="P35" s="302">
        <f t="shared" si="29"/>
        <v>144.48000000000002</v>
      </c>
      <c r="Q35" s="302">
        <f t="shared" si="29"/>
        <v>144.48000000000002</v>
      </c>
      <c r="R35" s="302">
        <f t="shared" si="29"/>
        <v>144.47999999999999</v>
      </c>
      <c r="S35" s="302">
        <f t="shared" si="29"/>
        <v>144.48000000000002</v>
      </c>
      <c r="T35" s="302">
        <f t="shared" si="29"/>
        <v>144.47999999999999</v>
      </c>
      <c r="U35" s="302">
        <f t="shared" si="29"/>
        <v>144.47999999999999</v>
      </c>
      <c r="V35" s="302">
        <f t="shared" si="29"/>
        <v>144.47999999999999</v>
      </c>
      <c r="W35" s="302">
        <f t="shared" si="29"/>
        <v>105.42</v>
      </c>
      <c r="X35" s="302">
        <f t="shared" si="29"/>
        <v>105.42000000000002</v>
      </c>
      <c r="Y35" s="302">
        <f t="shared" si="29"/>
        <v>144.48000000000002</v>
      </c>
      <c r="Z35" s="302">
        <f t="shared" si="29"/>
        <v>144.48000000000002</v>
      </c>
      <c r="AA35" s="302">
        <f t="shared" si="29"/>
        <v>144.47999999999999</v>
      </c>
    </row>
    <row r="36" spans="2:27">
      <c r="B36" s="223" t="str">
        <f t="shared" si="25"/>
        <v>DMF (District Mineral Foundation)</v>
      </c>
      <c r="C36" s="121" t="s">
        <v>109</v>
      </c>
      <c r="D36" s="190">
        <f t="shared" si="3"/>
        <v>13.928825337729201</v>
      </c>
      <c r="E36" s="302">
        <f t="shared" ref="E36:AA36" si="30">IFERROR(E79*10/E$5,0)</f>
        <v>0</v>
      </c>
      <c r="F36" s="302">
        <f t="shared" si="30"/>
        <v>0</v>
      </c>
      <c r="G36" s="302">
        <f t="shared" si="30"/>
        <v>0</v>
      </c>
      <c r="H36" s="302">
        <f t="shared" si="30"/>
        <v>0</v>
      </c>
      <c r="I36" s="302">
        <f t="shared" si="30"/>
        <v>14.448000000000004</v>
      </c>
      <c r="J36" s="302">
        <f t="shared" si="30"/>
        <v>14.448000000000002</v>
      </c>
      <c r="K36" s="302">
        <f t="shared" si="30"/>
        <v>14.448000000000004</v>
      </c>
      <c r="L36" s="302">
        <f t="shared" si="30"/>
        <v>14.448000000000002</v>
      </c>
      <c r="M36" s="302">
        <f t="shared" si="30"/>
        <v>14.448</v>
      </c>
      <c r="N36" s="302">
        <f t="shared" si="30"/>
        <v>14.448000000000002</v>
      </c>
      <c r="O36" s="302">
        <f t="shared" si="30"/>
        <v>14.448</v>
      </c>
      <c r="P36" s="302">
        <f t="shared" si="30"/>
        <v>14.448</v>
      </c>
      <c r="Q36" s="302">
        <f t="shared" si="30"/>
        <v>14.448000000000004</v>
      </c>
      <c r="R36" s="302">
        <f t="shared" si="30"/>
        <v>14.448</v>
      </c>
      <c r="S36" s="302">
        <f t="shared" si="30"/>
        <v>14.448</v>
      </c>
      <c r="T36" s="302">
        <f t="shared" si="30"/>
        <v>14.448</v>
      </c>
      <c r="U36" s="302">
        <f t="shared" si="30"/>
        <v>14.448000000000002</v>
      </c>
      <c r="V36" s="302">
        <f t="shared" si="30"/>
        <v>14.448</v>
      </c>
      <c r="W36" s="302">
        <f t="shared" si="30"/>
        <v>10.542000000000002</v>
      </c>
      <c r="X36" s="302">
        <f t="shared" si="30"/>
        <v>10.542</v>
      </c>
      <c r="Y36" s="302">
        <f t="shared" si="30"/>
        <v>14.448000000000002</v>
      </c>
      <c r="Z36" s="302">
        <f t="shared" si="30"/>
        <v>14.448000000000004</v>
      </c>
      <c r="AA36" s="302">
        <f t="shared" si="30"/>
        <v>14.448</v>
      </c>
    </row>
    <row r="37" spans="2:27">
      <c r="B37" s="223" t="str">
        <f t="shared" si="25"/>
        <v>NMET (National Mineral Exploration Trust)</v>
      </c>
      <c r="C37" s="121" t="s">
        <v>109</v>
      </c>
      <c r="D37" s="190">
        <f t="shared" si="3"/>
        <v>4.1786476013187599</v>
      </c>
      <c r="E37" s="302">
        <f t="shared" ref="E37:AA37" si="31">IFERROR(E80*10/E$5,0)</f>
        <v>0</v>
      </c>
      <c r="F37" s="302">
        <f t="shared" si="31"/>
        <v>0</v>
      </c>
      <c r="G37" s="302">
        <f t="shared" si="31"/>
        <v>0</v>
      </c>
      <c r="H37" s="302">
        <f t="shared" si="31"/>
        <v>0</v>
      </c>
      <c r="I37" s="302">
        <f t="shared" si="31"/>
        <v>4.3344000000000005</v>
      </c>
      <c r="J37" s="302">
        <f t="shared" si="31"/>
        <v>4.3344000000000005</v>
      </c>
      <c r="K37" s="302">
        <f t="shared" si="31"/>
        <v>4.3344000000000005</v>
      </c>
      <c r="L37" s="302">
        <f t="shared" si="31"/>
        <v>4.3344000000000005</v>
      </c>
      <c r="M37" s="302">
        <f t="shared" si="31"/>
        <v>4.3343999999999996</v>
      </c>
      <c r="N37" s="302">
        <f t="shared" si="31"/>
        <v>4.3343999999999996</v>
      </c>
      <c r="O37" s="302">
        <f t="shared" si="31"/>
        <v>4.3343999999999996</v>
      </c>
      <c r="P37" s="302">
        <f t="shared" si="31"/>
        <v>4.3343999999999996</v>
      </c>
      <c r="Q37" s="302">
        <f t="shared" si="31"/>
        <v>4.3344000000000005</v>
      </c>
      <c r="R37" s="302">
        <f t="shared" si="31"/>
        <v>4.3343999999999996</v>
      </c>
      <c r="S37" s="302">
        <f t="shared" si="31"/>
        <v>4.3343999999999996</v>
      </c>
      <c r="T37" s="302">
        <f t="shared" si="31"/>
        <v>4.3344000000000005</v>
      </c>
      <c r="U37" s="302">
        <f t="shared" si="31"/>
        <v>4.3344000000000005</v>
      </c>
      <c r="V37" s="302">
        <f t="shared" si="31"/>
        <v>4.3344000000000005</v>
      </c>
      <c r="W37" s="302">
        <f t="shared" si="31"/>
        <v>3.1625999999999999</v>
      </c>
      <c r="X37" s="302">
        <f t="shared" si="31"/>
        <v>3.1626000000000003</v>
      </c>
      <c r="Y37" s="302">
        <f t="shared" si="31"/>
        <v>4.3344000000000005</v>
      </c>
      <c r="Z37" s="302">
        <f t="shared" si="31"/>
        <v>4.3344000000000005</v>
      </c>
      <c r="AA37" s="302">
        <f t="shared" si="31"/>
        <v>4.3343999999999987</v>
      </c>
    </row>
    <row r="38" spans="2:27">
      <c r="B38" s="223" t="str">
        <f t="shared" si="25"/>
        <v>Surface Rent</v>
      </c>
      <c r="C38" s="121" t="s">
        <v>109</v>
      </c>
      <c r="D38" s="614">
        <f t="shared" ref="D38:D39" si="32">SUMPRODUCT($E$5:$AN$5,E38:AN38)/$D$5</f>
        <v>0.1764431657130078</v>
      </c>
      <c r="E38" s="302">
        <f t="shared" ref="E38:AA38" si="33">IFERROR(E81*10/E$5,0)</f>
        <v>0</v>
      </c>
      <c r="F38" s="302">
        <f t="shared" si="33"/>
        <v>0</v>
      </c>
      <c r="G38" s="302">
        <f t="shared" si="33"/>
        <v>0</v>
      </c>
      <c r="H38" s="302">
        <f t="shared" si="33"/>
        <v>0</v>
      </c>
      <c r="I38" s="302">
        <f t="shared" si="33"/>
        <v>1.0480001283800158</v>
      </c>
      <c r="J38" s="302">
        <f t="shared" si="33"/>
        <v>0.52400017619505934</v>
      </c>
      <c r="K38" s="302">
        <f t="shared" si="33"/>
        <v>0.2619999760925022</v>
      </c>
      <c r="L38" s="302">
        <f t="shared" si="33"/>
        <v>0.17466668806333596</v>
      </c>
      <c r="M38" s="302">
        <f t="shared" si="33"/>
        <v>0.13973337832748117</v>
      </c>
      <c r="N38" s="302">
        <f t="shared" si="33"/>
        <v>0.13973326682029832</v>
      </c>
      <c r="O38" s="302">
        <f t="shared" si="33"/>
        <v>0.1397333464682679</v>
      </c>
      <c r="P38" s="302">
        <f t="shared" si="33"/>
        <v>0.13973336239787273</v>
      </c>
      <c r="Q38" s="302">
        <f t="shared" si="33"/>
        <v>0.13973329867947529</v>
      </c>
      <c r="R38" s="302">
        <f t="shared" si="33"/>
        <v>0.13973337832748117</v>
      </c>
      <c r="S38" s="302">
        <f t="shared" si="33"/>
        <v>0.13973336239787273</v>
      </c>
      <c r="T38" s="302">
        <f t="shared" si="33"/>
        <v>0.13973331460906918</v>
      </c>
      <c r="U38" s="302">
        <f t="shared" si="33"/>
        <v>0.13973318717241956</v>
      </c>
      <c r="V38" s="302">
        <f t="shared" si="33"/>
        <v>0.13973331460906918</v>
      </c>
      <c r="W38" s="302">
        <f t="shared" si="33"/>
        <v>0.13973331460906918</v>
      </c>
      <c r="X38" s="302">
        <f t="shared" si="33"/>
        <v>0.13973333053866674</v>
      </c>
      <c r="Y38" s="302">
        <f t="shared" si="33"/>
        <v>0.2096000077552003</v>
      </c>
      <c r="Z38" s="302">
        <f t="shared" si="33"/>
        <v>0.27946656549976995</v>
      </c>
      <c r="AA38" s="302">
        <f t="shared" si="33"/>
        <v>0.95082953582745322</v>
      </c>
    </row>
    <row r="39" spans="2:27">
      <c r="B39" s="223" t="str">
        <f t="shared" si="25"/>
        <v>GST on Royalty, DMF, NMET, etc</v>
      </c>
      <c r="C39" s="121" t="s">
        <v>109</v>
      </c>
      <c r="D39" s="190">
        <f t="shared" si="32"/>
        <v>28.362990506769531</v>
      </c>
      <c r="E39" s="302">
        <f t="shared" ref="E39:AA39" si="34">IFERROR(E82*10/E$5,0)</f>
        <v>0</v>
      </c>
      <c r="F39" s="302">
        <f t="shared" si="34"/>
        <v>0</v>
      </c>
      <c r="G39" s="302">
        <f t="shared" si="34"/>
        <v>0</v>
      </c>
      <c r="H39" s="302">
        <f t="shared" si="34"/>
        <v>0</v>
      </c>
      <c r="I39" s="302">
        <f t="shared" si="34"/>
        <v>29.57587202310841</v>
      </c>
      <c r="J39" s="302">
        <f t="shared" si="34"/>
        <v>29.481552031715108</v>
      </c>
      <c r="K39" s="302">
        <f t="shared" si="34"/>
        <v>29.434391995696657</v>
      </c>
      <c r="L39" s="302">
        <f t="shared" si="34"/>
        <v>29.418672003851402</v>
      </c>
      <c r="M39" s="302">
        <f t="shared" si="34"/>
        <v>29.412384008098936</v>
      </c>
      <c r="N39" s="302">
        <f t="shared" si="34"/>
        <v>29.412383988027656</v>
      </c>
      <c r="O39" s="302">
        <f t="shared" si="34"/>
        <v>29.412384002364284</v>
      </c>
      <c r="P39" s="302">
        <f t="shared" si="34"/>
        <v>29.412384005231615</v>
      </c>
      <c r="Q39" s="302">
        <f t="shared" si="34"/>
        <v>29.412383993762308</v>
      </c>
      <c r="R39" s="302">
        <f t="shared" si="34"/>
        <v>29.412384008098936</v>
      </c>
      <c r="S39" s="302">
        <f t="shared" si="34"/>
        <v>29.412384005231615</v>
      </c>
      <c r="T39" s="302">
        <f t="shared" si="34"/>
        <v>29.412383996629636</v>
      </c>
      <c r="U39" s="302">
        <f t="shared" si="34"/>
        <v>29.412383973691039</v>
      </c>
      <c r="V39" s="302">
        <f t="shared" si="34"/>
        <v>29.412383996629636</v>
      </c>
      <c r="W39" s="302">
        <f t="shared" si="34"/>
        <v>21.467579996629635</v>
      </c>
      <c r="X39" s="302">
        <f t="shared" si="34"/>
        <v>21.467579999496962</v>
      </c>
      <c r="Y39" s="302">
        <f t="shared" si="34"/>
        <v>29.424960001395938</v>
      </c>
      <c r="Z39" s="302">
        <f t="shared" si="34"/>
        <v>29.43753598178996</v>
      </c>
      <c r="AA39" s="302">
        <f t="shared" si="34"/>
        <v>29.558381316448944</v>
      </c>
    </row>
    <row r="40" spans="2:27">
      <c r="B40" s="223" t="str">
        <f t="shared" si="25"/>
        <v>Progressive Mine Closure Costs</v>
      </c>
      <c r="C40" s="121" t="s">
        <v>109</v>
      </c>
      <c r="D40" s="190">
        <f t="shared" si="3"/>
        <v>12.963778132962286</v>
      </c>
      <c r="E40" s="302">
        <f t="shared" ref="E40:AA40" si="35">IFERROR(E83*10/E$5,0)</f>
        <v>0</v>
      </c>
      <c r="F40" s="302">
        <f t="shared" si="35"/>
        <v>0</v>
      </c>
      <c r="G40" s="302">
        <f t="shared" si="35"/>
        <v>0</v>
      </c>
      <c r="H40" s="302">
        <f t="shared" si="35"/>
        <v>0</v>
      </c>
      <c r="I40" s="302">
        <f t="shared" si="35"/>
        <v>47.905658889885729</v>
      </c>
      <c r="J40" s="302">
        <f t="shared" si="35"/>
        <v>25.150476293104973</v>
      </c>
      <c r="K40" s="302">
        <f t="shared" si="35"/>
        <v>13.203994409170605</v>
      </c>
      <c r="L40" s="302">
        <f t="shared" si="35"/>
        <v>9.2427980620673296</v>
      </c>
      <c r="M40" s="302">
        <f t="shared" si="35"/>
        <v>7.7639519210451535</v>
      </c>
      <c r="N40" s="302">
        <f t="shared" si="35"/>
        <v>8.1521430116851938</v>
      </c>
      <c r="O40" s="302">
        <f t="shared" si="35"/>
        <v>8.5597550413275041</v>
      </c>
      <c r="P40" s="302">
        <f t="shared" si="35"/>
        <v>8.9877438179967744</v>
      </c>
      <c r="Q40" s="302">
        <f t="shared" si="35"/>
        <v>9.4371267055659409</v>
      </c>
      <c r="R40" s="302">
        <f t="shared" si="35"/>
        <v>9.9089886889663905</v>
      </c>
      <c r="S40" s="302">
        <f t="shared" si="35"/>
        <v>10.404436937308517</v>
      </c>
      <c r="T40" s="302">
        <f t="shared" si="35"/>
        <v>10.924655047941142</v>
      </c>
      <c r="U40" s="302">
        <f t="shared" si="35"/>
        <v>11.470877338899468</v>
      </c>
      <c r="V40" s="302">
        <f t="shared" si="35"/>
        <v>12.04443219035511</v>
      </c>
      <c r="W40" s="302">
        <f t="shared" si="35"/>
        <v>12.646653799872865</v>
      </c>
      <c r="X40" s="302">
        <f t="shared" si="35"/>
        <v>13.278988003670941</v>
      </c>
      <c r="Y40" s="302">
        <f t="shared" si="35"/>
        <v>20.914407297902919</v>
      </c>
      <c r="Z40" s="302">
        <f t="shared" si="35"/>
        <v>29.280158534280403</v>
      </c>
      <c r="AA40" s="302">
        <f t="shared" si="35"/>
        <v>104.60092595775413</v>
      </c>
    </row>
    <row r="41" spans="2:27">
      <c r="B41" s="1268" t="str">
        <f t="shared" si="25"/>
        <v>Bank Fee on PBG</v>
      </c>
      <c r="C41" s="1220" t="s">
        <v>109</v>
      </c>
      <c r="D41" s="1262">
        <f t="shared" si="3"/>
        <v>2.2153887366742491</v>
      </c>
      <c r="E41" s="1263">
        <f t="shared" ref="E41:AA41" si="36">IFERROR(E84*10/E$5,0)</f>
        <v>0</v>
      </c>
      <c r="F41" s="1263">
        <f t="shared" si="36"/>
        <v>0</v>
      </c>
      <c r="G41" s="1263">
        <f t="shared" si="36"/>
        <v>0</v>
      </c>
      <c r="H41" s="1263">
        <f t="shared" si="36"/>
        <v>0</v>
      </c>
      <c r="I41" s="1263">
        <f t="shared" si="36"/>
        <v>13.158501611916449</v>
      </c>
      <c r="J41" s="1263">
        <f t="shared" si="36"/>
        <v>6.5792522122735582</v>
      </c>
      <c r="K41" s="1263">
        <f t="shared" si="36"/>
        <v>3.2896246998217467</v>
      </c>
      <c r="L41" s="1263">
        <f t="shared" si="36"/>
        <v>2.1930836019860749</v>
      </c>
      <c r="M41" s="1263">
        <f t="shared" si="36"/>
        <v>1.7544672316051155</v>
      </c>
      <c r="N41" s="1263">
        <f t="shared" si="36"/>
        <v>1.7544658315409309</v>
      </c>
      <c r="O41" s="1263">
        <f t="shared" si="36"/>
        <v>1.754466831586549</v>
      </c>
      <c r="P41" s="1263">
        <f t="shared" si="36"/>
        <v>1.7544670315958095</v>
      </c>
      <c r="Q41" s="1263">
        <f t="shared" si="36"/>
        <v>1.7544662315590416</v>
      </c>
      <c r="R41" s="1263">
        <f t="shared" si="36"/>
        <v>1.7544672316051155</v>
      </c>
      <c r="S41" s="1263">
        <f t="shared" si="36"/>
        <v>1.7544670315958095</v>
      </c>
      <c r="T41" s="1263">
        <f t="shared" si="36"/>
        <v>1.7544664315681651</v>
      </c>
      <c r="U41" s="1263">
        <f t="shared" si="36"/>
        <v>1.7544648314964533</v>
      </c>
      <c r="V41" s="1263">
        <f t="shared" si="36"/>
        <v>1.7544664315681651</v>
      </c>
      <c r="W41" s="1263">
        <f t="shared" si="36"/>
        <v>1.7544664315681651</v>
      </c>
      <c r="X41" s="1263">
        <f t="shared" si="36"/>
        <v>1.7544666315773345</v>
      </c>
      <c r="Y41" s="1263">
        <f t="shared" si="36"/>
        <v>2.6317000973729039</v>
      </c>
      <c r="Z41" s="1263">
        <f t="shared" si="36"/>
        <v>3.5089320630999272</v>
      </c>
      <c r="AA41" s="1263">
        <f t="shared" si="36"/>
        <v>11.938445083192313</v>
      </c>
    </row>
    <row r="42" spans="2:27">
      <c r="B42" s="263" t="str">
        <f t="shared" si="25"/>
        <v xml:space="preserve">Sub Total </v>
      </c>
      <c r="C42" s="121" t="s">
        <v>109</v>
      </c>
      <c r="D42" s="190">
        <f t="shared" si="3"/>
        <v>442.47507952467464</v>
      </c>
      <c r="E42" s="302">
        <f t="shared" ref="E42:AA42" si="37">IFERROR(E85*10/E$5,0)</f>
        <v>0</v>
      </c>
      <c r="F42" s="302">
        <f t="shared" si="37"/>
        <v>0</v>
      </c>
      <c r="G42" s="302">
        <f t="shared" si="37"/>
        <v>0</v>
      </c>
      <c r="H42" s="302">
        <f t="shared" si="37"/>
        <v>0</v>
      </c>
      <c r="I42" s="302">
        <f t="shared" si="37"/>
        <v>382.81523265329059</v>
      </c>
      <c r="J42" s="302">
        <f t="shared" si="37"/>
        <v>352.86248071328868</v>
      </c>
      <c r="K42" s="302">
        <f t="shared" si="37"/>
        <v>414.95234025111006</v>
      </c>
      <c r="L42" s="302">
        <f t="shared" si="37"/>
        <v>460.02122035596824</v>
      </c>
      <c r="M42" s="302">
        <f t="shared" si="37"/>
        <v>458.06253653907669</v>
      </c>
      <c r="N42" s="302">
        <f t="shared" si="37"/>
        <v>458.45072609807414</v>
      </c>
      <c r="O42" s="302">
        <f t="shared" si="37"/>
        <v>458.85833922174669</v>
      </c>
      <c r="P42" s="302">
        <f t="shared" si="37"/>
        <v>459.28632821722204</v>
      </c>
      <c r="Q42" s="302">
        <f t="shared" si="37"/>
        <v>459.73571022956685</v>
      </c>
      <c r="R42" s="302">
        <f t="shared" si="37"/>
        <v>460.20757330699792</v>
      </c>
      <c r="S42" s="302">
        <f t="shared" si="37"/>
        <v>460.70302133653388</v>
      </c>
      <c r="T42" s="302">
        <f t="shared" si="37"/>
        <v>461.22323879074793</v>
      </c>
      <c r="U42" s="302">
        <f t="shared" si="37"/>
        <v>461.76945933125938</v>
      </c>
      <c r="V42" s="302">
        <f t="shared" si="37"/>
        <v>462.34301593316195</v>
      </c>
      <c r="W42" s="302">
        <f t="shared" si="37"/>
        <v>341.72643354267979</v>
      </c>
      <c r="X42" s="302">
        <f t="shared" si="37"/>
        <v>342.3587679652839</v>
      </c>
      <c r="Y42" s="302">
        <f t="shared" si="37"/>
        <v>472.17266740442716</v>
      </c>
      <c r="Z42" s="302">
        <f t="shared" si="37"/>
        <v>481.49809314467018</v>
      </c>
      <c r="AA42" s="302">
        <f t="shared" si="37"/>
        <v>566.04058189322268</v>
      </c>
    </row>
    <row r="43" spans="2:27">
      <c r="B43" s="117"/>
      <c r="C43" s="121"/>
      <c r="D43" s="190"/>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spans="2:27">
      <c r="B44" s="117" t="str">
        <f>B87</f>
        <v>Transporation</v>
      </c>
      <c r="C44" s="121"/>
      <c r="D44" s="190"/>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spans="2:27">
      <c r="B45" s="1267" t="str">
        <f>B88</f>
        <v>Coal Transport (Railway)</v>
      </c>
      <c r="C45" s="1008" t="s">
        <v>109</v>
      </c>
      <c r="D45" s="1279">
        <f t="shared" si="3"/>
        <v>0</v>
      </c>
      <c r="E45" s="445">
        <f t="shared" ref="E45:AA45" si="38">IFERROR(E88*10/E$5,0)</f>
        <v>0</v>
      </c>
      <c r="F45" s="445">
        <f t="shared" si="38"/>
        <v>0</v>
      </c>
      <c r="G45" s="445">
        <f t="shared" si="38"/>
        <v>0</v>
      </c>
      <c r="H45" s="445">
        <f t="shared" si="38"/>
        <v>0</v>
      </c>
      <c r="I45" s="445">
        <f t="shared" si="38"/>
        <v>0</v>
      </c>
      <c r="J45" s="445">
        <f t="shared" si="38"/>
        <v>0</v>
      </c>
      <c r="K45" s="445">
        <f t="shared" si="38"/>
        <v>0</v>
      </c>
      <c r="L45" s="445">
        <f t="shared" si="38"/>
        <v>0</v>
      </c>
      <c r="M45" s="445">
        <f t="shared" si="38"/>
        <v>0</v>
      </c>
      <c r="N45" s="445">
        <f t="shared" si="38"/>
        <v>0</v>
      </c>
      <c r="O45" s="445">
        <f t="shared" si="38"/>
        <v>0</v>
      </c>
      <c r="P45" s="445">
        <f t="shared" si="38"/>
        <v>0</v>
      </c>
      <c r="Q45" s="445">
        <f t="shared" si="38"/>
        <v>0</v>
      </c>
      <c r="R45" s="445">
        <f t="shared" si="38"/>
        <v>0</v>
      </c>
      <c r="S45" s="445">
        <f t="shared" si="38"/>
        <v>0</v>
      </c>
      <c r="T45" s="445">
        <f t="shared" si="38"/>
        <v>0</v>
      </c>
      <c r="U45" s="445">
        <f t="shared" si="38"/>
        <v>0</v>
      </c>
      <c r="V45" s="445">
        <f t="shared" si="38"/>
        <v>0</v>
      </c>
      <c r="W45" s="445">
        <f t="shared" si="38"/>
        <v>0</v>
      </c>
      <c r="X45" s="445">
        <f t="shared" si="38"/>
        <v>0</v>
      </c>
      <c r="Y45" s="445">
        <f t="shared" si="38"/>
        <v>0</v>
      </c>
      <c r="Z45" s="445">
        <f t="shared" si="38"/>
        <v>0</v>
      </c>
      <c r="AA45" s="445">
        <f t="shared" si="38"/>
        <v>0</v>
      </c>
    </row>
    <row r="46" spans="2:27">
      <c r="B46" s="223" t="str">
        <f>B89</f>
        <v>Coal Transport (Road)</v>
      </c>
      <c r="C46" s="121" t="s">
        <v>109</v>
      </c>
      <c r="D46" s="190">
        <f t="shared" si="3"/>
        <v>0</v>
      </c>
      <c r="E46" s="302">
        <f t="shared" ref="E46:AA46" si="39">IFERROR(E89*10/E$5,0)</f>
        <v>0</v>
      </c>
      <c r="F46" s="302">
        <f t="shared" si="39"/>
        <v>0</v>
      </c>
      <c r="G46" s="302">
        <f t="shared" si="39"/>
        <v>0</v>
      </c>
      <c r="H46" s="302">
        <f t="shared" si="39"/>
        <v>0</v>
      </c>
      <c r="I46" s="302">
        <f t="shared" si="39"/>
        <v>0</v>
      </c>
      <c r="J46" s="302">
        <f t="shared" si="39"/>
        <v>0</v>
      </c>
      <c r="K46" s="302">
        <f t="shared" si="39"/>
        <v>0</v>
      </c>
      <c r="L46" s="302">
        <f t="shared" si="39"/>
        <v>0</v>
      </c>
      <c r="M46" s="302">
        <f t="shared" si="39"/>
        <v>0</v>
      </c>
      <c r="N46" s="302">
        <f t="shared" si="39"/>
        <v>0</v>
      </c>
      <c r="O46" s="302">
        <f t="shared" si="39"/>
        <v>0</v>
      </c>
      <c r="P46" s="302">
        <f t="shared" si="39"/>
        <v>0</v>
      </c>
      <c r="Q46" s="302">
        <f t="shared" si="39"/>
        <v>0</v>
      </c>
      <c r="R46" s="302">
        <f t="shared" si="39"/>
        <v>0</v>
      </c>
      <c r="S46" s="302">
        <f t="shared" si="39"/>
        <v>0</v>
      </c>
      <c r="T46" s="302">
        <f t="shared" si="39"/>
        <v>0</v>
      </c>
      <c r="U46" s="302">
        <f t="shared" si="39"/>
        <v>0</v>
      </c>
      <c r="V46" s="302">
        <f t="shared" si="39"/>
        <v>0</v>
      </c>
      <c r="W46" s="302">
        <f t="shared" si="39"/>
        <v>0</v>
      </c>
      <c r="X46" s="302">
        <f t="shared" si="39"/>
        <v>0</v>
      </c>
      <c r="Y46" s="302">
        <f t="shared" si="39"/>
        <v>0</v>
      </c>
      <c r="Z46" s="302">
        <f t="shared" si="39"/>
        <v>0</v>
      </c>
      <c r="AA46" s="302">
        <f t="shared" si="39"/>
        <v>0</v>
      </c>
    </row>
    <row r="47" spans="2:27">
      <c r="B47" s="1268" t="str">
        <f>B90</f>
        <v>Contigency</v>
      </c>
      <c r="C47" s="1220" t="s">
        <v>109</v>
      </c>
      <c r="D47" s="1262">
        <f t="shared" si="3"/>
        <v>0</v>
      </c>
      <c r="E47" s="1263">
        <f t="shared" ref="E47:AA47" si="40">IFERROR(E90*10/E$5,0)</f>
        <v>0</v>
      </c>
      <c r="F47" s="1263">
        <f t="shared" si="40"/>
        <v>0</v>
      </c>
      <c r="G47" s="1263">
        <f t="shared" si="40"/>
        <v>0</v>
      </c>
      <c r="H47" s="1263">
        <f t="shared" si="40"/>
        <v>0</v>
      </c>
      <c r="I47" s="1263">
        <f t="shared" si="40"/>
        <v>0</v>
      </c>
      <c r="J47" s="1263">
        <f t="shared" si="40"/>
        <v>0</v>
      </c>
      <c r="K47" s="1263">
        <f t="shared" si="40"/>
        <v>0</v>
      </c>
      <c r="L47" s="1263">
        <f t="shared" si="40"/>
        <v>0</v>
      </c>
      <c r="M47" s="1263">
        <f t="shared" si="40"/>
        <v>0</v>
      </c>
      <c r="N47" s="1263">
        <f t="shared" si="40"/>
        <v>0</v>
      </c>
      <c r="O47" s="1263">
        <f t="shared" si="40"/>
        <v>0</v>
      </c>
      <c r="P47" s="1263">
        <f t="shared" si="40"/>
        <v>0</v>
      </c>
      <c r="Q47" s="1263">
        <f t="shared" si="40"/>
        <v>0</v>
      </c>
      <c r="R47" s="1263">
        <f t="shared" si="40"/>
        <v>0</v>
      </c>
      <c r="S47" s="1263">
        <f t="shared" si="40"/>
        <v>0</v>
      </c>
      <c r="T47" s="1263">
        <f t="shared" si="40"/>
        <v>0</v>
      </c>
      <c r="U47" s="1263">
        <f t="shared" si="40"/>
        <v>0</v>
      </c>
      <c r="V47" s="1263">
        <f t="shared" si="40"/>
        <v>0</v>
      </c>
      <c r="W47" s="1263">
        <f t="shared" si="40"/>
        <v>0</v>
      </c>
      <c r="X47" s="1263">
        <f t="shared" si="40"/>
        <v>0</v>
      </c>
      <c r="Y47" s="1263">
        <f t="shared" si="40"/>
        <v>0</v>
      </c>
      <c r="Z47" s="1263">
        <f t="shared" si="40"/>
        <v>0</v>
      </c>
      <c r="AA47" s="1263">
        <f t="shared" si="40"/>
        <v>0</v>
      </c>
    </row>
    <row r="48" spans="2:27">
      <c r="B48" s="263" t="str">
        <f>B91</f>
        <v>Sub Total</v>
      </c>
      <c r="C48" s="121" t="s">
        <v>109</v>
      </c>
      <c r="D48" s="190">
        <f t="shared" si="3"/>
        <v>0</v>
      </c>
      <c r="E48" s="302">
        <f t="shared" ref="E48:AA48" si="41">IFERROR(E91*10/E$5,0)</f>
        <v>0</v>
      </c>
      <c r="F48" s="302">
        <f t="shared" si="41"/>
        <v>0</v>
      </c>
      <c r="G48" s="302">
        <f t="shared" si="41"/>
        <v>0</v>
      </c>
      <c r="H48" s="302">
        <f t="shared" si="41"/>
        <v>0</v>
      </c>
      <c r="I48" s="302">
        <f t="shared" si="41"/>
        <v>0</v>
      </c>
      <c r="J48" s="302">
        <f t="shared" si="41"/>
        <v>0</v>
      </c>
      <c r="K48" s="302">
        <f t="shared" si="41"/>
        <v>0</v>
      </c>
      <c r="L48" s="302">
        <f t="shared" si="41"/>
        <v>0</v>
      </c>
      <c r="M48" s="302">
        <f t="shared" si="41"/>
        <v>0</v>
      </c>
      <c r="N48" s="302">
        <f t="shared" si="41"/>
        <v>0</v>
      </c>
      <c r="O48" s="302">
        <f t="shared" si="41"/>
        <v>0</v>
      </c>
      <c r="P48" s="302">
        <f t="shared" si="41"/>
        <v>0</v>
      </c>
      <c r="Q48" s="302">
        <f t="shared" si="41"/>
        <v>0</v>
      </c>
      <c r="R48" s="302">
        <f t="shared" si="41"/>
        <v>0</v>
      </c>
      <c r="S48" s="302">
        <f t="shared" si="41"/>
        <v>0</v>
      </c>
      <c r="T48" s="302">
        <f t="shared" si="41"/>
        <v>0</v>
      </c>
      <c r="U48" s="302">
        <f t="shared" si="41"/>
        <v>0</v>
      </c>
      <c r="V48" s="302">
        <f t="shared" si="41"/>
        <v>0</v>
      </c>
      <c r="W48" s="302">
        <f t="shared" si="41"/>
        <v>0</v>
      </c>
      <c r="X48" s="302">
        <f t="shared" si="41"/>
        <v>0</v>
      </c>
      <c r="Y48" s="302">
        <f t="shared" si="41"/>
        <v>0</v>
      </c>
      <c r="Z48" s="302">
        <f t="shared" si="41"/>
        <v>0</v>
      </c>
      <c r="AA48" s="302">
        <f t="shared" si="41"/>
        <v>0</v>
      </c>
    </row>
    <row r="49" spans="2:27">
      <c r="B49" s="223"/>
      <c r="C49" s="121"/>
      <c r="D49" s="190"/>
    </row>
    <row r="50" spans="2:27" ht="14" thickBot="1">
      <c r="B50" s="225" t="s">
        <v>665</v>
      </c>
      <c r="C50" s="225" t="s">
        <v>109</v>
      </c>
      <c r="D50" s="226">
        <f t="shared" ref="D50:AA50" ca="1" si="42">SUM(D31,D42,D48)</f>
        <v>878.60255554209903</v>
      </c>
      <c r="E50" s="325">
        <f t="shared" si="42"/>
        <v>0</v>
      </c>
      <c r="F50" s="325">
        <f t="shared" si="42"/>
        <v>0</v>
      </c>
      <c r="G50" s="325">
        <f t="shared" si="42"/>
        <v>0</v>
      </c>
      <c r="H50" s="325">
        <f t="shared" si="42"/>
        <v>0</v>
      </c>
      <c r="I50" s="325">
        <f t="shared" ca="1" si="42"/>
        <v>1294.1127888283313</v>
      </c>
      <c r="J50" s="325">
        <f t="shared" ca="1" si="42"/>
        <v>837.07035478510511</v>
      </c>
      <c r="K50" s="325">
        <f t="shared" ca="1" si="42"/>
        <v>775.64019590006865</v>
      </c>
      <c r="L50" s="325">
        <f t="shared" ca="1" si="42"/>
        <v>894.33280817994819</v>
      </c>
      <c r="M50" s="325">
        <f t="shared" ca="1" si="42"/>
        <v>824.54481419914555</v>
      </c>
      <c r="N50" s="325">
        <f t="shared" ca="1" si="42"/>
        <v>908.37449478946019</v>
      </c>
      <c r="O50" s="325">
        <f t="shared" ca="1" si="42"/>
        <v>956.6656501190273</v>
      </c>
      <c r="P50" s="325">
        <f t="shared" ca="1" si="42"/>
        <v>922.70509558392087</v>
      </c>
      <c r="Q50" s="325">
        <f t="shared" ca="1" si="42"/>
        <v>938.19824891419216</v>
      </c>
      <c r="R50" s="325">
        <f t="shared" ca="1" si="42"/>
        <v>919.73403791447481</v>
      </c>
      <c r="S50" s="325">
        <f t="shared" ca="1" si="42"/>
        <v>920.91096116854601</v>
      </c>
      <c r="T50" s="325">
        <f t="shared" ca="1" si="42"/>
        <v>866.40302669558582</v>
      </c>
      <c r="U50" s="325">
        <f t="shared" ca="1" si="42"/>
        <v>847.52423515176906</v>
      </c>
      <c r="V50" s="325">
        <f t="shared" ca="1" si="42"/>
        <v>884.83759650077718</v>
      </c>
      <c r="W50" s="325">
        <f t="shared" ca="1" si="42"/>
        <v>726.74199870792768</v>
      </c>
      <c r="X50" s="325">
        <f t="shared" ca="1" si="42"/>
        <v>776.5203745110623</v>
      </c>
      <c r="Y50" s="325">
        <f t="shared" ca="1" si="42"/>
        <v>930.79083265930183</v>
      </c>
      <c r="Z50" s="325">
        <f t="shared" ca="1" si="42"/>
        <v>794.93867493419873</v>
      </c>
      <c r="AA50" s="325">
        <f t="shared" ca="1" si="42"/>
        <v>1253.6238817563199</v>
      </c>
    </row>
    <row r="51" spans="2:27" ht="14" thickTop="1">
      <c r="B51" s="227"/>
      <c r="C51" s="228" t="s">
        <v>170</v>
      </c>
      <c r="D51" s="380">
        <f t="shared" ref="D51:AA51" ca="1" si="43">IFERROR(D50/D6,0)</f>
        <v>0.28220195235541246</v>
      </c>
      <c r="E51" s="380">
        <f t="shared" si="43"/>
        <v>0</v>
      </c>
      <c r="F51" s="380">
        <f t="shared" si="43"/>
        <v>0</v>
      </c>
      <c r="G51" s="380">
        <f t="shared" si="43"/>
        <v>0</v>
      </c>
      <c r="H51" s="380">
        <f t="shared" si="43"/>
        <v>0</v>
      </c>
      <c r="I51" s="380">
        <f t="shared" ca="1" si="43"/>
        <v>0.40315040150415304</v>
      </c>
      <c r="J51" s="380">
        <f t="shared" ca="1" si="43"/>
        <v>0.26573662056670005</v>
      </c>
      <c r="K51" s="380">
        <f t="shared" ca="1" si="43"/>
        <v>0.24545575819622426</v>
      </c>
      <c r="L51" s="380">
        <f t="shared" ca="1" si="43"/>
        <v>0.28391517719998355</v>
      </c>
      <c r="M51" s="380">
        <f t="shared" ca="1" si="43"/>
        <v>0.26427718403818767</v>
      </c>
      <c r="N51" s="380">
        <f t="shared" ca="1" si="43"/>
        <v>0.28475689491832606</v>
      </c>
      <c r="O51" s="380">
        <f t="shared" ca="1" si="43"/>
        <v>0.3096005340191027</v>
      </c>
      <c r="P51" s="380">
        <f t="shared" ca="1" si="43"/>
        <v>0.2919952834126332</v>
      </c>
      <c r="Q51" s="380">
        <f t="shared" ca="1" si="43"/>
        <v>0.29410603414238001</v>
      </c>
      <c r="R51" s="380">
        <f t="shared" ca="1" si="43"/>
        <v>0.28040671887636426</v>
      </c>
      <c r="S51" s="380">
        <f t="shared" ca="1" si="43"/>
        <v>0.28076553694162987</v>
      </c>
      <c r="T51" s="380">
        <f t="shared" ca="1" si="43"/>
        <v>0.28688841943562443</v>
      </c>
      <c r="U51" s="380">
        <f t="shared" ca="1" si="43"/>
        <v>0.27164238306146443</v>
      </c>
      <c r="V51" s="380">
        <f t="shared" ca="1" si="43"/>
        <v>0.28543148274218616</v>
      </c>
      <c r="W51" s="380">
        <f t="shared" ca="1" si="43"/>
        <v>0.25499719252909742</v>
      </c>
      <c r="X51" s="380">
        <f t="shared" ca="1" si="43"/>
        <v>0.2614546715525462</v>
      </c>
      <c r="Y51" s="380">
        <f t="shared" ca="1" si="43"/>
        <v>0.30820888498652377</v>
      </c>
      <c r="Z51" s="380">
        <f t="shared" ca="1" si="43"/>
        <v>0.26149298517572328</v>
      </c>
      <c r="AA51" s="380">
        <f t="shared" ca="1" si="43"/>
        <v>0.39175746304884995</v>
      </c>
    </row>
    <row r="52" spans="2:27">
      <c r="B52" s="227"/>
      <c r="C52" s="228"/>
      <c r="D52" s="229"/>
    </row>
    <row r="53" spans="2:27">
      <c r="B53" s="202"/>
      <c r="C53" s="203"/>
      <c r="D53" s="190"/>
      <c r="E53" s="201">
        <f t="shared" ref="E53:AA53" si="44">E10</f>
        <v>46023</v>
      </c>
      <c r="F53" s="201">
        <f t="shared" si="44"/>
        <v>46389</v>
      </c>
      <c r="G53" s="201">
        <f t="shared" si="44"/>
        <v>46755</v>
      </c>
      <c r="H53" s="201">
        <f t="shared" si="44"/>
        <v>47121</v>
      </c>
      <c r="I53" s="201">
        <f t="shared" si="44"/>
        <v>47487</v>
      </c>
      <c r="J53" s="201">
        <f t="shared" si="44"/>
        <v>47853</v>
      </c>
      <c r="K53" s="201">
        <f t="shared" si="44"/>
        <v>48219</v>
      </c>
      <c r="L53" s="201">
        <f t="shared" si="44"/>
        <v>48585</v>
      </c>
      <c r="M53" s="201">
        <f t="shared" si="44"/>
        <v>48951</v>
      </c>
      <c r="N53" s="201">
        <f t="shared" si="44"/>
        <v>49317</v>
      </c>
      <c r="O53" s="201">
        <f t="shared" si="44"/>
        <v>49683</v>
      </c>
      <c r="P53" s="201">
        <f t="shared" si="44"/>
        <v>50049</v>
      </c>
      <c r="Q53" s="201">
        <f t="shared" si="44"/>
        <v>50415</v>
      </c>
      <c r="R53" s="201">
        <f t="shared" si="44"/>
        <v>50781</v>
      </c>
      <c r="S53" s="201">
        <f t="shared" si="44"/>
        <v>51147</v>
      </c>
      <c r="T53" s="201">
        <f t="shared" si="44"/>
        <v>51513</v>
      </c>
      <c r="U53" s="201">
        <f t="shared" si="44"/>
        <v>51879</v>
      </c>
      <c r="V53" s="201">
        <f t="shared" si="44"/>
        <v>52245</v>
      </c>
      <c r="W53" s="201">
        <f t="shared" si="44"/>
        <v>52611</v>
      </c>
      <c r="X53" s="201">
        <f t="shared" si="44"/>
        <v>52977</v>
      </c>
      <c r="Y53" s="201">
        <f t="shared" si="44"/>
        <v>53343</v>
      </c>
      <c r="Z53" s="201">
        <f t="shared" si="44"/>
        <v>53709</v>
      </c>
      <c r="AA53" s="201">
        <f t="shared" si="44"/>
        <v>54075</v>
      </c>
    </row>
    <row r="54" spans="2:27">
      <c r="B54" s="788" t="s">
        <v>34</v>
      </c>
      <c r="C54" s="788" t="s">
        <v>95</v>
      </c>
      <c r="D54" s="1223" t="s">
        <v>96</v>
      </c>
      <c r="E54" s="1141">
        <f t="shared" ref="E54:AA54" si="45">E11</f>
        <v>-4</v>
      </c>
      <c r="F54" s="1141">
        <f t="shared" si="45"/>
        <v>-3</v>
      </c>
      <c r="G54" s="1141">
        <f t="shared" si="45"/>
        <v>-2</v>
      </c>
      <c r="H54" s="1141">
        <f t="shared" si="45"/>
        <v>-1</v>
      </c>
      <c r="I54" s="1141">
        <f t="shared" si="45"/>
        <v>1</v>
      </c>
      <c r="J54" s="1141">
        <f t="shared" si="45"/>
        <v>2</v>
      </c>
      <c r="K54" s="1141">
        <f t="shared" si="45"/>
        <v>3</v>
      </c>
      <c r="L54" s="1141">
        <f t="shared" si="45"/>
        <v>4</v>
      </c>
      <c r="M54" s="1141">
        <f t="shared" si="45"/>
        <v>5</v>
      </c>
      <c r="N54" s="1141">
        <f t="shared" si="45"/>
        <v>6</v>
      </c>
      <c r="O54" s="1141">
        <f t="shared" si="45"/>
        <v>7</v>
      </c>
      <c r="P54" s="1141">
        <f t="shared" si="45"/>
        <v>8</v>
      </c>
      <c r="Q54" s="1141">
        <f t="shared" si="45"/>
        <v>9</v>
      </c>
      <c r="R54" s="1141">
        <f t="shared" si="45"/>
        <v>10</v>
      </c>
      <c r="S54" s="1141">
        <f t="shared" si="45"/>
        <v>11</v>
      </c>
      <c r="T54" s="1141">
        <f t="shared" si="45"/>
        <v>12</v>
      </c>
      <c r="U54" s="1141">
        <f t="shared" si="45"/>
        <v>13</v>
      </c>
      <c r="V54" s="1141">
        <f t="shared" si="45"/>
        <v>14</v>
      </c>
      <c r="W54" s="1141">
        <f t="shared" si="45"/>
        <v>15</v>
      </c>
      <c r="X54" s="1141">
        <f t="shared" si="45"/>
        <v>16</v>
      </c>
      <c r="Y54" s="1141">
        <f t="shared" si="45"/>
        <v>17</v>
      </c>
      <c r="Z54" s="1141">
        <f t="shared" si="45"/>
        <v>18</v>
      </c>
      <c r="AA54" s="1141">
        <f t="shared" si="45"/>
        <v>19</v>
      </c>
    </row>
    <row r="55" spans="2:27">
      <c r="B55" s="200" t="s">
        <v>692</v>
      </c>
      <c r="C55" s="265"/>
      <c r="D55" s="224"/>
    </row>
    <row r="56" spans="2:27">
      <c r="B56" s="223" t="s">
        <v>666</v>
      </c>
      <c r="C56" s="265" t="s">
        <v>134</v>
      </c>
      <c r="D56" s="224">
        <f t="shared" ref="D56:D81" si="46">SUM(E56:AR56)</f>
        <v>2904.6721078804262</v>
      </c>
      <c r="E56" s="302"/>
      <c r="F56" s="302"/>
      <c r="G56" s="302"/>
      <c r="H56" s="302"/>
      <c r="I56" s="302">
        <f>IF(Assumptions_Dashboard!$L$4=Assumptions_Dashboard!$M$5,('Equipment Op Cost'!I48),0)</f>
        <v>27.102200291354656</v>
      </c>
      <c r="J56" s="302">
        <f>IF(Assumptions_Dashboard!$L$4=Assumptions_Dashboard!$M$5,('Equipment Op Cost'!J48),0)</f>
        <v>31.322884676618912</v>
      </c>
      <c r="K56" s="302">
        <f>IF(Assumptions_Dashboard!$L$4=Assumptions_Dashboard!$M$5,('Equipment Op Cost'!K48),0)</f>
        <v>65.685292484198129</v>
      </c>
      <c r="L56" s="302">
        <f>IF(Assumptions_Dashboard!$L$4=Assumptions_Dashboard!$M$5,('Equipment Op Cost'!L48),0)</f>
        <v>157.73418634820914</v>
      </c>
      <c r="M56" s="302">
        <f>IF(Assumptions_Dashboard!$L$4=Assumptions_Dashboard!$M$5,('Equipment Op Cost'!M48),0)</f>
        <v>171.77514737333806</v>
      </c>
      <c r="N56" s="302">
        <f>IF(Assumptions_Dashboard!$L$4=Assumptions_Dashboard!$M$5,('Equipment Op Cost'!N48),0)</f>
        <v>222.52771231036235</v>
      </c>
      <c r="O56" s="302">
        <f>IF(Assumptions_Dashboard!$L$4=Assumptions_Dashboard!$M$5,('Equipment Op Cost'!O48),0)</f>
        <v>215.33000539092419</v>
      </c>
      <c r="P56" s="302">
        <f>IF(Assumptions_Dashboard!$L$4=Assumptions_Dashboard!$M$5,('Equipment Op Cost'!P48),0)</f>
        <v>198.77418158175198</v>
      </c>
      <c r="Q56" s="302">
        <f>IF(Assumptions_Dashboard!$L$4=Assumptions_Dashboard!$M$5,('Equipment Op Cost'!Q48),0)</f>
        <v>209.02473965391516</v>
      </c>
      <c r="R56" s="302">
        <f>IF(Assumptions_Dashboard!$L$4=Assumptions_Dashboard!$M$5,('Equipment Op Cost'!R48),0)</f>
        <v>199.82867869714099</v>
      </c>
      <c r="S56" s="302">
        <f>IF(Assumptions_Dashboard!$L$4=Assumptions_Dashboard!$M$5,('Equipment Op Cost'!S48),0)</f>
        <v>214.77734982881222</v>
      </c>
      <c r="T56" s="302">
        <f>IF(Assumptions_Dashboard!$L$4=Assumptions_Dashboard!$M$5,('Equipment Op Cost'!T48),0)</f>
        <v>183.33932320142378</v>
      </c>
      <c r="U56" s="302">
        <f>IF(Assumptions_Dashboard!$L$4=Assumptions_Dashboard!$M$5,('Equipment Op Cost'!U48),0)</f>
        <v>172.65078116281231</v>
      </c>
      <c r="V56" s="302">
        <f>IF(Assumptions_Dashboard!$L$4=Assumptions_Dashboard!$M$5,('Equipment Op Cost'!V48),0)</f>
        <v>193.35845340590248</v>
      </c>
      <c r="W56" s="302">
        <f>IF(Assumptions_Dashboard!$L$4=Assumptions_Dashboard!$M$5,('Equipment Op Cost'!W48),0)</f>
        <v>193.73805495591799</v>
      </c>
      <c r="X56" s="302">
        <f>IF(Assumptions_Dashboard!$L$4=Assumptions_Dashboard!$M$5,('Equipment Op Cost'!X48),0)</f>
        <v>220.77414271510327</v>
      </c>
      <c r="Y56" s="302">
        <f>IF(Assumptions_Dashboard!$L$4=Assumptions_Dashboard!$M$5,('Equipment Op Cost'!Y48),0)</f>
        <v>145.28207411095721</v>
      </c>
      <c r="Z56" s="302">
        <f>IF(Assumptions_Dashboard!$L$4=Assumptions_Dashboard!$M$5,('Equipment Op Cost'!Z48),0)</f>
        <v>57.924194311383538</v>
      </c>
      <c r="AA56" s="302">
        <f>IF(Assumptions_Dashboard!$L$4=Assumptions_Dashboard!$M$5,('Equipment Op Cost'!AA48),0)</f>
        <v>23.722705380300781</v>
      </c>
    </row>
    <row r="57" spans="2:27">
      <c r="B57" s="223" t="s">
        <v>667</v>
      </c>
      <c r="C57" s="265" t="s">
        <v>134</v>
      </c>
      <c r="D57" s="224">
        <f t="shared" si="46"/>
        <v>167.8093777233112</v>
      </c>
      <c r="E57" s="302"/>
      <c r="F57" s="302"/>
      <c r="G57" s="302"/>
      <c r="H57" s="302"/>
      <c r="I57" s="302">
        <f>IF(Assumptions_Dashboard!$L$4=Assumptions_Dashboard!$M$5,('Equipment Op Cost'!I93),0)</f>
        <v>1.3710612321716447</v>
      </c>
      <c r="J57" s="302">
        <f>IF(Assumptions_Dashboard!$L$4=Assumptions_Dashboard!$M$5,('Equipment Op Cost'!J93),0)</f>
        <v>1.5820954800749409</v>
      </c>
      <c r="K57" s="302">
        <f>IF(Assumptions_Dashboard!$L$4=Assumptions_Dashboard!$M$5,('Equipment Op Cost'!K93),0)</f>
        <v>4.1096047340223079</v>
      </c>
      <c r="L57" s="302">
        <f>IF(Assumptions_Dashboard!$L$4=Assumptions_Dashboard!$M$5,('Equipment Op Cost'!L93),0)</f>
        <v>9.1267128992411219</v>
      </c>
      <c r="M57" s="302">
        <f>IF(Assumptions_Dashboard!$L$4=Assumptions_Dashboard!$M$5,('Equipment Op Cost'!M93),0)</f>
        <v>10.139758396676875</v>
      </c>
      <c r="N57" s="302">
        <f>IF(Assumptions_Dashboard!$L$4=Assumptions_Dashboard!$M$5,('Equipment Op Cost'!N93),0)</f>
        <v>12.677387863952024</v>
      </c>
      <c r="O57" s="302">
        <f>IF(Assumptions_Dashboard!$L$4=Assumptions_Dashboard!$M$5,('Equipment Op Cost'!O93),0)</f>
        <v>12.317501635727888</v>
      </c>
      <c r="P57" s="302">
        <f>IF(Assumptions_Dashboard!$L$4=Assumptions_Dashboard!$M$5,('Equipment Op Cost'!P93),0)</f>
        <v>11.489710280274863</v>
      </c>
      <c r="Q57" s="302">
        <f>IF(Assumptions_Dashboard!$L$4=Assumptions_Dashboard!$M$5,('Equipment Op Cost'!Q93),0)</f>
        <v>12.002238925689481</v>
      </c>
      <c r="R57" s="302">
        <f>IF(Assumptions_Dashboard!$L$4=Assumptions_Dashboard!$M$5,('Equipment Op Cost'!R93),0)</f>
        <v>11.542434958775582</v>
      </c>
      <c r="S57" s="302">
        <f>IF(Assumptions_Dashboard!$L$4=Assumptions_Dashboard!$M$5,('Equipment Op Cost'!S93),0)</f>
        <v>12.289868692627877</v>
      </c>
      <c r="T57" s="302">
        <f>IF(Assumptions_Dashboard!$L$4=Assumptions_Dashboard!$M$5,('Equipment Op Cost'!T93),0)</f>
        <v>10.717967888973217</v>
      </c>
      <c r="U57" s="302">
        <f>IF(Assumptions_Dashboard!$L$4=Assumptions_Dashboard!$M$5,('Equipment Op Cost'!U93),0)</f>
        <v>10.171578927202617</v>
      </c>
      <c r="V57" s="302">
        <f>IF(Assumptions_Dashboard!$L$4=Assumptions_Dashboard!$M$5,('Equipment Op Cost'!V93),0)</f>
        <v>11.200979490395193</v>
      </c>
      <c r="W57" s="302">
        <f>IF(Assumptions_Dashboard!$L$4=Assumptions_Dashboard!$M$5,('Equipment Op Cost'!W93),0)</f>
        <v>11.207288994399763</v>
      </c>
      <c r="X57" s="302">
        <f>IF(Assumptions_Dashboard!$L$4=Assumptions_Dashboard!$M$5,('Equipment Op Cost'!X93),0)</f>
        <v>12.553818857510224</v>
      </c>
      <c r="Y57" s="302">
        <f>IF(Assumptions_Dashboard!$L$4=Assumptions_Dashboard!$M$5,('Equipment Op Cost'!Y93),0)</f>
        <v>8.2608857276283221</v>
      </c>
      <c r="Z57" s="302">
        <f>IF(Assumptions_Dashboard!$L$4=Assumptions_Dashboard!$M$5,('Equipment Op Cost'!Z93),0)</f>
        <v>3.6537658423498067</v>
      </c>
      <c r="AA57" s="302">
        <f>IF(Assumptions_Dashboard!$L$4=Assumptions_Dashboard!$M$5,('Equipment Op Cost'!AA93),0)</f>
        <v>1.3947168956174605</v>
      </c>
    </row>
    <row r="58" spans="2:27">
      <c r="B58" s="223" t="s">
        <v>668</v>
      </c>
      <c r="C58" s="265" t="s">
        <v>134</v>
      </c>
      <c r="D58" s="224">
        <f t="shared" si="46"/>
        <v>1072.4266997135987</v>
      </c>
      <c r="E58" s="302"/>
      <c r="F58" s="302"/>
      <c r="G58" s="302"/>
      <c r="H58" s="302"/>
      <c r="I58" s="302">
        <f>IF(Assumptions_Dashboard!$L$4=Assumptions_Dashboard!$M$5,('Equipment Op Cost'!I138),0)</f>
        <v>14.662236192712417</v>
      </c>
      <c r="J58" s="302">
        <f>IF(Assumptions_Dashboard!$L$4=Assumptions_Dashboard!$M$5,('Equipment Op Cost'!J138),0)</f>
        <v>15.077593904471863</v>
      </c>
      <c r="K58" s="302">
        <f>IF(Assumptions_Dashboard!$L$4=Assumptions_Dashboard!$M$5,('Equipment Op Cost'!K138),0)</f>
        <v>30.532360945162836</v>
      </c>
      <c r="L58" s="302">
        <f>IF(Assumptions_Dashboard!$L$4=Assumptions_Dashboard!$M$5,('Equipment Op Cost'!L138),0)</f>
        <v>62.465875541538878</v>
      </c>
      <c r="M58" s="302">
        <f>IF(Assumptions_Dashboard!$L$4=Assumptions_Dashboard!$M$5,('Equipment Op Cost'!M138),0)</f>
        <v>65.72508074497587</v>
      </c>
      <c r="N58" s="302">
        <f>IF(Assumptions_Dashboard!$L$4=Assumptions_Dashboard!$M$5,('Equipment Op Cost'!N138),0)</f>
        <v>83.54317420055871</v>
      </c>
      <c r="O58" s="302">
        <f>IF(Assumptions_Dashboard!$L$4=Assumptions_Dashboard!$M$5,('Equipment Op Cost'!O138),0)</f>
        <v>79.807727968993149</v>
      </c>
      <c r="P58" s="302">
        <f>IF(Assumptions_Dashboard!$L$4=Assumptions_Dashboard!$M$5,('Equipment Op Cost'!P138),0)</f>
        <v>72.339670804719745</v>
      </c>
      <c r="Q58" s="302">
        <f>IF(Assumptions_Dashboard!$L$4=Assumptions_Dashboard!$M$5,('Equipment Op Cost'!Q138),0)</f>
        <v>75.471834460042984</v>
      </c>
      <c r="R58" s="302">
        <f>IF(Assumptions_Dashboard!$L$4=Assumptions_Dashboard!$M$5,('Equipment Op Cost'!R138),0)</f>
        <v>71.250588364926458</v>
      </c>
      <c r="S58" s="302">
        <f>IF(Assumptions_Dashboard!$L$4=Assumptions_Dashboard!$M$5,('Equipment Op Cost'!S138),0)</f>
        <v>76.941311851143681</v>
      </c>
      <c r="T58" s="302">
        <f>IF(Assumptions_Dashboard!$L$4=Assumptions_Dashboard!$M$5,('Equipment Op Cost'!T138),0)</f>
        <v>65.110184430584582</v>
      </c>
      <c r="U58" s="302">
        <f>IF(Assumptions_Dashboard!$L$4=Assumptions_Dashboard!$M$5,('Equipment Op Cost'!U138),0)</f>
        <v>60.906019290249652</v>
      </c>
      <c r="V58" s="302">
        <f>IF(Assumptions_Dashboard!$L$4=Assumptions_Dashboard!$M$5,('Equipment Op Cost'!V138),0)</f>
        <v>68.851251291268625</v>
      </c>
      <c r="W58" s="302">
        <f>IF(Assumptions_Dashboard!$L$4=Assumptions_Dashboard!$M$5,('Equipment Op Cost'!W138),0)</f>
        <v>68.955198938037412</v>
      </c>
      <c r="X58" s="302">
        <f>IF(Assumptions_Dashboard!$L$4=Assumptions_Dashboard!$M$5,('Equipment Op Cost'!X138),0)</f>
        <v>79.600411201592692</v>
      </c>
      <c r="Y58" s="302">
        <f>IF(Assumptions_Dashboard!$L$4=Assumptions_Dashboard!$M$5,('Equipment Op Cost'!Y138),0)</f>
        <v>52.844330936610483</v>
      </c>
      <c r="Z58" s="302">
        <f>IF(Assumptions_Dashboard!$L$4=Assumptions_Dashboard!$M$5,('Equipment Op Cost'!Z138),0)</f>
        <v>19.658376823155486</v>
      </c>
      <c r="AA58" s="302">
        <f>IF(Assumptions_Dashboard!$L$4=Assumptions_Dashboard!$M$5,('Equipment Op Cost'!AA138),0)</f>
        <v>8.6834718228531838</v>
      </c>
    </row>
    <row r="59" spans="2:27">
      <c r="B59" s="223" t="s">
        <v>669</v>
      </c>
      <c r="C59" s="265" t="s">
        <v>134</v>
      </c>
      <c r="D59" s="224">
        <f t="shared" si="46"/>
        <v>284.5429384704438</v>
      </c>
      <c r="E59" s="302"/>
      <c r="F59" s="302"/>
      <c r="G59" s="302"/>
      <c r="H59" s="302"/>
      <c r="I59" s="302">
        <f>IF(Assumptions_Dashboard!$L$4=Assumptions_Dashboard!$M$5,('Equipment Op Cost'!I183),0)</f>
        <v>0.98787907526671126</v>
      </c>
      <c r="J59" s="302">
        <f>IF(Assumptions_Dashboard!$L$4=Assumptions_Dashboard!$M$5,('Equipment Op Cost'!J183),0)</f>
        <v>1.2232458747086357</v>
      </c>
      <c r="K59" s="302">
        <f>IF(Assumptions_Dashboard!$L$4=Assumptions_Dashboard!$M$5,('Equipment Op Cost'!K183),0)</f>
        <v>2.6694862383879969</v>
      </c>
      <c r="L59" s="302">
        <f>IF(Assumptions_Dashboard!$L$4=Assumptions_Dashboard!$M$5,('Equipment Op Cost'!L183),0)</f>
        <v>14.427118622428113</v>
      </c>
      <c r="M59" s="302">
        <f>IF(Assumptions_Dashboard!$L$4=Assumptions_Dashboard!$M$5,('Equipment Op Cost'!M183),0)</f>
        <v>15.692388239261685</v>
      </c>
      <c r="N59" s="302">
        <f>IF(Assumptions_Dashboard!$L$4=Assumptions_Dashboard!$M$5,('Equipment Op Cost'!N183),0)</f>
        <v>22.9952078683534</v>
      </c>
      <c r="O59" s="302">
        <f>IF(Assumptions_Dashboard!$L$4=Assumptions_Dashboard!$M$5,('Equipment Op Cost'!O183),0)</f>
        <v>22.260504786268314</v>
      </c>
      <c r="P59" s="302">
        <f>IF(Assumptions_Dashboard!$L$4=Assumptions_Dashboard!$M$5,('Equipment Op Cost'!P183),0)</f>
        <v>20.331651271791365</v>
      </c>
      <c r="Q59" s="302">
        <f>IF(Assumptions_Dashboard!$L$4=Assumptions_Dashboard!$M$5,('Equipment Op Cost'!Q183),0)</f>
        <v>21.896755431865049</v>
      </c>
      <c r="R59" s="302">
        <f>IF(Assumptions_Dashboard!$L$4=Assumptions_Dashboard!$M$5,('Equipment Op Cost'!R183),0)</f>
        <v>20.84896599216734</v>
      </c>
      <c r="S59" s="302">
        <f>IF(Assumptions_Dashboard!$L$4=Assumptions_Dashboard!$M$5,('Equipment Op Cost'!S183),0)</f>
        <v>22.774198778957913</v>
      </c>
      <c r="T59" s="302">
        <f>IF(Assumptions_Dashboard!$L$4=Assumptions_Dashboard!$M$5,('Equipment Op Cost'!T183),0)</f>
        <v>18.376252720029093</v>
      </c>
      <c r="U59" s="302">
        <f>IF(Assumptions_Dashboard!$L$4=Assumptions_Dashboard!$M$5,('Equipment Op Cost'!U183),0)</f>
        <v>16.874304992276294</v>
      </c>
      <c r="V59" s="302">
        <f>IF(Assumptions_Dashboard!$L$4=Assumptions_Dashboard!$M$5,('Equipment Op Cost'!V183),0)</f>
        <v>19.600258611448336</v>
      </c>
      <c r="W59" s="302">
        <f>IF(Assumptions_Dashboard!$L$4=Assumptions_Dashboard!$M$5,('Equipment Op Cost'!W183),0)</f>
        <v>19.525902773147941</v>
      </c>
      <c r="X59" s="302">
        <f>IF(Assumptions_Dashboard!$L$4=Assumptions_Dashboard!$M$5,('Equipment Op Cost'!X183),0)</f>
        <v>23.104819102844974</v>
      </c>
      <c r="Y59" s="302">
        <f>IF(Assumptions_Dashboard!$L$4=Assumptions_Dashboard!$M$5,('Equipment Op Cost'!Y183),0)</f>
        <v>14.683051099213575</v>
      </c>
      <c r="Z59" s="302">
        <f>IF(Assumptions_Dashboard!$L$4=Assumptions_Dashboard!$M$5,('Equipment Op Cost'!Z183),0)</f>
        <v>4.4728089587472057</v>
      </c>
      <c r="AA59" s="302">
        <f>IF(Assumptions_Dashboard!$L$4=Assumptions_Dashboard!$M$5,('Equipment Op Cost'!AA183),0)</f>
        <v>1.798138033279816</v>
      </c>
    </row>
    <row r="60" spans="2:27" ht="14">
      <c r="B60" s="267" t="s">
        <v>572</v>
      </c>
      <c r="C60" s="265" t="s">
        <v>134</v>
      </c>
      <c r="D60" s="224">
        <f t="shared" si="46"/>
        <v>220.17826250000002</v>
      </c>
      <c r="E60" s="302"/>
      <c r="F60" s="302"/>
      <c r="G60" s="302"/>
      <c r="H60" s="302"/>
      <c r="I60" s="302">
        <f>SUM('Capex Breakups'!$E$4:I4)*Assumptions_Dashboard!$D$110</f>
        <v>9.0085625</v>
      </c>
      <c r="J60" s="302">
        <f>SUM('Capex Breakups'!$E$4:J4)*Assumptions_Dashboard!$D$110</f>
        <v>11.731650000000002</v>
      </c>
      <c r="K60" s="302">
        <f>SUM('Capex Breakups'!$E$4:K4)*Assumptions_Dashboard!$D$110</f>
        <v>11.731650000000002</v>
      </c>
      <c r="L60" s="302">
        <f>SUM('Capex Breakups'!$E$4:L4)*Assumptions_Dashboard!$D$110</f>
        <v>11.731650000000002</v>
      </c>
      <c r="M60" s="302">
        <f>SUM('Capex Breakups'!$E$4:M4)*Assumptions_Dashboard!$D$110</f>
        <v>11.731650000000002</v>
      </c>
      <c r="N60" s="302">
        <f>SUM('Capex Breakups'!$E$4:N4)*Assumptions_Dashboard!$D$110</f>
        <v>11.731650000000002</v>
      </c>
      <c r="O60" s="302">
        <f>SUM('Capex Breakups'!$E$4:O4)*Assumptions_Dashboard!$D$110</f>
        <v>11.731650000000002</v>
      </c>
      <c r="P60" s="302">
        <f>SUM('Capex Breakups'!$E$4:P4)*Assumptions_Dashboard!$D$110</f>
        <v>11.731650000000002</v>
      </c>
      <c r="Q60" s="302">
        <f>SUM('Capex Breakups'!$E$4:Q4)*Assumptions_Dashboard!$D$110</f>
        <v>11.731650000000002</v>
      </c>
      <c r="R60" s="302">
        <f>SUM('Capex Breakups'!$E$4:R4)*Assumptions_Dashboard!$D$110</f>
        <v>11.731650000000002</v>
      </c>
      <c r="S60" s="302">
        <f>SUM('Capex Breakups'!$E$4:S4)*Assumptions_Dashboard!$D$110</f>
        <v>11.731650000000002</v>
      </c>
      <c r="T60" s="302">
        <f>SUM('Capex Breakups'!$E$4:T4)*Assumptions_Dashboard!$D$110</f>
        <v>11.731650000000002</v>
      </c>
      <c r="U60" s="302">
        <f>SUM('Capex Breakups'!$E$4:U4)*Assumptions_Dashboard!$D$110</f>
        <v>11.731650000000002</v>
      </c>
      <c r="V60" s="302">
        <f>SUM('Capex Breakups'!$E$4:V4)*Assumptions_Dashboard!$D$110</f>
        <v>11.731650000000002</v>
      </c>
      <c r="W60" s="302">
        <f>SUM('Capex Breakups'!$E$4:W4)*Assumptions_Dashboard!$D$110</f>
        <v>11.731650000000002</v>
      </c>
      <c r="X60" s="302">
        <f>SUM('Capex Breakups'!$E$4:X4)*Assumptions_Dashboard!$D$110</f>
        <v>11.731650000000002</v>
      </c>
      <c r="Y60" s="302">
        <f>SUM('Capex Breakups'!$E$4:Y4)*Assumptions_Dashboard!$D$110</f>
        <v>11.731650000000002</v>
      </c>
      <c r="Z60" s="302">
        <f>SUM('Capex Breakups'!$E$4:Z4)*Assumptions_Dashboard!$D$110</f>
        <v>11.731650000000002</v>
      </c>
      <c r="AA60" s="302">
        <f>SUM('Capex Breakups'!$E$4:AA4)*Assumptions_Dashboard!$D$110</f>
        <v>11.731650000000002</v>
      </c>
    </row>
    <row r="61" spans="2:27" s="264" customFormat="1">
      <c r="B61" s="223" t="s">
        <v>670</v>
      </c>
      <c r="C61" s="265" t="s">
        <v>134</v>
      </c>
      <c r="D61" s="224">
        <f t="shared" si="46"/>
        <v>225.72966149999999</v>
      </c>
      <c r="E61" s="302"/>
      <c r="F61" s="302"/>
      <c r="G61" s="302"/>
      <c r="H61" s="302"/>
      <c r="I61" s="302">
        <f>'Capex Breakups'!I21</f>
        <v>1.9999997549999999</v>
      </c>
      <c r="J61" s="302">
        <f>'Capex Breakups'!J21</f>
        <v>4.000000365</v>
      </c>
      <c r="K61" s="302">
        <f>'Capex Breakups'!K21</f>
        <v>7.9999998750000003</v>
      </c>
      <c r="L61" s="302">
        <f>'Capex Breakups'!L21</f>
        <v>12.000005369999998</v>
      </c>
      <c r="M61" s="302">
        <f>'Capex Breakups'!M21</f>
        <v>14.999998590000001</v>
      </c>
      <c r="N61" s="302">
        <f>'Capex Breakups'!N21</f>
        <v>14.999990039999998</v>
      </c>
      <c r="O61" s="302">
        <f>'Capex Breakups'!O21</f>
        <v>15.000003719999999</v>
      </c>
      <c r="P61" s="302">
        <f>'Capex Breakups'!P21</f>
        <v>14.999996879999999</v>
      </c>
      <c r="Q61" s="302">
        <f>'Capex Breakups'!Q21</f>
        <v>15.000000299999998</v>
      </c>
      <c r="R61" s="302">
        <f>'Capex Breakups'!R21</f>
        <v>15.000000299999998</v>
      </c>
      <c r="S61" s="302">
        <f>'Capex Breakups'!S21</f>
        <v>15.00000543</v>
      </c>
      <c r="T61" s="302">
        <f>'Capex Breakups'!T21</f>
        <v>15.000000299999998</v>
      </c>
      <c r="U61" s="302">
        <f>'Capex Breakups'!U21</f>
        <v>15.000002009999999</v>
      </c>
      <c r="V61" s="302">
        <f>'Capex Breakups'!V21</f>
        <v>15.000003719999999</v>
      </c>
      <c r="W61" s="302">
        <f>'Capex Breakups'!W21</f>
        <v>14.999998590000001</v>
      </c>
      <c r="X61" s="302">
        <f>'Capex Breakups'!X21</f>
        <v>14.99999517</v>
      </c>
      <c r="Y61" s="302">
        <f>'Capex Breakups'!Y21</f>
        <v>10.000003905</v>
      </c>
      <c r="Z61" s="302">
        <f>'Capex Breakups'!Z21</f>
        <v>7.5000018599999994</v>
      </c>
      <c r="AA61" s="302">
        <f>'Capex Breakups'!AA21</f>
        <v>2.22965532</v>
      </c>
    </row>
    <row r="62" spans="2:27" s="264" customFormat="1">
      <c r="B62" s="223" t="s">
        <v>310</v>
      </c>
      <c r="C62" s="265" t="s">
        <v>134</v>
      </c>
      <c r="D62" s="224">
        <f t="shared" ca="1" si="46"/>
        <v>939.57299999999998</v>
      </c>
      <c r="E62" s="302"/>
      <c r="F62" s="302"/>
      <c r="G62" s="302"/>
      <c r="H62" s="302"/>
      <c r="I62" s="302">
        <f ca="1">'Wage-Owner'!N280</f>
        <v>42.405000000000008</v>
      </c>
      <c r="J62" s="302">
        <f ca="1">'Wage-Owner'!O280</f>
        <v>42.645000000000003</v>
      </c>
      <c r="K62" s="302">
        <f ca="1">'Wage-Owner'!P280</f>
        <v>45.680999999999997</v>
      </c>
      <c r="L62" s="302">
        <f ca="1">'Wage-Owner'!Q280</f>
        <v>50.182500000000005</v>
      </c>
      <c r="M62" s="302">
        <f ca="1">'Wage-Owner'!R280</f>
        <v>50.723500000000001</v>
      </c>
      <c r="N62" s="302">
        <f ca="1">'Wage-Owner'!S280</f>
        <v>52.736499999999999</v>
      </c>
      <c r="O62" s="302">
        <f ca="1">'Wage-Owner'!T280</f>
        <v>53.475000000000001</v>
      </c>
      <c r="P62" s="302">
        <f ca="1">'Wage-Owner'!U280</f>
        <v>51.819499999999998</v>
      </c>
      <c r="Q62" s="302">
        <f ca="1">'Wage-Owner'!V280</f>
        <v>52.2455</v>
      </c>
      <c r="R62" s="302">
        <f ca="1">'Wage-Owner'!W280</f>
        <v>51.817500000000003</v>
      </c>
      <c r="S62" s="302">
        <f ca="1">'Wage-Owner'!X280</f>
        <v>52.668500000000002</v>
      </c>
      <c r="T62" s="302">
        <f ca="1">'Wage-Owner'!Y280</f>
        <v>51.082500000000003</v>
      </c>
      <c r="U62" s="302">
        <f ca="1">'Wage-Owner'!Z280</f>
        <v>50.715499999999999</v>
      </c>
      <c r="V62" s="302">
        <f ca="1">'Wage-Owner'!AA280</f>
        <v>51.628500000000003</v>
      </c>
      <c r="W62" s="302">
        <f ca="1">'Wage-Owner'!AB280</f>
        <v>51.7485</v>
      </c>
      <c r="X62" s="302">
        <f ca="1">'Wage-Owner'!AC280</f>
        <v>52.909500000000001</v>
      </c>
      <c r="Y62" s="302">
        <f ca="1">'Wage-Owner'!AD280</f>
        <v>49.083999999999996</v>
      </c>
      <c r="Z62" s="302">
        <f ca="1">'Wage-Owner'!AE280</f>
        <v>43.972000000000001</v>
      </c>
      <c r="AA62" s="302">
        <f ca="1">'Wage-Owner'!AF280</f>
        <v>42.033000000000001</v>
      </c>
    </row>
    <row r="63" spans="2:27">
      <c r="B63" s="223" t="s">
        <v>313</v>
      </c>
      <c r="C63" s="265" t="s">
        <v>134</v>
      </c>
      <c r="D63" s="224">
        <f>SUM(E63:AR63)</f>
        <v>1273.2680331796721</v>
      </c>
      <c r="E63" s="302">
        <f>IF(Assumptions_Dashboard!$L$4=Assumptions_Dashboard!$M$5,Explosive!F45,0)</f>
        <v>0</v>
      </c>
      <c r="F63" s="302">
        <f>IF(Assumptions_Dashboard!$L$4=Assumptions_Dashboard!$M$5,Explosive!G45,0)</f>
        <v>0</v>
      </c>
      <c r="G63" s="302">
        <f>IF(Assumptions_Dashboard!$L$4=Assumptions_Dashboard!$M$5,Explosive!H45,0)</f>
        <v>0</v>
      </c>
      <c r="H63" s="302">
        <f>IF(Assumptions_Dashboard!$L$4=Assumptions_Dashboard!$M$5,Explosive!I45,0)</f>
        <v>0</v>
      </c>
      <c r="I63" s="302">
        <f>IF(Assumptions_Dashboard!$L$4=Assumptions_Dashboard!$M$5,Explosive!J45,0)</f>
        <v>28.07407341509721</v>
      </c>
      <c r="J63" s="302">
        <f>IF(Assumptions_Dashboard!$L$4=Assumptions_Dashboard!$M$5,Explosive!K45,0)</f>
        <v>24.962105197293095</v>
      </c>
      <c r="K63" s="302">
        <f>IF(Assumptions_Dashboard!$L$4=Assumptions_Dashboard!$M$5,Explosive!L45,0)</f>
        <v>40.626168410298618</v>
      </c>
      <c r="L63" s="302">
        <f>IF(Assumptions_Dashboard!$L$4=Assumptions_Dashboard!$M$5,Explosive!M45,0)</f>
        <v>86.648098245298129</v>
      </c>
      <c r="M63" s="302">
        <f>IF(Assumptions_Dashboard!$L$4=Assumptions_Dashboard!$M$5,Explosive!N45,0)</f>
        <v>83.854192143498182</v>
      </c>
      <c r="N63" s="302">
        <f>IF(Assumptions_Dashboard!$L$4=Assumptions_Dashboard!$M$5,Explosive!O45,0)</f>
        <v>112.1179859482081</v>
      </c>
      <c r="O63" s="302">
        <f>IF(Assumptions_Dashboard!$L$4=Assumptions_Dashboard!$M$5,Explosive!P45,0)</f>
        <v>102.75243135664297</v>
      </c>
      <c r="P63" s="302">
        <f>IF(Assumptions_Dashboard!$L$4=Assumptions_Dashboard!$M$5,Explosive!Q45,0)</f>
        <v>86.172154916585924</v>
      </c>
      <c r="Q63" s="302">
        <f>IF(Assumptions_Dashboard!$L$4=Assumptions_Dashboard!$M$5,Explosive!R45,0)</f>
        <v>89.734733868054349</v>
      </c>
      <c r="R63" s="302">
        <f>IF(Assumptions_Dashboard!$L$4=Assumptions_Dashboard!$M$5,Explosive!S45,0)</f>
        <v>80.205746383561632</v>
      </c>
      <c r="S63" s="302">
        <f>IF(Assumptions_Dashboard!$L$4=Assumptions_Dashboard!$M$5,Explosive!T45,0)</f>
        <v>90.270184188010091</v>
      </c>
      <c r="T63" s="302">
        <f>IF(Assumptions_Dashboard!$L$4=Assumptions_Dashboard!$M$5,Explosive!U45,0)</f>
        <v>69.118513522450385</v>
      </c>
      <c r="U63" s="302">
        <f>IF(Assumptions_Dashboard!$L$4=Assumptions_Dashboard!$M$5,Explosive!V45,0)</f>
        <v>60.87895329892492</v>
      </c>
      <c r="V63" s="302">
        <f>IF(Assumptions_Dashboard!$L$4=Assumptions_Dashboard!$M$5,Explosive!W45,0)</f>
        <v>75.257127359644372</v>
      </c>
      <c r="W63" s="302">
        <f>IF(Assumptions_Dashboard!$L$4=Assumptions_Dashboard!$M$5,Explosive!X45,0)</f>
        <v>75.023251580121453</v>
      </c>
      <c r="X63" s="302">
        <f>IF(Assumptions_Dashboard!$L$4=Assumptions_Dashboard!$M$5,Explosive!Y45,0)</f>
        <v>95.114653422961197</v>
      </c>
      <c r="Y63" s="302">
        <f>IF(Assumptions_Dashboard!$L$4=Assumptions_Dashboard!$M$5,Explosive!Z45,0)</f>
        <v>58.647825611439309</v>
      </c>
      <c r="Z63" s="302">
        <f>IF(Assumptions_Dashboard!$L$4=Assumptions_Dashboard!$M$5,Explosive!AA45,0)</f>
        <v>10.723345436428513</v>
      </c>
      <c r="AA63" s="302">
        <f>IF(Assumptions_Dashboard!$L$4=Assumptions_Dashboard!$M$5,Explosive!AB45,0)</f>
        <v>3.086488875153627</v>
      </c>
    </row>
    <row r="64" spans="2:27" s="264" customFormat="1">
      <c r="B64" s="223" t="s">
        <v>573</v>
      </c>
      <c r="C64" s="265" t="s">
        <v>134</v>
      </c>
      <c r="D64" s="224">
        <f t="shared" si="46"/>
        <v>90.725000000000023</v>
      </c>
      <c r="E64" s="302"/>
      <c r="F64" s="302"/>
      <c r="G64" s="302"/>
      <c r="H64" s="302"/>
      <c r="I64" s="302">
        <f>SUM('Capex Breakups'!$E$6:I6)*Assumptions_Dashboard!$D$108</f>
        <v>4.7750000000000004</v>
      </c>
      <c r="J64" s="302">
        <f>SUM('Capex Breakups'!$E$6:J6)*Assumptions_Dashboard!$D$108</f>
        <v>4.7750000000000004</v>
      </c>
      <c r="K64" s="302">
        <f>SUM('Capex Breakups'!$E$6:K6)*Assumptions_Dashboard!$D$108</f>
        <v>4.7750000000000004</v>
      </c>
      <c r="L64" s="302">
        <f>SUM('Capex Breakups'!$E$6:L6)*Assumptions_Dashboard!$D$108</f>
        <v>4.7750000000000004</v>
      </c>
      <c r="M64" s="302">
        <f>SUM('Capex Breakups'!$E$6:M6)*Assumptions_Dashboard!$D$108</f>
        <v>4.7750000000000004</v>
      </c>
      <c r="N64" s="302">
        <f>SUM('Capex Breakups'!$E$6:N6)*Assumptions_Dashboard!$D$108</f>
        <v>4.7750000000000004</v>
      </c>
      <c r="O64" s="302">
        <f>SUM('Capex Breakups'!$E$6:O6)*Assumptions_Dashboard!$D$108</f>
        <v>4.7750000000000004</v>
      </c>
      <c r="P64" s="302">
        <f>SUM('Capex Breakups'!$E$6:P6)*Assumptions_Dashboard!$D$108</f>
        <v>4.7750000000000004</v>
      </c>
      <c r="Q64" s="302">
        <f>SUM('Capex Breakups'!$E$6:Q6)*Assumptions_Dashboard!$D$108</f>
        <v>4.7750000000000004</v>
      </c>
      <c r="R64" s="302">
        <f>SUM('Capex Breakups'!$E$6:R6)*Assumptions_Dashboard!$D$108</f>
        <v>4.7750000000000004</v>
      </c>
      <c r="S64" s="302">
        <f>SUM('Capex Breakups'!$E$6:S6)*Assumptions_Dashboard!$D$108</f>
        <v>4.7750000000000004</v>
      </c>
      <c r="T64" s="302">
        <f>SUM('Capex Breakups'!$E$6:T6)*Assumptions_Dashboard!$D$108</f>
        <v>4.7750000000000004</v>
      </c>
      <c r="U64" s="302">
        <f>SUM('Capex Breakups'!$E$6:U6)*Assumptions_Dashboard!$D$108</f>
        <v>4.7750000000000004</v>
      </c>
      <c r="V64" s="302">
        <f>SUM('Capex Breakups'!$E$6:V6)*Assumptions_Dashboard!$D$108</f>
        <v>4.7750000000000004</v>
      </c>
      <c r="W64" s="302">
        <f>SUM('Capex Breakups'!$E$6:W6)*Assumptions_Dashboard!$D$108</f>
        <v>4.7750000000000004</v>
      </c>
      <c r="X64" s="302">
        <f>SUM('Capex Breakups'!$E$6:X6)*Assumptions_Dashboard!$D$108</f>
        <v>4.7750000000000004</v>
      </c>
      <c r="Y64" s="302">
        <f>SUM('Capex Breakups'!$E$6:Y6)*Assumptions_Dashboard!$D$108</f>
        <v>4.7750000000000004</v>
      </c>
      <c r="Z64" s="302">
        <f>SUM('Capex Breakups'!$E$6:Z6)*Assumptions_Dashboard!$D$108</f>
        <v>4.7750000000000004</v>
      </c>
      <c r="AA64" s="302">
        <f>SUM('Capex Breakups'!$E$6:AA6)*Assumptions_Dashboard!$D$108</f>
        <v>4.7750000000000004</v>
      </c>
    </row>
    <row r="65" spans="2:27" s="264" customFormat="1">
      <c r="B65" s="223" t="s">
        <v>693</v>
      </c>
      <c r="C65" s="265" t="s">
        <v>134</v>
      </c>
      <c r="D65" s="224">
        <f t="shared" si="46"/>
        <v>359.09999999999991</v>
      </c>
      <c r="E65" s="302"/>
      <c r="F65" s="302"/>
      <c r="G65" s="302"/>
      <c r="H65" s="302"/>
      <c r="I65" s="302">
        <f>SUM('Capex Breakups'!$E$5:I5)*Assumptions_Dashboard!$D$110</f>
        <v>18.900000000000002</v>
      </c>
      <c r="J65" s="302">
        <f>SUM('Capex Breakups'!$E$5:J5)*Assumptions_Dashboard!$D$110</f>
        <v>18.900000000000002</v>
      </c>
      <c r="K65" s="302">
        <f>SUM('Capex Breakups'!$E$5:K5)*Assumptions_Dashboard!$D$110</f>
        <v>18.900000000000002</v>
      </c>
      <c r="L65" s="302">
        <f>SUM('Capex Breakups'!$E$5:L5)*Assumptions_Dashboard!$D$110</f>
        <v>18.900000000000002</v>
      </c>
      <c r="M65" s="302">
        <f>SUM('Capex Breakups'!$E$5:M5)*Assumptions_Dashboard!$D$110</f>
        <v>18.900000000000002</v>
      </c>
      <c r="N65" s="302">
        <f>SUM('Capex Breakups'!$E$5:N5)*Assumptions_Dashboard!$D$110</f>
        <v>18.900000000000002</v>
      </c>
      <c r="O65" s="302">
        <f>SUM('Capex Breakups'!$E$5:O5)*Assumptions_Dashboard!$D$110</f>
        <v>18.900000000000002</v>
      </c>
      <c r="P65" s="302">
        <f>SUM('Capex Breakups'!$E$5:P5)*Assumptions_Dashboard!$D$110</f>
        <v>18.900000000000002</v>
      </c>
      <c r="Q65" s="302">
        <f>SUM('Capex Breakups'!$E$5:Q5)*Assumptions_Dashboard!$D$110</f>
        <v>18.900000000000002</v>
      </c>
      <c r="R65" s="302">
        <f>SUM('Capex Breakups'!$E$5:R5)*Assumptions_Dashboard!$D$110</f>
        <v>18.900000000000002</v>
      </c>
      <c r="S65" s="302">
        <f>SUM('Capex Breakups'!$E$5:S5)*Assumptions_Dashboard!$D$110</f>
        <v>18.900000000000002</v>
      </c>
      <c r="T65" s="302">
        <f>SUM('Capex Breakups'!$E$5:T5)*Assumptions_Dashboard!$D$110</f>
        <v>18.900000000000002</v>
      </c>
      <c r="U65" s="302">
        <f>SUM('Capex Breakups'!$E$5:U5)*Assumptions_Dashboard!$D$110</f>
        <v>18.900000000000002</v>
      </c>
      <c r="V65" s="302">
        <f>SUM('Capex Breakups'!$E$5:V5)*Assumptions_Dashboard!$D$110</f>
        <v>18.900000000000002</v>
      </c>
      <c r="W65" s="302">
        <f>SUM('Capex Breakups'!$E$5:W5)*Assumptions_Dashboard!$D$110</f>
        <v>18.900000000000002</v>
      </c>
      <c r="X65" s="302">
        <f>SUM('Capex Breakups'!$E$5:X5)*Assumptions_Dashboard!$D$110</f>
        <v>18.900000000000002</v>
      </c>
      <c r="Y65" s="302">
        <f>SUM('Capex Breakups'!$E$5:Y5)*Assumptions_Dashboard!$D$110</f>
        <v>18.900000000000002</v>
      </c>
      <c r="Z65" s="302">
        <f>SUM('Capex Breakups'!$E$5:Z5)*Assumptions_Dashboard!$D$110</f>
        <v>18.900000000000002</v>
      </c>
      <c r="AA65" s="302">
        <f>SUM('Capex Breakups'!$E$5:AA5)*Assumptions_Dashboard!$D$110</f>
        <v>18.900000000000002</v>
      </c>
    </row>
    <row r="66" spans="2:27" s="264" customFormat="1">
      <c r="B66" s="223" t="s">
        <v>674</v>
      </c>
      <c r="C66" s="265" t="s">
        <v>134</v>
      </c>
      <c r="D66" s="224">
        <f t="shared" ref="D66" si="47">SUM(E66:AR66)</f>
        <v>9.609250000000003</v>
      </c>
      <c r="E66" s="302"/>
      <c r="F66" s="302"/>
      <c r="G66" s="302"/>
      <c r="H66" s="302"/>
      <c r="I66" s="302">
        <f>SUM('Capex Breakups'!$E$7:I7)*Assumptions_Dashboard!$D$110</f>
        <v>0.50575000000000003</v>
      </c>
      <c r="J66" s="302">
        <f>SUM('Capex Breakups'!$E$7:J7)*Assumptions_Dashboard!$D$110</f>
        <v>0.50575000000000003</v>
      </c>
      <c r="K66" s="302">
        <f>SUM('Capex Breakups'!$E$7:K7)*Assumptions_Dashboard!$D$110</f>
        <v>0.50575000000000003</v>
      </c>
      <c r="L66" s="302">
        <f>SUM('Capex Breakups'!$E$7:L7)*Assumptions_Dashboard!$D$110</f>
        <v>0.50575000000000003</v>
      </c>
      <c r="M66" s="302">
        <f>SUM('Capex Breakups'!$E$7:M7)*Assumptions_Dashboard!$D$110</f>
        <v>0.50575000000000003</v>
      </c>
      <c r="N66" s="302">
        <f>SUM('Capex Breakups'!$E$7:N7)*Assumptions_Dashboard!$D$110</f>
        <v>0.50575000000000003</v>
      </c>
      <c r="O66" s="302">
        <f>SUM('Capex Breakups'!$E$7:O7)*Assumptions_Dashboard!$D$110</f>
        <v>0.50575000000000003</v>
      </c>
      <c r="P66" s="302">
        <f>SUM('Capex Breakups'!$E$7:P7)*Assumptions_Dashboard!$D$110</f>
        <v>0.50575000000000003</v>
      </c>
      <c r="Q66" s="302">
        <f>SUM('Capex Breakups'!$E$7:Q7)*Assumptions_Dashboard!$D$110</f>
        <v>0.50575000000000003</v>
      </c>
      <c r="R66" s="302">
        <f>SUM('Capex Breakups'!$E$7:R7)*Assumptions_Dashboard!$D$110</f>
        <v>0.50575000000000003</v>
      </c>
      <c r="S66" s="302">
        <f>SUM('Capex Breakups'!$E$7:S7)*Assumptions_Dashboard!$D$110</f>
        <v>0.50575000000000003</v>
      </c>
      <c r="T66" s="302">
        <f>SUM('Capex Breakups'!$E$7:T7)*Assumptions_Dashboard!$D$110</f>
        <v>0.50575000000000003</v>
      </c>
      <c r="U66" s="302">
        <f>SUM('Capex Breakups'!$E$7:U7)*Assumptions_Dashboard!$D$110</f>
        <v>0.50575000000000003</v>
      </c>
      <c r="V66" s="302">
        <f>SUM('Capex Breakups'!$E$7:V7)*Assumptions_Dashboard!$D$110</f>
        <v>0.50575000000000003</v>
      </c>
      <c r="W66" s="302">
        <f>SUM('Capex Breakups'!$E$7:W7)*Assumptions_Dashboard!$D$110</f>
        <v>0.50575000000000003</v>
      </c>
      <c r="X66" s="302">
        <f>SUM('Capex Breakups'!$E$7:X7)*Assumptions_Dashboard!$D$110</f>
        <v>0.50575000000000003</v>
      </c>
      <c r="Y66" s="302">
        <f>SUM('Capex Breakups'!$E$7:Y7)*Assumptions_Dashboard!$D$110</f>
        <v>0.50575000000000003</v>
      </c>
      <c r="Z66" s="302">
        <f>SUM('Capex Breakups'!$E$7:Z7)*Assumptions_Dashboard!$D$110</f>
        <v>0.50575000000000003</v>
      </c>
      <c r="AA66" s="302">
        <f>SUM('Capex Breakups'!$E$7:AA7)*Assumptions_Dashboard!$D$110</f>
        <v>0.50575000000000003</v>
      </c>
    </row>
    <row r="67" spans="2:27" s="264" customFormat="1">
      <c r="B67" s="223" t="s">
        <v>429</v>
      </c>
      <c r="C67" s="265" t="s">
        <v>134</v>
      </c>
      <c r="D67" s="224">
        <f>SUM(E67:AR67)</f>
        <v>529.48</v>
      </c>
      <c r="E67" s="302">
        <f>IF(Assumptions_Dashboard!$L$4=Assumptions_Dashboard!$M$5,'Contractor OPEX'!E18,0)</f>
        <v>0</v>
      </c>
      <c r="F67" s="302">
        <f>IF(Assumptions_Dashboard!$L$4=Assumptions_Dashboard!$M$5,'Contractor OPEX'!F18,0)</f>
        <v>0</v>
      </c>
      <c r="G67" s="302">
        <f>IF(Assumptions_Dashboard!$L$4=Assumptions_Dashboard!$M$5,'Contractor OPEX'!G18,0)</f>
        <v>0</v>
      </c>
      <c r="H67" s="302">
        <f>IF(Assumptions_Dashboard!$L$4=Assumptions_Dashboard!$M$5,'Contractor OPEX'!H18,0)</f>
        <v>0</v>
      </c>
      <c r="I67" s="302">
        <f>IF(Assumptions_Dashboard!$L$4=Assumptions_Dashboard!$M$5,'Contractor OPEX'!I18,0)</f>
        <v>0</v>
      </c>
      <c r="J67" s="302">
        <f>IF(Assumptions_Dashboard!$L$4=Assumptions_Dashboard!$M$5,'Contractor OPEX'!J18,0)</f>
        <v>0</v>
      </c>
      <c r="K67" s="302">
        <f>IF(Assumptions_Dashboard!$L$4=Assumptions_Dashboard!$M$5,'Contractor OPEX'!K18,0)</f>
        <v>0</v>
      </c>
      <c r="L67" s="302">
        <f>IF(Assumptions_Dashboard!$L$4=Assumptions_Dashboard!$M$5,'Contractor OPEX'!L18,0)</f>
        <v>0</v>
      </c>
      <c r="M67" s="302">
        <f>IF(Assumptions_Dashboard!$L$4=Assumptions_Dashboard!$M$5,'Contractor OPEX'!M18,0)</f>
        <v>0</v>
      </c>
      <c r="N67" s="302">
        <f>IF(Assumptions_Dashboard!$L$4=Assumptions_Dashboard!$M$5,'Contractor OPEX'!N18,0)</f>
        <v>0</v>
      </c>
      <c r="O67" s="302">
        <f>IF(Assumptions_Dashboard!$L$4=Assumptions_Dashboard!$M$5,'Contractor OPEX'!O18,0)</f>
        <v>82.95</v>
      </c>
      <c r="P67" s="302">
        <f>IF(Assumptions_Dashboard!$L$4=Assumptions_Dashboard!$M$5,'Contractor OPEX'!P18,0)</f>
        <v>82.95</v>
      </c>
      <c r="Q67" s="302">
        <f>IF(Assumptions_Dashboard!$L$4=Assumptions_Dashboard!$M$5,'Contractor OPEX'!Q18,0)</f>
        <v>82.95</v>
      </c>
      <c r="R67" s="302">
        <f>IF(Assumptions_Dashboard!$L$4=Assumptions_Dashboard!$M$5,'Contractor OPEX'!R18,0)</f>
        <v>82.95</v>
      </c>
      <c r="S67" s="302">
        <f>IF(Assumptions_Dashboard!$L$4=Assumptions_Dashboard!$M$5,'Contractor OPEX'!S18,0)</f>
        <v>49.42</v>
      </c>
      <c r="T67" s="302">
        <f>IF(Assumptions_Dashboard!$L$4=Assumptions_Dashboard!$M$5,'Contractor OPEX'!T18,0)</f>
        <v>49.42</v>
      </c>
      <c r="U67" s="302">
        <f>IF(Assumptions_Dashboard!$L$4=Assumptions_Dashboard!$M$5,'Contractor OPEX'!U18,0)</f>
        <v>49.42</v>
      </c>
      <c r="V67" s="302">
        <f>IF(Assumptions_Dashboard!$L$4=Assumptions_Dashboard!$M$5,'Contractor OPEX'!V18,0)</f>
        <v>49.42</v>
      </c>
      <c r="W67" s="302">
        <f>IF(Assumptions_Dashboard!$L$4=Assumptions_Dashboard!$M$5,'Contractor OPEX'!W18,0)</f>
        <v>0</v>
      </c>
      <c r="X67" s="302">
        <f>IF(Assumptions_Dashboard!$L$4=Assumptions_Dashboard!$M$5,'Contractor OPEX'!X18,0)</f>
        <v>0</v>
      </c>
      <c r="Y67" s="302">
        <f>IF(Assumptions_Dashboard!$L$4=Assumptions_Dashboard!$M$5,'Contractor OPEX'!Y18,0)</f>
        <v>0</v>
      </c>
      <c r="Z67" s="302">
        <f>IF(Assumptions_Dashboard!$L$4=Assumptions_Dashboard!$M$5,'Contractor OPEX'!Z18,0)</f>
        <v>0</v>
      </c>
      <c r="AA67" s="302">
        <f>IF(Assumptions_Dashboard!$L$4=Assumptions_Dashboard!$M$5,'Contractor OPEX'!AA18,0)</f>
        <v>0</v>
      </c>
    </row>
    <row r="68" spans="2:27">
      <c r="B68" s="223" t="s">
        <v>694</v>
      </c>
      <c r="C68" s="265" t="s">
        <v>134</v>
      </c>
      <c r="D68" s="224">
        <f>SUM(E68:AR68)</f>
        <v>6.6499999999999977</v>
      </c>
      <c r="E68" s="302"/>
      <c r="F68" s="302"/>
      <c r="G68" s="302"/>
      <c r="H68" s="302"/>
      <c r="I68" s="380">
        <f>SUM('Capex Breakups'!$E$11:I11)*Assumptions_Dashboard!$D$110</f>
        <v>0.35000000000000003</v>
      </c>
      <c r="J68" s="380">
        <f>SUM('Capex Breakups'!$E$11:J11)*Assumptions_Dashboard!$D$110</f>
        <v>0.35000000000000003</v>
      </c>
      <c r="K68" s="380">
        <f>SUM('Capex Breakups'!$E$11:K11)*Assumptions_Dashboard!$D$110</f>
        <v>0.35000000000000003</v>
      </c>
      <c r="L68" s="380">
        <f>SUM('Capex Breakups'!$E$11:L11)*Assumptions_Dashboard!$D$110</f>
        <v>0.35000000000000003</v>
      </c>
      <c r="M68" s="380">
        <f>SUM('Capex Breakups'!$E$11:M11)*Assumptions_Dashboard!$D$110</f>
        <v>0.35000000000000003</v>
      </c>
      <c r="N68" s="380">
        <f>SUM('Capex Breakups'!$E$11:N11)*Assumptions_Dashboard!$D$110</f>
        <v>0.35000000000000003</v>
      </c>
      <c r="O68" s="380">
        <f>SUM('Capex Breakups'!$E$11:O11)*Assumptions_Dashboard!$D$110</f>
        <v>0.35000000000000003</v>
      </c>
      <c r="P68" s="380">
        <f>SUM('Capex Breakups'!$E$11:P11)*Assumptions_Dashboard!$D$110</f>
        <v>0.35000000000000003</v>
      </c>
      <c r="Q68" s="380">
        <f>SUM('Capex Breakups'!$E$11:Q11)*Assumptions_Dashboard!$D$110</f>
        <v>0.35000000000000003</v>
      </c>
      <c r="R68" s="380">
        <f>SUM('Capex Breakups'!$E$11:R11)*Assumptions_Dashboard!$D$110</f>
        <v>0.35000000000000003</v>
      </c>
      <c r="S68" s="380">
        <f>SUM('Capex Breakups'!$E$11:S11)*Assumptions_Dashboard!$D$110</f>
        <v>0.35000000000000003</v>
      </c>
      <c r="T68" s="380">
        <f>SUM('Capex Breakups'!$E$11:T11)*Assumptions_Dashboard!$D$110</f>
        <v>0.35000000000000003</v>
      </c>
      <c r="U68" s="380">
        <f>SUM('Capex Breakups'!$E$11:U11)*Assumptions_Dashboard!$D$110</f>
        <v>0.35000000000000003</v>
      </c>
      <c r="V68" s="380">
        <f>SUM('Capex Breakups'!$E$11:V11)*Assumptions_Dashboard!$D$110</f>
        <v>0.35000000000000003</v>
      </c>
      <c r="W68" s="380">
        <f>SUM('Capex Breakups'!$E$11:W11)*Assumptions_Dashboard!$D$110</f>
        <v>0.35000000000000003</v>
      </c>
      <c r="X68" s="380">
        <f>SUM('Capex Breakups'!$E$11:X11)*Assumptions_Dashboard!$D$110</f>
        <v>0.35000000000000003</v>
      </c>
      <c r="Y68" s="380">
        <f>SUM('Capex Breakups'!$E$11:Y11)*Assumptions_Dashboard!$D$110</f>
        <v>0.35000000000000003</v>
      </c>
      <c r="Z68" s="380">
        <f>SUM('Capex Breakups'!$E$11:Z11)*Assumptions_Dashboard!$D$110</f>
        <v>0.35000000000000003</v>
      </c>
      <c r="AA68" s="380">
        <f>SUM('Capex Breakups'!$E$11:AA11)*Assumptions_Dashboard!$D$110</f>
        <v>0.35000000000000003</v>
      </c>
    </row>
    <row r="69" spans="2:27">
      <c r="B69" s="223" t="s">
        <v>676</v>
      </c>
      <c r="C69" s="265" t="s">
        <v>134</v>
      </c>
      <c r="D69" s="224">
        <f t="shared" si="46"/>
        <v>60.800000000000018</v>
      </c>
      <c r="E69" s="302"/>
      <c r="F69" s="302"/>
      <c r="G69" s="302"/>
      <c r="H69" s="302"/>
      <c r="I69" s="302">
        <f>Assumptions_Dashboard!$D$98</f>
        <v>3.2</v>
      </c>
      <c r="J69" s="302">
        <f>Assumptions_Dashboard!$D$98</f>
        <v>3.2</v>
      </c>
      <c r="K69" s="302">
        <f>Assumptions_Dashboard!$D$98</f>
        <v>3.2</v>
      </c>
      <c r="L69" s="302">
        <f>Assumptions_Dashboard!$D$98</f>
        <v>3.2</v>
      </c>
      <c r="M69" s="302">
        <f>Assumptions_Dashboard!$D$98</f>
        <v>3.2</v>
      </c>
      <c r="N69" s="302">
        <f>Assumptions_Dashboard!$D$98</f>
        <v>3.2</v>
      </c>
      <c r="O69" s="302">
        <f>Assumptions_Dashboard!$D$98</f>
        <v>3.2</v>
      </c>
      <c r="P69" s="302">
        <f>Assumptions_Dashboard!$D$98</f>
        <v>3.2</v>
      </c>
      <c r="Q69" s="302">
        <f>Assumptions_Dashboard!$D$98</f>
        <v>3.2</v>
      </c>
      <c r="R69" s="302">
        <f>Assumptions_Dashboard!$D$98</f>
        <v>3.2</v>
      </c>
      <c r="S69" s="302">
        <f>Assumptions_Dashboard!$D$98</f>
        <v>3.2</v>
      </c>
      <c r="T69" s="302">
        <f>Assumptions_Dashboard!$D$98</f>
        <v>3.2</v>
      </c>
      <c r="U69" s="302">
        <f>Assumptions_Dashboard!$D$98</f>
        <v>3.2</v>
      </c>
      <c r="V69" s="302">
        <f>Assumptions_Dashboard!$D$98</f>
        <v>3.2</v>
      </c>
      <c r="W69" s="302">
        <f>Assumptions_Dashboard!$D$98</f>
        <v>3.2</v>
      </c>
      <c r="X69" s="302">
        <f>Assumptions_Dashboard!$D$98</f>
        <v>3.2</v>
      </c>
      <c r="Y69" s="302">
        <f>Assumptions_Dashboard!$D$98</f>
        <v>3.2</v>
      </c>
      <c r="Z69" s="302">
        <f>Assumptions_Dashboard!$D$98</f>
        <v>3.2</v>
      </c>
      <c r="AA69" s="302">
        <f>Assumptions_Dashboard!$D$98</f>
        <v>3.2</v>
      </c>
    </row>
    <row r="70" spans="2:27">
      <c r="B70" s="223" t="s">
        <v>695</v>
      </c>
      <c r="C70" s="265" t="s">
        <v>134</v>
      </c>
      <c r="D70" s="224">
        <f t="shared" ca="1" si="46"/>
        <v>2.7862499999999999</v>
      </c>
      <c r="E70" s="302"/>
      <c r="F70" s="302"/>
      <c r="G70" s="302"/>
      <c r="H70" s="302"/>
      <c r="I70" s="302">
        <f ca="1">Assumptions_Dashboard!$D$104*(Assumptions_Dashboard!$D$103*SUM('Wage-Owner'!N230:N243))/10^7</f>
        <v>0.14474999999999999</v>
      </c>
      <c r="J70" s="302">
        <f ca="1">Assumptions_Dashboard!$D$104*(Assumptions_Dashboard!$D$103*SUM('Wage-Owner'!O230:O243))/10^7</f>
        <v>0.14474999999999999</v>
      </c>
      <c r="K70" s="302">
        <f ca="1">Assumptions_Dashboard!$D$104*(Assumptions_Dashboard!$D$103*SUM('Wage-Owner'!P230:P243))/10^7</f>
        <v>0.14699999999999999</v>
      </c>
      <c r="L70" s="302">
        <f ca="1">Assumptions_Dashboard!$D$104*(Assumptions_Dashboard!$D$103*SUM('Wage-Owner'!Q230:Q243))/10^7</f>
        <v>0.14774999999999999</v>
      </c>
      <c r="M70" s="302">
        <f ca="1">Assumptions_Dashboard!$D$104*(Assumptions_Dashboard!$D$103*SUM('Wage-Owner'!R230:R243))/10^7</f>
        <v>0.14774999999999999</v>
      </c>
      <c r="N70" s="302">
        <f ca="1">Assumptions_Dashboard!$D$104*(Assumptions_Dashboard!$D$103*SUM('Wage-Owner'!S230:S243))/10^7</f>
        <v>0.14699999999999999</v>
      </c>
      <c r="O70" s="302">
        <f ca="1">Assumptions_Dashboard!$D$104*(Assumptions_Dashboard!$D$103*SUM('Wage-Owner'!T230:T243))/10^7</f>
        <v>0.15075</v>
      </c>
      <c r="P70" s="302">
        <f ca="1">Assumptions_Dashboard!$D$104*(Assumptions_Dashboard!$D$103*SUM('Wage-Owner'!U230:U243))/10^7</f>
        <v>0.14699999999999999</v>
      </c>
      <c r="Q70" s="302">
        <f ca="1">Assumptions_Dashboard!$D$104*(Assumptions_Dashboard!$D$103*SUM('Wage-Owner'!V230:V243))/10^7</f>
        <v>0.14699999999999999</v>
      </c>
      <c r="R70" s="302">
        <f ca="1">Assumptions_Dashboard!$D$104*(Assumptions_Dashboard!$D$103*SUM('Wage-Owner'!W230:W243))/10^7</f>
        <v>0.14699999999999999</v>
      </c>
      <c r="S70" s="302">
        <f ca="1">Assumptions_Dashboard!$D$104*(Assumptions_Dashboard!$D$103*SUM('Wage-Owner'!X230:X243))/10^7</f>
        <v>0.14699999999999999</v>
      </c>
      <c r="T70" s="302">
        <f ca="1">Assumptions_Dashboard!$D$104*(Assumptions_Dashboard!$D$103*SUM('Wage-Owner'!Y230:Y243))/10^7</f>
        <v>0.14699999999999999</v>
      </c>
      <c r="U70" s="302">
        <f ca="1">Assumptions_Dashboard!$D$104*(Assumptions_Dashboard!$D$103*SUM('Wage-Owner'!Z230:Z243))/10^7</f>
        <v>0.14699999999999999</v>
      </c>
      <c r="V70" s="302">
        <f ca="1">Assumptions_Dashboard!$D$104*(Assumptions_Dashboard!$D$103*SUM('Wage-Owner'!AA230:AA243))/10^7</f>
        <v>0.14699999999999999</v>
      </c>
      <c r="W70" s="302">
        <f ca="1">Assumptions_Dashboard!$D$104*(Assumptions_Dashboard!$D$103*SUM('Wage-Owner'!AB230:AB243))/10^7</f>
        <v>0.14699999999999999</v>
      </c>
      <c r="X70" s="302">
        <f ca="1">Assumptions_Dashboard!$D$104*(Assumptions_Dashboard!$D$103*SUM('Wage-Owner'!AC230:AC243))/10^7</f>
        <v>0.14699999999999999</v>
      </c>
      <c r="Y70" s="302">
        <f ca="1">Assumptions_Dashboard!$D$104*(Assumptions_Dashboard!$D$103*SUM('Wage-Owner'!AD230:AD243))/10^7</f>
        <v>0.14624999999999999</v>
      </c>
      <c r="Z70" s="302">
        <f ca="1">Assumptions_Dashboard!$D$104*(Assumptions_Dashboard!$D$103*SUM('Wage-Owner'!AE230:AE243))/10^7</f>
        <v>0.14399999999999999</v>
      </c>
      <c r="AA70" s="302">
        <f ca="1">Assumptions_Dashboard!$D$104*(Assumptions_Dashboard!$D$103*SUM('Wage-Owner'!AF230:AF243))/10^7</f>
        <v>0.14324999999999999</v>
      </c>
    </row>
    <row r="71" spans="2:27">
      <c r="B71" s="223" t="s">
        <v>678</v>
      </c>
      <c r="C71" s="265" t="s">
        <v>134</v>
      </c>
      <c r="D71" s="224">
        <f t="shared" si="46"/>
        <v>338.55660976500002</v>
      </c>
      <c r="E71" s="302">
        <f>Assumptions_Dashboard!$D$96*'Owner OPEX'!E5/10</f>
        <v>0</v>
      </c>
      <c r="F71" s="302">
        <f>Assumptions_Dashboard!$D$96*'Owner OPEX'!F5/10</f>
        <v>0</v>
      </c>
      <c r="G71" s="302">
        <f>Assumptions_Dashboard!$D$96*'Owner OPEX'!G5/10</f>
        <v>0</v>
      </c>
      <c r="H71" s="302">
        <f>Assumptions_Dashboard!$D$96*'Owner OPEX'!H5/10</f>
        <v>0</v>
      </c>
      <c r="I71" s="302">
        <f>Assumptions_Dashboard!$D$96*'Owner OPEX'!I5/10</f>
        <v>2.9999996324999998</v>
      </c>
      <c r="J71" s="302">
        <f>Assumptions_Dashboard!$D$96*'Owner OPEX'!J5/10</f>
        <v>5.9999979825</v>
      </c>
      <c r="K71" s="302">
        <f>Assumptions_Dashboard!$D$96*'Owner OPEX'!K5/10</f>
        <v>12.000001095</v>
      </c>
      <c r="L71" s="302">
        <f>Assumptions_Dashboard!$D$96*'Owner OPEX'!L5/10</f>
        <v>17.999997794999999</v>
      </c>
      <c r="M71" s="302">
        <f>Assumptions_Dashboard!$D$96*'Owner OPEX'!M5/10</f>
        <v>22.499992755000001</v>
      </c>
      <c r="N71" s="302">
        <f>Assumptions_Dashboard!$D$96*'Owner OPEX'!N5/10</f>
        <v>22.500010710000002</v>
      </c>
      <c r="O71" s="302">
        <f>Assumptions_Dashboard!$D$96*'Owner OPEX'!O5/10</f>
        <v>22.499997885000003</v>
      </c>
      <c r="P71" s="302">
        <f>Assumptions_Dashboard!$D$96*'Owner OPEX'!P5/10</f>
        <v>22.49999532</v>
      </c>
      <c r="Q71" s="302">
        <f>Assumptions_Dashboard!$D$96*'Owner OPEX'!Q5/10</f>
        <v>22.50000558</v>
      </c>
      <c r="R71" s="302">
        <f>Assumptions_Dashboard!$D$96*'Owner OPEX'!R5/10</f>
        <v>22.499992755000001</v>
      </c>
      <c r="S71" s="302">
        <f>Assumptions_Dashboard!$D$96*'Owner OPEX'!S5/10</f>
        <v>22.49999532</v>
      </c>
      <c r="T71" s="302">
        <f>Assumptions_Dashboard!$D$96*'Owner OPEX'!T5/10</f>
        <v>22.500003014999997</v>
      </c>
      <c r="U71" s="302">
        <f>Assumptions_Dashboard!$D$96*'Owner OPEX'!U5/10</f>
        <v>22.500023535</v>
      </c>
      <c r="V71" s="302">
        <f>Assumptions_Dashboard!$D$96*'Owner OPEX'!V5/10</f>
        <v>22.500003014999997</v>
      </c>
      <c r="W71" s="302">
        <f>Assumptions_Dashboard!$D$96*'Owner OPEX'!W5/10</f>
        <v>22.500003014999997</v>
      </c>
      <c r="X71" s="302">
        <f>Assumptions_Dashboard!$D$96*'Owner OPEX'!X5/10</f>
        <v>22.500000449999995</v>
      </c>
      <c r="Y71" s="302">
        <f>Assumptions_Dashboard!$D$96*'Owner OPEX'!Y5/10</f>
        <v>14.999999445</v>
      </c>
      <c r="Z71" s="302">
        <f>Assumptions_Dashboard!$D$96*'Owner OPEX'!Z5/10</f>
        <v>11.250004072500001</v>
      </c>
      <c r="AA71" s="302">
        <f>Assumptions_Dashboard!$D$96*'Owner OPEX'!AA5/10</f>
        <v>3.3065863874999999</v>
      </c>
    </row>
    <row r="72" spans="2:27">
      <c r="B72" s="223" t="s">
        <v>262</v>
      </c>
      <c r="C72" s="265" t="s">
        <v>134</v>
      </c>
      <c r="D72" s="224">
        <f t="shared" si="46"/>
        <v>73.735690764682019</v>
      </c>
      <c r="E72" s="302">
        <v>0</v>
      </c>
      <c r="F72" s="302">
        <v>0</v>
      </c>
      <c r="G72" s="302">
        <v>0</v>
      </c>
      <c r="H72" s="302">
        <v>0</v>
      </c>
      <c r="I72" s="302">
        <f>'R&amp;R'!H8</f>
        <v>2</v>
      </c>
      <c r="J72" s="302">
        <f>'R&amp;R'!I8</f>
        <v>2</v>
      </c>
      <c r="K72" s="302">
        <f>'R&amp;R'!J8</f>
        <v>2</v>
      </c>
      <c r="L72" s="302">
        <f>'R&amp;R'!K8</f>
        <v>3</v>
      </c>
      <c r="M72" s="302">
        <f>'R&amp;R'!L8</f>
        <v>3</v>
      </c>
      <c r="N72" s="302">
        <f>'R&amp;R'!M8</f>
        <v>3.15</v>
      </c>
      <c r="O72" s="302">
        <f>'R&amp;R'!N8</f>
        <v>3.3075000000000001</v>
      </c>
      <c r="P72" s="302">
        <f>'R&amp;R'!O8</f>
        <v>3.4728750000000002</v>
      </c>
      <c r="Q72" s="302">
        <f>'R&amp;R'!P8</f>
        <v>3.6465187500000003</v>
      </c>
      <c r="R72" s="302">
        <f>'R&amp;R'!Q8</f>
        <v>3.8288446875000002</v>
      </c>
      <c r="S72" s="302">
        <f>'R&amp;R'!R8</f>
        <v>4.0202869218749999</v>
      </c>
      <c r="T72" s="302">
        <f>'R&amp;R'!S8</f>
        <v>4.2213012679687498</v>
      </c>
      <c r="U72" s="302">
        <f>'R&amp;R'!T8</f>
        <v>4.4323663313671871</v>
      </c>
      <c r="V72" s="302">
        <f>'R&amp;R'!U8</f>
        <v>4.6539846479355464</v>
      </c>
      <c r="W72" s="302">
        <f>'R&amp;R'!V8</f>
        <v>4.886683880332324</v>
      </c>
      <c r="X72" s="302">
        <f>'R&amp;R'!W8</f>
        <v>5.1310180743489404</v>
      </c>
      <c r="Y72" s="302">
        <f>'R&amp;R'!X8</f>
        <v>5.3875689780663878</v>
      </c>
      <c r="Z72" s="302">
        <f>'R&amp;R'!Y8</f>
        <v>5.6569474269697073</v>
      </c>
      <c r="AA72" s="302">
        <f>'R&amp;R'!Z8</f>
        <v>5.9397947983181929</v>
      </c>
    </row>
    <row r="73" spans="2:27">
      <c r="B73" s="223" t="s">
        <v>255</v>
      </c>
      <c r="C73" s="265" t="s">
        <v>134</v>
      </c>
      <c r="D73" s="224">
        <f t="shared" ca="1" si="46"/>
        <v>1283.9464322245701</v>
      </c>
      <c r="E73" s="302">
        <f>SUM(E56:E72)*Assumptions_Dashboard!$D$99</f>
        <v>0</v>
      </c>
      <c r="F73" s="302">
        <f>SUM(F56:F72)*Assumptions_Dashboard!$D$99</f>
        <v>0</v>
      </c>
      <c r="G73" s="302">
        <f>SUM(G56:G72)*Assumptions_Dashboard!$D$99</f>
        <v>0</v>
      </c>
      <c r="H73" s="302">
        <f>SUM(H56:H72)*Assumptions_Dashboard!$D$99</f>
        <v>0</v>
      </c>
      <c r="I73" s="302">
        <f ca="1">SUM(I56:I72)*Assumptions_Dashboard!$D$99</f>
        <v>23.772976814115395</v>
      </c>
      <c r="J73" s="302">
        <f ca="1">SUM(J56:J72)*Assumptions_Dashboard!$D$99</f>
        <v>25.263011022100113</v>
      </c>
      <c r="K73" s="302">
        <f ca="1">SUM(K56:K72)*Assumptions_Dashboard!$D$99</f>
        <v>37.636997067310482</v>
      </c>
      <c r="L73" s="302">
        <f ca="1">SUM(L56:L72)*Assumptions_Dashboard!$D$99</f>
        <v>67.979196723257289</v>
      </c>
      <c r="M73" s="302">
        <f ca="1">SUM(M56:M72)*Assumptions_Dashboard!$D$99</f>
        <v>71.703031236412599</v>
      </c>
      <c r="N73" s="302">
        <f ca="1">SUM(N56:N72)*Assumptions_Dashboard!$D$99</f>
        <v>88.028605341215197</v>
      </c>
      <c r="O73" s="302">
        <f ca="1">SUM(O56:O72)*Assumptions_Dashboard!$D$99</f>
        <v>97.397073411533498</v>
      </c>
      <c r="P73" s="302">
        <f ca="1">SUM(P56:P72)*Assumptions_Dashboard!$D$99</f>
        <v>90.668870408268603</v>
      </c>
      <c r="Q73" s="302">
        <f ca="1">SUM(Q56:Q72)*Assumptions_Dashboard!$D$99</f>
        <v>93.612259045435067</v>
      </c>
      <c r="R73" s="302">
        <f ca="1">SUM(R56:R72)*Assumptions_Dashboard!$D$99</f>
        <v>89.907322820860813</v>
      </c>
      <c r="S73" s="302">
        <f ca="1">SUM(S56:S72)*Assumptions_Dashboard!$D$99</f>
        <v>90.040665151714038</v>
      </c>
      <c r="T73" s="302">
        <f ca="1">SUM(T56:T72)*Assumptions_Dashboard!$D$99</f>
        <v>79.274316951964451</v>
      </c>
      <c r="U73" s="302">
        <f ca="1">SUM(U56:U72)*Assumptions_Dashboard!$D$99</f>
        <v>75.473839432174941</v>
      </c>
      <c r="V73" s="302">
        <f ca="1">SUM(V56:V72)*Assumptions_Dashboard!$D$99</f>
        <v>82.661994231239163</v>
      </c>
      <c r="W73" s="302">
        <f ca="1">SUM(W56:W72)*Assumptions_Dashboard!$D$99</f>
        <v>75.329142409043527</v>
      </c>
      <c r="X73" s="302">
        <f ca="1">SUM(X56:X72)*Assumptions_Dashboard!$D$99</f>
        <v>84.94466384915421</v>
      </c>
      <c r="Y73" s="302">
        <f ca="1">SUM(Y56:Y72)*Assumptions_Dashboard!$D$99</f>
        <v>59.819758472087287</v>
      </c>
      <c r="Z73" s="302">
        <f ca="1">SUM(Z56:Z72)*Assumptions_Dashboard!$D$99</f>
        <v>30.662676709730135</v>
      </c>
      <c r="AA73" s="302">
        <f ca="1">SUM(AA56:AA72)*Assumptions_Dashboard!$D$99</f>
        <v>19.770031126953462</v>
      </c>
    </row>
    <row r="74" spans="2:27">
      <c r="B74" s="1275" t="s">
        <v>671</v>
      </c>
      <c r="C74" s="1276" t="s">
        <v>134</v>
      </c>
      <c r="D74" s="1256">
        <f ca="1">SUM(E74:AR74)</f>
        <v>9843.5893137217081</v>
      </c>
      <c r="E74" s="776">
        <f t="shared" ref="E74:AA74" si="48">SUM(E56:E73)</f>
        <v>0</v>
      </c>
      <c r="F74" s="776">
        <f t="shared" si="48"/>
        <v>0</v>
      </c>
      <c r="G74" s="776">
        <f t="shared" si="48"/>
        <v>0</v>
      </c>
      <c r="H74" s="776">
        <f t="shared" si="48"/>
        <v>0</v>
      </c>
      <c r="I74" s="776">
        <f t="shared" ca="1" si="48"/>
        <v>182.25948890821803</v>
      </c>
      <c r="J74" s="776">
        <f t="shared" ca="1" si="48"/>
        <v>193.68308450276751</v>
      </c>
      <c r="K74" s="776">
        <f t="shared" ca="1" si="48"/>
        <v>288.55031084938037</v>
      </c>
      <c r="L74" s="776">
        <f t="shared" ca="1" si="48"/>
        <v>521.17384154497256</v>
      </c>
      <c r="M74" s="776">
        <f t="shared" ca="1" si="48"/>
        <v>549.72323947916323</v>
      </c>
      <c r="N74" s="776">
        <f t="shared" ca="1" si="48"/>
        <v>674.88597428264984</v>
      </c>
      <c r="O74" s="776">
        <f t="shared" ca="1" si="48"/>
        <v>746.71089615509015</v>
      </c>
      <c r="P74" s="776">
        <f t="shared" ca="1" si="48"/>
        <v>695.12800646339269</v>
      </c>
      <c r="Q74" s="776">
        <f t="shared" ca="1" si="48"/>
        <v>717.69398601500222</v>
      </c>
      <c r="R74" s="776">
        <f t="shared" ca="1" si="48"/>
        <v>689.28947495993293</v>
      </c>
      <c r="S74" s="776">
        <f t="shared" ca="1" si="48"/>
        <v>690.31176616314099</v>
      </c>
      <c r="T74" s="776">
        <f t="shared" ca="1" si="48"/>
        <v>607.7697632983942</v>
      </c>
      <c r="U74" s="776">
        <f t="shared" ca="1" si="48"/>
        <v>578.63276898000788</v>
      </c>
      <c r="V74" s="776">
        <f t="shared" ca="1" si="48"/>
        <v>633.74195577283365</v>
      </c>
      <c r="W74" s="776">
        <f t="shared" ca="1" si="48"/>
        <v>577.52342513600036</v>
      </c>
      <c r="X74" s="776">
        <f t="shared" ca="1" si="48"/>
        <v>651.24242284351567</v>
      </c>
      <c r="Y74" s="776">
        <f t="shared" ca="1" si="48"/>
        <v>458.61814828600257</v>
      </c>
      <c r="Z74" s="776">
        <f t="shared" ca="1" si="48"/>
        <v>235.08052144126438</v>
      </c>
      <c r="AA74" s="776">
        <f t="shared" ca="1" si="48"/>
        <v>151.57023863997654</v>
      </c>
    </row>
    <row r="75" spans="2:27">
      <c r="B75" s="200" t="s">
        <v>680</v>
      </c>
      <c r="C75" s="265"/>
      <c r="D75" s="224">
        <f t="shared" si="46"/>
        <v>0</v>
      </c>
    </row>
    <row r="76" spans="2:27">
      <c r="B76" s="1267" t="s">
        <v>321</v>
      </c>
      <c r="C76" s="1273" t="s">
        <v>134</v>
      </c>
      <c r="D76" s="783">
        <f>SUM(E76:AR76)</f>
        <v>4616.6258843504302</v>
      </c>
      <c r="E76" s="445">
        <f>Government!E18</f>
        <v>0</v>
      </c>
      <c r="F76" s="445">
        <f>Government!F18</f>
        <v>0</v>
      </c>
      <c r="G76" s="445">
        <f>Government!G18</f>
        <v>0</v>
      </c>
      <c r="H76" s="445">
        <f>Government!H18</f>
        <v>0</v>
      </c>
      <c r="I76" s="445">
        <f>Government!I18</f>
        <v>21.671997345179999</v>
      </c>
      <c r="J76" s="445">
        <f>Government!J18</f>
        <v>43.343985425579994</v>
      </c>
      <c r="K76" s="445">
        <f>Government!K18</f>
        <v>139.32199859131998</v>
      </c>
      <c r="L76" s="445">
        <f>Government!L18</f>
        <v>260.06396814215998</v>
      </c>
      <c r="M76" s="445">
        <f>Government!M18</f>
        <v>325.07989532424</v>
      </c>
      <c r="N76" s="445">
        <f>Government!N18</f>
        <v>325.08015473808001</v>
      </c>
      <c r="O76" s="445">
        <f>Government!O18</f>
        <v>325.07996944247998</v>
      </c>
      <c r="P76" s="445">
        <f>Government!P18</f>
        <v>325.07993238335996</v>
      </c>
      <c r="Q76" s="445">
        <f>Government!Q18</f>
        <v>325.08008061983998</v>
      </c>
      <c r="R76" s="445">
        <f>Government!R18</f>
        <v>325.07989532424</v>
      </c>
      <c r="S76" s="445">
        <f>Government!S18</f>
        <v>325.07993238335996</v>
      </c>
      <c r="T76" s="445">
        <f>Government!T18</f>
        <v>325.08004356071996</v>
      </c>
      <c r="U76" s="445">
        <f>Government!U18</f>
        <v>325.08034003367999</v>
      </c>
      <c r="V76" s="445">
        <f>Government!V18</f>
        <v>325.08004356071996</v>
      </c>
      <c r="W76" s="445">
        <f>Government!W18</f>
        <v>237.19503178412998</v>
      </c>
      <c r="X76" s="445">
        <f>Government!X18</f>
        <v>237.19500474389997</v>
      </c>
      <c r="Y76" s="445">
        <f>Government!Y18</f>
        <v>216.71999198136001</v>
      </c>
      <c r="Z76" s="445">
        <f>Government!Z18</f>
        <v>162.54005883948</v>
      </c>
      <c r="AA76" s="445">
        <f>Government!AA18</f>
        <v>47.773560126599989</v>
      </c>
    </row>
    <row r="77" spans="2:27">
      <c r="B77" s="223" t="s">
        <v>324</v>
      </c>
      <c r="C77" s="265" t="s">
        <v>134</v>
      </c>
      <c r="D77" s="268">
        <f t="shared" si="46"/>
        <v>830.99265918307742</v>
      </c>
      <c r="E77" s="302">
        <f>Government!E19</f>
        <v>0</v>
      </c>
      <c r="F77" s="302">
        <f>Government!F19</f>
        <v>0</v>
      </c>
      <c r="G77" s="302">
        <f>Government!G19</f>
        <v>0</v>
      </c>
      <c r="H77" s="302">
        <f>Government!H19</f>
        <v>0</v>
      </c>
      <c r="I77" s="302">
        <f>Government!I19</f>
        <v>3.9009595221323998</v>
      </c>
      <c r="J77" s="302">
        <f>Government!J19</f>
        <v>7.8019173766043988</v>
      </c>
      <c r="K77" s="302">
        <f>Government!K19</f>
        <v>25.077959746437596</v>
      </c>
      <c r="L77" s="302">
        <f>Government!L19</f>
        <v>46.811514265588798</v>
      </c>
      <c r="M77" s="302">
        <f>Government!M19</f>
        <v>58.5143811583632</v>
      </c>
      <c r="N77" s="302">
        <f>Government!N19</f>
        <v>58.514427852854396</v>
      </c>
      <c r="O77" s="302">
        <f>Government!O19</f>
        <v>58.514394499646393</v>
      </c>
      <c r="P77" s="302">
        <f>Government!P19</f>
        <v>58.514387829004789</v>
      </c>
      <c r="Q77" s="302">
        <f>Government!Q19</f>
        <v>58.514414511571196</v>
      </c>
      <c r="R77" s="302">
        <f>Government!R19</f>
        <v>58.5143811583632</v>
      </c>
      <c r="S77" s="302">
        <f>Government!S19</f>
        <v>58.514387829004789</v>
      </c>
      <c r="T77" s="302">
        <f>Government!T19</f>
        <v>58.514407840929593</v>
      </c>
      <c r="U77" s="302">
        <f>Government!U19</f>
        <v>58.514461206062393</v>
      </c>
      <c r="V77" s="302">
        <f>Government!V19</f>
        <v>58.514407840929593</v>
      </c>
      <c r="W77" s="302">
        <f>Government!W19</f>
        <v>42.695105721143392</v>
      </c>
      <c r="X77" s="302">
        <f>Government!X19</f>
        <v>42.695100853901991</v>
      </c>
      <c r="Y77" s="302">
        <f>Government!Y19</f>
        <v>39.009598556644804</v>
      </c>
      <c r="Z77" s="302">
        <f>Government!Z19</f>
        <v>29.2572105911064</v>
      </c>
      <c r="AA77" s="302">
        <f>Government!AA19</f>
        <v>8.5992408227879977</v>
      </c>
    </row>
    <row r="78" spans="2:27">
      <c r="B78" s="223" t="s">
        <v>319</v>
      </c>
      <c r="C78" s="265" t="s">
        <v>134</v>
      </c>
      <c r="D78" s="268">
        <f t="shared" si="46"/>
        <v>3143.7972562336199</v>
      </c>
      <c r="E78" s="302">
        <f>Government!E20</f>
        <v>0</v>
      </c>
      <c r="F78" s="302">
        <f>Government!F20</f>
        <v>0</v>
      </c>
      <c r="G78" s="302">
        <f>Government!G20</f>
        <v>0</v>
      </c>
      <c r="H78" s="302">
        <f>Government!H20</f>
        <v>0</v>
      </c>
      <c r="I78" s="302">
        <f>Government!I20</f>
        <v>28.895996460240003</v>
      </c>
      <c r="J78" s="302">
        <f>Government!J20</f>
        <v>57.79198056744</v>
      </c>
      <c r="K78" s="302">
        <f>Government!K20</f>
        <v>115.58401054704002</v>
      </c>
      <c r="L78" s="302">
        <f>Government!L20</f>
        <v>173.37597876144002</v>
      </c>
      <c r="M78" s="302">
        <f>Government!M20</f>
        <v>216.71993021615998</v>
      </c>
      <c r="N78" s="302">
        <f>Government!N20</f>
        <v>216.72010315872004</v>
      </c>
      <c r="O78" s="302">
        <f>Government!O20</f>
        <v>216.71997962832</v>
      </c>
      <c r="P78" s="302">
        <f>Government!P20</f>
        <v>216.71995492223999</v>
      </c>
      <c r="Q78" s="302">
        <f>Government!Q20</f>
        <v>216.72005374656001</v>
      </c>
      <c r="R78" s="302">
        <f>Government!R20</f>
        <v>216.71993021615998</v>
      </c>
      <c r="S78" s="302">
        <f>Government!S20</f>
        <v>216.71995492223999</v>
      </c>
      <c r="T78" s="302">
        <f>Government!T20</f>
        <v>216.72002904048</v>
      </c>
      <c r="U78" s="302">
        <f>Government!U20</f>
        <v>216.72022668912001</v>
      </c>
      <c r="V78" s="302">
        <f>Government!V20</f>
        <v>216.72002904048</v>
      </c>
      <c r="W78" s="302">
        <f>Government!W20</f>
        <v>158.13002118942001</v>
      </c>
      <c r="X78" s="302">
        <f>Government!X20</f>
        <v>158.13000316259999</v>
      </c>
      <c r="Y78" s="302">
        <f>Government!Y20</f>
        <v>144.47999465424002</v>
      </c>
      <c r="Z78" s="302">
        <f>Government!Z20</f>
        <v>108.36003922632001</v>
      </c>
      <c r="AA78" s="302">
        <f>Government!AA20</f>
        <v>31.849040084399995</v>
      </c>
    </row>
    <row r="79" spans="2:27">
      <c r="B79" s="223" t="s">
        <v>682</v>
      </c>
      <c r="C79" s="265" t="s">
        <v>134</v>
      </c>
      <c r="D79" s="268">
        <f t="shared" si="46"/>
        <v>314.37972562336205</v>
      </c>
      <c r="E79" s="302">
        <f>Government!E21</f>
        <v>0</v>
      </c>
      <c r="F79" s="302">
        <f>Government!F21</f>
        <v>0</v>
      </c>
      <c r="G79" s="302">
        <f>Government!G21</f>
        <v>0</v>
      </c>
      <c r="H79" s="302">
        <f>Government!H21</f>
        <v>0</v>
      </c>
      <c r="I79" s="302">
        <f>Government!I21</f>
        <v>2.8895996460240005</v>
      </c>
      <c r="J79" s="302">
        <f>Government!J21</f>
        <v>5.7791980567440007</v>
      </c>
      <c r="K79" s="302">
        <f>Government!K21</f>
        <v>11.558401054704003</v>
      </c>
      <c r="L79" s="302">
        <f>Government!L21</f>
        <v>17.337597876144002</v>
      </c>
      <c r="M79" s="302">
        <f>Government!M21</f>
        <v>21.671993021616</v>
      </c>
      <c r="N79" s="302">
        <f>Government!N21</f>
        <v>21.672010315872004</v>
      </c>
      <c r="O79" s="302">
        <f>Government!O21</f>
        <v>21.671997962832002</v>
      </c>
      <c r="P79" s="302">
        <f>Government!P21</f>
        <v>21.671995492223999</v>
      </c>
      <c r="Q79" s="302">
        <f>Government!Q21</f>
        <v>21.672005374656003</v>
      </c>
      <c r="R79" s="302">
        <f>Government!R21</f>
        <v>21.671993021616</v>
      </c>
      <c r="S79" s="302">
        <f>Government!S21</f>
        <v>21.671995492223999</v>
      </c>
      <c r="T79" s="302">
        <f>Government!T21</f>
        <v>21.672002904048</v>
      </c>
      <c r="U79" s="302">
        <f>Government!U21</f>
        <v>21.672022668912003</v>
      </c>
      <c r="V79" s="302">
        <f>Government!V21</f>
        <v>21.672002904048</v>
      </c>
      <c r="W79" s="302">
        <f>Government!W21</f>
        <v>15.813002118942002</v>
      </c>
      <c r="X79" s="302">
        <f>Government!X21</f>
        <v>15.81300031626</v>
      </c>
      <c r="Y79" s="302">
        <f>Government!Y21</f>
        <v>14.447999465424003</v>
      </c>
      <c r="Z79" s="302">
        <f>Government!Z21</f>
        <v>10.836003922632003</v>
      </c>
      <c r="AA79" s="302">
        <f>Government!AA21</f>
        <v>3.1849040084399998</v>
      </c>
    </row>
    <row r="80" spans="2:27">
      <c r="B80" s="223" t="s">
        <v>683</v>
      </c>
      <c r="C80" s="265" t="s">
        <v>134</v>
      </c>
      <c r="D80" s="268">
        <f t="shared" si="46"/>
        <v>94.313917687008583</v>
      </c>
      <c r="E80" s="302">
        <f>Government!E22</f>
        <v>0</v>
      </c>
      <c r="F80" s="302">
        <f>Government!F22</f>
        <v>0</v>
      </c>
      <c r="G80" s="302">
        <f>Government!G22</f>
        <v>0</v>
      </c>
      <c r="H80" s="302">
        <f>Government!H22</f>
        <v>0</v>
      </c>
      <c r="I80" s="302">
        <f>Government!I22</f>
        <v>0.8668798938072001</v>
      </c>
      <c r="J80" s="302">
        <f>Government!J22</f>
        <v>1.7337594170232</v>
      </c>
      <c r="K80" s="302">
        <f>Government!K22</f>
        <v>3.4675203164112007</v>
      </c>
      <c r="L80" s="302">
        <f>Government!L22</f>
        <v>5.2012793628432004</v>
      </c>
      <c r="M80" s="302">
        <f>Government!M22</f>
        <v>6.5015979064847995</v>
      </c>
      <c r="N80" s="302">
        <f>Government!N22</f>
        <v>6.5016030947616006</v>
      </c>
      <c r="O80" s="302">
        <f>Government!O22</f>
        <v>6.5015993888496002</v>
      </c>
      <c r="P80" s="302">
        <f>Government!P22</f>
        <v>6.5015986476671994</v>
      </c>
      <c r="Q80" s="302">
        <f>Government!Q22</f>
        <v>6.5016016123967999</v>
      </c>
      <c r="R80" s="302">
        <f>Government!R22</f>
        <v>6.5015979064847995</v>
      </c>
      <c r="S80" s="302">
        <f>Government!S22</f>
        <v>6.5015986476671994</v>
      </c>
      <c r="T80" s="302">
        <f>Government!T22</f>
        <v>6.5016008712144</v>
      </c>
      <c r="U80" s="302">
        <f>Government!U22</f>
        <v>6.5016068006736001</v>
      </c>
      <c r="V80" s="302">
        <f>Government!V22</f>
        <v>6.5016008712144</v>
      </c>
      <c r="W80" s="302">
        <f>Government!W22</f>
        <v>4.7439006356825999</v>
      </c>
      <c r="X80" s="302">
        <f>Government!X22</f>
        <v>4.7439000948779997</v>
      </c>
      <c r="Y80" s="302">
        <f>Government!Y22</f>
        <v>4.3343998396272001</v>
      </c>
      <c r="Z80" s="302">
        <f>Government!Z22</f>
        <v>3.2508011767896003</v>
      </c>
      <c r="AA80" s="302">
        <f>Government!AA22</f>
        <v>0.9554712025319998</v>
      </c>
    </row>
    <row r="81" spans="2:27">
      <c r="B81" s="368" t="s">
        <v>342</v>
      </c>
      <c r="C81" s="265" t="s">
        <v>134</v>
      </c>
      <c r="D81" s="381">
        <f t="shared" si="46"/>
        <v>3.9824000000000002</v>
      </c>
      <c r="E81" s="302">
        <f>Government!E24</f>
        <v>0</v>
      </c>
      <c r="F81" s="302">
        <f>Government!F24</f>
        <v>0</v>
      </c>
      <c r="G81" s="302">
        <f>Government!G24</f>
        <v>0</v>
      </c>
      <c r="H81" s="302">
        <f>Government!H24</f>
        <v>0</v>
      </c>
      <c r="I81" s="716">
        <f>Government!I24</f>
        <v>0.20960000000000001</v>
      </c>
      <c r="J81" s="716">
        <f>Government!J24</f>
        <v>0.20960000000000001</v>
      </c>
      <c r="K81" s="716">
        <f>Government!K24</f>
        <v>0.20960000000000001</v>
      </c>
      <c r="L81" s="716">
        <f>Government!L24</f>
        <v>0.20960000000000001</v>
      </c>
      <c r="M81" s="716">
        <f>Government!M24</f>
        <v>0.20960000000000001</v>
      </c>
      <c r="N81" s="716">
        <f>Government!N24</f>
        <v>0.20960000000000001</v>
      </c>
      <c r="O81" s="716">
        <f>Government!O24</f>
        <v>0.20960000000000001</v>
      </c>
      <c r="P81" s="716">
        <f>Government!P24</f>
        <v>0.20960000000000001</v>
      </c>
      <c r="Q81" s="716">
        <f>Government!Q24</f>
        <v>0.20960000000000001</v>
      </c>
      <c r="R81" s="716">
        <f>Government!R24</f>
        <v>0.20960000000000001</v>
      </c>
      <c r="S81" s="716">
        <f>Government!S24</f>
        <v>0.20960000000000001</v>
      </c>
      <c r="T81" s="716">
        <f>Government!T24</f>
        <v>0.20960000000000001</v>
      </c>
      <c r="U81" s="716">
        <f>Government!U24</f>
        <v>0.20960000000000001</v>
      </c>
      <c r="V81" s="716">
        <f>Government!V24</f>
        <v>0.20960000000000001</v>
      </c>
      <c r="W81" s="716">
        <f>Government!W24</f>
        <v>0.20960000000000001</v>
      </c>
      <c r="X81" s="716">
        <f>Government!X24</f>
        <v>0.20960000000000001</v>
      </c>
      <c r="Y81" s="716">
        <f>Government!Y24</f>
        <v>0.20960000000000001</v>
      </c>
      <c r="Z81" s="716">
        <f>Government!Z24</f>
        <v>0.20960000000000001</v>
      </c>
      <c r="AA81" s="716">
        <f>Government!AA24</f>
        <v>0.20960000000000001</v>
      </c>
    </row>
    <row r="82" spans="2:27">
      <c r="B82" s="368" t="s">
        <v>684</v>
      </c>
      <c r="C82" s="265" t="s">
        <v>134</v>
      </c>
      <c r="D82" s="268">
        <f>SUM(E82:AR82)</f>
        <v>640.16519391791826</v>
      </c>
      <c r="E82" s="302">
        <f>Government!E30</f>
        <v>0</v>
      </c>
      <c r="F82" s="302">
        <f>Government!F30</f>
        <v>0</v>
      </c>
      <c r="G82" s="302">
        <f>Government!G30</f>
        <v>0</v>
      </c>
      <c r="H82" s="302">
        <f>Government!H30</f>
        <v>0</v>
      </c>
      <c r="I82" s="302">
        <f>Government!I30</f>
        <v>5.915173680012817</v>
      </c>
      <c r="J82" s="302">
        <f>Government!J30</f>
        <v>11.792616847417294</v>
      </c>
      <c r="K82" s="302">
        <f>Government!K30</f>
        <v>23.54751574526794</v>
      </c>
      <c r="L82" s="302">
        <f>Government!L30</f>
        <v>35.302402080076895</v>
      </c>
      <c r="M82" s="302">
        <f>Government!M30</f>
        <v>44.118561805966934</v>
      </c>
      <c r="N82" s="302">
        <f>Government!N30</f>
        <v>44.118596982483652</v>
      </c>
      <c r="O82" s="302">
        <f>Government!O30</f>
        <v>44.118571856400287</v>
      </c>
      <c r="P82" s="302">
        <f>Government!P30</f>
        <v>44.118566831183614</v>
      </c>
      <c r="Q82" s="302">
        <f>Government!Q30</f>
        <v>44.118586932050306</v>
      </c>
      <c r="R82" s="302">
        <f>Government!R30</f>
        <v>44.118561805966934</v>
      </c>
      <c r="S82" s="302">
        <f>Government!S30</f>
        <v>44.118566831183614</v>
      </c>
      <c r="T82" s="302">
        <f>Government!T30</f>
        <v>44.118581906833633</v>
      </c>
      <c r="U82" s="302">
        <f>Government!U30</f>
        <v>44.11862210856701</v>
      </c>
      <c r="V82" s="302">
        <f>Government!V30</f>
        <v>44.118581906833633</v>
      </c>
      <c r="W82" s="302">
        <f>Government!W30</f>
        <v>32.201374309928028</v>
      </c>
      <c r="X82" s="302">
        <f>Government!X30</f>
        <v>32.201370643272838</v>
      </c>
      <c r="Y82" s="302">
        <f>Government!Y30</f>
        <v>29.424958912672416</v>
      </c>
      <c r="Z82" s="302">
        <f>Government!Z30</f>
        <v>22.078159978633487</v>
      </c>
      <c r="AA82" s="302">
        <f>Government!AA30</f>
        <v>6.5158227531669599</v>
      </c>
    </row>
    <row r="83" spans="2:27">
      <c r="B83" s="223" t="s">
        <v>685</v>
      </c>
      <c r="C83" s="265" t="s">
        <v>134</v>
      </c>
      <c r="D83" s="268">
        <f>SUM(E83:AR83)</f>
        <v>292.59818496275693</v>
      </c>
      <c r="E83" s="302">
        <f>Government!E35</f>
        <v>0</v>
      </c>
      <c r="F83" s="302">
        <f>Government!F35</f>
        <v>0</v>
      </c>
      <c r="G83" s="302">
        <f>Government!G35</f>
        <v>0</v>
      </c>
      <c r="H83" s="302">
        <f>Government!H35</f>
        <v>0</v>
      </c>
      <c r="I83" s="302">
        <f>Government!I35</f>
        <v>9.5811306042885018</v>
      </c>
      <c r="J83" s="302">
        <f>Government!J35</f>
        <v>10.060187134502927</v>
      </c>
      <c r="K83" s="302">
        <f>Government!K35</f>
        <v>10.563196491228075</v>
      </c>
      <c r="L83" s="302">
        <f>Government!L35</f>
        <v>11.091356315789479</v>
      </c>
      <c r="M83" s="302">
        <f>Government!M35</f>
        <v>11.645924131578953</v>
      </c>
      <c r="N83" s="302">
        <f>Government!N35</f>
        <v>12.228220338157902</v>
      </c>
      <c r="O83" s="302">
        <f>Government!O35</f>
        <v>12.839631355065798</v>
      </c>
      <c r="P83" s="302">
        <f>Government!P35</f>
        <v>13.481612922819089</v>
      </c>
      <c r="Q83" s="302">
        <f>Government!Q35</f>
        <v>14.155693568960045</v>
      </c>
      <c r="R83" s="302">
        <f>Government!R35</f>
        <v>14.863478247408048</v>
      </c>
      <c r="S83" s="302">
        <f>Government!S35</f>
        <v>15.606652159778452</v>
      </c>
      <c r="T83" s="302">
        <f>Government!T35</f>
        <v>16.386984767767377</v>
      </c>
      <c r="U83" s="302">
        <f>Government!U35</f>
        <v>17.206334006155746</v>
      </c>
      <c r="V83" s="302">
        <f>Government!V35</f>
        <v>18.066650706463534</v>
      </c>
      <c r="W83" s="302">
        <f>Government!W35</f>
        <v>18.969983241786711</v>
      </c>
      <c r="X83" s="302">
        <f>Government!X35</f>
        <v>19.918482403876048</v>
      </c>
      <c r="Y83" s="302">
        <f>Government!Y35</f>
        <v>20.91440652406985</v>
      </c>
      <c r="Z83" s="302">
        <f>Government!Z35</f>
        <v>21.960126850273344</v>
      </c>
      <c r="AA83" s="302">
        <f>Government!AA35</f>
        <v>23.058133192787011</v>
      </c>
    </row>
    <row r="84" spans="2:27">
      <c r="B84" s="1268" t="s">
        <v>686</v>
      </c>
      <c r="C84" s="1271" t="s">
        <v>134</v>
      </c>
      <c r="D84" s="303">
        <f>SUM(E84:AR84)</f>
        <v>50.002300000000027</v>
      </c>
      <c r="E84" s="1280"/>
      <c r="F84" s="1280"/>
      <c r="G84" s="1280"/>
      <c r="H84" s="1280"/>
      <c r="I84" s="380">
        <f>Assumptions_Dashboard!$D$163*'Pre-Operative'!$D$27</f>
        <v>2.6317000000000004</v>
      </c>
      <c r="J84" s="302">
        <f>Assumptions_Dashboard!$D$163*'Pre-Operative'!$D$27</f>
        <v>2.6317000000000004</v>
      </c>
      <c r="K84" s="302">
        <f>Assumptions_Dashboard!$D$163*'Pre-Operative'!$D$27</f>
        <v>2.6317000000000004</v>
      </c>
      <c r="L84" s="302">
        <f>Assumptions_Dashboard!$D$163*'Pre-Operative'!$D$27</f>
        <v>2.6317000000000004</v>
      </c>
      <c r="M84" s="302">
        <f>Assumptions_Dashboard!$D$163*'Pre-Operative'!$D$27</f>
        <v>2.6317000000000004</v>
      </c>
      <c r="N84" s="302">
        <f>Assumptions_Dashboard!$D$163*'Pre-Operative'!$D$27</f>
        <v>2.6317000000000004</v>
      </c>
      <c r="O84" s="302">
        <f>Assumptions_Dashboard!$D$163*'Pre-Operative'!$D$27</f>
        <v>2.6317000000000004</v>
      </c>
      <c r="P84" s="302">
        <f>Assumptions_Dashboard!$D$163*'Pre-Operative'!$D$27</f>
        <v>2.6317000000000004</v>
      </c>
      <c r="Q84" s="302">
        <f>Assumptions_Dashboard!$D$163*'Pre-Operative'!$D$27</f>
        <v>2.6317000000000004</v>
      </c>
      <c r="R84" s="302">
        <f>Assumptions_Dashboard!$D$163*'Pre-Operative'!$D$27</f>
        <v>2.6317000000000004</v>
      </c>
      <c r="S84" s="302">
        <f>Assumptions_Dashboard!$D$163*'Pre-Operative'!$D$27</f>
        <v>2.6317000000000004</v>
      </c>
      <c r="T84" s="302">
        <f>Assumptions_Dashboard!$D$163*'Pre-Operative'!$D$27</f>
        <v>2.6317000000000004</v>
      </c>
      <c r="U84" s="302">
        <f>Assumptions_Dashboard!$D$163*'Pre-Operative'!$D$27</f>
        <v>2.6317000000000004</v>
      </c>
      <c r="V84" s="302">
        <f>Assumptions_Dashboard!$D$163*'Pre-Operative'!$D$27</f>
        <v>2.6317000000000004</v>
      </c>
      <c r="W84" s="302">
        <f>Assumptions_Dashboard!$D$163*'Pre-Operative'!$D$27</f>
        <v>2.6317000000000004</v>
      </c>
      <c r="X84" s="302">
        <f>Assumptions_Dashboard!$D$163*'Pre-Operative'!$D$27</f>
        <v>2.6317000000000004</v>
      </c>
      <c r="Y84" s="302">
        <f>Assumptions_Dashboard!$D$163*'Pre-Operative'!$D$27</f>
        <v>2.6317000000000004</v>
      </c>
      <c r="Z84" s="302">
        <f>Assumptions_Dashboard!$D$163*'Pre-Operative'!$D$27</f>
        <v>2.6317000000000004</v>
      </c>
      <c r="AA84" s="302">
        <f>Assumptions_Dashboard!$D$163*'Pre-Operative'!$D$27</f>
        <v>2.6317000000000004</v>
      </c>
    </row>
    <row r="85" spans="2:27">
      <c r="B85" s="1275" t="s">
        <v>671</v>
      </c>
      <c r="C85" s="1276" t="s">
        <v>134</v>
      </c>
      <c r="D85" s="1277">
        <f>SUM(E85:AR85)</f>
        <v>9986.8575219581744</v>
      </c>
      <c r="E85" s="445">
        <f t="shared" ref="E85:AA85" si="49">SUM(E76:E84)</f>
        <v>0</v>
      </c>
      <c r="F85" s="445">
        <f t="shared" si="49"/>
        <v>0</v>
      </c>
      <c r="G85" s="445">
        <f t="shared" si="49"/>
        <v>0</v>
      </c>
      <c r="H85" s="445">
        <f t="shared" si="49"/>
        <v>0</v>
      </c>
      <c r="I85" s="445">
        <f t="shared" si="49"/>
        <v>76.563037151684924</v>
      </c>
      <c r="J85" s="445">
        <f t="shared" si="49"/>
        <v>141.14494482531182</v>
      </c>
      <c r="K85" s="445">
        <f t="shared" si="49"/>
        <v>331.96190249240891</v>
      </c>
      <c r="L85" s="445">
        <f t="shared" si="49"/>
        <v>552.02539680404243</v>
      </c>
      <c r="M85" s="445">
        <f t="shared" si="49"/>
        <v>687.09358356440987</v>
      </c>
      <c r="N85" s="445">
        <f t="shared" si="49"/>
        <v>687.67641648092967</v>
      </c>
      <c r="O85" s="445">
        <f t="shared" si="49"/>
        <v>688.28744413359425</v>
      </c>
      <c r="P85" s="445">
        <f t="shared" si="49"/>
        <v>688.92934902849868</v>
      </c>
      <c r="Q85" s="445">
        <f t="shared" si="49"/>
        <v>689.60373636603447</v>
      </c>
      <c r="R85" s="445">
        <f t="shared" si="49"/>
        <v>690.31113768023897</v>
      </c>
      <c r="S85" s="445">
        <f t="shared" si="49"/>
        <v>691.0543882654581</v>
      </c>
      <c r="T85" s="445">
        <f t="shared" si="49"/>
        <v>691.83495089199289</v>
      </c>
      <c r="U85" s="445">
        <f t="shared" si="49"/>
        <v>692.65491351317075</v>
      </c>
      <c r="V85" s="445">
        <f t="shared" si="49"/>
        <v>693.51461683068908</v>
      </c>
      <c r="W85" s="445">
        <f t="shared" si="49"/>
        <v>512.58971900103279</v>
      </c>
      <c r="X85" s="445">
        <f t="shared" si="49"/>
        <v>513.53816221868885</v>
      </c>
      <c r="Y85" s="445">
        <f t="shared" si="49"/>
        <v>472.17264993403842</v>
      </c>
      <c r="Z85" s="445">
        <f t="shared" si="49"/>
        <v>361.12370058523493</v>
      </c>
      <c r="AA85" s="445">
        <f t="shared" si="49"/>
        <v>124.77747219071394</v>
      </c>
    </row>
    <row r="86" spans="2:27">
      <c r="B86" s="117"/>
      <c r="C86" s="117"/>
      <c r="D86" s="230"/>
    </row>
    <row r="87" spans="2:27">
      <c r="B87" s="117" t="s">
        <v>687</v>
      </c>
      <c r="C87" s="117"/>
      <c r="D87" s="230"/>
    </row>
    <row r="88" spans="2:27">
      <c r="B88" s="1267" t="s">
        <v>688</v>
      </c>
      <c r="C88" s="1273" t="s">
        <v>134</v>
      </c>
      <c r="D88" s="1265">
        <f>SUM(E88:AR88)</f>
        <v>0</v>
      </c>
      <c r="E88" s="1281"/>
      <c r="F88" s="1281"/>
      <c r="G88" s="1281"/>
      <c r="H88" s="1281"/>
      <c r="I88" s="1281"/>
      <c r="J88" s="1281"/>
      <c r="K88" s="1281"/>
      <c r="L88" s="1281"/>
      <c r="M88" s="1281"/>
      <c r="N88" s="1281"/>
      <c r="O88" s="1281"/>
      <c r="P88" s="1281"/>
      <c r="Q88" s="1281"/>
      <c r="R88" s="1281"/>
      <c r="S88" s="1281"/>
      <c r="T88" s="1281"/>
      <c r="U88" s="1281"/>
      <c r="V88" s="1281"/>
      <c r="W88" s="1281"/>
      <c r="X88" s="1281"/>
      <c r="Y88" s="1281"/>
      <c r="Z88" s="1281"/>
      <c r="AA88" s="1281"/>
    </row>
    <row r="89" spans="2:27">
      <c r="B89" s="223" t="s">
        <v>689</v>
      </c>
      <c r="C89" s="265" t="s">
        <v>134</v>
      </c>
      <c r="D89" s="307">
        <f>SUM(E89:AR89)</f>
        <v>0</v>
      </c>
    </row>
    <row r="90" spans="2:27">
      <c r="B90" s="1268" t="s">
        <v>690</v>
      </c>
      <c r="C90" s="1271" t="s">
        <v>134</v>
      </c>
      <c r="D90" s="1026">
        <f>SUM(E90:AR90)</f>
        <v>0</v>
      </c>
      <c r="E90" s="1280"/>
      <c r="F90" s="1280"/>
      <c r="G90" s="1280"/>
      <c r="H90" s="1280"/>
      <c r="I90" s="1280"/>
      <c r="J90" s="1280"/>
      <c r="K90" s="1280"/>
      <c r="L90" s="1280"/>
      <c r="M90" s="1280"/>
      <c r="N90" s="1280"/>
      <c r="O90" s="1280"/>
      <c r="P90" s="1280"/>
      <c r="Q90" s="1280"/>
      <c r="R90" s="1280"/>
      <c r="S90" s="1280"/>
      <c r="T90" s="1280"/>
      <c r="U90" s="1280"/>
      <c r="V90" s="1280"/>
      <c r="W90" s="1280"/>
      <c r="X90" s="1280"/>
      <c r="Y90" s="1280"/>
      <c r="Z90" s="1280"/>
      <c r="AA90" s="1280"/>
    </row>
    <row r="91" spans="2:27">
      <c r="B91" s="263" t="s">
        <v>691</v>
      </c>
      <c r="C91" s="265" t="s">
        <v>134</v>
      </c>
      <c r="D91" s="194">
        <f>SUM(E91:AR91)</f>
        <v>0</v>
      </c>
      <c r="E91" s="302">
        <f t="shared" ref="E91:AA91" si="50">SUM(E88:E90)</f>
        <v>0</v>
      </c>
      <c r="F91" s="302">
        <f>SUM(F88:F90)</f>
        <v>0</v>
      </c>
      <c r="G91" s="302">
        <f t="shared" si="50"/>
        <v>0</v>
      </c>
      <c r="H91" s="302">
        <f t="shared" si="50"/>
        <v>0</v>
      </c>
      <c r="I91" s="302">
        <f t="shared" si="50"/>
        <v>0</v>
      </c>
      <c r="J91" s="302">
        <f t="shared" si="50"/>
        <v>0</v>
      </c>
      <c r="K91" s="302">
        <f t="shared" si="50"/>
        <v>0</v>
      </c>
      <c r="L91" s="302">
        <f t="shared" si="50"/>
        <v>0</v>
      </c>
      <c r="M91" s="302">
        <f t="shared" si="50"/>
        <v>0</v>
      </c>
      <c r="N91" s="302">
        <f t="shared" si="50"/>
        <v>0</v>
      </c>
      <c r="O91" s="302">
        <f t="shared" si="50"/>
        <v>0</v>
      </c>
      <c r="P91" s="302">
        <f t="shared" si="50"/>
        <v>0</v>
      </c>
      <c r="Q91" s="302">
        <f t="shared" si="50"/>
        <v>0</v>
      </c>
      <c r="R91" s="302">
        <f t="shared" si="50"/>
        <v>0</v>
      </c>
      <c r="S91" s="302">
        <f t="shared" si="50"/>
        <v>0</v>
      </c>
      <c r="T91" s="302">
        <f t="shared" si="50"/>
        <v>0</v>
      </c>
      <c r="U91" s="302">
        <f t="shared" si="50"/>
        <v>0</v>
      </c>
      <c r="V91" s="302">
        <f t="shared" si="50"/>
        <v>0</v>
      </c>
      <c r="W91" s="302">
        <f t="shared" si="50"/>
        <v>0</v>
      </c>
      <c r="X91" s="302">
        <f t="shared" si="50"/>
        <v>0</v>
      </c>
      <c r="Y91" s="302">
        <f t="shared" si="50"/>
        <v>0</v>
      </c>
      <c r="Z91" s="302">
        <f t="shared" si="50"/>
        <v>0</v>
      </c>
      <c r="AA91" s="302">
        <f t="shared" si="50"/>
        <v>0</v>
      </c>
    </row>
    <row r="92" spans="2:27" ht="14" thickBot="1">
      <c r="B92" s="323" t="s">
        <v>614</v>
      </c>
      <c r="C92" s="324" t="s">
        <v>134</v>
      </c>
      <c r="D92" s="226">
        <f ca="1">SUM(E92:AN92)</f>
        <v>19830.446835679882</v>
      </c>
      <c r="E92" s="322">
        <f t="shared" ref="E92:AA92" si="51">SUM(E74,E85,E91)</f>
        <v>0</v>
      </c>
      <c r="F92" s="322">
        <f t="shared" si="51"/>
        <v>0</v>
      </c>
      <c r="G92" s="322">
        <f t="shared" si="51"/>
        <v>0</v>
      </c>
      <c r="H92" s="322">
        <f t="shared" si="51"/>
        <v>0</v>
      </c>
      <c r="I92" s="322">
        <f t="shared" ca="1" si="51"/>
        <v>258.82252605990294</v>
      </c>
      <c r="J92" s="322">
        <f t="shared" ca="1" si="51"/>
        <v>334.82802932807931</v>
      </c>
      <c r="K92" s="322">
        <f t="shared" ca="1" si="51"/>
        <v>620.51221334178922</v>
      </c>
      <c r="L92" s="322">
        <f t="shared" ca="1" si="51"/>
        <v>1073.1992383490151</v>
      </c>
      <c r="M92" s="322">
        <f t="shared" ca="1" si="51"/>
        <v>1236.8168230435731</v>
      </c>
      <c r="N92" s="322">
        <f t="shared" ca="1" si="51"/>
        <v>1362.5623907635795</v>
      </c>
      <c r="O92" s="322">
        <f t="shared" ca="1" si="51"/>
        <v>1434.9983402886844</v>
      </c>
      <c r="P92" s="322">
        <f t="shared" ca="1" si="51"/>
        <v>1384.0573554918915</v>
      </c>
      <c r="Q92" s="322">
        <f t="shared" ca="1" si="51"/>
        <v>1407.2977223810367</v>
      </c>
      <c r="R92" s="322">
        <f t="shared" ca="1" si="51"/>
        <v>1379.6006126401719</v>
      </c>
      <c r="S92" s="322">
        <f t="shared" ca="1" si="51"/>
        <v>1381.3661544285992</v>
      </c>
      <c r="T92" s="322">
        <f t="shared" ca="1" si="51"/>
        <v>1299.6047141903871</v>
      </c>
      <c r="U92" s="322">
        <f t="shared" ca="1" si="51"/>
        <v>1271.2876824931786</v>
      </c>
      <c r="V92" s="322">
        <f t="shared" ca="1" si="51"/>
        <v>1327.2565726035227</v>
      </c>
      <c r="W92" s="322">
        <f t="shared" ca="1" si="51"/>
        <v>1090.113144137033</v>
      </c>
      <c r="X92" s="322">
        <f t="shared" ca="1" si="51"/>
        <v>1164.7805850622044</v>
      </c>
      <c r="Y92" s="322">
        <f t="shared" ca="1" si="51"/>
        <v>930.79079822004098</v>
      </c>
      <c r="Z92" s="322">
        <f t="shared" ca="1" si="51"/>
        <v>596.20422202649934</v>
      </c>
      <c r="AA92" s="322">
        <f t="shared" ca="1" si="51"/>
        <v>276.34771083069046</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76AD-2CD6-4FFE-9116-A1B8517ED891}">
  <sheetPr codeName="Sheet15">
    <tabColor rgb="FFFF0000"/>
  </sheetPr>
  <dimension ref="A1:AA24"/>
  <sheetViews>
    <sheetView showGridLines="0" topLeftCell="B1" workbookViewId="0">
      <selection activeCell="D18" sqref="D18"/>
    </sheetView>
  </sheetViews>
  <sheetFormatPr baseColWidth="10" defaultColWidth="8.83203125" defaultRowHeight="13"/>
  <cols>
    <col min="1" max="1" width="15.83203125" bestFit="1" customWidth="1"/>
    <col min="2" max="2" width="47.6640625" style="215" customWidth="1"/>
    <col min="4" max="4" width="7.33203125" bestFit="1" customWidth="1"/>
  </cols>
  <sheetData>
    <row r="1" spans="1:27">
      <c r="A1" s="117" t="s">
        <v>661</v>
      </c>
      <c r="B1" s="442"/>
      <c r="C1" s="121"/>
      <c r="D1" s="121"/>
    </row>
    <row r="2" spans="1:27">
      <c r="A2" s="121"/>
      <c r="B2" s="442"/>
      <c r="C2" s="121"/>
      <c r="D2" s="121"/>
    </row>
    <row r="3" spans="1:27" ht="14">
      <c r="A3" s="117"/>
      <c r="B3" s="443" t="s">
        <v>562</v>
      </c>
      <c r="C3" s="117"/>
      <c r="D3" s="117"/>
      <c r="E3" s="201">
        <f>'Project CAPEX'!E3</f>
        <v>46023</v>
      </c>
      <c r="F3" s="201">
        <f>'Project CAPEX'!F3</f>
        <v>46389</v>
      </c>
      <c r="G3" s="201">
        <f>'Project CAPEX'!G3</f>
        <v>46755</v>
      </c>
      <c r="H3" s="201">
        <f>'Project CAPEX'!H3</f>
        <v>47121</v>
      </c>
      <c r="I3" s="201">
        <f>'Project CAPEX'!I3</f>
        <v>47487</v>
      </c>
      <c r="J3" s="201">
        <f>'Project CAPEX'!J3</f>
        <v>47853</v>
      </c>
      <c r="K3" s="201">
        <f>'Project CAPEX'!K3</f>
        <v>48219</v>
      </c>
      <c r="L3" s="201">
        <f>'Project CAPEX'!L3</f>
        <v>48585</v>
      </c>
      <c r="M3" s="201">
        <f>'Project CAPEX'!M3</f>
        <v>48951</v>
      </c>
      <c r="N3" s="201">
        <f>'Project CAPEX'!N3</f>
        <v>49317</v>
      </c>
      <c r="O3" s="201">
        <f>'Project CAPEX'!O3</f>
        <v>49683</v>
      </c>
      <c r="P3" s="201">
        <f>'Project CAPEX'!P3</f>
        <v>50049</v>
      </c>
      <c r="Q3" s="201">
        <f>'Project CAPEX'!Q3</f>
        <v>50415</v>
      </c>
      <c r="R3" s="201">
        <f>'Project CAPEX'!R3</f>
        <v>50781</v>
      </c>
      <c r="S3" s="201">
        <f>'Project CAPEX'!S3</f>
        <v>51147</v>
      </c>
      <c r="T3" s="201">
        <f>'Project CAPEX'!T3</f>
        <v>51513</v>
      </c>
      <c r="U3" s="201">
        <f>'Project CAPEX'!U3</f>
        <v>51879</v>
      </c>
      <c r="V3" s="201">
        <f>'Project CAPEX'!V3</f>
        <v>52245</v>
      </c>
      <c r="W3" s="201">
        <f>'Project CAPEX'!W3</f>
        <v>52611</v>
      </c>
      <c r="X3" s="201">
        <f>'Project CAPEX'!X3</f>
        <v>52977</v>
      </c>
      <c r="Y3" s="201">
        <f>'Project CAPEX'!Y3</f>
        <v>53343</v>
      </c>
      <c r="Z3" s="201">
        <f>'Project CAPEX'!Z3</f>
        <v>53709</v>
      </c>
      <c r="AA3" s="201">
        <f>'Project CAPEX'!AA3</f>
        <v>54075</v>
      </c>
    </row>
    <row r="4" spans="1:27" ht="14">
      <c r="A4" s="117"/>
      <c r="B4" s="1282" t="s">
        <v>34</v>
      </c>
      <c r="C4" s="788" t="s">
        <v>95</v>
      </c>
      <c r="D4" s="787" t="s">
        <v>96</v>
      </c>
      <c r="E4" s="1141">
        <f>'Project CAPEX'!E4</f>
        <v>-4</v>
      </c>
      <c r="F4" s="1141">
        <f>'Project CAPEX'!F4</f>
        <v>-3</v>
      </c>
      <c r="G4" s="1141">
        <f>'Project CAPEX'!G4</f>
        <v>-2</v>
      </c>
      <c r="H4" s="1141">
        <f>'Project CAPEX'!H4</f>
        <v>-1</v>
      </c>
      <c r="I4" s="1141">
        <f>'Project CAPEX'!I4</f>
        <v>1</v>
      </c>
      <c r="J4" s="1141">
        <f>'Project CAPEX'!J4</f>
        <v>2</v>
      </c>
      <c r="K4" s="1141">
        <f>'Project CAPEX'!K4</f>
        <v>3</v>
      </c>
      <c r="L4" s="1141">
        <f>'Project CAPEX'!L4</f>
        <v>4</v>
      </c>
      <c r="M4" s="1141">
        <f>'Project CAPEX'!M4</f>
        <v>5</v>
      </c>
      <c r="N4" s="1141">
        <f>'Project CAPEX'!N4</f>
        <v>6</v>
      </c>
      <c r="O4" s="1141">
        <f>'Project CAPEX'!O4</f>
        <v>7</v>
      </c>
      <c r="P4" s="1141">
        <f>'Project CAPEX'!P4</f>
        <v>8</v>
      </c>
      <c r="Q4" s="1141">
        <f>'Project CAPEX'!Q4</f>
        <v>9</v>
      </c>
      <c r="R4" s="1141">
        <f>'Project CAPEX'!R4</f>
        <v>10</v>
      </c>
      <c r="S4" s="1141">
        <f>'Project CAPEX'!S4</f>
        <v>11</v>
      </c>
      <c r="T4" s="1141">
        <f>'Project CAPEX'!T4</f>
        <v>12</v>
      </c>
      <c r="U4" s="1141">
        <f>'Project CAPEX'!U4</f>
        <v>13</v>
      </c>
      <c r="V4" s="1141">
        <f>'Project CAPEX'!V4</f>
        <v>14</v>
      </c>
      <c r="W4" s="1141">
        <f>'Project CAPEX'!W4</f>
        <v>15</v>
      </c>
      <c r="X4" s="1141">
        <f>'Project CAPEX'!X4</f>
        <v>16</v>
      </c>
      <c r="Y4" s="1141">
        <f>'Project CAPEX'!Y4</f>
        <v>17</v>
      </c>
      <c r="Z4" s="1141">
        <f>'Project CAPEX'!Z4</f>
        <v>18</v>
      </c>
      <c r="AA4" s="1141">
        <f>'Project CAPEX'!AA4</f>
        <v>19</v>
      </c>
    </row>
    <row r="5" spans="1:27" ht="14">
      <c r="A5" s="121"/>
      <c r="B5" s="1283" t="s">
        <v>563</v>
      </c>
      <c r="C5" s="1008" t="s">
        <v>113</v>
      </c>
      <c r="D5" s="1256">
        <f>SUM(E5:AN5)</f>
        <v>225.70440651000001</v>
      </c>
      <c r="E5" s="1257">
        <f>IFERROR('Production Schedule'!E5,0)</f>
        <v>0</v>
      </c>
      <c r="F5" s="1257">
        <f>IFERROR('Production Schedule'!F5,0)</f>
        <v>0</v>
      </c>
      <c r="G5" s="1257">
        <f>IFERROR('Production Schedule'!G5,0)</f>
        <v>0</v>
      </c>
      <c r="H5" s="1257">
        <f>IFERROR('Production Schedule'!H5,0)</f>
        <v>0</v>
      </c>
      <c r="I5" s="1257">
        <f>IFERROR('Production Schedule'!I5,0)</f>
        <v>1.9999997549999999</v>
      </c>
      <c r="J5" s="1257">
        <f>IFERROR('Production Schedule'!J5,0)</f>
        <v>3.9999986549999997</v>
      </c>
      <c r="K5" s="1257">
        <f>IFERROR('Production Schedule'!K5,0)</f>
        <v>8.00000073</v>
      </c>
      <c r="L5" s="1257">
        <f>IFERROR('Production Schedule'!L5,0)</f>
        <v>11.999998529999999</v>
      </c>
      <c r="M5" s="1257">
        <f>IFERROR('Production Schedule'!M5,0)</f>
        <v>14.99999517</v>
      </c>
      <c r="N5" s="1257">
        <f>IFERROR('Production Schedule'!N5,0)</f>
        <v>15.000007140000001</v>
      </c>
      <c r="O5" s="1257">
        <f>IFERROR('Production Schedule'!O5,0)</f>
        <v>14.999998590000001</v>
      </c>
      <c r="P5" s="1257">
        <f>IFERROR('Production Schedule'!P5,0)</f>
        <v>14.999996879999999</v>
      </c>
      <c r="Q5" s="1257">
        <f>IFERROR('Production Schedule'!Q5,0)</f>
        <v>15.000003719999999</v>
      </c>
      <c r="R5" s="1257">
        <f>IFERROR('Production Schedule'!R5,0)</f>
        <v>14.99999517</v>
      </c>
      <c r="S5" s="1257">
        <f>IFERROR('Production Schedule'!S5,0)</f>
        <v>14.999996879999999</v>
      </c>
      <c r="T5" s="1257">
        <f>IFERROR('Production Schedule'!T5,0)</f>
        <v>15.000002009999999</v>
      </c>
      <c r="U5" s="1257">
        <f>IFERROR('Production Schedule'!U5,0)</f>
        <v>15.00001569</v>
      </c>
      <c r="V5" s="1257">
        <f>IFERROR('Production Schedule'!V5,0)</f>
        <v>15.000002009999999</v>
      </c>
      <c r="W5" s="1257">
        <f>IFERROR('Production Schedule'!W5,0)</f>
        <v>15.000002009999999</v>
      </c>
      <c r="X5" s="1257">
        <f>IFERROR('Production Schedule'!X5,0)</f>
        <v>15.000000299999998</v>
      </c>
      <c r="Y5" s="1257">
        <f>IFERROR('Production Schedule'!Y5,0)</f>
        <v>9.9999996299999996</v>
      </c>
      <c r="Z5" s="1257">
        <f>IFERROR('Production Schedule'!Z5,0)</f>
        <v>7.5000027149999999</v>
      </c>
      <c r="AA5" s="1257">
        <f>IFERROR('Production Schedule'!AA5,0)</f>
        <v>2.2043909249999998</v>
      </c>
    </row>
    <row r="6" spans="1:27" ht="14">
      <c r="A6" s="121"/>
      <c r="B6" s="442" t="s">
        <v>392</v>
      </c>
      <c r="C6" s="121" t="s">
        <v>662</v>
      </c>
      <c r="D6" s="194">
        <f>'Production Schedule'!D14</f>
        <v>3113.3822718404308</v>
      </c>
      <c r="E6" s="1257">
        <f>IFERROR('Production Schedule'!E14,0)</f>
        <v>0</v>
      </c>
      <c r="F6" s="1257">
        <f>IFERROR('Production Schedule'!F14,0)</f>
        <v>0</v>
      </c>
      <c r="G6" s="1257">
        <f>IFERROR('Production Schedule'!G14,0)</f>
        <v>0</v>
      </c>
      <c r="H6" s="1257">
        <f>IFERROR('Production Schedule'!H14,0)</f>
        <v>0</v>
      </c>
      <c r="I6" s="1257">
        <f>IFERROR('Production Schedule'!I14,0)</f>
        <v>3210</v>
      </c>
      <c r="J6" s="1257">
        <f>IFERROR('Production Schedule'!J14,0)</f>
        <v>3150</v>
      </c>
      <c r="K6" s="1257">
        <f>IFERROR('Production Schedule'!K14,0)</f>
        <v>3160</v>
      </c>
      <c r="L6" s="1257">
        <f>IFERROR('Production Schedule'!L14,0)</f>
        <v>3150</v>
      </c>
      <c r="M6" s="1257">
        <f>IFERROR('Production Schedule'!M14,0)</f>
        <v>3120</v>
      </c>
      <c r="N6" s="1257">
        <f>IFERROR('Production Schedule'!N14,0)</f>
        <v>3190</v>
      </c>
      <c r="O6" s="1257">
        <f>IFERROR('Production Schedule'!O14,0)</f>
        <v>3090</v>
      </c>
      <c r="P6" s="1257">
        <f>IFERROR('Production Schedule'!P14,0)</f>
        <v>3160</v>
      </c>
      <c r="Q6" s="1257">
        <f>IFERROR('Production Schedule'!Q14,0)</f>
        <v>3190</v>
      </c>
      <c r="R6" s="1257">
        <f>IFERROR('Production Schedule'!R14,0)</f>
        <v>3280</v>
      </c>
      <c r="S6" s="1257">
        <f>IFERROR('Production Schedule'!S14,0)</f>
        <v>3280</v>
      </c>
      <c r="T6" s="1257">
        <f>IFERROR('Production Schedule'!T14,0)</f>
        <v>3020</v>
      </c>
      <c r="U6" s="1257">
        <f>IFERROR('Production Schedule'!U14,0)</f>
        <v>3120</v>
      </c>
      <c r="V6" s="1257">
        <f>IFERROR('Production Schedule'!V14,0)</f>
        <v>3100</v>
      </c>
      <c r="W6" s="1257">
        <f>IFERROR('Production Schedule'!W14,0)</f>
        <v>2850</v>
      </c>
      <c r="X6" s="1257">
        <f>IFERROR('Production Schedule'!X14,0)</f>
        <v>2970</v>
      </c>
      <c r="Y6" s="1257">
        <f>IFERROR('Production Schedule'!Y14,0)</f>
        <v>3020</v>
      </c>
      <c r="Z6" s="1257">
        <f>IFERROR('Production Schedule'!Z14,0)</f>
        <v>3040</v>
      </c>
      <c r="AA6" s="1257">
        <f>IFERROR('Production Schedule'!AA14,0)</f>
        <v>3200</v>
      </c>
    </row>
    <row r="7" spans="1:27" ht="14">
      <c r="A7" s="121"/>
      <c r="B7" s="442" t="s">
        <v>564</v>
      </c>
      <c r="C7" s="121" t="s">
        <v>118</v>
      </c>
      <c r="D7" s="194">
        <f>SUM(E7:AN7)</f>
        <v>535.39467341478871</v>
      </c>
      <c r="E7" s="1257">
        <f>IFERROR('Production Schedule'!E8,0)</f>
        <v>0</v>
      </c>
      <c r="F7" s="1257">
        <f>IFERROR('Production Schedule'!F8,0)</f>
        <v>0</v>
      </c>
      <c r="G7" s="1257">
        <f>IFERROR('Production Schedule'!G8,0)</f>
        <v>0</v>
      </c>
      <c r="H7" s="1257">
        <f>IFERROR('Production Schedule'!H8,0)</f>
        <v>0</v>
      </c>
      <c r="I7" s="1257">
        <f>IFERROR('Production Schedule'!I8,0)</f>
        <v>11.466045729050279</v>
      </c>
      <c r="J7" s="1257">
        <f>IFERROR('Production Schedule'!J8,0)</f>
        <v>9.5178188259668506</v>
      </c>
      <c r="K7" s="1257">
        <f>IFERROR('Production Schedule'!K8,0)</f>
        <v>17.240514972375692</v>
      </c>
      <c r="L7" s="1257">
        <f>IFERROR('Production Schedule'!L8,0)</f>
        <v>36.817196150000001</v>
      </c>
      <c r="M7" s="1257">
        <f>IFERROR('Production Schedule'!M8,0)</f>
        <v>35.420574905555554</v>
      </c>
      <c r="N7" s="1257">
        <f>IFERROR('Production Schedule'!N8,0)</f>
        <v>47.463611318435753</v>
      </c>
      <c r="O7" s="1257">
        <f>IFERROR('Production Schedule'!O8,0)</f>
        <v>43.447467227777778</v>
      </c>
      <c r="P7" s="1257">
        <f>IFERROR('Production Schedule'!P8,0)</f>
        <v>36.33747506666667</v>
      </c>
      <c r="Q7" s="1257">
        <f>IFERROR('Production Schedule'!Q8,0)</f>
        <v>37.865191711111116</v>
      </c>
      <c r="R7" s="1257">
        <f>IFERROR('Production Schedule'!R8,0)</f>
        <v>33.778948184357539</v>
      </c>
      <c r="S7" s="1257">
        <f>IFERROR('Production Schedule'!S8,0)</f>
        <v>38.053482346368718</v>
      </c>
      <c r="T7" s="1257">
        <f>IFERROR('Production Schedule'!T8,0)</f>
        <v>28.983164832402235</v>
      </c>
      <c r="U7" s="1257">
        <f>IFERROR('Production Schedule'!U8,0)</f>
        <v>25.4498801284916</v>
      </c>
      <c r="V7" s="1257">
        <f>IFERROR('Production Schedule'!V8,0)</f>
        <v>31.615550832402231</v>
      </c>
      <c r="W7" s="1257">
        <f>IFERROR('Production Schedule'!W8,0)</f>
        <v>31.515274825842699</v>
      </c>
      <c r="X7" s="1257">
        <f>IFERROR('Production Schedule'!X8,0)</f>
        <v>40.123366662921349</v>
      </c>
      <c r="Y7" s="1257">
        <f>IFERROR('Production Schedule'!Y8,0)</f>
        <v>24.726595192090397</v>
      </c>
      <c r="Z7" s="1257">
        <f>IFERROR('Production Schedule'!Z8,0)</f>
        <v>4.2960406619318183</v>
      </c>
      <c r="AA7" s="1257">
        <f>IFERROR('Production Schedule'!AA8,0)</f>
        <v>1.2764738410404626</v>
      </c>
    </row>
    <row r="8" spans="1:27" ht="14">
      <c r="A8" s="121"/>
      <c r="B8" s="1284" t="s">
        <v>419</v>
      </c>
      <c r="C8" s="1220" t="s">
        <v>421</v>
      </c>
      <c r="D8" s="1258">
        <f>IFERROR(D7/D5,0)</f>
        <v>2.3721055414621142</v>
      </c>
      <c r="E8" s="1259">
        <f>IFERROR(E7/E5,0)</f>
        <v>0</v>
      </c>
      <c r="F8" s="1259">
        <f t="shared" ref="F8:AA8" si="0">IFERROR(F7/F5,0)</f>
        <v>0</v>
      </c>
      <c r="G8" s="1259">
        <f t="shared" si="0"/>
        <v>0</v>
      </c>
      <c r="H8" s="1259">
        <f t="shared" si="0"/>
        <v>0</v>
      </c>
      <c r="I8" s="1259">
        <f t="shared" si="0"/>
        <v>5.7330235668205267</v>
      </c>
      <c r="J8" s="1259">
        <f t="shared" si="0"/>
        <v>2.3794555065836267</v>
      </c>
      <c r="K8" s="1259">
        <f t="shared" si="0"/>
        <v>2.1550641748973556</v>
      </c>
      <c r="L8" s="1259">
        <f t="shared" si="0"/>
        <v>3.0681000550089239</v>
      </c>
      <c r="M8" s="1259">
        <f t="shared" si="0"/>
        <v>2.3613724207322897</v>
      </c>
      <c r="N8" s="1259">
        <f t="shared" si="0"/>
        <v>3.1642392483845012</v>
      </c>
      <c r="O8" s="1259">
        <f t="shared" si="0"/>
        <v>2.8964980874560053</v>
      </c>
      <c r="P8" s="1259">
        <f t="shared" si="0"/>
        <v>2.422498841657537</v>
      </c>
      <c r="Q8" s="1259">
        <f t="shared" si="0"/>
        <v>2.5243454880363938</v>
      </c>
      <c r="R8" s="1259">
        <f t="shared" si="0"/>
        <v>2.2519306040788236</v>
      </c>
      <c r="S8" s="1259">
        <f t="shared" si="0"/>
        <v>2.5368993507663129</v>
      </c>
      <c r="T8" s="1259">
        <f t="shared" si="0"/>
        <v>1.932210729910578</v>
      </c>
      <c r="U8" s="1259">
        <f t="shared" si="0"/>
        <v>1.6966569005296555</v>
      </c>
      <c r="V8" s="1259">
        <f t="shared" si="0"/>
        <v>2.1077031063945992</v>
      </c>
      <c r="W8" s="1259">
        <f t="shared" si="0"/>
        <v>2.1010180401864291</v>
      </c>
      <c r="X8" s="1259">
        <f t="shared" si="0"/>
        <v>2.6748910573636024</v>
      </c>
      <c r="Y8" s="1259">
        <f t="shared" si="0"/>
        <v>2.4726596106974452</v>
      </c>
      <c r="Z8" s="1259">
        <f t="shared" si="0"/>
        <v>0.57280521423542152</v>
      </c>
      <c r="AA8" s="1259">
        <f t="shared" si="0"/>
        <v>0.57905965160896433</v>
      </c>
    </row>
    <row r="9" spans="1:27" ht="14">
      <c r="A9" s="121"/>
      <c r="B9" s="442" t="s">
        <v>696</v>
      </c>
      <c r="C9" s="121" t="s">
        <v>118</v>
      </c>
      <c r="D9" s="194">
        <f>SUM(E9:AN9)</f>
        <v>75.64</v>
      </c>
      <c r="E9" s="1285">
        <f>'Production Schedule'!E13</f>
        <v>0</v>
      </c>
      <c r="F9" s="1285">
        <f>'Production Schedule'!F13</f>
        <v>0</v>
      </c>
      <c r="G9" s="1285">
        <f>'Production Schedule'!G13</f>
        <v>0</v>
      </c>
      <c r="H9" s="1285">
        <f>'Production Schedule'!H13</f>
        <v>0</v>
      </c>
      <c r="I9" s="1285">
        <f>'Production Schedule'!I13</f>
        <v>0</v>
      </c>
      <c r="J9" s="1285">
        <f>'Production Schedule'!J13</f>
        <v>0</v>
      </c>
      <c r="K9" s="1285">
        <f>'Production Schedule'!K13</f>
        <v>0</v>
      </c>
      <c r="L9" s="1285">
        <f>'Production Schedule'!L13</f>
        <v>0</v>
      </c>
      <c r="M9" s="1285">
        <f>'Production Schedule'!M13</f>
        <v>0</v>
      </c>
      <c r="N9" s="1285">
        <f>'Production Schedule'!N13</f>
        <v>0</v>
      </c>
      <c r="O9" s="1285">
        <f>'Production Schedule'!O13</f>
        <v>11.85</v>
      </c>
      <c r="P9" s="1285">
        <f>'Production Schedule'!P13</f>
        <v>11.85</v>
      </c>
      <c r="Q9" s="1285">
        <f>'Production Schedule'!Q13</f>
        <v>11.85</v>
      </c>
      <c r="R9" s="1285">
        <f>'Production Schedule'!R13</f>
        <v>11.85</v>
      </c>
      <c r="S9" s="1285">
        <f>'Production Schedule'!S13</f>
        <v>7.06</v>
      </c>
      <c r="T9" s="1285">
        <f>'Production Schedule'!T13</f>
        <v>7.06</v>
      </c>
      <c r="U9" s="1285">
        <f>'Production Schedule'!U13</f>
        <v>7.06</v>
      </c>
      <c r="V9" s="1285">
        <f>'Production Schedule'!V13</f>
        <v>7.06</v>
      </c>
      <c r="W9" s="1285">
        <f>'Production Schedule'!W13</f>
        <v>0</v>
      </c>
      <c r="X9" s="1285">
        <f>'Production Schedule'!X13</f>
        <v>0</v>
      </c>
      <c r="Y9" s="1285">
        <f>'Production Schedule'!Y13</f>
        <v>0</v>
      </c>
      <c r="Z9" s="1285">
        <f>'Production Schedule'!Z13</f>
        <v>0</v>
      </c>
      <c r="AA9" s="1285">
        <f>'Production Schedule'!AA13</f>
        <v>0</v>
      </c>
    </row>
    <row r="10" spans="1:27">
      <c r="A10" s="121"/>
      <c r="B10" s="442"/>
      <c r="C10" s="121"/>
      <c r="D10" s="194"/>
    </row>
    <row r="11" spans="1:27" ht="14">
      <c r="A11" s="121"/>
      <c r="B11" s="443" t="s">
        <v>664</v>
      </c>
      <c r="C11" s="117"/>
      <c r="D11" s="197"/>
      <c r="E11" s="201">
        <f t="shared" ref="E11:AA11" si="1">E3</f>
        <v>46023</v>
      </c>
      <c r="F11" s="201">
        <f t="shared" si="1"/>
        <v>46389</v>
      </c>
      <c r="G11" s="201">
        <f t="shared" si="1"/>
        <v>46755</v>
      </c>
      <c r="H11" s="201">
        <f t="shared" si="1"/>
        <v>47121</v>
      </c>
      <c r="I11" s="201">
        <f t="shared" si="1"/>
        <v>47487</v>
      </c>
      <c r="J11" s="201">
        <f t="shared" si="1"/>
        <v>47853</v>
      </c>
      <c r="K11" s="201">
        <f t="shared" si="1"/>
        <v>48219</v>
      </c>
      <c r="L11" s="201">
        <f t="shared" si="1"/>
        <v>48585</v>
      </c>
      <c r="M11" s="201">
        <f t="shared" si="1"/>
        <v>48951</v>
      </c>
      <c r="N11" s="201">
        <f t="shared" si="1"/>
        <v>49317</v>
      </c>
      <c r="O11" s="201">
        <f t="shared" si="1"/>
        <v>49683</v>
      </c>
      <c r="P11" s="201">
        <f t="shared" si="1"/>
        <v>50049</v>
      </c>
      <c r="Q11" s="201">
        <f t="shared" si="1"/>
        <v>50415</v>
      </c>
      <c r="R11" s="201">
        <f t="shared" si="1"/>
        <v>50781</v>
      </c>
      <c r="S11" s="201">
        <f t="shared" si="1"/>
        <v>51147</v>
      </c>
      <c r="T11" s="201">
        <f t="shared" si="1"/>
        <v>51513</v>
      </c>
      <c r="U11" s="201">
        <f t="shared" si="1"/>
        <v>51879</v>
      </c>
      <c r="V11" s="201">
        <f t="shared" si="1"/>
        <v>52245</v>
      </c>
      <c r="W11" s="201">
        <f t="shared" si="1"/>
        <v>52611</v>
      </c>
      <c r="X11" s="201">
        <f t="shared" si="1"/>
        <v>52977</v>
      </c>
      <c r="Y11" s="201">
        <f t="shared" si="1"/>
        <v>53343</v>
      </c>
      <c r="Z11" s="201">
        <f t="shared" si="1"/>
        <v>53709</v>
      </c>
      <c r="AA11" s="201">
        <f t="shared" si="1"/>
        <v>54075</v>
      </c>
    </row>
    <row r="12" spans="1:27" ht="14">
      <c r="A12" s="117"/>
      <c r="B12" s="1282" t="s">
        <v>94</v>
      </c>
      <c r="C12" s="788" t="s">
        <v>95</v>
      </c>
      <c r="D12" s="1223" t="s">
        <v>96</v>
      </c>
      <c r="E12" s="1141">
        <f t="shared" ref="E12:AA12" si="2">E4</f>
        <v>-4</v>
      </c>
      <c r="F12" s="1141">
        <f t="shared" si="2"/>
        <v>-3</v>
      </c>
      <c r="G12" s="1141">
        <f t="shared" si="2"/>
        <v>-2</v>
      </c>
      <c r="H12" s="1141">
        <f t="shared" si="2"/>
        <v>-1</v>
      </c>
      <c r="I12" s="1141">
        <f t="shared" si="2"/>
        <v>1</v>
      </c>
      <c r="J12" s="1141">
        <f t="shared" si="2"/>
        <v>2</v>
      </c>
      <c r="K12" s="1141">
        <f t="shared" si="2"/>
        <v>3</v>
      </c>
      <c r="L12" s="1141">
        <f t="shared" si="2"/>
        <v>4</v>
      </c>
      <c r="M12" s="1141">
        <f t="shared" si="2"/>
        <v>5</v>
      </c>
      <c r="N12" s="1141">
        <f t="shared" si="2"/>
        <v>6</v>
      </c>
      <c r="O12" s="1141">
        <f t="shared" si="2"/>
        <v>7</v>
      </c>
      <c r="P12" s="1141">
        <f t="shared" si="2"/>
        <v>8</v>
      </c>
      <c r="Q12" s="1141">
        <f t="shared" si="2"/>
        <v>9</v>
      </c>
      <c r="R12" s="1141">
        <f t="shared" si="2"/>
        <v>10</v>
      </c>
      <c r="S12" s="1141">
        <f t="shared" si="2"/>
        <v>11</v>
      </c>
      <c r="T12" s="1141">
        <f t="shared" si="2"/>
        <v>12</v>
      </c>
      <c r="U12" s="1141">
        <f t="shared" si="2"/>
        <v>13</v>
      </c>
      <c r="V12" s="1141">
        <f t="shared" si="2"/>
        <v>14</v>
      </c>
      <c r="W12" s="1141">
        <f t="shared" si="2"/>
        <v>15</v>
      </c>
      <c r="X12" s="1141">
        <f t="shared" si="2"/>
        <v>16</v>
      </c>
      <c r="Y12" s="1141">
        <f t="shared" si="2"/>
        <v>17</v>
      </c>
      <c r="Z12" s="1141">
        <f t="shared" si="2"/>
        <v>18</v>
      </c>
      <c r="AA12" s="1141">
        <f t="shared" si="2"/>
        <v>19</v>
      </c>
    </row>
    <row r="13" spans="1:27">
      <c r="A13" s="121"/>
      <c r="B13" s="443"/>
      <c r="C13" s="121"/>
      <c r="D13" s="190"/>
    </row>
    <row r="14" spans="1:27">
      <c r="A14" s="117"/>
      <c r="B14" s="443"/>
      <c r="C14" s="121"/>
      <c r="D14" s="190"/>
    </row>
    <row r="15" spans="1:27">
      <c r="B15" s="444"/>
      <c r="C15" s="203"/>
      <c r="D15" s="190"/>
      <c r="E15" s="201">
        <f>E3</f>
        <v>46023</v>
      </c>
      <c r="F15" s="201">
        <f t="shared" ref="F15:AA15" si="3">F3</f>
        <v>46389</v>
      </c>
      <c r="G15" s="201">
        <f t="shared" si="3"/>
        <v>46755</v>
      </c>
      <c r="H15" s="201">
        <f t="shared" si="3"/>
        <v>47121</v>
      </c>
      <c r="I15" s="201">
        <f t="shared" si="3"/>
        <v>47487</v>
      </c>
      <c r="J15" s="201">
        <f t="shared" si="3"/>
        <v>47853</v>
      </c>
      <c r="K15" s="201">
        <f t="shared" si="3"/>
        <v>48219</v>
      </c>
      <c r="L15" s="201">
        <f t="shared" si="3"/>
        <v>48585</v>
      </c>
      <c r="M15" s="201">
        <f t="shared" si="3"/>
        <v>48951</v>
      </c>
      <c r="N15" s="201">
        <f t="shared" si="3"/>
        <v>49317</v>
      </c>
      <c r="O15" s="201">
        <f t="shared" si="3"/>
        <v>49683</v>
      </c>
      <c r="P15" s="201">
        <f t="shared" si="3"/>
        <v>50049</v>
      </c>
      <c r="Q15" s="201">
        <f t="shared" si="3"/>
        <v>50415</v>
      </c>
      <c r="R15" s="201">
        <f t="shared" si="3"/>
        <v>50781</v>
      </c>
      <c r="S15" s="201">
        <f t="shared" si="3"/>
        <v>51147</v>
      </c>
      <c r="T15" s="201">
        <f t="shared" si="3"/>
        <v>51513</v>
      </c>
      <c r="U15" s="201">
        <f t="shared" si="3"/>
        <v>51879</v>
      </c>
      <c r="V15" s="201">
        <f t="shared" si="3"/>
        <v>52245</v>
      </c>
      <c r="W15" s="201">
        <f t="shared" si="3"/>
        <v>52611</v>
      </c>
      <c r="X15" s="201">
        <f t="shared" si="3"/>
        <v>52977</v>
      </c>
      <c r="Y15" s="201">
        <f t="shared" si="3"/>
        <v>53343</v>
      </c>
      <c r="Z15" s="201">
        <f t="shared" si="3"/>
        <v>53709</v>
      </c>
      <c r="AA15" s="201">
        <f t="shared" si="3"/>
        <v>54075</v>
      </c>
    </row>
    <row r="16" spans="1:27" ht="14">
      <c r="B16" s="1282" t="s">
        <v>34</v>
      </c>
      <c r="C16" s="788" t="s">
        <v>95</v>
      </c>
      <c r="D16" s="778" t="s">
        <v>96</v>
      </c>
      <c r="E16" s="1141">
        <f>E4</f>
        <v>-4</v>
      </c>
      <c r="F16" s="1141">
        <f t="shared" ref="F16:AA16" si="4">F4</f>
        <v>-3</v>
      </c>
      <c r="G16" s="1141">
        <f t="shared" si="4"/>
        <v>-2</v>
      </c>
      <c r="H16" s="1141">
        <f t="shared" si="4"/>
        <v>-1</v>
      </c>
      <c r="I16" s="1141">
        <f t="shared" si="4"/>
        <v>1</v>
      </c>
      <c r="J16" s="1141">
        <f t="shared" si="4"/>
        <v>2</v>
      </c>
      <c r="K16" s="1141">
        <f t="shared" si="4"/>
        <v>3</v>
      </c>
      <c r="L16" s="1141">
        <f t="shared" si="4"/>
        <v>4</v>
      </c>
      <c r="M16" s="1141">
        <f t="shared" si="4"/>
        <v>5</v>
      </c>
      <c r="N16" s="1141">
        <f t="shared" si="4"/>
        <v>6</v>
      </c>
      <c r="O16" s="1141">
        <f t="shared" si="4"/>
        <v>7</v>
      </c>
      <c r="P16" s="1141">
        <f t="shared" si="4"/>
        <v>8</v>
      </c>
      <c r="Q16" s="1141">
        <f t="shared" si="4"/>
        <v>9</v>
      </c>
      <c r="R16" s="1141">
        <f t="shared" si="4"/>
        <v>10</v>
      </c>
      <c r="S16" s="1141">
        <f t="shared" si="4"/>
        <v>11</v>
      </c>
      <c r="T16" s="1141">
        <f t="shared" si="4"/>
        <v>12</v>
      </c>
      <c r="U16" s="1141">
        <f t="shared" si="4"/>
        <v>13</v>
      </c>
      <c r="V16" s="1141">
        <f t="shared" si="4"/>
        <v>14</v>
      </c>
      <c r="W16" s="1141">
        <f t="shared" si="4"/>
        <v>15</v>
      </c>
      <c r="X16" s="1141">
        <f t="shared" si="4"/>
        <v>16</v>
      </c>
      <c r="Y16" s="1141">
        <f t="shared" si="4"/>
        <v>17</v>
      </c>
      <c r="Z16" s="1141">
        <f t="shared" si="4"/>
        <v>18</v>
      </c>
      <c r="AA16" s="1141">
        <f t="shared" si="4"/>
        <v>19</v>
      </c>
    </row>
    <row r="17" spans="2:27" ht="14">
      <c r="B17" s="1286" t="s">
        <v>697</v>
      </c>
      <c r="C17" s="773" t="s">
        <v>134</v>
      </c>
      <c r="D17" s="1287">
        <f>SUM(E17:AN17)</f>
        <v>4818.5520607331</v>
      </c>
      <c r="E17" s="776">
        <f>IF(E4=0,0,E7*Assumptions_Dashboard!$D$151/10)</f>
        <v>0</v>
      </c>
      <c r="F17" s="776">
        <f>IF(F4=0,0,F7*Assumptions_Dashboard!$D$151/10)</f>
        <v>0</v>
      </c>
      <c r="G17" s="776">
        <f>IF(G4=0,0,G7*Assumptions_Dashboard!$D$151/10)</f>
        <v>0</v>
      </c>
      <c r="H17" s="776">
        <f>IF(H4=0,0,H7*Assumptions_Dashboard!$D$151/10)</f>
        <v>0</v>
      </c>
      <c r="I17" s="776">
        <f>IF(I4=0,0,I7*Assumptions_Dashboard!$D$151/10)</f>
        <v>103.19441156145251</v>
      </c>
      <c r="J17" s="776">
        <f>IF(J4=0,0,J7*Assumptions_Dashboard!$D$151/10)</f>
        <v>85.660369433701661</v>
      </c>
      <c r="K17" s="776">
        <f>IF(K4=0,0,K7*Assumptions_Dashboard!$D$151/10)</f>
        <v>155.16463475138124</v>
      </c>
      <c r="L17" s="776">
        <f>IF(L4=0,0,L7*Assumptions_Dashboard!$D$151/10)</f>
        <v>331.35476535000004</v>
      </c>
      <c r="M17" s="776">
        <f>IF(M4=0,0,M7*Assumptions_Dashboard!$D$151/10)</f>
        <v>318.78517414999999</v>
      </c>
      <c r="N17" s="776">
        <f>IF(N4=0,0,N7*Assumptions_Dashboard!$D$151/10)</f>
        <v>427.17250186592173</v>
      </c>
      <c r="O17" s="776">
        <f>IF(O4=0,0,O7*Assumptions_Dashboard!$D$151/10)</f>
        <v>391.02720505000002</v>
      </c>
      <c r="P17" s="776">
        <f>IF(P4=0,0,P7*Assumptions_Dashboard!$D$151/10)</f>
        <v>327.03727560000004</v>
      </c>
      <c r="Q17" s="776">
        <f>IF(Q4=0,0,Q7*Assumptions_Dashboard!$D$151/10)</f>
        <v>340.78672540000002</v>
      </c>
      <c r="R17" s="776">
        <f>IF(R4=0,0,R7*Assumptions_Dashboard!$D$151/10)</f>
        <v>304.01053365921786</v>
      </c>
      <c r="S17" s="776">
        <f>IF(S4=0,0,S7*Assumptions_Dashboard!$D$151/10)</f>
        <v>342.48134111731849</v>
      </c>
      <c r="T17" s="776">
        <f>IF(T4=0,0,T7*Assumptions_Dashboard!$D$151/10)</f>
        <v>260.84848349162013</v>
      </c>
      <c r="U17" s="776">
        <f>IF(U4=0,0,U7*Assumptions_Dashboard!$D$151/10)</f>
        <v>229.04892115642443</v>
      </c>
      <c r="V17" s="776">
        <f>IF(V4=0,0,V7*Assumptions_Dashboard!$D$151/10)</f>
        <v>284.5399574916201</v>
      </c>
      <c r="W17" s="776">
        <f>IF(W4=0,0,W7*Assumptions_Dashboard!$D$151/10)</f>
        <v>283.63747343258427</v>
      </c>
      <c r="X17" s="776">
        <f>IF(X4=0,0,X7*Assumptions_Dashboard!$D$151/10)</f>
        <v>361.11029996629213</v>
      </c>
      <c r="Y17" s="776">
        <f>IF(Y4=0,0,Y7*Assumptions_Dashboard!$D$151/10)</f>
        <v>222.53935672881357</v>
      </c>
      <c r="Z17" s="776">
        <f>IF(Z4=0,0,Z7*Assumptions_Dashboard!$D$151/10)</f>
        <v>38.664365957386366</v>
      </c>
      <c r="AA17" s="776">
        <f>IF(AA4=0,0,AA7*Assumptions_Dashboard!$D$151/10)</f>
        <v>11.488264569364164</v>
      </c>
    </row>
    <row r="18" spans="2:27">
      <c r="B18" s="823" t="s">
        <v>429</v>
      </c>
      <c r="C18" s="1288" t="s">
        <v>134</v>
      </c>
      <c r="D18" s="1289">
        <f>SUM(E18:AN18)</f>
        <v>529.48</v>
      </c>
      <c r="E18" s="774">
        <f>IF(E4=0,0,E9*Assumptions_Dashboard!$D$153/10)</f>
        <v>0</v>
      </c>
      <c r="F18" s="774">
        <f>IF(F4=0,0,F9*Assumptions_Dashboard!$D$153/10)</f>
        <v>0</v>
      </c>
      <c r="G18" s="774">
        <f>IF(G4=0,0,G9*Assumptions_Dashboard!$D$153/10)</f>
        <v>0</v>
      </c>
      <c r="H18" s="774">
        <f>IF(H4=0,0,H9*Assumptions_Dashboard!$D$153/10)</f>
        <v>0</v>
      </c>
      <c r="I18" s="774">
        <f>IF(I4=0,0,I9*Assumptions_Dashboard!$D$153/10)</f>
        <v>0</v>
      </c>
      <c r="J18" s="774">
        <f>IF(J4=0,0,J9*Assumptions_Dashboard!$D$153/10)</f>
        <v>0</v>
      </c>
      <c r="K18" s="774">
        <f>IF(K4=0,0,K9*Assumptions_Dashboard!$D$153/10)</f>
        <v>0</v>
      </c>
      <c r="L18" s="774">
        <f>IF(L4=0,0,L9*Assumptions_Dashboard!$D$153/10)</f>
        <v>0</v>
      </c>
      <c r="M18" s="774">
        <f>IF(M4=0,0,M9*Assumptions_Dashboard!$D$153/10)</f>
        <v>0</v>
      </c>
      <c r="N18" s="774">
        <f>IF(N4=0,0,N9*Assumptions_Dashboard!$D$153/10)</f>
        <v>0</v>
      </c>
      <c r="O18" s="774">
        <f>IF(O4=0,0,O9*Assumptions_Dashboard!$D$153/10)</f>
        <v>82.95</v>
      </c>
      <c r="P18" s="774">
        <f>IF(P4=0,0,P9*Assumptions_Dashboard!$D$153/10)</f>
        <v>82.95</v>
      </c>
      <c r="Q18" s="774">
        <f>IF(Q4=0,0,Q9*Assumptions_Dashboard!$D$153/10)</f>
        <v>82.95</v>
      </c>
      <c r="R18" s="774">
        <f>IF(R4=0,0,R9*Assumptions_Dashboard!$D$153/10)</f>
        <v>82.95</v>
      </c>
      <c r="S18" s="774">
        <f>IF(S4=0,0,S9*Assumptions_Dashboard!$D$153/10)</f>
        <v>49.42</v>
      </c>
      <c r="T18" s="774">
        <f>IF(T4=0,0,T9*Assumptions_Dashboard!$D$153/10)</f>
        <v>49.42</v>
      </c>
      <c r="U18" s="774">
        <f>IF(U4=0,0,U9*Assumptions_Dashboard!$D$153/10)</f>
        <v>49.42</v>
      </c>
      <c r="V18" s="774">
        <f>IF(V4=0,0,V9*Assumptions_Dashboard!$D$153/10)</f>
        <v>49.42</v>
      </c>
      <c r="W18" s="774">
        <f>IF(W4=0,0,W9*Assumptions_Dashboard!$D$153/10)</f>
        <v>0</v>
      </c>
      <c r="X18" s="774">
        <f>IF(X4=0,0,X9*Assumptions_Dashboard!$D$153/10)</f>
        <v>0</v>
      </c>
      <c r="Y18" s="774">
        <f>IF(Y4=0,0,Y9*Assumptions_Dashboard!$D$153/10)</f>
        <v>0</v>
      </c>
      <c r="Z18" s="774">
        <f>IF(Z4=0,0,Z9*Assumptions_Dashboard!$D$153/10)</f>
        <v>0</v>
      </c>
      <c r="AA18" s="774">
        <f>IF(AA4=0,0,AA9*Assumptions_Dashboard!$D$153/10)</f>
        <v>0</v>
      </c>
    </row>
    <row r="19" spans="2:27" ht="14">
      <c r="B19" s="1290" t="s">
        <v>698</v>
      </c>
      <c r="C19" s="1288" t="s">
        <v>134</v>
      </c>
      <c r="D19" s="1289">
        <f>SUM(E19:AN19)</f>
        <v>5353.9467341478876</v>
      </c>
      <c r="E19" s="774">
        <f>IF(E4=0,0,E7*Assumptions_Dashboard!$D$152/10)</f>
        <v>0</v>
      </c>
      <c r="F19" s="774">
        <f>IF(F4=0,0,F7*Assumptions_Dashboard!$D$152/10)</f>
        <v>0</v>
      </c>
      <c r="G19" s="774">
        <f>IF(G4=0,0,G7*Assumptions_Dashboard!$D$152/10)</f>
        <v>0</v>
      </c>
      <c r="H19" s="774">
        <f>IF(H4=0,0,H7*Assumptions_Dashboard!$D$152/10)</f>
        <v>0</v>
      </c>
      <c r="I19" s="774">
        <f>IF(I4=0,0,I7*Assumptions_Dashboard!$D$152/10)</f>
        <v>114.66045729050279</v>
      </c>
      <c r="J19" s="774">
        <f>IF(J4=0,0,J7*Assumptions_Dashboard!$D$152/10)</f>
        <v>95.178188259668502</v>
      </c>
      <c r="K19" s="774">
        <f>IF(K4=0,0,K7*Assumptions_Dashboard!$D$152/10)</f>
        <v>172.40514972375692</v>
      </c>
      <c r="L19" s="774">
        <f>IF(L4=0,0,L7*Assumptions_Dashboard!$D$152/10)</f>
        <v>368.17196150000001</v>
      </c>
      <c r="M19" s="774">
        <f>IF(M4=0,0,M7*Assumptions_Dashboard!$D$152/10)</f>
        <v>354.20574905555554</v>
      </c>
      <c r="N19" s="774">
        <f>IF(N4=0,0,N7*Assumptions_Dashboard!$D$152/10)</f>
        <v>474.6361131843575</v>
      </c>
      <c r="O19" s="774">
        <f>IF(O4=0,0,O7*Assumptions_Dashboard!$D$152/10)</f>
        <v>434.47467227777781</v>
      </c>
      <c r="P19" s="774">
        <f>IF(P4=0,0,P7*Assumptions_Dashboard!$D$152/10)</f>
        <v>363.37475066666673</v>
      </c>
      <c r="Q19" s="774">
        <f>IF(Q4=0,0,Q7*Assumptions_Dashboard!$D$152/10)</f>
        <v>378.65191711111117</v>
      </c>
      <c r="R19" s="774">
        <f>IF(R4=0,0,R7*Assumptions_Dashboard!$D$152/10)</f>
        <v>337.78948184357535</v>
      </c>
      <c r="S19" s="774">
        <f>IF(S4=0,0,S7*Assumptions_Dashboard!$D$152/10)</f>
        <v>380.53482346368719</v>
      </c>
      <c r="T19" s="774">
        <f>IF(T4=0,0,T7*Assumptions_Dashboard!$D$152/10)</f>
        <v>289.83164832402235</v>
      </c>
      <c r="U19" s="774">
        <f>IF(U4=0,0,U7*Assumptions_Dashboard!$D$152/10)</f>
        <v>254.498801284916</v>
      </c>
      <c r="V19" s="774">
        <f>IF(V4=0,0,V7*Assumptions_Dashboard!$D$152/10)</f>
        <v>316.15550832402232</v>
      </c>
      <c r="W19" s="774">
        <f>IF(W4=0,0,W7*Assumptions_Dashboard!$D$152/10)</f>
        <v>315.15274825842698</v>
      </c>
      <c r="X19" s="774">
        <f>IF(X4=0,0,X7*Assumptions_Dashboard!$D$152/10)</f>
        <v>401.23366662921347</v>
      </c>
      <c r="Y19" s="774">
        <f>IF(Y4=0,0,Y7*Assumptions_Dashboard!$D$152/10)</f>
        <v>247.26595192090394</v>
      </c>
      <c r="Z19" s="774">
        <f>IF(Z4=0,0,Z7*Assumptions_Dashboard!$D$152/10)</f>
        <v>42.960406619318185</v>
      </c>
      <c r="AA19" s="774">
        <f>IF(AA4=0,0,AA7*Assumptions_Dashboard!$D$152/10)</f>
        <v>12.764738410404625</v>
      </c>
    </row>
    <row r="20" spans="2:27" ht="14">
      <c r="B20" s="777" t="s">
        <v>267</v>
      </c>
      <c r="C20" s="1291" t="s">
        <v>134</v>
      </c>
      <c r="D20" s="772">
        <f>SUM(E20:AN20)</f>
        <v>10701.978794880986</v>
      </c>
      <c r="E20" s="775">
        <f>SUM(E17:E19)</f>
        <v>0</v>
      </c>
      <c r="F20" s="775">
        <f t="shared" ref="F20:AA20" si="5">SUM(F17:F19)</f>
        <v>0</v>
      </c>
      <c r="G20" s="775">
        <f t="shared" si="5"/>
        <v>0</v>
      </c>
      <c r="H20" s="775">
        <f t="shared" si="5"/>
        <v>0</v>
      </c>
      <c r="I20" s="775">
        <f>SUM(I17:I19)</f>
        <v>217.8548688519553</v>
      </c>
      <c r="J20" s="775">
        <f t="shared" si="5"/>
        <v>180.83855769337015</v>
      </c>
      <c r="K20" s="775">
        <f t="shared" si="5"/>
        <v>327.56978447513814</v>
      </c>
      <c r="L20" s="775">
        <f t="shared" si="5"/>
        <v>699.52672685000005</v>
      </c>
      <c r="M20" s="775">
        <f t="shared" si="5"/>
        <v>672.99092320555553</v>
      </c>
      <c r="N20" s="775">
        <f t="shared" si="5"/>
        <v>901.80861505027929</v>
      </c>
      <c r="O20" s="775">
        <f t="shared" si="5"/>
        <v>908.45187732777777</v>
      </c>
      <c r="P20" s="775">
        <f t="shared" si="5"/>
        <v>773.36202626666682</v>
      </c>
      <c r="Q20" s="775">
        <f t="shared" si="5"/>
        <v>802.38864251111113</v>
      </c>
      <c r="R20" s="775">
        <f t="shared" si="5"/>
        <v>724.75001550279319</v>
      </c>
      <c r="S20" s="775">
        <f t="shared" si="5"/>
        <v>772.43616458100564</v>
      </c>
      <c r="T20" s="775">
        <f t="shared" si="5"/>
        <v>600.1001318156425</v>
      </c>
      <c r="U20" s="775">
        <f t="shared" si="5"/>
        <v>532.96772244134036</v>
      </c>
      <c r="V20" s="775">
        <f t="shared" si="5"/>
        <v>650.11546581564244</v>
      </c>
      <c r="W20" s="775">
        <f t="shared" si="5"/>
        <v>598.79022169101131</v>
      </c>
      <c r="X20" s="775">
        <f t="shared" si="5"/>
        <v>762.34396659550566</v>
      </c>
      <c r="Y20" s="775">
        <f t="shared" si="5"/>
        <v>469.80530864971752</v>
      </c>
      <c r="Z20" s="775">
        <f t="shared" si="5"/>
        <v>81.624772576704544</v>
      </c>
      <c r="AA20" s="775">
        <f t="shared" si="5"/>
        <v>24.253002979768787</v>
      </c>
    </row>
    <row r="23" spans="2:27" ht="14">
      <c r="B23" s="779" t="s">
        <v>699</v>
      </c>
      <c r="C23" s="1292" t="s">
        <v>109</v>
      </c>
      <c r="D23" s="1293">
        <f>SUMPRODUCT(I5:AA5,I20:AA20)/$D$5</f>
        <v>655.92533910432701</v>
      </c>
      <c r="E23" s="776">
        <f t="shared" ref="E23:AA23" si="6">IFERROR(E20*10/E$5,0)</f>
        <v>0</v>
      </c>
      <c r="F23" s="776">
        <f t="shared" si="6"/>
        <v>0</v>
      </c>
      <c r="G23" s="776">
        <f t="shared" si="6"/>
        <v>0</v>
      </c>
      <c r="H23" s="776">
        <f t="shared" si="6"/>
        <v>0</v>
      </c>
      <c r="I23" s="776">
        <f>IFERROR(I20*10/I$5,0)</f>
        <v>1089.2744776959003</v>
      </c>
      <c r="J23" s="776">
        <f t="shared" si="6"/>
        <v>452.09654625088911</v>
      </c>
      <c r="K23" s="776">
        <f t="shared" si="6"/>
        <v>409.46219323049752</v>
      </c>
      <c r="L23" s="776">
        <f t="shared" si="6"/>
        <v>582.93901045169559</v>
      </c>
      <c r="M23" s="776">
        <f t="shared" si="6"/>
        <v>448.66075993913506</v>
      </c>
      <c r="N23" s="445">
        <f t="shared" si="6"/>
        <v>601.20545719305517</v>
      </c>
      <c r="O23" s="445">
        <f t="shared" si="6"/>
        <v>605.63464181484153</v>
      </c>
      <c r="P23" s="445">
        <f t="shared" si="6"/>
        <v>515.5747914173345</v>
      </c>
      <c r="Q23" s="445">
        <f t="shared" si="6"/>
        <v>534.92562901251813</v>
      </c>
      <c r="R23" s="445">
        <f t="shared" si="6"/>
        <v>483.16683258158224</v>
      </c>
      <c r="S23" s="445">
        <f t="shared" si="6"/>
        <v>514.95755016517421</v>
      </c>
      <c r="T23" s="445">
        <f t="shared" si="6"/>
        <v>400.0667009348237</v>
      </c>
      <c r="U23" s="445">
        <f t="shared" si="6"/>
        <v>355.31144330512387</v>
      </c>
      <c r="V23" s="445">
        <f t="shared" si="6"/>
        <v>433.41025246678782</v>
      </c>
      <c r="W23" s="445">
        <f t="shared" si="6"/>
        <v>399.19342763542164</v>
      </c>
      <c r="X23" s="445">
        <f t="shared" si="6"/>
        <v>508.22930089908448</v>
      </c>
      <c r="Y23" s="445">
        <f t="shared" si="6"/>
        <v>469.80532603251459</v>
      </c>
      <c r="Z23" s="445">
        <f t="shared" si="6"/>
        <v>108.83299070473009</v>
      </c>
      <c r="AA23" s="445">
        <f t="shared" si="6"/>
        <v>110.02133380570322</v>
      </c>
    </row>
    <row r="24" spans="2:27">
      <c r="B24" s="1294"/>
      <c r="C24" s="780" t="s">
        <v>170</v>
      </c>
      <c r="D24" s="782">
        <f t="shared" ref="D24:AA24" si="7">IFERROR(D23/D6,0)</f>
        <v>0.21067934542987754</v>
      </c>
      <c r="E24" s="781">
        <f t="shared" si="7"/>
        <v>0</v>
      </c>
      <c r="F24" s="781">
        <f t="shared" si="7"/>
        <v>0</v>
      </c>
      <c r="G24" s="781">
        <f t="shared" si="7"/>
        <v>0</v>
      </c>
      <c r="H24" s="781">
        <f t="shared" si="7"/>
        <v>0</v>
      </c>
      <c r="I24" s="781">
        <f t="shared" si="7"/>
        <v>0.33933784351897206</v>
      </c>
      <c r="J24" s="781">
        <f t="shared" si="7"/>
        <v>0.14352271309552034</v>
      </c>
      <c r="K24" s="781">
        <f t="shared" si="7"/>
        <v>0.12957664342737263</v>
      </c>
      <c r="L24" s="781">
        <f t="shared" si="7"/>
        <v>0.1850600033179986</v>
      </c>
      <c r="M24" s="781">
        <f t="shared" si="7"/>
        <v>0.14380152562151766</v>
      </c>
      <c r="N24" s="781">
        <f t="shared" si="7"/>
        <v>0.18846566056208625</v>
      </c>
      <c r="O24" s="781">
        <f t="shared" si="7"/>
        <v>0.19599826595949565</v>
      </c>
      <c r="P24" s="781">
        <f t="shared" si="7"/>
        <v>0.16315657956244761</v>
      </c>
      <c r="Q24" s="781">
        <f t="shared" si="7"/>
        <v>0.16768828495690224</v>
      </c>
      <c r="R24" s="781">
        <f t="shared" si="7"/>
        <v>0.14730696115292141</v>
      </c>
      <c r="S24" s="781">
        <f t="shared" si="7"/>
        <v>0.15699925309913848</v>
      </c>
      <c r="T24" s="781">
        <f t="shared" si="7"/>
        <v>0.13247241752808731</v>
      </c>
      <c r="U24" s="781">
        <f t="shared" si="7"/>
        <v>0.11388187285420637</v>
      </c>
      <c r="V24" s="781">
        <f t="shared" si="7"/>
        <v>0.13980975886025412</v>
      </c>
      <c r="W24" s="781">
        <f t="shared" si="7"/>
        <v>0.14006786934576199</v>
      </c>
      <c r="X24" s="781">
        <f t="shared" si="7"/>
        <v>0.17112097673369847</v>
      </c>
      <c r="Y24" s="781">
        <f t="shared" si="7"/>
        <v>0.15556467749421013</v>
      </c>
      <c r="Z24" s="781">
        <f t="shared" si="7"/>
        <v>3.5800325889713845E-2</v>
      </c>
      <c r="AA24" s="781">
        <f t="shared" si="7"/>
        <v>3.4381666814282258E-2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3554-EA6B-4D18-AC81-AD83372317F4}">
  <sheetPr codeName="Sheet16">
    <tabColor rgb="FF0070C0"/>
  </sheetPr>
  <dimension ref="A2:Q93"/>
  <sheetViews>
    <sheetView showGridLines="0" topLeftCell="B56" workbookViewId="0">
      <selection activeCell="O69" sqref="O69:O74"/>
    </sheetView>
  </sheetViews>
  <sheetFormatPr baseColWidth="10" defaultColWidth="8.83203125" defaultRowHeight="13"/>
  <cols>
    <col min="2" max="2" width="62.1640625" bestFit="1" customWidth="1"/>
    <col min="4" max="5" width="11.6640625" customWidth="1"/>
    <col min="6" max="6" width="12.33203125" bestFit="1" customWidth="1"/>
    <col min="7" max="7" width="11.33203125" customWidth="1"/>
    <col min="8" max="8" width="7.5" bestFit="1" customWidth="1"/>
    <col min="10" max="10" width="10" customWidth="1"/>
    <col min="11" max="11" width="16.83203125" customWidth="1"/>
    <col min="13" max="13" width="56" bestFit="1" customWidth="1"/>
    <col min="14" max="14" width="19.1640625" customWidth="1"/>
    <col min="15" max="15" width="15.1640625" customWidth="1"/>
    <col min="16" max="16" width="9.33203125" customWidth="1"/>
  </cols>
  <sheetData>
    <row r="2" spans="2:14">
      <c r="B2" s="191" t="s">
        <v>700</v>
      </c>
      <c r="D2" s="609" t="s">
        <v>267</v>
      </c>
      <c r="E2" s="801"/>
      <c r="F2" s="802">
        <f ca="1">F43</f>
        <v>214.12703999999999</v>
      </c>
      <c r="G2" s="1295" t="s">
        <v>701</v>
      </c>
    </row>
    <row r="3" spans="2:14">
      <c r="B3" s="59" t="s">
        <v>702</v>
      </c>
    </row>
    <row r="4" spans="2:14" ht="42">
      <c r="B4" s="1296" t="s">
        <v>34</v>
      </c>
      <c r="C4" s="1296" t="s">
        <v>88</v>
      </c>
      <c r="D4" s="628" t="s">
        <v>703</v>
      </c>
      <c r="E4" s="628" t="s">
        <v>267</v>
      </c>
      <c r="F4" s="1141">
        <f>IF(OR('Production Schedule'!E3=0,'Production Schedule'!E3&lt;0),'Production Schedule'!E3,"Not Required")</f>
        <v>-4</v>
      </c>
      <c r="G4" s="1141">
        <f>IF(OR('Production Schedule'!F3=0,'Production Schedule'!F3&lt;0),'Production Schedule'!F3,"Not Required")</f>
        <v>-3</v>
      </c>
      <c r="H4" s="1141">
        <f>IF(OR('Production Schedule'!G3=0,'Production Schedule'!G3&lt;0),'Production Schedule'!G3,"Not Required")</f>
        <v>-2</v>
      </c>
      <c r="I4" s="1141">
        <f>IF(OR('Production Schedule'!H3=0,'Production Schedule'!H3&lt;0),'Production Schedule'!H3,"Not Required")</f>
        <v>-1</v>
      </c>
      <c r="J4" s="1141" t="s">
        <v>704</v>
      </c>
    </row>
    <row r="5" spans="2:14">
      <c r="B5" s="191" t="s">
        <v>705</v>
      </c>
      <c r="F5" s="231"/>
      <c r="G5" s="231"/>
      <c r="H5" s="231"/>
      <c r="I5" s="231"/>
      <c r="J5" s="231"/>
    </row>
    <row r="6" spans="2:14">
      <c r="B6" s="621" t="s">
        <v>706</v>
      </c>
      <c r="C6" s="141" t="s">
        <v>701</v>
      </c>
      <c r="E6" s="146">
        <f>SUM(F6:I6)</f>
        <v>1</v>
      </c>
      <c r="F6" s="627">
        <v>1</v>
      </c>
      <c r="G6" s="231"/>
      <c r="H6" s="231"/>
      <c r="I6" s="231"/>
      <c r="J6" s="141" t="s">
        <v>707</v>
      </c>
    </row>
    <row r="7" spans="2:14">
      <c r="B7" s="621" t="s">
        <v>708</v>
      </c>
      <c r="C7" s="141" t="s">
        <v>701</v>
      </c>
      <c r="E7" s="146">
        <f t="shared" ref="E7:E39" si="0">SUM(F7:I7)</f>
        <v>0.15</v>
      </c>
      <c r="F7" s="627">
        <v>0.15</v>
      </c>
      <c r="G7" s="231"/>
      <c r="H7" s="231"/>
      <c r="I7" s="231"/>
      <c r="J7" s="141" t="s">
        <v>707</v>
      </c>
    </row>
    <row r="8" spans="2:14">
      <c r="B8" s="621" t="s">
        <v>709</v>
      </c>
      <c r="C8" s="141" t="s">
        <v>701</v>
      </c>
      <c r="E8" s="146">
        <f t="shared" si="0"/>
        <v>0.25</v>
      </c>
      <c r="F8" s="627">
        <v>0.25</v>
      </c>
      <c r="G8" s="231"/>
      <c r="H8" s="231"/>
      <c r="I8" s="231"/>
      <c r="J8" s="141" t="s">
        <v>707</v>
      </c>
    </row>
    <row r="9" spans="2:14">
      <c r="B9" s="621" t="s">
        <v>710</v>
      </c>
      <c r="C9" s="141" t="s">
        <v>701</v>
      </c>
      <c r="E9" s="146">
        <f t="shared" si="0"/>
        <v>2</v>
      </c>
      <c r="F9" s="627">
        <v>2</v>
      </c>
      <c r="G9" s="231"/>
      <c r="H9" s="231"/>
      <c r="I9" s="231"/>
      <c r="J9" s="141" t="s">
        <v>707</v>
      </c>
    </row>
    <row r="10" spans="2:14">
      <c r="B10" s="621" t="s">
        <v>711</v>
      </c>
      <c r="C10" s="141" t="s">
        <v>701</v>
      </c>
      <c r="E10" s="146">
        <f>SUM(F10:I10)</f>
        <v>0.5</v>
      </c>
      <c r="F10" s="627">
        <f>N69</f>
        <v>0.5</v>
      </c>
      <c r="G10" s="231"/>
      <c r="H10" s="231"/>
      <c r="I10" s="231"/>
      <c r="J10" s="141" t="s">
        <v>707</v>
      </c>
    </row>
    <row r="11" spans="2:14">
      <c r="B11" s="621" t="s">
        <v>712</v>
      </c>
      <c r="C11" s="141" t="s">
        <v>701</v>
      </c>
      <c r="E11" s="146">
        <f t="shared" si="0"/>
        <v>0.1</v>
      </c>
      <c r="F11" s="627">
        <v>0.1</v>
      </c>
      <c r="G11" s="231"/>
      <c r="H11" s="231"/>
      <c r="I11" s="231"/>
      <c r="J11" s="141" t="s">
        <v>707</v>
      </c>
      <c r="N11" s="94" t="s">
        <v>1670</v>
      </c>
    </row>
    <row r="12" spans="2:14">
      <c r="B12" s="621"/>
      <c r="C12" s="141"/>
      <c r="E12" s="146">
        <f t="shared" si="0"/>
        <v>0</v>
      </c>
      <c r="F12" s="231"/>
      <c r="G12" s="231"/>
      <c r="H12" s="231"/>
      <c r="I12" s="231"/>
      <c r="J12" s="231"/>
    </row>
    <row r="13" spans="2:14">
      <c r="B13" s="222" t="s">
        <v>713</v>
      </c>
      <c r="C13" s="141"/>
      <c r="E13" s="146"/>
      <c r="F13" s="231"/>
      <c r="G13" s="231"/>
      <c r="H13" s="231"/>
      <c r="I13" s="231"/>
      <c r="J13" s="231"/>
    </row>
    <row r="14" spans="2:14">
      <c r="B14" s="621"/>
      <c r="C14" s="141"/>
      <c r="E14" s="146"/>
      <c r="F14" s="231"/>
      <c r="G14" s="231"/>
      <c r="H14" s="231"/>
      <c r="I14" s="231"/>
      <c r="J14" s="231"/>
    </row>
    <row r="15" spans="2:14">
      <c r="B15" s="1297"/>
      <c r="C15" s="141"/>
      <c r="E15" s="146"/>
      <c r="F15" s="231"/>
      <c r="G15" s="231"/>
      <c r="H15" s="231"/>
      <c r="I15" s="231"/>
      <c r="J15" s="231"/>
    </row>
    <row r="16" spans="2:14">
      <c r="B16" s="621" t="s">
        <v>714</v>
      </c>
      <c r="C16" s="141" t="s">
        <v>701</v>
      </c>
      <c r="E16" s="146">
        <f t="shared" si="0"/>
        <v>0.1</v>
      </c>
      <c r="F16" s="1068">
        <f>N70</f>
        <v>0.1</v>
      </c>
      <c r="G16" s="1069"/>
      <c r="H16" s="1069"/>
      <c r="I16" s="1069"/>
      <c r="J16" s="141" t="s">
        <v>707</v>
      </c>
    </row>
    <row r="17" spans="1:10">
      <c r="B17" s="621" t="s">
        <v>715</v>
      </c>
      <c r="C17" s="141" t="s">
        <v>701</v>
      </c>
      <c r="E17" s="146">
        <f>SUM(F17:I17)</f>
        <v>0.1</v>
      </c>
      <c r="F17" s="1068">
        <f>N71</f>
        <v>0.1</v>
      </c>
      <c r="G17" s="1068">
        <f>$K72</f>
        <v>0</v>
      </c>
      <c r="H17" s="1068">
        <f>$K72</f>
        <v>0</v>
      </c>
      <c r="I17" s="1068">
        <f>$K72</f>
        <v>0</v>
      </c>
      <c r="J17" s="141" t="s">
        <v>707</v>
      </c>
    </row>
    <row r="18" spans="1:10">
      <c r="B18" s="621" t="s">
        <v>716</v>
      </c>
      <c r="C18" s="141" t="s">
        <v>701</v>
      </c>
      <c r="E18" s="146">
        <f>SUM(F18:I18)</f>
        <v>0.4</v>
      </c>
      <c r="F18" s="1068">
        <f t="shared" ref="F18:I19" si="1">$N$72</f>
        <v>0.1</v>
      </c>
      <c r="G18" s="1068">
        <f t="shared" si="1"/>
        <v>0.1</v>
      </c>
      <c r="H18" s="1068">
        <f t="shared" si="1"/>
        <v>0.1</v>
      </c>
      <c r="I18" s="1068">
        <f t="shared" si="1"/>
        <v>0.1</v>
      </c>
      <c r="J18" s="141" t="s">
        <v>707</v>
      </c>
    </row>
    <row r="19" spans="1:10">
      <c r="B19" s="621" t="str">
        <f>M73</f>
        <v>Annual Water Audit</v>
      </c>
      <c r="C19" s="141" t="s">
        <v>701</v>
      </c>
      <c r="E19" s="146">
        <f t="shared" si="0"/>
        <v>0.4</v>
      </c>
      <c r="F19" s="1068">
        <f t="shared" si="1"/>
        <v>0.1</v>
      </c>
      <c r="G19" s="1068">
        <f t="shared" si="1"/>
        <v>0.1</v>
      </c>
      <c r="H19" s="1068">
        <f t="shared" si="1"/>
        <v>0.1</v>
      </c>
      <c r="I19" s="1068">
        <f t="shared" si="1"/>
        <v>0.1</v>
      </c>
      <c r="J19" s="141" t="s">
        <v>707</v>
      </c>
    </row>
    <row r="20" spans="1:10">
      <c r="A20" s="618">
        <v>200</v>
      </c>
      <c r="B20" s="621" t="s">
        <v>717</v>
      </c>
      <c r="C20" s="141" t="s">
        <v>701</v>
      </c>
      <c r="D20" s="94"/>
      <c r="E20" s="146">
        <f t="shared" si="0"/>
        <v>8.3839999999999998E-2</v>
      </c>
      <c r="F20" s="1068">
        <f>$A$20*Assumptions_Dashboard!$D$135/10^7</f>
        <v>2.0959999999999999E-2</v>
      </c>
      <c r="G20" s="1068">
        <f>$A$20*Assumptions_Dashboard!$D$135/10^7</f>
        <v>2.0959999999999999E-2</v>
      </c>
      <c r="H20" s="1068">
        <f>$A$20*Assumptions_Dashboard!$D$135/10^7</f>
        <v>2.0959999999999999E-2</v>
      </c>
      <c r="I20" s="1068">
        <f>$A$20*Assumptions_Dashboard!$D$135/10^7</f>
        <v>2.0959999999999999E-2</v>
      </c>
      <c r="J20" s="141" t="s">
        <v>707</v>
      </c>
    </row>
    <row r="21" spans="1:10">
      <c r="B21" s="222" t="s">
        <v>718</v>
      </c>
      <c r="C21" s="141" t="s">
        <v>701</v>
      </c>
      <c r="E21" s="146">
        <f t="shared" si="0"/>
        <v>0</v>
      </c>
      <c r="F21" s="1069"/>
      <c r="G21" s="1069"/>
      <c r="H21" s="1069"/>
      <c r="I21" s="1069"/>
      <c r="J21" s="1070" t="s">
        <v>719</v>
      </c>
    </row>
    <row r="22" spans="1:10">
      <c r="B22" s="621" t="s">
        <v>720</v>
      </c>
      <c r="C22" s="141" t="s">
        <v>701</v>
      </c>
      <c r="E22" s="146">
        <f t="shared" si="0"/>
        <v>75</v>
      </c>
      <c r="F22" s="1068">
        <f>Assumptions_Dashboard!$D$97/4</f>
        <v>18.75</v>
      </c>
      <c r="G22" s="1068">
        <f>Assumptions_Dashboard!$D$97/4</f>
        <v>18.75</v>
      </c>
      <c r="H22" s="1068">
        <f>Assumptions_Dashboard!$D$97/4</f>
        <v>18.75</v>
      </c>
      <c r="I22" s="1068">
        <f>Assumptions_Dashboard!$D$97/4</f>
        <v>18.75</v>
      </c>
      <c r="J22" s="141" t="s">
        <v>721</v>
      </c>
    </row>
    <row r="23" spans="1:10">
      <c r="B23" s="94"/>
      <c r="C23" s="141"/>
      <c r="E23" s="146"/>
      <c r="F23" s="231"/>
      <c r="G23" s="231"/>
      <c r="H23" s="231"/>
      <c r="I23" s="231"/>
      <c r="J23" s="231"/>
    </row>
    <row r="24" spans="1:10">
      <c r="B24" s="94" t="s">
        <v>722</v>
      </c>
      <c r="C24" s="141" t="s">
        <v>701</v>
      </c>
      <c r="E24" s="146">
        <f t="shared" si="0"/>
        <v>1.5</v>
      </c>
      <c r="F24" s="231">
        <v>1.5</v>
      </c>
      <c r="G24" s="231"/>
      <c r="H24" s="231"/>
      <c r="I24" s="231"/>
      <c r="J24" s="231" t="s">
        <v>707</v>
      </c>
    </row>
    <row r="25" spans="1:10">
      <c r="B25" s="191" t="s">
        <v>723</v>
      </c>
      <c r="C25" s="141"/>
      <c r="E25" s="146"/>
      <c r="F25" s="231"/>
      <c r="G25" s="231"/>
      <c r="H25" s="231"/>
      <c r="I25" s="231"/>
      <c r="J25" s="231"/>
    </row>
    <row r="26" spans="1:10">
      <c r="B26" s="94" t="s">
        <v>724</v>
      </c>
      <c r="C26" s="141" t="s">
        <v>701</v>
      </c>
      <c r="E26" s="1685">
        <f>SUM(F26:I26)</f>
        <v>82</v>
      </c>
      <c r="F26" s="231">
        <f>ROUND(Assumptions_Dashboard!D161+Assumptions_Dashboard!D164,0)</f>
        <v>82</v>
      </c>
      <c r="G26" s="231"/>
      <c r="H26" s="231"/>
      <c r="I26" s="231"/>
      <c r="J26" s="231"/>
    </row>
    <row r="27" spans="1:10">
      <c r="B27" s="94" t="s">
        <v>725</v>
      </c>
      <c r="C27" s="141" t="s">
        <v>701</v>
      </c>
      <c r="D27" s="96">
        <v>0.01</v>
      </c>
      <c r="E27" s="1685">
        <f t="shared" si="0"/>
        <v>10.526800000000001</v>
      </c>
      <c r="F27" s="231">
        <f>Assumptions_Dashboard!D163*D27</f>
        <v>2.6317000000000004</v>
      </c>
      <c r="G27" s="231">
        <f>Assumptions_Dashboard!$D$163*$D$27</f>
        <v>2.6317000000000004</v>
      </c>
      <c r="H27" s="231">
        <f>Assumptions_Dashboard!$D$163*$D$27</f>
        <v>2.6317000000000004</v>
      </c>
      <c r="I27" s="231">
        <f>Assumptions_Dashboard!$D$163*$D$27</f>
        <v>2.6317000000000004</v>
      </c>
      <c r="J27" s="231"/>
    </row>
    <row r="28" spans="1:10">
      <c r="B28" s="94" t="s">
        <v>342</v>
      </c>
      <c r="C28" s="141" t="s">
        <v>701</v>
      </c>
      <c r="E28" s="1685">
        <f t="shared" si="0"/>
        <v>0.83840000000000003</v>
      </c>
      <c r="F28" s="231">
        <f>Assumptions_Dashboard!$D$134*Assumptions_Dashboard!$D$13/10^7</f>
        <v>0.20960000000000001</v>
      </c>
      <c r="G28" s="231">
        <f>Assumptions_Dashboard!$D$134*Assumptions_Dashboard!$D$13/10^7</f>
        <v>0.20960000000000001</v>
      </c>
      <c r="H28" s="231">
        <f>Assumptions_Dashboard!$D$134*Assumptions_Dashboard!$D$13/10^7</f>
        <v>0.20960000000000001</v>
      </c>
      <c r="I28" s="231">
        <f>Assumptions_Dashboard!$D$134*Assumptions_Dashboard!$D$13/10^7</f>
        <v>0.20960000000000001</v>
      </c>
      <c r="J28" s="231"/>
    </row>
    <row r="29" spans="1:10">
      <c r="B29" s="191" t="s">
        <v>726</v>
      </c>
      <c r="E29" s="146">
        <f t="shared" si="0"/>
        <v>0</v>
      </c>
      <c r="F29" s="231"/>
      <c r="G29" s="231"/>
      <c r="H29" s="231"/>
      <c r="I29" s="231"/>
      <c r="J29" s="231"/>
    </row>
    <row r="30" spans="1:10">
      <c r="B30" s="94" t="s">
        <v>727</v>
      </c>
      <c r="C30" s="141" t="s">
        <v>701</v>
      </c>
      <c r="E30" s="146">
        <f>SUM(F30:I30)</f>
        <v>17.399999999999999</v>
      </c>
      <c r="F30" s="231"/>
      <c r="G30" s="231">
        <f>$P$67/3</f>
        <v>5.8</v>
      </c>
      <c r="H30" s="231">
        <f t="shared" ref="H30:I30" si="2">$P$67/3</f>
        <v>5.8</v>
      </c>
      <c r="I30" s="231">
        <f t="shared" si="2"/>
        <v>5.8</v>
      </c>
      <c r="J30" s="231"/>
    </row>
    <row r="31" spans="1:10">
      <c r="B31" s="94" t="s">
        <v>728</v>
      </c>
      <c r="C31" s="141" t="s">
        <v>701</v>
      </c>
      <c r="E31" s="146">
        <f t="shared" si="0"/>
        <v>0</v>
      </c>
      <c r="F31" s="231"/>
      <c r="G31" s="231"/>
      <c r="H31" s="231"/>
      <c r="I31" s="231"/>
      <c r="J31" s="231"/>
    </row>
    <row r="32" spans="1:10">
      <c r="E32" s="146">
        <f t="shared" si="0"/>
        <v>0</v>
      </c>
      <c r="F32" s="231"/>
      <c r="G32" s="231"/>
      <c r="H32" s="231"/>
      <c r="I32" s="231"/>
      <c r="J32" s="231"/>
    </row>
    <row r="33" spans="2:10">
      <c r="B33" s="191" t="s">
        <v>729</v>
      </c>
      <c r="E33" s="146">
        <f t="shared" si="0"/>
        <v>0</v>
      </c>
      <c r="F33" s="231"/>
      <c r="G33" s="231"/>
      <c r="H33" s="231"/>
      <c r="I33" s="231"/>
      <c r="J33" s="231"/>
    </row>
    <row r="34" spans="2:10">
      <c r="B34" s="191" t="s">
        <v>730</v>
      </c>
      <c r="C34" t="s">
        <v>701</v>
      </c>
      <c r="E34" s="146">
        <f t="shared" si="0"/>
        <v>0</v>
      </c>
      <c r="F34" s="231"/>
      <c r="G34" s="231"/>
      <c r="H34" s="231"/>
      <c r="I34" s="231"/>
      <c r="J34" s="231"/>
    </row>
    <row r="35" spans="2:10">
      <c r="B35" s="94" t="s">
        <v>731</v>
      </c>
      <c r="C35" s="141" t="s">
        <v>701</v>
      </c>
      <c r="E35" s="1685">
        <f t="shared" si="0"/>
        <v>0</v>
      </c>
      <c r="F35" s="231"/>
      <c r="G35" s="231"/>
      <c r="H35" s="231"/>
      <c r="I35" s="231"/>
      <c r="J35" s="231"/>
    </row>
    <row r="36" spans="2:10">
      <c r="B36" s="94" t="s">
        <v>732</v>
      </c>
      <c r="C36" s="141" t="s">
        <v>701</v>
      </c>
      <c r="E36" s="146">
        <f t="shared" si="0"/>
        <v>0</v>
      </c>
      <c r="F36" s="231"/>
      <c r="G36" s="231"/>
      <c r="H36" s="231"/>
      <c r="I36" s="231"/>
      <c r="J36" s="231"/>
    </row>
    <row r="37" spans="2:10">
      <c r="B37" s="94" t="s">
        <v>733</v>
      </c>
      <c r="C37" s="141" t="s">
        <v>701</v>
      </c>
      <c r="E37" s="1685">
        <f t="shared" ca="1" si="0"/>
        <v>21.777999999999999</v>
      </c>
      <c r="F37" s="231">
        <f ca="1">'Wage-Owner'!J280</f>
        <v>4.5979999999999999</v>
      </c>
      <c r="G37" s="231">
        <f ca="1">'Wage-Owner'!K280</f>
        <v>4.6579999999999995</v>
      </c>
      <c r="H37" s="231">
        <f ca="1">'Wage-Owner'!L280</f>
        <v>5.8460000000000001</v>
      </c>
      <c r="I37" s="231">
        <f ca="1">'Wage-Owner'!M280</f>
        <v>6.6760000000000002</v>
      </c>
      <c r="J37" s="231"/>
    </row>
    <row r="38" spans="2:10">
      <c r="B38" s="1298" t="s">
        <v>734</v>
      </c>
      <c r="C38" s="141" t="s">
        <v>701</v>
      </c>
      <c r="E38" s="146">
        <f t="shared" si="0"/>
        <v>0</v>
      </c>
      <c r="F38" s="231"/>
      <c r="G38" s="231"/>
      <c r="H38" s="231"/>
      <c r="I38" s="231"/>
      <c r="J38" s="231"/>
    </row>
    <row r="39" spans="2:10">
      <c r="E39" s="146">
        <f t="shared" si="0"/>
        <v>0</v>
      </c>
      <c r="F39" s="231"/>
      <c r="G39" s="231"/>
      <c r="H39" s="231"/>
      <c r="I39" s="231"/>
      <c r="J39" s="231"/>
    </row>
    <row r="40" spans="2:10" ht="14" thickBot="1">
      <c r="B40" s="240" t="s">
        <v>267</v>
      </c>
      <c r="C40" s="241" t="s">
        <v>701</v>
      </c>
      <c r="D40" s="242"/>
      <c r="E40" s="1686">
        <f ca="1">SUM(E5:E39)</f>
        <v>214.12704000000002</v>
      </c>
      <c r="F40" s="243">
        <f t="shared" ref="F40:J40" ca="1" si="3">SUM(F5:F39)</f>
        <v>114.11025999999998</v>
      </c>
      <c r="G40" s="243">
        <f t="shared" ca="1" si="3"/>
        <v>32.27026</v>
      </c>
      <c r="H40" s="243">
        <f t="shared" ca="1" si="3"/>
        <v>33.458260000000003</v>
      </c>
      <c r="I40" s="243">
        <f t="shared" ca="1" si="3"/>
        <v>34.288260000000001</v>
      </c>
      <c r="J40" s="243">
        <f t="shared" si="3"/>
        <v>0</v>
      </c>
    </row>
    <row r="41" spans="2:10" ht="14" thickTop="1"/>
    <row r="42" spans="2:10" ht="14" thickBot="1"/>
    <row r="43" spans="2:10">
      <c r="B43" s="232" t="s">
        <v>735</v>
      </c>
      <c r="C43" s="233" t="s">
        <v>701</v>
      </c>
      <c r="D43" s="234"/>
      <c r="E43" s="234"/>
      <c r="F43" s="235">
        <f ca="1">SUM(F40:J40)</f>
        <v>214.12703999999999</v>
      </c>
    </row>
    <row r="44" spans="2:10" ht="14" thickBot="1">
      <c r="B44" s="236" t="s">
        <v>736</v>
      </c>
      <c r="C44" s="237" t="s">
        <v>701</v>
      </c>
      <c r="D44" s="238"/>
      <c r="E44" s="238"/>
      <c r="F44" s="239">
        <f ca="1">F43-SUM(F26:J27)</f>
        <v>121.60024000000001</v>
      </c>
    </row>
    <row r="54" spans="13:17">
      <c r="M54" s="1299" t="s">
        <v>737</v>
      </c>
      <c r="N54" s="1300"/>
      <c r="O54" s="1301"/>
      <c r="P54" s="1302"/>
    </row>
    <row r="55" spans="13:17">
      <c r="M55" s="619" t="s">
        <v>738</v>
      </c>
      <c r="N55">
        <v>300</v>
      </c>
      <c r="O55" s="620" t="s">
        <v>134</v>
      </c>
      <c r="P55" s="619">
        <v>200</v>
      </c>
    </row>
    <row r="56" spans="13:17">
      <c r="M56" s="621" t="s">
        <v>739</v>
      </c>
      <c r="O56" s="622" t="s">
        <v>740</v>
      </c>
      <c r="P56" s="623">
        <v>1</v>
      </c>
    </row>
    <row r="57" spans="13:17">
      <c r="M57" s="621" t="s">
        <v>741</v>
      </c>
      <c r="O57" s="622" t="s">
        <v>740</v>
      </c>
      <c r="P57" s="623">
        <v>1</v>
      </c>
    </row>
    <row r="58" spans="13:17">
      <c r="M58" s="621" t="s">
        <v>742</v>
      </c>
      <c r="O58" s="622" t="s">
        <v>743</v>
      </c>
      <c r="P58" s="624">
        <v>1500</v>
      </c>
    </row>
    <row r="59" spans="13:17">
      <c r="M59" s="621" t="s">
        <v>744</v>
      </c>
      <c r="O59" s="622" t="s">
        <v>745</v>
      </c>
      <c r="P59" s="624">
        <v>90</v>
      </c>
    </row>
    <row r="60" spans="13:17">
      <c r="M60" s="621" t="s">
        <v>746</v>
      </c>
      <c r="O60" s="622" t="s">
        <v>747</v>
      </c>
      <c r="P60" s="624">
        <v>10</v>
      </c>
    </row>
    <row r="61" spans="13:17">
      <c r="M61" s="621" t="s">
        <v>748</v>
      </c>
      <c r="O61" s="622" t="s">
        <v>749</v>
      </c>
      <c r="P61" s="624">
        <v>29</v>
      </c>
    </row>
    <row r="62" spans="13:17">
      <c r="M62" s="621" t="s">
        <v>750</v>
      </c>
      <c r="O62" s="622" t="s">
        <v>749</v>
      </c>
      <c r="P62" s="624">
        <v>15</v>
      </c>
    </row>
    <row r="63" spans="13:17">
      <c r="M63" s="621" t="s">
        <v>751</v>
      </c>
      <c r="O63" s="622" t="s">
        <v>752</v>
      </c>
      <c r="P63" s="625">
        <f>(P56*P61+P57*P62)*Q63</f>
        <v>4400</v>
      </c>
      <c r="Q63" s="434">
        <v>100</v>
      </c>
    </row>
    <row r="64" spans="13:17">
      <c r="M64" s="621" t="s">
        <v>753</v>
      </c>
      <c r="O64" s="622" t="s">
        <v>752</v>
      </c>
      <c r="P64" s="624">
        <v>80</v>
      </c>
    </row>
    <row r="65" spans="13:16">
      <c r="M65" s="621" t="s">
        <v>754</v>
      </c>
      <c r="O65" s="622" t="s">
        <v>387</v>
      </c>
      <c r="P65" s="624">
        <f>15*100</f>
        <v>1500</v>
      </c>
    </row>
    <row r="66" spans="13:16">
      <c r="M66" s="1303" t="s">
        <v>755</v>
      </c>
      <c r="N66" s="1303"/>
      <c r="O66" s="1304" t="s">
        <v>387</v>
      </c>
      <c r="P66" s="1305">
        <f t="shared" ref="P66" si="4">ROUND(P55+(P63*P59*P60+P59*P60*P64)/10^5,0)+P65</f>
        <v>1740</v>
      </c>
    </row>
    <row r="67" spans="13:16">
      <c r="O67" s="619" t="s">
        <v>134</v>
      </c>
      <c r="P67" s="209">
        <f>P66/100</f>
        <v>17.399999999999999</v>
      </c>
    </row>
    <row r="69" spans="13:16">
      <c r="M69" t="s">
        <v>756</v>
      </c>
      <c r="N69" s="1680">
        <v>0.5</v>
      </c>
      <c r="O69" s="622" t="s">
        <v>372</v>
      </c>
    </row>
    <row r="70" spans="13:16">
      <c r="M70" t="s">
        <v>757</v>
      </c>
      <c r="N70" s="1680">
        <v>0.1</v>
      </c>
      <c r="O70" s="622" t="s">
        <v>372</v>
      </c>
    </row>
    <row r="71" spans="13:16">
      <c r="M71" t="s">
        <v>758</v>
      </c>
      <c r="N71" s="1680">
        <v>0.1</v>
      </c>
      <c r="O71" s="622" t="s">
        <v>372</v>
      </c>
    </row>
    <row r="72" spans="13:16">
      <c r="M72" t="s">
        <v>759</v>
      </c>
      <c r="N72" s="1680">
        <v>0.1</v>
      </c>
      <c r="O72" s="622" t="s">
        <v>372</v>
      </c>
    </row>
    <row r="73" spans="13:16">
      <c r="M73" t="s">
        <v>760</v>
      </c>
      <c r="N73" s="1680">
        <f>0.1</f>
        <v>0.1</v>
      </c>
      <c r="O73" s="622" t="s">
        <v>372</v>
      </c>
    </row>
    <row r="74" spans="13:16">
      <c r="M74" t="s">
        <v>146</v>
      </c>
      <c r="N74" s="1681">
        <f>SUM(N69:N73)</f>
        <v>0.89999999999999991</v>
      </c>
      <c r="O74" s="622" t="s">
        <v>372</v>
      </c>
    </row>
    <row r="77" spans="13:16">
      <c r="M77" s="629" t="s">
        <v>761</v>
      </c>
      <c r="N77" s="629"/>
      <c r="O77" s="629"/>
    </row>
    <row r="78" spans="13:16">
      <c r="M78" s="629" t="s">
        <v>602</v>
      </c>
      <c r="N78" s="629" t="s">
        <v>762</v>
      </c>
      <c r="O78" s="629" t="s">
        <v>763</v>
      </c>
    </row>
    <row r="79" spans="13:16">
      <c r="M79" s="629" t="s">
        <v>764</v>
      </c>
      <c r="N79" s="629" t="s">
        <v>113</v>
      </c>
      <c r="O79" s="1682">
        <f>Assumptions_Dashboard!D8*10^6</f>
        <v>225704406.51000002</v>
      </c>
    </row>
    <row r="80" spans="13:16">
      <c r="M80" s="629" t="s">
        <v>765</v>
      </c>
      <c r="N80" s="629" t="s">
        <v>766</v>
      </c>
      <c r="O80" s="1683">
        <f>Assumptions_Dashboard!D12</f>
        <v>19</v>
      </c>
    </row>
    <row r="81" spans="13:15">
      <c r="M81" s="629" t="s">
        <v>767</v>
      </c>
      <c r="N81" s="629" t="s">
        <v>766</v>
      </c>
      <c r="O81" s="629">
        <v>30</v>
      </c>
    </row>
    <row r="82" spans="13:15">
      <c r="M82" s="629" t="s">
        <v>768</v>
      </c>
      <c r="N82" s="629"/>
      <c r="O82" s="629" t="s">
        <v>769</v>
      </c>
    </row>
    <row r="83" spans="13:15">
      <c r="M83" s="629" t="s">
        <v>770</v>
      </c>
      <c r="N83" s="629" t="s">
        <v>771</v>
      </c>
      <c r="O83" s="629">
        <v>1083</v>
      </c>
    </row>
    <row r="84" spans="13:15">
      <c r="M84" s="629" t="s">
        <v>772</v>
      </c>
      <c r="N84" s="629" t="s">
        <v>131</v>
      </c>
      <c r="O84" s="629">
        <v>0.14000000000000001</v>
      </c>
    </row>
    <row r="85" spans="13:15">
      <c r="M85" s="629" t="s">
        <v>773</v>
      </c>
      <c r="N85" s="629" t="s">
        <v>292</v>
      </c>
      <c r="O85" s="629">
        <f>O79*O83*O84</f>
        <v>34221302115.046207</v>
      </c>
    </row>
    <row r="86" spans="13:15">
      <c r="M86" s="629" t="s">
        <v>774</v>
      </c>
      <c r="N86" s="629" t="s">
        <v>292</v>
      </c>
      <c r="O86" s="629">
        <f>O85*2%</f>
        <v>684426042.30092418</v>
      </c>
    </row>
    <row r="87" spans="13:15">
      <c r="M87" s="629" t="s">
        <v>775</v>
      </c>
      <c r="N87" s="629" t="s">
        <v>292</v>
      </c>
      <c r="O87" s="629">
        <f>O86*7.5%</f>
        <v>51331953.172569312</v>
      </c>
    </row>
    <row r="88" spans="13:15">
      <c r="M88" s="629" t="s">
        <v>776</v>
      </c>
      <c r="N88" s="629" t="s">
        <v>292</v>
      </c>
      <c r="O88" s="629">
        <f>O87*10%</f>
        <v>5133195.3172569312</v>
      </c>
    </row>
    <row r="89" spans="13:15">
      <c r="M89" s="629" t="s">
        <v>777</v>
      </c>
      <c r="N89" s="629" t="s">
        <v>292</v>
      </c>
      <c r="O89" s="629">
        <f>SUM(O86:O88)</f>
        <v>740891190.79075038</v>
      </c>
    </row>
    <row r="90" spans="13:15">
      <c r="M90" s="645" t="s">
        <v>778</v>
      </c>
      <c r="N90" s="645" t="s">
        <v>292</v>
      </c>
      <c r="O90" s="1684">
        <f>O89/10^7</f>
        <v>74.089119079075033</v>
      </c>
    </row>
    <row r="92" spans="13:15">
      <c r="M92" s="1700" t="s">
        <v>779</v>
      </c>
      <c r="N92" s="1700" t="s">
        <v>780</v>
      </c>
      <c r="O92" s="435"/>
    </row>
    <row r="93" spans="13:15">
      <c r="M93" s="1700" t="s">
        <v>781</v>
      </c>
      <c r="N93" s="1700" t="s">
        <v>134</v>
      </c>
      <c r="O93" s="1701">
        <v>1.36</v>
      </c>
    </row>
  </sheetData>
  <pageMargins left="0.7" right="0.7" top="0.75" bottom="0.75" header="0.3" footer="0.3"/>
  <pageSetup paperSize="9"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DBE2-D991-49A7-A774-F9034F2A3A99}">
  <sheetPr codeName="Sheet17">
    <tabColor rgb="FF0070C0"/>
  </sheetPr>
  <dimension ref="B3:AH85"/>
  <sheetViews>
    <sheetView showGridLines="0" topLeftCell="B1" zoomScaleNormal="100" workbookViewId="0">
      <selection activeCell="D30" sqref="D30"/>
    </sheetView>
  </sheetViews>
  <sheetFormatPr baseColWidth="10" defaultColWidth="8.83203125" defaultRowHeight="13"/>
  <cols>
    <col min="2" max="2" width="30.33203125" bestFit="1" customWidth="1"/>
    <col min="3" max="3" width="19.1640625" bestFit="1" customWidth="1"/>
    <col min="4" max="4" width="26" bestFit="1" customWidth="1"/>
    <col min="5" max="5" width="23.83203125" bestFit="1" customWidth="1"/>
    <col min="6" max="6" width="14.5" customWidth="1"/>
    <col min="7" max="7" width="17.1640625" customWidth="1"/>
    <col min="8" max="8" width="24.83203125" customWidth="1"/>
    <col min="9" max="9" width="21.83203125" bestFit="1" customWidth="1"/>
    <col min="10" max="10" width="34.6640625" bestFit="1" customWidth="1"/>
    <col min="11" max="11" width="8.5" bestFit="1" customWidth="1"/>
    <col min="12" max="12" width="18.33203125" bestFit="1" customWidth="1"/>
    <col min="13" max="13" width="17.1640625" bestFit="1" customWidth="1"/>
    <col min="14" max="14" width="16.6640625" bestFit="1" customWidth="1"/>
    <col min="15" max="15" width="7.5" bestFit="1" customWidth="1"/>
    <col min="16" max="16" width="19.5" bestFit="1" customWidth="1"/>
    <col min="17" max="17" width="15.5" bestFit="1" customWidth="1"/>
    <col min="18" max="18" width="23.83203125" customWidth="1"/>
    <col min="19" max="19" width="12.6640625" bestFit="1" customWidth="1"/>
    <col min="20" max="20" width="14.6640625" bestFit="1" customWidth="1"/>
    <col min="21" max="21" width="27.33203125" bestFit="1" customWidth="1"/>
    <col min="22" max="22" width="9.5" bestFit="1" customWidth="1"/>
    <col min="23" max="26" width="9.33203125" bestFit="1" customWidth="1"/>
  </cols>
  <sheetData>
    <row r="3" spans="2:26">
      <c r="B3" s="644"/>
      <c r="C3" s="211"/>
      <c r="D3" s="214">
        <v>46113</v>
      </c>
      <c r="E3" s="214">
        <f>D3+365</f>
        <v>46478</v>
      </c>
      <c r="F3" s="214">
        <f t="shared" ref="F3:Z3" si="0">E3+365</f>
        <v>46843</v>
      </c>
      <c r="G3" s="214">
        <f t="shared" si="0"/>
        <v>47208</v>
      </c>
      <c r="H3" s="214">
        <f t="shared" si="0"/>
        <v>47573</v>
      </c>
      <c r="I3" s="214">
        <f t="shared" si="0"/>
        <v>47938</v>
      </c>
      <c r="J3" s="214">
        <f t="shared" si="0"/>
        <v>48303</v>
      </c>
      <c r="K3" s="214">
        <f t="shared" si="0"/>
        <v>48668</v>
      </c>
      <c r="L3" s="214">
        <f t="shared" si="0"/>
        <v>49033</v>
      </c>
      <c r="M3" s="214">
        <f t="shared" si="0"/>
        <v>49398</v>
      </c>
      <c r="N3" s="214">
        <f t="shared" si="0"/>
        <v>49763</v>
      </c>
      <c r="O3" s="214">
        <f t="shared" si="0"/>
        <v>50128</v>
      </c>
      <c r="P3" s="214">
        <f t="shared" si="0"/>
        <v>50493</v>
      </c>
      <c r="Q3" s="214">
        <f t="shared" si="0"/>
        <v>50858</v>
      </c>
      <c r="R3" s="214">
        <f t="shared" si="0"/>
        <v>51223</v>
      </c>
      <c r="S3" s="214">
        <f t="shared" si="0"/>
        <v>51588</v>
      </c>
      <c r="T3" s="214">
        <f t="shared" si="0"/>
        <v>51953</v>
      </c>
      <c r="U3" s="214">
        <f t="shared" si="0"/>
        <v>52318</v>
      </c>
      <c r="V3" s="214">
        <f t="shared" si="0"/>
        <v>52683</v>
      </c>
      <c r="W3" s="214">
        <f t="shared" si="0"/>
        <v>53048</v>
      </c>
      <c r="X3" s="214">
        <f t="shared" si="0"/>
        <v>53413</v>
      </c>
      <c r="Y3" s="214">
        <f t="shared" si="0"/>
        <v>53778</v>
      </c>
      <c r="Z3" s="214">
        <f t="shared" si="0"/>
        <v>54143</v>
      </c>
    </row>
    <row r="4" spans="2:26">
      <c r="B4" s="787" t="s">
        <v>94</v>
      </c>
      <c r="C4" s="788" t="s">
        <v>267</v>
      </c>
      <c r="D4" s="789">
        <v>-4</v>
      </c>
      <c r="E4" s="789">
        <f>D4+1</f>
        <v>-3</v>
      </c>
      <c r="F4" s="789">
        <f t="shared" ref="F4:Z4" si="1">E4+1</f>
        <v>-2</v>
      </c>
      <c r="G4" s="789">
        <f t="shared" si="1"/>
        <v>-1</v>
      </c>
      <c r="H4" s="789">
        <f>G4+2</f>
        <v>1</v>
      </c>
      <c r="I4" s="789">
        <f t="shared" si="1"/>
        <v>2</v>
      </c>
      <c r="J4" s="789">
        <f t="shared" si="1"/>
        <v>3</v>
      </c>
      <c r="K4" s="789">
        <f t="shared" si="1"/>
        <v>4</v>
      </c>
      <c r="L4" s="789">
        <f t="shared" si="1"/>
        <v>5</v>
      </c>
      <c r="M4" s="789">
        <f t="shared" si="1"/>
        <v>6</v>
      </c>
      <c r="N4" s="789">
        <f t="shared" si="1"/>
        <v>7</v>
      </c>
      <c r="O4" s="789">
        <f t="shared" si="1"/>
        <v>8</v>
      </c>
      <c r="P4" s="789">
        <f t="shared" si="1"/>
        <v>9</v>
      </c>
      <c r="Q4" s="789">
        <f t="shared" si="1"/>
        <v>10</v>
      </c>
      <c r="R4" s="789">
        <f t="shared" si="1"/>
        <v>11</v>
      </c>
      <c r="S4" s="789">
        <f t="shared" si="1"/>
        <v>12</v>
      </c>
      <c r="T4" s="789">
        <f t="shared" si="1"/>
        <v>13</v>
      </c>
      <c r="U4" s="789">
        <f t="shared" si="1"/>
        <v>14</v>
      </c>
      <c r="V4" s="789">
        <f t="shared" si="1"/>
        <v>15</v>
      </c>
      <c r="W4" s="789">
        <f t="shared" si="1"/>
        <v>16</v>
      </c>
      <c r="X4" s="789">
        <f t="shared" si="1"/>
        <v>17</v>
      </c>
      <c r="Y4" s="789">
        <f t="shared" si="1"/>
        <v>18</v>
      </c>
      <c r="Z4" s="789">
        <f t="shared" si="1"/>
        <v>19</v>
      </c>
    </row>
    <row r="5" spans="2:26" ht="14" thickBot="1">
      <c r="B5" s="379" t="s">
        <v>782</v>
      </c>
      <c r="C5" s="790">
        <f>SUM(D5:AM5)</f>
        <v>985.07801770063588</v>
      </c>
      <c r="D5" s="790">
        <f>$L$45*D6</f>
        <v>0</v>
      </c>
      <c r="E5" s="790">
        <f>$L$45*E6</f>
        <v>147.76226127539996</v>
      </c>
      <c r="F5" s="790">
        <f t="shared" ref="F5:R5" si="2">$L$45*F6</f>
        <v>98.508174183599976</v>
      </c>
      <c r="G5" s="790">
        <f>$L$45*G6</f>
        <v>98.508174183599976</v>
      </c>
      <c r="H5" s="790">
        <f t="shared" si="2"/>
        <v>95.878699625956514</v>
      </c>
      <c r="I5" s="790">
        <f t="shared" si="2"/>
        <v>58.261429208676397</v>
      </c>
      <c r="J5" s="790">
        <f t="shared" si="2"/>
        <v>73.814176098050424</v>
      </c>
      <c r="K5" s="790">
        <f t="shared" si="2"/>
        <v>134.22055030231269</v>
      </c>
      <c r="L5" s="790">
        <f t="shared" si="2"/>
        <v>45.69977963240305</v>
      </c>
      <c r="M5" s="790">
        <f t="shared" si="2"/>
        <v>46.998174705916021</v>
      </c>
      <c r="N5" s="790">
        <f t="shared" si="2"/>
        <v>46.998174705916021</v>
      </c>
      <c r="O5" s="790">
        <f t="shared" si="2"/>
        <v>46.998174705916021</v>
      </c>
      <c r="P5" s="790">
        <f t="shared" si="2"/>
        <v>46.998174705916021</v>
      </c>
      <c r="Q5" s="790">
        <f t="shared" si="2"/>
        <v>18.79926988236641</v>
      </c>
      <c r="R5" s="790">
        <f t="shared" si="2"/>
        <v>25.632804484606595</v>
      </c>
      <c r="S5" s="790"/>
      <c r="T5" s="790"/>
      <c r="U5" s="790"/>
      <c r="V5" s="790"/>
      <c r="W5" s="790"/>
      <c r="X5" s="790"/>
      <c r="Y5" s="790"/>
      <c r="Z5" s="790"/>
    </row>
    <row r="6" spans="2:26" ht="14" thickTop="1">
      <c r="B6" s="791"/>
      <c r="C6" s="1637">
        <f>SUM(D6:AM6)</f>
        <v>0.99999621946564909</v>
      </c>
      <c r="D6" s="1638">
        <f t="shared" ref="D6:Z6" si="3">L72</f>
        <v>0</v>
      </c>
      <c r="E6" s="1638">
        <f t="shared" si="3"/>
        <v>0.15</v>
      </c>
      <c r="F6" s="1638">
        <f t="shared" si="3"/>
        <v>0.1</v>
      </c>
      <c r="G6" s="1638">
        <f t="shared" si="3"/>
        <v>0.1</v>
      </c>
      <c r="H6" s="1638">
        <f t="shared" si="3"/>
        <v>9.7330704198473283E-2</v>
      </c>
      <c r="I6" s="1638">
        <f t="shared" si="3"/>
        <v>5.9143750954198465E-2</v>
      </c>
      <c r="J6" s="1638">
        <f t="shared" si="3"/>
        <v>7.49320314885496E-2</v>
      </c>
      <c r="K6" s="1638">
        <f t="shared" si="3"/>
        <v>0.1362532108778626</v>
      </c>
      <c r="L6" s="1638">
        <f t="shared" si="3"/>
        <v>4.639186545801529E-2</v>
      </c>
      <c r="M6" s="1638">
        <f t="shared" si="3"/>
        <v>4.7709923664122141E-2</v>
      </c>
      <c r="N6" s="1638">
        <f t="shared" si="3"/>
        <v>4.7709923664122141E-2</v>
      </c>
      <c r="O6" s="1638">
        <f t="shared" si="3"/>
        <v>4.7709923664122141E-2</v>
      </c>
      <c r="P6" s="1638">
        <f t="shared" si="3"/>
        <v>4.7709923664122141E-2</v>
      </c>
      <c r="Q6" s="1638">
        <f t="shared" si="3"/>
        <v>1.9083969465648856E-2</v>
      </c>
      <c r="R6" s="1638">
        <f t="shared" si="3"/>
        <v>2.6020992366412213E-2</v>
      </c>
      <c r="S6" s="1638">
        <f t="shared" si="3"/>
        <v>0</v>
      </c>
      <c r="T6" s="1638">
        <f t="shared" si="3"/>
        <v>0</v>
      </c>
      <c r="U6" s="1638">
        <f t="shared" si="3"/>
        <v>0</v>
      </c>
      <c r="V6" s="1638">
        <f t="shared" si="3"/>
        <v>0</v>
      </c>
      <c r="W6" s="1638">
        <f t="shared" si="3"/>
        <v>0</v>
      </c>
      <c r="X6" s="1638">
        <f t="shared" si="3"/>
        <v>0</v>
      </c>
      <c r="Y6" s="1638">
        <f t="shared" si="3"/>
        <v>0</v>
      </c>
      <c r="Z6" s="1638">
        <f t="shared" si="3"/>
        <v>0</v>
      </c>
    </row>
    <row r="7" spans="2:26" ht="15">
      <c r="H7" s="1065" t="s">
        <v>783</v>
      </c>
    </row>
    <row r="8" spans="2:26">
      <c r="B8" s="1727" t="s">
        <v>784</v>
      </c>
      <c r="C8" s="1727" t="s">
        <v>785</v>
      </c>
      <c r="D8" s="1727" t="s">
        <v>1664</v>
      </c>
      <c r="E8" s="1735" t="s">
        <v>786</v>
      </c>
      <c r="F8" s="1736"/>
      <c r="G8" s="1737"/>
      <c r="H8" s="1735" t="s">
        <v>787</v>
      </c>
      <c r="I8" s="1736"/>
      <c r="J8" s="1736"/>
      <c r="K8" s="1736"/>
      <c r="L8" s="1737"/>
      <c r="M8" s="1727" t="s">
        <v>788</v>
      </c>
      <c r="N8" s="1727" t="s">
        <v>789</v>
      </c>
    </row>
    <row r="9" spans="2:26">
      <c r="B9" s="1728"/>
      <c r="C9" s="1728"/>
      <c r="D9" s="1728"/>
      <c r="E9" s="1027" t="s">
        <v>790</v>
      </c>
      <c r="F9" s="1027" t="s">
        <v>791</v>
      </c>
      <c r="G9" s="1027" t="s">
        <v>792</v>
      </c>
      <c r="H9" s="1027" t="s">
        <v>793</v>
      </c>
      <c r="I9" s="1027" t="s">
        <v>794</v>
      </c>
      <c r="J9" s="1027" t="s">
        <v>795</v>
      </c>
      <c r="K9" s="1027" t="s">
        <v>796</v>
      </c>
      <c r="L9" s="1027" t="s">
        <v>797</v>
      </c>
      <c r="M9" s="1728"/>
      <c r="N9" s="1728"/>
    </row>
    <row r="10" spans="2:26">
      <c r="B10" s="1033">
        <v>1</v>
      </c>
      <c r="C10" s="1033" t="s">
        <v>798</v>
      </c>
      <c r="D10" s="1306">
        <v>236.108</v>
      </c>
      <c r="E10" s="1306">
        <v>34.386600000000001</v>
      </c>
      <c r="F10" s="1306">
        <v>11.6334</v>
      </c>
      <c r="G10" s="1306">
        <v>17.328399999999998</v>
      </c>
      <c r="H10" s="1306">
        <v>22.360199999999999</v>
      </c>
      <c r="I10" s="1306">
        <v>0</v>
      </c>
      <c r="J10" s="1306">
        <v>1.2371000000000001</v>
      </c>
      <c r="K10" s="1306">
        <v>0</v>
      </c>
      <c r="L10" s="1306">
        <f>SUM(H10:K10)</f>
        <v>23.597300000000001</v>
      </c>
      <c r="M10" s="1306">
        <f>SUM(E10:K10)</f>
        <v>86.945699999999988</v>
      </c>
      <c r="N10" s="1306">
        <f>D10+M10</f>
        <v>323.05369999999999</v>
      </c>
    </row>
    <row r="11" spans="2:26">
      <c r="B11" s="1060">
        <f>B10+1</f>
        <v>2</v>
      </c>
      <c r="C11" s="1060" t="s">
        <v>799</v>
      </c>
      <c r="D11" s="1306">
        <v>229.53460000000001</v>
      </c>
      <c r="E11" s="1306">
        <v>19.7653</v>
      </c>
      <c r="F11" s="1306">
        <v>12.792400000000001</v>
      </c>
      <c r="G11" s="1306">
        <v>19.227</v>
      </c>
      <c r="H11" s="1306">
        <v>13.929500000000001</v>
      </c>
      <c r="I11" s="1306">
        <v>0</v>
      </c>
      <c r="J11" s="1306">
        <v>0</v>
      </c>
      <c r="K11" s="1306">
        <v>0.35620000000000002</v>
      </c>
      <c r="L11" s="1306">
        <f t="shared" ref="L11:L17" si="4">SUM(H11:K11)</f>
        <v>14.2857</v>
      </c>
      <c r="M11" s="1306">
        <f>SUM(E11:K11)</f>
        <v>66.070400000000006</v>
      </c>
      <c r="N11" s="1306">
        <f t="shared" ref="N11:N17" si="5">D11+M11</f>
        <v>295.60500000000002</v>
      </c>
    </row>
    <row r="12" spans="2:26">
      <c r="B12" s="1060">
        <f t="shared" ref="B12:B17" si="6">B11+1</f>
        <v>3</v>
      </c>
      <c r="C12" s="1060" t="s">
        <v>800</v>
      </c>
      <c r="D12" s="1306">
        <v>134.82400000000001</v>
      </c>
      <c r="E12" s="1306">
        <v>8.9761000000000006</v>
      </c>
      <c r="F12" s="1306">
        <v>18.413599999999999</v>
      </c>
      <c r="G12" s="1306">
        <v>15.831200000000001</v>
      </c>
      <c r="H12" s="1306">
        <v>8.6483000000000008</v>
      </c>
      <c r="I12" s="1306">
        <v>0</v>
      </c>
      <c r="J12" s="1306">
        <v>0</v>
      </c>
      <c r="K12" s="1306">
        <v>0</v>
      </c>
      <c r="L12" s="1306">
        <f t="shared" si="4"/>
        <v>8.6483000000000008</v>
      </c>
      <c r="M12" s="1306">
        <f t="shared" ref="M12:M17" si="7">SUM(E12:K12)</f>
        <v>51.869199999999999</v>
      </c>
      <c r="N12" s="1306">
        <f t="shared" si="5"/>
        <v>186.69320000000002</v>
      </c>
    </row>
    <row r="13" spans="2:26">
      <c r="B13" s="1060">
        <f t="shared" si="6"/>
        <v>4</v>
      </c>
      <c r="C13" s="1060" t="s">
        <v>801</v>
      </c>
      <c r="D13" s="1306">
        <v>91.606999999999999</v>
      </c>
      <c r="E13" s="1306">
        <v>2.0436999999999999</v>
      </c>
      <c r="F13" s="1306">
        <v>40.125300000000003</v>
      </c>
      <c r="G13" s="1306">
        <v>14.641400000000001</v>
      </c>
      <c r="H13" s="1306">
        <v>28.311599999999999</v>
      </c>
      <c r="I13" s="1306">
        <v>0</v>
      </c>
      <c r="J13" s="1306">
        <v>0</v>
      </c>
      <c r="K13" s="1306">
        <v>0</v>
      </c>
      <c r="L13" s="1306">
        <f t="shared" si="4"/>
        <v>28.311599999999999</v>
      </c>
      <c r="M13" s="1306">
        <f t="shared" si="7"/>
        <v>85.122</v>
      </c>
      <c r="N13" s="1306">
        <f t="shared" si="5"/>
        <v>176.72899999999998</v>
      </c>
    </row>
    <row r="14" spans="2:26">
      <c r="B14" s="1060">
        <f t="shared" si="6"/>
        <v>5</v>
      </c>
      <c r="C14" s="1060" t="s">
        <v>802</v>
      </c>
      <c r="D14" s="1306">
        <v>9.8535000000000004</v>
      </c>
      <c r="E14" s="1306">
        <v>1.19</v>
      </c>
      <c r="F14" s="1306">
        <v>2.6955</v>
      </c>
      <c r="G14" s="1306">
        <v>6.2880000000000003</v>
      </c>
      <c r="H14" s="1306">
        <v>1.7655000000000001</v>
      </c>
      <c r="I14" s="1306">
        <v>0</v>
      </c>
      <c r="J14" s="1306">
        <v>6.2477</v>
      </c>
      <c r="K14" s="1306">
        <v>0</v>
      </c>
      <c r="L14" s="1306">
        <f t="shared" si="4"/>
        <v>8.0131999999999994</v>
      </c>
      <c r="M14" s="1306">
        <f t="shared" si="7"/>
        <v>18.186700000000002</v>
      </c>
      <c r="N14" s="1306">
        <f t="shared" si="5"/>
        <v>28.040200000000002</v>
      </c>
    </row>
    <row r="15" spans="2:26">
      <c r="B15" s="1060">
        <f t="shared" si="6"/>
        <v>6</v>
      </c>
      <c r="C15" s="1060" t="s">
        <v>803</v>
      </c>
      <c r="D15" s="1306">
        <v>23.314399999999999</v>
      </c>
      <c r="E15" s="1306">
        <v>0.1943</v>
      </c>
      <c r="F15" s="1306">
        <v>0</v>
      </c>
      <c r="G15" s="1306">
        <v>0</v>
      </c>
      <c r="H15" s="1306">
        <v>8.5511999999999997</v>
      </c>
      <c r="I15" s="1306">
        <v>0</v>
      </c>
      <c r="J15" s="1306">
        <v>0</v>
      </c>
      <c r="K15" s="1306">
        <v>0</v>
      </c>
      <c r="L15" s="1306">
        <f t="shared" si="4"/>
        <v>8.5511999999999997</v>
      </c>
      <c r="M15" s="1306">
        <f t="shared" si="7"/>
        <v>8.7454999999999998</v>
      </c>
      <c r="N15" s="1306">
        <f t="shared" si="5"/>
        <v>32.059899999999999</v>
      </c>
    </row>
    <row r="16" spans="2:26">
      <c r="B16" s="1060">
        <f t="shared" si="6"/>
        <v>7</v>
      </c>
      <c r="C16" s="1060" t="s">
        <v>804</v>
      </c>
      <c r="D16" s="1306">
        <v>3.7277999999999998</v>
      </c>
      <c r="E16" s="1306">
        <v>0.49249999999999999</v>
      </c>
      <c r="F16" s="1306">
        <v>0</v>
      </c>
      <c r="G16" s="1306">
        <v>1.61E-2</v>
      </c>
      <c r="H16" s="1306">
        <v>0.52170000000000005</v>
      </c>
      <c r="I16" s="1306">
        <v>0</v>
      </c>
      <c r="J16" s="1306">
        <v>0</v>
      </c>
      <c r="K16" s="1306">
        <v>0</v>
      </c>
      <c r="L16" s="1306">
        <f t="shared" si="4"/>
        <v>0.52170000000000005</v>
      </c>
      <c r="M16" s="1306">
        <f>SUM(E16:K16)</f>
        <v>1.0303</v>
      </c>
      <c r="N16" s="1306">
        <f t="shared" si="5"/>
        <v>4.7580999999999998</v>
      </c>
    </row>
    <row r="17" spans="2:14">
      <c r="B17" s="1060">
        <f t="shared" si="6"/>
        <v>8</v>
      </c>
      <c r="C17" s="1060" t="s">
        <v>805</v>
      </c>
      <c r="D17" s="1306">
        <v>1.0609</v>
      </c>
      <c r="E17" s="1306">
        <v>0</v>
      </c>
      <c r="F17" s="1306">
        <v>0</v>
      </c>
      <c r="G17" s="1306">
        <v>0</v>
      </c>
      <c r="H17" s="1306">
        <v>0</v>
      </c>
      <c r="I17" s="1306">
        <v>0</v>
      </c>
      <c r="J17" s="1306">
        <v>0</v>
      </c>
      <c r="K17" s="1306">
        <v>0</v>
      </c>
      <c r="L17" s="1306">
        <f t="shared" si="4"/>
        <v>0</v>
      </c>
      <c r="M17" s="1306">
        <f t="shared" si="7"/>
        <v>0</v>
      </c>
      <c r="N17" s="1306">
        <f t="shared" si="5"/>
        <v>1.0609</v>
      </c>
    </row>
    <row r="18" spans="2:14" ht="15">
      <c r="B18" s="1060"/>
      <c r="C18" s="1062" t="s">
        <v>267</v>
      </c>
      <c r="D18" s="1307">
        <f>SUM(D10:D17)</f>
        <v>730.03019999999992</v>
      </c>
      <c r="E18" s="1307">
        <f t="shared" ref="E18:N18" si="8">SUM(E10:E17)</f>
        <v>67.048500000000004</v>
      </c>
      <c r="F18" s="1307">
        <f t="shared" si="8"/>
        <v>85.660199999999989</v>
      </c>
      <c r="G18" s="1307">
        <f t="shared" si="8"/>
        <v>73.332099999999997</v>
      </c>
      <c r="H18" s="1307">
        <f t="shared" si="8"/>
        <v>84.08799999999998</v>
      </c>
      <c r="I18" s="1307">
        <f t="shared" si="8"/>
        <v>0</v>
      </c>
      <c r="J18" s="1307">
        <f t="shared" si="8"/>
        <v>7.4847999999999999</v>
      </c>
      <c r="K18" s="1307">
        <f t="shared" si="8"/>
        <v>0.35620000000000002</v>
      </c>
      <c r="L18" s="1307">
        <f>SUM(L10:L17)</f>
        <v>91.928999999999988</v>
      </c>
      <c r="M18" s="1307">
        <f>SUM(M10:M17)</f>
        <v>317.96979999999996</v>
      </c>
      <c r="N18" s="1307">
        <f t="shared" si="8"/>
        <v>1048</v>
      </c>
    </row>
    <row r="19" spans="2:14" ht="15">
      <c r="D19" s="792"/>
      <c r="E19" s="792"/>
      <c r="F19" s="792"/>
      <c r="G19" s="792"/>
      <c r="H19" s="793" t="s">
        <v>806</v>
      </c>
      <c r="I19" s="792"/>
      <c r="J19" s="792"/>
      <c r="K19" s="792"/>
      <c r="L19" s="792"/>
      <c r="M19" s="792"/>
      <c r="N19" s="792"/>
    </row>
    <row r="20" spans="2:14">
      <c r="B20" s="1727" t="s">
        <v>784</v>
      </c>
      <c r="C20" s="1727" t="s">
        <v>785</v>
      </c>
      <c r="D20" s="1729" t="s">
        <v>807</v>
      </c>
      <c r="E20" s="1731" t="s">
        <v>786</v>
      </c>
      <c r="F20" s="1732"/>
      <c r="G20" s="1733"/>
      <c r="H20" s="1731" t="s">
        <v>787</v>
      </c>
      <c r="I20" s="1732"/>
      <c r="J20" s="1732"/>
      <c r="K20" s="1732"/>
      <c r="L20" s="1733"/>
      <c r="M20" s="1729" t="s">
        <v>788</v>
      </c>
      <c r="N20" s="1729" t="s">
        <v>1663</v>
      </c>
    </row>
    <row r="21" spans="2:14">
      <c r="B21" s="1728"/>
      <c r="C21" s="1728"/>
      <c r="D21" s="1730"/>
      <c r="E21" s="1308" t="s">
        <v>790</v>
      </c>
      <c r="F21" s="1308" t="s">
        <v>791</v>
      </c>
      <c r="G21" s="1308" t="s">
        <v>792</v>
      </c>
      <c r="H21" s="1308" t="s">
        <v>793</v>
      </c>
      <c r="I21" s="1308" t="s">
        <v>794</v>
      </c>
      <c r="J21" s="1308" t="s">
        <v>795</v>
      </c>
      <c r="K21" s="1308" t="s">
        <v>796</v>
      </c>
      <c r="L21" s="1308" t="s">
        <v>797</v>
      </c>
      <c r="M21" s="1730"/>
      <c r="N21" s="1730"/>
    </row>
    <row r="22" spans="2:14">
      <c r="B22" s="1033">
        <v>1</v>
      </c>
      <c r="C22" s="1033" t="s">
        <v>798</v>
      </c>
      <c r="D22" s="1309">
        <f>D10*G36</f>
        <v>34645.543487999996</v>
      </c>
      <c r="E22" s="1309">
        <f>E10*D36</f>
        <v>1401.597816</v>
      </c>
      <c r="F22" s="1309">
        <f t="shared" ref="F22:F29" si="9">F10*D36</f>
        <v>474.17738399999996</v>
      </c>
      <c r="G22" s="1309">
        <f t="shared" ref="G22:G29" si="10">G10*D36</f>
        <v>706.30558399999995</v>
      </c>
      <c r="H22" s="1309">
        <f t="shared" ref="H22:H29" si="11">H10*H36</f>
        <v>0</v>
      </c>
      <c r="I22" s="1309">
        <v>0</v>
      </c>
      <c r="J22" s="1309">
        <f t="shared" ref="J22:J29" si="12">J10*H36</f>
        <v>0</v>
      </c>
      <c r="K22" s="1309">
        <f t="shared" ref="K22:K29" si="13">K10*H36</f>
        <v>0</v>
      </c>
      <c r="L22" s="1309">
        <f>SUM(H22:K22)</f>
        <v>0</v>
      </c>
      <c r="M22" s="1309">
        <f>SUM(E22:K22)</f>
        <v>2582.0807839999998</v>
      </c>
      <c r="N22" s="1309">
        <f>D22+M22</f>
        <v>37227.624271999994</v>
      </c>
    </row>
    <row r="23" spans="2:14">
      <c r="B23" s="1060">
        <f>B22+1</f>
        <v>2</v>
      </c>
      <c r="C23" s="1060" t="s">
        <v>799</v>
      </c>
      <c r="D23" s="1309">
        <f t="shared" ref="D23:D29" si="14">D11*G37</f>
        <v>35077.477572000003</v>
      </c>
      <c r="E23" s="1309">
        <f t="shared" ref="E23:E29" si="15">E11*D37</f>
        <v>839.03698500000007</v>
      </c>
      <c r="F23" s="1309">
        <f t="shared" si="9"/>
        <v>543.0373800000001</v>
      </c>
      <c r="G23" s="1309">
        <f t="shared" si="10"/>
        <v>816.18615000000011</v>
      </c>
      <c r="H23" s="1309">
        <f t="shared" si="11"/>
        <v>0</v>
      </c>
      <c r="I23" s="1310">
        <v>0</v>
      </c>
      <c r="J23" s="1309">
        <f t="shared" si="12"/>
        <v>0</v>
      </c>
      <c r="K23" s="1309">
        <f t="shared" si="13"/>
        <v>0</v>
      </c>
      <c r="L23" s="1309">
        <f t="shared" ref="L23:L29" si="16">SUM(H23:K23)</f>
        <v>0</v>
      </c>
      <c r="M23" s="1309">
        <f t="shared" ref="M23:M29" si="17">SUM(E23:K23)</f>
        <v>2198.2605150000004</v>
      </c>
      <c r="N23" s="1309">
        <f t="shared" ref="N23:N28" si="18">D23+M23</f>
        <v>37275.738087000005</v>
      </c>
    </row>
    <row r="24" spans="2:14">
      <c r="B24" s="1060">
        <f t="shared" ref="B24:B29" si="19">B23+1</f>
        <v>3</v>
      </c>
      <c r="C24" s="1060" t="s">
        <v>800</v>
      </c>
      <c r="D24" s="1309">
        <f t="shared" si="14"/>
        <v>11415.817728</v>
      </c>
      <c r="E24" s="1309">
        <f t="shared" si="15"/>
        <v>211.11787200000001</v>
      </c>
      <c r="F24" s="1309">
        <f t="shared" si="9"/>
        <v>433.08787199999995</v>
      </c>
      <c r="G24" s="1309">
        <f t="shared" si="10"/>
        <v>372.34982400000001</v>
      </c>
      <c r="H24" s="1309">
        <f t="shared" si="11"/>
        <v>0</v>
      </c>
      <c r="I24" s="1310">
        <v>0</v>
      </c>
      <c r="J24" s="1309">
        <f t="shared" si="12"/>
        <v>0</v>
      </c>
      <c r="K24" s="1309">
        <f t="shared" si="13"/>
        <v>0</v>
      </c>
      <c r="L24" s="1309">
        <f t="shared" si="16"/>
        <v>0</v>
      </c>
      <c r="M24" s="1309">
        <f t="shared" si="17"/>
        <v>1016.555568</v>
      </c>
      <c r="N24" s="1309">
        <f t="shared" si="18"/>
        <v>12432.373296</v>
      </c>
    </row>
    <row r="25" spans="2:14">
      <c r="B25" s="1060">
        <f t="shared" si="19"/>
        <v>4</v>
      </c>
      <c r="C25" s="1060" t="s">
        <v>801</v>
      </c>
      <c r="D25" s="1309">
        <f t="shared" si="14"/>
        <v>7110.1689120000001</v>
      </c>
      <c r="E25" s="1309">
        <f t="shared" si="15"/>
        <v>44.062171999999997</v>
      </c>
      <c r="F25" s="1309">
        <f t="shared" si="9"/>
        <v>865.10146799999995</v>
      </c>
      <c r="G25" s="1309">
        <f t="shared" si="10"/>
        <v>315.66858400000001</v>
      </c>
      <c r="H25" s="1309">
        <f t="shared" si="11"/>
        <v>0</v>
      </c>
      <c r="I25" s="1310">
        <v>0</v>
      </c>
      <c r="J25" s="1309">
        <f t="shared" si="12"/>
        <v>0</v>
      </c>
      <c r="K25" s="1309">
        <f t="shared" si="13"/>
        <v>0</v>
      </c>
      <c r="L25" s="1309">
        <f t="shared" si="16"/>
        <v>0</v>
      </c>
      <c r="M25" s="1309">
        <f t="shared" si="17"/>
        <v>1224.832224</v>
      </c>
      <c r="N25" s="1309">
        <f t="shared" si="18"/>
        <v>8335.0011360000008</v>
      </c>
    </row>
    <row r="26" spans="2:14">
      <c r="B26" s="1060">
        <f t="shared" si="19"/>
        <v>5</v>
      </c>
      <c r="C26" s="1060" t="s">
        <v>802</v>
      </c>
      <c r="D26" s="1309">
        <f t="shared" si="14"/>
        <v>774.36685799999998</v>
      </c>
      <c r="E26" s="1309">
        <f t="shared" si="15"/>
        <v>25.977699999999995</v>
      </c>
      <c r="F26" s="1309">
        <f t="shared" si="9"/>
        <v>58.842764999999993</v>
      </c>
      <c r="G26" s="1309">
        <f t="shared" si="10"/>
        <v>137.26704000000001</v>
      </c>
      <c r="H26" s="1309">
        <f t="shared" si="11"/>
        <v>0</v>
      </c>
      <c r="I26" s="1310">
        <v>0</v>
      </c>
      <c r="J26" s="1309">
        <f t="shared" si="12"/>
        <v>0</v>
      </c>
      <c r="K26" s="1309">
        <f t="shared" si="13"/>
        <v>0</v>
      </c>
      <c r="L26" s="1309">
        <f t="shared" si="16"/>
        <v>0</v>
      </c>
      <c r="M26" s="1309">
        <f t="shared" si="17"/>
        <v>222.08750499999999</v>
      </c>
      <c r="N26" s="1309">
        <f t="shared" si="18"/>
        <v>996.45436299999994</v>
      </c>
    </row>
    <row r="27" spans="2:14">
      <c r="B27" s="1060">
        <f t="shared" si="19"/>
        <v>6</v>
      </c>
      <c r="C27" s="1060" t="s">
        <v>803</v>
      </c>
      <c r="D27" s="1309">
        <f t="shared" si="14"/>
        <v>1253.9416896</v>
      </c>
      <c r="E27" s="1309">
        <f t="shared" si="15"/>
        <v>2.9028419999999997</v>
      </c>
      <c r="F27" s="1309">
        <f t="shared" si="9"/>
        <v>0</v>
      </c>
      <c r="G27" s="1309">
        <f t="shared" si="10"/>
        <v>0</v>
      </c>
      <c r="H27" s="1309">
        <f t="shared" si="11"/>
        <v>0</v>
      </c>
      <c r="I27" s="1310">
        <v>0</v>
      </c>
      <c r="J27" s="1309">
        <f t="shared" si="12"/>
        <v>0</v>
      </c>
      <c r="K27" s="1309">
        <f t="shared" si="13"/>
        <v>0</v>
      </c>
      <c r="L27" s="1309">
        <f t="shared" si="16"/>
        <v>0</v>
      </c>
      <c r="M27" s="1309">
        <f>SUM(E27:K27)</f>
        <v>2.9028419999999997</v>
      </c>
      <c r="N27" s="1309">
        <f t="shared" si="18"/>
        <v>1256.8445316</v>
      </c>
    </row>
    <row r="28" spans="2:14">
      <c r="B28" s="1060">
        <f t="shared" si="19"/>
        <v>7</v>
      </c>
      <c r="C28" s="1060" t="s">
        <v>804</v>
      </c>
      <c r="D28" s="1309">
        <f t="shared" si="14"/>
        <v>525.39613199999997</v>
      </c>
      <c r="E28" s="1309">
        <f t="shared" si="15"/>
        <v>19.281375000000001</v>
      </c>
      <c r="F28" s="1309">
        <f t="shared" si="9"/>
        <v>0</v>
      </c>
      <c r="G28" s="1309">
        <f t="shared" si="10"/>
        <v>0.63031499999999996</v>
      </c>
      <c r="H28" s="1309">
        <f t="shared" si="11"/>
        <v>0</v>
      </c>
      <c r="I28" s="1310">
        <v>0</v>
      </c>
      <c r="J28" s="1309">
        <f t="shared" si="12"/>
        <v>0</v>
      </c>
      <c r="K28" s="1309">
        <f t="shared" si="13"/>
        <v>0</v>
      </c>
      <c r="L28" s="1309">
        <f t="shared" si="16"/>
        <v>0</v>
      </c>
      <c r="M28" s="1309">
        <f t="shared" si="17"/>
        <v>19.91169</v>
      </c>
      <c r="N28" s="1309">
        <f t="shared" si="18"/>
        <v>545.30782199999999</v>
      </c>
    </row>
    <row r="29" spans="2:14">
      <c r="B29" s="1060">
        <f t="shared" si="19"/>
        <v>8</v>
      </c>
      <c r="C29" s="1060" t="s">
        <v>805</v>
      </c>
      <c r="D29" s="1309">
        <f t="shared" si="14"/>
        <v>438.83067600000004</v>
      </c>
      <c r="E29" s="1309">
        <f t="shared" si="15"/>
        <v>0</v>
      </c>
      <c r="F29" s="1309">
        <f t="shared" si="9"/>
        <v>0</v>
      </c>
      <c r="G29" s="1309">
        <f t="shared" si="10"/>
        <v>0</v>
      </c>
      <c r="H29" s="1309">
        <f t="shared" si="11"/>
        <v>0</v>
      </c>
      <c r="I29" s="1310">
        <v>0</v>
      </c>
      <c r="J29" s="1309">
        <f t="shared" si="12"/>
        <v>0</v>
      </c>
      <c r="K29" s="1309">
        <f t="shared" si="13"/>
        <v>0</v>
      </c>
      <c r="L29" s="1309">
        <f t="shared" si="16"/>
        <v>0</v>
      </c>
      <c r="M29" s="1309">
        <f t="shared" si="17"/>
        <v>0</v>
      </c>
      <c r="N29" s="1309">
        <f>D29+M29</f>
        <v>438.83067600000004</v>
      </c>
    </row>
    <row r="30" spans="2:14" ht="15">
      <c r="B30" s="1060"/>
      <c r="C30" s="1062" t="s">
        <v>808</v>
      </c>
      <c r="D30" s="1307">
        <f>SUM(D22:D29)</f>
        <v>91241.543055599977</v>
      </c>
      <c r="E30" s="1307">
        <f t="shared" ref="E30:L30" si="20">SUM(E22:E29)</f>
        <v>2543.9767619999998</v>
      </c>
      <c r="F30" s="1307">
        <f t="shared" si="20"/>
        <v>2374.2468689999996</v>
      </c>
      <c r="G30" s="1307">
        <f t="shared" si="20"/>
        <v>2348.4074970000001</v>
      </c>
      <c r="H30" s="1307">
        <f t="shared" si="20"/>
        <v>0</v>
      </c>
      <c r="I30" s="1307">
        <f t="shared" si="20"/>
        <v>0</v>
      </c>
      <c r="J30" s="1307">
        <f t="shared" si="20"/>
        <v>0</v>
      </c>
      <c r="K30" s="1307">
        <f t="shared" si="20"/>
        <v>0</v>
      </c>
      <c r="L30" s="1307">
        <f t="shared" si="20"/>
        <v>0</v>
      </c>
      <c r="M30" s="1307">
        <f>SUM(M22:M29)</f>
        <v>7266.631128</v>
      </c>
      <c r="N30" s="1307">
        <f>SUM(N22:N29)+F58</f>
        <v>98535.794183599995</v>
      </c>
    </row>
    <row r="31" spans="2:14" ht="15">
      <c r="B31" s="629"/>
      <c r="C31" s="1062" t="s">
        <v>597</v>
      </c>
      <c r="D31" s="1311">
        <f>D30/100</f>
        <v>912.41543055599982</v>
      </c>
      <c r="E31" s="1311">
        <f t="shared" ref="E31:K31" si="21">E30/100</f>
        <v>25.439767619999998</v>
      </c>
      <c r="F31" s="1311">
        <f t="shared" si="21"/>
        <v>23.742468689999995</v>
      </c>
      <c r="G31" s="1311">
        <f t="shared" si="21"/>
        <v>23.484074970000002</v>
      </c>
      <c r="H31" s="1311">
        <f t="shared" si="21"/>
        <v>0</v>
      </c>
      <c r="I31" s="1311">
        <f t="shared" si="21"/>
        <v>0</v>
      </c>
      <c r="J31" s="1311">
        <f>J30/100</f>
        <v>0</v>
      </c>
      <c r="K31" s="1311">
        <f t="shared" si="21"/>
        <v>0</v>
      </c>
      <c r="L31" s="1311">
        <f>L30/100</f>
        <v>0</v>
      </c>
      <c r="M31" s="1311">
        <f>M30/100</f>
        <v>72.666311280000002</v>
      </c>
      <c r="N31" s="1311">
        <f>N30/100</f>
        <v>985.35794183600001</v>
      </c>
    </row>
    <row r="34" spans="3:12">
      <c r="C34" s="1729" t="s">
        <v>785</v>
      </c>
      <c r="D34" s="1729" t="s">
        <v>809</v>
      </c>
      <c r="E34" s="1729" t="s">
        <v>810</v>
      </c>
      <c r="F34" s="1729" t="s">
        <v>811</v>
      </c>
      <c r="G34" s="1729" t="s">
        <v>808</v>
      </c>
      <c r="H34" s="1734" t="s">
        <v>812</v>
      </c>
      <c r="J34" s="1312" t="s">
        <v>813</v>
      </c>
      <c r="K34" s="794" t="s">
        <v>88</v>
      </c>
      <c r="L34" s="1313" t="s">
        <v>89</v>
      </c>
    </row>
    <row r="35" spans="3:12">
      <c r="C35" s="1730"/>
      <c r="D35" s="1730"/>
      <c r="E35" s="1730"/>
      <c r="F35" s="1730"/>
      <c r="G35" s="1730"/>
      <c r="H35" s="1734"/>
      <c r="J35" s="795" t="s">
        <v>814</v>
      </c>
      <c r="K35" s="796" t="s">
        <v>815</v>
      </c>
      <c r="L35" s="1314">
        <f>D18</f>
        <v>730.03019999999992</v>
      </c>
    </row>
    <row r="36" spans="3:12">
      <c r="C36" s="1315" t="s">
        <v>798</v>
      </c>
      <c r="D36" s="1315">
        <v>40.76</v>
      </c>
      <c r="E36" s="1315">
        <f>D36*1.8</f>
        <v>73.367999999999995</v>
      </c>
      <c r="F36" s="1315">
        <f>E36*100%</f>
        <v>73.367999999999995</v>
      </c>
      <c r="G36" s="1315">
        <f>E36+F36</f>
        <v>146.73599999999999</v>
      </c>
      <c r="H36" s="1316">
        <v>0</v>
      </c>
      <c r="J36" s="1317" t="s">
        <v>816</v>
      </c>
      <c r="K36" s="99" t="s">
        <v>815</v>
      </c>
      <c r="L36" s="797">
        <f>SUM(E18:G18)</f>
        <v>226.04079999999999</v>
      </c>
    </row>
    <row r="37" spans="3:12">
      <c r="C37" s="1315" t="s">
        <v>799</v>
      </c>
      <c r="D37" s="1315">
        <v>42.45</v>
      </c>
      <c r="E37" s="1315">
        <f t="shared" ref="E37:E43" si="22">D37*1.8</f>
        <v>76.410000000000011</v>
      </c>
      <c r="F37" s="1315">
        <f t="shared" ref="F37:F43" si="23">E37*100%</f>
        <v>76.410000000000011</v>
      </c>
      <c r="G37" s="1315">
        <f t="shared" ref="G37:G43" si="24">E37+F37</f>
        <v>152.82000000000002</v>
      </c>
      <c r="H37" s="1316">
        <v>0</v>
      </c>
      <c r="J37" s="1317" t="s">
        <v>817</v>
      </c>
      <c r="K37" s="99" t="s">
        <v>815</v>
      </c>
      <c r="L37" s="797">
        <f>L18</f>
        <v>91.928999999999988</v>
      </c>
    </row>
    <row r="38" spans="3:12">
      <c r="C38" s="1315" t="s">
        <v>800</v>
      </c>
      <c r="D38" s="1315">
        <v>23.52</v>
      </c>
      <c r="E38" s="1315">
        <f t="shared" si="22"/>
        <v>42.335999999999999</v>
      </c>
      <c r="F38" s="1315">
        <f t="shared" si="23"/>
        <v>42.335999999999999</v>
      </c>
      <c r="G38" s="1315">
        <f t="shared" si="24"/>
        <v>84.671999999999997</v>
      </c>
      <c r="H38" s="1316">
        <v>0</v>
      </c>
      <c r="J38" s="525" t="s">
        <v>267</v>
      </c>
      <c r="K38" s="798" t="s">
        <v>815</v>
      </c>
      <c r="L38" s="799">
        <f>SUM(L35:L37)</f>
        <v>1048</v>
      </c>
    </row>
    <row r="39" spans="3:12">
      <c r="C39" s="1315" t="s">
        <v>801</v>
      </c>
      <c r="D39" s="1315">
        <v>21.56</v>
      </c>
      <c r="E39" s="1315">
        <f t="shared" si="22"/>
        <v>38.808</v>
      </c>
      <c r="F39" s="1315">
        <f t="shared" si="23"/>
        <v>38.808</v>
      </c>
      <c r="G39" s="1315">
        <f t="shared" si="24"/>
        <v>77.616</v>
      </c>
      <c r="H39" s="1316">
        <v>0</v>
      </c>
    </row>
    <row r="40" spans="3:12">
      <c r="C40" s="1315" t="s">
        <v>802</v>
      </c>
      <c r="D40" s="1315">
        <v>21.83</v>
      </c>
      <c r="E40" s="1315">
        <f t="shared" si="22"/>
        <v>39.293999999999997</v>
      </c>
      <c r="F40" s="1315">
        <f t="shared" si="23"/>
        <v>39.293999999999997</v>
      </c>
      <c r="G40" s="1315">
        <f t="shared" si="24"/>
        <v>78.587999999999994</v>
      </c>
      <c r="H40" s="1316">
        <v>0</v>
      </c>
    </row>
    <row r="41" spans="3:12">
      <c r="C41" s="1315" t="s">
        <v>803</v>
      </c>
      <c r="D41" s="1315">
        <v>14.94</v>
      </c>
      <c r="E41" s="1315">
        <f t="shared" si="22"/>
        <v>26.891999999999999</v>
      </c>
      <c r="F41" s="1315">
        <f t="shared" si="23"/>
        <v>26.891999999999999</v>
      </c>
      <c r="G41" s="1315">
        <f t="shared" si="24"/>
        <v>53.783999999999999</v>
      </c>
      <c r="H41" s="1316">
        <v>0</v>
      </c>
      <c r="J41" s="1312" t="s">
        <v>813</v>
      </c>
      <c r="K41" s="794" t="s">
        <v>88</v>
      </c>
      <c r="L41" s="1313" t="s">
        <v>89</v>
      </c>
    </row>
    <row r="42" spans="3:12">
      <c r="C42" s="1315" t="s">
        <v>804</v>
      </c>
      <c r="D42" s="1315">
        <v>39.15</v>
      </c>
      <c r="E42" s="1315">
        <f t="shared" si="22"/>
        <v>70.47</v>
      </c>
      <c r="F42" s="1315">
        <f t="shared" si="23"/>
        <v>70.47</v>
      </c>
      <c r="G42" s="1315">
        <f t="shared" si="24"/>
        <v>140.94</v>
      </c>
      <c r="H42" s="1316">
        <v>0</v>
      </c>
      <c r="J42" s="795" t="s">
        <v>814</v>
      </c>
      <c r="K42" s="796" t="s">
        <v>134</v>
      </c>
      <c r="L42" s="1314">
        <f>D31</f>
        <v>912.41543055599982</v>
      </c>
    </row>
    <row r="43" spans="3:12">
      <c r="C43" s="1315" t="s">
        <v>805</v>
      </c>
      <c r="D43" s="1315">
        <v>114.9</v>
      </c>
      <c r="E43" s="1315">
        <f t="shared" si="22"/>
        <v>206.82000000000002</v>
      </c>
      <c r="F43" s="1315">
        <f t="shared" si="23"/>
        <v>206.82000000000002</v>
      </c>
      <c r="G43" s="1315">
        <f t="shared" si="24"/>
        <v>413.64000000000004</v>
      </c>
      <c r="H43" s="1316">
        <v>0</v>
      </c>
      <c r="J43" s="1317" t="s">
        <v>818</v>
      </c>
      <c r="K43" s="99" t="s">
        <v>134</v>
      </c>
      <c r="L43" s="797">
        <f>SUM(E31:G31)</f>
        <v>72.666311280000002</v>
      </c>
    </row>
    <row r="44" spans="3:12" ht="15">
      <c r="C44" s="1318" t="s">
        <v>267</v>
      </c>
      <c r="D44" s="1315"/>
      <c r="E44" s="1315"/>
      <c r="F44" s="1315"/>
      <c r="G44" s="1315"/>
      <c r="H44" s="1316"/>
      <c r="J44" s="1317" t="s">
        <v>819</v>
      </c>
      <c r="K44" s="99" t="s">
        <v>134</v>
      </c>
      <c r="L44" s="797">
        <f>SUM(L31)</f>
        <v>0</v>
      </c>
    </row>
    <row r="45" spans="3:12">
      <c r="J45" s="526" t="s">
        <v>267</v>
      </c>
      <c r="K45" s="800" t="s">
        <v>134</v>
      </c>
      <c r="L45" s="1319">
        <f>SUM(L42:L44)</f>
        <v>985.08174183599976</v>
      </c>
    </row>
    <row r="48" spans="3:12">
      <c r="C48" s="1064" t="s">
        <v>820</v>
      </c>
    </row>
    <row r="49" spans="3:34">
      <c r="C49" s="1740" t="s">
        <v>821</v>
      </c>
      <c r="D49" s="1740"/>
      <c r="E49" s="1027" t="s">
        <v>88</v>
      </c>
      <c r="F49" s="1027" t="s">
        <v>89</v>
      </c>
    </row>
    <row r="50" spans="3:34">
      <c r="C50" s="1738" t="s">
        <v>822</v>
      </c>
      <c r="D50" s="1738"/>
      <c r="E50" s="1060" t="s">
        <v>823</v>
      </c>
      <c r="F50" s="1061">
        <v>11.29</v>
      </c>
    </row>
    <row r="51" spans="3:34">
      <c r="C51" s="1738" t="s">
        <v>824</v>
      </c>
      <c r="D51" s="1738"/>
      <c r="E51" s="1060" t="s">
        <v>823</v>
      </c>
      <c r="F51" s="1061">
        <v>1.1299999999999999</v>
      </c>
    </row>
    <row r="52" spans="3:34">
      <c r="C52" s="1738" t="s">
        <v>825</v>
      </c>
      <c r="D52" s="1738"/>
      <c r="E52" s="1060" t="s">
        <v>823</v>
      </c>
      <c r="F52" s="1061">
        <v>0</v>
      </c>
    </row>
    <row r="53" spans="3:34">
      <c r="C53" s="1738" t="s">
        <v>826</v>
      </c>
      <c r="D53" s="1738"/>
      <c r="E53" s="1060" t="s">
        <v>823</v>
      </c>
      <c r="F53" s="1061">
        <v>0</v>
      </c>
    </row>
    <row r="54" spans="3:34">
      <c r="C54" s="1738" t="s">
        <v>827</v>
      </c>
      <c r="D54" s="1738"/>
      <c r="E54" s="1060" t="s">
        <v>823</v>
      </c>
      <c r="F54" s="1061">
        <v>3.39</v>
      </c>
    </row>
    <row r="55" spans="3:34">
      <c r="C55" s="1738" t="s">
        <v>828</v>
      </c>
      <c r="D55" s="1738"/>
      <c r="E55" s="1060" t="s">
        <v>823</v>
      </c>
      <c r="F55" s="1061">
        <v>0</v>
      </c>
    </row>
    <row r="56" spans="3:34">
      <c r="C56" s="1738" t="s">
        <v>829</v>
      </c>
      <c r="D56" s="1738"/>
      <c r="E56" s="1060" t="s">
        <v>823</v>
      </c>
      <c r="F56" s="1061">
        <v>5.65</v>
      </c>
    </row>
    <row r="57" spans="3:34">
      <c r="C57" s="1738" t="s">
        <v>830</v>
      </c>
      <c r="D57" s="1738"/>
      <c r="E57" s="1060" t="s">
        <v>823</v>
      </c>
      <c r="F57" s="1061">
        <v>6.16</v>
      </c>
    </row>
    <row r="58" spans="3:34" ht="15">
      <c r="C58" s="1739" t="s">
        <v>267</v>
      </c>
      <c r="D58" s="1739"/>
      <c r="E58" s="1062" t="s">
        <v>823</v>
      </c>
      <c r="F58" s="1063">
        <f>SUM(F50:F57)</f>
        <v>27.62</v>
      </c>
    </row>
    <row r="63" spans="3:34" ht="14" thickBot="1">
      <c r="F63" s="1639" t="s">
        <v>1633</v>
      </c>
    </row>
    <row r="64" spans="3:34" ht="16" thickBot="1">
      <c r="E64" s="1606"/>
      <c r="F64" s="1724" t="s">
        <v>1620</v>
      </c>
      <c r="G64" s="1725"/>
      <c r="H64" s="1726"/>
      <c r="I64" s="1607"/>
      <c r="J64" s="1608" t="s">
        <v>1621</v>
      </c>
      <c r="K64" s="1609"/>
      <c r="L64" s="1607"/>
      <c r="M64" s="1607"/>
      <c r="N64" s="1607"/>
      <c r="O64" s="1607"/>
      <c r="P64" s="1607"/>
      <c r="Q64" s="1607"/>
      <c r="R64" s="1607"/>
      <c r="S64" s="1607"/>
      <c r="T64" s="1607"/>
      <c r="U64" s="1607"/>
      <c r="V64" s="1607"/>
      <c r="W64" s="1607"/>
      <c r="X64" s="1607"/>
      <c r="Y64" s="1607"/>
      <c r="Z64" s="1607"/>
      <c r="AA64" s="1607"/>
      <c r="AB64" s="1607"/>
      <c r="AC64" s="1607"/>
      <c r="AD64" s="1607"/>
      <c r="AE64" s="1607"/>
      <c r="AF64" s="1607"/>
      <c r="AG64" s="1607"/>
      <c r="AH64" s="1607"/>
    </row>
    <row r="65" spans="5:34" ht="16" thickBot="1">
      <c r="E65" s="1606"/>
      <c r="F65" s="1610" t="s">
        <v>125</v>
      </c>
      <c r="G65" s="1611" t="s">
        <v>1622</v>
      </c>
      <c r="H65" s="1612" t="s">
        <v>1623</v>
      </c>
      <c r="I65" s="1607"/>
      <c r="J65" s="1613" t="s">
        <v>125</v>
      </c>
      <c r="K65" s="1613" t="s">
        <v>1624</v>
      </c>
      <c r="L65" s="1614">
        <v>-4</v>
      </c>
      <c r="M65" s="1614">
        <v>-3</v>
      </c>
      <c r="N65" s="1614">
        <v>-2</v>
      </c>
      <c r="O65" s="1614">
        <v>-1</v>
      </c>
      <c r="P65" s="1614">
        <v>1</v>
      </c>
      <c r="Q65" s="1614">
        <v>2</v>
      </c>
      <c r="R65" s="1614">
        <v>3</v>
      </c>
      <c r="S65" s="1614">
        <v>4</v>
      </c>
      <c r="T65" s="1614">
        <v>5</v>
      </c>
      <c r="U65" s="1614">
        <v>6</v>
      </c>
      <c r="V65" s="1614">
        <v>7</v>
      </c>
      <c r="W65" s="1614">
        <v>8</v>
      </c>
      <c r="X65" s="1614">
        <v>9</v>
      </c>
      <c r="Y65" s="1614">
        <v>10</v>
      </c>
      <c r="Z65" s="1614">
        <v>11</v>
      </c>
      <c r="AA65" s="1614">
        <v>12</v>
      </c>
      <c r="AB65" s="1614">
        <v>13</v>
      </c>
      <c r="AC65" s="1614">
        <v>14</v>
      </c>
      <c r="AD65" s="1614">
        <v>15</v>
      </c>
      <c r="AE65" s="1614">
        <v>16</v>
      </c>
      <c r="AF65" s="1614">
        <v>17</v>
      </c>
      <c r="AG65" s="1614">
        <v>18</v>
      </c>
      <c r="AH65" s="1615">
        <v>19</v>
      </c>
    </row>
    <row r="66" spans="5:34" ht="16" thickBot="1">
      <c r="F66" s="1593">
        <v>1</v>
      </c>
      <c r="G66" s="1594">
        <v>75.175859000000003</v>
      </c>
      <c r="H66" s="1595">
        <v>26.826719000000001</v>
      </c>
      <c r="I66" s="1607"/>
      <c r="J66" s="1616" t="s">
        <v>1633</v>
      </c>
      <c r="K66" s="1617">
        <f>SUM(L66:AH66)</f>
        <v>1047.9960380000002</v>
      </c>
      <c r="L66" s="1618"/>
      <c r="M66" s="1600">
        <v>157.19999999999999</v>
      </c>
      <c r="N66" s="1600">
        <v>104.80000000000001</v>
      </c>
      <c r="O66" s="1600">
        <v>104.80000000000001</v>
      </c>
      <c r="P66" s="1600">
        <v>102.002578</v>
      </c>
      <c r="Q66" s="1600">
        <v>61.98265099999999</v>
      </c>
      <c r="R66" s="1600">
        <v>78.528768999999983</v>
      </c>
      <c r="S66" s="1600">
        <v>142.79336499999999</v>
      </c>
      <c r="T66" s="1600">
        <v>48.618675000000025</v>
      </c>
      <c r="U66" s="1600">
        <v>50</v>
      </c>
      <c r="V66" s="1600">
        <v>50</v>
      </c>
      <c r="W66" s="1600">
        <v>50</v>
      </c>
      <c r="X66" s="1600">
        <v>50</v>
      </c>
      <c r="Y66" s="1600">
        <v>20</v>
      </c>
      <c r="Z66" s="1600">
        <v>27.27</v>
      </c>
      <c r="AA66" s="1599"/>
      <c r="AB66" s="1599"/>
      <c r="AC66" s="1599"/>
      <c r="AD66" s="1599"/>
      <c r="AE66" s="1599"/>
      <c r="AF66" s="1599"/>
      <c r="AG66" s="1599"/>
      <c r="AH66" s="1601"/>
    </row>
    <row r="67" spans="5:34" ht="15">
      <c r="F67" s="1596">
        <v>2</v>
      </c>
      <c r="G67" s="1597">
        <v>120.95853799999999</v>
      </c>
      <c r="H67" s="1598">
        <v>43.026691</v>
      </c>
      <c r="I67" s="1607"/>
    </row>
    <row r="68" spans="5:34" ht="15">
      <c r="F68" s="1596">
        <v>3</v>
      </c>
      <c r="G68" s="1597">
        <v>147.55081299999998</v>
      </c>
      <c r="H68" s="1598">
        <v>94.963184999999996</v>
      </c>
      <c r="I68" s="1607"/>
      <c r="J68" s="1607"/>
      <c r="K68" s="1607"/>
      <c r="L68" s="1607"/>
      <c r="M68" s="1607"/>
      <c r="N68" s="1607"/>
      <c r="O68" s="1607"/>
      <c r="P68" s="1607"/>
      <c r="Q68" s="1607"/>
      <c r="R68" s="1607"/>
      <c r="S68" s="1607"/>
      <c r="T68" s="1607"/>
      <c r="U68" s="1607"/>
      <c r="V68" s="1607"/>
      <c r="W68" s="1607"/>
      <c r="X68" s="1607"/>
      <c r="Y68" s="1607"/>
      <c r="Z68" s="1607"/>
      <c r="AA68" s="1607"/>
      <c r="AB68" s="1607"/>
      <c r="AC68" s="1607"/>
      <c r="AD68" s="1607"/>
      <c r="AE68" s="1607"/>
      <c r="AF68" s="1607"/>
      <c r="AG68" s="1607"/>
      <c r="AH68" s="1607"/>
    </row>
    <row r="69" spans="5:34" ht="15">
      <c r="F69" s="1596">
        <v>4</v>
      </c>
      <c r="G69" s="1597">
        <v>222.35137499999999</v>
      </c>
      <c r="H69" s="1598">
        <v>162.95598799999999</v>
      </c>
      <c r="I69" s="1607"/>
      <c r="J69" s="1607"/>
      <c r="K69" s="1607"/>
      <c r="L69" s="1607"/>
      <c r="M69" s="1607"/>
      <c r="N69" s="1607"/>
      <c r="O69" s="1607"/>
      <c r="P69" s="1607"/>
      <c r="Q69" s="1607"/>
      <c r="R69" s="1607"/>
      <c r="S69" s="1607"/>
      <c r="T69" s="1607"/>
      <c r="U69" s="1607"/>
      <c r="V69" s="1607"/>
      <c r="W69" s="1607"/>
      <c r="X69" s="1607"/>
      <c r="Y69" s="1607"/>
      <c r="Z69" s="1607"/>
      <c r="AA69" s="1607"/>
      <c r="AB69" s="1607"/>
      <c r="AC69" s="1607"/>
      <c r="AD69" s="1607"/>
      <c r="AE69" s="1607"/>
      <c r="AF69" s="1607"/>
      <c r="AG69" s="1607"/>
      <c r="AH69" s="1607"/>
    </row>
    <row r="70" spans="5:34" ht="16" thickBot="1">
      <c r="F70" s="1596">
        <v>5</v>
      </c>
      <c r="G70" s="1597">
        <v>270.97005000000001</v>
      </c>
      <c r="H70" s="1598">
        <v>162.95598799999999</v>
      </c>
      <c r="I70" s="1607"/>
      <c r="J70" s="1608" t="s">
        <v>1625</v>
      </c>
      <c r="K70" s="1607"/>
      <c r="L70" s="1607"/>
      <c r="M70" s="1607"/>
      <c r="N70" s="1607"/>
      <c r="O70" s="1607"/>
      <c r="P70" s="1607"/>
      <c r="Q70" s="1607"/>
      <c r="R70" s="1607"/>
      <c r="S70" s="1607"/>
      <c r="T70" s="1607"/>
      <c r="U70" s="1607"/>
      <c r="V70" s="1607"/>
      <c r="W70" s="1607"/>
      <c r="X70" s="1607"/>
      <c r="Y70" s="1607"/>
      <c r="Z70" s="1607"/>
      <c r="AA70" s="1607"/>
      <c r="AB70" s="1607"/>
      <c r="AC70" s="1607"/>
      <c r="AD70" s="1607"/>
      <c r="AE70" s="1607"/>
      <c r="AF70" s="1607"/>
      <c r="AG70" s="1607"/>
      <c r="AH70" s="1607"/>
    </row>
    <row r="71" spans="5:34" ht="16" thickBot="1">
      <c r="F71" s="1602" t="s">
        <v>1626</v>
      </c>
      <c r="G71" s="1597">
        <v>489.48604999999998</v>
      </c>
      <c r="H71" s="1598">
        <v>0</v>
      </c>
      <c r="I71" s="1607"/>
      <c r="J71" s="1613" t="s">
        <v>125</v>
      </c>
      <c r="K71" s="1613" t="s">
        <v>1624</v>
      </c>
      <c r="L71" s="1614">
        <v>-4</v>
      </c>
      <c r="M71" s="1614">
        <v>-3</v>
      </c>
      <c r="N71" s="1614">
        <v>-2</v>
      </c>
      <c r="O71" s="1614">
        <v>-1</v>
      </c>
      <c r="P71" s="1614">
        <v>1</v>
      </c>
      <c r="Q71" s="1614">
        <v>2</v>
      </c>
      <c r="R71" s="1614">
        <v>3</v>
      </c>
      <c r="S71" s="1614">
        <v>4</v>
      </c>
      <c r="T71" s="1614">
        <v>5</v>
      </c>
      <c r="U71" s="1614">
        <v>6</v>
      </c>
      <c r="V71" s="1614">
        <v>7</v>
      </c>
      <c r="W71" s="1614">
        <v>8</v>
      </c>
      <c r="X71" s="1614">
        <v>9</v>
      </c>
      <c r="Y71" s="1614">
        <v>10</v>
      </c>
      <c r="Z71" s="1614">
        <v>11</v>
      </c>
      <c r="AA71" s="1614">
        <v>12</v>
      </c>
      <c r="AB71" s="1614">
        <v>13</v>
      </c>
      <c r="AC71" s="1614">
        <v>14</v>
      </c>
      <c r="AD71" s="1614">
        <v>15</v>
      </c>
      <c r="AE71" s="1614">
        <v>16</v>
      </c>
      <c r="AF71" s="1614">
        <v>17</v>
      </c>
      <c r="AG71" s="1614">
        <v>18</v>
      </c>
      <c r="AH71" s="1615">
        <v>19</v>
      </c>
    </row>
    <row r="72" spans="5:34" ht="16" thickBot="1">
      <c r="F72" s="1602" t="s">
        <v>1627</v>
      </c>
      <c r="G72" s="1597">
        <v>652.47159999999997</v>
      </c>
      <c r="H72" s="1598">
        <v>0</v>
      </c>
      <c r="I72" s="1607"/>
      <c r="J72" s="1616" t="s">
        <v>1633</v>
      </c>
      <c r="K72" s="1620">
        <f>SUM(L72:AH72)</f>
        <v>0.99999621946564909</v>
      </c>
      <c r="L72" s="1618"/>
      <c r="M72" s="1621">
        <v>0.15</v>
      </c>
      <c r="N72" s="1621">
        <v>0.1</v>
      </c>
      <c r="O72" s="1621">
        <v>0.1</v>
      </c>
      <c r="P72" s="1621">
        <v>9.7330704198473283E-2</v>
      </c>
      <c r="Q72" s="1621">
        <v>5.9143750954198465E-2</v>
      </c>
      <c r="R72" s="1621">
        <v>7.49320314885496E-2</v>
      </c>
      <c r="S72" s="1621">
        <v>0.1362532108778626</v>
      </c>
      <c r="T72" s="1621">
        <v>4.639186545801529E-2</v>
      </c>
      <c r="U72" s="1621">
        <v>4.7709923664122141E-2</v>
      </c>
      <c r="V72" s="1621">
        <v>4.7709923664122141E-2</v>
      </c>
      <c r="W72" s="1621">
        <v>4.7709923664122141E-2</v>
      </c>
      <c r="X72" s="1621">
        <v>4.7709923664122141E-2</v>
      </c>
      <c r="Y72" s="1621">
        <v>1.9083969465648856E-2</v>
      </c>
      <c r="Z72" s="1621">
        <v>2.6020992366412213E-2</v>
      </c>
      <c r="AA72" s="1618"/>
      <c r="AB72" s="1618"/>
      <c r="AC72" s="1618"/>
      <c r="AD72" s="1618"/>
      <c r="AE72" s="1618"/>
      <c r="AF72" s="1618"/>
      <c r="AG72" s="1618"/>
      <c r="AH72" s="1619"/>
    </row>
    <row r="73" spans="5:34" ht="16" thickBot="1">
      <c r="F73" s="1603" t="s">
        <v>1628</v>
      </c>
      <c r="G73" s="1604">
        <v>669.26139999999998</v>
      </c>
      <c r="H73" s="1605">
        <v>0</v>
      </c>
      <c r="I73" s="1607"/>
    </row>
    <row r="74" spans="5:34" ht="15">
      <c r="E74" s="1607"/>
      <c r="F74" s="1607"/>
      <c r="G74" s="1607"/>
      <c r="H74" s="1607"/>
      <c r="I74" s="1607"/>
      <c r="J74" s="1607"/>
      <c r="K74" s="1607"/>
      <c r="L74" s="1607"/>
      <c r="M74" s="1607"/>
      <c r="N74" s="1607"/>
      <c r="O74" s="1607"/>
      <c r="P74" s="1607"/>
      <c r="Q74" s="1607"/>
      <c r="R74" s="1607"/>
      <c r="S74" s="1607"/>
      <c r="T74" s="1607"/>
      <c r="U74" s="1607"/>
      <c r="V74" s="1607"/>
      <c r="W74" s="1607"/>
      <c r="X74" s="1607"/>
      <c r="Y74" s="1607"/>
      <c r="Z74" s="1607"/>
      <c r="AA74" s="1607"/>
      <c r="AB74" s="1607"/>
      <c r="AC74" s="1607"/>
      <c r="AD74" s="1607"/>
      <c r="AE74" s="1607"/>
      <c r="AF74" s="1607"/>
      <c r="AG74" s="1607"/>
      <c r="AH74" s="1607"/>
    </row>
    <row r="75" spans="5:34" ht="16" thickBot="1">
      <c r="E75" s="1607"/>
      <c r="F75" s="191" t="s">
        <v>1633</v>
      </c>
      <c r="G75" s="1607"/>
      <c r="H75" s="1607"/>
      <c r="I75" s="1607"/>
      <c r="J75" s="1607"/>
      <c r="K75" s="1607"/>
      <c r="L75" s="1607"/>
      <c r="M75" s="1607"/>
      <c r="N75" s="1607"/>
      <c r="O75" s="1607"/>
      <c r="P75" s="1607"/>
      <c r="Q75" s="1607"/>
      <c r="R75" s="1607"/>
      <c r="S75" s="1607"/>
      <c r="T75" s="1607"/>
      <c r="U75" s="1607"/>
      <c r="V75" s="1607"/>
      <c r="W75" s="1607"/>
      <c r="X75" s="1607"/>
      <c r="Y75" s="1607"/>
      <c r="Z75" s="1607"/>
      <c r="AA75" s="1607"/>
      <c r="AB75" s="1607"/>
      <c r="AC75" s="1607"/>
      <c r="AD75" s="1607"/>
      <c r="AE75" s="1607"/>
      <c r="AF75" s="1607"/>
      <c r="AG75" s="1607"/>
      <c r="AH75" s="1607"/>
    </row>
    <row r="76" spans="5:34" ht="12.75" customHeight="1">
      <c r="E76" s="1607"/>
      <c r="F76" s="1724" t="s">
        <v>1629</v>
      </c>
      <c r="G76" s="1725"/>
      <c r="H76" s="1726"/>
      <c r="I76" s="1607"/>
      <c r="J76" s="1622" t="s">
        <v>583</v>
      </c>
      <c r="K76" s="1623"/>
      <c r="L76" s="1624" t="s">
        <v>89</v>
      </c>
      <c r="M76" s="1625" t="s">
        <v>88</v>
      </c>
      <c r="N76" s="1607"/>
      <c r="O76" s="1607"/>
      <c r="P76" s="1607"/>
      <c r="Q76" s="1607"/>
      <c r="R76" s="1607"/>
      <c r="S76" s="1607"/>
      <c r="T76" s="1607"/>
      <c r="U76" s="1607"/>
      <c r="V76" s="1607"/>
      <c r="W76" s="1607"/>
      <c r="X76" s="1607"/>
      <c r="Y76" s="1607"/>
      <c r="Z76" s="1607"/>
      <c r="AA76" s="1607"/>
      <c r="AB76" s="1607"/>
      <c r="AC76" s="1607"/>
      <c r="AD76" s="1607"/>
      <c r="AE76" s="1607"/>
      <c r="AF76" s="1607"/>
      <c r="AG76" s="1607"/>
      <c r="AH76" s="1607"/>
    </row>
    <row r="77" spans="5:34" ht="16" thickBot="1">
      <c r="E77" s="1607"/>
      <c r="F77" s="1610" t="s">
        <v>125</v>
      </c>
      <c r="G77" s="1611" t="s">
        <v>1622</v>
      </c>
      <c r="H77" s="1612" t="s">
        <v>1623</v>
      </c>
      <c r="I77" s="1607"/>
      <c r="J77" s="1626" t="s">
        <v>1630</v>
      </c>
      <c r="K77" s="1627"/>
      <c r="L77" s="1029">
        <v>1048</v>
      </c>
      <c r="M77" s="1628" t="s">
        <v>815</v>
      </c>
      <c r="N77" s="1607"/>
      <c r="O77" s="1607"/>
      <c r="P77" s="1607"/>
      <c r="Q77" s="1607"/>
      <c r="R77" s="1607"/>
      <c r="S77" s="1607"/>
      <c r="T77" s="1607"/>
      <c r="U77" s="1607"/>
      <c r="V77" s="1607"/>
      <c r="W77" s="1607"/>
      <c r="X77" s="1607"/>
      <c r="Y77" s="1607"/>
      <c r="Z77" s="1607"/>
      <c r="AA77" s="1607"/>
      <c r="AB77" s="1607"/>
      <c r="AC77" s="1607"/>
      <c r="AD77" s="1607"/>
      <c r="AE77" s="1607"/>
      <c r="AF77" s="1607"/>
      <c r="AG77" s="1607"/>
      <c r="AH77" s="1607"/>
    </row>
    <row r="78" spans="5:34" ht="15">
      <c r="F78" s="1593">
        <v>1</v>
      </c>
      <c r="G78" s="1594">
        <f>G66</f>
        <v>75.175859000000003</v>
      </c>
      <c r="H78" s="1595">
        <f>H66</f>
        <v>26.826719000000001</v>
      </c>
      <c r="I78" s="1607"/>
      <c r="J78" s="1626" t="s">
        <v>1631</v>
      </c>
      <c r="K78" s="1627"/>
      <c r="L78" s="1029">
        <v>669</v>
      </c>
      <c r="M78" s="1628" t="s">
        <v>815</v>
      </c>
      <c r="N78" s="1607"/>
      <c r="O78" s="1607"/>
      <c r="P78" s="1629"/>
      <c r="Q78" s="1629"/>
      <c r="R78" s="1629"/>
      <c r="S78" s="1629"/>
      <c r="T78" s="1629"/>
      <c r="U78" s="1629"/>
      <c r="V78" s="1629"/>
      <c r="W78" s="1629"/>
      <c r="X78" s="1607"/>
      <c r="Y78" s="1607"/>
      <c r="Z78" s="1607"/>
      <c r="AA78" s="1607"/>
      <c r="AB78" s="1607"/>
      <c r="AC78" s="1607"/>
      <c r="AD78" s="1607"/>
      <c r="AE78" s="1607"/>
      <c r="AF78" s="1607"/>
      <c r="AG78" s="1607"/>
      <c r="AH78" s="1607"/>
    </row>
    <row r="79" spans="5:34" ht="15">
      <c r="F79" s="1596">
        <v>2</v>
      </c>
      <c r="G79" s="1597">
        <f t="shared" ref="G79:H82" si="25">G67-G66</f>
        <v>45.782678999999987</v>
      </c>
      <c r="H79" s="1598">
        <f t="shared" si="25"/>
        <v>16.199971999999999</v>
      </c>
      <c r="I79" s="1607"/>
      <c r="J79" s="1630"/>
      <c r="K79" s="1631"/>
      <c r="L79" s="1609"/>
      <c r="M79" s="1632"/>
      <c r="N79" s="1607"/>
      <c r="O79" s="1607"/>
      <c r="P79" s="1607"/>
      <c r="Q79" s="1607"/>
      <c r="R79" s="1607"/>
      <c r="S79" s="1607"/>
      <c r="T79" s="1607"/>
      <c r="U79" s="1607"/>
      <c r="V79" s="1607"/>
      <c r="W79" s="1607"/>
      <c r="X79" s="1607"/>
      <c r="Y79" s="1607"/>
      <c r="Z79" s="1607"/>
      <c r="AA79" s="1607"/>
      <c r="AB79" s="1607"/>
      <c r="AC79" s="1607"/>
      <c r="AD79" s="1607"/>
      <c r="AE79" s="1607"/>
      <c r="AF79" s="1607"/>
      <c r="AG79" s="1607"/>
      <c r="AH79" s="1607"/>
    </row>
    <row r="80" spans="5:34" ht="16" thickBot="1">
      <c r="F80" s="1596">
        <v>3</v>
      </c>
      <c r="G80" s="1597">
        <f t="shared" si="25"/>
        <v>26.592274999999987</v>
      </c>
      <c r="H80" s="1598">
        <f t="shared" si="25"/>
        <v>51.936493999999996</v>
      </c>
      <c r="I80" s="1607"/>
      <c r="J80" s="1633" t="s">
        <v>1632</v>
      </c>
      <c r="K80" s="1634"/>
      <c r="L80" s="1635">
        <f>L77-L78</f>
        <v>379</v>
      </c>
      <c r="M80" s="1636" t="s">
        <v>815</v>
      </c>
      <c r="N80" s="1607"/>
      <c r="O80" s="1607"/>
      <c r="P80" s="1607"/>
      <c r="Q80" s="1607"/>
      <c r="R80" s="1607"/>
      <c r="S80" s="1607"/>
      <c r="T80" s="1607"/>
      <c r="U80" s="1607"/>
      <c r="V80" s="1607"/>
      <c r="W80" s="1607"/>
      <c r="X80" s="1607"/>
      <c r="Y80" s="1607"/>
      <c r="Z80" s="1607"/>
      <c r="AA80" s="1607"/>
      <c r="AB80" s="1607"/>
      <c r="AC80" s="1607"/>
      <c r="AD80" s="1607"/>
      <c r="AE80" s="1607"/>
      <c r="AF80" s="1607"/>
      <c r="AG80" s="1607"/>
      <c r="AH80" s="1607"/>
    </row>
    <row r="81" spans="6:34" ht="15">
      <c r="F81" s="1596">
        <v>4</v>
      </c>
      <c r="G81" s="1597">
        <f t="shared" si="25"/>
        <v>74.800562000000014</v>
      </c>
      <c r="H81" s="1598">
        <f t="shared" si="25"/>
        <v>67.992802999999995</v>
      </c>
      <c r="I81" s="1607"/>
      <c r="J81" s="1607"/>
      <c r="K81" s="1607"/>
      <c r="L81" s="1607"/>
      <c r="M81" s="1607"/>
      <c r="N81" s="1607"/>
      <c r="O81" s="1607"/>
      <c r="P81" s="1607"/>
      <c r="Q81" s="1607"/>
      <c r="R81" s="1607"/>
      <c r="S81" s="1607"/>
      <c r="T81" s="1607"/>
      <c r="U81" s="1607"/>
      <c r="V81" s="1607"/>
      <c r="W81" s="1607"/>
      <c r="X81" s="1607"/>
      <c r="Y81" s="1607"/>
      <c r="Z81" s="1607"/>
      <c r="AA81" s="1607"/>
      <c r="AB81" s="1607"/>
      <c r="AC81" s="1607"/>
      <c r="AD81" s="1607"/>
      <c r="AE81" s="1607"/>
      <c r="AF81" s="1607"/>
      <c r="AG81" s="1607"/>
      <c r="AH81" s="1607"/>
    </row>
    <row r="82" spans="6:34" ht="15">
      <c r="F82" s="1596">
        <v>5</v>
      </c>
      <c r="G82" s="1597">
        <f t="shared" si="25"/>
        <v>48.618675000000025</v>
      </c>
      <c r="H82" s="1598">
        <f t="shared" si="25"/>
        <v>0</v>
      </c>
      <c r="I82" s="1607"/>
      <c r="J82" s="1607"/>
      <c r="K82" s="1607"/>
      <c r="L82" s="1607"/>
      <c r="M82" s="1607"/>
      <c r="N82" s="1607"/>
      <c r="O82" s="1607"/>
      <c r="P82" s="1607"/>
      <c r="Q82" s="1607"/>
      <c r="R82" s="1607"/>
      <c r="S82" s="1607"/>
      <c r="T82" s="1607"/>
      <c r="U82" s="1607"/>
      <c r="V82" s="1607"/>
      <c r="W82" s="1607"/>
      <c r="X82" s="1607"/>
      <c r="Y82" s="1607"/>
      <c r="Z82" s="1607"/>
      <c r="AA82" s="1607"/>
      <c r="AB82" s="1607"/>
      <c r="AC82" s="1607"/>
      <c r="AD82" s="1607"/>
      <c r="AE82" s="1607"/>
      <c r="AF82" s="1607"/>
      <c r="AG82" s="1607"/>
      <c r="AH82" s="1607"/>
    </row>
    <row r="83" spans="6:34" ht="15">
      <c r="F83" s="1602" t="s">
        <v>1626</v>
      </c>
      <c r="G83" s="1597">
        <f>G71-G70</f>
        <v>218.51599999999996</v>
      </c>
      <c r="H83" s="1598"/>
      <c r="I83" s="1607"/>
      <c r="J83" s="1607"/>
      <c r="K83" s="1607"/>
      <c r="L83" s="1607"/>
      <c r="M83" s="1607"/>
      <c r="N83" s="1607"/>
      <c r="O83" s="1607"/>
      <c r="P83" s="1607"/>
      <c r="Q83" s="1607"/>
      <c r="R83" s="1607"/>
      <c r="S83" s="1607"/>
      <c r="T83" s="1607"/>
      <c r="U83" s="1607"/>
      <c r="V83" s="1607"/>
      <c r="W83" s="1607"/>
      <c r="X83" s="1607"/>
      <c r="Y83" s="1607"/>
      <c r="Z83" s="1607"/>
      <c r="AA83" s="1607"/>
      <c r="AB83" s="1607"/>
      <c r="AC83" s="1607"/>
      <c r="AD83" s="1607"/>
      <c r="AE83" s="1607"/>
      <c r="AF83" s="1607"/>
      <c r="AG83" s="1607"/>
      <c r="AH83" s="1607"/>
    </row>
    <row r="84" spans="6:34" ht="15">
      <c r="F84" s="1602" t="s">
        <v>1627</v>
      </c>
      <c r="G84" s="1597">
        <f>G72-G71</f>
        <v>162.98554999999999</v>
      </c>
      <c r="H84" s="1598">
        <v>0</v>
      </c>
      <c r="I84" s="1607"/>
      <c r="J84" s="1607"/>
      <c r="K84" s="1607"/>
      <c r="L84" s="1607"/>
      <c r="M84" s="1607"/>
      <c r="N84" s="1607"/>
      <c r="O84" s="1607"/>
      <c r="P84" s="1607"/>
      <c r="Q84" s="1607"/>
      <c r="R84" s="1607"/>
      <c r="S84" s="1607"/>
      <c r="T84" s="1607"/>
      <c r="U84" s="1607"/>
      <c r="V84" s="1607"/>
      <c r="W84" s="1607"/>
      <c r="X84" s="1607"/>
      <c r="Y84" s="1607"/>
      <c r="Z84" s="1607"/>
      <c r="AA84" s="1607"/>
      <c r="AB84" s="1607"/>
      <c r="AC84" s="1607"/>
      <c r="AD84" s="1607"/>
      <c r="AE84" s="1607"/>
      <c r="AF84" s="1607"/>
      <c r="AG84" s="1607"/>
      <c r="AH84" s="1607"/>
    </row>
    <row r="85" spans="6:34" ht="16" thickBot="1">
      <c r="F85" s="1603" t="s">
        <v>1628</v>
      </c>
      <c r="G85" s="1604">
        <f>G73-G72</f>
        <v>16.789800000000014</v>
      </c>
      <c r="H85" s="1605">
        <f>H73-H72</f>
        <v>0</v>
      </c>
      <c r="I85" s="1607"/>
      <c r="J85" s="1607"/>
      <c r="K85" s="1607"/>
      <c r="L85" s="1607"/>
      <c r="M85" s="1607"/>
      <c r="N85" s="1607"/>
      <c r="O85" s="1607"/>
      <c r="P85" s="1607"/>
      <c r="Q85" s="1607"/>
      <c r="R85" s="1607"/>
      <c r="S85" s="1607"/>
      <c r="T85" s="1607"/>
      <c r="U85" s="1607"/>
      <c r="V85" s="1607"/>
      <c r="W85" s="1607"/>
      <c r="X85" s="1607"/>
      <c r="Y85" s="1607"/>
      <c r="Z85" s="1607"/>
      <c r="AA85" s="1607"/>
      <c r="AB85" s="1607"/>
      <c r="AC85" s="1607"/>
      <c r="AD85" s="1607"/>
      <c r="AE85" s="1607"/>
      <c r="AF85" s="1607"/>
      <c r="AG85" s="1607"/>
      <c r="AH85" s="1607"/>
    </row>
  </sheetData>
  <mergeCells count="32">
    <mergeCell ref="C55:D55"/>
    <mergeCell ref="C56:D56"/>
    <mergeCell ref="C57:D57"/>
    <mergeCell ref="C58:D58"/>
    <mergeCell ref="C49:D49"/>
    <mergeCell ref="C50:D50"/>
    <mergeCell ref="C51:D51"/>
    <mergeCell ref="C52:D52"/>
    <mergeCell ref="C53:D53"/>
    <mergeCell ref="C54:D54"/>
    <mergeCell ref="H8:L8"/>
    <mergeCell ref="C34:C35"/>
    <mergeCell ref="D34:D35"/>
    <mergeCell ref="E34:E35"/>
    <mergeCell ref="F34:F35"/>
    <mergeCell ref="G34:G35"/>
    <mergeCell ref="F64:H64"/>
    <mergeCell ref="F76:H76"/>
    <mergeCell ref="M8:M9"/>
    <mergeCell ref="N8:N9"/>
    <mergeCell ref="B20:B21"/>
    <mergeCell ref="C20:C21"/>
    <mergeCell ref="D20:D21"/>
    <mergeCell ref="E20:G20"/>
    <mergeCell ref="H20:L20"/>
    <mergeCell ref="M20:M21"/>
    <mergeCell ref="N20:N21"/>
    <mergeCell ref="H34:H35"/>
    <mergeCell ref="B8:B9"/>
    <mergeCell ref="C8:C9"/>
    <mergeCell ref="D8:D9"/>
    <mergeCell ref="E8:G8"/>
  </mergeCell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8D40-C9F7-494C-8C0C-513ED24F4857}">
  <sheetPr codeName="Sheet18">
    <tabColor rgb="FF0070C0"/>
  </sheetPr>
  <dimension ref="B2:Z69"/>
  <sheetViews>
    <sheetView showGridLines="0" workbookViewId="0">
      <selection activeCell="H23" sqref="H23"/>
    </sheetView>
  </sheetViews>
  <sheetFormatPr baseColWidth="10" defaultColWidth="8.83203125" defaultRowHeight="13"/>
  <cols>
    <col min="2" max="2" width="23.33203125" customWidth="1"/>
    <col min="3" max="3" width="24" customWidth="1"/>
    <col min="4" max="4" width="31.33203125" customWidth="1"/>
    <col min="5" max="5" width="18.6640625" bestFit="1" customWidth="1"/>
    <col min="6" max="6" width="11.1640625" bestFit="1" customWidth="1"/>
    <col min="7" max="7" width="16.1640625" bestFit="1" customWidth="1"/>
    <col min="8" max="8" width="26.33203125" customWidth="1"/>
    <col min="9" max="9" width="10.5" customWidth="1"/>
    <col min="15" max="15" width="49.33203125" bestFit="1" customWidth="1"/>
    <col min="17" max="17" width="68.1640625" bestFit="1" customWidth="1"/>
  </cols>
  <sheetData>
    <row r="2" spans="2:26" ht="14" thickBot="1">
      <c r="B2" s="191" t="s">
        <v>982</v>
      </c>
      <c r="D2" s="362" t="s">
        <v>267</v>
      </c>
      <c r="E2" s="363">
        <f>SUM(D6:Z6)</f>
        <v>1048.5700310581428</v>
      </c>
      <c r="F2" s="364" t="s">
        <v>701</v>
      </c>
    </row>
    <row r="4" spans="2:26">
      <c r="B4" s="211"/>
      <c r="C4" s="211"/>
      <c r="D4" s="214">
        <f>'Production Schedule'!E1</f>
        <v>46023</v>
      </c>
      <c r="E4" s="214">
        <f>'Production Schedule'!F1</f>
        <v>46389</v>
      </c>
      <c r="F4" s="214">
        <f>'Production Schedule'!G1</f>
        <v>46755</v>
      </c>
      <c r="G4" s="214">
        <f>'Production Schedule'!H1</f>
        <v>47121</v>
      </c>
      <c r="H4" s="214">
        <f>'Production Schedule'!I1</f>
        <v>47487</v>
      </c>
      <c r="I4" s="214">
        <f>'Production Schedule'!J1</f>
        <v>47853</v>
      </c>
      <c r="J4" s="214">
        <f>'Production Schedule'!K1</f>
        <v>48219</v>
      </c>
      <c r="K4" s="214">
        <f>'Production Schedule'!L1</f>
        <v>48585</v>
      </c>
      <c r="L4" s="214">
        <f>'Production Schedule'!M1</f>
        <v>48951</v>
      </c>
      <c r="M4" s="214">
        <f>'Production Schedule'!N1</f>
        <v>49317</v>
      </c>
      <c r="N4" s="214">
        <f>'Production Schedule'!O1</f>
        <v>49683</v>
      </c>
      <c r="O4" s="214">
        <f>'Production Schedule'!P1</f>
        <v>50049</v>
      </c>
      <c r="P4" s="214">
        <f>'Production Schedule'!Q1</f>
        <v>50415</v>
      </c>
      <c r="Q4" s="214">
        <f>'Production Schedule'!R1</f>
        <v>50781</v>
      </c>
      <c r="R4" s="214">
        <f>'Production Schedule'!S1</f>
        <v>51147</v>
      </c>
      <c r="S4" s="214">
        <f>'Production Schedule'!T1</f>
        <v>51513</v>
      </c>
      <c r="T4" s="214">
        <f>'Production Schedule'!U1</f>
        <v>51879</v>
      </c>
      <c r="U4" s="214">
        <f>'Production Schedule'!V1</f>
        <v>52245</v>
      </c>
      <c r="V4" s="214">
        <f>'Production Schedule'!W1</f>
        <v>52611</v>
      </c>
      <c r="W4" s="214">
        <f>'Production Schedule'!X1</f>
        <v>52977</v>
      </c>
      <c r="X4" s="214">
        <f>'Production Schedule'!Y1</f>
        <v>53343</v>
      </c>
      <c r="Y4" s="214">
        <f>'Production Schedule'!Z1</f>
        <v>53709</v>
      </c>
      <c r="Z4" s="214">
        <f>'Production Schedule'!AA1</f>
        <v>54075</v>
      </c>
    </row>
    <row r="5" spans="2:26">
      <c r="B5" s="788" t="s">
        <v>94</v>
      </c>
      <c r="C5" s="788" t="s">
        <v>88</v>
      </c>
      <c r="D5" s="789">
        <f>'Production Schedule'!E3</f>
        <v>-4</v>
      </c>
      <c r="E5" s="789">
        <f>'Production Schedule'!F3</f>
        <v>-3</v>
      </c>
      <c r="F5" s="789">
        <f>'Production Schedule'!G3</f>
        <v>-2</v>
      </c>
      <c r="G5" s="789">
        <f>'Production Schedule'!H3</f>
        <v>-1</v>
      </c>
      <c r="H5" s="789">
        <f>'Production Schedule'!I3</f>
        <v>1</v>
      </c>
      <c r="I5" s="789">
        <f>'Production Schedule'!J3</f>
        <v>2</v>
      </c>
      <c r="J5" s="789">
        <f>'Production Schedule'!K3</f>
        <v>3</v>
      </c>
      <c r="K5" s="789">
        <f>'Production Schedule'!L3</f>
        <v>4</v>
      </c>
      <c r="L5" s="789">
        <f>'Production Schedule'!M3</f>
        <v>5</v>
      </c>
      <c r="M5" s="789">
        <f>'Production Schedule'!N3</f>
        <v>6</v>
      </c>
      <c r="N5" s="789">
        <f>'Production Schedule'!O3</f>
        <v>7</v>
      </c>
      <c r="O5" s="789">
        <f>'Production Schedule'!P3</f>
        <v>8</v>
      </c>
      <c r="P5" s="789">
        <f>'Production Schedule'!Q3</f>
        <v>9</v>
      </c>
      <c r="Q5" s="789">
        <f>'Production Schedule'!R3</f>
        <v>10</v>
      </c>
      <c r="R5" s="789">
        <f>'Production Schedule'!S3</f>
        <v>11</v>
      </c>
      <c r="S5" s="789">
        <f>'Production Schedule'!T3</f>
        <v>12</v>
      </c>
      <c r="T5" s="789">
        <f>'Production Schedule'!U3</f>
        <v>13</v>
      </c>
      <c r="U5" s="789">
        <f>'Production Schedule'!V3</f>
        <v>14</v>
      </c>
      <c r="V5" s="789">
        <f>'Production Schedule'!W3</f>
        <v>15</v>
      </c>
      <c r="W5" s="789">
        <f>'Production Schedule'!X3</f>
        <v>16</v>
      </c>
      <c r="X5" s="789">
        <f>'Production Schedule'!Y3</f>
        <v>17</v>
      </c>
      <c r="Y5" s="789">
        <f>'Production Schedule'!Z3</f>
        <v>18</v>
      </c>
      <c r="Z5" s="789">
        <f>'Production Schedule'!AA3</f>
        <v>19</v>
      </c>
    </row>
    <row r="6" spans="2:26">
      <c r="B6" s="186" t="s">
        <v>262</v>
      </c>
      <c r="C6" s="186" t="s">
        <v>701</v>
      </c>
      <c r="D6" s="216">
        <f t="shared" ref="D6:Z6" si="0">$F$27*D7</f>
        <v>0</v>
      </c>
      <c r="E6" s="216">
        <f t="shared" si="0"/>
        <v>0</v>
      </c>
      <c r="F6" s="216">
        <f t="shared" si="0"/>
        <v>0</v>
      </c>
      <c r="G6" s="216">
        <f t="shared" si="0"/>
        <v>0</v>
      </c>
      <c r="H6" s="216">
        <f t="shared" si="0"/>
        <v>0</v>
      </c>
      <c r="I6" s="216">
        <f t="shared" si="0"/>
        <v>0</v>
      </c>
      <c r="J6" s="216">
        <f t="shared" si="0"/>
        <v>0</v>
      </c>
      <c r="K6" s="216">
        <f t="shared" si="0"/>
        <v>104.85700310581429</v>
      </c>
      <c r="L6" s="216">
        <f t="shared" si="0"/>
        <v>209.71400621162857</v>
      </c>
      <c r="M6" s="216">
        <f t="shared" si="0"/>
        <v>209.71400621162857</v>
      </c>
      <c r="N6" s="216">
        <f t="shared" si="0"/>
        <v>209.71400621162857</v>
      </c>
      <c r="O6" s="216">
        <f t="shared" si="0"/>
        <v>209.71400621162857</v>
      </c>
      <c r="P6" s="216">
        <f t="shared" si="0"/>
        <v>104.85700310581429</v>
      </c>
      <c r="Q6" s="216">
        <f t="shared" si="0"/>
        <v>0</v>
      </c>
      <c r="R6" s="216">
        <f t="shared" si="0"/>
        <v>0</v>
      </c>
      <c r="S6" s="216">
        <f t="shared" si="0"/>
        <v>0</v>
      </c>
      <c r="T6" s="216">
        <f t="shared" si="0"/>
        <v>0</v>
      </c>
      <c r="U6" s="216">
        <f t="shared" si="0"/>
        <v>0</v>
      </c>
      <c r="V6" s="216">
        <f t="shared" si="0"/>
        <v>0</v>
      </c>
      <c r="W6" s="216">
        <f t="shared" si="0"/>
        <v>0</v>
      </c>
      <c r="X6" s="216">
        <f t="shared" si="0"/>
        <v>0</v>
      </c>
      <c r="Y6" s="216">
        <f t="shared" si="0"/>
        <v>0</v>
      </c>
      <c r="Z6" s="216">
        <f t="shared" si="0"/>
        <v>0</v>
      </c>
    </row>
    <row r="7" spans="2:26">
      <c r="B7" s="186" t="s">
        <v>451</v>
      </c>
      <c r="C7" s="186" t="s">
        <v>701</v>
      </c>
      <c r="D7" s="217">
        <v>0</v>
      </c>
      <c r="E7" s="217">
        <v>0</v>
      </c>
      <c r="F7" s="217">
        <v>0</v>
      </c>
      <c r="G7" s="217">
        <v>0</v>
      </c>
      <c r="H7" s="217">
        <v>0</v>
      </c>
      <c r="I7" s="217">
        <v>0</v>
      </c>
      <c r="J7" s="217">
        <v>0</v>
      </c>
      <c r="K7" s="217">
        <v>0.1</v>
      </c>
      <c r="L7" s="217">
        <v>0.2</v>
      </c>
      <c r="M7" s="217">
        <v>0.2</v>
      </c>
      <c r="N7" s="217">
        <v>0.2</v>
      </c>
      <c r="O7" s="217">
        <v>0.2</v>
      </c>
      <c r="P7" s="217">
        <v>0.1</v>
      </c>
      <c r="Q7" s="217">
        <v>0</v>
      </c>
      <c r="R7" s="217">
        <v>0</v>
      </c>
      <c r="S7" s="217">
        <v>0</v>
      </c>
      <c r="T7" s="217">
        <v>0</v>
      </c>
      <c r="U7" s="217">
        <v>0</v>
      </c>
      <c r="V7" s="217">
        <v>0</v>
      </c>
      <c r="W7" s="217">
        <v>0</v>
      </c>
      <c r="X7" s="217">
        <v>0</v>
      </c>
      <c r="Y7" s="217">
        <v>0</v>
      </c>
      <c r="Z7" s="217">
        <v>0</v>
      </c>
    </row>
    <row r="8" spans="2:26">
      <c r="B8" s="1032">
        <f>SUM(G8:Z8)</f>
        <v>73.735690764682019</v>
      </c>
      <c r="G8" s="216"/>
      <c r="H8" s="216">
        <v>2</v>
      </c>
      <c r="I8" s="216">
        <v>2</v>
      </c>
      <c r="J8" s="216">
        <v>2</v>
      </c>
      <c r="K8" s="216">
        <v>3</v>
      </c>
      <c r="L8" s="216">
        <v>3</v>
      </c>
      <c r="M8" s="216">
        <f>L8+L8*5%</f>
        <v>3.15</v>
      </c>
      <c r="N8" s="216">
        <f t="shared" ref="N8:Z8" si="1">M8+M8*5%</f>
        <v>3.3075000000000001</v>
      </c>
      <c r="O8" s="216">
        <f t="shared" si="1"/>
        <v>3.4728750000000002</v>
      </c>
      <c r="P8" s="216">
        <f t="shared" si="1"/>
        <v>3.6465187500000003</v>
      </c>
      <c r="Q8" s="216">
        <f>P8+P8*5%</f>
        <v>3.8288446875000002</v>
      </c>
      <c r="R8" s="216">
        <f t="shared" si="1"/>
        <v>4.0202869218749999</v>
      </c>
      <c r="S8" s="216">
        <f t="shared" si="1"/>
        <v>4.2213012679687498</v>
      </c>
      <c r="T8" s="216">
        <f t="shared" si="1"/>
        <v>4.4323663313671871</v>
      </c>
      <c r="U8" s="216">
        <f t="shared" si="1"/>
        <v>4.6539846479355464</v>
      </c>
      <c r="V8" s="216">
        <f t="shared" si="1"/>
        <v>4.886683880332324</v>
      </c>
      <c r="W8" s="216">
        <f t="shared" si="1"/>
        <v>5.1310180743489404</v>
      </c>
      <c r="X8" s="216">
        <f t="shared" si="1"/>
        <v>5.3875689780663878</v>
      </c>
      <c r="Y8" s="216">
        <f t="shared" si="1"/>
        <v>5.6569474269697073</v>
      </c>
      <c r="Z8" s="216">
        <f t="shared" si="1"/>
        <v>5.9397947983181929</v>
      </c>
    </row>
    <row r="10" spans="2:26">
      <c r="B10" s="1321"/>
      <c r="C10" s="1322"/>
      <c r="D10" s="1323"/>
      <c r="E10" s="1323"/>
      <c r="F10" s="1324"/>
      <c r="G10" s="1325"/>
      <c r="H10" s="215"/>
    </row>
    <row r="15" spans="2:26">
      <c r="B15" s="1735" t="s">
        <v>983</v>
      </c>
      <c r="C15" s="1736"/>
      <c r="D15" s="1736"/>
      <c r="E15" s="1736"/>
      <c r="F15" s="1737"/>
      <c r="G15" s="1324"/>
      <c r="M15" s="618"/>
      <c r="N15" s="1735" t="s">
        <v>984</v>
      </c>
      <c r="O15" s="1736"/>
      <c r="P15" s="1736"/>
      <c r="Q15" s="1737"/>
    </row>
    <row r="16" spans="2:26">
      <c r="B16" s="1027" t="s">
        <v>985</v>
      </c>
      <c r="C16" s="1027" t="s">
        <v>34</v>
      </c>
      <c r="D16" s="1027" t="s">
        <v>986</v>
      </c>
      <c r="E16" s="1027" t="s">
        <v>987</v>
      </c>
      <c r="F16" s="1523" t="s">
        <v>89</v>
      </c>
      <c r="G16" s="665"/>
      <c r="M16" s="618"/>
      <c r="N16" s="1027" t="s">
        <v>125</v>
      </c>
      <c r="O16" s="1027" t="s">
        <v>988</v>
      </c>
      <c r="P16" s="1027" t="s">
        <v>989</v>
      </c>
      <c r="Q16" s="1027" t="s">
        <v>990</v>
      </c>
    </row>
    <row r="17" spans="2:17" ht="32">
      <c r="B17" s="1033">
        <v>1</v>
      </c>
      <c r="C17" s="1524" t="s">
        <v>991</v>
      </c>
      <c r="D17" s="1029">
        <v>500000</v>
      </c>
      <c r="E17" s="1029">
        <f>K59</f>
        <v>4647</v>
      </c>
      <c r="F17" s="1525">
        <f>D17*E17/10^5</f>
        <v>23235</v>
      </c>
      <c r="G17" s="666"/>
      <c r="M17" s="618"/>
      <c r="N17" s="1060">
        <v>-4</v>
      </c>
      <c r="O17" s="1249" t="s">
        <v>992</v>
      </c>
      <c r="P17" s="1526">
        <v>0.05</v>
      </c>
      <c r="Q17" s="1249" t="s">
        <v>993</v>
      </c>
    </row>
    <row r="18" spans="2:17" ht="64">
      <c r="B18" s="1033">
        <f>B17+1</f>
        <v>2</v>
      </c>
      <c r="C18" s="1524" t="s">
        <v>994</v>
      </c>
      <c r="D18" s="1029">
        <f>3000*12</f>
        <v>36000</v>
      </c>
      <c r="E18" s="1029">
        <f>K60-D47</f>
        <v>3309</v>
      </c>
      <c r="F18" s="1525">
        <f>D18*E18/10^5</f>
        <v>1191.24</v>
      </c>
      <c r="N18" s="1060">
        <v>-3</v>
      </c>
      <c r="O18" s="1249" t="s">
        <v>995</v>
      </c>
      <c r="P18" s="1526">
        <v>0.25</v>
      </c>
      <c r="Q18" s="1249" t="s">
        <v>996</v>
      </c>
    </row>
    <row r="19" spans="2:17" ht="48">
      <c r="B19" s="1033">
        <f>B18+1</f>
        <v>3</v>
      </c>
      <c r="C19" s="1524" t="s">
        <v>997</v>
      </c>
      <c r="D19" s="1029">
        <v>50000</v>
      </c>
      <c r="E19" s="1029">
        <f>K61-D47</f>
        <v>3309</v>
      </c>
      <c r="F19" s="1525">
        <f>D19*E19/10^5</f>
        <v>1654.5</v>
      </c>
      <c r="N19" s="1060">
        <v>-2</v>
      </c>
      <c r="O19" s="1249" t="s">
        <v>998</v>
      </c>
      <c r="P19" s="1526">
        <v>0.4</v>
      </c>
      <c r="Q19" s="1249" t="s">
        <v>999</v>
      </c>
    </row>
    <row r="20" spans="2:17" ht="48">
      <c r="B20" s="1033">
        <f>B19+1</f>
        <v>4</v>
      </c>
      <c r="C20" s="1524" t="s">
        <v>1000</v>
      </c>
      <c r="D20" s="1029">
        <v>50000</v>
      </c>
      <c r="E20" s="1029">
        <f>K62</f>
        <v>4647</v>
      </c>
      <c r="F20" s="1525">
        <f>D20*E20/10^5</f>
        <v>2323.5</v>
      </c>
      <c r="N20" s="1060">
        <v>-1</v>
      </c>
      <c r="O20" s="1249" t="s">
        <v>1001</v>
      </c>
      <c r="P20" s="1526">
        <v>0.25</v>
      </c>
      <c r="Q20" s="1249" t="s">
        <v>1002</v>
      </c>
    </row>
    <row r="21" spans="2:17" ht="160">
      <c r="B21" s="1033">
        <f>B20+1</f>
        <v>5</v>
      </c>
      <c r="C21" s="1524" t="s">
        <v>1003</v>
      </c>
      <c r="D21" s="1527">
        <v>131006.21906606412</v>
      </c>
      <c r="E21" s="1029">
        <f>K63</f>
        <v>4647</v>
      </c>
      <c r="F21" s="1525">
        <f>D21*E21/10^5</f>
        <v>6087.8590000000004</v>
      </c>
      <c r="G21" s="434"/>
      <c r="N21" s="1060">
        <v>1</v>
      </c>
      <c r="O21" s="1249" t="s">
        <v>1004</v>
      </c>
      <c r="P21" s="1526">
        <v>0.05</v>
      </c>
      <c r="Q21" s="1249" t="s">
        <v>1005</v>
      </c>
    </row>
    <row r="22" spans="2:17" ht="16">
      <c r="B22" s="1033"/>
      <c r="C22" s="1528" t="s">
        <v>691</v>
      </c>
      <c r="D22" s="1527"/>
      <c r="E22" s="1029"/>
      <c r="F22" s="1529">
        <f>SUM(F17:F21)</f>
        <v>34492.099000000002</v>
      </c>
      <c r="G22" s="434"/>
    </row>
    <row r="23" spans="2:17" ht="32">
      <c r="B23" s="1033">
        <f>B21+1</f>
        <v>6</v>
      </c>
      <c r="C23" s="1524" t="s">
        <v>1006</v>
      </c>
      <c r="D23" s="1527">
        <v>196279.9669330394</v>
      </c>
      <c r="E23" s="1029">
        <f>K65-D47</f>
        <v>3309</v>
      </c>
      <c r="F23" s="1525">
        <f>D23*E23/10^5</f>
        <v>6494.904105814273</v>
      </c>
      <c r="G23" s="434"/>
    </row>
    <row r="24" spans="2:17" ht="32">
      <c r="B24" s="1033">
        <f>B23+1</f>
        <v>7</v>
      </c>
      <c r="C24" s="1524" t="s">
        <v>1007</v>
      </c>
      <c r="D24" s="1527">
        <v>1600000</v>
      </c>
      <c r="E24" s="1029">
        <f>K66-D47</f>
        <v>3309</v>
      </c>
      <c r="F24" s="1525">
        <f>D24*E24/10^5</f>
        <v>52944</v>
      </c>
      <c r="G24" s="434"/>
    </row>
    <row r="25" spans="2:17" ht="16">
      <c r="B25" s="1033">
        <f>B24+1</f>
        <v>8</v>
      </c>
      <c r="C25" s="1028" t="s">
        <v>1008</v>
      </c>
      <c r="D25" s="1527">
        <v>235119.43189154292</v>
      </c>
      <c r="E25" s="1029">
        <v>4647</v>
      </c>
      <c r="F25" s="1525">
        <f>D25*E25/10^5</f>
        <v>10926</v>
      </c>
      <c r="G25" s="434"/>
    </row>
    <row r="26" spans="2:17" ht="32">
      <c r="B26" s="1033"/>
      <c r="C26" s="1030" t="s">
        <v>1009</v>
      </c>
      <c r="D26" s="1031"/>
      <c r="E26" s="1031"/>
      <c r="F26" s="1529">
        <f>SUM(F22:F25)</f>
        <v>104857.00310581428</v>
      </c>
      <c r="G26" s="434"/>
    </row>
    <row r="27" spans="2:17" ht="15">
      <c r="B27" s="629"/>
      <c r="C27" s="645" t="s">
        <v>267</v>
      </c>
      <c r="D27" s="1031" t="s">
        <v>134</v>
      </c>
      <c r="E27" s="1031"/>
      <c r="F27" s="1530">
        <f>F26/100</f>
        <v>1048.5700310581428</v>
      </c>
      <c r="G27" s="434"/>
    </row>
    <row r="32" spans="2:17">
      <c r="B32" s="1735" t="s">
        <v>1010</v>
      </c>
      <c r="C32" s="1736"/>
      <c r="D32" s="1736"/>
      <c r="E32" s="1736"/>
      <c r="F32" s="1736"/>
      <c r="G32" s="1736"/>
      <c r="H32" s="1736"/>
      <c r="I32" s="1736"/>
      <c r="J32" s="1736"/>
      <c r="K32" s="1737"/>
    </row>
    <row r="33" spans="2:11">
      <c r="B33" s="1027" t="s">
        <v>1011</v>
      </c>
      <c r="C33" s="1027" t="s">
        <v>1012</v>
      </c>
      <c r="D33" s="1027" t="s">
        <v>1013</v>
      </c>
      <c r="E33" s="1027" t="s">
        <v>1014</v>
      </c>
      <c r="F33" s="1523" t="s">
        <v>1015</v>
      </c>
      <c r="G33" s="1027" t="s">
        <v>800</v>
      </c>
      <c r="H33" s="1027" t="s">
        <v>804</v>
      </c>
      <c r="I33" s="1027" t="s">
        <v>1016</v>
      </c>
      <c r="J33" s="1027" t="s">
        <v>1017</v>
      </c>
      <c r="K33" s="1523" t="s">
        <v>805</v>
      </c>
    </row>
    <row r="34" spans="2:11" ht="16">
      <c r="B34" s="1531">
        <v>1</v>
      </c>
      <c r="C34" s="1532" t="s">
        <v>1018</v>
      </c>
      <c r="D34" s="1533">
        <v>1813</v>
      </c>
      <c r="E34" s="1533">
        <v>1334</v>
      </c>
      <c r="F34" s="1533"/>
      <c r="G34" s="1533">
        <v>160</v>
      </c>
      <c r="H34" s="1533" t="s">
        <v>1019</v>
      </c>
      <c r="I34" s="1533" t="s">
        <v>1019</v>
      </c>
      <c r="J34" s="1533" t="s">
        <v>1019</v>
      </c>
      <c r="K34" s="1533" t="s">
        <v>1019</v>
      </c>
    </row>
    <row r="35" spans="2:11" ht="16">
      <c r="B35" s="1531">
        <f>B34+1</f>
        <v>2</v>
      </c>
      <c r="C35" s="1532" t="s">
        <v>1020</v>
      </c>
      <c r="D35" s="1533"/>
      <c r="E35" s="1533"/>
      <c r="F35" s="1533"/>
      <c r="G35" s="1533">
        <v>210</v>
      </c>
      <c r="H35" s="1533" t="s">
        <v>1019</v>
      </c>
      <c r="I35" s="1533" t="s">
        <v>1019</v>
      </c>
      <c r="J35" s="1533" t="s">
        <v>1019</v>
      </c>
      <c r="K35" s="1533" t="s">
        <v>1019</v>
      </c>
    </row>
    <row r="36" spans="2:11" ht="16">
      <c r="B36" s="1531">
        <f>B35+1</f>
        <v>3</v>
      </c>
      <c r="C36" s="1532" t="s">
        <v>1021</v>
      </c>
      <c r="D36" s="1533"/>
      <c r="E36" s="1533"/>
      <c r="F36" s="1533"/>
      <c r="G36" s="1533">
        <v>110</v>
      </c>
      <c r="H36" s="1533" t="s">
        <v>1019</v>
      </c>
      <c r="I36" s="1533">
        <v>35</v>
      </c>
      <c r="J36" s="1533" t="s">
        <v>1019</v>
      </c>
      <c r="K36" s="1533" t="s">
        <v>1019</v>
      </c>
    </row>
    <row r="37" spans="2:11" ht="16">
      <c r="B37" s="1531">
        <f>B36+1</f>
        <v>4</v>
      </c>
      <c r="C37" s="1532" t="s">
        <v>1022</v>
      </c>
      <c r="D37" s="1533"/>
      <c r="E37" s="1533"/>
      <c r="F37" s="1533"/>
      <c r="G37" s="1533">
        <v>74</v>
      </c>
      <c r="H37" s="1533" t="s">
        <v>1019</v>
      </c>
      <c r="I37" s="1533" t="s">
        <v>1019</v>
      </c>
      <c r="J37" s="1533" t="s">
        <v>1019</v>
      </c>
      <c r="K37" s="1533" t="s">
        <v>1019</v>
      </c>
    </row>
    <row r="38" spans="2:11" ht="16">
      <c r="B38" s="1531">
        <f>B37+1</f>
        <v>5</v>
      </c>
      <c r="C38" s="1532" t="s">
        <v>1023</v>
      </c>
      <c r="D38" s="1533"/>
      <c r="E38" s="1533"/>
      <c r="F38" s="1533"/>
      <c r="G38" s="1533">
        <v>38</v>
      </c>
      <c r="H38" s="1533" t="s">
        <v>1019</v>
      </c>
      <c r="I38" s="1533" t="s">
        <v>1019</v>
      </c>
      <c r="J38" s="1533" t="s">
        <v>1019</v>
      </c>
      <c r="K38" s="1533" t="s">
        <v>1019</v>
      </c>
    </row>
    <row r="39" spans="2:11" ht="16">
      <c r="B39" s="1531">
        <f>B38+1</f>
        <v>6</v>
      </c>
      <c r="C39" s="1532" t="s">
        <v>1024</v>
      </c>
      <c r="D39" s="1533"/>
      <c r="E39" s="1533"/>
      <c r="F39" s="1533">
        <v>81</v>
      </c>
      <c r="G39" s="1533">
        <v>210</v>
      </c>
      <c r="H39" s="1533">
        <v>72</v>
      </c>
      <c r="I39" s="1533">
        <v>77</v>
      </c>
      <c r="J39" s="1533">
        <v>429</v>
      </c>
      <c r="K39" s="1533">
        <v>4</v>
      </c>
    </row>
    <row r="40" spans="2:11" ht="16">
      <c r="B40" s="1534" t="s">
        <v>614</v>
      </c>
      <c r="C40" s="629"/>
      <c r="D40" s="1533">
        <f t="shared" ref="D40:K40" si="2">SUM(D34:D39)</f>
        <v>1813</v>
      </c>
      <c r="E40" s="1533">
        <f t="shared" si="2"/>
        <v>1334</v>
      </c>
      <c r="F40" s="1533">
        <f t="shared" si="2"/>
        <v>81</v>
      </c>
      <c r="G40" s="1533">
        <f t="shared" si="2"/>
        <v>802</v>
      </c>
      <c r="H40" s="1533">
        <f t="shared" si="2"/>
        <v>72</v>
      </c>
      <c r="I40" s="1533">
        <f t="shared" si="2"/>
        <v>112</v>
      </c>
      <c r="J40" s="1533">
        <f t="shared" si="2"/>
        <v>429</v>
      </c>
      <c r="K40" s="1533">
        <f t="shared" si="2"/>
        <v>4</v>
      </c>
    </row>
    <row r="41" spans="2:11">
      <c r="B41" s="1534" t="s">
        <v>1025</v>
      </c>
      <c r="C41" s="1741">
        <f>SUM(D40:K40)</f>
        <v>4647</v>
      </c>
      <c r="D41" s="1742"/>
      <c r="E41" s="1743"/>
      <c r="F41" s="645" t="s">
        <v>1026</v>
      </c>
      <c r="G41" s="1741">
        <f>D40+E40+D49</f>
        <v>3629</v>
      </c>
      <c r="H41" s="1742"/>
      <c r="I41" s="1742"/>
      <c r="J41" s="1742"/>
      <c r="K41" s="1743"/>
    </row>
    <row r="43" spans="2:11">
      <c r="B43" s="1744" t="s">
        <v>1027</v>
      </c>
      <c r="C43" s="1744"/>
      <c r="D43" s="1744"/>
    </row>
    <row r="44" spans="2:11">
      <c r="B44" s="1027" t="s">
        <v>1011</v>
      </c>
      <c r="C44" s="1027" t="s">
        <v>1012</v>
      </c>
      <c r="D44" s="1027" t="s">
        <v>800</v>
      </c>
    </row>
    <row r="45" spans="2:11" ht="16">
      <c r="B45" s="1531">
        <v>1</v>
      </c>
      <c r="C45" s="1535" t="s">
        <v>1021</v>
      </c>
      <c r="D45" s="1533">
        <f>G36</f>
        <v>110</v>
      </c>
    </row>
    <row r="46" spans="2:11" ht="16">
      <c r="B46" s="1531">
        <f>B45+1</f>
        <v>2</v>
      </c>
      <c r="C46" s="1535" t="s">
        <v>1024</v>
      </c>
      <c r="D46" s="1060">
        <f>G39</f>
        <v>210</v>
      </c>
    </row>
    <row r="47" spans="2:11">
      <c r="B47" s="1060" t="s">
        <v>267</v>
      </c>
      <c r="C47" s="1060"/>
      <c r="D47" s="1060">
        <f>SUM(D45:D46)</f>
        <v>320</v>
      </c>
    </row>
    <row r="49" spans="2:12">
      <c r="B49" s="1060" t="s">
        <v>267</v>
      </c>
      <c r="C49" s="1060" t="s">
        <v>1028</v>
      </c>
      <c r="D49" s="1060">
        <f>G40-D47</f>
        <v>482</v>
      </c>
    </row>
    <row r="57" spans="2:12">
      <c r="H57" s="1735" t="s">
        <v>1029</v>
      </c>
      <c r="I57" s="1736"/>
      <c r="J57" s="1736"/>
      <c r="K57" s="1736"/>
      <c r="L57" s="1737"/>
    </row>
    <row r="58" spans="2:12">
      <c r="H58" s="1027" t="s">
        <v>985</v>
      </c>
      <c r="I58" s="1027" t="s">
        <v>34</v>
      </c>
      <c r="J58" s="1027" t="s">
        <v>986</v>
      </c>
      <c r="K58" s="1027" t="s">
        <v>987</v>
      </c>
      <c r="L58" s="1523" t="s">
        <v>89</v>
      </c>
    </row>
    <row r="59" spans="2:12" ht="80">
      <c r="H59" s="1033">
        <v>1</v>
      </c>
      <c r="I59" s="1524" t="s">
        <v>1030</v>
      </c>
      <c r="J59" s="1029">
        <v>500000</v>
      </c>
      <c r="K59" s="1029">
        <v>4647</v>
      </c>
      <c r="L59" s="1525">
        <f>J59*K59/10^5</f>
        <v>23235</v>
      </c>
    </row>
    <row r="60" spans="2:12" ht="144">
      <c r="H60" s="1033">
        <f>H59+1</f>
        <v>2</v>
      </c>
      <c r="I60" s="1524" t="s">
        <v>1031</v>
      </c>
      <c r="J60" s="1029">
        <f>3000*12</f>
        <v>36000</v>
      </c>
      <c r="K60" s="1029">
        <v>3629</v>
      </c>
      <c r="L60" s="1525">
        <f>J60*K60/10^5</f>
        <v>1306.44</v>
      </c>
    </row>
    <row r="61" spans="2:12" ht="128">
      <c r="H61" s="1033">
        <f>H60+1</f>
        <v>3</v>
      </c>
      <c r="I61" s="1524" t="s">
        <v>1032</v>
      </c>
      <c r="J61" s="1029">
        <v>50000</v>
      </c>
      <c r="K61" s="1029">
        <v>3629</v>
      </c>
      <c r="L61" s="1525">
        <f>J61*K61/10^5</f>
        <v>1814.5</v>
      </c>
    </row>
    <row r="62" spans="2:12" ht="96">
      <c r="H62" s="1033">
        <f>H61+1</f>
        <v>4</v>
      </c>
      <c r="I62" s="1524" t="s">
        <v>1033</v>
      </c>
      <c r="J62" s="1029">
        <v>50000</v>
      </c>
      <c r="K62" s="1029">
        <v>4647</v>
      </c>
      <c r="L62" s="1525">
        <f>J62*K62/10^5</f>
        <v>2323.5</v>
      </c>
    </row>
    <row r="63" spans="2:12" ht="380">
      <c r="H63" s="1033">
        <f>H62+1</f>
        <v>5</v>
      </c>
      <c r="I63" s="1524" t="s">
        <v>1003</v>
      </c>
      <c r="J63" s="1527">
        <v>131006.21906606412</v>
      </c>
      <c r="K63" s="1029">
        <v>4647</v>
      </c>
      <c r="L63" s="1525">
        <f>J63*K63/10^5</f>
        <v>6087.8590000000004</v>
      </c>
    </row>
    <row r="64" spans="2:12" ht="16">
      <c r="H64" s="1033"/>
      <c r="I64" s="1528" t="s">
        <v>691</v>
      </c>
      <c r="J64" s="1527"/>
      <c r="K64" s="1029"/>
      <c r="L64" s="1529">
        <f>SUM(L59:L63)</f>
        <v>34767.298999999999</v>
      </c>
    </row>
    <row r="65" spans="8:12" ht="48">
      <c r="H65" s="1033">
        <f>H63+1</f>
        <v>6</v>
      </c>
      <c r="I65" s="1524" t="s">
        <v>1006</v>
      </c>
      <c r="J65" s="1527">
        <v>196279.9669330394</v>
      </c>
      <c r="K65" s="1029">
        <v>3629</v>
      </c>
      <c r="L65" s="1525">
        <f>J65*K65/10^5</f>
        <v>7123</v>
      </c>
    </row>
    <row r="66" spans="8:12" ht="48">
      <c r="H66" s="1033">
        <f>H65+1</f>
        <v>7</v>
      </c>
      <c r="I66" s="1524" t="s">
        <v>1007</v>
      </c>
      <c r="J66" s="1527">
        <v>1600000</v>
      </c>
      <c r="K66" s="1029">
        <v>3629</v>
      </c>
      <c r="L66" s="1525">
        <f>J66*K66/10^5</f>
        <v>58064</v>
      </c>
    </row>
    <row r="67" spans="8:12" ht="32">
      <c r="H67" s="1033">
        <f>H66+1</f>
        <v>8</v>
      </c>
      <c r="I67" s="1524" t="s">
        <v>1008</v>
      </c>
      <c r="J67" s="1527">
        <v>235119.43189154292</v>
      </c>
      <c r="K67" s="1029">
        <v>4647</v>
      </c>
      <c r="L67" s="1525">
        <f>J67*K67/10^5</f>
        <v>10926</v>
      </c>
    </row>
    <row r="68" spans="8:12" ht="64">
      <c r="H68" s="1033"/>
      <c r="I68" s="1030" t="s">
        <v>1009</v>
      </c>
      <c r="J68" s="1031"/>
      <c r="K68" s="1031"/>
      <c r="L68" s="1529">
        <f>SUM(L64:L67)</f>
        <v>110880.299</v>
      </c>
    </row>
    <row r="69" spans="8:12" ht="15">
      <c r="H69" s="629"/>
      <c r="I69" s="645" t="s">
        <v>267</v>
      </c>
      <c r="J69" s="1031" t="s">
        <v>134</v>
      </c>
      <c r="K69" s="1031"/>
      <c r="L69" s="1530">
        <f>L68/100</f>
        <v>1108.8029899999999</v>
      </c>
    </row>
  </sheetData>
  <mergeCells count="7">
    <mergeCell ref="H57:L57"/>
    <mergeCell ref="B15:F15"/>
    <mergeCell ref="N15:Q15"/>
    <mergeCell ref="B32:K32"/>
    <mergeCell ref="C41:E41"/>
    <mergeCell ref="G41:K41"/>
    <mergeCell ref="B43:D43"/>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C899-CF2F-4E1B-AF5F-7176478C50B4}">
  <sheetPr codeName="Sheet19">
    <tabColor rgb="FF0070C0"/>
  </sheetPr>
  <dimension ref="A2:CT413"/>
  <sheetViews>
    <sheetView showGridLines="0" workbookViewId="0">
      <selection activeCell="C11" sqref="C11"/>
    </sheetView>
  </sheetViews>
  <sheetFormatPr baseColWidth="10" defaultColWidth="8.83203125" defaultRowHeight="13"/>
  <cols>
    <col min="1" max="1" width="5.5" customWidth="1"/>
    <col min="2" max="2" width="35.5" style="142" bestFit="1" customWidth="1"/>
    <col min="3" max="3" width="44.5" bestFit="1" customWidth="1"/>
    <col min="5" max="5" width="9.5" bestFit="1" customWidth="1"/>
    <col min="6" max="6" width="12" customWidth="1"/>
    <col min="86" max="86" width="29" bestFit="1" customWidth="1"/>
    <col min="87" max="87" width="45.33203125" bestFit="1" customWidth="1"/>
    <col min="88" max="88" width="21.1640625" bestFit="1" customWidth="1"/>
    <col min="89" max="89" width="29" bestFit="1" customWidth="1"/>
    <col min="90" max="90" width="14.1640625" bestFit="1" customWidth="1"/>
    <col min="91" max="91" width="19.5" bestFit="1" customWidth="1"/>
    <col min="92" max="92" width="24" bestFit="1" customWidth="1"/>
    <col min="93" max="93" width="10.5" bestFit="1" customWidth="1"/>
    <col min="94" max="94" width="38.5" bestFit="1" customWidth="1"/>
  </cols>
  <sheetData>
    <row r="2" spans="2:94" ht="14" thickBot="1">
      <c r="C2" s="140" t="s">
        <v>831</v>
      </c>
      <c r="G2" s="205">
        <v>1</v>
      </c>
      <c r="H2" s="205">
        <v>2</v>
      </c>
      <c r="I2" s="205">
        <v>3</v>
      </c>
      <c r="J2" s="205">
        <v>4</v>
      </c>
      <c r="K2" s="205">
        <v>5</v>
      </c>
      <c r="L2" s="205">
        <v>6</v>
      </c>
      <c r="M2" s="205">
        <v>7</v>
      </c>
      <c r="N2" s="205">
        <v>8</v>
      </c>
      <c r="O2" s="205">
        <v>9</v>
      </c>
      <c r="P2" s="205">
        <v>10</v>
      </c>
      <c r="Q2" s="205">
        <v>11</v>
      </c>
      <c r="R2" s="205">
        <v>12</v>
      </c>
      <c r="S2" s="205">
        <v>13</v>
      </c>
      <c r="T2" s="205">
        <v>14</v>
      </c>
      <c r="U2" s="205">
        <v>15</v>
      </c>
      <c r="V2" s="205">
        <v>16</v>
      </c>
      <c r="W2" s="205">
        <v>17</v>
      </c>
      <c r="X2" s="205">
        <v>18</v>
      </c>
      <c r="Y2" s="205">
        <v>19</v>
      </c>
      <c r="Z2" s="205">
        <v>20</v>
      </c>
      <c r="AA2" s="205">
        <v>21</v>
      </c>
      <c r="AB2" s="205">
        <v>22</v>
      </c>
      <c r="AC2" s="205">
        <v>23</v>
      </c>
      <c r="AD2" s="205"/>
      <c r="AE2" s="205"/>
      <c r="AF2" s="205"/>
      <c r="AG2" s="205"/>
      <c r="AH2" s="205"/>
      <c r="AI2" s="205"/>
      <c r="AJ2" s="205"/>
      <c r="AK2" s="205"/>
      <c r="AL2" s="205"/>
      <c r="AM2" s="205"/>
      <c r="AN2" s="205"/>
      <c r="AO2" s="205"/>
      <c r="AP2" s="205"/>
      <c r="AQ2" s="205"/>
      <c r="CH2" s="59" t="s">
        <v>832</v>
      </c>
    </row>
    <row r="3" spans="2:94" ht="28">
      <c r="B3" s="789"/>
      <c r="C3" s="1141" t="s">
        <v>34</v>
      </c>
      <c r="D3" s="1141" t="s">
        <v>88</v>
      </c>
      <c r="E3" s="1141" t="s">
        <v>267</v>
      </c>
      <c r="F3" s="1141" t="s">
        <v>833</v>
      </c>
      <c r="G3" s="1141">
        <f>'Production Schedule'!E3</f>
        <v>-4</v>
      </c>
      <c r="H3" s="1141">
        <f>'Production Schedule'!F3</f>
        <v>-3</v>
      </c>
      <c r="I3" s="1141">
        <f>'Production Schedule'!G3</f>
        <v>-2</v>
      </c>
      <c r="J3" s="1141">
        <f>'Production Schedule'!H3</f>
        <v>-1</v>
      </c>
      <c r="K3" s="1141">
        <f>'Production Schedule'!I3</f>
        <v>1</v>
      </c>
      <c r="L3" s="1141">
        <f>'Production Schedule'!J3</f>
        <v>2</v>
      </c>
      <c r="M3" s="1141">
        <f>'Production Schedule'!K3</f>
        <v>3</v>
      </c>
      <c r="N3" s="1141">
        <f>'Production Schedule'!L3</f>
        <v>4</v>
      </c>
      <c r="O3" s="1141">
        <f>'Production Schedule'!M3</f>
        <v>5</v>
      </c>
      <c r="P3" s="1141">
        <f>'Production Schedule'!N3</f>
        <v>6</v>
      </c>
      <c r="Q3" s="1141">
        <f>'Production Schedule'!O3</f>
        <v>7</v>
      </c>
      <c r="R3" s="1141">
        <f>'Production Schedule'!P3</f>
        <v>8</v>
      </c>
      <c r="S3" s="1141">
        <f>'Production Schedule'!Q3</f>
        <v>9</v>
      </c>
      <c r="T3" s="1141">
        <f>'Production Schedule'!R3</f>
        <v>10</v>
      </c>
      <c r="U3" s="1141">
        <f>'Production Schedule'!S3</f>
        <v>11</v>
      </c>
      <c r="V3" s="1141">
        <f>'Production Schedule'!T3</f>
        <v>12</v>
      </c>
      <c r="W3" s="1141">
        <f>'Production Schedule'!U3</f>
        <v>13</v>
      </c>
      <c r="X3" s="1141">
        <f>'Production Schedule'!V3</f>
        <v>14</v>
      </c>
      <c r="Y3" s="1141">
        <f>'Production Schedule'!W3</f>
        <v>15</v>
      </c>
      <c r="Z3" s="1141">
        <f>'Production Schedule'!X3</f>
        <v>16</v>
      </c>
      <c r="AA3" s="1141">
        <f>'Production Schedule'!Y3</f>
        <v>17</v>
      </c>
      <c r="AB3" s="1141">
        <f>'Production Schedule'!Z3</f>
        <v>18</v>
      </c>
      <c r="AC3" s="1141">
        <f>'Production Schedule'!AA3</f>
        <v>19</v>
      </c>
      <c r="AD3" s="1141"/>
      <c r="AE3" s="1141"/>
      <c r="AF3" s="1141"/>
      <c r="AG3" s="1141"/>
      <c r="AH3" s="1141"/>
      <c r="AI3" s="1141"/>
      <c r="AJ3" s="1141"/>
      <c r="AK3" s="1141"/>
      <c r="AL3" s="1141"/>
      <c r="AM3" s="1141"/>
      <c r="AN3" s="1141"/>
      <c r="AO3" s="1141"/>
      <c r="AP3" s="1141"/>
      <c r="AQ3" s="1141"/>
      <c r="AR3" s="1141">
        <f>'Production Schedule'!AP3</f>
        <v>0</v>
      </c>
      <c r="AS3" s="1141">
        <f>'Production Schedule'!AQ3</f>
        <v>0</v>
      </c>
      <c r="AT3" s="1141">
        <f>'Production Schedule'!AR3</f>
        <v>0</v>
      </c>
      <c r="AU3" s="1141">
        <f>'Production Schedule'!AS3</f>
        <v>0</v>
      </c>
      <c r="AV3" s="1141">
        <f>'Production Schedule'!AT3</f>
        <v>0</v>
      </c>
      <c r="AW3" s="1141">
        <f>'Production Schedule'!AU3</f>
        <v>0</v>
      </c>
      <c r="AX3" s="1141">
        <f>'Production Schedule'!AV3</f>
        <v>0</v>
      </c>
      <c r="AY3" s="1141">
        <f>'Production Schedule'!AW3</f>
        <v>0</v>
      </c>
      <c r="AZ3" s="1141">
        <f>'Production Schedule'!AX3</f>
        <v>0</v>
      </c>
      <c r="BA3" s="1141">
        <f>'Production Schedule'!AY3</f>
        <v>0</v>
      </c>
      <c r="BB3" s="1141">
        <f>'Production Schedule'!AZ3</f>
        <v>0</v>
      </c>
      <c r="BC3" s="1141">
        <f>'Production Schedule'!BA3</f>
        <v>0</v>
      </c>
      <c r="BD3" s="1141">
        <f>'Production Schedule'!BB3</f>
        <v>0</v>
      </c>
      <c r="BE3" s="1141">
        <f>'Production Schedule'!BC3</f>
        <v>0</v>
      </c>
      <c r="BF3" s="1141">
        <f>'Production Schedule'!BD3</f>
        <v>0</v>
      </c>
      <c r="CH3" s="151" t="s">
        <v>834</v>
      </c>
      <c r="CI3" s="152" t="s">
        <v>835</v>
      </c>
      <c r="CJ3" s="152" t="s">
        <v>85</v>
      </c>
      <c r="CK3" s="152" t="s">
        <v>836</v>
      </c>
      <c r="CL3" s="152" t="s">
        <v>837</v>
      </c>
      <c r="CM3" s="152" t="s">
        <v>838</v>
      </c>
      <c r="CN3" s="152" t="s">
        <v>839</v>
      </c>
      <c r="CO3" s="152" t="s">
        <v>840</v>
      </c>
      <c r="CP3" s="153" t="s">
        <v>841</v>
      </c>
    </row>
    <row r="4" spans="2:94">
      <c r="C4" s="162" t="s">
        <v>834</v>
      </c>
      <c r="CH4" s="154" t="s">
        <v>842</v>
      </c>
      <c r="CI4" s="155" t="s">
        <v>843</v>
      </c>
      <c r="CJ4" s="155" t="s">
        <v>844</v>
      </c>
      <c r="CK4" s="156" t="s">
        <v>845</v>
      </c>
      <c r="CL4" s="156" t="s">
        <v>846</v>
      </c>
      <c r="CM4" s="156" t="s">
        <v>847</v>
      </c>
      <c r="CN4" s="156" t="s">
        <v>848</v>
      </c>
      <c r="CO4" s="156" t="s">
        <v>849</v>
      </c>
      <c r="CP4" s="157" t="s">
        <v>850</v>
      </c>
    </row>
    <row r="5" spans="2:94">
      <c r="B5" s="142" t="s">
        <v>851</v>
      </c>
      <c r="C5" s="94" t="str">
        <f>C11</f>
        <v>Drill Machine/ 115mm diameter</v>
      </c>
      <c r="D5" s="141" t="s">
        <v>118</v>
      </c>
      <c r="E5" s="212">
        <f>SUM(G5:AQ5)</f>
        <v>22.648639316860468</v>
      </c>
      <c r="G5" s="145">
        <f>'Production Schedule'!E6/Assumptions_Dashboard!$D$32</f>
        <v>0</v>
      </c>
      <c r="H5" s="145">
        <f>'Production Schedule'!F6/Assumptions_Dashboard!$D$32</f>
        <v>0</v>
      </c>
      <c r="I5" s="145">
        <f>'Production Schedule'!G6/Assumptions_Dashboard!$D$32</f>
        <v>0</v>
      </c>
      <c r="J5" s="145">
        <f>'Production Schedule'!H6/Assumptions_Dashboard!$D$32</f>
        <v>0</v>
      </c>
      <c r="K5" s="145">
        <f>'Production Schedule'!I6/Assumptions_Dashboard!$D$32</f>
        <v>1.1627905552325581</v>
      </c>
      <c r="L5" s="145">
        <f>'Production Schedule'!J6/Assumptions_Dashboard!$D$32</f>
        <v>2.3255806133720931</v>
      </c>
      <c r="M5" s="145">
        <f>'Production Schedule'!K6/Assumptions_Dashboard!$D$32</f>
        <v>0.69767448226744178</v>
      </c>
      <c r="N5" s="145">
        <f>'Production Schedule'!L6/Assumptions_Dashboard!$D$32</f>
        <v>1.0465114997093021</v>
      </c>
      <c r="O5" s="145">
        <f>'Production Schedule'!M6/Assumptions_Dashboard!$D$32</f>
        <v>1.3081391136627907</v>
      </c>
      <c r="P5" s="145">
        <f>'Production Schedule'!N6/Assumptions_Dashboard!$D$32</f>
        <v>1.3081401575581397</v>
      </c>
      <c r="Q5" s="145">
        <f>'Production Schedule'!O6/Assumptions_Dashboard!$D$32</f>
        <v>1.3081394119186045</v>
      </c>
      <c r="R5" s="145">
        <f>'Production Schedule'!P6/Assumptions_Dashboard!$D$32</f>
        <v>1.3081392627906976</v>
      </c>
      <c r="S5" s="145">
        <f>'Production Schedule'!Q6/Assumptions_Dashboard!$D$32</f>
        <v>1.3081398593023252</v>
      </c>
      <c r="T5" s="145">
        <f>'Production Schedule'!R6/Assumptions_Dashboard!$D$32</f>
        <v>1.3081391136627907</v>
      </c>
      <c r="U5" s="145">
        <f>'Production Schedule'!S6/Assumptions_Dashboard!$D$32</f>
        <v>1.3081392627906976</v>
      </c>
      <c r="V5" s="145">
        <f>'Production Schedule'!T6/Assumptions_Dashboard!$D$32</f>
        <v>1.3081397101744183</v>
      </c>
      <c r="W5" s="145">
        <f>'Production Schedule'!U6/Assumptions_Dashboard!$D$32</f>
        <v>1.3081409031976743</v>
      </c>
      <c r="X5" s="145">
        <f>'Production Schedule'!V6/Assumptions_Dashboard!$D$32</f>
        <v>1.3081397101744183</v>
      </c>
      <c r="Y5" s="145">
        <f>'Production Schedule'!W6/Assumptions_Dashboard!$D$32</f>
        <v>1.3081397101744183</v>
      </c>
      <c r="Z5" s="145">
        <f>'Production Schedule'!X6/Assumptions_Dashboard!$D$32</f>
        <v>1.3081395610465114</v>
      </c>
      <c r="AA5" s="145">
        <f>'Production Schedule'!Y6/Assumptions_Dashboard!$D$32</f>
        <v>0.87209299098837201</v>
      </c>
      <c r="AB5" s="145">
        <f>'Production Schedule'!Z6/Assumptions_Dashboard!$D$32</f>
        <v>0.6540700042151163</v>
      </c>
      <c r="AC5" s="145">
        <f>'Production Schedule'!AA6/Assumptions_Dashboard!$D$32</f>
        <v>0.192243394622093</v>
      </c>
      <c r="AD5" s="145"/>
      <c r="AE5" s="145"/>
      <c r="AF5" s="145"/>
      <c r="AG5" s="145"/>
      <c r="AH5" s="145"/>
      <c r="AI5" s="145"/>
      <c r="AJ5" s="145"/>
      <c r="AK5" s="145"/>
      <c r="AL5" s="145"/>
      <c r="AM5" s="145"/>
      <c r="AN5" s="145"/>
      <c r="AO5" s="145"/>
      <c r="AP5" s="145"/>
      <c r="AQ5" s="145"/>
      <c r="CH5" s="154" t="s">
        <v>852</v>
      </c>
      <c r="CI5" s="155" t="s">
        <v>853</v>
      </c>
      <c r="CJ5" s="155" t="s">
        <v>854</v>
      </c>
      <c r="CK5" s="156" t="s">
        <v>855</v>
      </c>
      <c r="CL5" s="156" t="s">
        <v>856</v>
      </c>
      <c r="CM5" s="156" t="s">
        <v>857</v>
      </c>
      <c r="CN5" s="156" t="s">
        <v>858</v>
      </c>
      <c r="CO5" s="156" t="s">
        <v>859</v>
      </c>
      <c r="CP5" s="157" t="s">
        <v>860</v>
      </c>
    </row>
    <row r="6" spans="2:94">
      <c r="B6" s="142" t="s">
        <v>861</v>
      </c>
      <c r="C6" s="94" t="str">
        <f>C15</f>
        <v>Drill Machine/ 160mm diameter</v>
      </c>
      <c r="D6" s="141" t="s">
        <v>118</v>
      </c>
      <c r="E6" s="212">
        <f t="shared" ref="E6:E8" si="0">SUM(G6:AQ6)</f>
        <v>123.67616955881618</v>
      </c>
      <c r="F6" s="96">
        <v>0.3</v>
      </c>
      <c r="G6" s="145">
        <f>'Production Schedule'!E11*Fleet!$F$6</f>
        <v>0</v>
      </c>
      <c r="H6" s="145">
        <f>'Production Schedule'!F11*Fleet!$F$6</f>
        <v>0</v>
      </c>
      <c r="I6" s="145">
        <f>'Production Schedule'!G11*Fleet!$F$6</f>
        <v>0</v>
      </c>
      <c r="J6" s="145">
        <f>'Production Schedule'!H11*Fleet!$F$6</f>
        <v>0</v>
      </c>
      <c r="K6" s="145">
        <f>'Production Schedule'!I11*Fleet!$F$6</f>
        <v>2.6486565634106145</v>
      </c>
      <c r="L6" s="145">
        <f>'Production Schedule'!J11*Fleet!$F$6</f>
        <v>2.1986161487983424</v>
      </c>
      <c r="M6" s="145">
        <f>'Production Schedule'!K11*Fleet!$F$6</f>
        <v>3.9825589586187848</v>
      </c>
      <c r="N6" s="145">
        <f>'Production Schedule'!L11*Fleet!$F$6</f>
        <v>8.5047723106499991</v>
      </c>
      <c r="O6" s="145">
        <f>'Production Schedule'!M11*Fleet!$F$6</f>
        <v>8.1821528031833335</v>
      </c>
      <c r="P6" s="145">
        <f>'Production Schedule'!N11*Fleet!$F$6</f>
        <v>10.964094214558658</v>
      </c>
      <c r="Q6" s="145">
        <f>'Production Schedule'!O11*Fleet!$F$6</f>
        <v>10.036364929616667</v>
      </c>
      <c r="R6" s="145">
        <f>'Production Schedule'!P11*Fleet!$F$6</f>
        <v>8.3939567404000002</v>
      </c>
      <c r="S6" s="145">
        <f>'Production Schedule'!Q11*Fleet!$F$6</f>
        <v>8.7468592852666678</v>
      </c>
      <c r="T6" s="145">
        <f>'Production Schedule'!R11*Fleet!$F$6</f>
        <v>7.8029370305865919</v>
      </c>
      <c r="U6" s="145">
        <f>'Production Schedule'!S11*Fleet!$F$6</f>
        <v>8.7903544220111733</v>
      </c>
      <c r="V6" s="145">
        <f>'Production Schedule'!T11*Fleet!$F$6</f>
        <v>6.695111076284916</v>
      </c>
      <c r="W6" s="145">
        <f>'Production Schedule'!U11*Fleet!$F$6</f>
        <v>5.8789223096815588</v>
      </c>
      <c r="X6" s="145">
        <f>'Production Schedule'!V11*Fleet!$F$6</f>
        <v>7.3031922422849149</v>
      </c>
      <c r="Y6" s="145">
        <f>'Production Schedule'!W11*Fleet!$F$6</f>
        <v>7.2800284847696632</v>
      </c>
      <c r="Z6" s="145">
        <f>'Production Schedule'!X11*Fleet!$F$6</f>
        <v>9.2684976991348318</v>
      </c>
      <c r="AA6" s="145">
        <f>'Production Schedule'!Y11*Fleet!$F$6</f>
        <v>5.7118434893728818</v>
      </c>
      <c r="AB6" s="145">
        <f>'Production Schedule'!Z11*Fleet!$F$6</f>
        <v>0.99238539290625005</v>
      </c>
      <c r="AC6" s="145">
        <f>'Production Schedule'!AA11*Fleet!$F$6</f>
        <v>0.29486545728034685</v>
      </c>
      <c r="AD6" s="145"/>
      <c r="AE6" s="145"/>
      <c r="AF6" s="145"/>
      <c r="AG6" s="145"/>
      <c r="AH6" s="145"/>
      <c r="AI6" s="145"/>
      <c r="AJ6" s="145"/>
      <c r="AK6" s="145"/>
      <c r="AL6" s="145"/>
      <c r="AM6" s="145"/>
      <c r="AN6" s="145"/>
      <c r="AO6" s="145"/>
      <c r="AP6" s="145"/>
      <c r="AQ6" s="145"/>
      <c r="CH6" s="154" t="s">
        <v>862</v>
      </c>
      <c r="CI6" s="155" t="s">
        <v>863</v>
      </c>
      <c r="CJ6" s="156"/>
      <c r="CK6" s="156" t="s">
        <v>864</v>
      </c>
      <c r="CL6" s="156" t="s">
        <v>865</v>
      </c>
      <c r="CM6" s="156" t="s">
        <v>866</v>
      </c>
      <c r="CN6" s="156" t="s">
        <v>867</v>
      </c>
      <c r="CO6" s="156" t="s">
        <v>868</v>
      </c>
      <c r="CP6" s="157" t="s">
        <v>869</v>
      </c>
    </row>
    <row r="7" spans="2:94">
      <c r="B7" s="142" t="s">
        <v>870</v>
      </c>
      <c r="C7" s="94" t="s">
        <v>871</v>
      </c>
      <c r="D7" s="141" t="s">
        <v>118</v>
      </c>
      <c r="E7" s="212">
        <f t="shared" si="0"/>
        <v>288.57772897057117</v>
      </c>
      <c r="G7" s="146">
        <f>'Production Schedule'!E11-Fleet!G6</f>
        <v>0</v>
      </c>
      <c r="H7" s="146">
        <f>'Production Schedule'!F11-Fleet!H6</f>
        <v>0</v>
      </c>
      <c r="I7" s="146">
        <f>'Production Schedule'!G11-Fleet!I6</f>
        <v>0</v>
      </c>
      <c r="J7" s="146">
        <f>'Production Schedule'!H11-Fleet!J6</f>
        <v>0</v>
      </c>
      <c r="K7" s="146">
        <f>'Production Schedule'!I11-Fleet!K6</f>
        <v>6.1801986479581004</v>
      </c>
      <c r="L7" s="146">
        <f>'Production Schedule'!J11-Fleet!L6</f>
        <v>5.1301043471961325</v>
      </c>
      <c r="M7" s="146">
        <f>'Production Schedule'!K11-Fleet!M6</f>
        <v>9.2926375701104984</v>
      </c>
      <c r="N7" s="146">
        <f>'Production Schedule'!L11-Fleet!N6</f>
        <v>19.844468724850003</v>
      </c>
      <c r="O7" s="146">
        <f>'Production Schedule'!M11-Fleet!O6</f>
        <v>19.091689874094442</v>
      </c>
      <c r="P7" s="146">
        <f>'Production Schedule'!N11-Fleet!P6</f>
        <v>25.582886500636874</v>
      </c>
      <c r="Q7" s="146">
        <f>'Production Schedule'!O11-Fleet!Q6</f>
        <v>23.418184835772223</v>
      </c>
      <c r="R7" s="146">
        <f>'Production Schedule'!P11-Fleet!R6</f>
        <v>19.585899060933336</v>
      </c>
      <c r="S7" s="146">
        <f>'Production Schedule'!Q11-Fleet!S6</f>
        <v>20.40933833228889</v>
      </c>
      <c r="T7" s="146">
        <f>'Production Schedule'!R11-Fleet!T6</f>
        <v>18.206853071368716</v>
      </c>
      <c r="U7" s="146">
        <f>'Production Schedule'!S11-Fleet!U6</f>
        <v>20.510826984692741</v>
      </c>
      <c r="V7" s="146">
        <f>'Production Schedule'!T11-Fleet!V6</f>
        <v>15.621925844664805</v>
      </c>
      <c r="W7" s="146">
        <f>'Production Schedule'!U11-Fleet!W6</f>
        <v>13.717485389256971</v>
      </c>
      <c r="X7" s="146">
        <f>'Production Schedule'!V11-Fleet!X6</f>
        <v>17.040781898664804</v>
      </c>
      <c r="Y7" s="146">
        <f>'Production Schedule'!W11-Fleet!Y6</f>
        <v>16.986733131129217</v>
      </c>
      <c r="Z7" s="146">
        <f>'Production Schedule'!X11-Fleet!Z6</f>
        <v>21.626494631314607</v>
      </c>
      <c r="AA7" s="146">
        <f>'Production Schedule'!Y11-Fleet!AA6</f>
        <v>13.327634808536725</v>
      </c>
      <c r="AB7" s="146">
        <f>'Production Schedule'!Z11-Fleet!AB6</f>
        <v>2.3155659167812503</v>
      </c>
      <c r="AC7" s="146">
        <f>'Production Schedule'!AA11-Fleet!AC6</f>
        <v>0.68801940032080933</v>
      </c>
      <c r="AD7" s="146"/>
      <c r="AE7" s="146"/>
      <c r="AF7" s="146"/>
      <c r="AG7" s="146"/>
      <c r="AH7" s="146"/>
      <c r="AI7" s="146"/>
      <c r="AJ7" s="146"/>
      <c r="AK7" s="146"/>
      <c r="AL7" s="146"/>
      <c r="AM7" s="146"/>
      <c r="AN7" s="146"/>
      <c r="AO7" s="146"/>
      <c r="AP7" s="146"/>
      <c r="AQ7" s="146"/>
      <c r="CH7" s="158"/>
      <c r="CI7" s="155" t="s">
        <v>872</v>
      </c>
      <c r="CJ7" s="156"/>
      <c r="CK7" s="156" t="s">
        <v>873</v>
      </c>
      <c r="CL7" s="156" t="s">
        <v>874</v>
      </c>
      <c r="CM7" s="156" t="s">
        <v>875</v>
      </c>
      <c r="CN7" s="156"/>
      <c r="CO7" s="156" t="s">
        <v>876</v>
      </c>
      <c r="CP7" s="157" t="s">
        <v>877</v>
      </c>
    </row>
    <row r="8" spans="2:94">
      <c r="B8" s="142" t="s">
        <v>878</v>
      </c>
      <c r="C8" s="94" t="s">
        <v>871</v>
      </c>
      <c r="D8" s="141" t="s">
        <v>118</v>
      </c>
      <c r="E8" s="212">
        <f t="shared" si="0"/>
        <v>121.47374319740139</v>
      </c>
      <c r="G8" s="145">
        <f>'Production Schedule'!E10</f>
        <v>0</v>
      </c>
      <c r="H8" s="145">
        <f>'Production Schedule'!F10</f>
        <v>0</v>
      </c>
      <c r="I8" s="145">
        <f>'Production Schedule'!G10</f>
        <v>0</v>
      </c>
      <c r="J8" s="145">
        <f>'Production Schedule'!H10</f>
        <v>0</v>
      </c>
      <c r="K8" s="145">
        <f>'Production Schedule'!I10</f>
        <v>2.5760393726815636</v>
      </c>
      <c r="L8" s="145">
        <f>'Production Schedule'!J10</f>
        <v>2.1026654249723746</v>
      </c>
      <c r="M8" s="145">
        <f>'Production Schedule'!K10</f>
        <v>3.7864162386464084</v>
      </c>
      <c r="N8" s="145">
        <f>'Production Schedule'!L10</f>
        <v>8.2591116944999996</v>
      </c>
      <c r="O8" s="145">
        <f>'Production Schedule'!M10</f>
        <v>7.9850096332777767</v>
      </c>
      <c r="P8" s="145">
        <f>'Production Schedule'!N10</f>
        <v>10.822256447240221</v>
      </c>
      <c r="Q8" s="145">
        <f>'Production Schedule'!O10</f>
        <v>9.8985433063888877</v>
      </c>
      <c r="R8" s="145">
        <f>'Production Schedule'!P10</f>
        <v>8.263245109333333</v>
      </c>
      <c r="S8" s="145">
        <f>'Production Schedule'!Q10</f>
        <v>8.6146199375555561</v>
      </c>
      <c r="T8" s="145">
        <f>'Production Schedule'!R10</f>
        <v>7.6747839264022311</v>
      </c>
      <c r="U8" s="145">
        <f>'Production Schedule'!S10</f>
        <v>8.6940355396647995</v>
      </c>
      <c r="V8" s="145">
        <f>'Production Schedule'!T10</f>
        <v>6.6078625114525131</v>
      </c>
      <c r="W8" s="145">
        <f>'Production Schedule'!U10</f>
        <v>5.7952070295530689</v>
      </c>
      <c r="X8" s="145">
        <f>'Production Schedule'!V10</f>
        <v>7.2133112914525128</v>
      </c>
      <c r="Y8" s="145">
        <f>'Production Schedule'!W10</f>
        <v>7.1902478099438198</v>
      </c>
      <c r="Z8" s="145">
        <f>'Production Schedule'!X10</f>
        <v>9.1766789229719095</v>
      </c>
      <c r="AA8" s="145">
        <f>'Production Schedule'!Y10</f>
        <v>5.6354214846807906</v>
      </c>
      <c r="AB8" s="145">
        <f>'Production Schedule'!Z10</f>
        <v>0.93639394274431842</v>
      </c>
      <c r="AC8" s="145">
        <f>'Production Schedule'!AA10</f>
        <v>0.24189357393930644</v>
      </c>
      <c r="AD8" s="145"/>
      <c r="AE8" s="145"/>
      <c r="AF8" s="145"/>
      <c r="AG8" s="145"/>
      <c r="AH8" s="145"/>
      <c r="AI8" s="145"/>
      <c r="AJ8" s="145"/>
      <c r="AK8" s="145"/>
      <c r="AL8" s="145"/>
      <c r="AM8" s="145"/>
      <c r="AN8" s="145"/>
      <c r="AO8" s="145"/>
      <c r="AP8" s="145"/>
      <c r="AQ8" s="145"/>
      <c r="CH8" s="158"/>
      <c r="CI8" s="155" t="s">
        <v>879</v>
      </c>
      <c r="CJ8" s="156"/>
      <c r="CK8" s="156" t="s">
        <v>880</v>
      </c>
      <c r="CL8" s="156" t="s">
        <v>881</v>
      </c>
      <c r="CM8" s="156" t="s">
        <v>882</v>
      </c>
      <c r="CN8" s="156"/>
      <c r="CO8" s="156" t="s">
        <v>883</v>
      </c>
      <c r="CP8" s="157" t="s">
        <v>884</v>
      </c>
    </row>
    <row r="9" spans="2:94">
      <c r="B9" s="142" t="s">
        <v>885</v>
      </c>
      <c r="C9" s="94" t="str">
        <f>C19</f>
        <v>Drill Machine/ 250mm diameter</v>
      </c>
      <c r="D9" s="141" t="s">
        <v>118</v>
      </c>
      <c r="E9" s="333">
        <f>SUM(E7:E8)</f>
        <v>410.05147216797258</v>
      </c>
      <c r="F9" s="333"/>
      <c r="G9" s="333">
        <f>SUM(G7:G8)</f>
        <v>0</v>
      </c>
      <c r="H9" s="333">
        <f t="shared" ref="H9:AC9" si="1">SUM(H7:H8)</f>
        <v>0</v>
      </c>
      <c r="I9" s="333">
        <f t="shared" si="1"/>
        <v>0</v>
      </c>
      <c r="J9" s="333">
        <f t="shared" si="1"/>
        <v>0</v>
      </c>
      <c r="K9" s="333">
        <f t="shared" si="1"/>
        <v>8.7562380206396639</v>
      </c>
      <c r="L9" s="333">
        <f>SUM(L7:L8)</f>
        <v>7.2327697721685071</v>
      </c>
      <c r="M9" s="333">
        <f t="shared" si="1"/>
        <v>13.079053808756907</v>
      </c>
      <c r="N9" s="333">
        <f t="shared" si="1"/>
        <v>28.103580419350003</v>
      </c>
      <c r="O9" s="333">
        <f t="shared" si="1"/>
        <v>27.076699507372219</v>
      </c>
      <c r="P9" s="333">
        <f t="shared" si="1"/>
        <v>36.405142947877096</v>
      </c>
      <c r="Q9" s="333">
        <f t="shared" si="1"/>
        <v>33.316728142161111</v>
      </c>
      <c r="R9" s="333">
        <f t="shared" si="1"/>
        <v>27.849144170266669</v>
      </c>
      <c r="S9" s="333">
        <f t="shared" si="1"/>
        <v>29.023958269844446</v>
      </c>
      <c r="T9" s="333">
        <f t="shared" si="1"/>
        <v>25.881636997770947</v>
      </c>
      <c r="U9" s="333">
        <f t="shared" si="1"/>
        <v>29.204862524357541</v>
      </c>
      <c r="V9" s="333">
        <f t="shared" si="1"/>
        <v>22.229788356117318</v>
      </c>
      <c r="W9" s="333">
        <f t="shared" si="1"/>
        <v>19.51269241881004</v>
      </c>
      <c r="X9" s="333">
        <f t="shared" si="1"/>
        <v>24.254093190117317</v>
      </c>
      <c r="Y9" s="333">
        <f t="shared" si="1"/>
        <v>24.176980941073037</v>
      </c>
      <c r="Z9" s="333">
        <f t="shared" si="1"/>
        <v>30.803173554286516</v>
      </c>
      <c r="AA9" s="333">
        <f t="shared" si="1"/>
        <v>18.963056293217516</v>
      </c>
      <c r="AB9" s="333">
        <f t="shared" si="1"/>
        <v>3.2519598595255688</v>
      </c>
      <c r="AC9" s="333">
        <f t="shared" si="1"/>
        <v>0.92991297426011577</v>
      </c>
      <c r="AD9" s="333"/>
      <c r="AE9" s="333"/>
      <c r="AF9" s="333"/>
      <c r="AG9" s="333"/>
      <c r="AH9" s="333"/>
      <c r="AI9" s="333"/>
      <c r="AJ9" s="333"/>
      <c r="AK9" s="333"/>
      <c r="AL9" s="333"/>
      <c r="AM9" s="333"/>
      <c r="AN9" s="333"/>
      <c r="AO9" s="333"/>
      <c r="AP9" s="333"/>
      <c r="AQ9" s="333"/>
      <c r="CH9" s="158"/>
      <c r="CI9" s="155"/>
      <c r="CJ9" s="156"/>
      <c r="CK9" s="156"/>
      <c r="CL9" s="156"/>
      <c r="CM9" s="156"/>
      <c r="CN9" s="156"/>
      <c r="CO9" s="156"/>
      <c r="CP9" s="157"/>
    </row>
    <row r="10" spans="2:94" ht="14">
      <c r="E10" s="1141" t="s">
        <v>886</v>
      </c>
      <c r="F10" s="1141"/>
      <c r="G10" s="1141">
        <f t="shared" ref="G10:AC10" si="2">G3</f>
        <v>-4</v>
      </c>
      <c r="H10" s="1141">
        <f t="shared" si="2"/>
        <v>-3</v>
      </c>
      <c r="I10" s="1141">
        <f t="shared" si="2"/>
        <v>-2</v>
      </c>
      <c r="J10" s="1141">
        <f t="shared" si="2"/>
        <v>-1</v>
      </c>
      <c r="K10" s="1141">
        <f t="shared" si="2"/>
        <v>1</v>
      </c>
      <c r="L10" s="1141">
        <f t="shared" si="2"/>
        <v>2</v>
      </c>
      <c r="M10" s="1141">
        <f t="shared" si="2"/>
        <v>3</v>
      </c>
      <c r="N10" s="1141">
        <f t="shared" si="2"/>
        <v>4</v>
      </c>
      <c r="O10" s="1141">
        <f t="shared" si="2"/>
        <v>5</v>
      </c>
      <c r="P10" s="1141">
        <f t="shared" si="2"/>
        <v>6</v>
      </c>
      <c r="Q10" s="1141">
        <f t="shared" si="2"/>
        <v>7</v>
      </c>
      <c r="R10" s="1141">
        <f t="shared" si="2"/>
        <v>8</v>
      </c>
      <c r="S10" s="1141">
        <f t="shared" si="2"/>
        <v>9</v>
      </c>
      <c r="T10" s="1141">
        <f t="shared" si="2"/>
        <v>10</v>
      </c>
      <c r="U10" s="1141">
        <f t="shared" si="2"/>
        <v>11</v>
      </c>
      <c r="V10" s="1141">
        <f t="shared" si="2"/>
        <v>12</v>
      </c>
      <c r="W10" s="1141">
        <f t="shared" si="2"/>
        <v>13</v>
      </c>
      <c r="X10" s="1141">
        <f t="shared" si="2"/>
        <v>14</v>
      </c>
      <c r="Y10" s="1141">
        <f t="shared" si="2"/>
        <v>15</v>
      </c>
      <c r="Z10" s="1141">
        <f t="shared" si="2"/>
        <v>16</v>
      </c>
      <c r="AA10" s="1141">
        <f t="shared" si="2"/>
        <v>17</v>
      </c>
      <c r="AB10" s="1141">
        <f t="shared" si="2"/>
        <v>18</v>
      </c>
      <c r="AC10" s="1141">
        <f t="shared" si="2"/>
        <v>19</v>
      </c>
      <c r="AD10" s="1141"/>
      <c r="AE10" s="1141"/>
      <c r="AF10" s="1141"/>
      <c r="AG10" s="1141"/>
      <c r="AH10" s="1141"/>
      <c r="AI10" s="1141"/>
      <c r="AJ10" s="1141"/>
      <c r="AK10" s="1141"/>
      <c r="AL10" s="1141"/>
      <c r="AM10" s="1141"/>
      <c r="AN10" s="1141"/>
      <c r="AO10" s="1141"/>
      <c r="AP10" s="1141"/>
      <c r="AQ10" s="1141"/>
      <c r="CH10" s="158"/>
      <c r="CI10" s="155" t="s">
        <v>887</v>
      </c>
      <c r="CJ10" s="156"/>
      <c r="CK10" s="156" t="s">
        <v>888</v>
      </c>
      <c r="CL10" s="156" t="s">
        <v>881</v>
      </c>
      <c r="CM10" s="156" t="s">
        <v>882</v>
      </c>
      <c r="CN10" s="156"/>
      <c r="CO10" s="156" t="s">
        <v>889</v>
      </c>
      <c r="CP10" s="157" t="s">
        <v>890</v>
      </c>
    </row>
    <row r="11" spans="2:94">
      <c r="B11" s="142" t="s">
        <v>851</v>
      </c>
      <c r="C11" s="1320" t="s">
        <v>862</v>
      </c>
      <c r="CH11" s="158"/>
      <c r="CI11" s="155" t="s">
        <v>891</v>
      </c>
      <c r="CJ11" s="156"/>
      <c r="CK11" s="156"/>
      <c r="CL11" s="156" t="s">
        <v>881</v>
      </c>
      <c r="CM11" s="156" t="s">
        <v>892</v>
      </c>
      <c r="CN11" s="156"/>
      <c r="CO11" s="156" t="s">
        <v>893</v>
      </c>
      <c r="CP11" s="157" t="s">
        <v>894</v>
      </c>
    </row>
    <row r="12" spans="2:94">
      <c r="C12" s="435" t="s">
        <v>895</v>
      </c>
      <c r="D12" s="141" t="s">
        <v>896</v>
      </c>
      <c r="E12" s="212">
        <f>MAX(G12:AQ12)</f>
        <v>0.8239727229918129</v>
      </c>
      <c r="G12" s="145">
        <f>IFERROR(G5/Productivity!$E$26*10^6,0)</f>
        <v>0</v>
      </c>
      <c r="H12" s="145">
        <f>IFERROR(H5/Productivity!$E$26*10^6,0)</f>
        <v>0</v>
      </c>
      <c r="I12" s="145">
        <f>IFERROR(I5/Productivity!$E$26*10^6,0)</f>
        <v>0</v>
      </c>
      <c r="J12" s="145">
        <f>IFERROR(J5/Productivity!$E$26*10^6,0)</f>
        <v>0</v>
      </c>
      <c r="K12" s="145">
        <f>IFERROR(K5/Productivity!$E$26*10^6,0)</f>
        <v>0.41198644955802083</v>
      </c>
      <c r="L12" s="145">
        <f>IFERROR(L5/Productivity!$E$26*10^6,0)</f>
        <v>0.8239727229918129</v>
      </c>
      <c r="M12" s="145">
        <f>IFERROR(M5/Productivity!$E$26*10^6,0)</f>
        <v>0.24719192257208109</v>
      </c>
      <c r="N12" s="145">
        <f>IFERROR(N5/Productivity!$E$26*10^6,0)</f>
        <v>0.37078780460221866</v>
      </c>
      <c r="O12" s="145">
        <f>IFERROR(O5/Productivity!$E$26*10^6,0)</f>
        <v>0.46348466328755333</v>
      </c>
      <c r="P12" s="145">
        <f>IFERROR(P5/Productivity!$E$26*10^6,0)</f>
        <v>0.46348503314843381</v>
      </c>
      <c r="Q12" s="145">
        <f>IFERROR(Q5/Productivity!$E$26*10^6,0)</f>
        <v>0.46348476896209051</v>
      </c>
      <c r="R12" s="145">
        <f>IFERROR(R5/Productivity!$E$26*10^6,0)</f>
        <v>0.46348471612482195</v>
      </c>
      <c r="S12" s="145">
        <f>IFERROR(S5/Productivity!$E$26*10^6,0)</f>
        <v>0.46348492747389636</v>
      </c>
      <c r="T12" s="145">
        <f>IFERROR(T5/Productivity!$E$26*10^6,0)</f>
        <v>0.46348466328755333</v>
      </c>
      <c r="U12" s="145">
        <f>IFERROR(U5/Productivity!$E$26*10^6,0)</f>
        <v>0.46348471612482195</v>
      </c>
      <c r="V12" s="145">
        <f>IFERROR(V5/Productivity!$E$26*10^6,0)</f>
        <v>0.46348487463662774</v>
      </c>
      <c r="W12" s="145">
        <f>IFERROR(W5/Productivity!$E$26*10^6,0)</f>
        <v>0.46348529733477684</v>
      </c>
      <c r="X12" s="145">
        <f>IFERROR(X5/Productivity!$E$26*10^6,0)</f>
        <v>0.46348487463662774</v>
      </c>
      <c r="Y12" s="145">
        <f>IFERROR(Y5/Productivity!$E$26*10^6,0)</f>
        <v>0.46348487463662774</v>
      </c>
      <c r="Z12" s="145">
        <f>IFERROR(Z5/Productivity!$E$26*10^6,0)</f>
        <v>0.46348482179935913</v>
      </c>
      <c r="AA12" s="145">
        <f>IFERROR(AA5/Productivity!$E$26*10^6,0)</f>
        <v>0.30898986358714992</v>
      </c>
      <c r="AB12" s="145">
        <f>IFERROR(AB5/Productivity!$E$26*10^6,0)</f>
        <v>0.23174249015558254</v>
      </c>
      <c r="AC12" s="145">
        <f>IFERROR(AC5/Productivity!$E$26*10^6,0)</f>
        <v>6.8113447641047681E-2</v>
      </c>
      <c r="AD12" s="145"/>
      <c r="AE12" s="145"/>
      <c r="AF12" s="145"/>
      <c r="AG12" s="145"/>
      <c r="AH12" s="145"/>
      <c r="AI12" s="145"/>
      <c r="AJ12" s="145"/>
      <c r="AK12" s="145"/>
      <c r="AL12" s="145"/>
      <c r="AM12" s="145"/>
      <c r="AN12" s="145"/>
      <c r="AO12" s="145"/>
      <c r="AP12" s="145"/>
      <c r="AQ12" s="145"/>
      <c r="CH12" s="158"/>
      <c r="CI12" s="155" t="s">
        <v>897</v>
      </c>
      <c r="CJ12" s="156"/>
      <c r="CK12" s="156"/>
      <c r="CL12" s="156" t="s">
        <v>898</v>
      </c>
      <c r="CM12" s="156" t="s">
        <v>899</v>
      </c>
      <c r="CN12" s="156"/>
      <c r="CO12" s="156" t="s">
        <v>900</v>
      </c>
      <c r="CP12" s="157" t="s">
        <v>901</v>
      </c>
    </row>
    <row r="13" spans="2:94">
      <c r="C13" s="435" t="s">
        <v>902</v>
      </c>
      <c r="D13" s="141" t="s">
        <v>896</v>
      </c>
      <c r="E13" s="212">
        <f>MAX(G13:AQ13)</f>
        <v>1</v>
      </c>
      <c r="G13" s="146">
        <f t="shared" ref="G13:N13" si="3">ROUNDUP(G12,0)</f>
        <v>0</v>
      </c>
      <c r="H13" s="146">
        <f t="shared" si="3"/>
        <v>0</v>
      </c>
      <c r="I13" s="146">
        <f t="shared" si="3"/>
        <v>0</v>
      </c>
      <c r="J13" s="146">
        <f t="shared" si="3"/>
        <v>0</v>
      </c>
      <c r="K13" s="146">
        <f t="shared" si="3"/>
        <v>1</v>
      </c>
      <c r="L13" s="146">
        <f>ROUND(L12,0)</f>
        <v>1</v>
      </c>
      <c r="M13" s="146">
        <f t="shared" si="3"/>
        <v>1</v>
      </c>
      <c r="N13" s="146">
        <f t="shared" si="3"/>
        <v>1</v>
      </c>
      <c r="O13" s="146">
        <f t="shared" ref="O13" si="4">ROUNDUP(O12,0)</f>
        <v>1</v>
      </c>
      <c r="P13" s="146">
        <f t="shared" ref="P13" si="5">ROUNDUP(P12,0)</f>
        <v>1</v>
      </c>
      <c r="Q13" s="146">
        <f t="shared" ref="Q13" si="6">ROUNDUP(Q12,0)</f>
        <v>1</v>
      </c>
      <c r="R13" s="146">
        <f t="shared" ref="R13:S13" si="7">ROUNDUP(R12,0)</f>
        <v>1</v>
      </c>
      <c r="S13" s="146">
        <f t="shared" si="7"/>
        <v>1</v>
      </c>
      <c r="T13" s="146">
        <f t="shared" ref="T13" si="8">ROUNDUP(T12,0)</f>
        <v>1</v>
      </c>
      <c r="U13" s="146">
        <f t="shared" ref="U13" si="9">ROUNDUP(U12,0)</f>
        <v>1</v>
      </c>
      <c r="V13" s="146">
        <f t="shared" ref="V13" si="10">ROUNDUP(V12,0)</f>
        <v>1</v>
      </c>
      <c r="W13" s="146">
        <f t="shared" ref="W13" si="11">ROUNDUP(W12,0)</f>
        <v>1</v>
      </c>
      <c r="X13" s="146">
        <f t="shared" ref="X13:Y13" si="12">ROUNDUP(X12,0)</f>
        <v>1</v>
      </c>
      <c r="Y13" s="146">
        <f t="shared" si="12"/>
        <v>1</v>
      </c>
      <c r="Z13" s="146">
        <f t="shared" ref="Z13" si="13">ROUNDUP(Z12,0)</f>
        <v>1</v>
      </c>
      <c r="AA13" s="146">
        <f t="shared" ref="AA13" si="14">ROUNDUP(AA12,0)</f>
        <v>1</v>
      </c>
      <c r="AB13" s="146">
        <f t="shared" ref="AB13" si="15">ROUNDUP(AB12,0)</f>
        <v>1</v>
      </c>
      <c r="AC13" s="146">
        <f t="shared" ref="AC13" si="16">ROUNDUP(AC12,0)</f>
        <v>1</v>
      </c>
      <c r="AD13" s="146"/>
      <c r="AE13" s="146"/>
      <c r="AF13" s="146"/>
      <c r="AG13" s="146"/>
      <c r="AH13" s="146"/>
      <c r="AI13" s="146"/>
      <c r="AJ13" s="146"/>
      <c r="AK13" s="146"/>
      <c r="AL13" s="146"/>
      <c r="AM13" s="146"/>
      <c r="AN13" s="146"/>
      <c r="AO13" s="146"/>
      <c r="AP13" s="146"/>
      <c r="AQ13" s="146"/>
      <c r="CH13" s="158"/>
      <c r="CI13" s="155" t="s">
        <v>903</v>
      </c>
      <c r="CJ13" s="156"/>
      <c r="CK13" s="156"/>
      <c r="CL13" s="156" t="s">
        <v>898</v>
      </c>
      <c r="CM13" s="156" t="s">
        <v>904</v>
      </c>
      <c r="CN13" s="156"/>
      <c r="CO13" s="156"/>
      <c r="CP13" s="157" t="s">
        <v>905</v>
      </c>
    </row>
    <row r="14" spans="2:94">
      <c r="CH14" s="158"/>
      <c r="CI14" s="155" t="s">
        <v>906</v>
      </c>
      <c r="CJ14" s="156"/>
      <c r="CK14" s="156"/>
      <c r="CL14" s="156" t="s">
        <v>907</v>
      </c>
      <c r="CM14" s="156" t="s">
        <v>908</v>
      </c>
      <c r="CN14" s="156"/>
      <c r="CO14" s="156"/>
      <c r="CP14" s="157" t="s">
        <v>909</v>
      </c>
    </row>
    <row r="15" spans="2:94">
      <c r="B15" s="142" t="s">
        <v>861</v>
      </c>
      <c r="C15" s="1320" t="s">
        <v>852</v>
      </c>
      <c r="CH15" s="158"/>
      <c r="CI15" s="155" t="s">
        <v>910</v>
      </c>
      <c r="CJ15" s="156"/>
      <c r="CK15" s="156"/>
      <c r="CL15" s="156" t="s">
        <v>911</v>
      </c>
      <c r="CM15" s="156" t="s">
        <v>912</v>
      </c>
      <c r="CN15" s="156"/>
      <c r="CO15" s="156"/>
      <c r="CP15" s="157" t="s">
        <v>913</v>
      </c>
    </row>
    <row r="16" spans="2:94">
      <c r="C16" s="435" t="s">
        <v>895</v>
      </c>
      <c r="D16" s="141" t="s">
        <v>896</v>
      </c>
      <c r="E16" s="212">
        <f>MAX(G16:AQ16)</f>
        <v>3.3571227141383311</v>
      </c>
      <c r="G16" s="146">
        <f>IFERROR(G6/Productivity!$F$26*10^6,0)</f>
        <v>0</v>
      </c>
      <c r="H16" s="146">
        <f>IFERROR(H6/Productivity!$F$26*10^6,0)</f>
        <v>0</v>
      </c>
      <c r="I16" s="146">
        <f>IFERROR(I6/Productivity!$F$26*10^6,0)</f>
        <v>0</v>
      </c>
      <c r="J16" s="146">
        <f>IFERROR(J6/Productivity!$F$26*10^6,0)</f>
        <v>0</v>
      </c>
      <c r="K16" s="146">
        <f>IFERROR(K6/Productivity!$F$26*10^6,0)</f>
        <v>0.81099860480679709</v>
      </c>
      <c r="L16" s="146">
        <f>IFERROR(L6/Productivity!$F$26*10^6,0)</f>
        <v>0.67319963403829319</v>
      </c>
      <c r="M16" s="146">
        <f>IFERROR(M6/Productivity!$F$26*10^6,0)</f>
        <v>1.219429428344474</v>
      </c>
      <c r="N16" s="146">
        <f>IFERROR(N6/Productivity!$F$26*10^6,0)</f>
        <v>2.6040969499099789</v>
      </c>
      <c r="O16" s="146">
        <f>IFERROR(O6/Productivity!$F$26*10^6,0)</f>
        <v>2.5053132970750456</v>
      </c>
      <c r="P16" s="146">
        <f>IFERROR(P6/Productivity!$F$26*10^6,0)</f>
        <v>3.3571227141383311</v>
      </c>
      <c r="Q16" s="146">
        <f>IFERROR(Q6/Productivity!$F$26*10^6,0)</f>
        <v>3.0730590245984799</v>
      </c>
      <c r="R16" s="146">
        <f>IFERROR(R6/Productivity!$F$26*10^6,0)</f>
        <v>2.5701660605281207</v>
      </c>
      <c r="S16" s="146">
        <f>IFERROR(S6/Productivity!$F$26*10^6,0)</f>
        <v>2.6782221503486516</v>
      </c>
      <c r="T16" s="146">
        <f>IFERROR(T6/Productivity!$F$26*10^6,0)</f>
        <v>2.3892002959615031</v>
      </c>
      <c r="U16" s="146">
        <f>IFERROR(U6/Productivity!$F$26*10^6,0)</f>
        <v>2.6915400322148657</v>
      </c>
      <c r="V16" s="146">
        <f>IFERROR(V6/Productivity!$F$26*10^6,0)</f>
        <v>2.0499923685469685</v>
      </c>
      <c r="W16" s="146">
        <f>IFERROR(W6/Productivity!$F$26*10^6,0)</f>
        <v>1.8000815420100795</v>
      </c>
      <c r="X16" s="146">
        <f>IFERROR(X6/Productivity!$F$26*10^6,0)</f>
        <v>2.2361822219420304</v>
      </c>
      <c r="Y16" s="146">
        <f>IFERROR(Y6/Productivity!$F$26*10^6,0)</f>
        <v>2.2290896546056431</v>
      </c>
      <c r="Z16" s="146">
        <f>IFERROR(Z6/Productivity!$F$26*10^6,0)</f>
        <v>2.837943886909303</v>
      </c>
      <c r="AA16" s="146">
        <f>IFERROR(AA6/Productivity!$F$26*10^6,0)</f>
        <v>1.7489232710454885</v>
      </c>
      <c r="AB16" s="146">
        <f>IFERROR(AB6/Productivity!$F$26*10^6,0)</f>
        <v>0.30386090072820215</v>
      </c>
      <c r="AC16" s="146">
        <f>IFERROR(AC6/Productivity!$F$26*10^6,0)</f>
        <v>9.0285572604456577E-2</v>
      </c>
      <c r="AD16" s="146"/>
      <c r="AE16" s="146"/>
      <c r="AF16" s="146"/>
      <c r="AG16" s="146"/>
      <c r="AH16" s="146"/>
      <c r="AI16" s="146"/>
      <c r="AJ16" s="146"/>
      <c r="AK16" s="146"/>
      <c r="AL16" s="146"/>
      <c r="AM16" s="146"/>
      <c r="AN16" s="146"/>
      <c r="AO16" s="146"/>
      <c r="AP16" s="146"/>
      <c r="AQ16" s="146"/>
      <c r="CH16" s="158"/>
      <c r="CI16" s="155" t="s">
        <v>914</v>
      </c>
      <c r="CJ16" s="156"/>
      <c r="CK16" s="156"/>
      <c r="CL16" s="156" t="s">
        <v>915</v>
      </c>
      <c r="CM16" s="156"/>
      <c r="CN16" s="156"/>
      <c r="CO16" s="156"/>
      <c r="CP16" s="157" t="s">
        <v>916</v>
      </c>
    </row>
    <row r="17" spans="2:94">
      <c r="C17" s="435" t="s">
        <v>902</v>
      </c>
      <c r="D17" s="141" t="s">
        <v>896</v>
      </c>
      <c r="E17" s="212">
        <f>MAX(G17:AQ17)</f>
        <v>4</v>
      </c>
      <c r="G17" s="146">
        <f>ROUNDUP(G16,0)</f>
        <v>0</v>
      </c>
      <c r="H17" s="146">
        <f t="shared" ref="H17" si="17">ROUNDUP(H16,0)</f>
        <v>0</v>
      </c>
      <c r="I17" s="146">
        <f t="shared" ref="I17" si="18">ROUNDUP(I16,0)</f>
        <v>0</v>
      </c>
      <c r="J17" s="146">
        <f t="shared" ref="J17" si="19">ROUNDUP(J16,0)</f>
        <v>0</v>
      </c>
      <c r="K17" s="146">
        <f t="shared" ref="K17" si="20">ROUNDUP(K16,0)</f>
        <v>1</v>
      </c>
      <c r="L17" s="146">
        <f t="shared" ref="L17" si="21">ROUNDUP(L16,0)</f>
        <v>1</v>
      </c>
      <c r="M17" s="146">
        <f t="shared" ref="M17" si="22">ROUNDUP(M16,0)</f>
        <v>2</v>
      </c>
      <c r="N17" s="146">
        <f t="shared" ref="N17" si="23">ROUNDUP(N16,0)</f>
        <v>3</v>
      </c>
      <c r="O17" s="146">
        <f t="shared" ref="O17" si="24">ROUNDUP(O16,0)</f>
        <v>3</v>
      </c>
      <c r="P17" s="146">
        <f t="shared" ref="P17" si="25">ROUNDUP(P16,0)</f>
        <v>4</v>
      </c>
      <c r="Q17" s="146">
        <f t="shared" ref="Q17" si="26">ROUNDUP(Q16,0)</f>
        <v>4</v>
      </c>
      <c r="R17" s="146">
        <f t="shared" ref="R17" si="27">ROUNDUP(R16,0)</f>
        <v>3</v>
      </c>
      <c r="S17" s="146">
        <f t="shared" ref="S17" si="28">ROUNDUP(S16,0)</f>
        <v>3</v>
      </c>
      <c r="T17" s="146">
        <f t="shared" ref="T17" si="29">ROUNDUP(T16,0)</f>
        <v>3</v>
      </c>
      <c r="U17" s="146">
        <f t="shared" ref="U17" si="30">ROUNDUP(U16,0)</f>
        <v>3</v>
      </c>
      <c r="V17" s="146">
        <f t="shared" ref="V17" si="31">ROUNDUP(V16,0)</f>
        <v>3</v>
      </c>
      <c r="W17" s="146">
        <f t="shared" ref="W17" si="32">ROUNDUP(W16,0)</f>
        <v>2</v>
      </c>
      <c r="X17" s="146">
        <f t="shared" ref="X17" si="33">ROUNDUP(X16,0)</f>
        <v>3</v>
      </c>
      <c r="Y17" s="146">
        <f t="shared" ref="Y17" si="34">ROUNDUP(Y16,0)</f>
        <v>3</v>
      </c>
      <c r="Z17" s="146">
        <f t="shared" ref="Z17" si="35">ROUNDUP(Z16,0)</f>
        <v>3</v>
      </c>
      <c r="AA17" s="146">
        <f t="shared" ref="AA17" si="36">ROUNDUP(AA16,0)</f>
        <v>2</v>
      </c>
      <c r="AB17" s="146">
        <f t="shared" ref="AB17" si="37">ROUNDUP(AB16,0)</f>
        <v>1</v>
      </c>
      <c r="AC17" s="146">
        <f t="shared" ref="AC17" si="38">ROUNDUP(AC16,0)</f>
        <v>1</v>
      </c>
      <c r="AD17" s="146"/>
      <c r="AE17" s="146"/>
      <c r="AF17" s="146"/>
      <c r="AG17" s="146"/>
      <c r="AH17" s="146"/>
      <c r="AI17" s="146"/>
      <c r="AJ17" s="146"/>
      <c r="AK17" s="146"/>
      <c r="AL17" s="146"/>
      <c r="AM17" s="146"/>
      <c r="AN17" s="146"/>
      <c r="AO17" s="146"/>
      <c r="AP17" s="146"/>
      <c r="AQ17" s="146"/>
      <c r="CH17" s="158"/>
      <c r="CI17" s="155" t="s">
        <v>917</v>
      </c>
      <c r="CJ17" s="156"/>
      <c r="CK17" s="156"/>
      <c r="CL17" s="156" t="s">
        <v>918</v>
      </c>
      <c r="CM17" s="156"/>
      <c r="CN17" s="156"/>
      <c r="CO17" s="156"/>
      <c r="CP17" s="157" t="s">
        <v>919</v>
      </c>
    </row>
    <row r="18" spans="2:94">
      <c r="CH18" s="158"/>
      <c r="CI18" s="155" t="s">
        <v>920</v>
      </c>
      <c r="CJ18" s="156"/>
      <c r="CK18" s="156"/>
      <c r="CL18" s="156" t="s">
        <v>921</v>
      </c>
      <c r="CM18" s="156"/>
      <c r="CN18" s="156"/>
      <c r="CO18" s="156"/>
      <c r="CP18" s="157" t="s">
        <v>922</v>
      </c>
    </row>
    <row r="19" spans="2:94">
      <c r="B19" s="142" t="s">
        <v>885</v>
      </c>
      <c r="C19" s="1320" t="s">
        <v>842</v>
      </c>
      <c r="CH19" s="158"/>
      <c r="CI19" s="155" t="s">
        <v>923</v>
      </c>
      <c r="CJ19" s="156"/>
      <c r="CK19" s="156"/>
      <c r="CL19" s="156"/>
      <c r="CM19" s="156"/>
      <c r="CN19" s="156"/>
      <c r="CO19" s="156"/>
      <c r="CP19" s="157" t="s">
        <v>924</v>
      </c>
    </row>
    <row r="20" spans="2:94">
      <c r="C20" s="435" t="s">
        <v>895</v>
      </c>
      <c r="D20" s="141" t="s">
        <v>896</v>
      </c>
      <c r="E20" s="212">
        <f>MAX(G20:AQ20)</f>
        <v>10.403847435950246</v>
      </c>
      <c r="G20" s="146">
        <f>IFERROR(G9/Productivity!$D$26*10^6,0)</f>
        <v>0</v>
      </c>
      <c r="H20" s="146">
        <f>IFERROR(H9/Productivity!$D$26*10^6,0)</f>
        <v>0</v>
      </c>
      <c r="I20" s="146">
        <f>IFERROR(I9/Productivity!$D$26*10^6,0)</f>
        <v>0</v>
      </c>
      <c r="J20" s="146">
        <f>IFERROR(J9/Productivity!$D$26*10^6,0)</f>
        <v>0</v>
      </c>
      <c r="K20" s="146">
        <f>IFERROR(K9/Productivity!$D$26*10^6,0)</f>
        <v>2.5023542582989435</v>
      </c>
      <c r="L20" s="146">
        <f>IFERROR(L9/Productivity!$D$26*10^6,0)</f>
        <v>2.0669781013284485</v>
      </c>
      <c r="M20" s="146">
        <f>IFERROR(M9/Productivity!$D$26*10^6,0)</f>
        <v>3.7377268543543973</v>
      </c>
      <c r="N20" s="146">
        <f>IFERROR(N9/Productivity!$D$26*10^6,0)</f>
        <v>8.031430160993942</v>
      </c>
      <c r="O20" s="146">
        <f>IFERROR(O9/Productivity!$D$26*10^6,0)</f>
        <v>7.737968537772125</v>
      </c>
      <c r="P20" s="146">
        <f>IFERROR(P9/Productivity!$D$26*10^6,0)</f>
        <v>10.403847435950246</v>
      </c>
      <c r="Q20" s="146">
        <f>IFERROR(Q9/Productivity!$D$26*10^6,0)</f>
        <v>9.5212414672385446</v>
      </c>
      <c r="R20" s="146">
        <f>IFERROR(R9/Productivity!$D$26*10^6,0)</f>
        <v>7.9587174697835703</v>
      </c>
      <c r="S20" s="146">
        <f>IFERROR(S9/Productivity!$D$26*10^6,0)</f>
        <v>8.294455381185541</v>
      </c>
      <c r="T20" s="146">
        <f>IFERROR(T9/Productivity!$D$26*10^6,0)</f>
        <v>7.3964440437159773</v>
      </c>
      <c r="U20" s="146">
        <f>IFERROR(U9/Productivity!$D$26*10^6,0)</f>
        <v>8.3461541279028175</v>
      </c>
      <c r="V20" s="146">
        <f>IFERROR(V9/Productivity!$D$26*10^6,0)</f>
        <v>6.3528201749306463</v>
      </c>
      <c r="W20" s="146">
        <f>IFERROR(W9/Productivity!$D$26*10^6,0)</f>
        <v>5.5763295664180497</v>
      </c>
      <c r="X20" s="146">
        <f>IFERROR(X9/Productivity!$D$26*10^6,0)</f>
        <v>6.9313252143682318</v>
      </c>
      <c r="Y20" s="146">
        <f>IFERROR(Y9/Productivity!$D$26*10^6,0)</f>
        <v>6.9092881061594182</v>
      </c>
      <c r="Z20" s="146">
        <f>IFERROR(Z9/Productivity!$D$26*10^6,0)</f>
        <v>8.802918825527696</v>
      </c>
      <c r="AA20" s="146">
        <f>IFERROR(AA9/Productivity!$D$26*10^6,0)</f>
        <v>5.4192547705811371</v>
      </c>
      <c r="AB20" s="146">
        <f>IFERROR(AB9/Productivity!$D$26*10^6,0)</f>
        <v>0.9293438098781347</v>
      </c>
      <c r="AC20" s="146">
        <f>IFERROR(AC9/Productivity!$D$26*10^6,0)</f>
        <v>0.26575016411183006</v>
      </c>
      <c r="AD20" s="146"/>
      <c r="AE20" s="146"/>
      <c r="AF20" s="146"/>
      <c r="AG20" s="146"/>
      <c r="AH20" s="146"/>
      <c r="AI20" s="146"/>
      <c r="AJ20" s="146"/>
      <c r="AK20" s="146"/>
      <c r="AL20" s="146"/>
      <c r="AM20" s="146"/>
      <c r="AN20" s="146"/>
      <c r="AO20" s="146"/>
      <c r="AP20" s="146"/>
      <c r="AQ20" s="146"/>
      <c r="CH20" s="158"/>
      <c r="CI20" s="155" t="s">
        <v>925</v>
      </c>
      <c r="CJ20" s="156"/>
      <c r="CK20" s="156"/>
      <c r="CL20" s="156"/>
      <c r="CM20" s="156"/>
      <c r="CN20" s="156"/>
      <c r="CO20" s="156"/>
      <c r="CP20" s="157" t="s">
        <v>926</v>
      </c>
    </row>
    <row r="21" spans="2:94">
      <c r="C21" s="435" t="s">
        <v>902</v>
      </c>
      <c r="D21" s="141" t="s">
        <v>896</v>
      </c>
      <c r="E21" s="212">
        <f>MAX(G21:AQ21)</f>
        <v>11</v>
      </c>
      <c r="G21" s="146">
        <f>ROUNDUP(G20,0)</f>
        <v>0</v>
      </c>
      <c r="H21" s="146">
        <f t="shared" ref="H21" si="39">ROUNDUP(H20,0)</f>
        <v>0</v>
      </c>
      <c r="I21" s="146">
        <f t="shared" ref="I21" si="40">ROUNDUP(I20,0)</f>
        <v>0</v>
      </c>
      <c r="J21" s="146">
        <f t="shared" ref="J21" si="41">ROUNDUP(J20,0)</f>
        <v>0</v>
      </c>
      <c r="K21" s="146">
        <f t="shared" ref="K21" si="42">ROUNDUP(K20,0)</f>
        <v>3</v>
      </c>
      <c r="L21" s="146">
        <f t="shared" ref="L21" si="43">ROUNDUP(L20,0)</f>
        <v>3</v>
      </c>
      <c r="M21" s="146">
        <f t="shared" ref="M21" si="44">ROUNDUP(M20,0)</f>
        <v>4</v>
      </c>
      <c r="N21" s="146">
        <f>ROUNDUP(N20,0)</f>
        <v>9</v>
      </c>
      <c r="O21" s="146">
        <f t="shared" ref="O21" si="45">ROUNDUP(O20,0)</f>
        <v>8</v>
      </c>
      <c r="P21" s="146">
        <f t="shared" ref="P21" si="46">ROUNDUP(P20,0)</f>
        <v>11</v>
      </c>
      <c r="Q21" s="146">
        <f t="shared" ref="Q21" si="47">ROUNDUP(Q20,0)</f>
        <v>10</v>
      </c>
      <c r="R21" s="146">
        <f t="shared" ref="R21" si="48">ROUNDUP(R20,0)</f>
        <v>8</v>
      </c>
      <c r="S21" s="146">
        <f t="shared" ref="S21" si="49">ROUNDUP(S20,0)</f>
        <v>9</v>
      </c>
      <c r="T21" s="146">
        <f t="shared" ref="T21" si="50">ROUNDUP(T20,0)</f>
        <v>8</v>
      </c>
      <c r="U21" s="146">
        <f t="shared" ref="U21" si="51">ROUNDUP(U20,0)</f>
        <v>9</v>
      </c>
      <c r="V21" s="146">
        <f t="shared" ref="V21" si="52">ROUNDUP(V20,0)</f>
        <v>7</v>
      </c>
      <c r="W21" s="146">
        <f t="shared" ref="W21" si="53">ROUNDUP(W20,0)</f>
        <v>6</v>
      </c>
      <c r="X21" s="146">
        <f t="shared" ref="X21" si="54">ROUNDUP(X20,0)</f>
        <v>7</v>
      </c>
      <c r="Y21" s="146">
        <f t="shared" ref="Y21" si="55">ROUNDUP(Y20,0)</f>
        <v>7</v>
      </c>
      <c r="Z21" s="146">
        <f t="shared" ref="Z21" si="56">ROUNDUP(Z20,0)</f>
        <v>9</v>
      </c>
      <c r="AA21" s="146">
        <f t="shared" ref="AA21" si="57">ROUNDUP(AA20,0)</f>
        <v>6</v>
      </c>
      <c r="AB21" s="146">
        <f t="shared" ref="AB21" si="58">ROUNDUP(AB20,0)</f>
        <v>1</v>
      </c>
      <c r="AC21" s="146">
        <f t="shared" ref="AC21" si="59">ROUNDUP(AC20,0)</f>
        <v>1</v>
      </c>
      <c r="AD21" s="146"/>
      <c r="AE21" s="146"/>
      <c r="AF21" s="146"/>
      <c r="AG21" s="146"/>
      <c r="AH21" s="146"/>
      <c r="AI21" s="146"/>
      <c r="AJ21" s="146"/>
      <c r="AK21" s="146"/>
      <c r="AL21" s="146"/>
      <c r="AM21" s="146"/>
      <c r="AN21" s="146"/>
      <c r="AO21" s="146"/>
      <c r="AP21" s="146"/>
      <c r="AQ21" s="146"/>
      <c r="CH21" s="158"/>
      <c r="CI21" s="155" t="s">
        <v>927</v>
      </c>
      <c r="CJ21" s="156"/>
      <c r="CK21" s="156"/>
      <c r="CL21" s="156"/>
      <c r="CM21" s="156"/>
      <c r="CN21" s="156"/>
      <c r="CO21" s="156"/>
      <c r="CP21" s="157" t="s">
        <v>928</v>
      </c>
    </row>
    <row r="22" spans="2:94">
      <c r="CH22" s="158"/>
      <c r="CI22" s="155" t="s">
        <v>929</v>
      </c>
      <c r="CJ22" s="156"/>
      <c r="CK22" s="156"/>
      <c r="CL22" s="156"/>
      <c r="CM22" s="156"/>
      <c r="CN22" s="156"/>
      <c r="CO22" s="156"/>
      <c r="CP22" s="157" t="s">
        <v>930</v>
      </c>
    </row>
    <row r="23" spans="2:94">
      <c r="C23" s="59" t="s">
        <v>931</v>
      </c>
      <c r="CH23" s="158"/>
      <c r="CI23" s="155" t="s">
        <v>932</v>
      </c>
      <c r="CJ23" s="156"/>
      <c r="CK23" s="156"/>
      <c r="CL23" s="156"/>
      <c r="CM23" s="156"/>
      <c r="CN23" s="156"/>
      <c r="CO23" s="156"/>
      <c r="CP23" s="157" t="s">
        <v>933</v>
      </c>
    </row>
    <row r="24" spans="2:94">
      <c r="B24" s="142" t="s">
        <v>408</v>
      </c>
      <c r="C24" s="1320" t="s">
        <v>932</v>
      </c>
      <c r="CH24" s="158"/>
      <c r="CI24" s="156"/>
      <c r="CJ24" s="156"/>
      <c r="CK24" s="156"/>
      <c r="CL24" s="156"/>
      <c r="CM24" s="156"/>
      <c r="CN24" s="156"/>
      <c r="CO24" s="156"/>
      <c r="CP24" s="157" t="s">
        <v>934</v>
      </c>
    </row>
    <row r="25" spans="2:94">
      <c r="C25" s="94" t="s">
        <v>935</v>
      </c>
      <c r="D25" s="141" t="s">
        <v>118</v>
      </c>
      <c r="E25" s="212">
        <f t="shared" ref="E25" si="60">SUM(G25:AQ25)</f>
        <v>0</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CH25" s="158"/>
      <c r="CI25" s="156"/>
      <c r="CJ25" s="156"/>
      <c r="CK25" s="156"/>
      <c r="CL25" s="156"/>
      <c r="CM25" s="156"/>
      <c r="CN25" s="156"/>
      <c r="CO25" s="156"/>
      <c r="CP25" s="157" t="s">
        <v>936</v>
      </c>
    </row>
    <row r="26" spans="2:94">
      <c r="C26" s="94" t="s">
        <v>937</v>
      </c>
      <c r="D26" s="141" t="s">
        <v>896</v>
      </c>
      <c r="E26" s="212">
        <f>MAX(G26:AQ26)</f>
        <v>0</v>
      </c>
      <c r="G26" s="146">
        <f>G25*10^6/Productivity!$F$49</f>
        <v>0</v>
      </c>
      <c r="H26" s="146">
        <f>H25*10^6/Productivity!$F$49</f>
        <v>0</v>
      </c>
      <c r="I26" s="146">
        <f>I25*10^6/Productivity!$F$49</f>
        <v>0</v>
      </c>
      <c r="J26" s="146">
        <f>J25*10^6/Productivity!$F$49</f>
        <v>0</v>
      </c>
      <c r="K26" s="146">
        <f>K25*10^6/Productivity!$F$49</f>
        <v>0</v>
      </c>
      <c r="L26" s="146">
        <f>L25*10^6/Productivity!$F$49</f>
        <v>0</v>
      </c>
      <c r="M26" s="146">
        <f>M25*10^6/Productivity!$F$49</f>
        <v>0</v>
      </c>
      <c r="N26" s="146">
        <f>N25*10^6/Productivity!$F$49</f>
        <v>0</v>
      </c>
      <c r="O26" s="146">
        <f>O25*10^6/Productivity!$F$49</f>
        <v>0</v>
      </c>
      <c r="P26" s="146">
        <f>P25*10^6/Productivity!$F$49</f>
        <v>0</v>
      </c>
      <c r="Q26" s="146">
        <f>Q25*10^6/Productivity!$F$49</f>
        <v>0</v>
      </c>
      <c r="R26" s="146">
        <f>R25*10^6/Productivity!$F$49</f>
        <v>0</v>
      </c>
      <c r="S26" s="146">
        <f>S25*10^6/Productivity!$F$49</f>
        <v>0</v>
      </c>
      <c r="T26" s="146">
        <f>T25*10^6/Productivity!$F$49</f>
        <v>0</v>
      </c>
      <c r="U26" s="146">
        <f>U25*10^6/Productivity!$F$49</f>
        <v>0</v>
      </c>
      <c r="V26" s="146">
        <f>V25*10^6/Productivity!$F$49</f>
        <v>0</v>
      </c>
      <c r="W26" s="146">
        <f>W25*10^6/Productivity!$F$49</f>
        <v>0</v>
      </c>
      <c r="X26" s="146">
        <f>X25*10^6/Productivity!$F$49</f>
        <v>0</v>
      </c>
      <c r="Y26" s="146">
        <f>Y25*10^6/Productivity!$F$49</f>
        <v>0</v>
      </c>
      <c r="Z26" s="146">
        <f>Z25*10^6/Productivity!$F$49</f>
        <v>0</v>
      </c>
      <c r="AA26" s="146">
        <f>AA25*10^6/Productivity!$F$49</f>
        <v>0</v>
      </c>
      <c r="AB26" s="146">
        <f>AB25*10^6/Productivity!$F$49</f>
        <v>0</v>
      </c>
      <c r="AC26" s="146">
        <f>AC25*10^6/Productivity!$F$49</f>
        <v>0</v>
      </c>
      <c r="AD26" s="146"/>
      <c r="AE26" s="146"/>
      <c r="AF26" s="146"/>
      <c r="AG26" s="146"/>
      <c r="AH26" s="146"/>
      <c r="AI26" s="146"/>
      <c r="AJ26" s="146"/>
      <c r="AK26" s="146"/>
      <c r="AL26" s="146"/>
      <c r="AM26" s="146"/>
      <c r="AN26" s="146"/>
      <c r="AO26" s="146"/>
      <c r="AP26" s="146"/>
      <c r="AQ26" s="146"/>
      <c r="CH26" s="158"/>
      <c r="CI26" s="156"/>
      <c r="CJ26" s="156"/>
      <c r="CK26" s="156"/>
      <c r="CL26" s="156"/>
      <c r="CM26" s="156"/>
      <c r="CN26" s="156"/>
      <c r="CO26" s="156"/>
      <c r="CP26" s="157" t="s">
        <v>938</v>
      </c>
    </row>
    <row r="27" spans="2:94">
      <c r="C27" s="94" t="s">
        <v>939</v>
      </c>
      <c r="D27" s="141" t="s">
        <v>896</v>
      </c>
      <c r="E27" s="212">
        <f>MAX(G27:AQ27)</f>
        <v>0</v>
      </c>
      <c r="G27" s="146">
        <f>ROUNDUP(G26,0)</f>
        <v>0</v>
      </c>
      <c r="H27" s="146">
        <f t="shared" ref="H27:AC27" si="61">ROUNDUP(H26,0)</f>
        <v>0</v>
      </c>
      <c r="I27" s="146">
        <f t="shared" si="61"/>
        <v>0</v>
      </c>
      <c r="J27" s="146">
        <f t="shared" si="61"/>
        <v>0</v>
      </c>
      <c r="K27" s="146">
        <f t="shared" si="61"/>
        <v>0</v>
      </c>
      <c r="L27" s="146">
        <f t="shared" si="61"/>
        <v>0</v>
      </c>
      <c r="M27" s="146">
        <f t="shared" si="61"/>
        <v>0</v>
      </c>
      <c r="N27" s="146">
        <f t="shared" si="61"/>
        <v>0</v>
      </c>
      <c r="O27" s="146">
        <f t="shared" si="61"/>
        <v>0</v>
      </c>
      <c r="P27" s="146">
        <f t="shared" si="61"/>
        <v>0</v>
      </c>
      <c r="Q27" s="146">
        <f t="shared" si="61"/>
        <v>0</v>
      </c>
      <c r="R27" s="146">
        <f t="shared" si="61"/>
        <v>0</v>
      </c>
      <c r="S27" s="146">
        <f t="shared" si="61"/>
        <v>0</v>
      </c>
      <c r="T27" s="146">
        <f t="shared" si="61"/>
        <v>0</v>
      </c>
      <c r="U27" s="146">
        <f t="shared" si="61"/>
        <v>0</v>
      </c>
      <c r="V27" s="146">
        <f t="shared" si="61"/>
        <v>0</v>
      </c>
      <c r="W27" s="146">
        <f t="shared" si="61"/>
        <v>0</v>
      </c>
      <c r="X27" s="146">
        <f t="shared" si="61"/>
        <v>0</v>
      </c>
      <c r="Y27" s="146">
        <f t="shared" si="61"/>
        <v>0</v>
      </c>
      <c r="Z27" s="146">
        <f t="shared" si="61"/>
        <v>0</v>
      </c>
      <c r="AA27" s="146">
        <f t="shared" si="61"/>
        <v>0</v>
      </c>
      <c r="AB27" s="146">
        <f t="shared" si="61"/>
        <v>0</v>
      </c>
      <c r="AC27" s="146">
        <f t="shared" si="61"/>
        <v>0</v>
      </c>
      <c r="AD27" s="146"/>
      <c r="AE27" s="146"/>
      <c r="AF27" s="146"/>
      <c r="AG27" s="146"/>
      <c r="AH27" s="146"/>
      <c r="AI27" s="146"/>
      <c r="AJ27" s="146"/>
      <c r="AK27" s="146"/>
      <c r="AL27" s="146"/>
      <c r="AM27" s="146"/>
      <c r="AN27" s="146"/>
      <c r="AO27" s="146"/>
      <c r="AP27" s="146"/>
      <c r="AQ27" s="146"/>
      <c r="CH27" s="158"/>
      <c r="CI27" s="156"/>
      <c r="CJ27" s="156"/>
      <c r="CK27" s="156"/>
      <c r="CL27" s="156"/>
      <c r="CM27" s="156"/>
      <c r="CN27" s="156"/>
      <c r="CO27" s="156"/>
      <c r="CP27" s="157" t="s">
        <v>940</v>
      </c>
    </row>
    <row r="28" spans="2:94">
      <c r="CH28" s="158"/>
      <c r="CI28" s="156"/>
      <c r="CJ28" s="156"/>
      <c r="CK28" s="156"/>
      <c r="CL28" s="156"/>
      <c r="CM28" s="156"/>
      <c r="CN28" s="156"/>
      <c r="CO28" s="156"/>
      <c r="CP28" s="157" t="s">
        <v>941</v>
      </c>
    </row>
    <row r="29" spans="2:94">
      <c r="B29" s="142" t="s">
        <v>942</v>
      </c>
      <c r="C29" s="1320" t="s">
        <v>923</v>
      </c>
      <c r="CH29" s="158"/>
      <c r="CI29" s="156"/>
      <c r="CJ29" s="156"/>
      <c r="CK29" s="156"/>
      <c r="CL29" s="156"/>
      <c r="CM29" s="156"/>
      <c r="CN29" s="156"/>
      <c r="CO29" s="156"/>
      <c r="CP29" s="157" t="s">
        <v>943</v>
      </c>
    </row>
    <row r="30" spans="2:94">
      <c r="C30" s="94" t="s">
        <v>944</v>
      </c>
      <c r="D30" s="141" t="s">
        <v>118</v>
      </c>
      <c r="E30" s="212">
        <f>SUM(G30:AQ30)</f>
        <v>146.32480887567667</v>
      </c>
      <c r="G30" s="213">
        <f t="shared" ref="G30:AC30" si="62">G5+G6+G25</f>
        <v>0</v>
      </c>
      <c r="H30" s="213">
        <f t="shared" si="62"/>
        <v>0</v>
      </c>
      <c r="I30" s="213">
        <f t="shared" si="62"/>
        <v>0</v>
      </c>
      <c r="J30" s="213">
        <f t="shared" si="62"/>
        <v>0</v>
      </c>
      <c r="K30" s="213">
        <f t="shared" si="62"/>
        <v>3.8114471186431729</v>
      </c>
      <c r="L30" s="213">
        <f t="shared" si="62"/>
        <v>4.5241967621704351</v>
      </c>
      <c r="M30" s="213">
        <f t="shared" si="62"/>
        <v>4.6802334408862265</v>
      </c>
      <c r="N30" s="213">
        <f t="shared" si="62"/>
        <v>9.5512838103593012</v>
      </c>
      <c r="O30" s="213">
        <f t="shared" si="62"/>
        <v>9.4902919168461235</v>
      </c>
      <c r="P30" s="213">
        <f t="shared" si="62"/>
        <v>12.272234372116799</v>
      </c>
      <c r="Q30" s="213">
        <f t="shared" si="62"/>
        <v>11.344504341535272</v>
      </c>
      <c r="R30" s="213">
        <f t="shared" si="62"/>
        <v>9.7020960031906984</v>
      </c>
      <c r="S30" s="213">
        <f t="shared" si="62"/>
        <v>10.054999144568994</v>
      </c>
      <c r="T30" s="213">
        <f t="shared" si="62"/>
        <v>9.1110761442493828</v>
      </c>
      <c r="U30" s="213">
        <f t="shared" si="62"/>
        <v>10.098493684801872</v>
      </c>
      <c r="V30" s="213">
        <f t="shared" si="62"/>
        <v>8.0032507864593345</v>
      </c>
      <c r="W30" s="213">
        <f t="shared" si="62"/>
        <v>7.1870632128792327</v>
      </c>
      <c r="X30" s="213">
        <f t="shared" si="62"/>
        <v>8.6113319524593326</v>
      </c>
      <c r="Y30" s="213">
        <f t="shared" si="62"/>
        <v>8.5881681949440818</v>
      </c>
      <c r="Z30" s="213">
        <f t="shared" si="62"/>
        <v>10.576637260181343</v>
      </c>
      <c r="AA30" s="213">
        <f t="shared" si="62"/>
        <v>6.5839364803612535</v>
      </c>
      <c r="AB30" s="213">
        <f t="shared" si="62"/>
        <v>1.6464553971213665</v>
      </c>
      <c r="AC30" s="213">
        <f t="shared" si="62"/>
        <v>0.48710885190243985</v>
      </c>
      <c r="AD30" s="213"/>
      <c r="AE30" s="213"/>
      <c r="AF30" s="213"/>
      <c r="AG30" s="213"/>
      <c r="AH30" s="213"/>
      <c r="AI30" s="213"/>
      <c r="AJ30" s="213"/>
      <c r="AK30" s="213"/>
      <c r="AL30" s="213"/>
      <c r="AM30" s="213"/>
      <c r="AN30" s="213"/>
      <c r="AO30" s="213"/>
      <c r="AP30" s="213"/>
      <c r="AQ30" s="213"/>
      <c r="CH30" s="158"/>
      <c r="CI30" s="156"/>
      <c r="CJ30" s="156"/>
      <c r="CK30" s="156"/>
      <c r="CL30" s="156"/>
      <c r="CM30" s="156"/>
      <c r="CN30" s="156"/>
      <c r="CO30" s="156"/>
      <c r="CP30" s="157" t="s">
        <v>945</v>
      </c>
    </row>
    <row r="31" spans="2:94">
      <c r="C31" s="94" t="s">
        <v>937</v>
      </c>
      <c r="D31" s="141" t="s">
        <v>896</v>
      </c>
      <c r="E31" s="212">
        <f>MAX(G31:AQ31)</f>
        <v>9.1490982078761842</v>
      </c>
      <c r="G31" s="213">
        <f>G30*10^6/Productivity!$G$49</f>
        <v>0</v>
      </c>
      <c r="H31" s="213">
        <f>H30*10^6/Productivity!$G$49</f>
        <v>0</v>
      </c>
      <c r="I31" s="213">
        <f>I30*10^6/Productivity!$G$49</f>
        <v>0</v>
      </c>
      <c r="J31" s="213">
        <f>J30*10^6/Productivity!$G$49</f>
        <v>0</v>
      </c>
      <c r="K31" s="213">
        <f>K30*10^6/Productivity!$G$49</f>
        <v>2.8414796316001469</v>
      </c>
      <c r="L31" s="213">
        <f>L30*10^6/Productivity!$G$49</f>
        <v>3.3728430564281289</v>
      </c>
      <c r="M31" s="213">
        <f>M30*10^6/Productivity!$G$49</f>
        <v>3.4891702756055247</v>
      </c>
      <c r="N31" s="213">
        <f>N30*10^6/Productivity!$G$49</f>
        <v>7.120596864644317</v>
      </c>
      <c r="O31" s="213">
        <f>O30*10^6/Productivity!$G$49</f>
        <v>7.075126675050786</v>
      </c>
      <c r="P31" s="213">
        <f>P30*10^6/Productivity!$G$49</f>
        <v>9.1490982078761842</v>
      </c>
      <c r="Q31" s="213">
        <f>Q30*10^6/Productivity!$G$49</f>
        <v>8.4574643209393994</v>
      </c>
      <c r="R31" s="213">
        <f>R30*10^6/Productivity!$G$49</f>
        <v>7.2330291668088345</v>
      </c>
      <c r="S31" s="213">
        <f>S30*10^6/Productivity!$G$49</f>
        <v>7.4961226997741042</v>
      </c>
      <c r="T31" s="213">
        <f>T30*10^6/Productivity!$G$49</f>
        <v>6.7924167592960751</v>
      </c>
      <c r="U31" s="213">
        <f>U30*10^6/Productivity!$G$49</f>
        <v>7.5285484022200384</v>
      </c>
      <c r="V31" s="213">
        <f>V30*10^6/Productivity!$G$49</f>
        <v>5.9665196416020558</v>
      </c>
      <c r="W31" s="213">
        <f>W30*10^6/Productivity!$G$49</f>
        <v>5.3580419968384572</v>
      </c>
      <c r="X31" s="213">
        <f>X30*10^6/Productivity!$G$49</f>
        <v>6.4198514585639455</v>
      </c>
      <c r="Y31" s="213">
        <f>Y30*10^6/Productivity!$G$49</f>
        <v>6.402582598962308</v>
      </c>
      <c r="Z31" s="213">
        <f>Z30*10^6/Productivity!$G$49</f>
        <v>7.8850101838293547</v>
      </c>
      <c r="AA31" s="213">
        <f>AA30*10^6/Productivity!$G$49</f>
        <v>4.9084037695780793</v>
      </c>
      <c r="AB31" s="213">
        <f>AB30*10^6/Productivity!$G$49</f>
        <v>1.2274522850848142</v>
      </c>
      <c r="AC31" s="213">
        <f>AC30*10^6/Productivity!$G$49</f>
        <v>0.36314550299877724</v>
      </c>
      <c r="AD31" s="213"/>
      <c r="AE31" s="213"/>
      <c r="AF31" s="213"/>
      <c r="AG31" s="213"/>
      <c r="AH31" s="213"/>
      <c r="AI31" s="213"/>
      <c r="AJ31" s="213"/>
      <c r="AK31" s="213"/>
      <c r="AL31" s="213"/>
      <c r="AM31" s="213"/>
      <c r="AN31" s="213"/>
      <c r="AO31" s="213"/>
      <c r="AP31" s="213"/>
      <c r="AQ31" s="213"/>
      <c r="CH31" s="158"/>
      <c r="CI31" s="156"/>
      <c r="CJ31" s="156"/>
      <c r="CK31" s="156"/>
      <c r="CL31" s="156"/>
      <c r="CM31" s="156"/>
      <c r="CN31" s="156"/>
      <c r="CO31" s="156"/>
      <c r="CP31" s="157" t="s">
        <v>946</v>
      </c>
    </row>
    <row r="32" spans="2:94">
      <c r="C32" s="94" t="s">
        <v>939</v>
      </c>
      <c r="D32" s="141" t="s">
        <v>896</v>
      </c>
      <c r="E32" s="212">
        <f>MAX(G32:AQ32)</f>
        <v>10</v>
      </c>
      <c r="G32" s="213">
        <f>ROUNDUP(G31,0)</f>
        <v>0</v>
      </c>
      <c r="H32" s="213">
        <f t="shared" ref="H32:AC32" si="63">ROUNDUP(H31,0)</f>
        <v>0</v>
      </c>
      <c r="I32" s="213">
        <f t="shared" si="63"/>
        <v>0</v>
      </c>
      <c r="J32" s="213">
        <f t="shared" si="63"/>
        <v>0</v>
      </c>
      <c r="K32" s="213">
        <f t="shared" si="63"/>
        <v>3</v>
      </c>
      <c r="L32" s="213">
        <f t="shared" si="63"/>
        <v>4</v>
      </c>
      <c r="M32" s="213">
        <f t="shared" si="63"/>
        <v>4</v>
      </c>
      <c r="N32" s="213">
        <f t="shared" si="63"/>
        <v>8</v>
      </c>
      <c r="O32" s="213">
        <f t="shared" si="63"/>
        <v>8</v>
      </c>
      <c r="P32" s="213">
        <f t="shared" si="63"/>
        <v>10</v>
      </c>
      <c r="Q32" s="213">
        <f t="shared" si="63"/>
        <v>9</v>
      </c>
      <c r="R32" s="213">
        <f t="shared" si="63"/>
        <v>8</v>
      </c>
      <c r="S32" s="213">
        <f t="shared" si="63"/>
        <v>8</v>
      </c>
      <c r="T32" s="213">
        <f t="shared" si="63"/>
        <v>7</v>
      </c>
      <c r="U32" s="213">
        <f t="shared" si="63"/>
        <v>8</v>
      </c>
      <c r="V32" s="213">
        <f t="shared" si="63"/>
        <v>6</v>
      </c>
      <c r="W32" s="213">
        <f t="shared" si="63"/>
        <v>6</v>
      </c>
      <c r="X32" s="213">
        <f t="shared" si="63"/>
        <v>7</v>
      </c>
      <c r="Y32" s="213">
        <f t="shared" si="63"/>
        <v>7</v>
      </c>
      <c r="Z32" s="213">
        <f t="shared" si="63"/>
        <v>8</v>
      </c>
      <c r="AA32" s="213">
        <f t="shared" si="63"/>
        <v>5</v>
      </c>
      <c r="AB32" s="213">
        <f t="shared" si="63"/>
        <v>2</v>
      </c>
      <c r="AC32" s="213">
        <f t="shared" si="63"/>
        <v>1</v>
      </c>
      <c r="AD32" s="213"/>
      <c r="AE32" s="213"/>
      <c r="AF32" s="213"/>
      <c r="AG32" s="213"/>
      <c r="AH32" s="213"/>
      <c r="AI32" s="213"/>
      <c r="AJ32" s="213"/>
      <c r="AK32" s="213"/>
      <c r="AL32" s="213"/>
      <c r="AM32" s="213"/>
      <c r="AN32" s="213"/>
      <c r="AO32" s="213"/>
      <c r="AP32" s="213"/>
      <c r="AQ32" s="213"/>
      <c r="CH32" s="158"/>
      <c r="CI32" s="156"/>
      <c r="CJ32" s="156"/>
      <c r="CK32" s="156"/>
      <c r="CL32" s="156"/>
      <c r="CM32" s="156"/>
      <c r="CN32" s="156"/>
      <c r="CO32" s="156"/>
      <c r="CP32" s="157" t="s">
        <v>947</v>
      </c>
    </row>
    <row r="33" spans="1:94">
      <c r="B33" s="142" t="s">
        <v>948</v>
      </c>
      <c r="C33" s="1320" t="s">
        <v>897</v>
      </c>
      <c r="CH33" s="158"/>
      <c r="CI33" s="156"/>
      <c r="CJ33" s="156"/>
      <c r="CK33" s="156"/>
      <c r="CL33" s="156"/>
      <c r="CM33" s="156"/>
      <c r="CN33" s="156"/>
      <c r="CO33" s="156"/>
      <c r="CP33" s="157" t="s">
        <v>949</v>
      </c>
    </row>
    <row r="34" spans="1:94">
      <c r="C34" s="94" t="s">
        <v>950</v>
      </c>
      <c r="D34" s="141" t="s">
        <v>118</v>
      </c>
      <c r="E34" s="212">
        <f t="shared" ref="E34" si="64">SUM(G34:AQ34)</f>
        <v>410.05147216797252</v>
      </c>
      <c r="G34" s="213">
        <f t="shared" ref="G34:AC34" si="65">G7+G8</f>
        <v>0</v>
      </c>
      <c r="H34" s="213">
        <f t="shared" si="65"/>
        <v>0</v>
      </c>
      <c r="I34" s="213">
        <f t="shared" si="65"/>
        <v>0</v>
      </c>
      <c r="J34" s="213">
        <f t="shared" si="65"/>
        <v>0</v>
      </c>
      <c r="K34" s="213">
        <f t="shared" si="65"/>
        <v>8.7562380206396639</v>
      </c>
      <c r="L34" s="213">
        <f t="shared" si="65"/>
        <v>7.2327697721685071</v>
      </c>
      <c r="M34" s="213">
        <f t="shared" si="65"/>
        <v>13.079053808756907</v>
      </c>
      <c r="N34" s="213">
        <f t="shared" si="65"/>
        <v>28.103580419350003</v>
      </c>
      <c r="O34" s="213">
        <f t="shared" si="65"/>
        <v>27.076699507372219</v>
      </c>
      <c r="P34" s="213">
        <f t="shared" si="65"/>
        <v>36.405142947877096</v>
      </c>
      <c r="Q34" s="213">
        <f t="shared" si="65"/>
        <v>33.316728142161111</v>
      </c>
      <c r="R34" s="213">
        <f t="shared" si="65"/>
        <v>27.849144170266669</v>
      </c>
      <c r="S34" s="213">
        <f t="shared" si="65"/>
        <v>29.023958269844446</v>
      </c>
      <c r="T34" s="213">
        <f t="shared" si="65"/>
        <v>25.881636997770947</v>
      </c>
      <c r="U34" s="213">
        <f t="shared" si="65"/>
        <v>29.204862524357541</v>
      </c>
      <c r="V34" s="213">
        <f t="shared" si="65"/>
        <v>22.229788356117318</v>
      </c>
      <c r="W34" s="213">
        <f t="shared" si="65"/>
        <v>19.51269241881004</v>
      </c>
      <c r="X34" s="213">
        <f t="shared" si="65"/>
        <v>24.254093190117317</v>
      </c>
      <c r="Y34" s="213">
        <f t="shared" si="65"/>
        <v>24.176980941073037</v>
      </c>
      <c r="Z34" s="213">
        <f t="shared" si="65"/>
        <v>30.803173554286516</v>
      </c>
      <c r="AA34" s="213">
        <f t="shared" si="65"/>
        <v>18.963056293217516</v>
      </c>
      <c r="AB34" s="213">
        <f t="shared" si="65"/>
        <v>3.2519598595255688</v>
      </c>
      <c r="AC34" s="213">
        <f t="shared" si="65"/>
        <v>0.92991297426011577</v>
      </c>
      <c r="AD34" s="213"/>
      <c r="AE34" s="213"/>
      <c r="AF34" s="213"/>
      <c r="AG34" s="213"/>
      <c r="AH34" s="213"/>
      <c r="AI34" s="213"/>
      <c r="AJ34" s="213"/>
      <c r="AK34" s="213"/>
      <c r="AL34" s="213"/>
      <c r="AM34" s="213"/>
      <c r="AN34" s="213"/>
      <c r="AO34" s="213"/>
      <c r="AP34" s="213"/>
      <c r="AQ34" s="213"/>
      <c r="CH34" s="158"/>
      <c r="CI34" s="156"/>
      <c r="CJ34" s="156"/>
      <c r="CK34" s="156"/>
      <c r="CL34" s="156"/>
      <c r="CM34" s="156"/>
      <c r="CN34" s="156"/>
      <c r="CO34" s="156"/>
      <c r="CP34" s="157"/>
    </row>
    <row r="35" spans="1:94">
      <c r="C35" s="94" t="s">
        <v>937</v>
      </c>
      <c r="D35" s="141" t="s">
        <v>896</v>
      </c>
      <c r="E35" s="212">
        <f>MAX(G35:AQ35)</f>
        <v>11.305317171167525</v>
      </c>
      <c r="G35" s="213">
        <f>G34*10^6/Productivity!$E$49</f>
        <v>0</v>
      </c>
      <c r="H35" s="213">
        <f>H34*10^6/Productivity!$E$49</f>
        <v>0</v>
      </c>
      <c r="I35" s="213">
        <f>I34*10^6/Productivity!$E$49</f>
        <v>0</v>
      </c>
      <c r="J35" s="213">
        <f>J34*10^6/Productivity!$E$49</f>
        <v>0</v>
      </c>
      <c r="K35" s="213">
        <f>K34*10^6/Productivity!$E$49</f>
        <v>2.7191775676117782</v>
      </c>
      <c r="L35" s="213">
        <f>L34*10^6/Productivity!$E$49</f>
        <v>2.2460770561310555</v>
      </c>
      <c r="M35" s="213">
        <f>M34*10^6/Productivity!$E$49</f>
        <v>4.0615923914504464</v>
      </c>
      <c r="N35" s="213">
        <f>N34*10^6/Productivity!$E$49</f>
        <v>8.7273353311937019</v>
      </c>
      <c r="O35" s="213">
        <f>O34*10^6/Productivity!$E$49</f>
        <v>8.4084459252779489</v>
      </c>
      <c r="P35" s="213">
        <f>P34*10^6/Productivity!$E$49</f>
        <v>11.305317171167525</v>
      </c>
      <c r="Q35" s="213">
        <f>Q34*10^6/Productivity!$E$49</f>
        <v>10.346235401189611</v>
      </c>
      <c r="R35" s="213">
        <f>R34*10^6/Productivity!$E$49</f>
        <v>8.6483222505460677</v>
      </c>
      <c r="S35" s="213">
        <f>S34*10^6/Productivity!$E$49</f>
        <v>9.0131510889303126</v>
      </c>
      <c r="T35" s="213">
        <f>T34*10^6/Productivity!$E$49</f>
        <v>8.0373291100038671</v>
      </c>
      <c r="U35" s="213">
        <f>U34*10^6/Productivity!$E$49</f>
        <v>9.06932941455349</v>
      </c>
      <c r="V35" s="213">
        <f>V34*10^6/Productivity!$E$49</f>
        <v>6.9032776048607172</v>
      </c>
      <c r="W35" s="213">
        <f>W34*10^6/Productivity!$E$49</f>
        <v>6.0595058498718872</v>
      </c>
      <c r="X35" s="213">
        <f>X34*10^6/Productivity!$E$49</f>
        <v>7.5319087911813893</v>
      </c>
      <c r="Y35" s="213">
        <f>Y34*10^6/Productivity!$E$49</f>
        <v>7.5079622176306184</v>
      </c>
      <c r="Z35" s="213">
        <f>Z34*10^6/Productivity!$E$49</f>
        <v>9.5656717351259779</v>
      </c>
      <c r="AA35" s="213">
        <f>AA34*10^6/Productivity!$E$49</f>
        <v>5.8888208799638786</v>
      </c>
      <c r="AB35" s="213">
        <f>AB34*10^6/Productivity!$E$49</f>
        <v>1.0098693388590527</v>
      </c>
      <c r="AC35" s="213">
        <f>AC34*10^6/Productivity!$E$49</f>
        <v>0.28877681185447446</v>
      </c>
      <c r="AD35" s="213"/>
      <c r="AE35" s="213"/>
      <c r="AF35" s="213"/>
      <c r="AG35" s="213"/>
      <c r="AH35" s="213"/>
      <c r="AI35" s="213"/>
      <c r="AJ35" s="213"/>
      <c r="AK35" s="213"/>
      <c r="AL35" s="213"/>
      <c r="AM35" s="213"/>
      <c r="AN35" s="213"/>
      <c r="AO35" s="213"/>
      <c r="AP35" s="213"/>
      <c r="AQ35" s="213"/>
      <c r="CH35" s="158"/>
      <c r="CI35" s="156"/>
      <c r="CJ35" s="156"/>
      <c r="CK35" s="156"/>
      <c r="CL35" s="156"/>
      <c r="CM35" s="156"/>
      <c r="CN35" s="156"/>
      <c r="CO35" s="156"/>
      <c r="CP35" s="157"/>
    </row>
    <row r="36" spans="1:94">
      <c r="C36" s="94" t="s">
        <v>939</v>
      </c>
      <c r="D36" s="141" t="s">
        <v>896</v>
      </c>
      <c r="E36" s="212">
        <f>MAX(G36:AQ36)</f>
        <v>11</v>
      </c>
      <c r="G36" s="213">
        <f t="shared" ref="G36:AC36" si="66">ROUND(G35,0)</f>
        <v>0</v>
      </c>
      <c r="H36" s="213">
        <f t="shared" si="66"/>
        <v>0</v>
      </c>
      <c r="I36" s="213">
        <f t="shared" si="66"/>
        <v>0</v>
      </c>
      <c r="J36" s="213">
        <f t="shared" si="66"/>
        <v>0</v>
      </c>
      <c r="K36" s="213">
        <f t="shared" si="66"/>
        <v>3</v>
      </c>
      <c r="L36" s="213">
        <f t="shared" si="66"/>
        <v>2</v>
      </c>
      <c r="M36" s="213">
        <f t="shared" si="66"/>
        <v>4</v>
      </c>
      <c r="N36" s="213">
        <f t="shared" si="66"/>
        <v>9</v>
      </c>
      <c r="O36" s="213">
        <f t="shared" si="66"/>
        <v>8</v>
      </c>
      <c r="P36" s="213">
        <f t="shared" si="66"/>
        <v>11</v>
      </c>
      <c r="Q36" s="213">
        <f t="shared" si="66"/>
        <v>10</v>
      </c>
      <c r="R36" s="213">
        <f t="shared" si="66"/>
        <v>9</v>
      </c>
      <c r="S36" s="213">
        <f t="shared" si="66"/>
        <v>9</v>
      </c>
      <c r="T36" s="213">
        <f t="shared" si="66"/>
        <v>8</v>
      </c>
      <c r="U36" s="213">
        <f t="shared" si="66"/>
        <v>9</v>
      </c>
      <c r="V36" s="213">
        <f t="shared" si="66"/>
        <v>7</v>
      </c>
      <c r="W36" s="213">
        <f t="shared" si="66"/>
        <v>6</v>
      </c>
      <c r="X36" s="213">
        <f t="shared" si="66"/>
        <v>8</v>
      </c>
      <c r="Y36" s="213">
        <f t="shared" si="66"/>
        <v>8</v>
      </c>
      <c r="Z36" s="213">
        <f t="shared" si="66"/>
        <v>10</v>
      </c>
      <c r="AA36" s="213">
        <f t="shared" si="66"/>
        <v>6</v>
      </c>
      <c r="AB36" s="213">
        <f t="shared" si="66"/>
        <v>1</v>
      </c>
      <c r="AC36" s="213">
        <f t="shared" si="66"/>
        <v>0</v>
      </c>
      <c r="AD36" s="213"/>
      <c r="AE36" s="213"/>
      <c r="AF36" s="213"/>
      <c r="AG36" s="213"/>
      <c r="AH36" s="213"/>
      <c r="AI36" s="213"/>
      <c r="AJ36" s="213"/>
      <c r="AK36" s="213"/>
      <c r="AL36" s="213"/>
      <c r="AM36" s="213"/>
      <c r="AN36" s="213"/>
      <c r="AO36" s="213"/>
      <c r="AP36" s="213"/>
      <c r="AQ36" s="213"/>
      <c r="CH36" s="158"/>
      <c r="CI36" s="156"/>
      <c r="CJ36" s="156"/>
      <c r="CK36" s="156"/>
      <c r="CL36" s="156"/>
      <c r="CM36" s="156"/>
      <c r="CN36" s="156"/>
      <c r="CO36" s="156"/>
      <c r="CP36" s="157"/>
    </row>
    <row r="37" spans="1:94">
      <c r="CH37" s="158"/>
      <c r="CI37" s="156"/>
      <c r="CJ37" s="156"/>
      <c r="CK37" s="156"/>
      <c r="CL37" s="156"/>
      <c r="CM37" s="156"/>
      <c r="CN37" s="156"/>
      <c r="CO37" s="156"/>
      <c r="CP37" s="157"/>
    </row>
    <row r="38" spans="1:94">
      <c r="A38" s="416" t="s">
        <v>453</v>
      </c>
      <c r="B38" s="142" t="s">
        <v>951</v>
      </c>
      <c r="C38" s="1320" t="s">
        <v>925</v>
      </c>
      <c r="CH38" s="158"/>
      <c r="CI38" s="156"/>
      <c r="CJ38" s="156"/>
      <c r="CK38" s="156"/>
      <c r="CL38" s="156"/>
      <c r="CM38" s="156"/>
      <c r="CN38" s="156"/>
      <c r="CO38" s="156"/>
      <c r="CP38" s="157"/>
    </row>
    <row r="39" spans="1:94" ht="42">
      <c r="B39" s="437" t="s">
        <v>952</v>
      </c>
      <c r="C39" s="94" t="s">
        <v>950</v>
      </c>
      <c r="D39" s="141" t="s">
        <v>118</v>
      </c>
      <c r="E39" s="212">
        <f t="shared" ref="E39" si="67">SUM(G39:AQ39)</f>
        <v>0</v>
      </c>
      <c r="G39" s="213">
        <f>IF($A$38="Yes",'Production Schedule'!E13,0)</f>
        <v>0</v>
      </c>
      <c r="H39" s="213">
        <f>IF($A$38="Yes",'Production Schedule'!F13,0)</f>
        <v>0</v>
      </c>
      <c r="I39" s="213">
        <f>IF($A$38="Yes",'Production Schedule'!G13,0)</f>
        <v>0</v>
      </c>
      <c r="J39" s="213">
        <f>IF($A$38="Yes",'Production Schedule'!H13,0)</f>
        <v>0</v>
      </c>
      <c r="K39" s="213">
        <f>IF($A$38="Yes",'Production Schedule'!I13,0)</f>
        <v>0</v>
      </c>
      <c r="L39" s="213">
        <f>IF($A$38="Yes",'Production Schedule'!J13,0)</f>
        <v>0</v>
      </c>
      <c r="M39" s="213">
        <f>IF($A$38="Yes",'Production Schedule'!K13,0)</f>
        <v>0</v>
      </c>
      <c r="N39" s="213">
        <f>IF($A$38="Yes",'Production Schedule'!L13,0)</f>
        <v>0</v>
      </c>
      <c r="O39" s="213">
        <f>IF($A$38="Yes",'Production Schedule'!M13,0)</f>
        <v>0</v>
      </c>
      <c r="P39" s="213">
        <f>IF($A$38="Yes",'Production Schedule'!N13,0)</f>
        <v>0</v>
      </c>
      <c r="Q39" s="213">
        <f>IF($A$38="Yes",'Production Schedule'!O13,0)</f>
        <v>0</v>
      </c>
      <c r="R39" s="213">
        <f>IF($A$38="Yes",'Production Schedule'!P13,0)</f>
        <v>0</v>
      </c>
      <c r="S39" s="213">
        <f>IF($A$38="Yes",'Production Schedule'!Q13,0)</f>
        <v>0</v>
      </c>
      <c r="T39" s="213">
        <f>IF($A$38="Yes",'Production Schedule'!R13,0)</f>
        <v>0</v>
      </c>
      <c r="U39" s="213">
        <f>IF($A$38="Yes",'Production Schedule'!S13,0)</f>
        <v>0</v>
      </c>
      <c r="V39" s="213">
        <f>IF($A$38="Yes",'Production Schedule'!T13,0)</f>
        <v>0</v>
      </c>
      <c r="W39" s="213">
        <f>IF($A$38="Yes",'Production Schedule'!U13,0)</f>
        <v>0</v>
      </c>
      <c r="X39" s="213">
        <f>IF($A$38="Yes",'Production Schedule'!V13,0)</f>
        <v>0</v>
      </c>
      <c r="Y39" s="213">
        <f>IF($A$38="Yes",'Production Schedule'!W13,0)</f>
        <v>0</v>
      </c>
      <c r="Z39" s="213">
        <f>IF($A$38="Yes",'Production Schedule'!X13,0)</f>
        <v>0</v>
      </c>
      <c r="AA39" s="213">
        <f>IF($A$38="Yes",'Production Schedule'!Y13,0)</f>
        <v>0</v>
      </c>
      <c r="AB39" s="213">
        <f>IF($A$38="Yes",'Production Schedule'!Z13,0)</f>
        <v>0</v>
      </c>
      <c r="AC39" s="213">
        <f>IF($A$38="Yes",'Production Schedule'!AA13,0)</f>
        <v>0</v>
      </c>
      <c r="AD39" s="213"/>
      <c r="AE39" s="213"/>
      <c r="AF39" s="213"/>
      <c r="AG39" s="213"/>
      <c r="AH39" s="213"/>
      <c r="AI39" s="213"/>
      <c r="AJ39" s="213"/>
      <c r="AK39" s="213"/>
      <c r="AL39" s="213"/>
      <c r="AM39" s="213"/>
      <c r="AN39" s="213"/>
      <c r="AO39" s="213"/>
      <c r="AP39" s="213"/>
      <c r="AQ39" s="213"/>
      <c r="CH39" s="158"/>
      <c r="CI39" s="156"/>
      <c r="CJ39" s="156"/>
      <c r="CK39" s="156"/>
      <c r="CL39" s="156"/>
      <c r="CM39" s="156"/>
      <c r="CN39" s="156"/>
      <c r="CO39" s="156"/>
      <c r="CP39" s="157"/>
    </row>
    <row r="40" spans="1:94">
      <c r="C40" s="94" t="s">
        <v>937</v>
      </c>
      <c r="D40" s="141" t="s">
        <v>896</v>
      </c>
      <c r="E40" s="212">
        <f>MAX(G40:AQ40)</f>
        <v>0</v>
      </c>
      <c r="G40" s="213">
        <f>G39*10^6/Productivity!$H$49</f>
        <v>0</v>
      </c>
      <c r="H40" s="213">
        <f>H39*10^6/Productivity!$H$49</f>
        <v>0</v>
      </c>
      <c r="I40" s="213">
        <f>I39*10^6/Productivity!$H$49</f>
        <v>0</v>
      </c>
      <c r="J40" s="213">
        <f>J39*10^6/Productivity!$H$49</f>
        <v>0</v>
      </c>
      <c r="K40" s="213">
        <f>K39*10^6/Productivity!$H$49</f>
        <v>0</v>
      </c>
      <c r="L40" s="213">
        <f>L39*10^6/Productivity!$H$49</f>
        <v>0</v>
      </c>
      <c r="M40" s="213">
        <f>M39*10^6/Productivity!$H$49</f>
        <v>0</v>
      </c>
      <c r="N40" s="213">
        <f>N39*10^6/Productivity!$H$49</f>
        <v>0</v>
      </c>
      <c r="O40" s="213">
        <f>O39*10^6/Productivity!$H$49</f>
        <v>0</v>
      </c>
      <c r="P40" s="213">
        <f>P39*10^6/Productivity!$H$49</f>
        <v>0</v>
      </c>
      <c r="Q40" s="213">
        <f>Q39*10^6/Productivity!$H$49</f>
        <v>0</v>
      </c>
      <c r="R40" s="213">
        <f>R39*10^6/Productivity!$H$49</f>
        <v>0</v>
      </c>
      <c r="S40" s="213">
        <f>S39*10^6/Productivity!$H$49</f>
        <v>0</v>
      </c>
      <c r="T40" s="213">
        <f>T39*10^6/Productivity!$H$49</f>
        <v>0</v>
      </c>
      <c r="U40" s="213">
        <f>U39*10^6/Productivity!$H$49</f>
        <v>0</v>
      </c>
      <c r="V40" s="213">
        <f>V39*10^6/Productivity!$H$49</f>
        <v>0</v>
      </c>
      <c r="W40" s="213">
        <f>W39*10^6/Productivity!$H$49</f>
        <v>0</v>
      </c>
      <c r="X40" s="213">
        <f>X39*10^6/Productivity!$H$49</f>
        <v>0</v>
      </c>
      <c r="Y40" s="213">
        <f>Y39*10^6/Productivity!$H$49</f>
        <v>0</v>
      </c>
      <c r="Z40" s="213">
        <f>Z39*10^6/Productivity!$H$49</f>
        <v>0</v>
      </c>
      <c r="AA40" s="213">
        <f>AA39*10^6/Productivity!$H$49</f>
        <v>0</v>
      </c>
      <c r="AB40" s="213">
        <f>AB39*10^6/Productivity!$H$49</f>
        <v>0</v>
      </c>
      <c r="AC40" s="213">
        <f>AC39*10^6/Productivity!$H$49</f>
        <v>0</v>
      </c>
      <c r="AD40" s="213"/>
      <c r="AE40" s="213"/>
      <c r="AF40" s="213"/>
      <c r="AG40" s="213"/>
      <c r="AH40" s="213"/>
      <c r="AI40" s="213"/>
      <c r="AJ40" s="213"/>
      <c r="AK40" s="213"/>
      <c r="AL40" s="213"/>
      <c r="AM40" s="213"/>
      <c r="AN40" s="213"/>
      <c r="AO40" s="213"/>
      <c r="AP40" s="213"/>
      <c r="AQ40" s="213"/>
      <c r="CH40" s="158"/>
      <c r="CI40" s="156"/>
      <c r="CJ40" s="156"/>
      <c r="CK40" s="156"/>
      <c r="CL40" s="156"/>
      <c r="CM40" s="156"/>
      <c r="CN40" s="156"/>
      <c r="CO40" s="156"/>
      <c r="CP40" s="157"/>
    </row>
    <row r="41" spans="1:94">
      <c r="C41" s="94" t="s">
        <v>939</v>
      </c>
      <c r="D41" s="141" t="s">
        <v>896</v>
      </c>
      <c r="E41" s="212">
        <f>MAX(G41:AQ41)</f>
        <v>0</v>
      </c>
      <c r="G41" s="213">
        <f>ROUNDUP(G40,0)</f>
        <v>0</v>
      </c>
      <c r="H41" s="213">
        <f t="shared" ref="H41:AC41" si="68">ROUNDUP(H40,0)</f>
        <v>0</v>
      </c>
      <c r="I41" s="213">
        <f t="shared" si="68"/>
        <v>0</v>
      </c>
      <c r="J41" s="213">
        <f t="shared" si="68"/>
        <v>0</v>
      </c>
      <c r="K41" s="213">
        <f t="shared" si="68"/>
        <v>0</v>
      </c>
      <c r="L41" s="213">
        <f t="shared" si="68"/>
        <v>0</v>
      </c>
      <c r="M41" s="213">
        <f t="shared" si="68"/>
        <v>0</v>
      </c>
      <c r="N41" s="213">
        <f t="shared" si="68"/>
        <v>0</v>
      </c>
      <c r="O41" s="213">
        <f t="shared" si="68"/>
        <v>0</v>
      </c>
      <c r="P41" s="213">
        <f t="shared" si="68"/>
        <v>0</v>
      </c>
      <c r="Q41" s="213">
        <f t="shared" si="68"/>
        <v>0</v>
      </c>
      <c r="R41" s="213">
        <f t="shared" si="68"/>
        <v>0</v>
      </c>
      <c r="S41" s="213">
        <f t="shared" si="68"/>
        <v>0</v>
      </c>
      <c r="T41" s="213">
        <f t="shared" si="68"/>
        <v>0</v>
      </c>
      <c r="U41" s="213">
        <f t="shared" si="68"/>
        <v>0</v>
      </c>
      <c r="V41" s="213">
        <f t="shared" si="68"/>
        <v>0</v>
      </c>
      <c r="W41" s="213">
        <f t="shared" si="68"/>
        <v>0</v>
      </c>
      <c r="X41" s="213">
        <f t="shared" si="68"/>
        <v>0</v>
      </c>
      <c r="Y41" s="213">
        <f t="shared" si="68"/>
        <v>0</v>
      </c>
      <c r="Z41" s="213">
        <f t="shared" si="68"/>
        <v>0</v>
      </c>
      <c r="AA41" s="213">
        <f t="shared" si="68"/>
        <v>0</v>
      </c>
      <c r="AB41" s="213">
        <f t="shared" si="68"/>
        <v>0</v>
      </c>
      <c r="AC41" s="213">
        <f t="shared" si="68"/>
        <v>0</v>
      </c>
      <c r="AD41" s="213"/>
      <c r="AE41" s="213"/>
      <c r="AF41" s="213"/>
      <c r="AG41" s="213"/>
      <c r="AH41" s="213"/>
      <c r="AI41" s="213"/>
      <c r="AJ41" s="213"/>
      <c r="AK41" s="213"/>
      <c r="AL41" s="213"/>
      <c r="AM41" s="213"/>
      <c r="AN41" s="213"/>
      <c r="AO41" s="213"/>
      <c r="AP41" s="213"/>
      <c r="AQ41" s="213"/>
      <c r="CH41" s="158"/>
      <c r="CI41" s="156"/>
      <c r="CJ41" s="156"/>
      <c r="CK41" s="156"/>
      <c r="CL41" s="156"/>
      <c r="CM41" s="156"/>
      <c r="CN41" s="156"/>
      <c r="CO41" s="156"/>
      <c r="CP41" s="157"/>
    </row>
    <row r="42" spans="1:94">
      <c r="CH42" s="158"/>
      <c r="CI42" s="156"/>
      <c r="CJ42" s="156"/>
      <c r="CK42" s="156"/>
      <c r="CL42" s="156"/>
      <c r="CM42" s="156"/>
      <c r="CN42" s="156"/>
      <c r="CO42" s="156"/>
      <c r="CP42" s="157"/>
    </row>
    <row r="43" spans="1:94" ht="14" thickBot="1">
      <c r="B43" s="142" t="s">
        <v>734</v>
      </c>
      <c r="C43" s="1320" t="s">
        <v>925</v>
      </c>
      <c r="CH43" s="159"/>
      <c r="CI43" s="160"/>
      <c r="CJ43" s="160"/>
      <c r="CK43" s="160"/>
      <c r="CL43" s="160"/>
      <c r="CM43" s="160"/>
      <c r="CN43" s="160"/>
      <c r="CO43" s="160"/>
      <c r="CP43" s="161"/>
    </row>
    <row r="44" spans="1:94" ht="14" thickTop="1">
      <c r="C44" s="94" t="s">
        <v>950</v>
      </c>
      <c r="D44" s="141" t="s">
        <v>118</v>
      </c>
      <c r="E44" s="212">
        <f t="shared" ref="E44" si="69">SUM(G44:AQ44)</f>
        <v>0</v>
      </c>
      <c r="G44" s="213">
        <v>0</v>
      </c>
      <c r="H44" s="213">
        <v>0</v>
      </c>
      <c r="I44" s="213">
        <v>0</v>
      </c>
      <c r="J44" s="213">
        <v>0</v>
      </c>
      <c r="K44" s="213">
        <v>0</v>
      </c>
      <c r="L44" s="213">
        <v>0</v>
      </c>
      <c r="M44" s="213">
        <v>0</v>
      </c>
      <c r="N44" s="213">
        <v>0</v>
      </c>
      <c r="O44" s="213">
        <v>0</v>
      </c>
      <c r="P44" s="213">
        <v>0</v>
      </c>
      <c r="Q44" s="213">
        <v>0</v>
      </c>
      <c r="R44" s="213">
        <v>0</v>
      </c>
      <c r="S44" s="213">
        <v>0</v>
      </c>
      <c r="T44" s="213">
        <v>0</v>
      </c>
      <c r="U44" s="213">
        <v>0</v>
      </c>
      <c r="V44" s="213">
        <v>0</v>
      </c>
      <c r="W44" s="213">
        <v>0</v>
      </c>
      <c r="X44" s="213">
        <v>0</v>
      </c>
      <c r="Y44" s="213">
        <v>0</v>
      </c>
      <c r="Z44" s="213">
        <v>0</v>
      </c>
      <c r="AA44" s="213">
        <v>0</v>
      </c>
      <c r="AB44" s="213">
        <v>0</v>
      </c>
      <c r="AC44" s="213">
        <v>0</v>
      </c>
      <c r="AD44" s="213"/>
      <c r="AE44" s="213"/>
      <c r="AF44" s="213"/>
      <c r="AG44" s="213"/>
      <c r="AH44" s="213"/>
      <c r="AI44" s="213"/>
      <c r="AJ44" s="213"/>
      <c r="AK44" s="213"/>
      <c r="AL44" s="213"/>
      <c r="AM44" s="213"/>
      <c r="AN44" s="213"/>
      <c r="AO44" s="213"/>
      <c r="AP44" s="213"/>
      <c r="AQ44" s="213"/>
    </row>
    <row r="45" spans="1:94">
      <c r="C45" s="94" t="s">
        <v>937</v>
      </c>
      <c r="D45" s="141" t="s">
        <v>896</v>
      </c>
      <c r="E45" s="212">
        <f>MAX(G45:AQ45)</f>
        <v>0</v>
      </c>
      <c r="G45" s="213">
        <f>G44*10^6/Productivity!$I$49</f>
        <v>0</v>
      </c>
      <c r="H45" s="213">
        <f>H44*10^6/Productivity!$I$49</f>
        <v>0</v>
      </c>
      <c r="I45" s="213">
        <f>I44*10^6/Productivity!$I$49</f>
        <v>0</v>
      </c>
      <c r="J45" s="213">
        <f>J44*10^6/Productivity!$I$49</f>
        <v>0</v>
      </c>
      <c r="K45" s="213">
        <f>K44*10^6/Productivity!$I$49</f>
        <v>0</v>
      </c>
      <c r="L45" s="213">
        <f>L44*10^6/Productivity!$I$49</f>
        <v>0</v>
      </c>
      <c r="M45" s="213">
        <f>M44*10^6/Productivity!$I$49</f>
        <v>0</v>
      </c>
      <c r="N45" s="213">
        <f>N44*10^6/Productivity!$I$49</f>
        <v>0</v>
      </c>
      <c r="O45" s="213">
        <f>O44*10^6/Productivity!$I$49</f>
        <v>0</v>
      </c>
      <c r="P45" s="213">
        <f>P44*10^6/Productivity!$I$49</f>
        <v>0</v>
      </c>
      <c r="Q45" s="213">
        <f>Q44*10^6/Productivity!$I$49</f>
        <v>0</v>
      </c>
      <c r="R45" s="213">
        <f>R44*10^6/Productivity!$I$49</f>
        <v>0</v>
      </c>
      <c r="S45" s="213">
        <f>S44*10^6/Productivity!$I$49</f>
        <v>0</v>
      </c>
      <c r="T45" s="213">
        <f>T44*10^6/Productivity!$I$49</f>
        <v>0</v>
      </c>
      <c r="U45" s="213">
        <f>U44*10^6/Productivity!$I$49</f>
        <v>0</v>
      </c>
      <c r="V45" s="213">
        <f>V44*10^6/Productivity!$I$49</f>
        <v>0</v>
      </c>
      <c r="W45" s="213">
        <f>W44*10^6/Productivity!$I$49</f>
        <v>0</v>
      </c>
      <c r="X45" s="213">
        <f>X44*10^6/Productivity!$I$49</f>
        <v>0</v>
      </c>
      <c r="Y45" s="213">
        <f>Y44*10^6/Productivity!$I$49</f>
        <v>0</v>
      </c>
      <c r="Z45" s="213">
        <f>Z44*10^6/Productivity!$I$49</f>
        <v>0</v>
      </c>
      <c r="AA45" s="213">
        <f>AA44*10^6/Productivity!$I$49</f>
        <v>0</v>
      </c>
      <c r="AB45" s="213">
        <f>AB44*10^6/Productivity!$I$49</f>
        <v>0</v>
      </c>
      <c r="AC45" s="213">
        <f>AC44*10^6/Productivity!$I$49</f>
        <v>0</v>
      </c>
      <c r="AD45" s="213"/>
      <c r="AE45" s="213"/>
      <c r="AF45" s="213"/>
      <c r="AG45" s="213"/>
      <c r="AH45" s="213"/>
      <c r="AI45" s="213"/>
      <c r="AJ45" s="213"/>
      <c r="AK45" s="213"/>
      <c r="AL45" s="213"/>
      <c r="AM45" s="213"/>
      <c r="AN45" s="213"/>
      <c r="AO45" s="213"/>
      <c r="AP45" s="213"/>
      <c r="AQ45" s="213"/>
    </row>
    <row r="46" spans="1:94">
      <c r="C46" s="94" t="s">
        <v>939</v>
      </c>
      <c r="D46" s="141" t="s">
        <v>896</v>
      </c>
      <c r="E46" s="212">
        <f>MAX(G46:AQ46)</f>
        <v>0</v>
      </c>
      <c r="G46" s="213">
        <f>ROUNDUP(G45,0)</f>
        <v>0</v>
      </c>
      <c r="H46" s="213">
        <f t="shared" ref="H46:AC46" si="70">ROUNDUP(H45,0)</f>
        <v>0</v>
      </c>
      <c r="I46" s="213">
        <f t="shared" si="70"/>
        <v>0</v>
      </c>
      <c r="J46" s="213">
        <f t="shared" si="70"/>
        <v>0</v>
      </c>
      <c r="K46" s="213">
        <f t="shared" si="70"/>
        <v>0</v>
      </c>
      <c r="L46" s="213">
        <f t="shared" si="70"/>
        <v>0</v>
      </c>
      <c r="M46" s="213">
        <f t="shared" si="70"/>
        <v>0</v>
      </c>
      <c r="N46" s="213">
        <f t="shared" si="70"/>
        <v>0</v>
      </c>
      <c r="O46" s="213">
        <f t="shared" si="70"/>
        <v>0</v>
      </c>
      <c r="P46" s="213">
        <f t="shared" si="70"/>
        <v>0</v>
      </c>
      <c r="Q46" s="213">
        <f t="shared" si="70"/>
        <v>0</v>
      </c>
      <c r="R46" s="213">
        <f t="shared" si="70"/>
        <v>0</v>
      </c>
      <c r="S46" s="213">
        <f t="shared" si="70"/>
        <v>0</v>
      </c>
      <c r="T46" s="213">
        <f t="shared" si="70"/>
        <v>0</v>
      </c>
      <c r="U46" s="213">
        <f t="shared" si="70"/>
        <v>0</v>
      </c>
      <c r="V46" s="213">
        <f t="shared" si="70"/>
        <v>0</v>
      </c>
      <c r="W46" s="213">
        <f t="shared" si="70"/>
        <v>0</v>
      </c>
      <c r="X46" s="213">
        <f t="shared" si="70"/>
        <v>0</v>
      </c>
      <c r="Y46" s="213">
        <f t="shared" si="70"/>
        <v>0</v>
      </c>
      <c r="Z46" s="213">
        <f t="shared" si="70"/>
        <v>0</v>
      </c>
      <c r="AA46" s="213">
        <f t="shared" si="70"/>
        <v>0</v>
      </c>
      <c r="AB46" s="213">
        <f t="shared" si="70"/>
        <v>0</v>
      </c>
      <c r="AC46" s="213">
        <f t="shared" si="70"/>
        <v>0</v>
      </c>
      <c r="AD46" s="213"/>
      <c r="AE46" s="213"/>
      <c r="AF46" s="213"/>
      <c r="AG46" s="213"/>
      <c r="AH46" s="213"/>
      <c r="AI46" s="213"/>
      <c r="AJ46" s="213"/>
      <c r="AK46" s="213"/>
      <c r="AL46" s="213"/>
      <c r="AM46" s="213"/>
      <c r="AN46" s="213"/>
      <c r="AO46" s="213"/>
      <c r="AP46" s="213"/>
      <c r="AQ46" s="213"/>
    </row>
    <row r="48" spans="1:94">
      <c r="C48" s="162" t="s">
        <v>953</v>
      </c>
    </row>
    <row r="49" spans="2:29">
      <c r="B49" s="142" t="s">
        <v>851</v>
      </c>
      <c r="C49" s="1320" t="s">
        <v>844</v>
      </c>
    </row>
    <row r="50" spans="2:29">
      <c r="C50" s="94" t="s">
        <v>954</v>
      </c>
      <c r="D50" s="141" t="s">
        <v>896</v>
      </c>
      <c r="E50" s="212">
        <f>MAX(G50:AQ50)</f>
        <v>2.5489090425818257</v>
      </c>
      <c r="G50" s="213">
        <f>'Production Schedule'!E7*10^6/Productivity!$D$35</f>
        <v>0</v>
      </c>
      <c r="H50" s="213">
        <f>'Production Schedule'!F7*10^6/Productivity!$D$35</f>
        <v>0</v>
      </c>
      <c r="I50" s="213">
        <f>'Production Schedule'!G7*10^6/Productivity!$D$35</f>
        <v>0</v>
      </c>
      <c r="J50" s="213">
        <f>'Production Schedule'!H7*10^6/Productivity!$D$35</f>
        <v>0</v>
      </c>
      <c r="K50" s="213">
        <f>'Production Schedule'!I7*10^6/Productivity!$D$35</f>
        <v>0</v>
      </c>
      <c r="L50" s="213">
        <f>'Production Schedule'!J7*10^6/Productivity!$D$35</f>
        <v>0</v>
      </c>
      <c r="M50" s="213">
        <f>'Production Schedule'!K7*10^6/Productivity!$D$35</f>
        <v>1.3594168581405137</v>
      </c>
      <c r="N50" s="213">
        <f>'Production Schedule'!L7*10^6/Productivity!$D$35</f>
        <v>2.03912485134778</v>
      </c>
      <c r="O50" s="213">
        <f>'Production Schedule'!M7*10^6/Productivity!$D$35</f>
        <v>2.5489055556779032</v>
      </c>
      <c r="P50" s="213">
        <f>'Production Schedule'!N7*10^6/Productivity!$D$35</f>
        <v>2.5489075897051916</v>
      </c>
      <c r="Q50" s="213">
        <f>'Production Schedule'!O7*10^6/Productivity!$D$35</f>
        <v>2.5489061368285566</v>
      </c>
      <c r="R50" s="213">
        <f>'Production Schedule'!P7*10^6/Productivity!$D$35</f>
        <v>2.5489058462532297</v>
      </c>
      <c r="S50" s="213">
        <f>'Production Schedule'!Q7*10^6/Productivity!$D$35</f>
        <v>2.5489070085545373</v>
      </c>
      <c r="T50" s="213">
        <f>'Production Schedule'!R7*10^6/Productivity!$D$35</f>
        <v>2.5489055556779032</v>
      </c>
      <c r="U50" s="213">
        <f>'Production Schedule'!S7*10^6/Productivity!$D$35</f>
        <v>2.5489058462532297</v>
      </c>
      <c r="V50" s="213">
        <f>'Production Schedule'!T7*10^6/Productivity!$D$35</f>
        <v>2.5489067179792104</v>
      </c>
      <c r="W50" s="213">
        <f>'Production Schedule'!U7*10^6/Productivity!$D$35</f>
        <v>2.5489090425818257</v>
      </c>
      <c r="X50" s="213">
        <f>'Production Schedule'!V7*10^6/Productivity!$D$35</f>
        <v>2.5489067179792104</v>
      </c>
      <c r="Y50" s="213">
        <f>'Production Schedule'!W7*10^6/Productivity!$D$35</f>
        <v>2.5489067179792104</v>
      </c>
      <c r="Z50" s="213">
        <f>'Production Schedule'!X7*10^6/Productivity!$D$35</f>
        <v>2.5489064274038831</v>
      </c>
      <c r="AA50" s="213">
        <f>'Production Schedule'!Y7*10^6/Productivity!$D$35</f>
        <v>1.6992708547441471</v>
      </c>
      <c r="AB50" s="213">
        <f>'Production Schedule'!Z7*10^6/Productivity!$D$35</f>
        <v>1.2744536495649321</v>
      </c>
      <c r="AC50" s="213">
        <f>'Production Schedule'!AA7*10^6/Productivity!$D$35</f>
        <v>0.37458573899117137</v>
      </c>
    </row>
    <row r="51" spans="2:29">
      <c r="C51" s="94" t="s">
        <v>955</v>
      </c>
      <c r="D51" s="141" t="s">
        <v>896</v>
      </c>
      <c r="E51" s="212">
        <f>MAX(G51:AQ51)</f>
        <v>3</v>
      </c>
      <c r="G51" s="213">
        <f>ROUNDUP(G50,0)</f>
        <v>0</v>
      </c>
      <c r="H51" s="213">
        <f t="shared" ref="H51:AC51" si="71">ROUNDUP(H50,0)</f>
        <v>0</v>
      </c>
      <c r="I51" s="213">
        <f t="shared" si="71"/>
        <v>0</v>
      </c>
      <c r="J51" s="213">
        <f t="shared" si="71"/>
        <v>0</v>
      </c>
      <c r="K51" s="213">
        <f t="shared" si="71"/>
        <v>0</v>
      </c>
      <c r="L51" s="213">
        <f t="shared" si="71"/>
        <v>0</v>
      </c>
      <c r="M51" s="213">
        <f t="shared" si="71"/>
        <v>2</v>
      </c>
      <c r="N51" s="213">
        <f t="shared" si="71"/>
        <v>3</v>
      </c>
      <c r="O51" s="213">
        <f t="shared" si="71"/>
        <v>3</v>
      </c>
      <c r="P51" s="213">
        <f t="shared" si="71"/>
        <v>3</v>
      </c>
      <c r="Q51" s="213">
        <f t="shared" si="71"/>
        <v>3</v>
      </c>
      <c r="R51" s="213">
        <f t="shared" si="71"/>
        <v>3</v>
      </c>
      <c r="S51" s="213">
        <f t="shared" si="71"/>
        <v>3</v>
      </c>
      <c r="T51" s="213">
        <f t="shared" si="71"/>
        <v>3</v>
      </c>
      <c r="U51" s="213">
        <f t="shared" si="71"/>
        <v>3</v>
      </c>
      <c r="V51" s="213">
        <f t="shared" si="71"/>
        <v>3</v>
      </c>
      <c r="W51" s="213">
        <f t="shared" si="71"/>
        <v>3</v>
      </c>
      <c r="X51" s="213">
        <f t="shared" si="71"/>
        <v>3</v>
      </c>
      <c r="Y51" s="213">
        <f t="shared" si="71"/>
        <v>3</v>
      </c>
      <c r="Z51" s="213">
        <f t="shared" si="71"/>
        <v>3</v>
      </c>
      <c r="AA51" s="213">
        <f t="shared" si="71"/>
        <v>2</v>
      </c>
      <c r="AB51" s="213">
        <f t="shared" si="71"/>
        <v>2</v>
      </c>
      <c r="AC51" s="213">
        <f t="shared" si="71"/>
        <v>1</v>
      </c>
    </row>
    <row r="53" spans="2:29">
      <c r="C53" s="162" t="s">
        <v>956</v>
      </c>
    </row>
    <row r="54" spans="2:29">
      <c r="B54" s="142" t="s">
        <v>957</v>
      </c>
      <c r="C54" s="1320" t="s">
        <v>873</v>
      </c>
    </row>
    <row r="55" spans="2:29">
      <c r="C55" s="94" t="s">
        <v>944</v>
      </c>
      <c r="D55" s="141" t="s">
        <v>118</v>
      </c>
      <c r="E55" s="212">
        <f t="shared" ref="E55" si="72">SUM(G55:AQ55)</f>
        <v>108.57485284011628</v>
      </c>
      <c r="G55" s="213">
        <f>'Production Schedule'!E7/Assumptions_Dashboard!$D$32</f>
        <v>0</v>
      </c>
      <c r="H55" s="213">
        <f>'Production Schedule'!F7/Assumptions_Dashboard!$D$32</f>
        <v>0</v>
      </c>
      <c r="I55" s="213">
        <f>'Production Schedule'!G7/Assumptions_Dashboard!$D$32</f>
        <v>0</v>
      </c>
      <c r="J55" s="213">
        <f>'Production Schedule'!H7/Assumptions_Dashboard!$D$32</f>
        <v>0</v>
      </c>
      <c r="K55" s="213">
        <f>'Production Schedule'!I7/Assumptions_Dashboard!$D$32</f>
        <v>0</v>
      </c>
      <c r="L55" s="213">
        <f>'Production Schedule'!J7/Assumptions_Dashboard!$D$32</f>
        <v>0</v>
      </c>
      <c r="M55" s="213">
        <f>'Production Schedule'!K7/Assumptions_Dashboard!$D$32</f>
        <v>3.9534887328488377</v>
      </c>
      <c r="N55" s="213">
        <f>'Production Schedule'!L7/Assumptions_Dashboard!$D$32</f>
        <v>5.9302318316860463</v>
      </c>
      <c r="O55" s="213">
        <f>'Production Schedule'!M7/Assumptions_Dashboard!$D$32</f>
        <v>7.4127883107558139</v>
      </c>
      <c r="P55" s="213">
        <f>'Production Schedule'!N7/Assumptions_Dashboard!$D$32</f>
        <v>7.4127942261627915</v>
      </c>
      <c r="Q55" s="213">
        <f>'Production Schedule'!O7/Assumptions_Dashboard!$D$32</f>
        <v>7.4127900008720937</v>
      </c>
      <c r="R55" s="213">
        <f>'Production Schedule'!P7/Assumptions_Dashboard!$D$32</f>
        <v>7.4127891558139529</v>
      </c>
      <c r="S55" s="213">
        <f>'Production Schedule'!Q7/Assumptions_Dashboard!$D$32</f>
        <v>7.4127925360465108</v>
      </c>
      <c r="T55" s="213">
        <f>'Production Schedule'!R7/Assumptions_Dashboard!$D$32</f>
        <v>7.4127883107558139</v>
      </c>
      <c r="U55" s="213">
        <f>'Production Schedule'!S7/Assumptions_Dashboard!$D$32</f>
        <v>7.4127891558139529</v>
      </c>
      <c r="V55" s="213">
        <f>'Production Schedule'!T7/Assumptions_Dashboard!$D$32</f>
        <v>7.4127916909883718</v>
      </c>
      <c r="W55" s="213">
        <f>'Production Schedule'!U7/Assumptions_Dashboard!$D$32</f>
        <v>7.4127984514534884</v>
      </c>
      <c r="X55" s="213">
        <f>'Production Schedule'!V7/Assumptions_Dashboard!$D$32</f>
        <v>7.4127916909883718</v>
      </c>
      <c r="Y55" s="213">
        <f>'Production Schedule'!W7/Assumptions_Dashboard!$D$32</f>
        <v>7.4127916909883718</v>
      </c>
      <c r="Z55" s="213">
        <f>'Production Schedule'!X7/Assumptions_Dashboard!$D$32</f>
        <v>7.4127908459302319</v>
      </c>
      <c r="AA55" s="213">
        <f>'Production Schedule'!Y7/Assumptions_Dashboard!$D$32</f>
        <v>4.9418602822674425</v>
      </c>
      <c r="AB55" s="213">
        <f>'Production Schedule'!Z7/Assumptions_Dashboard!$D$32</f>
        <v>3.7063966905523258</v>
      </c>
      <c r="AC55" s="213">
        <f>'Production Schedule'!AA7/Assumptions_Dashboard!$D$32</f>
        <v>1.0893792361918604</v>
      </c>
    </row>
    <row r="56" spans="2:29">
      <c r="C56" s="94" t="s">
        <v>958</v>
      </c>
      <c r="D56" s="141" t="s">
        <v>896</v>
      </c>
      <c r="E56" s="212">
        <f>MAX(G56:AQ56)</f>
        <v>3.4672659770414533</v>
      </c>
      <c r="G56" s="213">
        <f>G55/Productivity!$K$49*10^6</f>
        <v>0</v>
      </c>
      <c r="H56" s="213">
        <f>H55/Productivity!$K$49*10^6</f>
        <v>0</v>
      </c>
      <c r="I56" s="213">
        <f>I55/Productivity!$K$49*10^6</f>
        <v>0</v>
      </c>
      <c r="J56" s="213">
        <f>J55/Productivity!$K$49*10^6</f>
        <v>0</v>
      </c>
      <c r="K56" s="213">
        <f>K55/Productivity!$K$49*10^6</f>
        <v>0</v>
      </c>
      <c r="L56" s="213">
        <f>L55/Productivity!$K$49*10^6</f>
        <v>0</v>
      </c>
      <c r="M56" s="213">
        <f>M55/Productivity!$K$49*10^6</f>
        <v>1.8492067555587866</v>
      </c>
      <c r="N56" s="213">
        <f>N55/Productivity!$K$49*10^6</f>
        <v>2.7738095404363174</v>
      </c>
      <c r="O56" s="213">
        <f>O55/Productivity!$K$49*10^6</f>
        <v>3.4672612338265583</v>
      </c>
      <c r="P56" s="213">
        <f>P55/Productivity!$K$49*10^6</f>
        <v>3.4672640007019142</v>
      </c>
      <c r="Q56" s="213">
        <f>Q55/Productivity!$K$49*10^6</f>
        <v>3.4672620243623742</v>
      </c>
      <c r="R56" s="213">
        <f>R55/Productivity!$K$49*10^6</f>
        <v>3.467261629094466</v>
      </c>
      <c r="S56" s="213">
        <f>S55/Productivity!$K$49*10^6</f>
        <v>3.4672632101660978</v>
      </c>
      <c r="T56" s="213">
        <f>T55/Productivity!$K$49*10^6</f>
        <v>3.4672612338265583</v>
      </c>
      <c r="U56" s="213">
        <f>U55/Productivity!$K$49*10^6</f>
        <v>3.467261629094466</v>
      </c>
      <c r="V56" s="213">
        <f>V55/Productivity!$K$49*10^6</f>
        <v>3.4672628148981897</v>
      </c>
      <c r="W56" s="213">
        <f>W55/Productivity!$K$49*10^6</f>
        <v>3.4672659770414533</v>
      </c>
      <c r="X56" s="213">
        <f>X55/Productivity!$K$49*10^6</f>
        <v>3.4672628148981897</v>
      </c>
      <c r="Y56" s="213">
        <f>Y55/Productivity!$K$49*10^6</f>
        <v>3.4672628148981897</v>
      </c>
      <c r="Z56" s="213">
        <f>Z55/Productivity!$K$49*10^6</f>
        <v>3.4672624196302819</v>
      </c>
      <c r="AA56" s="213">
        <f>AA55/Productivity!$K$49*10^6</f>
        <v>2.3115081479975523</v>
      </c>
      <c r="AB56" s="213">
        <f>AB55/Productivity!$K$49*10^6</f>
        <v>1.733631802717003</v>
      </c>
      <c r="AC56" s="213">
        <f>AC55/Productivity!$K$49*10^6</f>
        <v>0.50954677730416675</v>
      </c>
    </row>
    <row r="57" spans="2:29">
      <c r="C57" s="94" t="s">
        <v>959</v>
      </c>
      <c r="D57" s="141" t="s">
        <v>896</v>
      </c>
      <c r="E57" s="212">
        <f>MAX(G57:AQ57)</f>
        <v>4</v>
      </c>
      <c r="G57" s="213">
        <f>ROUNDUP(G56,0)</f>
        <v>0</v>
      </c>
      <c r="H57" s="213">
        <f t="shared" ref="H57:AC57" si="73">ROUNDUP(H56,0)</f>
        <v>0</v>
      </c>
      <c r="I57" s="213">
        <f t="shared" si="73"/>
        <v>0</v>
      </c>
      <c r="J57" s="213">
        <f t="shared" si="73"/>
        <v>0</v>
      </c>
      <c r="K57" s="213">
        <f t="shared" si="73"/>
        <v>0</v>
      </c>
      <c r="L57" s="213">
        <f t="shared" si="73"/>
        <v>0</v>
      </c>
      <c r="M57" s="213">
        <f t="shared" si="73"/>
        <v>2</v>
      </c>
      <c r="N57" s="213">
        <f>ROUNDUP(N56,0)</f>
        <v>3</v>
      </c>
      <c r="O57" s="213">
        <f t="shared" si="73"/>
        <v>4</v>
      </c>
      <c r="P57" s="213">
        <f t="shared" si="73"/>
        <v>4</v>
      </c>
      <c r="Q57" s="213">
        <f t="shared" si="73"/>
        <v>4</v>
      </c>
      <c r="R57" s="213">
        <f t="shared" si="73"/>
        <v>4</v>
      </c>
      <c r="S57" s="213">
        <f t="shared" si="73"/>
        <v>4</v>
      </c>
      <c r="T57" s="213">
        <f t="shared" si="73"/>
        <v>4</v>
      </c>
      <c r="U57" s="213">
        <f t="shared" si="73"/>
        <v>4</v>
      </c>
      <c r="V57" s="213">
        <f t="shared" si="73"/>
        <v>4</v>
      </c>
      <c r="W57" s="213">
        <f t="shared" si="73"/>
        <v>4</v>
      </c>
      <c r="X57" s="213">
        <f t="shared" si="73"/>
        <v>4</v>
      </c>
      <c r="Y57" s="213">
        <f t="shared" si="73"/>
        <v>4</v>
      </c>
      <c r="Z57" s="213">
        <f t="shared" si="73"/>
        <v>4</v>
      </c>
      <c r="AA57" s="213">
        <f t="shared" si="73"/>
        <v>3</v>
      </c>
      <c r="AB57" s="213">
        <f t="shared" si="73"/>
        <v>2</v>
      </c>
      <c r="AC57" s="213">
        <f t="shared" si="73"/>
        <v>1</v>
      </c>
    </row>
    <row r="59" spans="2:29">
      <c r="B59" s="142" t="s">
        <v>734</v>
      </c>
      <c r="C59" s="1320" t="s">
        <v>888</v>
      </c>
    </row>
    <row r="60" spans="2:29">
      <c r="C60" s="94" t="s">
        <v>944</v>
      </c>
      <c r="D60" s="141" t="s">
        <v>118</v>
      </c>
      <c r="E60" s="212">
        <f>SUM(G60:AQ60)</f>
        <v>3.8146363999121147</v>
      </c>
      <c r="G60" s="213">
        <f>'Production Schedule'!I12/Assumptions_Dashboard!$D$32</f>
        <v>3.3802051024202272E-2</v>
      </c>
      <c r="H60" s="213">
        <f>'Production Schedule'!J12/Assumptions_Dashboard!$D$32</f>
        <v>6.7604087598025969E-2</v>
      </c>
      <c r="I60" s="213">
        <f>'Production Schedule'!K12/Assumptions_Dashboard!$D$32</f>
        <v>0.13520823299756626</v>
      </c>
      <c r="J60" s="213">
        <f>'Production Schedule'!L12/Assumptions_Dashboard!$D$32</f>
        <v>0.20281230614521362</v>
      </c>
      <c r="K60" s="213">
        <f>'Production Schedule'!M12/Assumptions_Dashboard!$D$32</f>
        <v>0.253515332105192</v>
      </c>
      <c r="L60" s="213">
        <f>'Production Schedule'!N12/Assumptions_Dashboard!$D$32</f>
        <v>0.25351553441049218</v>
      </c>
      <c r="M60" s="213">
        <f>'Production Schedule'!O12/Assumptions_Dashboard!$D$32</f>
        <v>0.25351538990670636</v>
      </c>
      <c r="N60" s="213">
        <f>'Production Schedule'!P12/Assumptions_Dashboard!$D$32</f>
        <v>0.25351536100594918</v>
      </c>
      <c r="O60" s="213">
        <f>'Production Schedule'!Q12/Assumptions_Dashboard!$D$32</f>
        <v>0.25351547660897777</v>
      </c>
      <c r="P60" s="213">
        <f>'Production Schedule'!R12/Assumptions_Dashboard!$D$32</f>
        <v>0.253515332105192</v>
      </c>
      <c r="Q60" s="213">
        <f>'Production Schedule'!S12/Assumptions_Dashboard!$D$32</f>
        <v>0.25351536100594918</v>
      </c>
      <c r="R60" s="213">
        <f>'Production Schedule'!T12/Assumptions_Dashboard!$D$32</f>
        <v>0.25351544770822065</v>
      </c>
      <c r="S60" s="213">
        <f>'Production Schedule'!U12/Assumptions_Dashboard!$D$32</f>
        <v>0.25351567891427801</v>
      </c>
      <c r="T60" s="213">
        <f>'Production Schedule'!V12/Assumptions_Dashboard!$D$32</f>
        <v>0.25351544770822065</v>
      </c>
      <c r="U60" s="213">
        <f>'Production Schedule'!W12/Assumptions_Dashboard!$D$32</f>
        <v>0.25351544770822065</v>
      </c>
      <c r="V60" s="213">
        <f>'Production Schedule'!X12/Assumptions_Dashboard!$D$32</f>
        <v>0.25351541880746348</v>
      </c>
      <c r="W60" s="213">
        <f>'Production Schedule'!Y12/Assumptions_Dashboard!$D$32</f>
        <v>0.16901026957138995</v>
      </c>
      <c r="X60" s="213">
        <f>'Production Schedule'!Z12/Assumptions_Dashboard!$D$32</f>
        <v>0.1267577527548675</v>
      </c>
      <c r="Y60" s="213">
        <f>'Production Schedule'!AA12/Assumptions_Dashboard!$D$32</f>
        <v>3.7256471825987014E-2</v>
      </c>
      <c r="Z60" s="213">
        <f>'Production Schedule'!AB12/Assumptions_Dashboard!$D$32</f>
        <v>0</v>
      </c>
      <c r="AA60" s="213">
        <f>'Production Schedule'!AC12/Assumptions_Dashboard!$D$32</f>
        <v>0</v>
      </c>
      <c r="AB60" s="213">
        <f>'Production Schedule'!AD12/Assumptions_Dashboard!$D$32</f>
        <v>0</v>
      </c>
      <c r="AC60" s="213">
        <f>'Production Schedule'!AE12/Assumptions_Dashboard!$D$32</f>
        <v>0</v>
      </c>
    </row>
    <row r="61" spans="2:29">
      <c r="C61" s="94" t="s">
        <v>958</v>
      </c>
      <c r="D61" s="141" t="s">
        <v>896</v>
      </c>
      <c r="E61" s="212">
        <f>MAX(G61:AQ61)</f>
        <v>0.66250713829076202</v>
      </c>
      <c r="G61" s="213">
        <f>G60*10^6/Productivity!$L$49</f>
        <v>8.8334181886930749E-2</v>
      </c>
      <c r="H61" s="213">
        <f>H60*10^6/Productivity!$L$49</f>
        <v>0.17666832601099414</v>
      </c>
      <c r="I61" s="213">
        <f>I60*10^6/Productivity!$L$49</f>
        <v>0.35333680307345777</v>
      </c>
      <c r="J61" s="213">
        <f>J60*10^6/Productivity!$L$49</f>
        <v>0.53000509132158435</v>
      </c>
      <c r="K61" s="213">
        <f>K60*10^6/Productivity!$L$49</f>
        <v>0.6625062319819448</v>
      </c>
      <c r="L61" s="213">
        <f>L60*10^6/Productivity!$L$49</f>
        <v>0.66250676066208825</v>
      </c>
      <c r="M61" s="213">
        <f>M60*10^6/Productivity!$L$49</f>
        <v>0.66250638303341436</v>
      </c>
      <c r="N61" s="213">
        <f>N60*10^6/Productivity!$L$49</f>
        <v>0.66250630750767958</v>
      </c>
      <c r="O61" s="213">
        <f>O60*10^6/Productivity!$L$49</f>
        <v>0.66250660961061847</v>
      </c>
      <c r="P61" s="213">
        <f>P60*10^6/Productivity!$L$49</f>
        <v>0.6625062319819448</v>
      </c>
      <c r="Q61" s="213">
        <f>Q60*10^6/Productivity!$L$49</f>
        <v>0.66250630750767958</v>
      </c>
      <c r="R61" s="213">
        <f>R60*10^6/Productivity!$L$49</f>
        <v>0.6625065340848838</v>
      </c>
      <c r="S61" s="213">
        <f>S60*10^6/Productivity!$L$49</f>
        <v>0.66250713829076202</v>
      </c>
      <c r="T61" s="213">
        <f>T60*10^6/Productivity!$L$49</f>
        <v>0.6625065340848838</v>
      </c>
      <c r="U61" s="213">
        <f>U60*10^6/Productivity!$L$49</f>
        <v>0.6625065340848838</v>
      </c>
      <c r="V61" s="213">
        <f>V60*10^6/Productivity!$L$49</f>
        <v>0.66250645855914903</v>
      </c>
      <c r="W61" s="213">
        <f>W60*10^6/Productivity!$L$49</f>
        <v>0.44167094719752109</v>
      </c>
      <c r="X61" s="213">
        <f>X60*10^6/Productivity!$L$49</f>
        <v>0.33125334256817668</v>
      </c>
      <c r="Y61" s="213">
        <f>Y60*10^6/Productivity!$L$49</f>
        <v>9.7361546386214165E-2</v>
      </c>
      <c r="Z61" s="213">
        <f>Z60*10^6/Productivity!$L$49</f>
        <v>0</v>
      </c>
      <c r="AA61" s="213">
        <f>AA60*10^6/Productivity!$L$49</f>
        <v>0</v>
      </c>
      <c r="AB61" s="213">
        <f>AB60*10^6/Productivity!$L$49</f>
        <v>0</v>
      </c>
      <c r="AC61" s="213">
        <f>AC60*10^6/Productivity!$L$49</f>
        <v>0</v>
      </c>
    </row>
    <row r="62" spans="2:29">
      <c r="C62" s="94" t="s">
        <v>959</v>
      </c>
      <c r="D62" s="141" t="s">
        <v>896</v>
      </c>
      <c r="E62" s="212">
        <f>MAX(G62:AQ62)</f>
        <v>1</v>
      </c>
      <c r="G62" s="213">
        <f>ROUNDUP(G61,0)</f>
        <v>1</v>
      </c>
      <c r="H62" s="213">
        <f t="shared" ref="H62:AC62" si="74">ROUNDUP(H61,0)</f>
        <v>1</v>
      </c>
      <c r="I62" s="213">
        <f t="shared" si="74"/>
        <v>1</v>
      </c>
      <c r="J62" s="213">
        <f t="shared" si="74"/>
        <v>1</v>
      </c>
      <c r="K62" s="213">
        <f t="shared" si="74"/>
        <v>1</v>
      </c>
      <c r="L62" s="213">
        <f t="shared" si="74"/>
        <v>1</v>
      </c>
      <c r="M62" s="213">
        <f t="shared" si="74"/>
        <v>1</v>
      </c>
      <c r="N62" s="213">
        <f t="shared" si="74"/>
        <v>1</v>
      </c>
      <c r="O62" s="213">
        <f t="shared" si="74"/>
        <v>1</v>
      </c>
      <c r="P62" s="213">
        <f t="shared" si="74"/>
        <v>1</v>
      </c>
      <c r="Q62" s="213">
        <f t="shared" si="74"/>
        <v>1</v>
      </c>
      <c r="R62" s="213">
        <f t="shared" si="74"/>
        <v>1</v>
      </c>
      <c r="S62" s="213">
        <f t="shared" si="74"/>
        <v>1</v>
      </c>
      <c r="T62" s="213">
        <f t="shared" si="74"/>
        <v>1</v>
      </c>
      <c r="U62" s="213">
        <f t="shared" si="74"/>
        <v>1</v>
      </c>
      <c r="V62" s="213">
        <f t="shared" si="74"/>
        <v>1</v>
      </c>
      <c r="W62" s="213">
        <f t="shared" si="74"/>
        <v>1</v>
      </c>
      <c r="X62" s="213">
        <f t="shared" si="74"/>
        <v>1</v>
      </c>
      <c r="Y62" s="213">
        <f t="shared" si="74"/>
        <v>1</v>
      </c>
      <c r="Z62" s="213">
        <f t="shared" si="74"/>
        <v>0</v>
      </c>
      <c r="AA62" s="213">
        <f t="shared" si="74"/>
        <v>0</v>
      </c>
      <c r="AB62" s="213">
        <f t="shared" si="74"/>
        <v>0</v>
      </c>
      <c r="AC62" s="213">
        <f t="shared" si="74"/>
        <v>0</v>
      </c>
    </row>
    <row r="64" spans="2:29">
      <c r="C64" s="162" t="s">
        <v>960</v>
      </c>
    </row>
    <row r="65" spans="1:44">
      <c r="B65" s="142" t="s">
        <v>961</v>
      </c>
      <c r="C65" s="1320" t="s">
        <v>918</v>
      </c>
    </row>
    <row r="66" spans="1:44">
      <c r="C66" s="94" t="s">
        <v>935</v>
      </c>
      <c r="D66" t="s">
        <v>118</v>
      </c>
      <c r="E66" s="212">
        <f t="shared" ref="E66" si="75">SUM(G66:AQ66)</f>
        <v>0</v>
      </c>
      <c r="G66" s="213">
        <f>G25</f>
        <v>0</v>
      </c>
      <c r="H66" s="213">
        <f t="shared" ref="H66:AC66" si="76">H25</f>
        <v>0</v>
      </c>
      <c r="I66" s="213">
        <f t="shared" si="76"/>
        <v>0</v>
      </c>
      <c r="J66" s="213">
        <f t="shared" si="76"/>
        <v>0</v>
      </c>
      <c r="K66" s="213">
        <f t="shared" si="76"/>
        <v>0</v>
      </c>
      <c r="L66" s="213">
        <f t="shared" si="76"/>
        <v>0</v>
      </c>
      <c r="M66" s="213">
        <f t="shared" si="76"/>
        <v>0</v>
      </c>
      <c r="N66" s="213">
        <f t="shared" si="76"/>
        <v>0</v>
      </c>
      <c r="O66" s="213">
        <f t="shared" si="76"/>
        <v>0</v>
      </c>
      <c r="P66" s="213">
        <f t="shared" si="76"/>
        <v>0</v>
      </c>
      <c r="Q66" s="213">
        <f t="shared" si="76"/>
        <v>0</v>
      </c>
      <c r="R66" s="213">
        <f t="shared" si="76"/>
        <v>0</v>
      </c>
      <c r="S66" s="213">
        <f t="shared" si="76"/>
        <v>0</v>
      </c>
      <c r="T66" s="213">
        <f t="shared" si="76"/>
        <v>0</v>
      </c>
      <c r="U66" s="213">
        <f t="shared" si="76"/>
        <v>0</v>
      </c>
      <c r="V66" s="213">
        <f t="shared" si="76"/>
        <v>0</v>
      </c>
      <c r="W66" s="213">
        <f t="shared" si="76"/>
        <v>0</v>
      </c>
      <c r="X66" s="213">
        <f t="shared" si="76"/>
        <v>0</v>
      </c>
      <c r="Y66" s="213">
        <f t="shared" si="76"/>
        <v>0</v>
      </c>
      <c r="Z66" s="213">
        <f t="shared" si="76"/>
        <v>0</v>
      </c>
      <c r="AA66" s="213">
        <f t="shared" si="76"/>
        <v>0</v>
      </c>
      <c r="AB66" s="213">
        <f t="shared" si="76"/>
        <v>0</v>
      </c>
      <c r="AC66" s="213">
        <f t="shared" si="76"/>
        <v>0</v>
      </c>
      <c r="AD66" s="213"/>
      <c r="AE66" s="213"/>
      <c r="AF66" s="213"/>
      <c r="AG66" s="213"/>
      <c r="AH66" s="213"/>
      <c r="AI66" s="213"/>
      <c r="AJ66" s="213"/>
      <c r="AK66" s="213"/>
      <c r="AL66" s="213"/>
      <c r="AM66" s="213"/>
      <c r="AN66" s="213"/>
      <c r="AO66" s="213"/>
      <c r="AP66" s="213"/>
      <c r="AQ66" s="213"/>
    </row>
    <row r="67" spans="1:44">
      <c r="C67" s="94" t="s">
        <v>962</v>
      </c>
      <c r="D67" s="141" t="s">
        <v>896</v>
      </c>
      <c r="E67" s="212">
        <f>MAX(G67:AQ67)</f>
        <v>0</v>
      </c>
      <c r="G67" s="213">
        <f>IFERROR(G66*10^6/Productivity!D88,0)</f>
        <v>0</v>
      </c>
      <c r="H67" s="213">
        <f>IFERROR(H66*10^6/Productivity!E88,0)</f>
        <v>0</v>
      </c>
      <c r="I67" s="213">
        <f>IFERROR(I66*10^6/Productivity!F88,0)</f>
        <v>0</v>
      </c>
      <c r="J67" s="213">
        <f>IFERROR(J66*10^6/Productivity!G88,0)</f>
        <v>0</v>
      </c>
      <c r="K67" s="213">
        <f>IFERROR(K66*10^6/Productivity!H88,0)</f>
        <v>0</v>
      </c>
      <c r="L67" s="213">
        <f>IFERROR(L66*10^6/Productivity!I88,0)</f>
        <v>0</v>
      </c>
      <c r="M67" s="213">
        <f>IFERROR(M66*10^6/Productivity!J88,0)</f>
        <v>0</v>
      </c>
      <c r="N67" s="213">
        <f>IFERROR(N66*10^6/Productivity!K88,0)</f>
        <v>0</v>
      </c>
      <c r="O67" s="213">
        <f>IFERROR(O66*10^6/Productivity!L88,0)</f>
        <v>0</v>
      </c>
      <c r="P67" s="213">
        <f>IFERROR(P66*10^6/Productivity!M88,0)</f>
        <v>0</v>
      </c>
      <c r="Q67" s="213">
        <f>IFERROR(Q66*10^6/Productivity!N88,0)</f>
        <v>0</v>
      </c>
      <c r="R67" s="213">
        <f>IFERROR(R66*10^6/Productivity!O88,0)</f>
        <v>0</v>
      </c>
      <c r="S67" s="213">
        <f>IFERROR(S66*10^6/Productivity!P88,0)</f>
        <v>0</v>
      </c>
      <c r="T67" s="213">
        <f>IFERROR(T66*10^6/Productivity!Q88,0)</f>
        <v>0</v>
      </c>
      <c r="U67" s="213">
        <f>IFERROR(U66*10^6/Productivity!R88,0)</f>
        <v>0</v>
      </c>
      <c r="V67" s="213">
        <f>IFERROR(V66*10^6/Productivity!S88,0)</f>
        <v>0</v>
      </c>
      <c r="W67" s="213">
        <f>IFERROR(W66*10^6/Productivity!T88,0)</f>
        <v>0</v>
      </c>
      <c r="X67" s="213">
        <f>IFERROR(X66*10^6/Productivity!U88,0)</f>
        <v>0</v>
      </c>
      <c r="Y67" s="213">
        <f>IFERROR(Y66*10^6/Productivity!V88,0)</f>
        <v>0</v>
      </c>
      <c r="Z67" s="213">
        <f>IFERROR(Z66*10^6/Productivity!W88,0)</f>
        <v>0</v>
      </c>
      <c r="AA67" s="213">
        <f>IFERROR(AA66*10^6/Productivity!X88,0)</f>
        <v>0</v>
      </c>
      <c r="AB67" s="213">
        <f>IFERROR(AB66*10^6/Productivity!Y88,0)</f>
        <v>0</v>
      </c>
      <c r="AC67" s="213">
        <f>IFERROR(AC66*10^6/Productivity!Z88,0)</f>
        <v>0</v>
      </c>
      <c r="AD67" s="213"/>
      <c r="AE67" s="213"/>
      <c r="AF67" s="213"/>
      <c r="AG67" s="213"/>
      <c r="AH67" s="213"/>
      <c r="AI67" s="213"/>
      <c r="AJ67" s="213"/>
      <c r="AK67" s="213"/>
      <c r="AL67" s="213"/>
      <c r="AM67" s="213"/>
      <c r="AN67" s="213"/>
      <c r="AO67" s="213"/>
      <c r="AP67" s="213"/>
      <c r="AQ67" s="213"/>
    </row>
    <row r="68" spans="1:44">
      <c r="C68" s="94" t="s">
        <v>963</v>
      </c>
      <c r="D68" s="141" t="s">
        <v>896</v>
      </c>
      <c r="E68" s="212">
        <f>MAX(G68:AQ68)</f>
        <v>0</v>
      </c>
      <c r="G68" s="213">
        <f>ROUNDUP(G67*(1+Assumptions_Dashboard!$D$113),0)</f>
        <v>0</v>
      </c>
      <c r="H68" s="213">
        <f>ROUNDUP(H67*(1+Assumptions_Dashboard!$D$113),0)</f>
        <v>0</v>
      </c>
      <c r="I68" s="213">
        <f>ROUNDUP(I67*(1+Assumptions_Dashboard!$D$113),0)</f>
        <v>0</v>
      </c>
      <c r="J68" s="213">
        <f>ROUNDUP(J67*(1+Assumptions_Dashboard!$D$113),0)</f>
        <v>0</v>
      </c>
      <c r="K68" s="213">
        <f>ROUNDUP(K67*(1+Assumptions_Dashboard!$D$113),0)</f>
        <v>0</v>
      </c>
      <c r="L68" s="213">
        <f>ROUNDUP(L67*(1+Assumptions_Dashboard!$D$113),0)</f>
        <v>0</v>
      </c>
      <c r="M68" s="213">
        <f>ROUNDUP(M67*(1+Assumptions_Dashboard!$D$113),0)</f>
        <v>0</v>
      </c>
      <c r="N68" s="213">
        <f>ROUNDUP(N67*(1+Assumptions_Dashboard!$D$113),0)</f>
        <v>0</v>
      </c>
      <c r="O68" s="213">
        <f>ROUNDUP(O67*(1+Assumptions_Dashboard!$D$113),0)</f>
        <v>0</v>
      </c>
      <c r="P68" s="213">
        <f>ROUNDUP(P67*(1+Assumptions_Dashboard!$D$113),0)</f>
        <v>0</v>
      </c>
      <c r="Q68" s="213">
        <f>ROUNDUP(Q67*(1+Assumptions_Dashboard!$D$113),0)</f>
        <v>0</v>
      </c>
      <c r="R68" s="213">
        <f>ROUNDUP(R67*(1+Assumptions_Dashboard!$D$113),0)</f>
        <v>0</v>
      </c>
      <c r="S68" s="213">
        <f>ROUNDUP(S67*(1+Assumptions_Dashboard!$D$113),0)</f>
        <v>0</v>
      </c>
      <c r="T68" s="213">
        <f>ROUNDUP(T67*(1+Assumptions_Dashboard!$D$113),0)</f>
        <v>0</v>
      </c>
      <c r="U68" s="213">
        <f>ROUNDUP(U67*(1+Assumptions_Dashboard!$D$113),0)</f>
        <v>0</v>
      </c>
      <c r="V68" s="213">
        <f>ROUNDUP(V67*(1+Assumptions_Dashboard!$D$113),0)</f>
        <v>0</v>
      </c>
      <c r="W68" s="213">
        <f>ROUNDUP(W67*(1+Assumptions_Dashboard!$D$113),0)</f>
        <v>0</v>
      </c>
      <c r="X68" s="213">
        <f>ROUNDUP(X67*(1+Assumptions_Dashboard!$D$113),0)</f>
        <v>0</v>
      </c>
      <c r="Y68" s="213">
        <f>ROUNDUP(Y67*(1+Assumptions_Dashboard!$D$113),0)</f>
        <v>0</v>
      </c>
      <c r="Z68" s="213">
        <f>ROUNDUP(Z67*(1+Assumptions_Dashboard!$D$113),0)</f>
        <v>0</v>
      </c>
      <c r="AA68" s="213">
        <f>ROUNDUP(AA67*(1+Assumptions_Dashboard!$D$113),0)</f>
        <v>0</v>
      </c>
      <c r="AB68" s="213">
        <f>ROUNDUP(AB67*(1+Assumptions_Dashboard!$D$113),0)</f>
        <v>0</v>
      </c>
      <c r="AC68" s="213">
        <f>ROUNDUP(AC67*(1+Assumptions_Dashboard!$D$113),0)</f>
        <v>0</v>
      </c>
      <c r="AD68" s="213"/>
      <c r="AE68" s="213"/>
      <c r="AF68" s="213"/>
      <c r="AG68" s="213"/>
      <c r="AH68" s="213"/>
      <c r="AI68" s="213"/>
      <c r="AJ68" s="213"/>
      <c r="AK68" s="213"/>
      <c r="AL68" s="213"/>
      <c r="AM68" s="213"/>
      <c r="AN68" s="213"/>
      <c r="AO68" s="213"/>
      <c r="AP68" s="213"/>
      <c r="AQ68" s="213"/>
    </row>
    <row r="70" spans="1:44">
      <c r="A70" s="94" t="str">
        <f>$A$38</f>
        <v>No</v>
      </c>
      <c r="B70" s="142" t="s">
        <v>964</v>
      </c>
      <c r="C70" s="1320" t="s">
        <v>915</v>
      </c>
    </row>
    <row r="71" spans="1:44" ht="42">
      <c r="A71" s="215"/>
      <c r="B71" s="437" t="s">
        <v>965</v>
      </c>
      <c r="C71" s="94" t="s">
        <v>950</v>
      </c>
      <c r="D71" t="s">
        <v>118</v>
      </c>
      <c r="E71" s="212">
        <f t="shared" ref="E71" si="77">SUM(G71:AQ71)</f>
        <v>123.67616955881618</v>
      </c>
      <c r="G71" s="213">
        <f>IF($A$70="Yes",G6+'Production Schedule'!E13,G6)</f>
        <v>0</v>
      </c>
      <c r="H71" s="213">
        <f>IF($A$70="Yes",H6+'Production Schedule'!F13,H6)</f>
        <v>0</v>
      </c>
      <c r="I71" s="213">
        <f>IF($A$70="Yes",I6+'Production Schedule'!G13,I6)</f>
        <v>0</v>
      </c>
      <c r="J71" s="213">
        <f>IF($A$70="Yes",J6+'Production Schedule'!H13,J6)</f>
        <v>0</v>
      </c>
      <c r="K71" s="213">
        <f>IF($A$70="Yes",K6+'Production Schedule'!I13,K6)</f>
        <v>2.6486565634106145</v>
      </c>
      <c r="L71" s="213">
        <f>IF($A$70="Yes",L6+'Production Schedule'!J13,L6)</f>
        <v>2.1986161487983424</v>
      </c>
      <c r="M71" s="213">
        <f>IF($A$70="Yes",M6+'Production Schedule'!K13,M6)</f>
        <v>3.9825589586187848</v>
      </c>
      <c r="N71" s="213">
        <f>IF($A$70="Yes",N6+'Production Schedule'!L13,N6)</f>
        <v>8.5047723106499991</v>
      </c>
      <c r="O71" s="213">
        <f>IF($A$70="Yes",O6+'Production Schedule'!M13,O6)</f>
        <v>8.1821528031833335</v>
      </c>
      <c r="P71" s="213">
        <f>IF($A$70="Yes",P6+'Production Schedule'!N13,P6)</f>
        <v>10.964094214558658</v>
      </c>
      <c r="Q71" s="213">
        <f>IF($A$70="Yes",Q6+'Production Schedule'!O13,Q6)</f>
        <v>10.036364929616667</v>
      </c>
      <c r="R71" s="213">
        <f>IF($A$70="Yes",R6+'Production Schedule'!P13,R6)</f>
        <v>8.3939567404000002</v>
      </c>
      <c r="S71" s="213">
        <f>IF($A$70="Yes",S6+'Production Schedule'!Q13,S6)</f>
        <v>8.7468592852666678</v>
      </c>
      <c r="T71" s="213">
        <f>IF($A$70="Yes",T6+'Production Schedule'!R13,T6)</f>
        <v>7.8029370305865919</v>
      </c>
      <c r="U71" s="213">
        <f>IF($A$70="Yes",U6+'Production Schedule'!S13,U6)</f>
        <v>8.7903544220111733</v>
      </c>
      <c r="V71" s="213">
        <f>IF($A$70="Yes",V6+'Production Schedule'!T13,V6)</f>
        <v>6.695111076284916</v>
      </c>
      <c r="W71" s="213">
        <f>IF($A$70="Yes",W6+'Production Schedule'!U13,W6)</f>
        <v>5.8789223096815588</v>
      </c>
      <c r="X71" s="213">
        <f>IF($A$70="Yes",X6+'Production Schedule'!V13,X6)</f>
        <v>7.3031922422849149</v>
      </c>
      <c r="Y71" s="213">
        <f>IF($A$70="Yes",Y6+'Production Schedule'!W13,Y6)</f>
        <v>7.2800284847696632</v>
      </c>
      <c r="Z71" s="213">
        <f>IF($A$70="Yes",Z6+'Production Schedule'!X13,Z6)</f>
        <v>9.2684976991348318</v>
      </c>
      <c r="AA71" s="213">
        <f>IF($A$70="Yes",AA6+'Production Schedule'!Y13,AA6)</f>
        <v>5.7118434893728818</v>
      </c>
      <c r="AB71" s="213">
        <f>IF($A$70="Yes",AB6+'Production Schedule'!Z13,AB6)</f>
        <v>0.99238539290625005</v>
      </c>
      <c r="AC71" s="213">
        <f>IF($A$70="Yes",AC6+'Production Schedule'!AA13,AC6)</f>
        <v>0.29486545728034685</v>
      </c>
      <c r="AD71" s="213"/>
      <c r="AE71" s="213"/>
      <c r="AF71" s="213"/>
      <c r="AG71" s="213"/>
      <c r="AH71" s="213"/>
      <c r="AI71" s="213"/>
      <c r="AJ71" s="213"/>
      <c r="AK71" s="213"/>
      <c r="AL71" s="213"/>
      <c r="AM71" s="213"/>
      <c r="AN71" s="213"/>
      <c r="AO71" s="213"/>
      <c r="AP71" s="213"/>
      <c r="AQ71" s="213"/>
      <c r="AR71" s="213">
        <f>IF($A$70="Yes",AR6+'Production Schedule'!AP13,AR6)</f>
        <v>0</v>
      </c>
    </row>
    <row r="72" spans="1:44">
      <c r="C72" s="94" t="s">
        <v>962</v>
      </c>
      <c r="D72" s="141" t="s">
        <v>896</v>
      </c>
      <c r="E72" s="212">
        <f>MAX(G72:AQ72)</f>
        <v>22.537327311697879</v>
      </c>
      <c r="G72" s="213">
        <f>IFERROR(G71*10^6/Productivity!D82,0)</f>
        <v>0</v>
      </c>
      <c r="H72" s="213">
        <f>IFERROR(H71*10^6/Productivity!E82,0)</f>
        <v>0</v>
      </c>
      <c r="I72" s="213">
        <f>IFERROR(I71*10^6/Productivity!F82,0)</f>
        <v>0</v>
      </c>
      <c r="J72" s="213">
        <f>IFERROR(J71*10^6/Productivity!G82,0)</f>
        <v>0</v>
      </c>
      <c r="K72" s="213">
        <f>IFERROR(K71*10^6/Productivity!H82,0)</f>
        <v>0</v>
      </c>
      <c r="L72" s="213">
        <f>IFERROR(L71*10^6/Productivity!I82,0)</f>
        <v>0</v>
      </c>
      <c r="M72" s="213">
        <f>IFERROR(M71*10^6/Productivity!J82,0)</f>
        <v>0</v>
      </c>
      <c r="N72" s="213">
        <f>IFERROR(N71*10^6/Productivity!K82,0)</f>
        <v>12.986665308641971</v>
      </c>
      <c r="O72" s="213">
        <f>IFERROR(O71*10^6/Productivity!L82,0)</f>
        <v>13.809190996317954</v>
      </c>
      <c r="P72" s="213">
        <f>IFERROR(P71*10^6/Productivity!M82,0)</f>
        <v>22.537327311697879</v>
      </c>
      <c r="Q72" s="213">
        <f>IFERROR(Q71*10^6/Productivity!N82,0)</f>
        <v>21.745479092981871</v>
      </c>
      <c r="R72" s="213">
        <f>IFERROR(R71*10^6/Productivity!O82,0)</f>
        <v>19.226177283950612</v>
      </c>
      <c r="S72" s="213">
        <f>IFERROR(S71*10^6/Productivity!P82,0)</f>
        <v>20.931559818192984</v>
      </c>
      <c r="T72" s="213">
        <f>IFERROR(T71*10^6/Productivity!Q82,0)</f>
        <v>19.548002421503202</v>
      </c>
      <c r="U72" s="213">
        <f>IFERROR(U71*10^6/Productivity!R82,0)</f>
        <v>21.682895923856819</v>
      </c>
      <c r="V72" s="213">
        <f>IFERROR(V71*10^6/Productivity!S82,0)</f>
        <v>16.514623836126628</v>
      </c>
      <c r="W72" s="213">
        <f>IFERROR(W71*10^6/Productivity!T82,0)</f>
        <v>14.281638680410547</v>
      </c>
      <c r="X72" s="213">
        <f>IFERROR(X71*10^6/Productivity!U82,0)</f>
        <v>17.47681085262699</v>
      </c>
      <c r="Y72" s="213">
        <f>IFERROR(Y71*10^6/Productivity!V82,0)</f>
        <v>17.165182367016719</v>
      </c>
      <c r="Z72" s="213">
        <f>IFERROR(Z71*10^6/Productivity!W82,0)</f>
        <v>21.229294530646214</v>
      </c>
      <c r="AA72" s="213">
        <f>IFERROR(AA71*10^6/Productivity!X82,0)</f>
        <v>12.898589041257379</v>
      </c>
      <c r="AB72" s="213">
        <f>IFERROR(AB71*10^6/Productivity!Y82,0)</f>
        <v>2.1796248918984364</v>
      </c>
      <c r="AC72" s="213">
        <f>IFERROR(AC71*10^6/Productivity!Z82,0)</f>
        <v>0.62206327536084904</v>
      </c>
      <c r="AD72" s="213"/>
      <c r="AE72" s="213"/>
      <c r="AF72" s="213"/>
      <c r="AG72" s="213"/>
      <c r="AH72" s="213"/>
      <c r="AI72" s="213"/>
      <c r="AJ72" s="213"/>
      <c r="AK72" s="213"/>
      <c r="AL72" s="213"/>
      <c r="AM72" s="213"/>
      <c r="AN72" s="213"/>
      <c r="AO72" s="213"/>
      <c r="AP72" s="213"/>
      <c r="AQ72" s="213"/>
    </row>
    <row r="73" spans="1:44">
      <c r="C73" s="94" t="s">
        <v>963</v>
      </c>
      <c r="D73" s="141" t="s">
        <v>896</v>
      </c>
      <c r="E73" s="212">
        <f>MAX(G73:AQ73)</f>
        <v>23</v>
      </c>
      <c r="G73" s="213">
        <f>ROUNDUP(G72*(1+Assumptions_Dashboard!$D$113),0)</f>
        <v>0</v>
      </c>
      <c r="H73" s="213">
        <f>ROUNDUP(H72*(1+Assumptions_Dashboard!$D$113),0)</f>
        <v>0</v>
      </c>
      <c r="I73" s="213">
        <f>ROUNDUP(I72*(1+Assumptions_Dashboard!$D$113),0)</f>
        <v>0</v>
      </c>
      <c r="J73" s="213">
        <f>ROUNDUP(J72*(1+Assumptions_Dashboard!$D$113),0)</f>
        <v>0</v>
      </c>
      <c r="K73" s="213">
        <f>ROUNDUP(K72*(1+Assumptions_Dashboard!$D$113),0)</f>
        <v>0</v>
      </c>
      <c r="L73" s="213">
        <f>ROUNDUP(L72*(1+Assumptions_Dashboard!$D$113),0)</f>
        <v>0</v>
      </c>
      <c r="M73" s="213">
        <f>ROUNDUP(M72*(1+Assumptions_Dashboard!$D$113),0)</f>
        <v>0</v>
      </c>
      <c r="N73" s="213">
        <f>ROUNDUP(N72*(1+Assumptions_Dashboard!$D$113),0)</f>
        <v>13</v>
      </c>
      <c r="O73" s="213">
        <f>ROUNDUP(O72*(1+Assumptions_Dashboard!$D$113),0)</f>
        <v>14</v>
      </c>
      <c r="P73" s="213">
        <f>ROUNDUP(P72*(1+Assumptions_Dashboard!$D$113),0)</f>
        <v>23</v>
      </c>
      <c r="Q73" s="213">
        <f>ROUNDUP(Q72*(1+Assumptions_Dashboard!$D$113),0)</f>
        <v>22</v>
      </c>
      <c r="R73" s="213">
        <f>ROUNDUP(R72*(1+Assumptions_Dashboard!$D$113),0)</f>
        <v>20</v>
      </c>
      <c r="S73" s="213">
        <f>ROUNDUP(S72*(1+Assumptions_Dashboard!$D$113),0)</f>
        <v>21</v>
      </c>
      <c r="T73" s="213">
        <f>ROUNDUP(T72*(1+Assumptions_Dashboard!$D$113),0)</f>
        <v>20</v>
      </c>
      <c r="U73" s="213">
        <f>ROUNDUP(U72*(1+Assumptions_Dashboard!$D$113),0)</f>
        <v>22</v>
      </c>
      <c r="V73" s="213">
        <f>ROUNDUP(V72*(1+Assumptions_Dashboard!$D$113),0)</f>
        <v>17</v>
      </c>
      <c r="W73" s="213">
        <f>ROUNDUP(W72*(1+Assumptions_Dashboard!$D$113),0)</f>
        <v>15</v>
      </c>
      <c r="X73" s="213">
        <f>ROUNDUP(X72*(1+Assumptions_Dashboard!$D$113),0)</f>
        <v>18</v>
      </c>
      <c r="Y73" s="213">
        <f>ROUNDUP(Y72*(1+Assumptions_Dashboard!$D$113),0)</f>
        <v>18</v>
      </c>
      <c r="Z73" s="213">
        <f>ROUNDUP(Z72*(1+Assumptions_Dashboard!$D$113),0)</f>
        <v>22</v>
      </c>
      <c r="AA73" s="213">
        <f>ROUNDUP(AA72*(1+Assumptions_Dashboard!$D$113),0)</f>
        <v>13</v>
      </c>
      <c r="AB73" s="213">
        <f>ROUNDUP(AB72*(1+Assumptions_Dashboard!$D$113),0)</f>
        <v>3</v>
      </c>
      <c r="AC73" s="213">
        <f>ROUNDUP(AC72*(1+Assumptions_Dashboard!$D$113),0)</f>
        <v>1</v>
      </c>
      <c r="AD73" s="213"/>
      <c r="AE73" s="213"/>
      <c r="AF73" s="213"/>
      <c r="AG73" s="213"/>
      <c r="AH73" s="213"/>
      <c r="AI73" s="213"/>
      <c r="AJ73" s="213"/>
      <c r="AK73" s="213"/>
      <c r="AL73" s="213"/>
      <c r="AM73" s="213"/>
      <c r="AN73" s="213"/>
      <c r="AO73" s="213"/>
      <c r="AP73" s="213"/>
      <c r="AQ73" s="213"/>
    </row>
    <row r="75" spans="1:44">
      <c r="B75" s="142" t="s">
        <v>948</v>
      </c>
      <c r="C75" s="1320" t="s">
        <v>881</v>
      </c>
    </row>
    <row r="76" spans="1:44">
      <c r="C76" s="94" t="s">
        <v>950</v>
      </c>
      <c r="D76" t="s">
        <v>118</v>
      </c>
      <c r="E76" s="212">
        <f t="shared" ref="E76" si="78">SUM(G76:AQ76)</f>
        <v>410.05147216797252</v>
      </c>
      <c r="G76" s="213">
        <f t="shared" ref="G76:AC76" si="79">G7+G8</f>
        <v>0</v>
      </c>
      <c r="H76" s="213">
        <f t="shared" si="79"/>
        <v>0</v>
      </c>
      <c r="I76" s="213">
        <f t="shared" si="79"/>
        <v>0</v>
      </c>
      <c r="J76" s="213">
        <f t="shared" si="79"/>
        <v>0</v>
      </c>
      <c r="K76" s="213">
        <f t="shared" si="79"/>
        <v>8.7562380206396639</v>
      </c>
      <c r="L76" s="213">
        <f t="shared" si="79"/>
        <v>7.2327697721685071</v>
      </c>
      <c r="M76" s="213">
        <f t="shared" si="79"/>
        <v>13.079053808756907</v>
      </c>
      <c r="N76" s="213">
        <f t="shared" si="79"/>
        <v>28.103580419350003</v>
      </c>
      <c r="O76" s="213">
        <f t="shared" si="79"/>
        <v>27.076699507372219</v>
      </c>
      <c r="P76" s="213">
        <f t="shared" si="79"/>
        <v>36.405142947877096</v>
      </c>
      <c r="Q76" s="213">
        <f t="shared" si="79"/>
        <v>33.316728142161111</v>
      </c>
      <c r="R76" s="213">
        <f t="shared" si="79"/>
        <v>27.849144170266669</v>
      </c>
      <c r="S76" s="213">
        <f t="shared" si="79"/>
        <v>29.023958269844446</v>
      </c>
      <c r="T76" s="213">
        <f t="shared" si="79"/>
        <v>25.881636997770947</v>
      </c>
      <c r="U76" s="213">
        <f t="shared" si="79"/>
        <v>29.204862524357541</v>
      </c>
      <c r="V76" s="213">
        <f t="shared" si="79"/>
        <v>22.229788356117318</v>
      </c>
      <c r="W76" s="213">
        <f t="shared" si="79"/>
        <v>19.51269241881004</v>
      </c>
      <c r="X76" s="213">
        <f t="shared" si="79"/>
        <v>24.254093190117317</v>
      </c>
      <c r="Y76" s="213">
        <f t="shared" si="79"/>
        <v>24.176980941073037</v>
      </c>
      <c r="Z76" s="213">
        <f t="shared" si="79"/>
        <v>30.803173554286516</v>
      </c>
      <c r="AA76" s="213">
        <f t="shared" si="79"/>
        <v>18.963056293217516</v>
      </c>
      <c r="AB76" s="213">
        <f t="shared" si="79"/>
        <v>3.2519598595255688</v>
      </c>
      <c r="AC76" s="213">
        <f t="shared" si="79"/>
        <v>0.92991297426011577</v>
      </c>
      <c r="AD76" s="213"/>
      <c r="AE76" s="213"/>
      <c r="AF76" s="213"/>
      <c r="AG76" s="213"/>
      <c r="AH76" s="213"/>
      <c r="AI76" s="213"/>
      <c r="AJ76" s="213"/>
      <c r="AK76" s="213"/>
      <c r="AL76" s="213"/>
      <c r="AM76" s="213"/>
      <c r="AN76" s="213"/>
      <c r="AO76" s="213"/>
      <c r="AP76" s="213"/>
      <c r="AQ76" s="213"/>
    </row>
    <row r="77" spans="1:44">
      <c r="C77" s="94" t="s">
        <v>962</v>
      </c>
      <c r="D77" s="141" t="s">
        <v>896</v>
      </c>
      <c r="E77" s="212">
        <f>MAX(G77:AQ77)</f>
        <v>34.785148871845436</v>
      </c>
      <c r="G77" s="213">
        <f>IFERROR(G76*10^6/Productivity!D94,0)</f>
        <v>0</v>
      </c>
      <c r="H77" s="213">
        <f>IFERROR(H76*10^6/Productivity!E94,0)</f>
        <v>0</v>
      </c>
      <c r="I77" s="213">
        <f>IFERROR(I76*10^6/Productivity!F94,0)</f>
        <v>0</v>
      </c>
      <c r="J77" s="213">
        <f>IFERROR(J76*10^6/Productivity!G94,0)</f>
        <v>0</v>
      </c>
      <c r="K77" s="213">
        <f>IFERROR(K76*10^6/Productivity!H94,0)</f>
        <v>0</v>
      </c>
      <c r="L77" s="213">
        <f>IFERROR(L76*10^6/Productivity!I94,0)</f>
        <v>0</v>
      </c>
      <c r="M77" s="213">
        <f>IFERROR(M76*10^6/Productivity!J94,0)</f>
        <v>0</v>
      </c>
      <c r="N77" s="213">
        <f>IFERROR(N76*10^6/Productivity!K94,0)</f>
        <v>20.276753549314577</v>
      </c>
      <c r="O77" s="213">
        <f>IFERROR(O76*10^6/Productivity!L94,0)</f>
        <v>21.511394455976113</v>
      </c>
      <c r="P77" s="213">
        <f>IFERROR(P76*10^6/Productivity!M94,0)</f>
        <v>34.785148871845436</v>
      </c>
      <c r="Q77" s="213">
        <f>IFERROR(Q76*10^6/Productivity!N94,0)</f>
        <v>33.179271161634347</v>
      </c>
      <c r="R77" s="213">
        <f>IFERROR(R76*10^6/Productivity!O94,0)</f>
        <v>29.390020984753008</v>
      </c>
      <c r="S77" s="213">
        <f>IFERROR(S76*10^6/Productivity!P94,0)</f>
        <v>32.065610462265013</v>
      </c>
      <c r="T77" s="213">
        <f>IFERROR(T76*10^6/Productivity!Q94,0)</f>
        <v>30.00024159370701</v>
      </c>
      <c r="U77" s="213">
        <f>IFERROR(U76*10^6/Productivity!R94,0)</f>
        <v>33.306294830645619</v>
      </c>
      <c r="V77" s="213">
        <f>IFERROR(V76*10^6/Productivity!S94,0)</f>
        <v>24.949257414273085</v>
      </c>
      <c r="W77" s="213">
        <f>IFERROR(W76*10^6/Productivity!T94,0)</f>
        <v>21.899767024478159</v>
      </c>
      <c r="X77" s="213">
        <f>IFERROR(X76*10^6/Productivity!U94,0)</f>
        <v>26.795873158273555</v>
      </c>
      <c r="Y77" s="213">
        <f>IFERROR(Y76*10^6/Productivity!V94,0)</f>
        <v>26.29974616744542</v>
      </c>
      <c r="Z77" s="213">
        <f>IFERROR(Z76*10^6/Productivity!W94,0)</f>
        <v>33.000032886441019</v>
      </c>
      <c r="AA77" s="213">
        <f>IFERROR(AA76*10^6/Productivity!X94,0)</f>
        <v>19.717972972745489</v>
      </c>
      <c r="AB77" s="213">
        <f>IFERROR(AB76*10^6/Productivity!Y94,0)</f>
        <v>3.3324138510729009</v>
      </c>
      <c r="AC77" s="213">
        <f>IFERROR(AC76*10^6/Productivity!Z94,0)</f>
        <v>0.91321420031156153</v>
      </c>
      <c r="AD77" s="213"/>
      <c r="AE77" s="213"/>
      <c r="AF77" s="213"/>
      <c r="AG77" s="213"/>
      <c r="AH77" s="213"/>
      <c r="AI77" s="213"/>
      <c r="AJ77" s="213"/>
      <c r="AK77" s="213"/>
      <c r="AL77" s="213"/>
      <c r="AM77" s="213"/>
      <c r="AN77" s="213"/>
      <c r="AO77" s="213"/>
      <c r="AP77" s="213"/>
      <c r="AQ77" s="213"/>
    </row>
    <row r="78" spans="1:44">
      <c r="C78" s="94" t="s">
        <v>963</v>
      </c>
      <c r="D78" s="141" t="s">
        <v>896</v>
      </c>
      <c r="E78" s="212">
        <f>MAX(G78:AQ78)</f>
        <v>35</v>
      </c>
      <c r="G78" s="213">
        <f>ROUNDUP(G77*(1+Assumptions_Dashboard!$D$113),0)</f>
        <v>0</v>
      </c>
      <c r="H78" s="213">
        <f>ROUNDUP(H77*(1+Assumptions_Dashboard!$D$113),0)</f>
        <v>0</v>
      </c>
      <c r="I78" s="213">
        <f>ROUNDUP(I77*(1+Assumptions_Dashboard!$D$113),0)</f>
        <v>0</v>
      </c>
      <c r="J78" s="213">
        <f>ROUNDUP(J77*(1+Assumptions_Dashboard!$D$113),0)</f>
        <v>0</v>
      </c>
      <c r="K78" s="213">
        <f>ROUNDUP(K77*(1+Assumptions_Dashboard!$D$113),0)</f>
        <v>0</v>
      </c>
      <c r="L78" s="213">
        <f>ROUNDUP(L77*(1+Assumptions_Dashboard!$D$113),0)</f>
        <v>0</v>
      </c>
      <c r="M78" s="213">
        <f>ROUNDUP(M77*(1+Assumptions_Dashboard!$D$113),0)</f>
        <v>0</v>
      </c>
      <c r="N78" s="213">
        <f>ROUNDUP(N77*(1+Assumptions_Dashboard!$D$113),0)</f>
        <v>21</v>
      </c>
      <c r="O78" s="213">
        <f>ROUNDUP(O77*(1+Assumptions_Dashboard!$D$113),0)</f>
        <v>22</v>
      </c>
      <c r="P78" s="213">
        <f>ROUNDUP(P77*(1+Assumptions_Dashboard!$D$113),0)</f>
        <v>35</v>
      </c>
      <c r="Q78" s="213">
        <f>ROUNDUP(Q77*(1+Assumptions_Dashboard!$D$113),0)</f>
        <v>34</v>
      </c>
      <c r="R78" s="213">
        <f>ROUNDUP(R77*(1+Assumptions_Dashboard!$D$113),0)</f>
        <v>30</v>
      </c>
      <c r="S78" s="213">
        <f>ROUNDUP(S77*(1+Assumptions_Dashboard!$D$113),0)</f>
        <v>33</v>
      </c>
      <c r="T78" s="213">
        <f>ROUNDUP(T77*(1+Assumptions_Dashboard!$D$113),0)</f>
        <v>31</v>
      </c>
      <c r="U78" s="213">
        <f>ROUNDUP(U77*(1+Assumptions_Dashboard!$D$113),0)</f>
        <v>34</v>
      </c>
      <c r="V78" s="213">
        <f>ROUNDUP(V77*(1+Assumptions_Dashboard!$D$113),0)</f>
        <v>25</v>
      </c>
      <c r="W78" s="213">
        <f>ROUNDUP(W77*(1+Assumptions_Dashboard!$D$113),0)</f>
        <v>22</v>
      </c>
      <c r="X78" s="213">
        <f>ROUNDUP(X77*(1+Assumptions_Dashboard!$D$113),0)</f>
        <v>27</v>
      </c>
      <c r="Y78" s="213">
        <f>ROUNDUP(Y77*(1+Assumptions_Dashboard!$D$113),0)</f>
        <v>27</v>
      </c>
      <c r="Z78" s="213">
        <f>ROUNDUP(Z77*(1+Assumptions_Dashboard!$D$113),0)</f>
        <v>34</v>
      </c>
      <c r="AA78" s="213">
        <f>ROUNDUP(AA77*(1+Assumptions_Dashboard!$D$113),0)</f>
        <v>20</v>
      </c>
      <c r="AB78" s="213">
        <f>ROUNDUP(AB77*(1+Assumptions_Dashboard!$D$113),0)</f>
        <v>4</v>
      </c>
      <c r="AC78" s="213">
        <f>ROUNDUP(AC77*(1+Assumptions_Dashboard!$D$113),0)</f>
        <v>1</v>
      </c>
      <c r="AD78" s="213"/>
      <c r="AE78" s="213"/>
      <c r="AF78" s="213"/>
      <c r="AG78" s="213"/>
      <c r="AH78" s="213"/>
      <c r="AI78" s="213"/>
      <c r="AJ78" s="213"/>
      <c r="AK78" s="213"/>
      <c r="AL78" s="213"/>
      <c r="AM78" s="213"/>
      <c r="AN78" s="213"/>
      <c r="AO78" s="213"/>
      <c r="AP78" s="213"/>
      <c r="AQ78" s="213"/>
    </row>
    <row r="80" spans="1:44">
      <c r="B80" s="142" t="s">
        <v>851</v>
      </c>
      <c r="C80" s="1320" t="s">
        <v>911</v>
      </c>
    </row>
    <row r="81" spans="2:29">
      <c r="C81" s="94" t="s">
        <v>966</v>
      </c>
      <c r="D81" t="s">
        <v>118</v>
      </c>
      <c r="E81" s="212">
        <f t="shared" ref="E81" si="80">SUM(G81:AQ81)</f>
        <v>131.22349215697673</v>
      </c>
      <c r="G81" s="213">
        <f>'Production Schedule'!E5/Assumptions_Dashboard!$D$32</f>
        <v>0</v>
      </c>
      <c r="H81" s="213">
        <f>'Production Schedule'!F5/Assumptions_Dashboard!$D$32</f>
        <v>0</v>
      </c>
      <c r="I81" s="213">
        <f>'Production Schedule'!G5/Assumptions_Dashboard!$D$32</f>
        <v>0</v>
      </c>
      <c r="J81" s="213">
        <f>'Production Schedule'!H5/Assumptions_Dashboard!$D$32</f>
        <v>0</v>
      </c>
      <c r="K81" s="213">
        <f>'Production Schedule'!I5/Assumptions_Dashboard!$D$32</f>
        <v>1.1627905552325581</v>
      </c>
      <c r="L81" s="213">
        <f>'Production Schedule'!J5/Assumptions_Dashboard!$D$32</f>
        <v>2.3255806133720931</v>
      </c>
      <c r="M81" s="213">
        <f>'Production Schedule'!K5/Assumptions_Dashboard!$D$32</f>
        <v>4.6511632151162789</v>
      </c>
      <c r="N81" s="213">
        <f>'Production Schedule'!L5/Assumptions_Dashboard!$D$32</f>
        <v>6.9767433313953484</v>
      </c>
      <c r="O81" s="213">
        <f>'Production Schedule'!M5/Assumptions_Dashboard!$D$32</f>
        <v>8.7209274244186048</v>
      </c>
      <c r="P81" s="213">
        <f>'Production Schedule'!N5/Assumptions_Dashboard!$D$32</f>
        <v>8.7209343837209303</v>
      </c>
      <c r="Q81" s="213">
        <f>'Production Schedule'!O5/Assumptions_Dashboard!$D$32</f>
        <v>8.7209294127906976</v>
      </c>
      <c r="R81" s="213">
        <f>'Production Schedule'!P5/Assumptions_Dashboard!$D$32</f>
        <v>8.7209284186046503</v>
      </c>
      <c r="S81" s="213">
        <f>'Production Schedule'!Q5/Assumptions_Dashboard!$D$32</f>
        <v>8.7209323953488358</v>
      </c>
      <c r="T81" s="213">
        <f>'Production Schedule'!R5/Assumptions_Dashboard!$D$32</f>
        <v>8.7209274244186048</v>
      </c>
      <c r="U81" s="213">
        <f>'Production Schedule'!S5/Assumptions_Dashboard!$D$32</f>
        <v>8.7209284186046503</v>
      </c>
      <c r="V81" s="213">
        <f>'Production Schedule'!T5/Assumptions_Dashboard!$D$32</f>
        <v>8.7209314011627903</v>
      </c>
      <c r="W81" s="213">
        <f>'Production Schedule'!U5/Assumptions_Dashboard!$D$32</f>
        <v>8.7209393546511631</v>
      </c>
      <c r="X81" s="213">
        <f>'Production Schedule'!V5/Assumptions_Dashboard!$D$32</f>
        <v>8.7209314011627903</v>
      </c>
      <c r="Y81" s="213">
        <f>'Production Schedule'!W5/Assumptions_Dashboard!$D$32</f>
        <v>8.7209314011627903</v>
      </c>
      <c r="Z81" s="213">
        <f>'Production Schedule'!X5/Assumptions_Dashboard!$D$32</f>
        <v>8.720930406976743</v>
      </c>
      <c r="AA81" s="213">
        <f>'Production Schedule'!Y5/Assumptions_Dashboard!$D$32</f>
        <v>5.8139532732558141</v>
      </c>
      <c r="AB81" s="213">
        <f>'Production Schedule'!Z5/Assumptions_Dashboard!$D$32</f>
        <v>4.3604666947674415</v>
      </c>
      <c r="AC81" s="213">
        <f>'Production Schedule'!AA5/Assumptions_Dashboard!$D$32</f>
        <v>1.2816226308139533</v>
      </c>
    </row>
    <row r="82" spans="2:29">
      <c r="C82" s="94" t="s">
        <v>962</v>
      </c>
      <c r="D82" s="141" t="s">
        <v>896</v>
      </c>
      <c r="E82" s="212">
        <f>MAX(G82:AQ82)</f>
        <v>39.950211416490475</v>
      </c>
      <c r="G82" s="213">
        <f>IFERROR(G81*10^6/Productivity!D70,0)</f>
        <v>0</v>
      </c>
      <c r="H82" s="213">
        <f>IFERROR(H81*10^6/Productivity!E70,0)</f>
        <v>0</v>
      </c>
      <c r="I82" s="213">
        <f>IFERROR(I81*10^6/Productivity!F70,0)</f>
        <v>0</v>
      </c>
      <c r="J82" s="213">
        <f>IFERROR(J81*10^6/Productivity!G70,0)</f>
        <v>0</v>
      </c>
      <c r="K82" s="213">
        <f>IFERROR(K81*10^6/Productivity!H70,0)</f>
        <v>2.5538941386743237</v>
      </c>
      <c r="L82" s="213">
        <f>IFERROR(L81*10^6/Productivity!I70,0)</f>
        <v>5.1077871855587693</v>
      </c>
      <c r="M82" s="213">
        <f>IFERROR(M81*10^6/Productivity!J70,0)</f>
        <v>11.652144498347258</v>
      </c>
      <c r="N82" s="213">
        <f>IFERROR(N81*10^6/Productivity!K70,0)</f>
        <v>20.338284231624609</v>
      </c>
      <c r="O82" s="213">
        <f>IFERROR(O81*10^6/Productivity!L70,0)</f>
        <v>26.382203056073166</v>
      </c>
      <c r="P82" s="213">
        <f>IFERROR(P81*10^6/Productivity!M70,0)</f>
        <v>27.965157555622667</v>
      </c>
      <c r="Q82" s="213">
        <f>IFERROR(Q81*10^6/Productivity!N70,0)</f>
        <v>29.130355849469218</v>
      </c>
      <c r="R82" s="213">
        <f>IFERROR(R81*10^6/Productivity!O70,0)</f>
        <v>30.396889595069563</v>
      </c>
      <c r="S82" s="213">
        <f>IFERROR(S81*10^6/Productivity!P70,0)</f>
        <v>31.778580885874742</v>
      </c>
      <c r="T82" s="213">
        <f>IFERROR(T81*10^6/Productivity!Q70,0)</f>
        <v>32.517599115625075</v>
      </c>
      <c r="U82" s="213">
        <f>IFERROR(U81*10^6/Productivity!R70,0)</f>
        <v>34.103827350565858</v>
      </c>
      <c r="V82" s="213">
        <f>IFERROR(V81*10^6/Productivity!S70,0)</f>
        <v>34.956434989429169</v>
      </c>
      <c r="W82" s="213">
        <f>IFERROR(W81*10^6/Productivity!T70,0)</f>
        <v>36.796280915466959</v>
      </c>
      <c r="X82" s="710">
        <f>IFERROR(X81*10^6/Productivity!U70,0)</f>
        <v>37.790740529112618</v>
      </c>
      <c r="Y82" s="710">
        <f>IFERROR(Y81*10^6/Productivity!V70,0)</f>
        <v>39.950211416490475</v>
      </c>
      <c r="Z82" s="213">
        <f>IFERROR(Z81*10^6/Productivity!W70,0)</f>
        <v>39.950206862166979</v>
      </c>
      <c r="AA82" s="213">
        <f>IFERROR(AA81*10^6/Productivity!X70,0)</f>
        <v>26.63346972333683</v>
      </c>
      <c r="AB82" s="213">
        <f>IFERROR(AB81*10^6/Productivity!Y70,0)</f>
        <v>19.97511026256873</v>
      </c>
      <c r="AC82" s="213">
        <f>IFERROR(AC81*10^6/Productivity!Z70,0)</f>
        <v>5.871058113167746</v>
      </c>
    </row>
    <row r="83" spans="2:29">
      <c r="C83" s="94" t="s">
        <v>963</v>
      </c>
      <c r="D83" s="141" t="s">
        <v>896</v>
      </c>
      <c r="E83" s="212">
        <f>MAX(G83:AQ83)</f>
        <v>40</v>
      </c>
      <c r="G83" s="213">
        <f>ROUNDUP(G82*(1+Assumptions_Dashboard!$D$113),0)</f>
        <v>0</v>
      </c>
      <c r="H83" s="213">
        <f>ROUNDUP(H82*(1+Assumptions_Dashboard!$D$113),0)</f>
        <v>0</v>
      </c>
      <c r="I83" s="213">
        <f>ROUNDUP(I82*(1+Assumptions_Dashboard!$D$113),0)</f>
        <v>0</v>
      </c>
      <c r="J83" s="213">
        <f>ROUNDUP(J82*(1+Assumptions_Dashboard!$D$113),0)</f>
        <v>0</v>
      </c>
      <c r="K83" s="213">
        <f>ROUNDUP(K82*(1+Assumptions_Dashboard!$D$113),0)</f>
        <v>3</v>
      </c>
      <c r="L83" s="213">
        <f>ROUNDUP(L82*(1+Assumptions_Dashboard!$D$113),0)</f>
        <v>6</v>
      </c>
      <c r="M83" s="213">
        <f>ROUNDUP(M82*(1+Assumptions_Dashboard!$D$113),0)</f>
        <v>12</v>
      </c>
      <c r="N83" s="213">
        <f>ROUNDUP(N82*(1+Assumptions_Dashboard!$D$113),0)</f>
        <v>21</v>
      </c>
      <c r="O83" s="213">
        <f>ROUNDUP(O82*(1+Assumptions_Dashboard!$D$113),0)</f>
        <v>27</v>
      </c>
      <c r="P83" s="213">
        <f>ROUNDUP(P82*(1+Assumptions_Dashboard!$D$113),0)</f>
        <v>28</v>
      </c>
      <c r="Q83" s="213">
        <f>ROUNDUP(Q82*(1+Assumptions_Dashboard!$D$113),0)</f>
        <v>30</v>
      </c>
      <c r="R83" s="213">
        <f>ROUNDUP(R82*(1+Assumptions_Dashboard!$D$113),0)</f>
        <v>31</v>
      </c>
      <c r="S83" s="213">
        <f>ROUNDUP(S82*(1+Assumptions_Dashboard!$D$113),0)</f>
        <v>32</v>
      </c>
      <c r="T83" s="213">
        <f>ROUNDUP(T82*(1+Assumptions_Dashboard!$D$113),0)</f>
        <v>33</v>
      </c>
      <c r="U83" s="213">
        <f>ROUNDUP(U82*(1+Assumptions_Dashboard!$D$113),0)</f>
        <v>35</v>
      </c>
      <c r="V83" s="213">
        <f>ROUNDUP(V82*(1+Assumptions_Dashboard!$D$113),0)</f>
        <v>35</v>
      </c>
      <c r="W83" s="213">
        <f>ROUNDUP(W82*(1+Assumptions_Dashboard!$D$113),0)</f>
        <v>37</v>
      </c>
      <c r="X83" s="213">
        <f>ROUNDUP(X82*(1+Assumptions_Dashboard!$D$113),0)</f>
        <v>38</v>
      </c>
      <c r="Y83" s="213">
        <f>ROUNDUP(Y82*(1+Assumptions_Dashboard!$D$113),0)</f>
        <v>40</v>
      </c>
      <c r="Z83" s="213">
        <f>ROUNDUP(Z82*(1+Assumptions_Dashboard!$D$113),0)</f>
        <v>40</v>
      </c>
      <c r="AA83" s="213">
        <f>ROUNDUP(AA82*(1+Assumptions_Dashboard!$D$113),0)</f>
        <v>27</v>
      </c>
      <c r="AB83" s="213">
        <f>ROUNDUP(AB82*(1+Assumptions_Dashboard!$D$113),0)</f>
        <v>20</v>
      </c>
      <c r="AC83" s="213">
        <f>ROUNDUP(AC82*(1+Assumptions_Dashboard!$D$113),0)</f>
        <v>6</v>
      </c>
    </row>
    <row r="85" spans="2:29">
      <c r="B85" s="163" t="s">
        <v>967</v>
      </c>
      <c r="C85" s="162" t="s">
        <v>838</v>
      </c>
    </row>
    <row r="86" spans="2:29">
      <c r="C86" s="1320" t="s">
        <v>875</v>
      </c>
    </row>
    <row r="87" spans="2:29">
      <c r="C87" t="s">
        <v>968</v>
      </c>
      <c r="D87" s="141" t="s">
        <v>896</v>
      </c>
      <c r="E87" s="219">
        <v>6</v>
      </c>
      <c r="G87" s="213">
        <f>ROUNDUP('Production Schedule'!E$5/MAX('Production Schedule'!$E$5:$AA$5)*Fleet!$E87,0)</f>
        <v>0</v>
      </c>
      <c r="H87" s="213">
        <f>ROUNDUP('Production Schedule'!F$5/MAX('Production Schedule'!$E$5:$AA$5)*Fleet!$E87,0)</f>
        <v>0</v>
      </c>
      <c r="I87" s="213">
        <f>ROUNDUP('Production Schedule'!G$5/MAX('Production Schedule'!$E$5:$AA$5)*Fleet!$E87,0)</f>
        <v>0</v>
      </c>
      <c r="J87" s="213">
        <f>ROUNDUP('Production Schedule'!H$5/MAX('Production Schedule'!$E$5:$AA$5)*Fleet!$E87,0)</f>
        <v>0</v>
      </c>
      <c r="K87" s="213">
        <f>ROUNDUP('Production Schedule'!I$5/MAX('Production Schedule'!$E$5:$AA$5)*Fleet!$E87,0)</f>
        <v>1</v>
      </c>
      <c r="L87" s="213">
        <f>ROUNDUP('Production Schedule'!J$5/MAX('Production Schedule'!$E$5:$AA$5)*Fleet!$E87,0)</f>
        <v>2</v>
      </c>
      <c r="M87" s="213">
        <f>ROUNDUP('Production Schedule'!K$5/MAX('Production Schedule'!$E$5:$AA$5)*Fleet!$E87,0)</f>
        <v>4</v>
      </c>
      <c r="N87" s="213">
        <f>ROUNDUP('Production Schedule'!L$5/MAX('Production Schedule'!$E$5:$AA$5)*Fleet!$E87,0)</f>
        <v>5</v>
      </c>
      <c r="O87" s="213">
        <f>ROUNDUP('Production Schedule'!M$5/MAX('Production Schedule'!$E$5:$AA$5)*Fleet!$E87,0)</f>
        <v>6</v>
      </c>
      <c r="P87" s="213">
        <f>ROUNDUP('Production Schedule'!N$5/MAX('Production Schedule'!$E$5:$AA$5)*Fleet!$E87,0)</f>
        <v>6</v>
      </c>
      <c r="Q87" s="213">
        <f>ROUNDUP('Production Schedule'!O$5/MAX('Production Schedule'!$E$5:$AA$5)*Fleet!$E87,0)</f>
        <v>6</v>
      </c>
      <c r="R87" s="213">
        <f>ROUNDUP('Production Schedule'!P$5/MAX('Production Schedule'!$E$5:$AA$5)*Fleet!$E87,0)</f>
        <v>6</v>
      </c>
      <c r="S87" s="213">
        <f>ROUNDUP('Production Schedule'!Q$5/MAX('Production Schedule'!$E$5:$AA$5)*Fleet!$E87,0)</f>
        <v>6</v>
      </c>
      <c r="T87" s="213">
        <f>ROUNDUP('Production Schedule'!R$5/MAX('Production Schedule'!$E$5:$AA$5)*Fleet!$E87,0)</f>
        <v>6</v>
      </c>
      <c r="U87" s="213">
        <f>ROUNDUP('Production Schedule'!S$5/MAX('Production Schedule'!$E$5:$AA$5)*Fleet!$E87,0)</f>
        <v>6</v>
      </c>
      <c r="V87" s="213">
        <f>ROUNDUP('Production Schedule'!T$5/MAX('Production Schedule'!$E$5:$AA$5)*Fleet!$E87,0)</f>
        <v>6</v>
      </c>
      <c r="W87" s="213">
        <f>ROUNDUP('Production Schedule'!U$5/MAX('Production Schedule'!$E$5:$AA$5)*Fleet!$E87,0)</f>
        <v>6</v>
      </c>
      <c r="X87" s="213">
        <f>ROUNDUP('Production Schedule'!V$5/MAX('Production Schedule'!$E$5:$AA$5)*Fleet!$E87,0)</f>
        <v>6</v>
      </c>
      <c r="Y87" s="213">
        <f>ROUNDUP('Production Schedule'!W$5/MAX('Production Schedule'!$E$5:$AA$5)*Fleet!$E87,0)</f>
        <v>6</v>
      </c>
      <c r="Z87" s="213">
        <f>ROUNDUP('Production Schedule'!X$5/MAX('Production Schedule'!$E$5:$AA$5)*Fleet!$E87,0)</f>
        <v>6</v>
      </c>
      <c r="AA87" s="213">
        <f>ROUNDUP('Production Schedule'!Y$5/MAX('Production Schedule'!$E$5:$AA$5)*Fleet!$E87,0)</f>
        <v>4</v>
      </c>
      <c r="AB87" s="213">
        <f>ROUNDUP('Production Schedule'!Z$5/MAX('Production Schedule'!$E$5:$AA$5)*Fleet!$E87,0)</f>
        <v>3</v>
      </c>
      <c r="AC87" s="213">
        <f>ROUNDUP('Production Schedule'!AA$5/MAX('Production Schedule'!$E$5:$AA$5)*Fleet!$E87,0)</f>
        <v>1</v>
      </c>
    </row>
    <row r="88" spans="2:29">
      <c r="C88" s="1320" t="s">
        <v>904</v>
      </c>
      <c r="G88" s="213">
        <f>ROUNDUP('Production Schedule'!E$5/MAX('Production Schedule'!$E$5:$AA$5)*Fleet!$E88,0)</f>
        <v>0</v>
      </c>
      <c r="H88" s="213">
        <f>ROUNDUP('Production Schedule'!F$5/MAX('Production Schedule'!$E$5:$AA$5)*Fleet!$E88,0)</f>
        <v>0</v>
      </c>
      <c r="I88" s="213">
        <f>ROUNDUP('Production Schedule'!G$5/MAX('Production Schedule'!$E$5:$AA$5)*Fleet!$E88,0)</f>
        <v>0</v>
      </c>
      <c r="J88" s="213">
        <f>ROUNDUP('Production Schedule'!H$5/MAX('Production Schedule'!$E$5:$AA$5)*Fleet!$E88,0)</f>
        <v>0</v>
      </c>
      <c r="K88" s="213">
        <f>ROUNDUP('Production Schedule'!I$5/MAX('Production Schedule'!$E$5:$AA$5)*Fleet!$E88,0)</f>
        <v>0</v>
      </c>
      <c r="L88" s="213">
        <f>ROUNDUP('Production Schedule'!J$5/MAX('Production Schedule'!$E$5:$AA$5)*Fleet!$E88,0)</f>
        <v>0</v>
      </c>
      <c r="M88" s="213">
        <f>ROUNDUP('Production Schedule'!K$5/MAX('Production Schedule'!$E$5:$AA$5)*Fleet!$E88,0)</f>
        <v>0</v>
      </c>
      <c r="N88" s="213">
        <f>ROUNDUP('Production Schedule'!L$5/MAX('Production Schedule'!$E$5:$AA$5)*Fleet!$E88,0)</f>
        <v>0</v>
      </c>
      <c r="O88" s="213">
        <f>ROUNDUP('Production Schedule'!M$5/MAX('Production Schedule'!$E$5:$AA$5)*Fleet!$E88,0)</f>
        <v>0</v>
      </c>
      <c r="P88" s="213">
        <f>ROUNDUP('Production Schedule'!N$5/MAX('Production Schedule'!$E$5:$AA$5)*Fleet!$E88,0)</f>
        <v>0</v>
      </c>
      <c r="Q88" s="213">
        <f>ROUNDUP('Production Schedule'!O$5/MAX('Production Schedule'!$E$5:$AA$5)*Fleet!$E88,0)</f>
        <v>0</v>
      </c>
      <c r="R88" s="213">
        <f>ROUNDUP('Production Schedule'!P$5/MAX('Production Schedule'!$E$5:$AA$5)*Fleet!$E88,0)</f>
        <v>0</v>
      </c>
      <c r="S88" s="213">
        <f>ROUNDUP('Production Schedule'!Q$5/MAX('Production Schedule'!$E$5:$AA$5)*Fleet!$E88,0)</f>
        <v>0</v>
      </c>
      <c r="T88" s="213">
        <f>ROUNDUP('Production Schedule'!R$5/MAX('Production Schedule'!$E$5:$AA$5)*Fleet!$E88,0)</f>
        <v>0</v>
      </c>
      <c r="U88" s="213">
        <f>ROUNDUP('Production Schedule'!S$5/MAX('Production Schedule'!$E$5:$AA$5)*Fleet!$E88,0)</f>
        <v>0</v>
      </c>
      <c r="V88" s="213">
        <f>ROUNDUP('Production Schedule'!T$5/MAX('Production Schedule'!$E$5:$AA$5)*Fleet!$E88,0)</f>
        <v>0</v>
      </c>
      <c r="W88" s="213">
        <f>ROUNDUP('Production Schedule'!U$5/MAX('Production Schedule'!$E$5:$AA$5)*Fleet!$E88,0)</f>
        <v>0</v>
      </c>
      <c r="X88" s="213">
        <f>ROUNDUP('Production Schedule'!V$5/MAX('Production Schedule'!$E$5:$AA$5)*Fleet!$E88,0)</f>
        <v>0</v>
      </c>
      <c r="Y88" s="213">
        <f>ROUNDUP('Production Schedule'!W$5/MAX('Production Schedule'!$E$5:$AA$5)*Fleet!$E88,0)</f>
        <v>0</v>
      </c>
      <c r="Z88" s="213">
        <f>ROUNDUP('Production Schedule'!X$5/MAX('Production Schedule'!$E$5:$AA$5)*Fleet!$E88,0)</f>
        <v>0</v>
      </c>
      <c r="AA88" s="213">
        <f>ROUNDUP('Production Schedule'!Y$5/MAX('Production Schedule'!$E$5:$AA$5)*Fleet!$E88,0)</f>
        <v>0</v>
      </c>
      <c r="AB88" s="213">
        <f>ROUNDUP('Production Schedule'!Z$5/MAX('Production Schedule'!$E$5:$AA$5)*Fleet!$E88,0)</f>
        <v>0</v>
      </c>
      <c r="AC88" s="213">
        <f>ROUNDUP('Production Schedule'!AA$5/MAX('Production Schedule'!$E$5:$AA$5)*Fleet!$E88,0)</f>
        <v>0</v>
      </c>
    </row>
    <row r="89" spans="2:29">
      <c r="C89" t="s">
        <v>968</v>
      </c>
      <c r="D89" s="141" t="s">
        <v>896</v>
      </c>
      <c r="E89" s="219">
        <v>2</v>
      </c>
      <c r="G89" s="213">
        <f>ROUNDUP('Production Schedule'!E$5/MAX('Production Schedule'!$E$5:$AA$5)*Fleet!$E89,0)</f>
        <v>0</v>
      </c>
      <c r="H89" s="213">
        <f>ROUNDUP('Production Schedule'!F$5/MAX('Production Schedule'!$E$5:$AA$5)*Fleet!$E89,0)</f>
        <v>0</v>
      </c>
      <c r="I89" s="213">
        <f>ROUNDUP('Production Schedule'!G$5/MAX('Production Schedule'!$E$5:$AA$5)*Fleet!$E89,0)</f>
        <v>0</v>
      </c>
      <c r="J89" s="213">
        <f>ROUNDUP('Production Schedule'!H$5/MAX('Production Schedule'!$E$5:$AA$5)*Fleet!$E89,0)</f>
        <v>0</v>
      </c>
      <c r="K89" s="213">
        <f>ROUNDUP('Production Schedule'!I$5/MAX('Production Schedule'!$E$5:$AA$5)*Fleet!$E89,0)</f>
        <v>1</v>
      </c>
      <c r="L89" s="213">
        <f>ROUNDUP('Production Schedule'!J$5/MAX('Production Schedule'!$E$5:$AA$5)*Fleet!$E89,0)</f>
        <v>1</v>
      </c>
      <c r="M89" s="213">
        <f>ROUNDUP('Production Schedule'!K$5/MAX('Production Schedule'!$E$5:$AA$5)*Fleet!$E89,0)</f>
        <v>2</v>
      </c>
      <c r="N89" s="213">
        <f>ROUNDUP('Production Schedule'!L$5/MAX('Production Schedule'!$E$5:$AA$5)*Fleet!$E89,0)</f>
        <v>2</v>
      </c>
      <c r="O89" s="213">
        <f>ROUNDUP('Production Schedule'!M$5/MAX('Production Schedule'!$E$5:$AA$5)*Fleet!$E89,0)</f>
        <v>2</v>
      </c>
      <c r="P89" s="213">
        <f>ROUNDUP('Production Schedule'!N$5/MAX('Production Schedule'!$E$5:$AA$5)*Fleet!$E89,0)</f>
        <v>2</v>
      </c>
      <c r="Q89" s="213">
        <f>ROUNDUP('Production Schedule'!O$5/MAX('Production Schedule'!$E$5:$AA$5)*Fleet!$E89,0)</f>
        <v>2</v>
      </c>
      <c r="R89" s="213">
        <f>ROUNDUP('Production Schedule'!P$5/MAX('Production Schedule'!$E$5:$AA$5)*Fleet!$E89,0)</f>
        <v>2</v>
      </c>
      <c r="S89" s="213">
        <f>ROUNDUP('Production Schedule'!Q$5/MAX('Production Schedule'!$E$5:$AA$5)*Fleet!$E89,0)</f>
        <v>2</v>
      </c>
      <c r="T89" s="213">
        <f>ROUNDUP('Production Schedule'!R$5/MAX('Production Schedule'!$E$5:$AA$5)*Fleet!$E89,0)</f>
        <v>2</v>
      </c>
      <c r="U89" s="213">
        <f>ROUNDUP('Production Schedule'!S$5/MAX('Production Schedule'!$E$5:$AA$5)*Fleet!$E89,0)</f>
        <v>2</v>
      </c>
      <c r="V89" s="213">
        <f>ROUNDUP('Production Schedule'!T$5/MAX('Production Schedule'!$E$5:$AA$5)*Fleet!$E89,0)</f>
        <v>2</v>
      </c>
      <c r="W89" s="213">
        <f>ROUNDUP('Production Schedule'!U$5/MAX('Production Schedule'!$E$5:$AA$5)*Fleet!$E89,0)</f>
        <v>2</v>
      </c>
      <c r="X89" s="213">
        <f>ROUNDUP('Production Schedule'!V$5/MAX('Production Schedule'!$E$5:$AA$5)*Fleet!$E89,0)</f>
        <v>2</v>
      </c>
      <c r="Y89" s="213">
        <f>ROUNDUP('Production Schedule'!W$5/MAX('Production Schedule'!$E$5:$AA$5)*Fleet!$E89,0)</f>
        <v>2</v>
      </c>
      <c r="Z89" s="213">
        <f>ROUNDUP('Production Schedule'!X$5/MAX('Production Schedule'!$E$5:$AA$5)*Fleet!$E89,0)</f>
        <v>2</v>
      </c>
      <c r="AA89" s="213">
        <f>ROUNDUP('Production Schedule'!Y$5/MAX('Production Schedule'!$E$5:$AA$5)*Fleet!$E89,0)</f>
        <v>2</v>
      </c>
      <c r="AB89" s="213">
        <f>ROUNDUP('Production Schedule'!Z$5/MAX('Production Schedule'!$E$5:$AA$5)*Fleet!$E89,0)</f>
        <v>1</v>
      </c>
      <c r="AC89" s="213">
        <f>ROUNDUP('Production Schedule'!AA$5/MAX('Production Schedule'!$E$5:$AA$5)*Fleet!$E89,0)</f>
        <v>1</v>
      </c>
    </row>
    <row r="90" spans="2:29">
      <c r="C90" s="1320" t="s">
        <v>908</v>
      </c>
      <c r="G90" s="213">
        <f>ROUNDUP('Production Schedule'!E$5/MAX('Production Schedule'!$E$5:$AA$5)*Fleet!$E90,0)</f>
        <v>0</v>
      </c>
      <c r="H90" s="213">
        <f>ROUNDUP('Production Schedule'!F$5/MAX('Production Schedule'!$E$5:$AA$5)*Fleet!$E90,0)</f>
        <v>0</v>
      </c>
      <c r="I90" s="213">
        <f>ROUNDUP('Production Schedule'!G$5/MAX('Production Schedule'!$E$5:$AA$5)*Fleet!$E90,0)</f>
        <v>0</v>
      </c>
      <c r="J90" s="213">
        <f>ROUNDUP('Production Schedule'!H$5/MAX('Production Schedule'!$E$5:$AA$5)*Fleet!$E90,0)</f>
        <v>0</v>
      </c>
      <c r="K90" s="213">
        <f>ROUNDUP('Production Schedule'!I$5/MAX('Production Schedule'!$E$5:$AA$5)*Fleet!$E90,0)</f>
        <v>0</v>
      </c>
      <c r="L90" s="213">
        <f>ROUNDUP('Production Schedule'!J$5/MAX('Production Schedule'!$E$5:$AA$5)*Fleet!$E90,0)</f>
        <v>0</v>
      </c>
      <c r="M90" s="213">
        <f>ROUNDUP('Production Schedule'!K$5/MAX('Production Schedule'!$E$5:$AA$5)*Fleet!$E90,0)</f>
        <v>0</v>
      </c>
      <c r="N90" s="213">
        <f>ROUNDUP('Production Schedule'!L$5/MAX('Production Schedule'!$E$5:$AA$5)*Fleet!$E90,0)</f>
        <v>0</v>
      </c>
      <c r="O90" s="213">
        <f>ROUNDUP('Production Schedule'!M$5/MAX('Production Schedule'!$E$5:$AA$5)*Fleet!$E90,0)</f>
        <v>0</v>
      </c>
      <c r="P90" s="213">
        <f>ROUNDUP('Production Schedule'!N$5/MAX('Production Schedule'!$E$5:$AA$5)*Fleet!$E90,0)</f>
        <v>0</v>
      </c>
      <c r="Q90" s="213">
        <f>ROUNDUP('Production Schedule'!O$5/MAX('Production Schedule'!$E$5:$AA$5)*Fleet!$E90,0)</f>
        <v>0</v>
      </c>
      <c r="R90" s="213">
        <f>ROUNDUP('Production Schedule'!P$5/MAX('Production Schedule'!$E$5:$AA$5)*Fleet!$E90,0)</f>
        <v>0</v>
      </c>
      <c r="S90" s="213">
        <f>ROUNDUP('Production Schedule'!Q$5/MAX('Production Schedule'!$E$5:$AA$5)*Fleet!$E90,0)</f>
        <v>0</v>
      </c>
      <c r="T90" s="213">
        <f>ROUNDUP('Production Schedule'!R$5/MAX('Production Schedule'!$E$5:$AA$5)*Fleet!$E90,0)</f>
        <v>0</v>
      </c>
      <c r="U90" s="213">
        <f>ROUNDUP('Production Schedule'!S$5/MAX('Production Schedule'!$E$5:$AA$5)*Fleet!$E90,0)</f>
        <v>0</v>
      </c>
      <c r="V90" s="213">
        <f>ROUNDUP('Production Schedule'!T$5/MAX('Production Schedule'!$E$5:$AA$5)*Fleet!$E90,0)</f>
        <v>0</v>
      </c>
      <c r="W90" s="213">
        <f>ROUNDUP('Production Schedule'!U$5/MAX('Production Schedule'!$E$5:$AA$5)*Fleet!$E90,0)</f>
        <v>0</v>
      </c>
      <c r="X90" s="213">
        <f>ROUNDUP('Production Schedule'!V$5/MAX('Production Schedule'!$E$5:$AA$5)*Fleet!$E90,0)</f>
        <v>0</v>
      </c>
      <c r="Y90" s="213">
        <f>ROUNDUP('Production Schedule'!W$5/MAX('Production Schedule'!$E$5:$AA$5)*Fleet!$E90,0)</f>
        <v>0</v>
      </c>
      <c r="Z90" s="213">
        <f>ROUNDUP('Production Schedule'!X$5/MAX('Production Schedule'!$E$5:$AA$5)*Fleet!$E90,0)</f>
        <v>0</v>
      </c>
      <c r="AA90" s="213">
        <f>ROUNDUP('Production Schedule'!Y$5/MAX('Production Schedule'!$E$5:$AA$5)*Fleet!$E90,0)</f>
        <v>0</v>
      </c>
      <c r="AB90" s="213">
        <f>ROUNDUP('Production Schedule'!Z$5/MAX('Production Schedule'!$E$5:$AA$5)*Fleet!$E90,0)</f>
        <v>0</v>
      </c>
      <c r="AC90" s="213">
        <f>ROUNDUP('Production Schedule'!AA$5/MAX('Production Schedule'!$E$5:$AA$5)*Fleet!$E90,0)</f>
        <v>0</v>
      </c>
    </row>
    <row r="91" spans="2:29">
      <c r="C91" t="s">
        <v>968</v>
      </c>
      <c r="D91" s="141" t="s">
        <v>896</v>
      </c>
      <c r="E91" s="219">
        <v>2</v>
      </c>
      <c r="G91" s="213">
        <f>ROUNDUP('Production Schedule'!E$5/MAX('Production Schedule'!$E$5:$AA$5)*Fleet!$E91,0)</f>
        <v>0</v>
      </c>
      <c r="H91" s="213">
        <f>ROUNDUP('Production Schedule'!F$5/MAX('Production Schedule'!$E$5:$AA$5)*Fleet!$E91,0)</f>
        <v>0</v>
      </c>
      <c r="I91" s="213">
        <f>ROUNDUP('Production Schedule'!G$5/MAX('Production Schedule'!$E$5:$AA$5)*Fleet!$E91,0)</f>
        <v>0</v>
      </c>
      <c r="J91" s="213">
        <f>ROUNDUP('Production Schedule'!H$5/MAX('Production Schedule'!$E$5:$AA$5)*Fleet!$E91,0)</f>
        <v>0</v>
      </c>
      <c r="K91" s="213">
        <f>ROUNDUP('Production Schedule'!I$5/MAX('Production Schedule'!$E$5:$AA$5)*Fleet!$E91,0)</f>
        <v>1</v>
      </c>
      <c r="L91" s="213">
        <f>ROUNDUP('Production Schedule'!J$5/MAX('Production Schedule'!$E$5:$AA$5)*Fleet!$E91,0)</f>
        <v>1</v>
      </c>
      <c r="M91" s="213">
        <f>ROUNDUP('Production Schedule'!K$5/MAX('Production Schedule'!$E$5:$AA$5)*Fleet!$E91,0)</f>
        <v>2</v>
      </c>
      <c r="N91" s="213">
        <f>ROUNDUP('Production Schedule'!L$5/MAX('Production Schedule'!$E$5:$AA$5)*Fleet!$E91,0)</f>
        <v>2</v>
      </c>
      <c r="O91" s="213">
        <f>ROUNDUP('Production Schedule'!M$5/MAX('Production Schedule'!$E$5:$AA$5)*Fleet!$E91,0)</f>
        <v>2</v>
      </c>
      <c r="P91" s="213">
        <f>ROUNDUP('Production Schedule'!N$5/MAX('Production Schedule'!$E$5:$AA$5)*Fleet!$E91,0)</f>
        <v>2</v>
      </c>
      <c r="Q91" s="213">
        <f>ROUNDUP('Production Schedule'!O$5/MAX('Production Schedule'!$E$5:$AA$5)*Fleet!$E91,0)</f>
        <v>2</v>
      </c>
      <c r="R91" s="213">
        <f>ROUNDUP('Production Schedule'!P$5/MAX('Production Schedule'!$E$5:$AA$5)*Fleet!$E91,0)</f>
        <v>2</v>
      </c>
      <c r="S91" s="213">
        <f>ROUNDUP('Production Schedule'!Q$5/MAX('Production Schedule'!$E$5:$AA$5)*Fleet!$E91,0)</f>
        <v>2</v>
      </c>
      <c r="T91" s="213">
        <f>ROUNDUP('Production Schedule'!R$5/MAX('Production Schedule'!$E$5:$AA$5)*Fleet!$E91,0)</f>
        <v>2</v>
      </c>
      <c r="U91" s="213">
        <f>ROUNDUP('Production Schedule'!S$5/MAX('Production Schedule'!$E$5:$AA$5)*Fleet!$E91,0)</f>
        <v>2</v>
      </c>
      <c r="V91" s="213">
        <f>ROUNDUP('Production Schedule'!T$5/MAX('Production Schedule'!$E$5:$AA$5)*Fleet!$E91,0)</f>
        <v>2</v>
      </c>
      <c r="W91" s="213">
        <f>ROUNDUP('Production Schedule'!U$5/MAX('Production Schedule'!$E$5:$AA$5)*Fleet!$E91,0)</f>
        <v>2</v>
      </c>
      <c r="X91" s="213">
        <f>ROUNDUP('Production Schedule'!V$5/MAX('Production Schedule'!$E$5:$AA$5)*Fleet!$E91,0)</f>
        <v>2</v>
      </c>
      <c r="Y91" s="213">
        <f>ROUNDUP('Production Schedule'!W$5/MAX('Production Schedule'!$E$5:$AA$5)*Fleet!$E91,0)</f>
        <v>2</v>
      </c>
      <c r="Z91" s="213">
        <f>ROUNDUP('Production Schedule'!X$5/MAX('Production Schedule'!$E$5:$AA$5)*Fleet!$E91,0)</f>
        <v>2</v>
      </c>
      <c r="AA91" s="213">
        <f>ROUNDUP('Production Schedule'!Y$5/MAX('Production Schedule'!$E$5:$AA$5)*Fleet!$E91,0)</f>
        <v>2</v>
      </c>
      <c r="AB91" s="213">
        <f>ROUNDUP('Production Schedule'!Z$5/MAX('Production Schedule'!$E$5:$AA$5)*Fleet!$E91,0)</f>
        <v>1</v>
      </c>
      <c r="AC91" s="213">
        <f>ROUNDUP('Production Schedule'!AA$5/MAX('Production Schedule'!$E$5:$AA$5)*Fleet!$E91,0)</f>
        <v>1</v>
      </c>
    </row>
    <row r="92" spans="2:29">
      <c r="C92" s="1320" t="s">
        <v>892</v>
      </c>
      <c r="G92" s="213">
        <f>ROUNDUP('Production Schedule'!E$5/MAX('Production Schedule'!$E$5:$AA$5)*Fleet!$E92,0)</f>
        <v>0</v>
      </c>
      <c r="H92" s="213">
        <f>ROUNDUP('Production Schedule'!F$5/MAX('Production Schedule'!$E$5:$AA$5)*Fleet!$E92,0)</f>
        <v>0</v>
      </c>
      <c r="I92" s="213">
        <f>ROUNDUP('Production Schedule'!G$5/MAX('Production Schedule'!$E$5:$AA$5)*Fleet!$E92,0)</f>
        <v>0</v>
      </c>
      <c r="J92" s="213">
        <f>ROUNDUP('Production Schedule'!H$5/MAX('Production Schedule'!$E$5:$AA$5)*Fleet!$E92,0)</f>
        <v>0</v>
      </c>
      <c r="K92" s="213">
        <f>ROUNDUP('Production Schedule'!I$5/MAX('Production Schedule'!$E$5:$AA$5)*Fleet!$E92,0)</f>
        <v>0</v>
      </c>
      <c r="L92" s="213">
        <f>ROUNDUP('Production Schedule'!J$5/MAX('Production Schedule'!$E$5:$AA$5)*Fleet!$E92,0)</f>
        <v>0</v>
      </c>
      <c r="M92" s="213">
        <f>ROUNDUP('Production Schedule'!K$5/MAX('Production Schedule'!$E$5:$AA$5)*Fleet!$E92,0)</f>
        <v>0</v>
      </c>
      <c r="N92" s="213">
        <f>ROUNDUP('Production Schedule'!L$5/MAX('Production Schedule'!$E$5:$AA$5)*Fleet!$E92,0)</f>
        <v>0</v>
      </c>
      <c r="O92" s="213">
        <f>ROUNDUP('Production Schedule'!M$5/MAX('Production Schedule'!$E$5:$AA$5)*Fleet!$E92,0)</f>
        <v>0</v>
      </c>
      <c r="P92" s="213">
        <f>ROUNDUP('Production Schedule'!N$5/MAX('Production Schedule'!$E$5:$AA$5)*Fleet!$E92,0)</f>
        <v>0</v>
      </c>
      <c r="Q92" s="213">
        <f>ROUNDUP('Production Schedule'!O$5/MAX('Production Schedule'!$E$5:$AA$5)*Fleet!$E92,0)</f>
        <v>0</v>
      </c>
      <c r="R92" s="213">
        <f>ROUNDUP('Production Schedule'!P$5/MAX('Production Schedule'!$E$5:$AA$5)*Fleet!$E92,0)</f>
        <v>0</v>
      </c>
      <c r="S92" s="213">
        <f>ROUNDUP('Production Schedule'!Q$5/MAX('Production Schedule'!$E$5:$AA$5)*Fleet!$E92,0)</f>
        <v>0</v>
      </c>
      <c r="T92" s="213">
        <f>ROUNDUP('Production Schedule'!R$5/MAX('Production Schedule'!$E$5:$AA$5)*Fleet!$E92,0)</f>
        <v>0</v>
      </c>
      <c r="U92" s="213">
        <f>ROUNDUP('Production Schedule'!S$5/MAX('Production Schedule'!$E$5:$AA$5)*Fleet!$E92,0)</f>
        <v>0</v>
      </c>
      <c r="V92" s="213">
        <f>ROUNDUP('Production Schedule'!T$5/MAX('Production Schedule'!$E$5:$AA$5)*Fleet!$E92,0)</f>
        <v>0</v>
      </c>
      <c r="W92" s="213">
        <f>ROUNDUP('Production Schedule'!U$5/MAX('Production Schedule'!$E$5:$AA$5)*Fleet!$E92,0)</f>
        <v>0</v>
      </c>
      <c r="X92" s="213">
        <f>ROUNDUP('Production Schedule'!V$5/MAX('Production Schedule'!$E$5:$AA$5)*Fleet!$E92,0)</f>
        <v>0</v>
      </c>
      <c r="Y92" s="213">
        <f>ROUNDUP('Production Schedule'!W$5/MAX('Production Schedule'!$E$5:$AA$5)*Fleet!$E92,0)</f>
        <v>0</v>
      </c>
      <c r="Z92" s="213">
        <f>ROUNDUP('Production Schedule'!X$5/MAX('Production Schedule'!$E$5:$AA$5)*Fleet!$E92,0)</f>
        <v>0</v>
      </c>
      <c r="AA92" s="213">
        <f>ROUNDUP('Production Schedule'!Y$5/MAX('Production Schedule'!$E$5:$AA$5)*Fleet!$E92,0)</f>
        <v>0</v>
      </c>
      <c r="AB92" s="213">
        <f>ROUNDUP('Production Schedule'!Z$5/MAX('Production Schedule'!$E$5:$AA$5)*Fleet!$E92,0)</f>
        <v>0</v>
      </c>
      <c r="AC92" s="213">
        <f>ROUNDUP('Production Schedule'!AA$5/MAX('Production Schedule'!$E$5:$AA$5)*Fleet!$E92,0)</f>
        <v>0</v>
      </c>
    </row>
    <row r="93" spans="2:29">
      <c r="C93" t="s">
        <v>968</v>
      </c>
      <c r="D93" s="141" t="s">
        <v>896</v>
      </c>
      <c r="E93" s="219">
        <v>2</v>
      </c>
      <c r="G93" s="213">
        <f>ROUNDUP('Production Schedule'!E$5/MAX('Production Schedule'!$E$5:$AA$5)*Fleet!$E93,0)</f>
        <v>0</v>
      </c>
      <c r="H93" s="213">
        <f>ROUNDUP('Production Schedule'!F$5/MAX('Production Schedule'!$E$5:$AA$5)*Fleet!$E93,0)</f>
        <v>0</v>
      </c>
      <c r="I93" s="213">
        <f>ROUNDUP('Production Schedule'!G$5/MAX('Production Schedule'!$E$5:$AA$5)*Fleet!$E93,0)</f>
        <v>0</v>
      </c>
      <c r="J93" s="213">
        <f>ROUNDUP('Production Schedule'!H$5/MAX('Production Schedule'!$E$5:$AA$5)*Fleet!$E93,0)</f>
        <v>0</v>
      </c>
      <c r="K93" s="213">
        <f>ROUNDUP('Production Schedule'!I$5/MAX('Production Schedule'!$E$5:$AA$5)*Fleet!$E93,0)</f>
        <v>1</v>
      </c>
      <c r="L93" s="213">
        <f>ROUNDUP('Production Schedule'!J$5/MAX('Production Schedule'!$E$5:$AA$5)*Fleet!$E93,0)</f>
        <v>1</v>
      </c>
      <c r="M93" s="213">
        <f>ROUNDUP('Production Schedule'!K$5/MAX('Production Schedule'!$E$5:$AA$5)*Fleet!$E93,0)</f>
        <v>2</v>
      </c>
      <c r="N93" s="213">
        <f>ROUNDUP('Production Schedule'!L$5/MAX('Production Schedule'!$E$5:$AA$5)*Fleet!$E93,0)</f>
        <v>2</v>
      </c>
      <c r="O93" s="213">
        <f>ROUNDUP('Production Schedule'!M$5/MAX('Production Schedule'!$E$5:$AA$5)*Fleet!$E93,0)</f>
        <v>2</v>
      </c>
      <c r="P93" s="213">
        <f>ROUNDUP('Production Schedule'!N$5/MAX('Production Schedule'!$E$5:$AA$5)*Fleet!$E93,0)</f>
        <v>2</v>
      </c>
      <c r="Q93" s="213">
        <f>ROUNDUP('Production Schedule'!O$5/MAX('Production Schedule'!$E$5:$AA$5)*Fleet!$E93,0)</f>
        <v>2</v>
      </c>
      <c r="R93" s="213">
        <f>ROUNDUP('Production Schedule'!P$5/MAX('Production Schedule'!$E$5:$AA$5)*Fleet!$E93,0)</f>
        <v>2</v>
      </c>
      <c r="S93" s="213">
        <f>ROUNDUP('Production Schedule'!Q$5/MAX('Production Schedule'!$E$5:$AA$5)*Fleet!$E93,0)</f>
        <v>2</v>
      </c>
      <c r="T93" s="213">
        <f>ROUNDUP('Production Schedule'!R$5/MAX('Production Schedule'!$E$5:$AA$5)*Fleet!$E93,0)</f>
        <v>2</v>
      </c>
      <c r="U93" s="213">
        <f>ROUNDUP('Production Schedule'!S$5/MAX('Production Schedule'!$E$5:$AA$5)*Fleet!$E93,0)</f>
        <v>2</v>
      </c>
      <c r="V93" s="213">
        <f>ROUNDUP('Production Schedule'!T$5/MAX('Production Schedule'!$E$5:$AA$5)*Fleet!$E93,0)</f>
        <v>2</v>
      </c>
      <c r="W93" s="213">
        <f>ROUNDUP('Production Schedule'!U$5/MAX('Production Schedule'!$E$5:$AA$5)*Fleet!$E93,0)</f>
        <v>2</v>
      </c>
      <c r="X93" s="213">
        <f>ROUNDUP('Production Schedule'!V$5/MAX('Production Schedule'!$E$5:$AA$5)*Fleet!$E93,0)</f>
        <v>2</v>
      </c>
      <c r="Y93" s="213">
        <f>ROUNDUP('Production Schedule'!W$5/MAX('Production Schedule'!$E$5:$AA$5)*Fleet!$E93,0)</f>
        <v>2</v>
      </c>
      <c r="Z93" s="213">
        <f>ROUNDUP('Production Schedule'!X$5/MAX('Production Schedule'!$E$5:$AA$5)*Fleet!$E93,0)</f>
        <v>2</v>
      </c>
      <c r="AA93" s="213">
        <f>ROUNDUP('Production Schedule'!Y$5/MAX('Production Schedule'!$E$5:$AA$5)*Fleet!$E93,0)</f>
        <v>2</v>
      </c>
      <c r="AB93" s="213">
        <f>ROUNDUP('Production Schedule'!Z$5/MAX('Production Schedule'!$E$5:$AA$5)*Fleet!$E93,0)</f>
        <v>1</v>
      </c>
      <c r="AC93" s="213">
        <f>ROUNDUP('Production Schedule'!AA$5/MAX('Production Schedule'!$E$5:$AA$5)*Fleet!$E93,0)</f>
        <v>1</v>
      </c>
    </row>
    <row r="94" spans="2:29">
      <c r="G94" s="213">
        <f>ROUNDUP('Production Schedule'!E$5/MAX('Production Schedule'!$E$5:$AA$5)*Fleet!$E94,0)</f>
        <v>0</v>
      </c>
      <c r="H94" s="213">
        <f>ROUNDUP('Production Schedule'!F$5/MAX('Production Schedule'!$E$5:$AA$5)*Fleet!$E94,0)</f>
        <v>0</v>
      </c>
      <c r="I94" s="213">
        <f>ROUNDUP('Production Schedule'!G$5/MAX('Production Schedule'!$E$5:$AA$5)*Fleet!$E94,0)</f>
        <v>0</v>
      </c>
      <c r="J94" s="213">
        <f>ROUNDUP('Production Schedule'!H$5/MAX('Production Schedule'!$E$5:$AA$5)*Fleet!$E94,0)</f>
        <v>0</v>
      </c>
      <c r="K94" s="213">
        <f>ROUNDUP('Production Schedule'!I$5/MAX('Production Schedule'!$E$5:$AA$5)*Fleet!$E94,0)</f>
        <v>0</v>
      </c>
      <c r="L94" s="213">
        <f>ROUNDUP('Production Schedule'!J$5/MAX('Production Schedule'!$E$5:$AA$5)*Fleet!$E94,0)</f>
        <v>0</v>
      </c>
      <c r="M94" s="213">
        <f>ROUNDUP('Production Schedule'!K$5/MAX('Production Schedule'!$E$5:$AA$5)*Fleet!$E94,0)</f>
        <v>0</v>
      </c>
      <c r="N94" s="213">
        <f>ROUNDUP('Production Schedule'!L$5/MAX('Production Schedule'!$E$5:$AA$5)*Fleet!$E94,0)</f>
        <v>0</v>
      </c>
      <c r="O94" s="213">
        <f>ROUNDUP('Production Schedule'!M$5/MAX('Production Schedule'!$E$5:$AA$5)*Fleet!$E94,0)</f>
        <v>0</v>
      </c>
      <c r="P94" s="213">
        <f>ROUNDUP('Production Schedule'!N$5/MAX('Production Schedule'!$E$5:$AA$5)*Fleet!$E94,0)</f>
        <v>0</v>
      </c>
      <c r="Q94" s="213">
        <f>ROUNDUP('Production Schedule'!O$5/MAX('Production Schedule'!$E$5:$AA$5)*Fleet!$E94,0)</f>
        <v>0</v>
      </c>
      <c r="R94" s="213">
        <f>ROUNDUP('Production Schedule'!P$5/MAX('Production Schedule'!$E$5:$AA$5)*Fleet!$E94,0)</f>
        <v>0</v>
      </c>
      <c r="S94" s="213">
        <f>ROUNDUP('Production Schedule'!Q$5/MAX('Production Schedule'!$E$5:$AA$5)*Fleet!$E94,0)</f>
        <v>0</v>
      </c>
      <c r="T94" s="213">
        <f>ROUNDUP('Production Schedule'!R$5/MAX('Production Schedule'!$E$5:$AA$5)*Fleet!$E94,0)</f>
        <v>0</v>
      </c>
      <c r="U94" s="213">
        <f>ROUNDUP('Production Schedule'!S$5/MAX('Production Schedule'!$E$5:$AA$5)*Fleet!$E94,0)</f>
        <v>0</v>
      </c>
      <c r="V94" s="213">
        <f>ROUNDUP('Production Schedule'!T$5/MAX('Production Schedule'!$E$5:$AA$5)*Fleet!$E94,0)</f>
        <v>0</v>
      </c>
      <c r="W94" s="213">
        <f>ROUNDUP('Production Schedule'!U$5/MAX('Production Schedule'!$E$5:$AA$5)*Fleet!$E94,0)</f>
        <v>0</v>
      </c>
      <c r="X94" s="213">
        <f>ROUNDUP('Production Schedule'!V$5/MAX('Production Schedule'!$E$5:$AA$5)*Fleet!$E94,0)</f>
        <v>0</v>
      </c>
      <c r="Y94" s="213">
        <f>ROUNDUP('Production Schedule'!W$5/MAX('Production Schedule'!$E$5:$AA$5)*Fleet!$E94,0)</f>
        <v>0</v>
      </c>
      <c r="Z94" s="213">
        <f>ROUNDUP('Production Schedule'!X$5/MAX('Production Schedule'!$E$5:$AA$5)*Fleet!$E94,0)</f>
        <v>0</v>
      </c>
      <c r="AA94" s="213">
        <f>ROUNDUP('Production Schedule'!Y$5/MAX('Production Schedule'!$E$5:$AA$5)*Fleet!$E94,0)</f>
        <v>0</v>
      </c>
      <c r="AB94" s="213">
        <f>ROUNDUP('Production Schedule'!Z$5/MAX('Production Schedule'!$E$5:$AA$5)*Fleet!$E94,0)</f>
        <v>0</v>
      </c>
      <c r="AC94" s="213">
        <f>ROUNDUP('Production Schedule'!AA$5/MAX('Production Schedule'!$E$5:$AA$5)*Fleet!$E94,0)</f>
        <v>0</v>
      </c>
    </row>
    <row r="95" spans="2:29">
      <c r="B95" s="163" t="s">
        <v>967</v>
      </c>
      <c r="C95" s="162" t="s">
        <v>839</v>
      </c>
      <c r="G95" s="213">
        <f>ROUNDUP('Production Schedule'!E$5/MAX('Production Schedule'!$E$5:$AA$5)*Fleet!$E95,0)</f>
        <v>0</v>
      </c>
      <c r="H95" s="213">
        <f>ROUNDUP('Production Schedule'!F$5/MAX('Production Schedule'!$E$5:$AA$5)*Fleet!$E95,0)</f>
        <v>0</v>
      </c>
      <c r="I95" s="213">
        <f>ROUNDUP('Production Schedule'!G$5/MAX('Production Schedule'!$E$5:$AA$5)*Fleet!$E95,0)</f>
        <v>0</v>
      </c>
      <c r="J95" s="213">
        <f>ROUNDUP('Production Schedule'!H$5/MAX('Production Schedule'!$E$5:$AA$5)*Fleet!$E95,0)</f>
        <v>0</v>
      </c>
      <c r="K95" s="213">
        <f>ROUNDUP('Production Schedule'!I$5/MAX('Production Schedule'!$E$5:$AA$5)*Fleet!$E95,0)</f>
        <v>0</v>
      </c>
      <c r="L95" s="213">
        <f>ROUNDUP('Production Schedule'!J$5/MAX('Production Schedule'!$E$5:$AA$5)*Fleet!$E95,0)</f>
        <v>0</v>
      </c>
      <c r="M95" s="213">
        <f>ROUNDUP('Production Schedule'!K$5/MAX('Production Schedule'!$E$5:$AA$5)*Fleet!$E95,0)</f>
        <v>0</v>
      </c>
      <c r="N95" s="213">
        <f>ROUNDUP('Production Schedule'!L$5/MAX('Production Schedule'!$E$5:$AA$5)*Fleet!$E95,0)</f>
        <v>0</v>
      </c>
      <c r="O95" s="213">
        <f>ROUNDUP('Production Schedule'!M$5/MAX('Production Schedule'!$E$5:$AA$5)*Fleet!$E95,0)</f>
        <v>0</v>
      </c>
      <c r="P95" s="213">
        <f>ROUNDUP('Production Schedule'!N$5/MAX('Production Schedule'!$E$5:$AA$5)*Fleet!$E95,0)</f>
        <v>0</v>
      </c>
      <c r="Q95" s="213">
        <f>ROUNDUP('Production Schedule'!O$5/MAX('Production Schedule'!$E$5:$AA$5)*Fleet!$E95,0)</f>
        <v>0</v>
      </c>
      <c r="R95" s="213">
        <f>ROUNDUP('Production Schedule'!P$5/MAX('Production Schedule'!$E$5:$AA$5)*Fleet!$E95,0)</f>
        <v>0</v>
      </c>
      <c r="S95" s="213">
        <f>ROUNDUP('Production Schedule'!Q$5/MAX('Production Schedule'!$E$5:$AA$5)*Fleet!$E95,0)</f>
        <v>0</v>
      </c>
      <c r="T95" s="213">
        <f>ROUNDUP('Production Schedule'!R$5/MAX('Production Schedule'!$E$5:$AA$5)*Fleet!$E95,0)</f>
        <v>0</v>
      </c>
      <c r="U95" s="213">
        <f>ROUNDUP('Production Schedule'!S$5/MAX('Production Schedule'!$E$5:$AA$5)*Fleet!$E95,0)</f>
        <v>0</v>
      </c>
      <c r="V95" s="213">
        <f>ROUNDUP('Production Schedule'!T$5/MAX('Production Schedule'!$E$5:$AA$5)*Fleet!$E95,0)</f>
        <v>0</v>
      </c>
      <c r="W95" s="213">
        <f>ROUNDUP('Production Schedule'!U$5/MAX('Production Schedule'!$E$5:$AA$5)*Fleet!$E95,0)</f>
        <v>0</v>
      </c>
      <c r="X95" s="213">
        <f>ROUNDUP('Production Schedule'!V$5/MAX('Production Schedule'!$E$5:$AA$5)*Fleet!$E95,0)</f>
        <v>0</v>
      </c>
      <c r="Y95" s="213">
        <f>ROUNDUP('Production Schedule'!W$5/MAX('Production Schedule'!$E$5:$AA$5)*Fleet!$E95,0)</f>
        <v>0</v>
      </c>
      <c r="Z95" s="213">
        <f>ROUNDUP('Production Schedule'!X$5/MAX('Production Schedule'!$E$5:$AA$5)*Fleet!$E95,0)</f>
        <v>0</v>
      </c>
      <c r="AA95" s="213">
        <f>ROUNDUP('Production Schedule'!Y$5/MAX('Production Schedule'!$E$5:$AA$5)*Fleet!$E95,0)</f>
        <v>0</v>
      </c>
      <c r="AB95" s="213">
        <f>ROUNDUP('Production Schedule'!Z$5/MAX('Production Schedule'!$E$5:$AA$5)*Fleet!$E95,0)</f>
        <v>0</v>
      </c>
      <c r="AC95" s="213">
        <f>ROUNDUP('Production Schedule'!AA$5/MAX('Production Schedule'!$E$5:$AA$5)*Fleet!$E95,0)</f>
        <v>0</v>
      </c>
    </row>
    <row r="96" spans="2:29">
      <c r="C96" s="1320" t="s">
        <v>848</v>
      </c>
      <c r="G96" s="213">
        <f>ROUNDUP('Production Schedule'!E$5/MAX('Production Schedule'!$E$5:$AA$5)*Fleet!$E96,0)</f>
        <v>0</v>
      </c>
      <c r="H96" s="213">
        <f>ROUNDUP('Production Schedule'!F$5/MAX('Production Schedule'!$E$5:$AA$5)*Fleet!$E96,0)</f>
        <v>0</v>
      </c>
      <c r="I96" s="213">
        <f>ROUNDUP('Production Schedule'!G$5/MAX('Production Schedule'!$E$5:$AA$5)*Fleet!$E96,0)</f>
        <v>0</v>
      </c>
      <c r="J96" s="213">
        <f>ROUNDUP('Production Schedule'!H$5/MAX('Production Schedule'!$E$5:$AA$5)*Fleet!$E96,0)</f>
        <v>0</v>
      </c>
      <c r="K96" s="213">
        <f>ROUNDUP('Production Schedule'!I$5/MAX('Production Schedule'!$E$5:$AA$5)*Fleet!$E96,0)</f>
        <v>0</v>
      </c>
      <c r="L96" s="213">
        <f>ROUNDUP('Production Schedule'!J$5/MAX('Production Schedule'!$E$5:$AA$5)*Fleet!$E96,0)</f>
        <v>0</v>
      </c>
      <c r="M96" s="213">
        <f>ROUNDUP('Production Schedule'!K$5/MAX('Production Schedule'!$E$5:$AA$5)*Fleet!$E96,0)</f>
        <v>0</v>
      </c>
      <c r="N96" s="213">
        <f>ROUNDUP('Production Schedule'!L$5/MAX('Production Schedule'!$E$5:$AA$5)*Fleet!$E96,0)</f>
        <v>0</v>
      </c>
      <c r="O96" s="213">
        <f>ROUNDUP('Production Schedule'!M$5/MAX('Production Schedule'!$E$5:$AA$5)*Fleet!$E96,0)</f>
        <v>0</v>
      </c>
      <c r="P96" s="213">
        <f>ROUNDUP('Production Schedule'!N$5/MAX('Production Schedule'!$E$5:$AA$5)*Fleet!$E96,0)</f>
        <v>0</v>
      </c>
      <c r="Q96" s="213">
        <f>ROUNDUP('Production Schedule'!O$5/MAX('Production Schedule'!$E$5:$AA$5)*Fleet!$E96,0)</f>
        <v>0</v>
      </c>
      <c r="R96" s="213">
        <f>ROUNDUP('Production Schedule'!P$5/MAX('Production Schedule'!$E$5:$AA$5)*Fleet!$E96,0)</f>
        <v>0</v>
      </c>
      <c r="S96" s="213">
        <f>ROUNDUP('Production Schedule'!Q$5/MAX('Production Schedule'!$E$5:$AA$5)*Fleet!$E96,0)</f>
        <v>0</v>
      </c>
      <c r="T96" s="213">
        <f>ROUNDUP('Production Schedule'!R$5/MAX('Production Schedule'!$E$5:$AA$5)*Fleet!$E96,0)</f>
        <v>0</v>
      </c>
      <c r="U96" s="213">
        <f>ROUNDUP('Production Schedule'!S$5/MAX('Production Schedule'!$E$5:$AA$5)*Fleet!$E96,0)</f>
        <v>0</v>
      </c>
      <c r="V96" s="213">
        <f>ROUNDUP('Production Schedule'!T$5/MAX('Production Schedule'!$E$5:$AA$5)*Fleet!$E96,0)</f>
        <v>0</v>
      </c>
      <c r="W96" s="213">
        <f>ROUNDUP('Production Schedule'!U$5/MAX('Production Schedule'!$E$5:$AA$5)*Fleet!$E96,0)</f>
        <v>0</v>
      </c>
      <c r="X96" s="213">
        <f>ROUNDUP('Production Schedule'!V$5/MAX('Production Schedule'!$E$5:$AA$5)*Fleet!$E96,0)</f>
        <v>0</v>
      </c>
      <c r="Y96" s="213">
        <f>ROUNDUP('Production Schedule'!W$5/MAX('Production Schedule'!$E$5:$AA$5)*Fleet!$E96,0)</f>
        <v>0</v>
      </c>
      <c r="Z96" s="213">
        <f>ROUNDUP('Production Schedule'!X$5/MAX('Production Schedule'!$E$5:$AA$5)*Fleet!$E96,0)</f>
        <v>0</v>
      </c>
      <c r="AA96" s="213">
        <f>ROUNDUP('Production Schedule'!Y$5/MAX('Production Schedule'!$E$5:$AA$5)*Fleet!$E96,0)</f>
        <v>0</v>
      </c>
      <c r="AB96" s="213">
        <f>ROUNDUP('Production Schedule'!Z$5/MAX('Production Schedule'!$E$5:$AA$5)*Fleet!$E96,0)</f>
        <v>0</v>
      </c>
      <c r="AC96" s="213">
        <f>ROUNDUP('Production Schedule'!AA$5/MAX('Production Schedule'!$E$5:$AA$5)*Fleet!$E96,0)</f>
        <v>0</v>
      </c>
    </row>
    <row r="97" spans="2:29">
      <c r="C97" s="94" t="s">
        <v>937</v>
      </c>
      <c r="D97" s="141" t="s">
        <v>896</v>
      </c>
      <c r="E97" s="219">
        <v>2</v>
      </c>
      <c r="G97" s="213">
        <f>ROUNDUP('Production Schedule'!E$5/MAX('Production Schedule'!$E$5:$AA$5)*Fleet!$E97,0)</f>
        <v>0</v>
      </c>
      <c r="H97" s="213">
        <f>ROUNDUP('Production Schedule'!F$5/MAX('Production Schedule'!$E$5:$AA$5)*Fleet!$E97,0)</f>
        <v>0</v>
      </c>
      <c r="I97" s="213">
        <f>ROUNDUP('Production Schedule'!G$5/MAX('Production Schedule'!$E$5:$AA$5)*Fleet!$E97,0)</f>
        <v>0</v>
      </c>
      <c r="J97" s="213">
        <f>ROUNDUP('Production Schedule'!H$5/MAX('Production Schedule'!$E$5:$AA$5)*Fleet!$E97,0)</f>
        <v>0</v>
      </c>
      <c r="K97" s="213">
        <f>ROUNDUP('Production Schedule'!I$5/MAX('Production Schedule'!$E$5:$AA$5)*Fleet!$E97,0)</f>
        <v>1</v>
      </c>
      <c r="L97" s="213">
        <f>ROUNDUP('Production Schedule'!J$5/MAX('Production Schedule'!$E$5:$AA$5)*Fleet!$E97,0)</f>
        <v>1</v>
      </c>
      <c r="M97" s="213">
        <f>ROUNDUP('Production Schedule'!K$5/MAX('Production Schedule'!$E$5:$AA$5)*Fleet!$E97,0)</f>
        <v>2</v>
      </c>
      <c r="N97" s="213">
        <f>ROUNDUP('Production Schedule'!L$5/MAX('Production Schedule'!$E$5:$AA$5)*Fleet!$E97,0)</f>
        <v>2</v>
      </c>
      <c r="O97" s="213">
        <f>ROUNDUP('Production Schedule'!M$5/MAX('Production Schedule'!$E$5:$AA$5)*Fleet!$E97,0)</f>
        <v>2</v>
      </c>
      <c r="P97" s="213">
        <f>ROUNDUP('Production Schedule'!N$5/MAX('Production Schedule'!$E$5:$AA$5)*Fleet!$E97,0)</f>
        <v>2</v>
      </c>
      <c r="Q97" s="213">
        <f>ROUNDUP('Production Schedule'!O$5/MAX('Production Schedule'!$E$5:$AA$5)*Fleet!$E97,0)</f>
        <v>2</v>
      </c>
      <c r="R97" s="213">
        <f>ROUNDUP('Production Schedule'!P$5/MAX('Production Schedule'!$E$5:$AA$5)*Fleet!$E97,0)</f>
        <v>2</v>
      </c>
      <c r="S97" s="213">
        <f>ROUNDUP('Production Schedule'!Q$5/MAX('Production Schedule'!$E$5:$AA$5)*Fleet!$E97,0)</f>
        <v>2</v>
      </c>
      <c r="T97" s="213">
        <f>ROUNDUP('Production Schedule'!R$5/MAX('Production Schedule'!$E$5:$AA$5)*Fleet!$E97,0)</f>
        <v>2</v>
      </c>
      <c r="U97" s="213">
        <f>ROUNDUP('Production Schedule'!S$5/MAX('Production Schedule'!$E$5:$AA$5)*Fleet!$E97,0)</f>
        <v>2</v>
      </c>
      <c r="V97" s="213">
        <f>ROUNDUP('Production Schedule'!T$5/MAX('Production Schedule'!$E$5:$AA$5)*Fleet!$E97,0)</f>
        <v>2</v>
      </c>
      <c r="W97" s="213">
        <f>ROUNDUP('Production Schedule'!U$5/MAX('Production Schedule'!$E$5:$AA$5)*Fleet!$E97,0)</f>
        <v>2</v>
      </c>
      <c r="X97" s="213">
        <f>ROUNDUP('Production Schedule'!V$5/MAX('Production Schedule'!$E$5:$AA$5)*Fleet!$E97,0)</f>
        <v>2</v>
      </c>
      <c r="Y97" s="213">
        <f>ROUNDUP('Production Schedule'!W$5/MAX('Production Schedule'!$E$5:$AA$5)*Fleet!$E97,0)</f>
        <v>2</v>
      </c>
      <c r="Z97" s="213">
        <f>ROUNDUP('Production Schedule'!X$5/MAX('Production Schedule'!$E$5:$AA$5)*Fleet!$E97,0)</f>
        <v>2</v>
      </c>
      <c r="AA97" s="213">
        <f>ROUNDUP('Production Schedule'!Y$5/MAX('Production Schedule'!$E$5:$AA$5)*Fleet!$E97,0)</f>
        <v>2</v>
      </c>
      <c r="AB97" s="213">
        <f>ROUNDUP('Production Schedule'!Z$5/MAX('Production Schedule'!$E$5:$AA$5)*Fleet!$E97,0)</f>
        <v>1</v>
      </c>
      <c r="AC97" s="213">
        <f>ROUNDUP('Production Schedule'!AA$5/MAX('Production Schedule'!$E$5:$AA$5)*Fleet!$E97,0)</f>
        <v>1</v>
      </c>
    </row>
    <row r="98" spans="2:29">
      <c r="C98" s="1320" t="s">
        <v>867</v>
      </c>
      <c r="G98" s="213">
        <f>ROUNDUP('Production Schedule'!E$5/MAX('Production Schedule'!$E$5:$AA$5)*Fleet!$E98,0)</f>
        <v>0</v>
      </c>
      <c r="H98" s="213">
        <f>ROUNDUP('Production Schedule'!F$5/MAX('Production Schedule'!$E$5:$AA$5)*Fleet!$E98,0)</f>
        <v>0</v>
      </c>
      <c r="I98" s="213">
        <f>ROUNDUP('Production Schedule'!G$5/MAX('Production Schedule'!$E$5:$AA$5)*Fleet!$E98,0)</f>
        <v>0</v>
      </c>
      <c r="J98" s="213">
        <f>ROUNDUP('Production Schedule'!H$5/MAX('Production Schedule'!$E$5:$AA$5)*Fleet!$E98,0)</f>
        <v>0</v>
      </c>
      <c r="K98" s="213">
        <f>ROUNDUP('Production Schedule'!I$5/MAX('Production Schedule'!$E$5:$AA$5)*Fleet!$E98,0)</f>
        <v>0</v>
      </c>
      <c r="L98" s="213">
        <f>ROUNDUP('Production Schedule'!J$5/MAX('Production Schedule'!$E$5:$AA$5)*Fleet!$E98,0)</f>
        <v>0</v>
      </c>
      <c r="M98" s="213">
        <f>ROUNDUP('Production Schedule'!K$5/MAX('Production Schedule'!$E$5:$AA$5)*Fleet!$E98,0)</f>
        <v>0</v>
      </c>
      <c r="N98" s="213">
        <f>ROUNDUP('Production Schedule'!L$5/MAX('Production Schedule'!$E$5:$AA$5)*Fleet!$E98,0)</f>
        <v>0</v>
      </c>
      <c r="O98" s="213">
        <f>ROUNDUP('Production Schedule'!M$5/MAX('Production Schedule'!$E$5:$AA$5)*Fleet!$E98,0)</f>
        <v>0</v>
      </c>
      <c r="P98" s="213">
        <f>ROUNDUP('Production Schedule'!N$5/MAX('Production Schedule'!$E$5:$AA$5)*Fleet!$E98,0)</f>
        <v>0</v>
      </c>
      <c r="Q98" s="213">
        <f>ROUNDUP('Production Schedule'!O$5/MAX('Production Schedule'!$E$5:$AA$5)*Fleet!$E98,0)</f>
        <v>0</v>
      </c>
      <c r="R98" s="213">
        <f>ROUNDUP('Production Schedule'!P$5/MAX('Production Schedule'!$E$5:$AA$5)*Fleet!$E98,0)</f>
        <v>0</v>
      </c>
      <c r="S98" s="213">
        <f>ROUNDUP('Production Schedule'!Q$5/MAX('Production Schedule'!$E$5:$AA$5)*Fleet!$E98,0)</f>
        <v>0</v>
      </c>
      <c r="T98" s="213">
        <f>ROUNDUP('Production Schedule'!R$5/MAX('Production Schedule'!$E$5:$AA$5)*Fleet!$E98,0)</f>
        <v>0</v>
      </c>
      <c r="U98" s="213">
        <f>ROUNDUP('Production Schedule'!S$5/MAX('Production Schedule'!$E$5:$AA$5)*Fleet!$E98,0)</f>
        <v>0</v>
      </c>
      <c r="V98" s="213">
        <f>ROUNDUP('Production Schedule'!T$5/MAX('Production Schedule'!$E$5:$AA$5)*Fleet!$E98,0)</f>
        <v>0</v>
      </c>
      <c r="W98" s="213">
        <f>ROUNDUP('Production Schedule'!U$5/MAX('Production Schedule'!$E$5:$AA$5)*Fleet!$E98,0)</f>
        <v>0</v>
      </c>
      <c r="X98" s="213">
        <f>ROUNDUP('Production Schedule'!V$5/MAX('Production Schedule'!$E$5:$AA$5)*Fleet!$E98,0)</f>
        <v>0</v>
      </c>
      <c r="Y98" s="213">
        <f>ROUNDUP('Production Schedule'!W$5/MAX('Production Schedule'!$E$5:$AA$5)*Fleet!$E98,0)</f>
        <v>0</v>
      </c>
      <c r="Z98" s="213">
        <f>ROUNDUP('Production Schedule'!X$5/MAX('Production Schedule'!$E$5:$AA$5)*Fleet!$E98,0)</f>
        <v>0</v>
      </c>
      <c r="AA98" s="213">
        <f>ROUNDUP('Production Schedule'!Y$5/MAX('Production Schedule'!$E$5:$AA$5)*Fleet!$E98,0)</f>
        <v>0</v>
      </c>
      <c r="AB98" s="213">
        <f>ROUNDUP('Production Schedule'!Z$5/MAX('Production Schedule'!$E$5:$AA$5)*Fleet!$E98,0)</f>
        <v>0</v>
      </c>
      <c r="AC98" s="213">
        <f>ROUNDUP('Production Schedule'!AA$5/MAX('Production Schedule'!$E$5:$AA$5)*Fleet!$E98,0)</f>
        <v>0</v>
      </c>
    </row>
    <row r="99" spans="2:29">
      <c r="C99" s="94" t="s">
        <v>937</v>
      </c>
      <c r="D99" s="141" t="s">
        <v>896</v>
      </c>
      <c r="E99" s="219">
        <v>2</v>
      </c>
      <c r="G99" s="213">
        <f>ROUNDUP('Production Schedule'!E$5/MAX('Production Schedule'!$E$5:$AA$5)*Fleet!$E99,0)</f>
        <v>0</v>
      </c>
      <c r="H99" s="213">
        <f>ROUNDUP('Production Schedule'!F$5/MAX('Production Schedule'!$E$5:$AA$5)*Fleet!$E99,0)</f>
        <v>0</v>
      </c>
      <c r="I99" s="213">
        <f>ROUNDUP('Production Schedule'!G$5/MAX('Production Schedule'!$E$5:$AA$5)*Fleet!$E99,0)</f>
        <v>0</v>
      </c>
      <c r="J99" s="213">
        <f>ROUNDUP('Production Schedule'!H$5/MAX('Production Schedule'!$E$5:$AA$5)*Fleet!$E99,0)</f>
        <v>0</v>
      </c>
      <c r="K99" s="213">
        <f>ROUNDUP('Production Schedule'!I$5/MAX('Production Schedule'!$E$5:$AA$5)*Fleet!$E99,0)</f>
        <v>1</v>
      </c>
      <c r="L99" s="213">
        <f>ROUNDUP('Production Schedule'!J$5/MAX('Production Schedule'!$E$5:$AA$5)*Fleet!$E99,0)</f>
        <v>1</v>
      </c>
      <c r="M99" s="213">
        <f>ROUNDUP('Production Schedule'!K$5/MAX('Production Schedule'!$E$5:$AA$5)*Fleet!$E99,0)</f>
        <v>2</v>
      </c>
      <c r="N99" s="213">
        <f>ROUNDUP('Production Schedule'!L$5/MAX('Production Schedule'!$E$5:$AA$5)*Fleet!$E99,0)</f>
        <v>2</v>
      </c>
      <c r="O99" s="213">
        <f>ROUNDUP('Production Schedule'!M$5/MAX('Production Schedule'!$E$5:$AA$5)*Fleet!$E99,0)</f>
        <v>2</v>
      </c>
      <c r="P99" s="213">
        <f>ROUNDUP('Production Schedule'!N$5/MAX('Production Schedule'!$E$5:$AA$5)*Fleet!$E99,0)</f>
        <v>2</v>
      </c>
      <c r="Q99" s="213">
        <f>ROUNDUP('Production Schedule'!O$5/MAX('Production Schedule'!$E$5:$AA$5)*Fleet!$E99,0)</f>
        <v>2</v>
      </c>
      <c r="R99" s="213">
        <f>ROUNDUP('Production Schedule'!P$5/MAX('Production Schedule'!$E$5:$AA$5)*Fleet!$E99,0)</f>
        <v>2</v>
      </c>
      <c r="S99" s="213">
        <f>ROUNDUP('Production Schedule'!Q$5/MAX('Production Schedule'!$E$5:$AA$5)*Fleet!$E99,0)</f>
        <v>2</v>
      </c>
      <c r="T99" s="213">
        <f>ROUNDUP('Production Schedule'!R$5/MAX('Production Schedule'!$E$5:$AA$5)*Fleet!$E99,0)</f>
        <v>2</v>
      </c>
      <c r="U99" s="213">
        <f>ROUNDUP('Production Schedule'!S$5/MAX('Production Schedule'!$E$5:$AA$5)*Fleet!$E99,0)</f>
        <v>2</v>
      </c>
      <c r="V99" s="213">
        <f>ROUNDUP('Production Schedule'!T$5/MAX('Production Schedule'!$E$5:$AA$5)*Fleet!$E99,0)</f>
        <v>2</v>
      </c>
      <c r="W99" s="213">
        <f>ROUNDUP('Production Schedule'!U$5/MAX('Production Schedule'!$E$5:$AA$5)*Fleet!$E99,0)</f>
        <v>2</v>
      </c>
      <c r="X99" s="213">
        <f>ROUNDUP('Production Schedule'!V$5/MAX('Production Schedule'!$E$5:$AA$5)*Fleet!$E99,0)</f>
        <v>2</v>
      </c>
      <c r="Y99" s="213">
        <f>ROUNDUP('Production Schedule'!W$5/MAX('Production Schedule'!$E$5:$AA$5)*Fleet!$E99,0)</f>
        <v>2</v>
      </c>
      <c r="Z99" s="213">
        <f>ROUNDUP('Production Schedule'!X$5/MAX('Production Schedule'!$E$5:$AA$5)*Fleet!$E99,0)</f>
        <v>2</v>
      </c>
      <c r="AA99" s="213">
        <f>ROUNDUP('Production Schedule'!Y$5/MAX('Production Schedule'!$E$5:$AA$5)*Fleet!$E99,0)</f>
        <v>2</v>
      </c>
      <c r="AB99" s="213">
        <f>ROUNDUP('Production Schedule'!Z$5/MAX('Production Schedule'!$E$5:$AA$5)*Fleet!$E99,0)</f>
        <v>1</v>
      </c>
      <c r="AC99" s="213">
        <f>ROUNDUP('Production Schedule'!AA$5/MAX('Production Schedule'!$E$5:$AA$5)*Fleet!$E99,0)</f>
        <v>1</v>
      </c>
    </row>
    <row r="100" spans="2:29">
      <c r="G100" s="213">
        <f>ROUNDUP('Production Schedule'!E$5/MAX('Production Schedule'!$E$5:$AA$5)*Fleet!$E100,0)</f>
        <v>0</v>
      </c>
      <c r="H100" s="213">
        <f>ROUNDUP('Production Schedule'!F$5/MAX('Production Schedule'!$E$5:$AA$5)*Fleet!$E100,0)</f>
        <v>0</v>
      </c>
      <c r="I100" s="213">
        <f>ROUNDUP('Production Schedule'!G$5/MAX('Production Schedule'!$E$5:$AA$5)*Fleet!$E100,0)</f>
        <v>0</v>
      </c>
      <c r="J100" s="213">
        <f>ROUNDUP('Production Schedule'!H$5/MAX('Production Schedule'!$E$5:$AA$5)*Fleet!$E100,0)</f>
        <v>0</v>
      </c>
      <c r="K100" s="213">
        <f>ROUNDUP('Production Schedule'!I$5/MAX('Production Schedule'!$E$5:$AA$5)*Fleet!$E100,0)</f>
        <v>0</v>
      </c>
      <c r="L100" s="213">
        <f>ROUNDUP('Production Schedule'!J$5/MAX('Production Schedule'!$E$5:$AA$5)*Fleet!$E100,0)</f>
        <v>0</v>
      </c>
      <c r="M100" s="213">
        <f>ROUNDUP('Production Schedule'!K$5/MAX('Production Schedule'!$E$5:$AA$5)*Fleet!$E100,0)</f>
        <v>0</v>
      </c>
      <c r="N100" s="213">
        <f>ROUNDUP('Production Schedule'!L$5/MAX('Production Schedule'!$E$5:$AA$5)*Fleet!$E100,0)</f>
        <v>0</v>
      </c>
      <c r="O100" s="213">
        <f>ROUNDUP('Production Schedule'!M$5/MAX('Production Schedule'!$E$5:$AA$5)*Fleet!$E100,0)</f>
        <v>0</v>
      </c>
      <c r="P100" s="213">
        <f>ROUNDUP('Production Schedule'!N$5/MAX('Production Schedule'!$E$5:$AA$5)*Fleet!$E100,0)</f>
        <v>0</v>
      </c>
      <c r="Q100" s="213">
        <f>ROUNDUP('Production Schedule'!O$5/MAX('Production Schedule'!$E$5:$AA$5)*Fleet!$E100,0)</f>
        <v>0</v>
      </c>
      <c r="R100" s="213">
        <f>ROUNDUP('Production Schedule'!P$5/MAX('Production Schedule'!$E$5:$AA$5)*Fleet!$E100,0)</f>
        <v>0</v>
      </c>
      <c r="S100" s="213">
        <f>ROUNDUP('Production Schedule'!Q$5/MAX('Production Schedule'!$E$5:$AA$5)*Fleet!$E100,0)</f>
        <v>0</v>
      </c>
      <c r="T100" s="213">
        <f>ROUNDUP('Production Schedule'!R$5/MAX('Production Schedule'!$E$5:$AA$5)*Fleet!$E100,0)</f>
        <v>0</v>
      </c>
      <c r="U100" s="213">
        <f>ROUNDUP('Production Schedule'!S$5/MAX('Production Schedule'!$E$5:$AA$5)*Fleet!$E100,0)</f>
        <v>0</v>
      </c>
      <c r="V100" s="213">
        <f>ROUNDUP('Production Schedule'!T$5/MAX('Production Schedule'!$E$5:$AA$5)*Fleet!$E100,0)</f>
        <v>0</v>
      </c>
      <c r="W100" s="213">
        <f>ROUNDUP('Production Schedule'!U$5/MAX('Production Schedule'!$E$5:$AA$5)*Fleet!$E100,0)</f>
        <v>0</v>
      </c>
      <c r="X100" s="213">
        <f>ROUNDUP('Production Schedule'!V$5/MAX('Production Schedule'!$E$5:$AA$5)*Fleet!$E100,0)</f>
        <v>0</v>
      </c>
      <c r="Y100" s="213">
        <f>ROUNDUP('Production Schedule'!W$5/MAX('Production Schedule'!$E$5:$AA$5)*Fleet!$E100,0)</f>
        <v>0</v>
      </c>
      <c r="Z100" s="213">
        <f>ROUNDUP('Production Schedule'!X$5/MAX('Production Schedule'!$E$5:$AA$5)*Fleet!$E100,0)</f>
        <v>0</v>
      </c>
      <c r="AA100" s="213">
        <f>ROUNDUP('Production Schedule'!Y$5/MAX('Production Schedule'!$E$5:$AA$5)*Fleet!$E100,0)</f>
        <v>0</v>
      </c>
      <c r="AB100" s="213">
        <f>ROUNDUP('Production Schedule'!Z$5/MAX('Production Schedule'!$E$5:$AA$5)*Fleet!$E100,0)</f>
        <v>0</v>
      </c>
      <c r="AC100" s="213">
        <f>ROUNDUP('Production Schedule'!AA$5/MAX('Production Schedule'!$E$5:$AA$5)*Fleet!$E100,0)</f>
        <v>0</v>
      </c>
    </row>
    <row r="101" spans="2:29">
      <c r="B101" s="163" t="s">
        <v>967</v>
      </c>
      <c r="C101" s="162" t="s">
        <v>840</v>
      </c>
      <c r="G101" s="213">
        <f>ROUNDUP('Production Schedule'!E$5/MAX('Production Schedule'!$E$5:$AA$5)*Fleet!$E101,0)</f>
        <v>0</v>
      </c>
      <c r="H101" s="213">
        <f>ROUNDUP('Production Schedule'!F$5/MAX('Production Schedule'!$E$5:$AA$5)*Fleet!$E101,0)</f>
        <v>0</v>
      </c>
      <c r="I101" s="213">
        <f>ROUNDUP('Production Schedule'!G$5/MAX('Production Schedule'!$E$5:$AA$5)*Fleet!$E101,0)</f>
        <v>0</v>
      </c>
      <c r="J101" s="213">
        <f>ROUNDUP('Production Schedule'!H$5/MAX('Production Schedule'!$E$5:$AA$5)*Fleet!$E101,0)</f>
        <v>0</v>
      </c>
      <c r="K101" s="213">
        <f>ROUNDUP('Production Schedule'!I$5/MAX('Production Schedule'!$E$5:$AA$5)*Fleet!$E101,0)</f>
        <v>0</v>
      </c>
      <c r="L101" s="213">
        <f>ROUNDUP('Production Schedule'!J$5/MAX('Production Schedule'!$E$5:$AA$5)*Fleet!$E101,0)</f>
        <v>0</v>
      </c>
      <c r="M101" s="213">
        <f>ROUNDUP('Production Schedule'!K$5/MAX('Production Schedule'!$E$5:$AA$5)*Fleet!$E101,0)</f>
        <v>0</v>
      </c>
      <c r="N101" s="213">
        <f>ROUNDUP('Production Schedule'!L$5/MAX('Production Schedule'!$E$5:$AA$5)*Fleet!$E101,0)</f>
        <v>0</v>
      </c>
      <c r="O101" s="213">
        <f>ROUNDUP('Production Schedule'!M$5/MAX('Production Schedule'!$E$5:$AA$5)*Fleet!$E101,0)</f>
        <v>0</v>
      </c>
      <c r="P101" s="213">
        <f>ROUNDUP('Production Schedule'!N$5/MAX('Production Schedule'!$E$5:$AA$5)*Fleet!$E101,0)</f>
        <v>0</v>
      </c>
      <c r="Q101" s="213">
        <f>ROUNDUP('Production Schedule'!O$5/MAX('Production Schedule'!$E$5:$AA$5)*Fleet!$E101,0)</f>
        <v>0</v>
      </c>
      <c r="R101" s="213">
        <f>ROUNDUP('Production Schedule'!P$5/MAX('Production Schedule'!$E$5:$AA$5)*Fleet!$E101,0)</f>
        <v>0</v>
      </c>
      <c r="S101" s="213">
        <f>ROUNDUP('Production Schedule'!Q$5/MAX('Production Schedule'!$E$5:$AA$5)*Fleet!$E101,0)</f>
        <v>0</v>
      </c>
      <c r="T101" s="213">
        <f>ROUNDUP('Production Schedule'!R$5/MAX('Production Schedule'!$E$5:$AA$5)*Fleet!$E101,0)</f>
        <v>0</v>
      </c>
      <c r="U101" s="213">
        <f>ROUNDUP('Production Schedule'!S$5/MAX('Production Schedule'!$E$5:$AA$5)*Fleet!$E101,0)</f>
        <v>0</v>
      </c>
      <c r="V101" s="213">
        <f>ROUNDUP('Production Schedule'!T$5/MAX('Production Schedule'!$E$5:$AA$5)*Fleet!$E101,0)</f>
        <v>0</v>
      </c>
      <c r="W101" s="213">
        <f>ROUNDUP('Production Schedule'!U$5/MAX('Production Schedule'!$E$5:$AA$5)*Fleet!$E101,0)</f>
        <v>0</v>
      </c>
      <c r="X101" s="213">
        <f>ROUNDUP('Production Schedule'!V$5/MAX('Production Schedule'!$E$5:$AA$5)*Fleet!$E101,0)</f>
        <v>0</v>
      </c>
      <c r="Y101" s="213">
        <f>ROUNDUP('Production Schedule'!W$5/MAX('Production Schedule'!$E$5:$AA$5)*Fleet!$E101,0)</f>
        <v>0</v>
      </c>
      <c r="Z101" s="213">
        <f>ROUNDUP('Production Schedule'!X$5/MAX('Production Schedule'!$E$5:$AA$5)*Fleet!$E101,0)</f>
        <v>0</v>
      </c>
      <c r="AA101" s="213">
        <f>ROUNDUP('Production Schedule'!Y$5/MAX('Production Schedule'!$E$5:$AA$5)*Fleet!$E101,0)</f>
        <v>0</v>
      </c>
      <c r="AB101" s="213">
        <f>ROUNDUP('Production Schedule'!Z$5/MAX('Production Schedule'!$E$5:$AA$5)*Fleet!$E101,0)</f>
        <v>0</v>
      </c>
      <c r="AC101" s="213">
        <f>ROUNDUP('Production Schedule'!AA$5/MAX('Production Schedule'!$E$5:$AA$5)*Fleet!$E101,0)</f>
        <v>0</v>
      </c>
    </row>
    <row r="102" spans="2:29">
      <c r="C102" s="1320" t="s">
        <v>849</v>
      </c>
      <c r="G102" s="213">
        <f>ROUNDUP('Production Schedule'!E$5/MAX('Production Schedule'!$E$5:$AA$5)*Fleet!$E102,0)</f>
        <v>0</v>
      </c>
      <c r="H102" s="213">
        <f>ROUNDUP('Production Schedule'!F$5/MAX('Production Schedule'!$E$5:$AA$5)*Fleet!$E102,0)</f>
        <v>0</v>
      </c>
      <c r="I102" s="213">
        <f>ROUNDUP('Production Schedule'!G$5/MAX('Production Schedule'!$E$5:$AA$5)*Fleet!$E102,0)</f>
        <v>0</v>
      </c>
      <c r="J102" s="213">
        <f>ROUNDUP('Production Schedule'!H$5/MAX('Production Schedule'!$E$5:$AA$5)*Fleet!$E102,0)</f>
        <v>0</v>
      </c>
      <c r="K102" s="213">
        <f>ROUNDUP('Production Schedule'!I$5/MAX('Production Schedule'!$E$5:$AA$5)*Fleet!$E102,0)</f>
        <v>0</v>
      </c>
      <c r="L102" s="213">
        <f>ROUNDUP('Production Schedule'!J$5/MAX('Production Schedule'!$E$5:$AA$5)*Fleet!$E102,0)</f>
        <v>0</v>
      </c>
      <c r="M102" s="213">
        <f>ROUNDUP('Production Schedule'!K$5/MAX('Production Schedule'!$E$5:$AA$5)*Fleet!$E102,0)</f>
        <v>0</v>
      </c>
      <c r="N102" s="213">
        <f>ROUNDUP('Production Schedule'!L$5/MAX('Production Schedule'!$E$5:$AA$5)*Fleet!$E102,0)</f>
        <v>0</v>
      </c>
      <c r="O102" s="213">
        <f>ROUNDUP('Production Schedule'!M$5/MAX('Production Schedule'!$E$5:$AA$5)*Fleet!$E102,0)</f>
        <v>0</v>
      </c>
      <c r="P102" s="213">
        <f>ROUNDUP('Production Schedule'!N$5/MAX('Production Schedule'!$E$5:$AA$5)*Fleet!$E102,0)</f>
        <v>0</v>
      </c>
      <c r="Q102" s="213">
        <f>ROUNDUP('Production Schedule'!O$5/MAX('Production Schedule'!$E$5:$AA$5)*Fleet!$E102,0)</f>
        <v>0</v>
      </c>
      <c r="R102" s="213">
        <f>ROUNDUP('Production Schedule'!P$5/MAX('Production Schedule'!$E$5:$AA$5)*Fleet!$E102,0)</f>
        <v>0</v>
      </c>
      <c r="S102" s="213">
        <f>ROUNDUP('Production Schedule'!Q$5/MAX('Production Schedule'!$E$5:$AA$5)*Fleet!$E102,0)</f>
        <v>0</v>
      </c>
      <c r="T102" s="213">
        <f>ROUNDUP('Production Schedule'!R$5/MAX('Production Schedule'!$E$5:$AA$5)*Fleet!$E102,0)</f>
        <v>0</v>
      </c>
      <c r="U102" s="213">
        <f>ROUNDUP('Production Schedule'!S$5/MAX('Production Schedule'!$E$5:$AA$5)*Fleet!$E102,0)</f>
        <v>0</v>
      </c>
      <c r="V102" s="213">
        <f>ROUNDUP('Production Schedule'!T$5/MAX('Production Schedule'!$E$5:$AA$5)*Fleet!$E102,0)</f>
        <v>0</v>
      </c>
      <c r="W102" s="213">
        <f>ROUNDUP('Production Schedule'!U$5/MAX('Production Schedule'!$E$5:$AA$5)*Fleet!$E102,0)</f>
        <v>0</v>
      </c>
      <c r="X102" s="213">
        <f>ROUNDUP('Production Schedule'!V$5/MAX('Production Schedule'!$E$5:$AA$5)*Fleet!$E102,0)</f>
        <v>0</v>
      </c>
      <c r="Y102" s="213">
        <f>ROUNDUP('Production Schedule'!W$5/MAX('Production Schedule'!$E$5:$AA$5)*Fleet!$E102,0)</f>
        <v>0</v>
      </c>
      <c r="Z102" s="213">
        <f>ROUNDUP('Production Schedule'!X$5/MAX('Production Schedule'!$E$5:$AA$5)*Fleet!$E102,0)</f>
        <v>0</v>
      </c>
      <c r="AA102" s="213">
        <f>ROUNDUP('Production Schedule'!Y$5/MAX('Production Schedule'!$E$5:$AA$5)*Fleet!$E102,0)</f>
        <v>0</v>
      </c>
      <c r="AB102" s="213">
        <f>ROUNDUP('Production Schedule'!Z$5/MAX('Production Schedule'!$E$5:$AA$5)*Fleet!$E102,0)</f>
        <v>0</v>
      </c>
      <c r="AC102" s="213">
        <f>ROUNDUP('Production Schedule'!AA$5/MAX('Production Schedule'!$E$5:$AA$5)*Fleet!$E102,0)</f>
        <v>0</v>
      </c>
    </row>
    <row r="103" spans="2:29">
      <c r="C103" s="94" t="s">
        <v>937</v>
      </c>
      <c r="D103" s="141" t="s">
        <v>896</v>
      </c>
      <c r="E103" s="219">
        <v>2</v>
      </c>
      <c r="G103" s="213">
        <f>ROUNDUP('Production Schedule'!E$5/MAX('Production Schedule'!$E$5:$AA$5)*Fleet!$E103,0)</f>
        <v>0</v>
      </c>
      <c r="H103" s="213">
        <f>ROUNDUP('Production Schedule'!F$5/MAX('Production Schedule'!$E$5:$AA$5)*Fleet!$E103,0)</f>
        <v>0</v>
      </c>
      <c r="I103" s="213">
        <f>ROUNDUP('Production Schedule'!G$5/MAX('Production Schedule'!$E$5:$AA$5)*Fleet!$E103,0)</f>
        <v>0</v>
      </c>
      <c r="J103" s="213">
        <f>ROUNDUP('Production Schedule'!H$5/MAX('Production Schedule'!$E$5:$AA$5)*Fleet!$E103,0)</f>
        <v>0</v>
      </c>
      <c r="K103" s="213">
        <f>ROUNDUP('Production Schedule'!I$5/MAX('Production Schedule'!$E$5:$AA$5)*Fleet!$E103,0)</f>
        <v>1</v>
      </c>
      <c r="L103" s="213">
        <f>ROUNDUP('Production Schedule'!J$5/MAX('Production Schedule'!$E$5:$AA$5)*Fleet!$E103,0)</f>
        <v>1</v>
      </c>
      <c r="M103" s="213">
        <f>ROUNDUP('Production Schedule'!K$5/MAX('Production Schedule'!$E$5:$AA$5)*Fleet!$E103,0)</f>
        <v>2</v>
      </c>
      <c r="N103" s="213">
        <f>ROUNDUP('Production Schedule'!L$5/MAX('Production Schedule'!$E$5:$AA$5)*Fleet!$E103,0)</f>
        <v>2</v>
      </c>
      <c r="O103" s="213">
        <f>ROUNDUP('Production Schedule'!M$5/MAX('Production Schedule'!$E$5:$AA$5)*Fleet!$E103,0)</f>
        <v>2</v>
      </c>
      <c r="P103" s="213">
        <f>ROUNDUP('Production Schedule'!N$5/MAX('Production Schedule'!$E$5:$AA$5)*Fleet!$E103,0)</f>
        <v>2</v>
      </c>
      <c r="Q103" s="213">
        <f>ROUNDUP('Production Schedule'!O$5/MAX('Production Schedule'!$E$5:$AA$5)*Fleet!$E103,0)</f>
        <v>2</v>
      </c>
      <c r="R103" s="213">
        <f>ROUNDUP('Production Schedule'!P$5/MAX('Production Schedule'!$E$5:$AA$5)*Fleet!$E103,0)</f>
        <v>2</v>
      </c>
      <c r="S103" s="213">
        <f>ROUNDUP('Production Schedule'!Q$5/MAX('Production Schedule'!$E$5:$AA$5)*Fleet!$E103,0)</f>
        <v>2</v>
      </c>
      <c r="T103" s="213">
        <f>ROUNDUP('Production Schedule'!R$5/MAX('Production Schedule'!$E$5:$AA$5)*Fleet!$E103,0)</f>
        <v>2</v>
      </c>
      <c r="U103" s="213">
        <f>ROUNDUP('Production Schedule'!S$5/MAX('Production Schedule'!$E$5:$AA$5)*Fleet!$E103,0)</f>
        <v>2</v>
      </c>
      <c r="V103" s="213">
        <f>ROUNDUP('Production Schedule'!T$5/MAX('Production Schedule'!$E$5:$AA$5)*Fleet!$E103,0)</f>
        <v>2</v>
      </c>
      <c r="W103" s="213">
        <f>ROUNDUP('Production Schedule'!U$5/MAX('Production Schedule'!$E$5:$AA$5)*Fleet!$E103,0)</f>
        <v>2</v>
      </c>
      <c r="X103" s="213">
        <f>ROUNDUP('Production Schedule'!V$5/MAX('Production Schedule'!$E$5:$AA$5)*Fleet!$E103,0)</f>
        <v>2</v>
      </c>
      <c r="Y103" s="213">
        <f>ROUNDUP('Production Schedule'!W$5/MAX('Production Schedule'!$E$5:$AA$5)*Fleet!$E103,0)</f>
        <v>2</v>
      </c>
      <c r="Z103" s="213">
        <f>ROUNDUP('Production Schedule'!X$5/MAX('Production Schedule'!$E$5:$AA$5)*Fleet!$E103,0)</f>
        <v>2</v>
      </c>
      <c r="AA103" s="213">
        <f>ROUNDUP('Production Schedule'!Y$5/MAX('Production Schedule'!$E$5:$AA$5)*Fleet!$E103,0)</f>
        <v>2</v>
      </c>
      <c r="AB103" s="213">
        <f>ROUNDUP('Production Schedule'!Z$5/MAX('Production Schedule'!$E$5:$AA$5)*Fleet!$E103,0)</f>
        <v>1</v>
      </c>
      <c r="AC103" s="213">
        <f>ROUNDUP('Production Schedule'!AA$5/MAX('Production Schedule'!$E$5:$AA$5)*Fleet!$E103,0)</f>
        <v>1</v>
      </c>
    </row>
    <row r="104" spans="2:29">
      <c r="C104" s="1320" t="s">
        <v>868</v>
      </c>
      <c r="G104" s="213">
        <f>ROUNDUP('Production Schedule'!E$5/MAX('Production Schedule'!$E$5:$AA$5)*Fleet!$E104,0)</f>
        <v>0</v>
      </c>
      <c r="H104" s="213">
        <f>ROUNDUP('Production Schedule'!F$5/MAX('Production Schedule'!$E$5:$AA$5)*Fleet!$E104,0)</f>
        <v>0</v>
      </c>
      <c r="I104" s="213">
        <f>ROUNDUP('Production Schedule'!G$5/MAX('Production Schedule'!$E$5:$AA$5)*Fleet!$E104,0)</f>
        <v>0</v>
      </c>
      <c r="J104" s="213">
        <f>ROUNDUP('Production Schedule'!H$5/MAX('Production Schedule'!$E$5:$AA$5)*Fleet!$E104,0)</f>
        <v>0</v>
      </c>
      <c r="K104" s="213">
        <f>ROUNDUP('Production Schedule'!I$5/MAX('Production Schedule'!$E$5:$AA$5)*Fleet!$E104,0)</f>
        <v>0</v>
      </c>
      <c r="L104" s="213">
        <f>ROUNDUP('Production Schedule'!J$5/MAX('Production Schedule'!$E$5:$AA$5)*Fleet!$E104,0)</f>
        <v>0</v>
      </c>
      <c r="M104" s="213">
        <f>ROUNDUP('Production Schedule'!K$5/MAX('Production Schedule'!$E$5:$AA$5)*Fleet!$E104,0)</f>
        <v>0</v>
      </c>
      <c r="N104" s="213">
        <f>ROUNDUP('Production Schedule'!L$5/MAX('Production Schedule'!$E$5:$AA$5)*Fleet!$E104,0)</f>
        <v>0</v>
      </c>
      <c r="O104" s="213">
        <f>ROUNDUP('Production Schedule'!M$5/MAX('Production Schedule'!$E$5:$AA$5)*Fleet!$E104,0)</f>
        <v>0</v>
      </c>
      <c r="P104" s="213">
        <f>ROUNDUP('Production Schedule'!N$5/MAX('Production Schedule'!$E$5:$AA$5)*Fleet!$E104,0)</f>
        <v>0</v>
      </c>
      <c r="Q104" s="213">
        <f>ROUNDUP('Production Schedule'!O$5/MAX('Production Schedule'!$E$5:$AA$5)*Fleet!$E104,0)</f>
        <v>0</v>
      </c>
      <c r="R104" s="213">
        <f>ROUNDUP('Production Schedule'!P$5/MAX('Production Schedule'!$E$5:$AA$5)*Fleet!$E104,0)</f>
        <v>0</v>
      </c>
      <c r="S104" s="213">
        <f>ROUNDUP('Production Schedule'!Q$5/MAX('Production Schedule'!$E$5:$AA$5)*Fleet!$E104,0)</f>
        <v>0</v>
      </c>
      <c r="T104" s="213">
        <f>ROUNDUP('Production Schedule'!R$5/MAX('Production Schedule'!$E$5:$AA$5)*Fleet!$E104,0)</f>
        <v>0</v>
      </c>
      <c r="U104" s="213">
        <f>ROUNDUP('Production Schedule'!S$5/MAX('Production Schedule'!$E$5:$AA$5)*Fleet!$E104,0)</f>
        <v>0</v>
      </c>
      <c r="V104" s="213">
        <f>ROUNDUP('Production Schedule'!T$5/MAX('Production Schedule'!$E$5:$AA$5)*Fleet!$E104,0)</f>
        <v>0</v>
      </c>
      <c r="W104" s="213">
        <f>ROUNDUP('Production Schedule'!U$5/MAX('Production Schedule'!$E$5:$AA$5)*Fleet!$E104,0)</f>
        <v>0</v>
      </c>
      <c r="X104" s="213">
        <f>ROUNDUP('Production Schedule'!V$5/MAX('Production Schedule'!$E$5:$AA$5)*Fleet!$E104,0)</f>
        <v>0</v>
      </c>
      <c r="Y104" s="213">
        <f>ROUNDUP('Production Schedule'!W$5/MAX('Production Schedule'!$E$5:$AA$5)*Fleet!$E104,0)</f>
        <v>0</v>
      </c>
      <c r="Z104" s="213">
        <f>ROUNDUP('Production Schedule'!X$5/MAX('Production Schedule'!$E$5:$AA$5)*Fleet!$E104,0)</f>
        <v>0</v>
      </c>
      <c r="AA104" s="213">
        <f>ROUNDUP('Production Schedule'!Y$5/MAX('Production Schedule'!$E$5:$AA$5)*Fleet!$E104,0)</f>
        <v>0</v>
      </c>
      <c r="AB104" s="213">
        <f>ROUNDUP('Production Schedule'!Z$5/MAX('Production Schedule'!$E$5:$AA$5)*Fleet!$E104,0)</f>
        <v>0</v>
      </c>
      <c r="AC104" s="213">
        <f>ROUNDUP('Production Schedule'!AA$5/MAX('Production Schedule'!$E$5:$AA$5)*Fleet!$E104,0)</f>
        <v>0</v>
      </c>
    </row>
    <row r="105" spans="2:29">
      <c r="C105" s="94" t="s">
        <v>937</v>
      </c>
      <c r="D105" s="141" t="s">
        <v>896</v>
      </c>
      <c r="E105" s="219">
        <v>2</v>
      </c>
      <c r="G105" s="213">
        <f>ROUNDUP('Production Schedule'!E$5/MAX('Production Schedule'!$E$5:$AA$5)*Fleet!$E105,0)</f>
        <v>0</v>
      </c>
      <c r="H105" s="213">
        <f>ROUNDUP('Production Schedule'!F$5/MAX('Production Schedule'!$E$5:$AA$5)*Fleet!$E105,0)</f>
        <v>0</v>
      </c>
      <c r="I105" s="213">
        <f>ROUNDUP('Production Schedule'!G$5/MAX('Production Schedule'!$E$5:$AA$5)*Fleet!$E105,0)</f>
        <v>0</v>
      </c>
      <c r="J105" s="213">
        <f>ROUNDUP('Production Schedule'!H$5/MAX('Production Schedule'!$E$5:$AA$5)*Fleet!$E105,0)</f>
        <v>0</v>
      </c>
      <c r="K105" s="213">
        <f>ROUNDUP('Production Schedule'!I$5/MAX('Production Schedule'!$E$5:$AA$5)*Fleet!$E105,0)</f>
        <v>1</v>
      </c>
      <c r="L105" s="213">
        <f>ROUNDUP('Production Schedule'!J$5/MAX('Production Schedule'!$E$5:$AA$5)*Fleet!$E105,0)</f>
        <v>1</v>
      </c>
      <c r="M105" s="213">
        <f>ROUNDUP('Production Schedule'!K$5/MAX('Production Schedule'!$E$5:$AA$5)*Fleet!$E105,0)</f>
        <v>2</v>
      </c>
      <c r="N105" s="213">
        <f>ROUNDUP('Production Schedule'!L$5/MAX('Production Schedule'!$E$5:$AA$5)*Fleet!$E105,0)</f>
        <v>2</v>
      </c>
      <c r="O105" s="213">
        <f>ROUNDUP('Production Schedule'!M$5/MAX('Production Schedule'!$E$5:$AA$5)*Fleet!$E105,0)</f>
        <v>2</v>
      </c>
      <c r="P105" s="213">
        <f>ROUNDUP('Production Schedule'!N$5/MAX('Production Schedule'!$E$5:$AA$5)*Fleet!$E105,0)</f>
        <v>2</v>
      </c>
      <c r="Q105" s="213">
        <f>ROUNDUP('Production Schedule'!O$5/MAX('Production Schedule'!$E$5:$AA$5)*Fleet!$E105,0)</f>
        <v>2</v>
      </c>
      <c r="R105" s="213">
        <f>ROUNDUP('Production Schedule'!P$5/MAX('Production Schedule'!$E$5:$AA$5)*Fleet!$E105,0)</f>
        <v>2</v>
      </c>
      <c r="S105" s="213">
        <f>ROUNDUP('Production Schedule'!Q$5/MAX('Production Schedule'!$E$5:$AA$5)*Fleet!$E105,0)</f>
        <v>2</v>
      </c>
      <c r="T105" s="213">
        <f>ROUNDUP('Production Schedule'!R$5/MAX('Production Schedule'!$E$5:$AA$5)*Fleet!$E105,0)</f>
        <v>2</v>
      </c>
      <c r="U105" s="213">
        <f>ROUNDUP('Production Schedule'!S$5/MAX('Production Schedule'!$E$5:$AA$5)*Fleet!$E105,0)</f>
        <v>2</v>
      </c>
      <c r="V105" s="213">
        <f>ROUNDUP('Production Schedule'!T$5/MAX('Production Schedule'!$E$5:$AA$5)*Fleet!$E105,0)</f>
        <v>2</v>
      </c>
      <c r="W105" s="213">
        <f>ROUNDUP('Production Schedule'!U$5/MAX('Production Schedule'!$E$5:$AA$5)*Fleet!$E105,0)</f>
        <v>2</v>
      </c>
      <c r="X105" s="213">
        <f>ROUNDUP('Production Schedule'!V$5/MAX('Production Schedule'!$E$5:$AA$5)*Fleet!$E105,0)</f>
        <v>2</v>
      </c>
      <c r="Y105" s="213">
        <f>ROUNDUP('Production Schedule'!W$5/MAX('Production Schedule'!$E$5:$AA$5)*Fleet!$E105,0)</f>
        <v>2</v>
      </c>
      <c r="Z105" s="213">
        <f>ROUNDUP('Production Schedule'!X$5/MAX('Production Schedule'!$E$5:$AA$5)*Fleet!$E105,0)</f>
        <v>2</v>
      </c>
      <c r="AA105" s="213">
        <f>ROUNDUP('Production Schedule'!Y$5/MAX('Production Schedule'!$E$5:$AA$5)*Fleet!$E105,0)</f>
        <v>2</v>
      </c>
      <c r="AB105" s="213">
        <f>ROUNDUP('Production Schedule'!Z$5/MAX('Production Schedule'!$E$5:$AA$5)*Fleet!$E105,0)</f>
        <v>1</v>
      </c>
      <c r="AC105" s="213">
        <f>ROUNDUP('Production Schedule'!AA$5/MAX('Production Schedule'!$E$5:$AA$5)*Fleet!$E105,0)</f>
        <v>1</v>
      </c>
    </row>
    <row r="106" spans="2:29">
      <c r="C106" s="1320" t="s">
        <v>893</v>
      </c>
      <c r="G106" s="213">
        <f>ROUNDUP('Production Schedule'!E$5/MAX('Production Schedule'!$E$5:$AA$5)*Fleet!$E106,0)</f>
        <v>0</v>
      </c>
      <c r="H106" s="213">
        <f>ROUNDUP('Production Schedule'!F$5/MAX('Production Schedule'!$E$5:$AA$5)*Fleet!$E106,0)</f>
        <v>0</v>
      </c>
      <c r="I106" s="213">
        <f>ROUNDUP('Production Schedule'!G$5/MAX('Production Schedule'!$E$5:$AA$5)*Fleet!$E106,0)</f>
        <v>0</v>
      </c>
      <c r="J106" s="213">
        <f>ROUNDUP('Production Schedule'!H$5/MAX('Production Schedule'!$E$5:$AA$5)*Fleet!$E106,0)</f>
        <v>0</v>
      </c>
      <c r="K106" s="213">
        <f>ROUNDUP('Production Schedule'!I$5/MAX('Production Schedule'!$E$5:$AA$5)*Fleet!$E106,0)</f>
        <v>0</v>
      </c>
      <c r="L106" s="213">
        <f>ROUNDUP('Production Schedule'!J$5/MAX('Production Schedule'!$E$5:$AA$5)*Fleet!$E106,0)</f>
        <v>0</v>
      </c>
      <c r="M106" s="213">
        <f>ROUNDUP('Production Schedule'!K$5/MAX('Production Schedule'!$E$5:$AA$5)*Fleet!$E106,0)</f>
        <v>0</v>
      </c>
      <c r="N106" s="213">
        <f>ROUNDUP('Production Schedule'!L$5/MAX('Production Schedule'!$E$5:$AA$5)*Fleet!$E106,0)</f>
        <v>0</v>
      </c>
      <c r="O106" s="213">
        <f>ROUNDUP('Production Schedule'!M$5/MAX('Production Schedule'!$E$5:$AA$5)*Fleet!$E106,0)</f>
        <v>0</v>
      </c>
      <c r="P106" s="213">
        <f>ROUNDUP('Production Schedule'!N$5/MAX('Production Schedule'!$E$5:$AA$5)*Fleet!$E106,0)</f>
        <v>0</v>
      </c>
      <c r="Q106" s="213">
        <f>ROUNDUP('Production Schedule'!O$5/MAX('Production Schedule'!$E$5:$AA$5)*Fleet!$E106,0)</f>
        <v>0</v>
      </c>
      <c r="R106" s="213">
        <f>ROUNDUP('Production Schedule'!P$5/MAX('Production Schedule'!$E$5:$AA$5)*Fleet!$E106,0)</f>
        <v>0</v>
      </c>
      <c r="S106" s="213">
        <f>ROUNDUP('Production Schedule'!Q$5/MAX('Production Schedule'!$E$5:$AA$5)*Fleet!$E106,0)</f>
        <v>0</v>
      </c>
      <c r="T106" s="213">
        <f>ROUNDUP('Production Schedule'!R$5/MAX('Production Schedule'!$E$5:$AA$5)*Fleet!$E106,0)</f>
        <v>0</v>
      </c>
      <c r="U106" s="213">
        <f>ROUNDUP('Production Schedule'!S$5/MAX('Production Schedule'!$E$5:$AA$5)*Fleet!$E106,0)</f>
        <v>0</v>
      </c>
      <c r="V106" s="213">
        <f>ROUNDUP('Production Schedule'!T$5/MAX('Production Schedule'!$E$5:$AA$5)*Fleet!$E106,0)</f>
        <v>0</v>
      </c>
      <c r="W106" s="213">
        <f>ROUNDUP('Production Schedule'!U$5/MAX('Production Schedule'!$E$5:$AA$5)*Fleet!$E106,0)</f>
        <v>0</v>
      </c>
      <c r="X106" s="213">
        <f>ROUNDUP('Production Schedule'!V$5/MAX('Production Schedule'!$E$5:$AA$5)*Fleet!$E106,0)</f>
        <v>0</v>
      </c>
      <c r="Y106" s="213">
        <f>ROUNDUP('Production Schedule'!W$5/MAX('Production Schedule'!$E$5:$AA$5)*Fleet!$E106,0)</f>
        <v>0</v>
      </c>
      <c r="Z106" s="213">
        <f>ROUNDUP('Production Schedule'!X$5/MAX('Production Schedule'!$E$5:$AA$5)*Fleet!$E106,0)</f>
        <v>0</v>
      </c>
      <c r="AA106" s="213">
        <f>ROUNDUP('Production Schedule'!Y$5/MAX('Production Schedule'!$E$5:$AA$5)*Fleet!$E106,0)</f>
        <v>0</v>
      </c>
      <c r="AB106" s="213">
        <f>ROUNDUP('Production Schedule'!Z$5/MAX('Production Schedule'!$E$5:$AA$5)*Fleet!$E106,0)</f>
        <v>0</v>
      </c>
      <c r="AC106" s="213">
        <f>ROUNDUP('Production Schedule'!AA$5/MAX('Production Schedule'!$E$5:$AA$5)*Fleet!$E106,0)</f>
        <v>0</v>
      </c>
    </row>
    <row r="107" spans="2:29">
      <c r="C107" s="94" t="s">
        <v>937</v>
      </c>
      <c r="D107" s="141" t="s">
        <v>896</v>
      </c>
      <c r="E107" s="219">
        <v>2</v>
      </c>
      <c r="G107" s="213">
        <f>ROUNDUP('Production Schedule'!E$5/MAX('Production Schedule'!$E$5:$AA$5)*Fleet!$E107,0)</f>
        <v>0</v>
      </c>
      <c r="H107" s="213">
        <f>ROUNDUP('Production Schedule'!F$5/MAX('Production Schedule'!$E$5:$AA$5)*Fleet!$E107,0)</f>
        <v>0</v>
      </c>
      <c r="I107" s="213">
        <f>ROUNDUP('Production Schedule'!G$5/MAX('Production Schedule'!$E$5:$AA$5)*Fleet!$E107,0)</f>
        <v>0</v>
      </c>
      <c r="J107" s="213">
        <f>ROUNDUP('Production Schedule'!H$5/MAX('Production Schedule'!$E$5:$AA$5)*Fleet!$E107,0)</f>
        <v>0</v>
      </c>
      <c r="K107" s="213">
        <f>ROUNDUP('Production Schedule'!I$5/MAX('Production Schedule'!$E$5:$AA$5)*Fleet!$E107,0)</f>
        <v>1</v>
      </c>
      <c r="L107" s="213">
        <f>ROUNDUP('Production Schedule'!J$5/MAX('Production Schedule'!$E$5:$AA$5)*Fleet!$E107,0)</f>
        <v>1</v>
      </c>
      <c r="M107" s="213">
        <f>ROUNDUP('Production Schedule'!K$5/MAX('Production Schedule'!$E$5:$AA$5)*Fleet!$E107,0)</f>
        <v>2</v>
      </c>
      <c r="N107" s="213">
        <f>ROUNDUP('Production Schedule'!L$5/MAX('Production Schedule'!$E$5:$AA$5)*Fleet!$E107,0)</f>
        <v>2</v>
      </c>
      <c r="O107" s="213">
        <f>ROUNDUP('Production Schedule'!M$5/MAX('Production Schedule'!$E$5:$AA$5)*Fleet!$E107,0)</f>
        <v>2</v>
      </c>
      <c r="P107" s="213">
        <f>ROUNDUP('Production Schedule'!N$5/MAX('Production Schedule'!$E$5:$AA$5)*Fleet!$E107,0)</f>
        <v>2</v>
      </c>
      <c r="Q107" s="213">
        <f>ROUNDUP('Production Schedule'!O$5/MAX('Production Schedule'!$E$5:$AA$5)*Fleet!$E107,0)</f>
        <v>2</v>
      </c>
      <c r="R107" s="213">
        <f>ROUNDUP('Production Schedule'!P$5/MAX('Production Schedule'!$E$5:$AA$5)*Fleet!$E107,0)</f>
        <v>2</v>
      </c>
      <c r="S107" s="213">
        <f>ROUNDUP('Production Schedule'!Q$5/MAX('Production Schedule'!$E$5:$AA$5)*Fleet!$E107,0)</f>
        <v>2</v>
      </c>
      <c r="T107" s="213">
        <f>ROUNDUP('Production Schedule'!R$5/MAX('Production Schedule'!$E$5:$AA$5)*Fleet!$E107,0)</f>
        <v>2</v>
      </c>
      <c r="U107" s="213">
        <f>ROUNDUP('Production Schedule'!S$5/MAX('Production Schedule'!$E$5:$AA$5)*Fleet!$E107,0)</f>
        <v>2</v>
      </c>
      <c r="V107" s="213">
        <f>ROUNDUP('Production Schedule'!T$5/MAX('Production Schedule'!$E$5:$AA$5)*Fleet!$E107,0)</f>
        <v>2</v>
      </c>
      <c r="W107" s="213">
        <f>ROUNDUP('Production Schedule'!U$5/MAX('Production Schedule'!$E$5:$AA$5)*Fleet!$E107,0)</f>
        <v>2</v>
      </c>
      <c r="X107" s="213">
        <f>ROUNDUP('Production Schedule'!V$5/MAX('Production Schedule'!$E$5:$AA$5)*Fleet!$E107,0)</f>
        <v>2</v>
      </c>
      <c r="Y107" s="213">
        <f>ROUNDUP('Production Schedule'!W$5/MAX('Production Schedule'!$E$5:$AA$5)*Fleet!$E107,0)</f>
        <v>2</v>
      </c>
      <c r="Z107" s="213">
        <f>ROUNDUP('Production Schedule'!X$5/MAX('Production Schedule'!$E$5:$AA$5)*Fleet!$E107,0)</f>
        <v>2</v>
      </c>
      <c r="AA107" s="213">
        <f>ROUNDUP('Production Schedule'!Y$5/MAX('Production Schedule'!$E$5:$AA$5)*Fleet!$E107,0)</f>
        <v>2</v>
      </c>
      <c r="AB107" s="213">
        <f>ROUNDUP('Production Schedule'!Z$5/MAX('Production Schedule'!$E$5:$AA$5)*Fleet!$E107,0)</f>
        <v>1</v>
      </c>
      <c r="AC107" s="213">
        <f>ROUNDUP('Production Schedule'!AA$5/MAX('Production Schedule'!$E$5:$AA$5)*Fleet!$E107,0)</f>
        <v>1</v>
      </c>
    </row>
    <row r="108" spans="2:29">
      <c r="C108" s="1320" t="s">
        <v>900</v>
      </c>
      <c r="G108" s="213">
        <f>ROUNDUP('Production Schedule'!E$5/MAX('Production Schedule'!$E$5:$AA$5)*Fleet!$E108,0)</f>
        <v>0</v>
      </c>
      <c r="H108" s="213">
        <f>ROUNDUP('Production Schedule'!F$5/MAX('Production Schedule'!$E$5:$AA$5)*Fleet!$E108,0)</f>
        <v>0</v>
      </c>
      <c r="I108" s="213">
        <f>ROUNDUP('Production Schedule'!G$5/MAX('Production Schedule'!$E$5:$AA$5)*Fleet!$E108,0)</f>
        <v>0</v>
      </c>
      <c r="J108" s="213">
        <f>ROUNDUP('Production Schedule'!H$5/MAX('Production Schedule'!$E$5:$AA$5)*Fleet!$E108,0)</f>
        <v>0</v>
      </c>
      <c r="K108" s="213">
        <f>ROUNDUP('Production Schedule'!I$5/MAX('Production Schedule'!$E$5:$AA$5)*Fleet!$E108,0)</f>
        <v>0</v>
      </c>
      <c r="L108" s="213">
        <f>ROUNDUP('Production Schedule'!J$5/MAX('Production Schedule'!$E$5:$AA$5)*Fleet!$E108,0)</f>
        <v>0</v>
      </c>
      <c r="M108" s="213">
        <f>ROUNDUP('Production Schedule'!K$5/MAX('Production Schedule'!$E$5:$AA$5)*Fleet!$E108,0)</f>
        <v>0</v>
      </c>
      <c r="N108" s="213">
        <f>ROUNDUP('Production Schedule'!L$5/MAX('Production Schedule'!$E$5:$AA$5)*Fleet!$E108,0)</f>
        <v>0</v>
      </c>
      <c r="O108" s="213">
        <f>ROUNDUP('Production Schedule'!M$5/MAX('Production Schedule'!$E$5:$AA$5)*Fleet!$E108,0)</f>
        <v>0</v>
      </c>
      <c r="P108" s="213">
        <f>ROUNDUP('Production Schedule'!N$5/MAX('Production Schedule'!$E$5:$AA$5)*Fleet!$E108,0)</f>
        <v>0</v>
      </c>
      <c r="Q108" s="213">
        <f>ROUNDUP('Production Schedule'!O$5/MAX('Production Schedule'!$E$5:$AA$5)*Fleet!$E108,0)</f>
        <v>0</v>
      </c>
      <c r="R108" s="213">
        <f>ROUNDUP('Production Schedule'!P$5/MAX('Production Schedule'!$E$5:$AA$5)*Fleet!$E108,0)</f>
        <v>0</v>
      </c>
      <c r="S108" s="213">
        <f>ROUNDUP('Production Schedule'!Q$5/MAX('Production Schedule'!$E$5:$AA$5)*Fleet!$E108,0)</f>
        <v>0</v>
      </c>
      <c r="T108" s="213">
        <f>ROUNDUP('Production Schedule'!R$5/MAX('Production Schedule'!$E$5:$AA$5)*Fleet!$E108,0)</f>
        <v>0</v>
      </c>
      <c r="U108" s="213">
        <f>ROUNDUP('Production Schedule'!S$5/MAX('Production Schedule'!$E$5:$AA$5)*Fleet!$E108,0)</f>
        <v>0</v>
      </c>
      <c r="V108" s="213">
        <f>ROUNDUP('Production Schedule'!T$5/MAX('Production Schedule'!$E$5:$AA$5)*Fleet!$E108,0)</f>
        <v>0</v>
      </c>
      <c r="W108" s="213">
        <f>ROUNDUP('Production Schedule'!U$5/MAX('Production Schedule'!$E$5:$AA$5)*Fleet!$E108,0)</f>
        <v>0</v>
      </c>
      <c r="X108" s="213">
        <f>ROUNDUP('Production Schedule'!V$5/MAX('Production Schedule'!$E$5:$AA$5)*Fleet!$E108,0)</f>
        <v>0</v>
      </c>
      <c r="Y108" s="213">
        <f>ROUNDUP('Production Schedule'!W$5/MAX('Production Schedule'!$E$5:$AA$5)*Fleet!$E108,0)</f>
        <v>0</v>
      </c>
      <c r="Z108" s="213">
        <f>ROUNDUP('Production Schedule'!X$5/MAX('Production Schedule'!$E$5:$AA$5)*Fleet!$E108,0)</f>
        <v>0</v>
      </c>
      <c r="AA108" s="213">
        <f>ROUNDUP('Production Schedule'!Y$5/MAX('Production Schedule'!$E$5:$AA$5)*Fleet!$E108,0)</f>
        <v>0</v>
      </c>
      <c r="AB108" s="213">
        <f>ROUNDUP('Production Schedule'!Z$5/MAX('Production Schedule'!$E$5:$AA$5)*Fleet!$E108,0)</f>
        <v>0</v>
      </c>
      <c r="AC108" s="213">
        <f>ROUNDUP('Production Schedule'!AA$5/MAX('Production Schedule'!$E$5:$AA$5)*Fleet!$E108,0)</f>
        <v>0</v>
      </c>
    </row>
    <row r="109" spans="2:29">
      <c r="C109" s="94" t="s">
        <v>937</v>
      </c>
      <c r="D109" s="141" t="s">
        <v>896</v>
      </c>
      <c r="E109" s="219">
        <v>2</v>
      </c>
      <c r="G109" s="213">
        <f>ROUNDUP('Production Schedule'!E$5/MAX('Production Schedule'!$E$5:$AA$5)*Fleet!$E109,0)</f>
        <v>0</v>
      </c>
      <c r="H109" s="213">
        <f>ROUNDUP('Production Schedule'!F$5/MAX('Production Schedule'!$E$5:$AA$5)*Fleet!$E109,0)</f>
        <v>0</v>
      </c>
      <c r="I109" s="213">
        <f>ROUNDUP('Production Schedule'!G$5/MAX('Production Schedule'!$E$5:$AA$5)*Fleet!$E109,0)</f>
        <v>0</v>
      </c>
      <c r="J109" s="213">
        <f>ROUNDUP('Production Schedule'!H$5/MAX('Production Schedule'!$E$5:$AA$5)*Fleet!$E109,0)</f>
        <v>0</v>
      </c>
      <c r="K109" s="213">
        <f>ROUNDUP('Production Schedule'!I$5/MAX('Production Schedule'!$E$5:$AA$5)*Fleet!$E109,0)</f>
        <v>1</v>
      </c>
      <c r="L109" s="213">
        <f>ROUNDUP('Production Schedule'!J$5/MAX('Production Schedule'!$E$5:$AA$5)*Fleet!$E109,0)</f>
        <v>1</v>
      </c>
      <c r="M109" s="213">
        <f>ROUNDUP('Production Schedule'!K$5/MAX('Production Schedule'!$E$5:$AA$5)*Fleet!$E109,0)</f>
        <v>2</v>
      </c>
      <c r="N109" s="213">
        <f>ROUNDUP('Production Schedule'!L$5/MAX('Production Schedule'!$E$5:$AA$5)*Fleet!$E109,0)</f>
        <v>2</v>
      </c>
      <c r="O109" s="213">
        <f>ROUNDUP('Production Schedule'!M$5/MAX('Production Schedule'!$E$5:$AA$5)*Fleet!$E109,0)</f>
        <v>2</v>
      </c>
      <c r="P109" s="213">
        <f>ROUNDUP('Production Schedule'!N$5/MAX('Production Schedule'!$E$5:$AA$5)*Fleet!$E109,0)</f>
        <v>2</v>
      </c>
      <c r="Q109" s="213">
        <f>ROUNDUP('Production Schedule'!O$5/MAX('Production Schedule'!$E$5:$AA$5)*Fleet!$E109,0)</f>
        <v>2</v>
      </c>
      <c r="R109" s="213">
        <f>ROUNDUP('Production Schedule'!P$5/MAX('Production Schedule'!$E$5:$AA$5)*Fleet!$E109,0)</f>
        <v>2</v>
      </c>
      <c r="S109" s="213">
        <f>ROUNDUP('Production Schedule'!Q$5/MAX('Production Schedule'!$E$5:$AA$5)*Fleet!$E109,0)</f>
        <v>2</v>
      </c>
      <c r="T109" s="213">
        <f>ROUNDUP('Production Schedule'!R$5/MAX('Production Schedule'!$E$5:$AA$5)*Fleet!$E109,0)</f>
        <v>2</v>
      </c>
      <c r="U109" s="213">
        <f>ROUNDUP('Production Schedule'!S$5/MAX('Production Schedule'!$E$5:$AA$5)*Fleet!$E109,0)</f>
        <v>2</v>
      </c>
      <c r="V109" s="213">
        <f>ROUNDUP('Production Schedule'!T$5/MAX('Production Schedule'!$E$5:$AA$5)*Fleet!$E109,0)</f>
        <v>2</v>
      </c>
      <c r="W109" s="213">
        <f>ROUNDUP('Production Schedule'!U$5/MAX('Production Schedule'!$E$5:$AA$5)*Fleet!$E109,0)</f>
        <v>2</v>
      </c>
      <c r="X109" s="213">
        <f>ROUNDUP('Production Schedule'!V$5/MAX('Production Schedule'!$E$5:$AA$5)*Fleet!$E109,0)</f>
        <v>2</v>
      </c>
      <c r="Y109" s="213">
        <f>ROUNDUP('Production Schedule'!W$5/MAX('Production Schedule'!$E$5:$AA$5)*Fleet!$E109,0)</f>
        <v>2</v>
      </c>
      <c r="Z109" s="213">
        <f>ROUNDUP('Production Schedule'!X$5/MAX('Production Schedule'!$E$5:$AA$5)*Fleet!$E109,0)</f>
        <v>2</v>
      </c>
      <c r="AA109" s="213">
        <f>ROUNDUP('Production Schedule'!Y$5/MAX('Production Schedule'!$E$5:$AA$5)*Fleet!$E109,0)</f>
        <v>2</v>
      </c>
      <c r="AB109" s="213">
        <f>ROUNDUP('Production Schedule'!Z$5/MAX('Production Schedule'!$E$5:$AA$5)*Fleet!$E109,0)</f>
        <v>1</v>
      </c>
      <c r="AC109" s="213">
        <f>ROUNDUP('Production Schedule'!AA$5/MAX('Production Schedule'!$E$5:$AA$5)*Fleet!$E109,0)</f>
        <v>1</v>
      </c>
    </row>
    <row r="110" spans="2:29">
      <c r="G110" s="213">
        <f>ROUNDUP('Production Schedule'!E$5/MAX('Production Schedule'!$E$5:$AA$5)*Fleet!$E110,0)</f>
        <v>0</v>
      </c>
      <c r="H110" s="213">
        <f>ROUNDUP('Production Schedule'!F$5/MAX('Production Schedule'!$E$5:$AA$5)*Fleet!$E110,0)</f>
        <v>0</v>
      </c>
      <c r="I110" s="213">
        <f>ROUNDUP('Production Schedule'!G$5/MAX('Production Schedule'!$E$5:$AA$5)*Fleet!$E110,0)</f>
        <v>0</v>
      </c>
      <c r="J110" s="213">
        <f>ROUNDUP('Production Schedule'!H$5/MAX('Production Schedule'!$E$5:$AA$5)*Fleet!$E110,0)</f>
        <v>0</v>
      </c>
      <c r="K110" s="213">
        <f>ROUNDUP('Production Schedule'!I$5/MAX('Production Schedule'!$E$5:$AA$5)*Fleet!$E110,0)</f>
        <v>0</v>
      </c>
      <c r="L110" s="213">
        <f>ROUNDUP('Production Schedule'!J$5/MAX('Production Schedule'!$E$5:$AA$5)*Fleet!$E110,0)</f>
        <v>0</v>
      </c>
      <c r="M110" s="213">
        <f>ROUNDUP('Production Schedule'!K$5/MAX('Production Schedule'!$E$5:$AA$5)*Fleet!$E110,0)</f>
        <v>0</v>
      </c>
      <c r="N110" s="213">
        <f>ROUNDUP('Production Schedule'!L$5/MAX('Production Schedule'!$E$5:$AA$5)*Fleet!$E110,0)</f>
        <v>0</v>
      </c>
      <c r="O110" s="213">
        <f>ROUNDUP('Production Schedule'!M$5/MAX('Production Schedule'!$E$5:$AA$5)*Fleet!$E110,0)</f>
        <v>0</v>
      </c>
      <c r="P110" s="213">
        <f>ROUNDUP('Production Schedule'!N$5/MAX('Production Schedule'!$E$5:$AA$5)*Fleet!$E110,0)</f>
        <v>0</v>
      </c>
      <c r="Q110" s="213">
        <f>ROUNDUP('Production Schedule'!O$5/MAX('Production Schedule'!$E$5:$AA$5)*Fleet!$E110,0)</f>
        <v>0</v>
      </c>
      <c r="R110" s="213">
        <f>ROUNDUP('Production Schedule'!P$5/MAX('Production Schedule'!$E$5:$AA$5)*Fleet!$E110,0)</f>
        <v>0</v>
      </c>
      <c r="S110" s="213">
        <f>ROUNDUP('Production Schedule'!Q$5/MAX('Production Schedule'!$E$5:$AA$5)*Fleet!$E110,0)</f>
        <v>0</v>
      </c>
      <c r="T110" s="213">
        <f>ROUNDUP('Production Schedule'!R$5/MAX('Production Schedule'!$E$5:$AA$5)*Fleet!$E110,0)</f>
        <v>0</v>
      </c>
      <c r="U110" s="213">
        <f>ROUNDUP('Production Schedule'!S$5/MAX('Production Schedule'!$E$5:$AA$5)*Fleet!$E110,0)</f>
        <v>0</v>
      </c>
      <c r="V110" s="213">
        <f>ROUNDUP('Production Schedule'!T$5/MAX('Production Schedule'!$E$5:$AA$5)*Fleet!$E110,0)</f>
        <v>0</v>
      </c>
      <c r="W110" s="213">
        <f>ROUNDUP('Production Schedule'!U$5/MAX('Production Schedule'!$E$5:$AA$5)*Fleet!$E110,0)</f>
        <v>0</v>
      </c>
      <c r="X110" s="213">
        <f>ROUNDUP('Production Schedule'!V$5/MAX('Production Schedule'!$E$5:$AA$5)*Fleet!$E110,0)</f>
        <v>0</v>
      </c>
      <c r="Y110" s="213">
        <f>ROUNDUP('Production Schedule'!W$5/MAX('Production Schedule'!$E$5:$AA$5)*Fleet!$E110,0)</f>
        <v>0</v>
      </c>
      <c r="Z110" s="213">
        <f>ROUNDUP('Production Schedule'!X$5/MAX('Production Schedule'!$E$5:$AA$5)*Fleet!$E110,0)</f>
        <v>0</v>
      </c>
      <c r="AA110" s="213">
        <f>ROUNDUP('Production Schedule'!Y$5/MAX('Production Schedule'!$E$5:$AA$5)*Fleet!$E110,0)</f>
        <v>0</v>
      </c>
      <c r="AB110" s="213">
        <f>ROUNDUP('Production Schedule'!Z$5/MAX('Production Schedule'!$E$5:$AA$5)*Fleet!$E110,0)</f>
        <v>0</v>
      </c>
      <c r="AC110" s="213">
        <f>ROUNDUP('Production Schedule'!AA$5/MAX('Production Schedule'!$E$5:$AA$5)*Fleet!$E110,0)</f>
        <v>0</v>
      </c>
    </row>
    <row r="111" spans="2:29">
      <c r="B111" s="163" t="s">
        <v>967</v>
      </c>
      <c r="C111" s="162" t="s">
        <v>969</v>
      </c>
      <c r="G111" s="213">
        <f>ROUNDUP('Production Schedule'!E$5/MAX('Production Schedule'!$E$5:$AA$5)*Fleet!$E111,0)</f>
        <v>0</v>
      </c>
      <c r="H111" s="213">
        <f>ROUNDUP('Production Schedule'!F$5/MAX('Production Schedule'!$E$5:$AA$5)*Fleet!$E111,0)</f>
        <v>0</v>
      </c>
      <c r="I111" s="213">
        <f>ROUNDUP('Production Schedule'!G$5/MAX('Production Schedule'!$E$5:$AA$5)*Fleet!$E111,0)</f>
        <v>0</v>
      </c>
      <c r="J111" s="213">
        <f>ROUNDUP('Production Schedule'!H$5/MAX('Production Schedule'!$E$5:$AA$5)*Fleet!$E111,0)</f>
        <v>0</v>
      </c>
      <c r="K111" s="213">
        <f>ROUNDUP('Production Schedule'!I$5/MAX('Production Schedule'!$E$5:$AA$5)*Fleet!$E111,0)</f>
        <v>0</v>
      </c>
      <c r="L111" s="213">
        <f>ROUNDUP('Production Schedule'!J$5/MAX('Production Schedule'!$E$5:$AA$5)*Fleet!$E111,0)</f>
        <v>0</v>
      </c>
      <c r="M111" s="213">
        <f>ROUNDUP('Production Schedule'!K$5/MAX('Production Schedule'!$E$5:$AA$5)*Fleet!$E111,0)</f>
        <v>0</v>
      </c>
      <c r="N111" s="213">
        <f>ROUNDUP('Production Schedule'!L$5/MAX('Production Schedule'!$E$5:$AA$5)*Fleet!$E111,0)</f>
        <v>0</v>
      </c>
      <c r="O111" s="213">
        <f>ROUNDUP('Production Schedule'!M$5/MAX('Production Schedule'!$E$5:$AA$5)*Fleet!$E111,0)</f>
        <v>0</v>
      </c>
      <c r="P111" s="213">
        <f>ROUNDUP('Production Schedule'!N$5/MAX('Production Schedule'!$E$5:$AA$5)*Fleet!$E111,0)</f>
        <v>0</v>
      </c>
      <c r="Q111" s="213">
        <f>ROUNDUP('Production Schedule'!O$5/MAX('Production Schedule'!$E$5:$AA$5)*Fleet!$E111,0)</f>
        <v>0</v>
      </c>
      <c r="R111" s="213">
        <f>ROUNDUP('Production Schedule'!P$5/MAX('Production Schedule'!$E$5:$AA$5)*Fleet!$E111,0)</f>
        <v>0</v>
      </c>
      <c r="S111" s="213">
        <f>ROUNDUP('Production Schedule'!Q$5/MAX('Production Schedule'!$E$5:$AA$5)*Fleet!$E111,0)</f>
        <v>0</v>
      </c>
      <c r="T111" s="213">
        <f>ROUNDUP('Production Schedule'!R$5/MAX('Production Schedule'!$E$5:$AA$5)*Fleet!$E111,0)</f>
        <v>0</v>
      </c>
      <c r="U111" s="213">
        <f>ROUNDUP('Production Schedule'!S$5/MAX('Production Schedule'!$E$5:$AA$5)*Fleet!$E111,0)</f>
        <v>0</v>
      </c>
      <c r="V111" s="213">
        <f>ROUNDUP('Production Schedule'!T$5/MAX('Production Schedule'!$E$5:$AA$5)*Fleet!$E111,0)</f>
        <v>0</v>
      </c>
      <c r="W111" s="213">
        <f>ROUNDUP('Production Schedule'!U$5/MAX('Production Schedule'!$E$5:$AA$5)*Fleet!$E111,0)</f>
        <v>0</v>
      </c>
      <c r="X111" s="213">
        <f>ROUNDUP('Production Schedule'!V$5/MAX('Production Schedule'!$E$5:$AA$5)*Fleet!$E111,0)</f>
        <v>0</v>
      </c>
      <c r="Y111" s="213">
        <f>ROUNDUP('Production Schedule'!W$5/MAX('Production Schedule'!$E$5:$AA$5)*Fleet!$E111,0)</f>
        <v>0</v>
      </c>
      <c r="Z111" s="213">
        <f>ROUNDUP('Production Schedule'!X$5/MAX('Production Schedule'!$E$5:$AA$5)*Fleet!$E111,0)</f>
        <v>0</v>
      </c>
      <c r="AA111" s="213">
        <f>ROUNDUP('Production Schedule'!Y$5/MAX('Production Schedule'!$E$5:$AA$5)*Fleet!$E111,0)</f>
        <v>0</v>
      </c>
      <c r="AB111" s="213">
        <f>ROUNDUP('Production Schedule'!Z$5/MAX('Production Schedule'!$E$5:$AA$5)*Fleet!$E111,0)</f>
        <v>0</v>
      </c>
      <c r="AC111" s="213">
        <f>ROUNDUP('Production Schedule'!AA$5/MAX('Production Schedule'!$E$5:$AA$5)*Fleet!$E111,0)</f>
        <v>0</v>
      </c>
    </row>
    <row r="112" spans="2:29">
      <c r="C112" s="1320" t="s">
        <v>913</v>
      </c>
      <c r="D112" s="141" t="s">
        <v>896</v>
      </c>
      <c r="E112" s="219">
        <v>2</v>
      </c>
      <c r="G112" s="213">
        <f>ROUNDUP('Production Schedule'!E$5/MAX('Production Schedule'!$E$5:$AA$5)*Fleet!$E112,0)</f>
        <v>0</v>
      </c>
      <c r="H112" s="213">
        <f>ROUNDUP('Production Schedule'!F$5/MAX('Production Schedule'!$E$5:$AA$5)*Fleet!$E112,0)</f>
        <v>0</v>
      </c>
      <c r="I112" s="213">
        <f>ROUNDUP('Production Schedule'!G$5/MAX('Production Schedule'!$E$5:$AA$5)*Fleet!$E112,0)</f>
        <v>0</v>
      </c>
      <c r="J112" s="213">
        <f>ROUNDUP('Production Schedule'!H$5/MAX('Production Schedule'!$E$5:$AA$5)*Fleet!$E112,0)</f>
        <v>0</v>
      </c>
      <c r="K112" s="213">
        <f>ROUNDUP('Production Schedule'!I$5/MAX('Production Schedule'!$E$5:$AA$5)*Fleet!$E112,0)</f>
        <v>1</v>
      </c>
      <c r="L112" s="213">
        <f>ROUNDUP('Production Schedule'!J$5/MAX('Production Schedule'!$E$5:$AA$5)*Fleet!$E112,0)</f>
        <v>1</v>
      </c>
      <c r="M112" s="213">
        <f>ROUNDUP('Production Schedule'!K$5/MAX('Production Schedule'!$E$5:$AA$5)*Fleet!$E112,0)</f>
        <v>2</v>
      </c>
      <c r="N112" s="213">
        <f>ROUNDUP('Production Schedule'!L$5/MAX('Production Schedule'!$E$5:$AA$5)*Fleet!$E112,0)</f>
        <v>2</v>
      </c>
      <c r="O112" s="213">
        <f>ROUNDUP('Production Schedule'!M$5/MAX('Production Schedule'!$E$5:$AA$5)*Fleet!$E112,0)</f>
        <v>2</v>
      </c>
      <c r="P112" s="213">
        <f>ROUNDUP('Production Schedule'!N$5/MAX('Production Schedule'!$E$5:$AA$5)*Fleet!$E112,0)</f>
        <v>2</v>
      </c>
      <c r="Q112" s="213">
        <f>ROUNDUP('Production Schedule'!O$5/MAX('Production Schedule'!$E$5:$AA$5)*Fleet!$E112,0)</f>
        <v>2</v>
      </c>
      <c r="R112" s="213">
        <f>ROUNDUP('Production Schedule'!P$5/MAX('Production Schedule'!$E$5:$AA$5)*Fleet!$E112,0)</f>
        <v>2</v>
      </c>
      <c r="S112" s="213">
        <f>ROUNDUP('Production Schedule'!Q$5/MAX('Production Schedule'!$E$5:$AA$5)*Fleet!$E112,0)</f>
        <v>2</v>
      </c>
      <c r="T112" s="213">
        <f>ROUNDUP('Production Schedule'!R$5/MAX('Production Schedule'!$E$5:$AA$5)*Fleet!$E112,0)</f>
        <v>2</v>
      </c>
      <c r="U112" s="213">
        <f>ROUNDUP('Production Schedule'!S$5/MAX('Production Schedule'!$E$5:$AA$5)*Fleet!$E112,0)</f>
        <v>2</v>
      </c>
      <c r="V112" s="213">
        <f>ROUNDUP('Production Schedule'!T$5/MAX('Production Schedule'!$E$5:$AA$5)*Fleet!$E112,0)</f>
        <v>2</v>
      </c>
      <c r="W112" s="213">
        <f>ROUNDUP('Production Schedule'!U$5/MAX('Production Schedule'!$E$5:$AA$5)*Fleet!$E112,0)</f>
        <v>2</v>
      </c>
      <c r="X112" s="213">
        <f>ROUNDUP('Production Schedule'!V$5/MAX('Production Schedule'!$E$5:$AA$5)*Fleet!$E112,0)</f>
        <v>2</v>
      </c>
      <c r="Y112" s="213">
        <f>ROUNDUP('Production Schedule'!W$5/MAX('Production Schedule'!$E$5:$AA$5)*Fleet!$E112,0)</f>
        <v>2</v>
      </c>
      <c r="Z112" s="213">
        <f>ROUNDUP('Production Schedule'!X$5/MAX('Production Schedule'!$E$5:$AA$5)*Fleet!$E112,0)</f>
        <v>2</v>
      </c>
      <c r="AA112" s="213">
        <f>ROUNDUP('Production Schedule'!Y$5/MAX('Production Schedule'!$E$5:$AA$5)*Fleet!$E112,0)</f>
        <v>2</v>
      </c>
      <c r="AB112" s="213">
        <f>ROUNDUP('Production Schedule'!Z$5/MAX('Production Schedule'!$E$5:$AA$5)*Fleet!$E112,0)</f>
        <v>1</v>
      </c>
      <c r="AC112" s="213">
        <f>ROUNDUP('Production Schedule'!AA$5/MAX('Production Schedule'!$E$5:$AA$5)*Fleet!$E112,0)</f>
        <v>1</v>
      </c>
    </row>
    <row r="113" spans="3:29">
      <c r="C113" s="1320" t="s">
        <v>916</v>
      </c>
      <c r="D113" s="141" t="s">
        <v>896</v>
      </c>
      <c r="E113" s="219">
        <v>2</v>
      </c>
      <c r="G113" s="213">
        <f>ROUNDUP('Production Schedule'!E$5/MAX('Production Schedule'!$E$5:$AA$5)*Fleet!$E113,0)</f>
        <v>0</v>
      </c>
      <c r="H113" s="213">
        <f>ROUNDUP('Production Schedule'!F$5/MAX('Production Schedule'!$E$5:$AA$5)*Fleet!$E113,0)</f>
        <v>0</v>
      </c>
      <c r="I113" s="213">
        <f>ROUNDUP('Production Schedule'!G$5/MAX('Production Schedule'!$E$5:$AA$5)*Fleet!$E113,0)</f>
        <v>0</v>
      </c>
      <c r="J113" s="213">
        <f>ROUNDUP('Production Schedule'!H$5/MAX('Production Schedule'!$E$5:$AA$5)*Fleet!$E113,0)</f>
        <v>0</v>
      </c>
      <c r="K113" s="213">
        <f>ROUNDUP('Production Schedule'!I$5/MAX('Production Schedule'!$E$5:$AA$5)*Fleet!$E113,0)</f>
        <v>1</v>
      </c>
      <c r="L113" s="213">
        <f>ROUNDUP('Production Schedule'!J$5/MAX('Production Schedule'!$E$5:$AA$5)*Fleet!$E113,0)</f>
        <v>1</v>
      </c>
      <c r="M113" s="213">
        <f>ROUNDUP('Production Schedule'!K$5/MAX('Production Schedule'!$E$5:$AA$5)*Fleet!$E113,0)</f>
        <v>2</v>
      </c>
      <c r="N113" s="213">
        <f>ROUNDUP('Production Schedule'!L$5/MAX('Production Schedule'!$E$5:$AA$5)*Fleet!$E113,0)</f>
        <v>2</v>
      </c>
      <c r="O113" s="213">
        <f>ROUNDUP('Production Schedule'!M$5/MAX('Production Schedule'!$E$5:$AA$5)*Fleet!$E113,0)</f>
        <v>2</v>
      </c>
      <c r="P113" s="213">
        <f>ROUNDUP('Production Schedule'!N$5/MAX('Production Schedule'!$E$5:$AA$5)*Fleet!$E113,0)</f>
        <v>2</v>
      </c>
      <c r="Q113" s="213">
        <f>ROUNDUP('Production Schedule'!O$5/MAX('Production Schedule'!$E$5:$AA$5)*Fleet!$E113,0)</f>
        <v>2</v>
      </c>
      <c r="R113" s="213">
        <f>ROUNDUP('Production Schedule'!P$5/MAX('Production Schedule'!$E$5:$AA$5)*Fleet!$E113,0)</f>
        <v>2</v>
      </c>
      <c r="S113" s="213">
        <f>ROUNDUP('Production Schedule'!Q$5/MAX('Production Schedule'!$E$5:$AA$5)*Fleet!$E113,0)</f>
        <v>2</v>
      </c>
      <c r="T113" s="213">
        <f>ROUNDUP('Production Schedule'!R$5/MAX('Production Schedule'!$E$5:$AA$5)*Fleet!$E113,0)</f>
        <v>2</v>
      </c>
      <c r="U113" s="213">
        <f>ROUNDUP('Production Schedule'!S$5/MAX('Production Schedule'!$E$5:$AA$5)*Fleet!$E113,0)</f>
        <v>2</v>
      </c>
      <c r="V113" s="213">
        <f>ROUNDUP('Production Schedule'!T$5/MAX('Production Schedule'!$E$5:$AA$5)*Fleet!$E113,0)</f>
        <v>2</v>
      </c>
      <c r="W113" s="213">
        <f>ROUNDUP('Production Schedule'!U$5/MAX('Production Schedule'!$E$5:$AA$5)*Fleet!$E113,0)</f>
        <v>2</v>
      </c>
      <c r="X113" s="213">
        <f>ROUNDUP('Production Schedule'!V$5/MAX('Production Schedule'!$E$5:$AA$5)*Fleet!$E113,0)</f>
        <v>2</v>
      </c>
      <c r="Y113" s="213">
        <f>ROUNDUP('Production Schedule'!W$5/MAX('Production Schedule'!$E$5:$AA$5)*Fleet!$E113,0)</f>
        <v>2</v>
      </c>
      <c r="Z113" s="213">
        <f>ROUNDUP('Production Schedule'!X$5/MAX('Production Schedule'!$E$5:$AA$5)*Fleet!$E113,0)</f>
        <v>2</v>
      </c>
      <c r="AA113" s="213">
        <f>ROUNDUP('Production Schedule'!Y$5/MAX('Production Schedule'!$E$5:$AA$5)*Fleet!$E113,0)</f>
        <v>2</v>
      </c>
      <c r="AB113" s="213">
        <f>ROUNDUP('Production Schedule'!Z$5/MAX('Production Schedule'!$E$5:$AA$5)*Fleet!$E113,0)</f>
        <v>1</v>
      </c>
      <c r="AC113" s="213">
        <f>ROUNDUP('Production Schedule'!AA$5/MAX('Production Schedule'!$E$5:$AA$5)*Fleet!$E113,0)</f>
        <v>1</v>
      </c>
    </row>
    <row r="114" spans="3:29">
      <c r="C114" s="1320" t="s">
        <v>919</v>
      </c>
      <c r="D114" s="141" t="s">
        <v>896</v>
      </c>
      <c r="E114" s="219">
        <v>2</v>
      </c>
      <c r="G114" s="213">
        <f>ROUNDUP('Production Schedule'!E$5/MAX('Production Schedule'!$E$5:$AA$5)*Fleet!$E114,0)</f>
        <v>0</v>
      </c>
      <c r="H114" s="213">
        <f>ROUNDUP('Production Schedule'!F$5/MAX('Production Schedule'!$E$5:$AA$5)*Fleet!$E114,0)</f>
        <v>0</v>
      </c>
      <c r="I114" s="213">
        <f>ROUNDUP('Production Schedule'!G$5/MAX('Production Schedule'!$E$5:$AA$5)*Fleet!$E114,0)</f>
        <v>0</v>
      </c>
      <c r="J114" s="213">
        <f>ROUNDUP('Production Schedule'!H$5/MAX('Production Schedule'!$E$5:$AA$5)*Fleet!$E114,0)</f>
        <v>0</v>
      </c>
      <c r="K114" s="213">
        <f>ROUNDUP('Production Schedule'!I$5/MAX('Production Schedule'!$E$5:$AA$5)*Fleet!$E114,0)</f>
        <v>1</v>
      </c>
      <c r="L114" s="213">
        <f>ROUNDUP('Production Schedule'!J$5/MAX('Production Schedule'!$E$5:$AA$5)*Fleet!$E114,0)</f>
        <v>1</v>
      </c>
      <c r="M114" s="213">
        <f>ROUNDUP('Production Schedule'!K$5/MAX('Production Schedule'!$E$5:$AA$5)*Fleet!$E114,0)</f>
        <v>2</v>
      </c>
      <c r="N114" s="213">
        <f>ROUNDUP('Production Schedule'!L$5/MAX('Production Schedule'!$E$5:$AA$5)*Fleet!$E114,0)</f>
        <v>2</v>
      </c>
      <c r="O114" s="213">
        <f>ROUNDUP('Production Schedule'!M$5/MAX('Production Schedule'!$E$5:$AA$5)*Fleet!$E114,0)</f>
        <v>2</v>
      </c>
      <c r="P114" s="213">
        <f>ROUNDUP('Production Schedule'!N$5/MAX('Production Schedule'!$E$5:$AA$5)*Fleet!$E114,0)</f>
        <v>2</v>
      </c>
      <c r="Q114" s="213">
        <f>ROUNDUP('Production Schedule'!O$5/MAX('Production Schedule'!$E$5:$AA$5)*Fleet!$E114,0)</f>
        <v>2</v>
      </c>
      <c r="R114" s="213">
        <f>ROUNDUP('Production Schedule'!P$5/MAX('Production Schedule'!$E$5:$AA$5)*Fleet!$E114,0)</f>
        <v>2</v>
      </c>
      <c r="S114" s="213">
        <f>ROUNDUP('Production Schedule'!Q$5/MAX('Production Schedule'!$E$5:$AA$5)*Fleet!$E114,0)</f>
        <v>2</v>
      </c>
      <c r="T114" s="213">
        <f>ROUNDUP('Production Schedule'!R$5/MAX('Production Schedule'!$E$5:$AA$5)*Fleet!$E114,0)</f>
        <v>2</v>
      </c>
      <c r="U114" s="213">
        <f>ROUNDUP('Production Schedule'!S$5/MAX('Production Schedule'!$E$5:$AA$5)*Fleet!$E114,0)</f>
        <v>2</v>
      </c>
      <c r="V114" s="213">
        <f>ROUNDUP('Production Schedule'!T$5/MAX('Production Schedule'!$E$5:$AA$5)*Fleet!$E114,0)</f>
        <v>2</v>
      </c>
      <c r="W114" s="213">
        <f>ROUNDUP('Production Schedule'!U$5/MAX('Production Schedule'!$E$5:$AA$5)*Fleet!$E114,0)</f>
        <v>2</v>
      </c>
      <c r="X114" s="213">
        <f>ROUNDUP('Production Schedule'!V$5/MAX('Production Schedule'!$E$5:$AA$5)*Fleet!$E114,0)</f>
        <v>2</v>
      </c>
      <c r="Y114" s="213">
        <f>ROUNDUP('Production Schedule'!W$5/MAX('Production Schedule'!$E$5:$AA$5)*Fleet!$E114,0)</f>
        <v>2</v>
      </c>
      <c r="Z114" s="213">
        <f>ROUNDUP('Production Schedule'!X$5/MAX('Production Schedule'!$E$5:$AA$5)*Fleet!$E114,0)</f>
        <v>2</v>
      </c>
      <c r="AA114" s="213">
        <f>ROUNDUP('Production Schedule'!Y$5/MAX('Production Schedule'!$E$5:$AA$5)*Fleet!$E114,0)</f>
        <v>2</v>
      </c>
      <c r="AB114" s="213">
        <f>ROUNDUP('Production Schedule'!Z$5/MAX('Production Schedule'!$E$5:$AA$5)*Fleet!$E114,0)</f>
        <v>1</v>
      </c>
      <c r="AC114" s="213">
        <f>ROUNDUP('Production Schedule'!AA$5/MAX('Production Schedule'!$E$5:$AA$5)*Fleet!$E114,0)</f>
        <v>1</v>
      </c>
    </row>
    <row r="115" spans="3:29">
      <c r="C115" s="1320" t="s">
        <v>922</v>
      </c>
      <c r="D115" s="141" t="s">
        <v>896</v>
      </c>
      <c r="E115" s="219">
        <v>2</v>
      </c>
      <c r="G115" s="213">
        <f>ROUNDUP('Production Schedule'!E$5/MAX('Production Schedule'!$E$5:$AA$5)*Fleet!$E115,0)</f>
        <v>0</v>
      </c>
      <c r="H115" s="213">
        <f>ROUNDUP('Production Schedule'!F$5/MAX('Production Schedule'!$E$5:$AA$5)*Fleet!$E115,0)</f>
        <v>0</v>
      </c>
      <c r="I115" s="213">
        <f>ROUNDUP('Production Schedule'!G$5/MAX('Production Schedule'!$E$5:$AA$5)*Fleet!$E115,0)</f>
        <v>0</v>
      </c>
      <c r="J115" s="213">
        <f>ROUNDUP('Production Schedule'!H$5/MAX('Production Schedule'!$E$5:$AA$5)*Fleet!$E115,0)</f>
        <v>0</v>
      </c>
      <c r="K115" s="213">
        <f>ROUNDUP('Production Schedule'!I$5/MAX('Production Schedule'!$E$5:$AA$5)*Fleet!$E115,0)</f>
        <v>1</v>
      </c>
      <c r="L115" s="213">
        <f>ROUNDUP('Production Schedule'!J$5/MAX('Production Schedule'!$E$5:$AA$5)*Fleet!$E115,0)</f>
        <v>1</v>
      </c>
      <c r="M115" s="213">
        <f>ROUNDUP('Production Schedule'!K$5/MAX('Production Schedule'!$E$5:$AA$5)*Fleet!$E115,0)</f>
        <v>2</v>
      </c>
      <c r="N115" s="213">
        <f>ROUNDUP('Production Schedule'!L$5/MAX('Production Schedule'!$E$5:$AA$5)*Fleet!$E115,0)</f>
        <v>2</v>
      </c>
      <c r="O115" s="213">
        <f>ROUNDUP('Production Schedule'!M$5/MAX('Production Schedule'!$E$5:$AA$5)*Fleet!$E115,0)</f>
        <v>2</v>
      </c>
      <c r="P115" s="213">
        <f>ROUNDUP('Production Schedule'!N$5/MAX('Production Schedule'!$E$5:$AA$5)*Fleet!$E115,0)</f>
        <v>2</v>
      </c>
      <c r="Q115" s="213">
        <f>ROUNDUP('Production Schedule'!O$5/MAX('Production Schedule'!$E$5:$AA$5)*Fleet!$E115,0)</f>
        <v>2</v>
      </c>
      <c r="R115" s="213">
        <f>ROUNDUP('Production Schedule'!P$5/MAX('Production Schedule'!$E$5:$AA$5)*Fleet!$E115,0)</f>
        <v>2</v>
      </c>
      <c r="S115" s="213">
        <f>ROUNDUP('Production Schedule'!Q$5/MAX('Production Schedule'!$E$5:$AA$5)*Fleet!$E115,0)</f>
        <v>2</v>
      </c>
      <c r="T115" s="213">
        <f>ROUNDUP('Production Schedule'!R$5/MAX('Production Schedule'!$E$5:$AA$5)*Fleet!$E115,0)</f>
        <v>2</v>
      </c>
      <c r="U115" s="213">
        <f>ROUNDUP('Production Schedule'!S$5/MAX('Production Schedule'!$E$5:$AA$5)*Fleet!$E115,0)</f>
        <v>2</v>
      </c>
      <c r="V115" s="213">
        <f>ROUNDUP('Production Schedule'!T$5/MAX('Production Schedule'!$E$5:$AA$5)*Fleet!$E115,0)</f>
        <v>2</v>
      </c>
      <c r="W115" s="213">
        <f>ROUNDUP('Production Schedule'!U$5/MAX('Production Schedule'!$E$5:$AA$5)*Fleet!$E115,0)</f>
        <v>2</v>
      </c>
      <c r="X115" s="213">
        <f>ROUNDUP('Production Schedule'!V$5/MAX('Production Schedule'!$E$5:$AA$5)*Fleet!$E115,0)</f>
        <v>2</v>
      </c>
      <c r="Y115" s="213">
        <f>ROUNDUP('Production Schedule'!W$5/MAX('Production Schedule'!$E$5:$AA$5)*Fleet!$E115,0)</f>
        <v>2</v>
      </c>
      <c r="Z115" s="213">
        <f>ROUNDUP('Production Schedule'!X$5/MAX('Production Schedule'!$E$5:$AA$5)*Fleet!$E115,0)</f>
        <v>2</v>
      </c>
      <c r="AA115" s="213">
        <f>ROUNDUP('Production Schedule'!Y$5/MAX('Production Schedule'!$E$5:$AA$5)*Fleet!$E115,0)</f>
        <v>2</v>
      </c>
      <c r="AB115" s="213">
        <f>ROUNDUP('Production Schedule'!Z$5/MAX('Production Schedule'!$E$5:$AA$5)*Fleet!$E115,0)</f>
        <v>1</v>
      </c>
      <c r="AC115" s="213">
        <f>ROUNDUP('Production Schedule'!AA$5/MAX('Production Schedule'!$E$5:$AA$5)*Fleet!$E115,0)</f>
        <v>1</v>
      </c>
    </row>
    <row r="116" spans="3:29">
      <c r="C116" s="1320" t="s">
        <v>924</v>
      </c>
      <c r="D116" s="141" t="s">
        <v>896</v>
      </c>
      <c r="E116" s="219">
        <v>2</v>
      </c>
      <c r="G116" s="213">
        <f>ROUNDUP('Production Schedule'!E$5/MAX('Production Schedule'!$E$5:$AA$5)*Fleet!$E116,0)</f>
        <v>0</v>
      </c>
      <c r="H116" s="213">
        <f>ROUNDUP('Production Schedule'!F$5/MAX('Production Schedule'!$E$5:$AA$5)*Fleet!$E116,0)</f>
        <v>0</v>
      </c>
      <c r="I116" s="213">
        <f>ROUNDUP('Production Schedule'!G$5/MAX('Production Schedule'!$E$5:$AA$5)*Fleet!$E116,0)</f>
        <v>0</v>
      </c>
      <c r="J116" s="213">
        <f>ROUNDUP('Production Schedule'!H$5/MAX('Production Schedule'!$E$5:$AA$5)*Fleet!$E116,0)</f>
        <v>0</v>
      </c>
      <c r="K116" s="213">
        <f>ROUNDUP('Production Schedule'!I$5/MAX('Production Schedule'!$E$5:$AA$5)*Fleet!$E116,0)</f>
        <v>1</v>
      </c>
      <c r="L116" s="213">
        <f>ROUNDUP('Production Schedule'!J$5/MAX('Production Schedule'!$E$5:$AA$5)*Fleet!$E116,0)</f>
        <v>1</v>
      </c>
      <c r="M116" s="213">
        <f>ROUNDUP('Production Schedule'!K$5/MAX('Production Schedule'!$E$5:$AA$5)*Fleet!$E116,0)</f>
        <v>2</v>
      </c>
      <c r="N116" s="213">
        <f>ROUNDUP('Production Schedule'!L$5/MAX('Production Schedule'!$E$5:$AA$5)*Fleet!$E116,0)</f>
        <v>2</v>
      </c>
      <c r="O116" s="213">
        <f>ROUNDUP('Production Schedule'!M$5/MAX('Production Schedule'!$E$5:$AA$5)*Fleet!$E116,0)</f>
        <v>2</v>
      </c>
      <c r="P116" s="213">
        <f>ROUNDUP('Production Schedule'!N$5/MAX('Production Schedule'!$E$5:$AA$5)*Fleet!$E116,0)</f>
        <v>2</v>
      </c>
      <c r="Q116" s="213">
        <f>ROUNDUP('Production Schedule'!O$5/MAX('Production Schedule'!$E$5:$AA$5)*Fleet!$E116,0)</f>
        <v>2</v>
      </c>
      <c r="R116" s="213">
        <f>ROUNDUP('Production Schedule'!P$5/MAX('Production Schedule'!$E$5:$AA$5)*Fleet!$E116,0)</f>
        <v>2</v>
      </c>
      <c r="S116" s="213">
        <f>ROUNDUP('Production Schedule'!Q$5/MAX('Production Schedule'!$E$5:$AA$5)*Fleet!$E116,0)</f>
        <v>2</v>
      </c>
      <c r="T116" s="213">
        <f>ROUNDUP('Production Schedule'!R$5/MAX('Production Schedule'!$E$5:$AA$5)*Fleet!$E116,0)</f>
        <v>2</v>
      </c>
      <c r="U116" s="213">
        <f>ROUNDUP('Production Schedule'!S$5/MAX('Production Schedule'!$E$5:$AA$5)*Fleet!$E116,0)</f>
        <v>2</v>
      </c>
      <c r="V116" s="213">
        <f>ROUNDUP('Production Schedule'!T$5/MAX('Production Schedule'!$E$5:$AA$5)*Fleet!$E116,0)</f>
        <v>2</v>
      </c>
      <c r="W116" s="213">
        <f>ROUNDUP('Production Schedule'!U$5/MAX('Production Schedule'!$E$5:$AA$5)*Fleet!$E116,0)</f>
        <v>2</v>
      </c>
      <c r="X116" s="213">
        <f>ROUNDUP('Production Schedule'!V$5/MAX('Production Schedule'!$E$5:$AA$5)*Fleet!$E116,0)</f>
        <v>2</v>
      </c>
      <c r="Y116" s="213">
        <f>ROUNDUP('Production Schedule'!W$5/MAX('Production Schedule'!$E$5:$AA$5)*Fleet!$E116,0)</f>
        <v>2</v>
      </c>
      <c r="Z116" s="213">
        <f>ROUNDUP('Production Schedule'!X$5/MAX('Production Schedule'!$E$5:$AA$5)*Fleet!$E116,0)</f>
        <v>2</v>
      </c>
      <c r="AA116" s="213">
        <f>ROUNDUP('Production Schedule'!Y$5/MAX('Production Schedule'!$E$5:$AA$5)*Fleet!$E116,0)</f>
        <v>2</v>
      </c>
      <c r="AB116" s="213">
        <f>ROUNDUP('Production Schedule'!Z$5/MAX('Production Schedule'!$E$5:$AA$5)*Fleet!$E116,0)</f>
        <v>1</v>
      </c>
      <c r="AC116" s="213">
        <f>ROUNDUP('Production Schedule'!AA$5/MAX('Production Schedule'!$E$5:$AA$5)*Fleet!$E116,0)</f>
        <v>1</v>
      </c>
    </row>
    <row r="117" spans="3:29">
      <c r="C117" s="1320" t="s">
        <v>928</v>
      </c>
      <c r="D117" s="141" t="s">
        <v>896</v>
      </c>
      <c r="E117" s="219">
        <v>2</v>
      </c>
      <c r="G117" s="213">
        <f>ROUNDUP('Production Schedule'!E$5/MAX('Production Schedule'!$E$5:$AA$5)*Fleet!$E117,0)</f>
        <v>0</v>
      </c>
      <c r="H117" s="213">
        <f>ROUNDUP('Production Schedule'!F$5/MAX('Production Schedule'!$E$5:$AA$5)*Fleet!$E117,0)</f>
        <v>0</v>
      </c>
      <c r="I117" s="213">
        <f>ROUNDUP('Production Schedule'!G$5/MAX('Production Schedule'!$E$5:$AA$5)*Fleet!$E117,0)</f>
        <v>0</v>
      </c>
      <c r="J117" s="213">
        <f>ROUNDUP('Production Schedule'!H$5/MAX('Production Schedule'!$E$5:$AA$5)*Fleet!$E117,0)</f>
        <v>0</v>
      </c>
      <c r="K117" s="213">
        <f>ROUNDUP('Production Schedule'!I$5/MAX('Production Schedule'!$E$5:$AA$5)*Fleet!$E117,0)</f>
        <v>1</v>
      </c>
      <c r="L117" s="213">
        <f>ROUNDUP('Production Schedule'!J$5/MAX('Production Schedule'!$E$5:$AA$5)*Fleet!$E117,0)</f>
        <v>1</v>
      </c>
      <c r="M117" s="213">
        <f>ROUNDUP('Production Schedule'!K$5/MAX('Production Schedule'!$E$5:$AA$5)*Fleet!$E117,0)</f>
        <v>2</v>
      </c>
      <c r="N117" s="213">
        <f>ROUNDUP('Production Schedule'!L$5/MAX('Production Schedule'!$E$5:$AA$5)*Fleet!$E117,0)</f>
        <v>2</v>
      </c>
      <c r="O117" s="213">
        <f>ROUNDUP('Production Schedule'!M$5/MAX('Production Schedule'!$E$5:$AA$5)*Fleet!$E117,0)</f>
        <v>2</v>
      </c>
      <c r="P117" s="213">
        <f>ROUNDUP('Production Schedule'!N$5/MAX('Production Schedule'!$E$5:$AA$5)*Fleet!$E117,0)</f>
        <v>2</v>
      </c>
      <c r="Q117" s="213">
        <f>ROUNDUP('Production Schedule'!O$5/MAX('Production Schedule'!$E$5:$AA$5)*Fleet!$E117,0)</f>
        <v>2</v>
      </c>
      <c r="R117" s="213">
        <f>ROUNDUP('Production Schedule'!P$5/MAX('Production Schedule'!$E$5:$AA$5)*Fleet!$E117,0)</f>
        <v>2</v>
      </c>
      <c r="S117" s="213">
        <f>ROUNDUP('Production Schedule'!Q$5/MAX('Production Schedule'!$E$5:$AA$5)*Fleet!$E117,0)</f>
        <v>2</v>
      </c>
      <c r="T117" s="213">
        <f>ROUNDUP('Production Schedule'!R$5/MAX('Production Schedule'!$E$5:$AA$5)*Fleet!$E117,0)</f>
        <v>2</v>
      </c>
      <c r="U117" s="213">
        <f>ROUNDUP('Production Schedule'!S$5/MAX('Production Schedule'!$E$5:$AA$5)*Fleet!$E117,0)</f>
        <v>2</v>
      </c>
      <c r="V117" s="213">
        <f>ROUNDUP('Production Schedule'!T$5/MAX('Production Schedule'!$E$5:$AA$5)*Fleet!$E117,0)</f>
        <v>2</v>
      </c>
      <c r="W117" s="213">
        <f>ROUNDUP('Production Schedule'!U$5/MAX('Production Schedule'!$E$5:$AA$5)*Fleet!$E117,0)</f>
        <v>2</v>
      </c>
      <c r="X117" s="213">
        <f>ROUNDUP('Production Schedule'!V$5/MAX('Production Schedule'!$E$5:$AA$5)*Fleet!$E117,0)</f>
        <v>2</v>
      </c>
      <c r="Y117" s="213">
        <f>ROUNDUP('Production Schedule'!W$5/MAX('Production Schedule'!$E$5:$AA$5)*Fleet!$E117,0)</f>
        <v>2</v>
      </c>
      <c r="Z117" s="213">
        <f>ROUNDUP('Production Schedule'!X$5/MAX('Production Schedule'!$E$5:$AA$5)*Fleet!$E117,0)</f>
        <v>2</v>
      </c>
      <c r="AA117" s="213">
        <f>ROUNDUP('Production Schedule'!Y$5/MAX('Production Schedule'!$E$5:$AA$5)*Fleet!$E117,0)</f>
        <v>2</v>
      </c>
      <c r="AB117" s="213">
        <f>ROUNDUP('Production Schedule'!Z$5/MAX('Production Schedule'!$E$5:$AA$5)*Fleet!$E117,0)</f>
        <v>1</v>
      </c>
      <c r="AC117" s="213">
        <f>ROUNDUP('Production Schedule'!AA$5/MAX('Production Schedule'!$E$5:$AA$5)*Fleet!$E117,0)</f>
        <v>1</v>
      </c>
    </row>
    <row r="118" spans="3:29">
      <c r="C118" s="1320" t="s">
        <v>930</v>
      </c>
      <c r="D118" s="141" t="s">
        <v>896</v>
      </c>
      <c r="E118" s="219">
        <v>2</v>
      </c>
      <c r="G118" s="213">
        <f>ROUNDUP('Production Schedule'!E$5/MAX('Production Schedule'!$E$5:$AA$5)*Fleet!$E118,0)</f>
        <v>0</v>
      </c>
      <c r="H118" s="213">
        <f>ROUNDUP('Production Schedule'!F$5/MAX('Production Schedule'!$E$5:$AA$5)*Fleet!$E118,0)</f>
        <v>0</v>
      </c>
      <c r="I118" s="213">
        <f>ROUNDUP('Production Schedule'!G$5/MAX('Production Schedule'!$E$5:$AA$5)*Fleet!$E118,0)</f>
        <v>0</v>
      </c>
      <c r="J118" s="213">
        <f>ROUNDUP('Production Schedule'!H$5/MAX('Production Schedule'!$E$5:$AA$5)*Fleet!$E118,0)</f>
        <v>0</v>
      </c>
      <c r="K118" s="213">
        <f>ROUNDUP('Production Schedule'!I$5/MAX('Production Schedule'!$E$5:$AA$5)*Fleet!$E118,0)</f>
        <v>1</v>
      </c>
      <c r="L118" s="213">
        <f>ROUNDUP('Production Schedule'!J$5/MAX('Production Schedule'!$E$5:$AA$5)*Fleet!$E118,0)</f>
        <v>1</v>
      </c>
      <c r="M118" s="213">
        <f>ROUNDUP('Production Schedule'!K$5/MAX('Production Schedule'!$E$5:$AA$5)*Fleet!$E118,0)</f>
        <v>2</v>
      </c>
      <c r="N118" s="213">
        <f>ROUNDUP('Production Schedule'!L$5/MAX('Production Schedule'!$E$5:$AA$5)*Fleet!$E118,0)</f>
        <v>2</v>
      </c>
      <c r="O118" s="213">
        <f>ROUNDUP('Production Schedule'!M$5/MAX('Production Schedule'!$E$5:$AA$5)*Fleet!$E118,0)</f>
        <v>2</v>
      </c>
      <c r="P118" s="213">
        <f>ROUNDUP('Production Schedule'!N$5/MAX('Production Schedule'!$E$5:$AA$5)*Fleet!$E118,0)</f>
        <v>2</v>
      </c>
      <c r="Q118" s="213">
        <f>ROUNDUP('Production Schedule'!O$5/MAX('Production Schedule'!$E$5:$AA$5)*Fleet!$E118,0)</f>
        <v>2</v>
      </c>
      <c r="R118" s="213">
        <f>ROUNDUP('Production Schedule'!P$5/MAX('Production Schedule'!$E$5:$AA$5)*Fleet!$E118,0)</f>
        <v>2</v>
      </c>
      <c r="S118" s="213">
        <f>ROUNDUP('Production Schedule'!Q$5/MAX('Production Schedule'!$E$5:$AA$5)*Fleet!$E118,0)</f>
        <v>2</v>
      </c>
      <c r="T118" s="213">
        <f>ROUNDUP('Production Schedule'!R$5/MAX('Production Schedule'!$E$5:$AA$5)*Fleet!$E118,0)</f>
        <v>2</v>
      </c>
      <c r="U118" s="213">
        <f>ROUNDUP('Production Schedule'!S$5/MAX('Production Schedule'!$E$5:$AA$5)*Fleet!$E118,0)</f>
        <v>2</v>
      </c>
      <c r="V118" s="213">
        <f>ROUNDUP('Production Schedule'!T$5/MAX('Production Schedule'!$E$5:$AA$5)*Fleet!$E118,0)</f>
        <v>2</v>
      </c>
      <c r="W118" s="213">
        <f>ROUNDUP('Production Schedule'!U$5/MAX('Production Schedule'!$E$5:$AA$5)*Fleet!$E118,0)</f>
        <v>2</v>
      </c>
      <c r="X118" s="213">
        <f>ROUNDUP('Production Schedule'!V$5/MAX('Production Schedule'!$E$5:$AA$5)*Fleet!$E118,0)</f>
        <v>2</v>
      </c>
      <c r="Y118" s="213">
        <f>ROUNDUP('Production Schedule'!W$5/MAX('Production Schedule'!$E$5:$AA$5)*Fleet!$E118,0)</f>
        <v>2</v>
      </c>
      <c r="Z118" s="213">
        <f>ROUNDUP('Production Schedule'!X$5/MAX('Production Schedule'!$E$5:$AA$5)*Fleet!$E118,0)</f>
        <v>2</v>
      </c>
      <c r="AA118" s="213">
        <f>ROUNDUP('Production Schedule'!Y$5/MAX('Production Schedule'!$E$5:$AA$5)*Fleet!$E118,0)</f>
        <v>2</v>
      </c>
      <c r="AB118" s="213">
        <f>ROUNDUP('Production Schedule'!Z$5/MAX('Production Schedule'!$E$5:$AA$5)*Fleet!$E118,0)</f>
        <v>1</v>
      </c>
      <c r="AC118" s="213">
        <f>ROUNDUP('Production Schedule'!AA$5/MAX('Production Schedule'!$E$5:$AA$5)*Fleet!$E118,0)</f>
        <v>1</v>
      </c>
    </row>
    <row r="119" spans="3:29">
      <c r="C119" s="1320" t="s">
        <v>933</v>
      </c>
      <c r="D119" s="141" t="s">
        <v>896</v>
      </c>
      <c r="E119" s="219">
        <v>2</v>
      </c>
      <c r="G119" s="213">
        <f>ROUNDUP('Production Schedule'!E$5/MAX('Production Schedule'!$E$5:$AA$5)*Fleet!$E119,0)</f>
        <v>0</v>
      </c>
      <c r="H119" s="213">
        <f>ROUNDUP('Production Schedule'!F$5/MAX('Production Schedule'!$E$5:$AA$5)*Fleet!$E119,0)</f>
        <v>0</v>
      </c>
      <c r="I119" s="213">
        <f>ROUNDUP('Production Schedule'!G$5/MAX('Production Schedule'!$E$5:$AA$5)*Fleet!$E119,0)</f>
        <v>0</v>
      </c>
      <c r="J119" s="213">
        <f>ROUNDUP('Production Schedule'!H$5/MAX('Production Schedule'!$E$5:$AA$5)*Fleet!$E119,0)</f>
        <v>0</v>
      </c>
      <c r="K119" s="213">
        <f>ROUNDUP('Production Schedule'!I$5/MAX('Production Schedule'!$E$5:$AA$5)*Fleet!$E119,0)</f>
        <v>1</v>
      </c>
      <c r="L119" s="213">
        <f>ROUNDUP('Production Schedule'!J$5/MAX('Production Schedule'!$E$5:$AA$5)*Fleet!$E119,0)</f>
        <v>1</v>
      </c>
      <c r="M119" s="213">
        <f>ROUNDUP('Production Schedule'!K$5/MAX('Production Schedule'!$E$5:$AA$5)*Fleet!$E119,0)</f>
        <v>2</v>
      </c>
      <c r="N119" s="213">
        <f>ROUNDUP('Production Schedule'!L$5/MAX('Production Schedule'!$E$5:$AA$5)*Fleet!$E119,0)</f>
        <v>2</v>
      </c>
      <c r="O119" s="213">
        <f>ROUNDUP('Production Schedule'!M$5/MAX('Production Schedule'!$E$5:$AA$5)*Fleet!$E119,0)</f>
        <v>2</v>
      </c>
      <c r="P119" s="213">
        <f>ROUNDUP('Production Schedule'!N$5/MAX('Production Schedule'!$E$5:$AA$5)*Fleet!$E119,0)</f>
        <v>2</v>
      </c>
      <c r="Q119" s="213">
        <f>ROUNDUP('Production Schedule'!O$5/MAX('Production Schedule'!$E$5:$AA$5)*Fleet!$E119,0)</f>
        <v>2</v>
      </c>
      <c r="R119" s="213">
        <f>ROUNDUP('Production Schedule'!P$5/MAX('Production Schedule'!$E$5:$AA$5)*Fleet!$E119,0)</f>
        <v>2</v>
      </c>
      <c r="S119" s="213">
        <f>ROUNDUP('Production Schedule'!Q$5/MAX('Production Schedule'!$E$5:$AA$5)*Fleet!$E119,0)</f>
        <v>2</v>
      </c>
      <c r="T119" s="213">
        <f>ROUNDUP('Production Schedule'!R$5/MAX('Production Schedule'!$E$5:$AA$5)*Fleet!$E119,0)</f>
        <v>2</v>
      </c>
      <c r="U119" s="213">
        <f>ROUNDUP('Production Schedule'!S$5/MAX('Production Schedule'!$E$5:$AA$5)*Fleet!$E119,0)</f>
        <v>2</v>
      </c>
      <c r="V119" s="213">
        <f>ROUNDUP('Production Schedule'!T$5/MAX('Production Schedule'!$E$5:$AA$5)*Fleet!$E119,0)</f>
        <v>2</v>
      </c>
      <c r="W119" s="213">
        <f>ROUNDUP('Production Schedule'!U$5/MAX('Production Schedule'!$E$5:$AA$5)*Fleet!$E119,0)</f>
        <v>2</v>
      </c>
      <c r="X119" s="213">
        <f>ROUNDUP('Production Schedule'!V$5/MAX('Production Schedule'!$E$5:$AA$5)*Fleet!$E119,0)</f>
        <v>2</v>
      </c>
      <c r="Y119" s="213">
        <f>ROUNDUP('Production Schedule'!W$5/MAX('Production Schedule'!$E$5:$AA$5)*Fleet!$E119,0)</f>
        <v>2</v>
      </c>
      <c r="Z119" s="213">
        <f>ROUNDUP('Production Schedule'!X$5/MAX('Production Schedule'!$E$5:$AA$5)*Fleet!$E119,0)</f>
        <v>2</v>
      </c>
      <c r="AA119" s="213">
        <f>ROUNDUP('Production Schedule'!Y$5/MAX('Production Schedule'!$E$5:$AA$5)*Fleet!$E119,0)</f>
        <v>2</v>
      </c>
      <c r="AB119" s="213">
        <f>ROUNDUP('Production Schedule'!Z$5/MAX('Production Schedule'!$E$5:$AA$5)*Fleet!$E119,0)</f>
        <v>1</v>
      </c>
      <c r="AC119" s="213">
        <f>ROUNDUP('Production Schedule'!AA$5/MAX('Production Schedule'!$E$5:$AA$5)*Fleet!$E119,0)</f>
        <v>1</v>
      </c>
    </row>
    <row r="120" spans="3:29">
      <c r="C120" s="1320" t="s">
        <v>934</v>
      </c>
      <c r="D120" s="141" t="s">
        <v>896</v>
      </c>
      <c r="E120" s="219">
        <v>2</v>
      </c>
      <c r="G120" s="213">
        <f>ROUNDUP('Production Schedule'!E$5/MAX('Production Schedule'!$E$5:$AA$5)*Fleet!$E120,0)</f>
        <v>0</v>
      </c>
      <c r="H120" s="213">
        <f>ROUNDUP('Production Schedule'!F$5/MAX('Production Schedule'!$E$5:$AA$5)*Fleet!$E120,0)</f>
        <v>0</v>
      </c>
      <c r="I120" s="213">
        <f>ROUNDUP('Production Schedule'!G$5/MAX('Production Schedule'!$E$5:$AA$5)*Fleet!$E120,0)</f>
        <v>0</v>
      </c>
      <c r="J120" s="213">
        <f>ROUNDUP('Production Schedule'!H$5/MAX('Production Schedule'!$E$5:$AA$5)*Fleet!$E120,0)</f>
        <v>0</v>
      </c>
      <c r="K120" s="213">
        <f>ROUNDUP('Production Schedule'!I$5/MAX('Production Schedule'!$E$5:$AA$5)*Fleet!$E120,0)</f>
        <v>1</v>
      </c>
      <c r="L120" s="213">
        <f>ROUNDUP('Production Schedule'!J$5/MAX('Production Schedule'!$E$5:$AA$5)*Fleet!$E120,0)</f>
        <v>1</v>
      </c>
      <c r="M120" s="213">
        <f>ROUNDUP('Production Schedule'!K$5/MAX('Production Schedule'!$E$5:$AA$5)*Fleet!$E120,0)</f>
        <v>2</v>
      </c>
      <c r="N120" s="213">
        <f>ROUNDUP('Production Schedule'!L$5/MAX('Production Schedule'!$E$5:$AA$5)*Fleet!$E120,0)</f>
        <v>2</v>
      </c>
      <c r="O120" s="213">
        <f>ROUNDUP('Production Schedule'!M$5/MAX('Production Schedule'!$E$5:$AA$5)*Fleet!$E120,0)</f>
        <v>2</v>
      </c>
      <c r="P120" s="213">
        <f>ROUNDUP('Production Schedule'!N$5/MAX('Production Schedule'!$E$5:$AA$5)*Fleet!$E120,0)</f>
        <v>2</v>
      </c>
      <c r="Q120" s="213">
        <f>ROUNDUP('Production Schedule'!O$5/MAX('Production Schedule'!$E$5:$AA$5)*Fleet!$E120,0)</f>
        <v>2</v>
      </c>
      <c r="R120" s="213">
        <f>ROUNDUP('Production Schedule'!P$5/MAX('Production Schedule'!$E$5:$AA$5)*Fleet!$E120,0)</f>
        <v>2</v>
      </c>
      <c r="S120" s="213">
        <f>ROUNDUP('Production Schedule'!Q$5/MAX('Production Schedule'!$E$5:$AA$5)*Fleet!$E120,0)</f>
        <v>2</v>
      </c>
      <c r="T120" s="213">
        <f>ROUNDUP('Production Schedule'!R$5/MAX('Production Schedule'!$E$5:$AA$5)*Fleet!$E120,0)</f>
        <v>2</v>
      </c>
      <c r="U120" s="213">
        <f>ROUNDUP('Production Schedule'!S$5/MAX('Production Schedule'!$E$5:$AA$5)*Fleet!$E120,0)</f>
        <v>2</v>
      </c>
      <c r="V120" s="213">
        <f>ROUNDUP('Production Schedule'!T$5/MAX('Production Schedule'!$E$5:$AA$5)*Fleet!$E120,0)</f>
        <v>2</v>
      </c>
      <c r="W120" s="213">
        <f>ROUNDUP('Production Schedule'!U$5/MAX('Production Schedule'!$E$5:$AA$5)*Fleet!$E120,0)</f>
        <v>2</v>
      </c>
      <c r="X120" s="213">
        <f>ROUNDUP('Production Schedule'!V$5/MAX('Production Schedule'!$E$5:$AA$5)*Fleet!$E120,0)</f>
        <v>2</v>
      </c>
      <c r="Y120" s="213">
        <f>ROUNDUP('Production Schedule'!W$5/MAX('Production Schedule'!$E$5:$AA$5)*Fleet!$E120,0)</f>
        <v>2</v>
      </c>
      <c r="Z120" s="213">
        <f>ROUNDUP('Production Schedule'!X$5/MAX('Production Schedule'!$E$5:$AA$5)*Fleet!$E120,0)</f>
        <v>2</v>
      </c>
      <c r="AA120" s="213">
        <f>ROUNDUP('Production Schedule'!Y$5/MAX('Production Schedule'!$E$5:$AA$5)*Fleet!$E120,0)</f>
        <v>2</v>
      </c>
      <c r="AB120" s="213">
        <f>ROUNDUP('Production Schedule'!Z$5/MAX('Production Schedule'!$E$5:$AA$5)*Fleet!$E120,0)</f>
        <v>1</v>
      </c>
      <c r="AC120" s="213">
        <f>ROUNDUP('Production Schedule'!AA$5/MAX('Production Schedule'!$E$5:$AA$5)*Fleet!$E120,0)</f>
        <v>1</v>
      </c>
    </row>
    <row r="121" spans="3:29">
      <c r="C121" s="1320" t="s">
        <v>936</v>
      </c>
      <c r="D121" s="141" t="s">
        <v>896</v>
      </c>
      <c r="E121" s="219">
        <v>2</v>
      </c>
      <c r="G121" s="213">
        <f>ROUNDUP('Production Schedule'!E$5/MAX('Production Schedule'!$E$5:$AA$5)*Fleet!$E121,0)</f>
        <v>0</v>
      </c>
      <c r="H121" s="213">
        <f>ROUNDUP('Production Schedule'!F$5/MAX('Production Schedule'!$E$5:$AA$5)*Fleet!$E121,0)</f>
        <v>0</v>
      </c>
      <c r="I121" s="213">
        <f>ROUNDUP('Production Schedule'!G$5/MAX('Production Schedule'!$E$5:$AA$5)*Fleet!$E121,0)</f>
        <v>0</v>
      </c>
      <c r="J121" s="213">
        <f>ROUNDUP('Production Schedule'!H$5/MAX('Production Schedule'!$E$5:$AA$5)*Fleet!$E121,0)</f>
        <v>0</v>
      </c>
      <c r="K121" s="213">
        <f>ROUNDUP('Production Schedule'!I$5/MAX('Production Schedule'!$E$5:$AA$5)*Fleet!$E121,0)</f>
        <v>1</v>
      </c>
      <c r="L121" s="213">
        <f>ROUNDUP('Production Schedule'!J$5/MAX('Production Schedule'!$E$5:$AA$5)*Fleet!$E121,0)</f>
        <v>1</v>
      </c>
      <c r="M121" s="213">
        <f>ROUNDUP('Production Schedule'!K$5/MAX('Production Schedule'!$E$5:$AA$5)*Fleet!$E121,0)</f>
        <v>2</v>
      </c>
      <c r="N121" s="213">
        <f>ROUNDUP('Production Schedule'!L$5/MAX('Production Schedule'!$E$5:$AA$5)*Fleet!$E121,0)</f>
        <v>2</v>
      </c>
      <c r="O121" s="213">
        <f>ROUNDUP('Production Schedule'!M$5/MAX('Production Schedule'!$E$5:$AA$5)*Fleet!$E121,0)</f>
        <v>2</v>
      </c>
      <c r="P121" s="213">
        <f>ROUNDUP('Production Schedule'!N$5/MAX('Production Schedule'!$E$5:$AA$5)*Fleet!$E121,0)</f>
        <v>2</v>
      </c>
      <c r="Q121" s="213">
        <f>ROUNDUP('Production Schedule'!O$5/MAX('Production Schedule'!$E$5:$AA$5)*Fleet!$E121,0)</f>
        <v>2</v>
      </c>
      <c r="R121" s="213">
        <f>ROUNDUP('Production Schedule'!P$5/MAX('Production Schedule'!$E$5:$AA$5)*Fleet!$E121,0)</f>
        <v>2</v>
      </c>
      <c r="S121" s="213">
        <f>ROUNDUP('Production Schedule'!Q$5/MAX('Production Schedule'!$E$5:$AA$5)*Fleet!$E121,0)</f>
        <v>2</v>
      </c>
      <c r="T121" s="213">
        <f>ROUNDUP('Production Schedule'!R$5/MAX('Production Schedule'!$E$5:$AA$5)*Fleet!$E121,0)</f>
        <v>2</v>
      </c>
      <c r="U121" s="213">
        <f>ROUNDUP('Production Schedule'!S$5/MAX('Production Schedule'!$E$5:$AA$5)*Fleet!$E121,0)</f>
        <v>2</v>
      </c>
      <c r="V121" s="213">
        <f>ROUNDUP('Production Schedule'!T$5/MAX('Production Schedule'!$E$5:$AA$5)*Fleet!$E121,0)</f>
        <v>2</v>
      </c>
      <c r="W121" s="213">
        <f>ROUNDUP('Production Schedule'!U$5/MAX('Production Schedule'!$E$5:$AA$5)*Fleet!$E121,0)</f>
        <v>2</v>
      </c>
      <c r="X121" s="213">
        <f>ROUNDUP('Production Schedule'!V$5/MAX('Production Schedule'!$E$5:$AA$5)*Fleet!$E121,0)</f>
        <v>2</v>
      </c>
      <c r="Y121" s="213">
        <f>ROUNDUP('Production Schedule'!W$5/MAX('Production Schedule'!$E$5:$AA$5)*Fleet!$E121,0)</f>
        <v>2</v>
      </c>
      <c r="Z121" s="213">
        <f>ROUNDUP('Production Schedule'!X$5/MAX('Production Schedule'!$E$5:$AA$5)*Fleet!$E121,0)</f>
        <v>2</v>
      </c>
      <c r="AA121" s="213">
        <f>ROUNDUP('Production Schedule'!Y$5/MAX('Production Schedule'!$E$5:$AA$5)*Fleet!$E121,0)</f>
        <v>2</v>
      </c>
      <c r="AB121" s="213">
        <f>ROUNDUP('Production Schedule'!Z$5/MAX('Production Schedule'!$E$5:$AA$5)*Fleet!$E121,0)</f>
        <v>1</v>
      </c>
      <c r="AC121" s="213">
        <f>ROUNDUP('Production Schedule'!AA$5/MAX('Production Schedule'!$E$5:$AA$5)*Fleet!$E121,0)</f>
        <v>1</v>
      </c>
    </row>
    <row r="122" spans="3:29">
      <c r="C122" s="1320" t="s">
        <v>940</v>
      </c>
      <c r="D122" s="141" t="s">
        <v>896</v>
      </c>
      <c r="E122" s="219">
        <v>2</v>
      </c>
      <c r="G122" s="213">
        <f>ROUNDUP('Production Schedule'!E$5/MAX('Production Schedule'!$E$5:$AA$5)*Fleet!$E122,0)</f>
        <v>0</v>
      </c>
      <c r="H122" s="213">
        <f>ROUNDUP('Production Schedule'!F$5/MAX('Production Schedule'!$E$5:$AA$5)*Fleet!$E122,0)</f>
        <v>0</v>
      </c>
      <c r="I122" s="213">
        <f>ROUNDUP('Production Schedule'!G$5/MAX('Production Schedule'!$E$5:$AA$5)*Fleet!$E122,0)</f>
        <v>0</v>
      </c>
      <c r="J122" s="213">
        <f>ROUNDUP('Production Schedule'!H$5/MAX('Production Schedule'!$E$5:$AA$5)*Fleet!$E122,0)</f>
        <v>0</v>
      </c>
      <c r="K122" s="213">
        <f>ROUNDUP('Production Schedule'!I$5/MAX('Production Schedule'!$E$5:$AA$5)*Fleet!$E122,0)</f>
        <v>1</v>
      </c>
      <c r="L122" s="213">
        <f>ROUNDUP('Production Schedule'!J$5/MAX('Production Schedule'!$E$5:$AA$5)*Fleet!$E122,0)</f>
        <v>1</v>
      </c>
      <c r="M122" s="213">
        <f>ROUNDUP('Production Schedule'!K$5/MAX('Production Schedule'!$E$5:$AA$5)*Fleet!$E122,0)</f>
        <v>2</v>
      </c>
      <c r="N122" s="213">
        <f>ROUNDUP('Production Schedule'!L$5/MAX('Production Schedule'!$E$5:$AA$5)*Fleet!$E122,0)</f>
        <v>2</v>
      </c>
      <c r="O122" s="213">
        <f>ROUNDUP('Production Schedule'!M$5/MAX('Production Schedule'!$E$5:$AA$5)*Fleet!$E122,0)</f>
        <v>2</v>
      </c>
      <c r="P122" s="213">
        <f>ROUNDUP('Production Schedule'!N$5/MAX('Production Schedule'!$E$5:$AA$5)*Fleet!$E122,0)</f>
        <v>2</v>
      </c>
      <c r="Q122" s="213">
        <f>ROUNDUP('Production Schedule'!O$5/MAX('Production Schedule'!$E$5:$AA$5)*Fleet!$E122,0)</f>
        <v>2</v>
      </c>
      <c r="R122" s="213">
        <f>ROUNDUP('Production Schedule'!P$5/MAX('Production Schedule'!$E$5:$AA$5)*Fleet!$E122,0)</f>
        <v>2</v>
      </c>
      <c r="S122" s="213">
        <f>ROUNDUP('Production Schedule'!Q$5/MAX('Production Schedule'!$E$5:$AA$5)*Fleet!$E122,0)</f>
        <v>2</v>
      </c>
      <c r="T122" s="213">
        <f>ROUNDUP('Production Schedule'!R$5/MAX('Production Schedule'!$E$5:$AA$5)*Fleet!$E122,0)</f>
        <v>2</v>
      </c>
      <c r="U122" s="213">
        <f>ROUNDUP('Production Schedule'!S$5/MAX('Production Schedule'!$E$5:$AA$5)*Fleet!$E122,0)</f>
        <v>2</v>
      </c>
      <c r="V122" s="213">
        <f>ROUNDUP('Production Schedule'!T$5/MAX('Production Schedule'!$E$5:$AA$5)*Fleet!$E122,0)</f>
        <v>2</v>
      </c>
      <c r="W122" s="213">
        <f>ROUNDUP('Production Schedule'!U$5/MAX('Production Schedule'!$E$5:$AA$5)*Fleet!$E122,0)</f>
        <v>2</v>
      </c>
      <c r="X122" s="213">
        <f>ROUNDUP('Production Schedule'!V$5/MAX('Production Schedule'!$E$5:$AA$5)*Fleet!$E122,0)</f>
        <v>2</v>
      </c>
      <c r="Y122" s="213">
        <f>ROUNDUP('Production Schedule'!W$5/MAX('Production Schedule'!$E$5:$AA$5)*Fleet!$E122,0)</f>
        <v>2</v>
      </c>
      <c r="Z122" s="213">
        <f>ROUNDUP('Production Schedule'!X$5/MAX('Production Schedule'!$E$5:$AA$5)*Fleet!$E122,0)</f>
        <v>2</v>
      </c>
      <c r="AA122" s="213">
        <f>ROUNDUP('Production Schedule'!Y$5/MAX('Production Schedule'!$E$5:$AA$5)*Fleet!$E122,0)</f>
        <v>2</v>
      </c>
      <c r="AB122" s="213">
        <f>ROUNDUP('Production Schedule'!Z$5/MAX('Production Schedule'!$E$5:$AA$5)*Fleet!$E122,0)</f>
        <v>1</v>
      </c>
      <c r="AC122" s="213">
        <f>ROUNDUP('Production Schedule'!AA$5/MAX('Production Schedule'!$E$5:$AA$5)*Fleet!$E122,0)</f>
        <v>1</v>
      </c>
    </row>
    <row r="123" spans="3:29">
      <c r="C123" s="1320" t="s">
        <v>941</v>
      </c>
      <c r="D123" s="141" t="s">
        <v>896</v>
      </c>
      <c r="E123" s="219">
        <v>2</v>
      </c>
      <c r="G123" s="213">
        <f>ROUNDUP('Production Schedule'!E$5/MAX('Production Schedule'!$E$5:$AA$5)*Fleet!$E123,0)</f>
        <v>0</v>
      </c>
      <c r="H123" s="213">
        <f>ROUNDUP('Production Schedule'!F$5/MAX('Production Schedule'!$E$5:$AA$5)*Fleet!$E123,0)</f>
        <v>0</v>
      </c>
      <c r="I123" s="213">
        <f>ROUNDUP('Production Schedule'!G$5/MAX('Production Schedule'!$E$5:$AA$5)*Fleet!$E123,0)</f>
        <v>0</v>
      </c>
      <c r="J123" s="213">
        <f>ROUNDUP('Production Schedule'!H$5/MAX('Production Schedule'!$E$5:$AA$5)*Fleet!$E123,0)</f>
        <v>0</v>
      </c>
      <c r="K123" s="213">
        <f>ROUNDUP('Production Schedule'!I$5/MAX('Production Schedule'!$E$5:$AA$5)*Fleet!$E123,0)</f>
        <v>1</v>
      </c>
      <c r="L123" s="213">
        <f>ROUNDUP('Production Schedule'!J$5/MAX('Production Schedule'!$E$5:$AA$5)*Fleet!$E123,0)</f>
        <v>1</v>
      </c>
      <c r="M123" s="213">
        <f>ROUNDUP('Production Schedule'!K$5/MAX('Production Schedule'!$E$5:$AA$5)*Fleet!$E123,0)</f>
        <v>2</v>
      </c>
      <c r="N123" s="213">
        <f>ROUNDUP('Production Schedule'!L$5/MAX('Production Schedule'!$E$5:$AA$5)*Fleet!$E123,0)</f>
        <v>2</v>
      </c>
      <c r="O123" s="213">
        <f>ROUNDUP('Production Schedule'!M$5/MAX('Production Schedule'!$E$5:$AA$5)*Fleet!$E123,0)</f>
        <v>2</v>
      </c>
      <c r="P123" s="213">
        <f>ROUNDUP('Production Schedule'!N$5/MAX('Production Schedule'!$E$5:$AA$5)*Fleet!$E123,0)</f>
        <v>2</v>
      </c>
      <c r="Q123" s="213">
        <f>ROUNDUP('Production Schedule'!O$5/MAX('Production Schedule'!$E$5:$AA$5)*Fleet!$E123,0)</f>
        <v>2</v>
      </c>
      <c r="R123" s="213">
        <f>ROUNDUP('Production Schedule'!P$5/MAX('Production Schedule'!$E$5:$AA$5)*Fleet!$E123,0)</f>
        <v>2</v>
      </c>
      <c r="S123" s="213">
        <f>ROUNDUP('Production Schedule'!Q$5/MAX('Production Schedule'!$E$5:$AA$5)*Fleet!$E123,0)</f>
        <v>2</v>
      </c>
      <c r="T123" s="213">
        <f>ROUNDUP('Production Schedule'!R$5/MAX('Production Schedule'!$E$5:$AA$5)*Fleet!$E123,0)</f>
        <v>2</v>
      </c>
      <c r="U123" s="213">
        <f>ROUNDUP('Production Schedule'!S$5/MAX('Production Schedule'!$E$5:$AA$5)*Fleet!$E123,0)</f>
        <v>2</v>
      </c>
      <c r="V123" s="213">
        <f>ROUNDUP('Production Schedule'!T$5/MAX('Production Schedule'!$E$5:$AA$5)*Fleet!$E123,0)</f>
        <v>2</v>
      </c>
      <c r="W123" s="213">
        <f>ROUNDUP('Production Schedule'!U$5/MAX('Production Schedule'!$E$5:$AA$5)*Fleet!$E123,0)</f>
        <v>2</v>
      </c>
      <c r="X123" s="213">
        <f>ROUNDUP('Production Schedule'!V$5/MAX('Production Schedule'!$E$5:$AA$5)*Fleet!$E123,0)</f>
        <v>2</v>
      </c>
      <c r="Y123" s="213">
        <f>ROUNDUP('Production Schedule'!W$5/MAX('Production Schedule'!$E$5:$AA$5)*Fleet!$E123,0)</f>
        <v>2</v>
      </c>
      <c r="Z123" s="213">
        <f>ROUNDUP('Production Schedule'!X$5/MAX('Production Schedule'!$E$5:$AA$5)*Fleet!$E123,0)</f>
        <v>2</v>
      </c>
      <c r="AA123" s="213">
        <f>ROUNDUP('Production Schedule'!Y$5/MAX('Production Schedule'!$E$5:$AA$5)*Fleet!$E123,0)</f>
        <v>2</v>
      </c>
      <c r="AB123" s="213">
        <f>ROUNDUP('Production Schedule'!Z$5/MAX('Production Schedule'!$E$5:$AA$5)*Fleet!$E123,0)</f>
        <v>1</v>
      </c>
      <c r="AC123" s="213">
        <f>ROUNDUP('Production Schedule'!AA$5/MAX('Production Schedule'!$E$5:$AA$5)*Fleet!$E123,0)</f>
        <v>1</v>
      </c>
    </row>
    <row r="124" spans="3:29">
      <c r="C124" s="1320" t="s">
        <v>943</v>
      </c>
      <c r="D124" s="141" t="s">
        <v>896</v>
      </c>
      <c r="E124" s="219">
        <v>2</v>
      </c>
      <c r="G124" s="213">
        <f>ROUNDUP('Production Schedule'!E$5/MAX('Production Schedule'!$E$5:$AA$5)*Fleet!$E124,0)</f>
        <v>0</v>
      </c>
      <c r="H124" s="213">
        <f>ROUNDUP('Production Schedule'!F$5/MAX('Production Schedule'!$E$5:$AA$5)*Fleet!$E124,0)</f>
        <v>0</v>
      </c>
      <c r="I124" s="213">
        <f>ROUNDUP('Production Schedule'!G$5/MAX('Production Schedule'!$E$5:$AA$5)*Fleet!$E124,0)</f>
        <v>0</v>
      </c>
      <c r="J124" s="213">
        <f>ROUNDUP('Production Schedule'!H$5/MAX('Production Schedule'!$E$5:$AA$5)*Fleet!$E124,0)</f>
        <v>0</v>
      </c>
      <c r="K124" s="213">
        <f>ROUNDUP('Production Schedule'!I$5/MAX('Production Schedule'!$E$5:$AA$5)*Fleet!$E124,0)</f>
        <v>1</v>
      </c>
      <c r="L124" s="213">
        <f>ROUNDUP('Production Schedule'!J$5/MAX('Production Schedule'!$E$5:$AA$5)*Fleet!$E124,0)</f>
        <v>1</v>
      </c>
      <c r="M124" s="213">
        <f>ROUNDUP('Production Schedule'!K$5/MAX('Production Schedule'!$E$5:$AA$5)*Fleet!$E124,0)</f>
        <v>2</v>
      </c>
      <c r="N124" s="213">
        <f>ROUNDUP('Production Schedule'!L$5/MAX('Production Schedule'!$E$5:$AA$5)*Fleet!$E124,0)</f>
        <v>2</v>
      </c>
      <c r="O124" s="213">
        <f>ROUNDUP('Production Schedule'!M$5/MAX('Production Schedule'!$E$5:$AA$5)*Fleet!$E124,0)</f>
        <v>2</v>
      </c>
      <c r="P124" s="213">
        <f>ROUNDUP('Production Schedule'!N$5/MAX('Production Schedule'!$E$5:$AA$5)*Fleet!$E124,0)</f>
        <v>2</v>
      </c>
      <c r="Q124" s="213">
        <f>ROUNDUP('Production Schedule'!O$5/MAX('Production Schedule'!$E$5:$AA$5)*Fleet!$E124,0)</f>
        <v>2</v>
      </c>
      <c r="R124" s="213">
        <f>ROUNDUP('Production Schedule'!P$5/MAX('Production Schedule'!$E$5:$AA$5)*Fleet!$E124,0)</f>
        <v>2</v>
      </c>
      <c r="S124" s="213">
        <f>ROUNDUP('Production Schedule'!Q$5/MAX('Production Schedule'!$E$5:$AA$5)*Fleet!$E124,0)</f>
        <v>2</v>
      </c>
      <c r="T124" s="213">
        <f>ROUNDUP('Production Schedule'!R$5/MAX('Production Schedule'!$E$5:$AA$5)*Fleet!$E124,0)</f>
        <v>2</v>
      </c>
      <c r="U124" s="213">
        <f>ROUNDUP('Production Schedule'!S$5/MAX('Production Schedule'!$E$5:$AA$5)*Fleet!$E124,0)</f>
        <v>2</v>
      </c>
      <c r="V124" s="213">
        <f>ROUNDUP('Production Schedule'!T$5/MAX('Production Schedule'!$E$5:$AA$5)*Fleet!$E124,0)</f>
        <v>2</v>
      </c>
      <c r="W124" s="213">
        <f>ROUNDUP('Production Schedule'!U$5/MAX('Production Schedule'!$E$5:$AA$5)*Fleet!$E124,0)</f>
        <v>2</v>
      </c>
      <c r="X124" s="213">
        <f>ROUNDUP('Production Schedule'!V$5/MAX('Production Schedule'!$E$5:$AA$5)*Fleet!$E124,0)</f>
        <v>2</v>
      </c>
      <c r="Y124" s="213">
        <f>ROUNDUP('Production Schedule'!W$5/MAX('Production Schedule'!$E$5:$AA$5)*Fleet!$E124,0)</f>
        <v>2</v>
      </c>
      <c r="Z124" s="213">
        <f>ROUNDUP('Production Schedule'!X$5/MAX('Production Schedule'!$E$5:$AA$5)*Fleet!$E124,0)</f>
        <v>2</v>
      </c>
      <c r="AA124" s="213">
        <f>ROUNDUP('Production Schedule'!Y$5/MAX('Production Schedule'!$E$5:$AA$5)*Fleet!$E124,0)</f>
        <v>2</v>
      </c>
      <c r="AB124" s="213">
        <f>ROUNDUP('Production Schedule'!Z$5/MAX('Production Schedule'!$E$5:$AA$5)*Fleet!$E124,0)</f>
        <v>1</v>
      </c>
      <c r="AC124" s="213">
        <f>ROUNDUP('Production Schedule'!AA$5/MAX('Production Schedule'!$E$5:$AA$5)*Fleet!$E124,0)</f>
        <v>1</v>
      </c>
    </row>
    <row r="125" spans="3:29">
      <c r="C125" s="1320" t="s">
        <v>945</v>
      </c>
      <c r="D125" s="141" t="s">
        <v>896</v>
      </c>
      <c r="E125" s="219">
        <v>2</v>
      </c>
      <c r="G125" s="213">
        <f>ROUNDUP('Production Schedule'!E$5/MAX('Production Schedule'!$E$5:$AA$5)*Fleet!$E125,0)</f>
        <v>0</v>
      </c>
      <c r="H125" s="213">
        <f>ROUNDUP('Production Schedule'!F$5/MAX('Production Schedule'!$E$5:$AA$5)*Fleet!$E125,0)</f>
        <v>0</v>
      </c>
      <c r="I125" s="213">
        <f>ROUNDUP('Production Schedule'!G$5/MAX('Production Schedule'!$E$5:$AA$5)*Fleet!$E125,0)</f>
        <v>0</v>
      </c>
      <c r="J125" s="213">
        <f>ROUNDUP('Production Schedule'!H$5/MAX('Production Schedule'!$E$5:$AA$5)*Fleet!$E125,0)</f>
        <v>0</v>
      </c>
      <c r="K125" s="213">
        <f>ROUNDUP('Production Schedule'!I$5/MAX('Production Schedule'!$E$5:$AA$5)*Fleet!$E125,0)</f>
        <v>1</v>
      </c>
      <c r="L125" s="213">
        <f>ROUNDUP('Production Schedule'!J$5/MAX('Production Schedule'!$E$5:$AA$5)*Fleet!$E125,0)</f>
        <v>1</v>
      </c>
      <c r="M125" s="213">
        <f>ROUNDUP('Production Schedule'!K$5/MAX('Production Schedule'!$E$5:$AA$5)*Fleet!$E125,0)</f>
        <v>2</v>
      </c>
      <c r="N125" s="213">
        <f>ROUNDUP('Production Schedule'!L$5/MAX('Production Schedule'!$E$5:$AA$5)*Fleet!$E125,0)</f>
        <v>2</v>
      </c>
      <c r="O125" s="213">
        <f>ROUNDUP('Production Schedule'!M$5/MAX('Production Schedule'!$E$5:$AA$5)*Fleet!$E125,0)</f>
        <v>2</v>
      </c>
      <c r="P125" s="213">
        <f>ROUNDUP('Production Schedule'!N$5/MAX('Production Schedule'!$E$5:$AA$5)*Fleet!$E125,0)</f>
        <v>2</v>
      </c>
      <c r="Q125" s="213">
        <f>ROUNDUP('Production Schedule'!O$5/MAX('Production Schedule'!$E$5:$AA$5)*Fleet!$E125,0)</f>
        <v>2</v>
      </c>
      <c r="R125" s="213">
        <f>ROUNDUP('Production Schedule'!P$5/MAX('Production Schedule'!$E$5:$AA$5)*Fleet!$E125,0)</f>
        <v>2</v>
      </c>
      <c r="S125" s="213">
        <f>ROUNDUP('Production Schedule'!Q$5/MAX('Production Schedule'!$E$5:$AA$5)*Fleet!$E125,0)</f>
        <v>2</v>
      </c>
      <c r="T125" s="213">
        <f>ROUNDUP('Production Schedule'!R$5/MAX('Production Schedule'!$E$5:$AA$5)*Fleet!$E125,0)</f>
        <v>2</v>
      </c>
      <c r="U125" s="213">
        <f>ROUNDUP('Production Schedule'!S$5/MAX('Production Schedule'!$E$5:$AA$5)*Fleet!$E125,0)</f>
        <v>2</v>
      </c>
      <c r="V125" s="213">
        <f>ROUNDUP('Production Schedule'!T$5/MAX('Production Schedule'!$E$5:$AA$5)*Fleet!$E125,0)</f>
        <v>2</v>
      </c>
      <c r="W125" s="213">
        <f>ROUNDUP('Production Schedule'!U$5/MAX('Production Schedule'!$E$5:$AA$5)*Fleet!$E125,0)</f>
        <v>2</v>
      </c>
      <c r="X125" s="213">
        <f>ROUNDUP('Production Schedule'!V$5/MAX('Production Schedule'!$E$5:$AA$5)*Fleet!$E125,0)</f>
        <v>2</v>
      </c>
      <c r="Y125" s="213">
        <f>ROUNDUP('Production Schedule'!W$5/MAX('Production Schedule'!$E$5:$AA$5)*Fleet!$E125,0)</f>
        <v>2</v>
      </c>
      <c r="Z125" s="213">
        <f>ROUNDUP('Production Schedule'!X$5/MAX('Production Schedule'!$E$5:$AA$5)*Fleet!$E125,0)</f>
        <v>2</v>
      </c>
      <c r="AA125" s="213">
        <f>ROUNDUP('Production Schedule'!Y$5/MAX('Production Schedule'!$E$5:$AA$5)*Fleet!$E125,0)</f>
        <v>2</v>
      </c>
      <c r="AB125" s="213">
        <f>ROUNDUP('Production Schedule'!Z$5/MAX('Production Schedule'!$E$5:$AA$5)*Fleet!$E125,0)</f>
        <v>1</v>
      </c>
      <c r="AC125" s="213">
        <f>ROUNDUP('Production Schedule'!AA$5/MAX('Production Schedule'!$E$5:$AA$5)*Fleet!$E125,0)</f>
        <v>1</v>
      </c>
    </row>
    <row r="126" spans="3:29">
      <c r="C126" s="1320" t="s">
        <v>946</v>
      </c>
      <c r="D126" s="141" t="s">
        <v>896</v>
      </c>
      <c r="E126" s="219">
        <v>2</v>
      </c>
      <c r="G126" s="213">
        <f>ROUNDUP('Production Schedule'!E$5/MAX('Production Schedule'!$E$5:$AA$5)*Fleet!$E126,0)</f>
        <v>0</v>
      </c>
      <c r="H126" s="213">
        <f>ROUNDUP('Production Schedule'!F$5/MAX('Production Schedule'!$E$5:$AA$5)*Fleet!$E126,0)</f>
        <v>0</v>
      </c>
      <c r="I126" s="213">
        <f>ROUNDUP('Production Schedule'!G$5/MAX('Production Schedule'!$E$5:$AA$5)*Fleet!$E126,0)</f>
        <v>0</v>
      </c>
      <c r="J126" s="213">
        <f>ROUNDUP('Production Schedule'!H$5/MAX('Production Schedule'!$E$5:$AA$5)*Fleet!$E126,0)</f>
        <v>0</v>
      </c>
      <c r="K126" s="213">
        <f>ROUNDUP('Production Schedule'!I$5/MAX('Production Schedule'!$E$5:$AA$5)*Fleet!$E126,0)</f>
        <v>1</v>
      </c>
      <c r="L126" s="213">
        <f>ROUNDUP('Production Schedule'!J$5/MAX('Production Schedule'!$E$5:$AA$5)*Fleet!$E126,0)</f>
        <v>1</v>
      </c>
      <c r="M126" s="213">
        <f>ROUNDUP('Production Schedule'!K$5/MAX('Production Schedule'!$E$5:$AA$5)*Fleet!$E126,0)</f>
        <v>2</v>
      </c>
      <c r="N126" s="213">
        <f>ROUNDUP('Production Schedule'!L$5/MAX('Production Schedule'!$E$5:$AA$5)*Fleet!$E126,0)</f>
        <v>2</v>
      </c>
      <c r="O126" s="213">
        <f>ROUNDUP('Production Schedule'!M$5/MAX('Production Schedule'!$E$5:$AA$5)*Fleet!$E126,0)</f>
        <v>2</v>
      </c>
      <c r="P126" s="213">
        <f>ROUNDUP('Production Schedule'!N$5/MAX('Production Schedule'!$E$5:$AA$5)*Fleet!$E126,0)</f>
        <v>2</v>
      </c>
      <c r="Q126" s="213">
        <f>ROUNDUP('Production Schedule'!O$5/MAX('Production Schedule'!$E$5:$AA$5)*Fleet!$E126,0)</f>
        <v>2</v>
      </c>
      <c r="R126" s="213">
        <f>ROUNDUP('Production Schedule'!P$5/MAX('Production Schedule'!$E$5:$AA$5)*Fleet!$E126,0)</f>
        <v>2</v>
      </c>
      <c r="S126" s="213">
        <f>ROUNDUP('Production Schedule'!Q$5/MAX('Production Schedule'!$E$5:$AA$5)*Fleet!$E126,0)</f>
        <v>2</v>
      </c>
      <c r="T126" s="213">
        <f>ROUNDUP('Production Schedule'!R$5/MAX('Production Schedule'!$E$5:$AA$5)*Fleet!$E126,0)</f>
        <v>2</v>
      </c>
      <c r="U126" s="213">
        <f>ROUNDUP('Production Schedule'!S$5/MAX('Production Schedule'!$E$5:$AA$5)*Fleet!$E126,0)</f>
        <v>2</v>
      </c>
      <c r="V126" s="213">
        <f>ROUNDUP('Production Schedule'!T$5/MAX('Production Schedule'!$E$5:$AA$5)*Fleet!$E126,0)</f>
        <v>2</v>
      </c>
      <c r="W126" s="213">
        <f>ROUNDUP('Production Schedule'!U$5/MAX('Production Schedule'!$E$5:$AA$5)*Fleet!$E126,0)</f>
        <v>2</v>
      </c>
      <c r="X126" s="213">
        <f>ROUNDUP('Production Schedule'!V$5/MAX('Production Schedule'!$E$5:$AA$5)*Fleet!$E126,0)</f>
        <v>2</v>
      </c>
      <c r="Y126" s="213">
        <f>ROUNDUP('Production Schedule'!W$5/MAX('Production Schedule'!$E$5:$AA$5)*Fleet!$E126,0)</f>
        <v>2</v>
      </c>
      <c r="Z126" s="213">
        <f>ROUNDUP('Production Schedule'!X$5/MAX('Production Schedule'!$E$5:$AA$5)*Fleet!$E126,0)</f>
        <v>2</v>
      </c>
      <c r="AA126" s="213">
        <f>ROUNDUP('Production Schedule'!Y$5/MAX('Production Schedule'!$E$5:$AA$5)*Fleet!$E126,0)</f>
        <v>2</v>
      </c>
      <c r="AB126" s="213">
        <f>ROUNDUP('Production Schedule'!Z$5/MAX('Production Schedule'!$E$5:$AA$5)*Fleet!$E126,0)</f>
        <v>1</v>
      </c>
      <c r="AC126" s="213">
        <f>ROUNDUP('Production Schedule'!AA$5/MAX('Production Schedule'!$E$5:$AA$5)*Fleet!$E126,0)</f>
        <v>1</v>
      </c>
    </row>
    <row r="127" spans="3:29">
      <c r="C127" s="1320" t="s">
        <v>947</v>
      </c>
      <c r="D127" s="141" t="s">
        <v>896</v>
      </c>
      <c r="E127" s="219">
        <v>2</v>
      </c>
      <c r="G127" s="213">
        <f>ROUNDUP('Production Schedule'!E$5/MAX('Production Schedule'!$E$5:$AA$5)*Fleet!$E127,0)</f>
        <v>0</v>
      </c>
      <c r="H127" s="213">
        <f>ROUNDUP('Production Schedule'!F$5/MAX('Production Schedule'!$E$5:$AA$5)*Fleet!$E127,0)</f>
        <v>0</v>
      </c>
      <c r="I127" s="213">
        <f>ROUNDUP('Production Schedule'!G$5/MAX('Production Schedule'!$E$5:$AA$5)*Fleet!$E127,0)</f>
        <v>0</v>
      </c>
      <c r="J127" s="213">
        <f>ROUNDUP('Production Schedule'!H$5/MAX('Production Schedule'!$E$5:$AA$5)*Fleet!$E127,0)</f>
        <v>0</v>
      </c>
      <c r="K127" s="213">
        <f>ROUNDUP('Production Schedule'!I$5/MAX('Production Schedule'!$E$5:$AA$5)*Fleet!$E127,0)</f>
        <v>1</v>
      </c>
      <c r="L127" s="213">
        <f>ROUNDUP('Production Schedule'!J$5/MAX('Production Schedule'!$E$5:$AA$5)*Fleet!$E127,0)</f>
        <v>1</v>
      </c>
      <c r="M127" s="213">
        <f>ROUNDUP('Production Schedule'!K$5/MAX('Production Schedule'!$E$5:$AA$5)*Fleet!$E127,0)</f>
        <v>2</v>
      </c>
      <c r="N127" s="213">
        <f>ROUNDUP('Production Schedule'!L$5/MAX('Production Schedule'!$E$5:$AA$5)*Fleet!$E127,0)</f>
        <v>2</v>
      </c>
      <c r="O127" s="213">
        <f>ROUNDUP('Production Schedule'!M$5/MAX('Production Schedule'!$E$5:$AA$5)*Fleet!$E127,0)</f>
        <v>2</v>
      </c>
      <c r="P127" s="213">
        <f>ROUNDUP('Production Schedule'!N$5/MAX('Production Schedule'!$E$5:$AA$5)*Fleet!$E127,0)</f>
        <v>2</v>
      </c>
      <c r="Q127" s="213">
        <f>ROUNDUP('Production Schedule'!O$5/MAX('Production Schedule'!$E$5:$AA$5)*Fleet!$E127,0)</f>
        <v>2</v>
      </c>
      <c r="R127" s="213">
        <f>ROUNDUP('Production Schedule'!P$5/MAX('Production Schedule'!$E$5:$AA$5)*Fleet!$E127,0)</f>
        <v>2</v>
      </c>
      <c r="S127" s="213">
        <f>ROUNDUP('Production Schedule'!Q$5/MAX('Production Schedule'!$E$5:$AA$5)*Fleet!$E127,0)</f>
        <v>2</v>
      </c>
      <c r="T127" s="213">
        <f>ROUNDUP('Production Schedule'!R$5/MAX('Production Schedule'!$E$5:$AA$5)*Fleet!$E127,0)</f>
        <v>2</v>
      </c>
      <c r="U127" s="213">
        <f>ROUNDUP('Production Schedule'!S$5/MAX('Production Schedule'!$E$5:$AA$5)*Fleet!$E127,0)</f>
        <v>2</v>
      </c>
      <c r="V127" s="213">
        <f>ROUNDUP('Production Schedule'!T$5/MAX('Production Schedule'!$E$5:$AA$5)*Fleet!$E127,0)</f>
        <v>2</v>
      </c>
      <c r="W127" s="213">
        <f>ROUNDUP('Production Schedule'!U$5/MAX('Production Schedule'!$E$5:$AA$5)*Fleet!$E127,0)</f>
        <v>2</v>
      </c>
      <c r="X127" s="213">
        <f>ROUNDUP('Production Schedule'!V$5/MAX('Production Schedule'!$E$5:$AA$5)*Fleet!$E127,0)</f>
        <v>2</v>
      </c>
      <c r="Y127" s="213">
        <f>ROUNDUP('Production Schedule'!W$5/MAX('Production Schedule'!$E$5:$AA$5)*Fleet!$E127,0)</f>
        <v>2</v>
      </c>
      <c r="Z127" s="213">
        <f>ROUNDUP('Production Schedule'!X$5/MAX('Production Schedule'!$E$5:$AA$5)*Fleet!$E127,0)</f>
        <v>2</v>
      </c>
      <c r="AA127" s="213">
        <f>ROUNDUP('Production Schedule'!Y$5/MAX('Production Schedule'!$E$5:$AA$5)*Fleet!$E127,0)</f>
        <v>2</v>
      </c>
      <c r="AB127" s="213">
        <f>ROUNDUP('Production Schedule'!Z$5/MAX('Production Schedule'!$E$5:$AA$5)*Fleet!$E127,0)</f>
        <v>1</v>
      </c>
      <c r="AC127" s="213">
        <f>ROUNDUP('Production Schedule'!AA$5/MAX('Production Schedule'!$E$5:$AA$5)*Fleet!$E127,0)</f>
        <v>1</v>
      </c>
    </row>
    <row r="128" spans="3:29">
      <c r="C128" s="1320" t="s">
        <v>949</v>
      </c>
      <c r="D128" s="141" t="s">
        <v>896</v>
      </c>
      <c r="E128" s="219">
        <v>2</v>
      </c>
      <c r="G128" s="213">
        <f>ROUNDUP('Production Schedule'!E$5/MAX('Production Schedule'!$E$5:$AA$5)*Fleet!$E128,0)</f>
        <v>0</v>
      </c>
      <c r="H128" s="213">
        <f>ROUNDUP('Production Schedule'!F$5/MAX('Production Schedule'!$E$5:$AA$5)*Fleet!$E128,0)</f>
        <v>0</v>
      </c>
      <c r="I128" s="213">
        <f>ROUNDUP('Production Schedule'!G$5/MAX('Production Schedule'!$E$5:$AA$5)*Fleet!$E128,0)</f>
        <v>0</v>
      </c>
      <c r="J128" s="213">
        <f>ROUNDUP('Production Schedule'!H$5/MAX('Production Schedule'!$E$5:$AA$5)*Fleet!$E128,0)</f>
        <v>0</v>
      </c>
      <c r="K128" s="213">
        <f>ROUNDUP('Production Schedule'!I$5/MAX('Production Schedule'!$E$5:$AA$5)*Fleet!$E128,0)</f>
        <v>1</v>
      </c>
      <c r="L128" s="213">
        <f>ROUNDUP('Production Schedule'!J$5/MAX('Production Schedule'!$E$5:$AA$5)*Fleet!$E128,0)</f>
        <v>1</v>
      </c>
      <c r="M128" s="213">
        <f>ROUNDUP('Production Schedule'!K$5/MAX('Production Schedule'!$E$5:$AA$5)*Fleet!$E128,0)</f>
        <v>2</v>
      </c>
      <c r="N128" s="213">
        <f>ROUNDUP('Production Schedule'!L$5/MAX('Production Schedule'!$E$5:$AA$5)*Fleet!$E128,0)</f>
        <v>2</v>
      </c>
      <c r="O128" s="213">
        <f>ROUNDUP('Production Schedule'!M$5/MAX('Production Schedule'!$E$5:$AA$5)*Fleet!$E128,0)</f>
        <v>2</v>
      </c>
      <c r="P128" s="213">
        <f>ROUNDUP('Production Schedule'!N$5/MAX('Production Schedule'!$E$5:$AA$5)*Fleet!$E128,0)</f>
        <v>2</v>
      </c>
      <c r="Q128" s="213">
        <f>ROUNDUP('Production Schedule'!O$5/MAX('Production Schedule'!$E$5:$AA$5)*Fleet!$E128,0)</f>
        <v>2</v>
      </c>
      <c r="R128" s="213">
        <f>ROUNDUP('Production Schedule'!P$5/MAX('Production Schedule'!$E$5:$AA$5)*Fleet!$E128,0)</f>
        <v>2</v>
      </c>
      <c r="S128" s="213">
        <f>ROUNDUP('Production Schedule'!Q$5/MAX('Production Schedule'!$E$5:$AA$5)*Fleet!$E128,0)</f>
        <v>2</v>
      </c>
      <c r="T128" s="213">
        <f>ROUNDUP('Production Schedule'!R$5/MAX('Production Schedule'!$E$5:$AA$5)*Fleet!$E128,0)</f>
        <v>2</v>
      </c>
      <c r="U128" s="213">
        <f>ROUNDUP('Production Schedule'!S$5/MAX('Production Schedule'!$E$5:$AA$5)*Fleet!$E128,0)</f>
        <v>2</v>
      </c>
      <c r="V128" s="213">
        <f>ROUNDUP('Production Schedule'!T$5/MAX('Production Schedule'!$E$5:$AA$5)*Fleet!$E128,0)</f>
        <v>2</v>
      </c>
      <c r="W128" s="213">
        <f>ROUNDUP('Production Schedule'!U$5/MAX('Production Schedule'!$E$5:$AA$5)*Fleet!$E128,0)</f>
        <v>2</v>
      </c>
      <c r="X128" s="213">
        <f>ROUNDUP('Production Schedule'!V$5/MAX('Production Schedule'!$E$5:$AA$5)*Fleet!$E128,0)</f>
        <v>2</v>
      </c>
      <c r="Y128" s="213">
        <f>ROUNDUP('Production Schedule'!W$5/MAX('Production Schedule'!$E$5:$AA$5)*Fleet!$E128,0)</f>
        <v>2</v>
      </c>
      <c r="Z128" s="213">
        <f>ROUNDUP('Production Schedule'!X$5/MAX('Production Schedule'!$E$5:$AA$5)*Fleet!$E128,0)</f>
        <v>2</v>
      </c>
      <c r="AA128" s="213">
        <f>ROUNDUP('Production Schedule'!Y$5/MAX('Production Schedule'!$E$5:$AA$5)*Fleet!$E128,0)</f>
        <v>2</v>
      </c>
      <c r="AB128" s="213">
        <f>ROUNDUP('Production Schedule'!Z$5/MAX('Production Schedule'!$E$5:$AA$5)*Fleet!$E128,0)</f>
        <v>1</v>
      </c>
      <c r="AC128" s="213">
        <f>ROUNDUP('Production Schedule'!AA$5/MAX('Production Schedule'!$E$5:$AA$5)*Fleet!$E128,0)</f>
        <v>1</v>
      </c>
    </row>
    <row r="132" spans="2:58">
      <c r="F132">
        <f>MAX(G132:AN132)</f>
        <v>96</v>
      </c>
      <c r="K132" s="434">
        <f t="shared" ref="K132:AC132" si="81">SUM(K148:K150)</f>
        <v>3</v>
      </c>
      <c r="L132" s="434">
        <f t="shared" si="81"/>
        <v>6</v>
      </c>
      <c r="M132" s="434">
        <f t="shared" si="81"/>
        <v>12</v>
      </c>
      <c r="N132" s="434">
        <f t="shared" si="81"/>
        <v>55</v>
      </c>
      <c r="O132" s="434">
        <f t="shared" si="81"/>
        <v>63</v>
      </c>
      <c r="P132" s="434">
        <f t="shared" si="81"/>
        <v>86</v>
      </c>
      <c r="Q132" s="434">
        <f t="shared" si="81"/>
        <v>86</v>
      </c>
      <c r="R132" s="434">
        <f t="shared" si="81"/>
        <v>81</v>
      </c>
      <c r="S132" s="434">
        <f t="shared" si="81"/>
        <v>86</v>
      </c>
      <c r="T132" s="434">
        <f t="shared" si="81"/>
        <v>84</v>
      </c>
      <c r="U132" s="434">
        <f t="shared" si="81"/>
        <v>91</v>
      </c>
      <c r="V132" s="434">
        <f t="shared" si="81"/>
        <v>77</v>
      </c>
      <c r="W132" s="434">
        <f t="shared" si="81"/>
        <v>74</v>
      </c>
      <c r="X132" s="434">
        <f t="shared" si="81"/>
        <v>83</v>
      </c>
      <c r="Y132" s="434">
        <f t="shared" si="81"/>
        <v>85</v>
      </c>
      <c r="Z132" s="434">
        <f t="shared" si="81"/>
        <v>96</v>
      </c>
      <c r="AA132" s="434">
        <f t="shared" si="81"/>
        <v>60</v>
      </c>
      <c r="AB132" s="434">
        <f t="shared" si="81"/>
        <v>27</v>
      </c>
      <c r="AC132" s="434">
        <f t="shared" si="81"/>
        <v>8</v>
      </c>
      <c r="AD132" s="434"/>
      <c r="AE132" s="434"/>
      <c r="AF132" s="434"/>
      <c r="AG132" s="434"/>
      <c r="AH132" s="434"/>
      <c r="AI132" s="434"/>
      <c r="AJ132" s="434"/>
      <c r="AK132" s="434"/>
      <c r="AL132" s="434"/>
      <c r="AM132" s="434"/>
      <c r="AN132" s="434"/>
      <c r="AO132" s="434"/>
      <c r="AP132" s="434"/>
    </row>
    <row r="134" spans="2:58">
      <c r="B134" s="191" t="s">
        <v>970</v>
      </c>
    </row>
    <row r="135" spans="2:58" ht="15" thickBot="1">
      <c r="B135" s="1141" t="s">
        <v>971</v>
      </c>
      <c r="C135" s="1141" t="s">
        <v>972</v>
      </c>
      <c r="D135" s="1141" t="s">
        <v>88</v>
      </c>
      <c r="E135" s="789"/>
      <c r="F135" s="1141" t="s">
        <v>886</v>
      </c>
      <c r="G135" s="789">
        <f t="shared" ref="G135:AC135" si="82">G3</f>
        <v>-4</v>
      </c>
      <c r="H135" s="789">
        <f t="shared" si="82"/>
        <v>-3</v>
      </c>
      <c r="I135" s="789">
        <f t="shared" si="82"/>
        <v>-2</v>
      </c>
      <c r="J135" s="789">
        <f t="shared" si="82"/>
        <v>-1</v>
      </c>
      <c r="K135" s="789">
        <f t="shared" si="82"/>
        <v>1</v>
      </c>
      <c r="L135" s="789">
        <f t="shared" si="82"/>
        <v>2</v>
      </c>
      <c r="M135" s="789">
        <f t="shared" si="82"/>
        <v>3</v>
      </c>
      <c r="N135" s="789">
        <f t="shared" si="82"/>
        <v>4</v>
      </c>
      <c r="O135" s="789">
        <f t="shared" si="82"/>
        <v>5</v>
      </c>
      <c r="P135" s="789">
        <f t="shared" si="82"/>
        <v>6</v>
      </c>
      <c r="Q135" s="789">
        <f t="shared" si="82"/>
        <v>7</v>
      </c>
      <c r="R135" s="789">
        <f t="shared" si="82"/>
        <v>8</v>
      </c>
      <c r="S135" s="789">
        <f t="shared" si="82"/>
        <v>9</v>
      </c>
      <c r="T135" s="789">
        <f t="shared" si="82"/>
        <v>10</v>
      </c>
      <c r="U135" s="789">
        <f t="shared" si="82"/>
        <v>11</v>
      </c>
      <c r="V135" s="789">
        <f t="shared" si="82"/>
        <v>12</v>
      </c>
      <c r="W135" s="789">
        <f t="shared" si="82"/>
        <v>13</v>
      </c>
      <c r="X135" s="789">
        <f t="shared" si="82"/>
        <v>14</v>
      </c>
      <c r="Y135" s="789">
        <f t="shared" si="82"/>
        <v>15</v>
      </c>
      <c r="Z135" s="789">
        <f t="shared" si="82"/>
        <v>16</v>
      </c>
      <c r="AA135" s="789">
        <f t="shared" si="82"/>
        <v>17</v>
      </c>
      <c r="AB135" s="789">
        <f t="shared" si="82"/>
        <v>18</v>
      </c>
      <c r="AC135" s="789">
        <f t="shared" si="82"/>
        <v>19</v>
      </c>
      <c r="AD135" s="789"/>
      <c r="AE135" s="789"/>
      <c r="AF135" s="789"/>
      <c r="AG135" s="789"/>
      <c r="AH135" s="789"/>
      <c r="AI135" s="789"/>
      <c r="AJ135" s="789"/>
      <c r="AK135" s="789"/>
      <c r="AL135" s="789"/>
      <c r="AM135" s="789"/>
      <c r="AN135" s="789"/>
      <c r="AO135" s="789"/>
      <c r="AP135" s="789"/>
      <c r="AQ135" s="789"/>
      <c r="AR135" s="789">
        <f t="shared" ref="AR135:BF135" si="83">AR3</f>
        <v>0</v>
      </c>
      <c r="AS135" s="789">
        <f t="shared" si="83"/>
        <v>0</v>
      </c>
      <c r="AT135" s="789">
        <f t="shared" si="83"/>
        <v>0</v>
      </c>
      <c r="AU135" s="789">
        <f t="shared" si="83"/>
        <v>0</v>
      </c>
      <c r="AV135" s="789">
        <f t="shared" si="83"/>
        <v>0</v>
      </c>
      <c r="AW135" s="789">
        <f t="shared" si="83"/>
        <v>0</v>
      </c>
      <c r="AX135" s="789">
        <f t="shared" si="83"/>
        <v>0</v>
      </c>
      <c r="AY135" s="789">
        <f t="shared" si="83"/>
        <v>0</v>
      </c>
      <c r="AZ135" s="789">
        <f t="shared" si="83"/>
        <v>0</v>
      </c>
      <c r="BA135" s="789">
        <f t="shared" si="83"/>
        <v>0</v>
      </c>
      <c r="BB135" s="789">
        <f t="shared" si="83"/>
        <v>0</v>
      </c>
      <c r="BC135" s="789">
        <f t="shared" si="83"/>
        <v>0</v>
      </c>
      <c r="BD135" s="789">
        <f t="shared" si="83"/>
        <v>0</v>
      </c>
      <c r="BE135" s="789">
        <f t="shared" si="83"/>
        <v>0</v>
      </c>
      <c r="BF135" s="789">
        <f t="shared" si="83"/>
        <v>0</v>
      </c>
    </row>
    <row r="136" spans="2:58">
      <c r="B136" s="167" t="str">
        <f>IF(B11="","",B11)</f>
        <v>Coal/Ore</v>
      </c>
      <c r="C136" s="164" t="str">
        <f>IF(C11="","",C11)</f>
        <v>Drill Machine/ 115mm diameter</v>
      </c>
      <c r="D136" s="170" t="s">
        <v>896</v>
      </c>
      <c r="E136" s="170"/>
      <c r="F136" s="173">
        <f>MAX(G136:BF136)</f>
        <v>1</v>
      </c>
      <c r="G136" s="218">
        <f t="shared" ref="G136:AC136" si="84">G13</f>
        <v>0</v>
      </c>
      <c r="H136" s="218">
        <f t="shared" si="84"/>
        <v>0</v>
      </c>
      <c r="I136" s="218">
        <f t="shared" si="84"/>
        <v>0</v>
      </c>
      <c r="J136" s="218">
        <f t="shared" si="84"/>
        <v>0</v>
      </c>
      <c r="K136" s="218">
        <f t="shared" si="84"/>
        <v>1</v>
      </c>
      <c r="L136" s="218">
        <f t="shared" si="84"/>
        <v>1</v>
      </c>
      <c r="M136" s="218">
        <f t="shared" si="84"/>
        <v>1</v>
      </c>
      <c r="N136" s="218">
        <f t="shared" si="84"/>
        <v>1</v>
      </c>
      <c r="O136" s="218">
        <f t="shared" si="84"/>
        <v>1</v>
      </c>
      <c r="P136" s="218">
        <f t="shared" si="84"/>
        <v>1</v>
      </c>
      <c r="Q136" s="218">
        <f t="shared" si="84"/>
        <v>1</v>
      </c>
      <c r="R136" s="218">
        <f t="shared" si="84"/>
        <v>1</v>
      </c>
      <c r="S136" s="218">
        <f t="shared" si="84"/>
        <v>1</v>
      </c>
      <c r="T136" s="218">
        <f t="shared" si="84"/>
        <v>1</v>
      </c>
      <c r="U136" s="218">
        <f t="shared" si="84"/>
        <v>1</v>
      </c>
      <c r="V136" s="218">
        <f t="shared" si="84"/>
        <v>1</v>
      </c>
      <c r="W136" s="218">
        <f t="shared" si="84"/>
        <v>1</v>
      </c>
      <c r="X136" s="218">
        <f t="shared" si="84"/>
        <v>1</v>
      </c>
      <c r="Y136" s="218">
        <f t="shared" si="84"/>
        <v>1</v>
      </c>
      <c r="Z136" s="218">
        <f t="shared" si="84"/>
        <v>1</v>
      </c>
      <c r="AA136" s="218">
        <f t="shared" si="84"/>
        <v>1</v>
      </c>
      <c r="AB136" s="218">
        <f t="shared" si="84"/>
        <v>1</v>
      </c>
      <c r="AC136" s="218">
        <f t="shared" si="84"/>
        <v>1</v>
      </c>
      <c r="AD136" s="218"/>
      <c r="AE136" s="218"/>
      <c r="AF136" s="218"/>
      <c r="AG136" s="218"/>
      <c r="AH136" s="218"/>
      <c r="AI136" s="218"/>
      <c r="AJ136" s="218"/>
      <c r="AK136" s="218"/>
      <c r="AL136" s="218"/>
      <c r="AM136" s="218"/>
      <c r="AN136" s="218"/>
      <c r="AO136" s="218"/>
      <c r="AP136" s="218"/>
      <c r="AQ136" s="178"/>
      <c r="AR136" s="178">
        <f t="shared" ref="AR136:BF136" si="85">AR13</f>
        <v>0</v>
      </c>
      <c r="AS136" s="178">
        <f t="shared" si="85"/>
        <v>0</v>
      </c>
      <c r="AT136" s="178">
        <f t="shared" si="85"/>
        <v>0</v>
      </c>
      <c r="AU136" s="178">
        <f t="shared" si="85"/>
        <v>0</v>
      </c>
      <c r="AV136" s="178">
        <f t="shared" si="85"/>
        <v>0</v>
      </c>
      <c r="AW136" s="178">
        <f t="shared" si="85"/>
        <v>0</v>
      </c>
      <c r="AX136" s="178">
        <f t="shared" si="85"/>
        <v>0</v>
      </c>
      <c r="AY136" s="178">
        <f t="shared" si="85"/>
        <v>0</v>
      </c>
      <c r="AZ136" s="178">
        <f t="shared" si="85"/>
        <v>0</v>
      </c>
      <c r="BA136" s="178">
        <f t="shared" si="85"/>
        <v>0</v>
      </c>
      <c r="BB136" s="178">
        <f t="shared" si="85"/>
        <v>0</v>
      </c>
      <c r="BC136" s="178">
        <f t="shared" si="85"/>
        <v>0</v>
      </c>
      <c r="BD136" s="178">
        <f t="shared" si="85"/>
        <v>0</v>
      </c>
      <c r="BE136" s="178">
        <f t="shared" si="85"/>
        <v>0</v>
      </c>
      <c r="BF136" s="178">
        <f t="shared" si="85"/>
        <v>0</v>
      </c>
    </row>
    <row r="137" spans="2:58">
      <c r="B137" s="168" t="str">
        <f>IF(B15="","",B15)</f>
        <v xml:space="preserve">Waste (IB Thin Parting) </v>
      </c>
      <c r="C137" s="165" t="str">
        <f>IF(C15="","",C15)</f>
        <v>Drill Machine/ 160mm diameter</v>
      </c>
      <c r="D137" s="171" t="s">
        <v>896</v>
      </c>
      <c r="E137" s="171"/>
      <c r="F137" s="174">
        <f t="shared" ref="F137:F150" si="86">MAX(G137:BF137)</f>
        <v>4</v>
      </c>
      <c r="G137" s="218">
        <f t="shared" ref="G137:AC137" si="87">G17</f>
        <v>0</v>
      </c>
      <c r="H137" s="218">
        <f t="shared" si="87"/>
        <v>0</v>
      </c>
      <c r="I137" s="218">
        <f t="shared" si="87"/>
        <v>0</v>
      </c>
      <c r="J137" s="218">
        <f t="shared" si="87"/>
        <v>0</v>
      </c>
      <c r="K137" s="218">
        <f t="shared" si="87"/>
        <v>1</v>
      </c>
      <c r="L137" s="218">
        <f t="shared" si="87"/>
        <v>1</v>
      </c>
      <c r="M137" s="218">
        <f t="shared" si="87"/>
        <v>2</v>
      </c>
      <c r="N137" s="218">
        <f t="shared" si="87"/>
        <v>3</v>
      </c>
      <c r="O137" s="218">
        <f t="shared" si="87"/>
        <v>3</v>
      </c>
      <c r="P137" s="218">
        <f t="shared" si="87"/>
        <v>4</v>
      </c>
      <c r="Q137" s="218">
        <f t="shared" si="87"/>
        <v>4</v>
      </c>
      <c r="R137" s="218">
        <f t="shared" si="87"/>
        <v>3</v>
      </c>
      <c r="S137" s="218">
        <f t="shared" si="87"/>
        <v>3</v>
      </c>
      <c r="T137" s="218">
        <f t="shared" si="87"/>
        <v>3</v>
      </c>
      <c r="U137" s="218">
        <f t="shared" si="87"/>
        <v>3</v>
      </c>
      <c r="V137" s="218">
        <f t="shared" si="87"/>
        <v>3</v>
      </c>
      <c r="W137" s="218">
        <f t="shared" si="87"/>
        <v>2</v>
      </c>
      <c r="X137" s="218">
        <f t="shared" si="87"/>
        <v>3</v>
      </c>
      <c r="Y137" s="218">
        <f t="shared" si="87"/>
        <v>3</v>
      </c>
      <c r="Z137" s="218">
        <f t="shared" si="87"/>
        <v>3</v>
      </c>
      <c r="AA137" s="218">
        <f t="shared" si="87"/>
        <v>2</v>
      </c>
      <c r="AB137" s="218">
        <f t="shared" si="87"/>
        <v>1</v>
      </c>
      <c r="AC137" s="218">
        <f t="shared" si="87"/>
        <v>1</v>
      </c>
      <c r="AD137" s="218"/>
      <c r="AE137" s="218"/>
      <c r="AF137" s="218"/>
      <c r="AG137" s="218"/>
      <c r="AH137" s="218"/>
      <c r="AI137" s="218"/>
      <c r="AJ137" s="218"/>
      <c r="AK137" s="218"/>
      <c r="AL137" s="218"/>
      <c r="AM137" s="218"/>
      <c r="AN137" s="218"/>
      <c r="AO137" s="218"/>
      <c r="AP137" s="218"/>
      <c r="AQ137" s="218"/>
      <c r="AR137" s="179">
        <f t="shared" ref="AR137:BF137" si="88">AR17</f>
        <v>0</v>
      </c>
      <c r="AS137" s="179">
        <f t="shared" si="88"/>
        <v>0</v>
      </c>
      <c r="AT137" s="179">
        <f t="shared" si="88"/>
        <v>0</v>
      </c>
      <c r="AU137" s="179">
        <f t="shared" si="88"/>
        <v>0</v>
      </c>
      <c r="AV137" s="179">
        <f t="shared" si="88"/>
        <v>0</v>
      </c>
      <c r="AW137" s="179">
        <f t="shared" si="88"/>
        <v>0</v>
      </c>
      <c r="AX137" s="179">
        <f t="shared" si="88"/>
        <v>0</v>
      </c>
      <c r="AY137" s="179">
        <f t="shared" si="88"/>
        <v>0</v>
      </c>
      <c r="AZ137" s="179">
        <f t="shared" si="88"/>
        <v>0</v>
      </c>
      <c r="BA137" s="179">
        <f t="shared" si="88"/>
        <v>0</v>
      </c>
      <c r="BB137" s="179">
        <f t="shared" si="88"/>
        <v>0</v>
      </c>
      <c r="BC137" s="179">
        <f t="shared" si="88"/>
        <v>0</v>
      </c>
      <c r="BD137" s="179">
        <f t="shared" si="88"/>
        <v>0</v>
      </c>
      <c r="BE137" s="179">
        <f t="shared" si="88"/>
        <v>0</v>
      </c>
      <c r="BF137" s="179">
        <f t="shared" si="88"/>
        <v>0</v>
      </c>
    </row>
    <row r="138" spans="2:58">
      <c r="B138" s="168" t="str">
        <f>IF(B19="","",B19)</f>
        <v>Waste Thick Parting (Ob/IB)</v>
      </c>
      <c r="C138" s="165" t="str">
        <f>IF(C19="","",C19)</f>
        <v>Drill Machine/ 250mm diameter</v>
      </c>
      <c r="D138" s="171" t="s">
        <v>896</v>
      </c>
      <c r="E138" s="171"/>
      <c r="F138" s="174">
        <f t="shared" si="86"/>
        <v>11</v>
      </c>
      <c r="G138" s="218">
        <f t="shared" ref="G138:AC138" si="89">G21</f>
        <v>0</v>
      </c>
      <c r="H138" s="218">
        <f t="shared" si="89"/>
        <v>0</v>
      </c>
      <c r="I138" s="218">
        <f t="shared" si="89"/>
        <v>0</v>
      </c>
      <c r="J138" s="218">
        <f t="shared" si="89"/>
        <v>0</v>
      </c>
      <c r="K138" s="218">
        <f t="shared" si="89"/>
        <v>3</v>
      </c>
      <c r="L138" s="218">
        <f t="shared" si="89"/>
        <v>3</v>
      </c>
      <c r="M138" s="218">
        <f t="shared" si="89"/>
        <v>4</v>
      </c>
      <c r="N138" s="218">
        <f t="shared" si="89"/>
        <v>9</v>
      </c>
      <c r="O138" s="218">
        <f t="shared" si="89"/>
        <v>8</v>
      </c>
      <c r="P138" s="218">
        <f t="shared" si="89"/>
        <v>11</v>
      </c>
      <c r="Q138" s="218">
        <f t="shared" si="89"/>
        <v>10</v>
      </c>
      <c r="R138" s="218">
        <f t="shared" si="89"/>
        <v>8</v>
      </c>
      <c r="S138" s="218">
        <f t="shared" si="89"/>
        <v>9</v>
      </c>
      <c r="T138" s="218">
        <f t="shared" si="89"/>
        <v>8</v>
      </c>
      <c r="U138" s="218">
        <f t="shared" si="89"/>
        <v>9</v>
      </c>
      <c r="V138" s="218">
        <f t="shared" si="89"/>
        <v>7</v>
      </c>
      <c r="W138" s="218">
        <f t="shared" si="89"/>
        <v>6</v>
      </c>
      <c r="X138" s="218">
        <f t="shared" si="89"/>
        <v>7</v>
      </c>
      <c r="Y138" s="218">
        <f t="shared" si="89"/>
        <v>7</v>
      </c>
      <c r="Z138" s="218">
        <f t="shared" si="89"/>
        <v>9</v>
      </c>
      <c r="AA138" s="218">
        <f t="shared" si="89"/>
        <v>6</v>
      </c>
      <c r="AB138" s="218">
        <f t="shared" si="89"/>
        <v>1</v>
      </c>
      <c r="AC138" s="218">
        <f t="shared" si="89"/>
        <v>1</v>
      </c>
      <c r="AD138" s="218"/>
      <c r="AE138" s="218"/>
      <c r="AF138" s="218"/>
      <c r="AG138" s="218"/>
      <c r="AH138" s="218"/>
      <c r="AI138" s="218"/>
      <c r="AJ138" s="218"/>
      <c r="AK138" s="218"/>
      <c r="AL138" s="218"/>
      <c r="AM138" s="218"/>
      <c r="AN138" s="218"/>
      <c r="AO138" s="218"/>
      <c r="AP138" s="218"/>
      <c r="AQ138" s="218"/>
      <c r="AR138" s="179">
        <f t="shared" ref="AR138:BF138" si="90">AR21</f>
        <v>0</v>
      </c>
      <c r="AS138" s="179">
        <f t="shared" si="90"/>
        <v>0</v>
      </c>
      <c r="AT138" s="179">
        <f t="shared" si="90"/>
        <v>0</v>
      </c>
      <c r="AU138" s="179">
        <f t="shared" si="90"/>
        <v>0</v>
      </c>
      <c r="AV138" s="179">
        <f t="shared" si="90"/>
        <v>0</v>
      </c>
      <c r="AW138" s="179">
        <f t="shared" si="90"/>
        <v>0</v>
      </c>
      <c r="AX138" s="179">
        <f t="shared" si="90"/>
        <v>0</v>
      </c>
      <c r="AY138" s="179">
        <f t="shared" si="90"/>
        <v>0</v>
      </c>
      <c r="AZ138" s="179">
        <f t="shared" si="90"/>
        <v>0</v>
      </c>
      <c r="BA138" s="179">
        <f t="shared" si="90"/>
        <v>0</v>
      </c>
      <c r="BB138" s="179">
        <f t="shared" si="90"/>
        <v>0</v>
      </c>
      <c r="BC138" s="179">
        <f t="shared" si="90"/>
        <v>0</v>
      </c>
      <c r="BD138" s="179">
        <f t="shared" si="90"/>
        <v>0</v>
      </c>
      <c r="BE138" s="179">
        <f t="shared" si="90"/>
        <v>0</v>
      </c>
      <c r="BF138" s="179">
        <f t="shared" si="90"/>
        <v>0</v>
      </c>
    </row>
    <row r="139" spans="2:58">
      <c r="B139" s="168" t="str">
        <f>IF(B24="","",B24)</f>
        <v>Top Soil</v>
      </c>
      <c r="C139" s="165" t="str">
        <f>IF(C24="","",C24)</f>
        <v>Diesel hydraulic Shovel/ 1.0 cum</v>
      </c>
      <c r="D139" s="171" t="s">
        <v>896</v>
      </c>
      <c r="E139" s="171"/>
      <c r="F139" s="174">
        <f>MAX(G139:BF139)</f>
        <v>0</v>
      </c>
      <c r="G139" s="179">
        <f t="shared" ref="G139:AC139" si="91">G27</f>
        <v>0</v>
      </c>
      <c r="H139" s="179">
        <f t="shared" si="91"/>
        <v>0</v>
      </c>
      <c r="I139" s="179">
        <f t="shared" si="91"/>
        <v>0</v>
      </c>
      <c r="J139" s="179">
        <f t="shared" si="91"/>
        <v>0</v>
      </c>
      <c r="K139" s="179">
        <f t="shared" si="91"/>
        <v>0</v>
      </c>
      <c r="L139" s="179">
        <f t="shared" si="91"/>
        <v>0</v>
      </c>
      <c r="M139" s="179">
        <f t="shared" si="91"/>
        <v>0</v>
      </c>
      <c r="N139" s="179">
        <f t="shared" si="91"/>
        <v>0</v>
      </c>
      <c r="O139" s="179">
        <f t="shared" si="91"/>
        <v>0</v>
      </c>
      <c r="P139" s="179">
        <f t="shared" si="91"/>
        <v>0</v>
      </c>
      <c r="Q139" s="179">
        <f t="shared" si="91"/>
        <v>0</v>
      </c>
      <c r="R139" s="179">
        <f t="shared" si="91"/>
        <v>0</v>
      </c>
      <c r="S139" s="179">
        <f t="shared" si="91"/>
        <v>0</v>
      </c>
      <c r="T139" s="179">
        <f t="shared" si="91"/>
        <v>0</v>
      </c>
      <c r="U139" s="179">
        <f t="shared" si="91"/>
        <v>0</v>
      </c>
      <c r="V139" s="179">
        <f t="shared" si="91"/>
        <v>0</v>
      </c>
      <c r="W139" s="179">
        <f t="shared" si="91"/>
        <v>0</v>
      </c>
      <c r="X139" s="179">
        <f t="shared" si="91"/>
        <v>0</v>
      </c>
      <c r="Y139" s="179">
        <f t="shared" si="91"/>
        <v>0</v>
      </c>
      <c r="Z139" s="179">
        <f t="shared" si="91"/>
        <v>0</v>
      </c>
      <c r="AA139" s="179">
        <f t="shared" si="91"/>
        <v>0</v>
      </c>
      <c r="AB139" s="179">
        <f t="shared" si="91"/>
        <v>0</v>
      </c>
      <c r="AC139" s="179">
        <f t="shared" si="91"/>
        <v>0</v>
      </c>
      <c r="AD139" s="179"/>
      <c r="AE139" s="179"/>
      <c r="AF139" s="179"/>
      <c r="AG139" s="179"/>
      <c r="AH139" s="179"/>
      <c r="AI139" s="179"/>
      <c r="AJ139" s="179"/>
      <c r="AK139" s="179"/>
      <c r="AL139" s="179"/>
      <c r="AM139" s="179"/>
      <c r="AN139" s="179"/>
      <c r="AO139" s="179"/>
      <c r="AP139" s="179"/>
      <c r="AQ139" s="179"/>
      <c r="BF139" s="175"/>
    </row>
    <row r="140" spans="2:58">
      <c r="B140" s="168" t="str">
        <f>IF(B29="","",B29)</f>
        <v>Thin Parting, Topsoil &amp; Coal (From Drill &amp; Blast)</v>
      </c>
      <c r="C140" s="165" t="str">
        <f>IF(C29="","",C29)</f>
        <v>Diesel hydraulic Shovel/ 4.6 cum</v>
      </c>
      <c r="D140" s="171" t="s">
        <v>896</v>
      </c>
      <c r="E140" s="171"/>
      <c r="F140" s="174">
        <f t="shared" si="86"/>
        <v>10</v>
      </c>
      <c r="G140" s="179">
        <f t="shared" ref="G140:AC140" si="92">G32</f>
        <v>0</v>
      </c>
      <c r="H140" s="179">
        <f t="shared" si="92"/>
        <v>0</v>
      </c>
      <c r="I140" s="179">
        <f t="shared" si="92"/>
        <v>0</v>
      </c>
      <c r="J140" s="179">
        <f t="shared" si="92"/>
        <v>0</v>
      </c>
      <c r="K140" s="179">
        <f t="shared" si="92"/>
        <v>3</v>
      </c>
      <c r="L140" s="179">
        <f t="shared" si="92"/>
        <v>4</v>
      </c>
      <c r="M140" s="179">
        <f t="shared" si="92"/>
        <v>4</v>
      </c>
      <c r="N140" s="179">
        <f t="shared" si="92"/>
        <v>8</v>
      </c>
      <c r="O140" s="179">
        <f t="shared" si="92"/>
        <v>8</v>
      </c>
      <c r="P140" s="179">
        <f t="shared" si="92"/>
        <v>10</v>
      </c>
      <c r="Q140" s="179">
        <f t="shared" si="92"/>
        <v>9</v>
      </c>
      <c r="R140" s="179">
        <f t="shared" si="92"/>
        <v>8</v>
      </c>
      <c r="S140" s="179">
        <f t="shared" si="92"/>
        <v>8</v>
      </c>
      <c r="T140" s="179">
        <f t="shared" si="92"/>
        <v>7</v>
      </c>
      <c r="U140" s="179">
        <f t="shared" si="92"/>
        <v>8</v>
      </c>
      <c r="V140" s="179">
        <f t="shared" si="92"/>
        <v>6</v>
      </c>
      <c r="W140" s="179">
        <f t="shared" si="92"/>
        <v>6</v>
      </c>
      <c r="X140" s="179">
        <f t="shared" si="92"/>
        <v>7</v>
      </c>
      <c r="Y140" s="179">
        <f t="shared" si="92"/>
        <v>7</v>
      </c>
      <c r="Z140" s="179">
        <f t="shared" si="92"/>
        <v>8</v>
      </c>
      <c r="AA140" s="179">
        <f t="shared" si="92"/>
        <v>5</v>
      </c>
      <c r="AB140" s="179">
        <f t="shared" si="92"/>
        <v>2</v>
      </c>
      <c r="AC140" s="179">
        <f t="shared" si="92"/>
        <v>1</v>
      </c>
      <c r="AD140" s="179"/>
      <c r="AE140" s="179"/>
      <c r="AF140" s="179"/>
      <c r="AG140" s="179"/>
      <c r="AH140" s="179"/>
      <c r="AI140" s="179"/>
      <c r="AJ140" s="179"/>
      <c r="AK140" s="179"/>
      <c r="AL140" s="179"/>
      <c r="AM140" s="179"/>
      <c r="AN140" s="179"/>
      <c r="AO140" s="179"/>
      <c r="AP140" s="179"/>
      <c r="AQ140" s="179"/>
      <c r="BF140" s="175"/>
    </row>
    <row r="141" spans="2:58">
      <c r="B141" s="168" t="str">
        <f>IF(B33="","",B33)</f>
        <v>Waste - OB &amp; Thick Parting</v>
      </c>
      <c r="C141" s="165" t="str">
        <f>IF(C33="","",C33)</f>
        <v>Diesel hydraulic shovel/ 10 cum</v>
      </c>
      <c r="D141" s="171" t="s">
        <v>896</v>
      </c>
      <c r="E141" s="171"/>
      <c r="F141" s="174">
        <f t="shared" si="86"/>
        <v>11</v>
      </c>
      <c r="G141" s="179">
        <f t="shared" ref="G141:AC141" si="93">G36</f>
        <v>0</v>
      </c>
      <c r="H141" s="179">
        <f t="shared" si="93"/>
        <v>0</v>
      </c>
      <c r="I141" s="179">
        <f t="shared" si="93"/>
        <v>0</v>
      </c>
      <c r="J141" s="179">
        <f t="shared" si="93"/>
        <v>0</v>
      </c>
      <c r="K141" s="179">
        <f t="shared" si="93"/>
        <v>3</v>
      </c>
      <c r="L141" s="179">
        <f t="shared" si="93"/>
        <v>2</v>
      </c>
      <c r="M141" s="179">
        <f t="shared" si="93"/>
        <v>4</v>
      </c>
      <c r="N141" s="179">
        <f t="shared" si="93"/>
        <v>9</v>
      </c>
      <c r="O141" s="179">
        <f t="shared" si="93"/>
        <v>8</v>
      </c>
      <c r="P141" s="179">
        <f t="shared" si="93"/>
        <v>11</v>
      </c>
      <c r="Q141" s="179">
        <f t="shared" si="93"/>
        <v>10</v>
      </c>
      <c r="R141" s="179">
        <f t="shared" si="93"/>
        <v>9</v>
      </c>
      <c r="S141" s="179">
        <f t="shared" si="93"/>
        <v>9</v>
      </c>
      <c r="T141" s="179">
        <f t="shared" si="93"/>
        <v>8</v>
      </c>
      <c r="U141" s="179">
        <f t="shared" si="93"/>
        <v>9</v>
      </c>
      <c r="V141" s="179">
        <f t="shared" si="93"/>
        <v>7</v>
      </c>
      <c r="W141" s="179">
        <f t="shared" si="93"/>
        <v>6</v>
      </c>
      <c r="X141" s="179">
        <f t="shared" si="93"/>
        <v>8</v>
      </c>
      <c r="Y141" s="179">
        <f t="shared" si="93"/>
        <v>8</v>
      </c>
      <c r="Z141" s="179">
        <f t="shared" si="93"/>
        <v>10</v>
      </c>
      <c r="AA141" s="179">
        <f t="shared" si="93"/>
        <v>6</v>
      </c>
      <c r="AB141" s="179">
        <f t="shared" si="93"/>
        <v>1</v>
      </c>
      <c r="AC141" s="179">
        <f t="shared" si="93"/>
        <v>0</v>
      </c>
      <c r="AD141" s="179"/>
      <c r="AE141" s="179"/>
      <c r="AF141" s="179"/>
      <c r="AG141" s="179"/>
      <c r="AH141" s="179"/>
      <c r="AI141" s="179"/>
      <c r="AJ141" s="179"/>
      <c r="AK141" s="179"/>
      <c r="AL141" s="179"/>
      <c r="AM141" s="179"/>
      <c r="AN141" s="179"/>
      <c r="AO141" s="179"/>
      <c r="AP141" s="179"/>
      <c r="AQ141" s="179"/>
      <c r="BF141" s="175"/>
    </row>
    <row r="142" spans="2:58" hidden="1">
      <c r="B142" s="168" t="str">
        <f>IF(B38="","",B38)</f>
        <v>Rehandling by Own Trucks and Excavators</v>
      </c>
      <c r="C142" s="165" t="str">
        <f>IF(C38="","",C38)</f>
        <v>Diesel hydraulic Shovel/ 3.4 cum</v>
      </c>
      <c r="D142" s="171" t="s">
        <v>896</v>
      </c>
      <c r="E142" s="171"/>
      <c r="F142" s="174">
        <f t="shared" si="86"/>
        <v>0</v>
      </c>
      <c r="G142" s="179">
        <f t="shared" ref="G142:AC142" si="94">G41</f>
        <v>0</v>
      </c>
      <c r="H142" s="179">
        <f t="shared" si="94"/>
        <v>0</v>
      </c>
      <c r="I142" s="179">
        <f t="shared" si="94"/>
        <v>0</v>
      </c>
      <c r="J142" s="179">
        <f t="shared" si="94"/>
        <v>0</v>
      </c>
      <c r="K142" s="179">
        <f>K41</f>
        <v>0</v>
      </c>
      <c r="L142" s="179">
        <f t="shared" si="94"/>
        <v>0</v>
      </c>
      <c r="M142" s="179">
        <f t="shared" si="94"/>
        <v>0</v>
      </c>
      <c r="N142" s="179">
        <f t="shared" si="94"/>
        <v>0</v>
      </c>
      <c r="O142" s="179">
        <f t="shared" si="94"/>
        <v>0</v>
      </c>
      <c r="P142" s="179">
        <f t="shared" si="94"/>
        <v>0</v>
      </c>
      <c r="Q142" s="179">
        <f t="shared" si="94"/>
        <v>0</v>
      </c>
      <c r="R142" s="179">
        <f t="shared" si="94"/>
        <v>0</v>
      </c>
      <c r="S142" s="179">
        <f t="shared" si="94"/>
        <v>0</v>
      </c>
      <c r="T142" s="179">
        <f t="shared" si="94"/>
        <v>0</v>
      </c>
      <c r="U142" s="179">
        <f t="shared" si="94"/>
        <v>0</v>
      </c>
      <c r="V142" s="179">
        <f t="shared" si="94"/>
        <v>0</v>
      </c>
      <c r="W142" s="179">
        <f t="shared" si="94"/>
        <v>0</v>
      </c>
      <c r="X142" s="179">
        <f t="shared" si="94"/>
        <v>0</v>
      </c>
      <c r="Y142" s="179">
        <f t="shared" si="94"/>
        <v>0</v>
      </c>
      <c r="Z142" s="179">
        <f t="shared" si="94"/>
        <v>0</v>
      </c>
      <c r="AA142" s="179">
        <f t="shared" si="94"/>
        <v>0</v>
      </c>
      <c r="AB142" s="179">
        <f t="shared" si="94"/>
        <v>0</v>
      </c>
      <c r="AC142" s="179">
        <f t="shared" si="94"/>
        <v>0</v>
      </c>
      <c r="AD142" s="179"/>
      <c r="AE142" s="179"/>
      <c r="AF142" s="179"/>
      <c r="AG142" s="179"/>
      <c r="AH142" s="179"/>
      <c r="AI142" s="179"/>
      <c r="AJ142" s="179"/>
      <c r="AK142" s="179"/>
      <c r="AL142" s="179"/>
      <c r="AM142" s="179"/>
      <c r="AN142" s="179"/>
      <c r="AO142" s="179"/>
      <c r="AP142" s="179"/>
      <c r="AQ142" s="179"/>
      <c r="BF142" s="175"/>
    </row>
    <row r="143" spans="2:58" hidden="1">
      <c r="B143" s="168" t="str">
        <f>IF(B43="","",B43)</f>
        <v>Miscelleneous</v>
      </c>
      <c r="C143" s="165" t="str">
        <f>IF(C43="","",C43)</f>
        <v>Diesel hydraulic Shovel/ 3.4 cum</v>
      </c>
      <c r="D143" s="171" t="s">
        <v>896</v>
      </c>
      <c r="E143" s="171"/>
      <c r="F143" s="174">
        <f t="shared" si="86"/>
        <v>0</v>
      </c>
      <c r="G143" s="179">
        <f t="shared" ref="G143:AC143" si="95">G46</f>
        <v>0</v>
      </c>
      <c r="H143" s="179">
        <f t="shared" si="95"/>
        <v>0</v>
      </c>
      <c r="I143" s="179">
        <f t="shared" si="95"/>
        <v>0</v>
      </c>
      <c r="J143" s="179">
        <f t="shared" si="95"/>
        <v>0</v>
      </c>
      <c r="K143" s="179">
        <f t="shared" si="95"/>
        <v>0</v>
      </c>
      <c r="L143" s="179">
        <f t="shared" si="95"/>
        <v>0</v>
      </c>
      <c r="M143" s="179">
        <f t="shared" si="95"/>
        <v>0</v>
      </c>
      <c r="N143" s="179">
        <f t="shared" si="95"/>
        <v>0</v>
      </c>
      <c r="O143" s="179">
        <f t="shared" si="95"/>
        <v>0</v>
      </c>
      <c r="P143" s="179">
        <f t="shared" si="95"/>
        <v>0</v>
      </c>
      <c r="Q143" s="179">
        <f t="shared" si="95"/>
        <v>0</v>
      </c>
      <c r="R143" s="179">
        <f t="shared" si="95"/>
        <v>0</v>
      </c>
      <c r="S143" s="179">
        <f t="shared" si="95"/>
        <v>0</v>
      </c>
      <c r="T143" s="179">
        <f t="shared" si="95"/>
        <v>0</v>
      </c>
      <c r="U143" s="179">
        <f t="shared" si="95"/>
        <v>0</v>
      </c>
      <c r="V143" s="179">
        <f t="shared" si="95"/>
        <v>0</v>
      </c>
      <c r="W143" s="179">
        <f t="shared" si="95"/>
        <v>0</v>
      </c>
      <c r="X143" s="179">
        <f t="shared" si="95"/>
        <v>0</v>
      </c>
      <c r="Y143" s="179">
        <f t="shared" si="95"/>
        <v>0</v>
      </c>
      <c r="Z143" s="179">
        <f t="shared" si="95"/>
        <v>0</v>
      </c>
      <c r="AA143" s="179">
        <f t="shared" si="95"/>
        <v>0</v>
      </c>
      <c r="AB143" s="179">
        <f t="shared" si="95"/>
        <v>0</v>
      </c>
      <c r="AC143" s="179">
        <f t="shared" si="95"/>
        <v>0</v>
      </c>
      <c r="AD143" s="179"/>
      <c r="AE143" s="179"/>
      <c r="AF143" s="179"/>
      <c r="AG143" s="179"/>
      <c r="AH143" s="179"/>
      <c r="AI143" s="179"/>
      <c r="AJ143" s="179"/>
      <c r="AK143" s="179"/>
      <c r="AL143" s="179"/>
      <c r="AM143" s="179"/>
      <c r="AN143" s="179"/>
      <c r="AO143" s="179"/>
      <c r="AP143" s="179"/>
      <c r="AQ143" s="179"/>
      <c r="BF143" s="175"/>
    </row>
    <row r="144" spans="2:58">
      <c r="B144" s="168" t="str">
        <f>IF(B49="","",B49)</f>
        <v>Coal/Ore</v>
      </c>
      <c r="C144" s="165" t="str">
        <f>IF(C49="","",C49)</f>
        <v>Surface Miner/ 2200 SM</v>
      </c>
      <c r="D144" s="171" t="s">
        <v>896</v>
      </c>
      <c r="E144" s="171"/>
      <c r="F144" s="174">
        <f t="shared" si="86"/>
        <v>3</v>
      </c>
      <c r="G144" s="179">
        <f t="shared" ref="G144:AC144" si="96">G51</f>
        <v>0</v>
      </c>
      <c r="H144" s="179">
        <f t="shared" si="96"/>
        <v>0</v>
      </c>
      <c r="I144" s="179">
        <f t="shared" si="96"/>
        <v>0</v>
      </c>
      <c r="J144" s="179">
        <f t="shared" si="96"/>
        <v>0</v>
      </c>
      <c r="K144" s="179">
        <f t="shared" si="96"/>
        <v>0</v>
      </c>
      <c r="L144" s="179">
        <f t="shared" si="96"/>
        <v>0</v>
      </c>
      <c r="M144" s="179">
        <f t="shared" si="96"/>
        <v>2</v>
      </c>
      <c r="N144" s="179">
        <f t="shared" si="96"/>
        <v>3</v>
      </c>
      <c r="O144" s="179">
        <f t="shared" si="96"/>
        <v>3</v>
      </c>
      <c r="P144" s="179">
        <f t="shared" si="96"/>
        <v>3</v>
      </c>
      <c r="Q144" s="179">
        <f t="shared" si="96"/>
        <v>3</v>
      </c>
      <c r="R144" s="179">
        <f t="shared" si="96"/>
        <v>3</v>
      </c>
      <c r="S144" s="179">
        <f t="shared" si="96"/>
        <v>3</v>
      </c>
      <c r="T144" s="179">
        <f t="shared" si="96"/>
        <v>3</v>
      </c>
      <c r="U144" s="179">
        <f t="shared" si="96"/>
        <v>3</v>
      </c>
      <c r="V144" s="179">
        <f t="shared" si="96"/>
        <v>3</v>
      </c>
      <c r="W144" s="179">
        <f t="shared" si="96"/>
        <v>3</v>
      </c>
      <c r="X144" s="179">
        <f t="shared" si="96"/>
        <v>3</v>
      </c>
      <c r="Y144" s="179">
        <f t="shared" si="96"/>
        <v>3</v>
      </c>
      <c r="Z144" s="179">
        <f t="shared" si="96"/>
        <v>3</v>
      </c>
      <c r="AA144" s="179">
        <f t="shared" si="96"/>
        <v>2</v>
      </c>
      <c r="AB144" s="179">
        <f t="shared" si="96"/>
        <v>2</v>
      </c>
      <c r="AC144" s="179">
        <f t="shared" si="96"/>
        <v>1</v>
      </c>
      <c r="AD144" s="179"/>
      <c r="AE144" s="179"/>
      <c r="AF144" s="179"/>
      <c r="AG144" s="179"/>
      <c r="AH144" s="179"/>
      <c r="AI144" s="179"/>
      <c r="AJ144" s="179"/>
      <c r="AK144" s="179"/>
      <c r="AL144" s="179"/>
      <c r="AM144" s="179"/>
      <c r="AN144" s="179"/>
      <c r="AO144" s="179"/>
      <c r="AP144" s="179"/>
      <c r="AQ144" s="179"/>
      <c r="BF144" s="175"/>
    </row>
    <row r="145" spans="2:29">
      <c r="B145" s="168" t="str">
        <f>IF(B54="","",B54)</f>
        <v>With SM/Ripper</v>
      </c>
      <c r="C145" s="165" t="str">
        <f>IF(C54="","",C54)</f>
        <v>Front End Loader/ 6.4 cum</v>
      </c>
      <c r="D145" s="171" t="s">
        <v>896</v>
      </c>
      <c r="E145" s="171"/>
      <c r="F145" s="174">
        <f t="shared" si="86"/>
        <v>4</v>
      </c>
      <c r="G145" s="179">
        <f>G57</f>
        <v>0</v>
      </c>
      <c r="H145" s="179">
        <f t="shared" ref="H145:AC145" si="97">H57</f>
        <v>0</v>
      </c>
      <c r="I145" s="179">
        <f t="shared" si="97"/>
        <v>0</v>
      </c>
      <c r="J145" s="179">
        <f t="shared" si="97"/>
        <v>0</v>
      </c>
      <c r="K145" s="179">
        <f t="shared" si="97"/>
        <v>0</v>
      </c>
      <c r="L145" s="179">
        <f t="shared" si="97"/>
        <v>0</v>
      </c>
      <c r="M145" s="179">
        <f t="shared" si="97"/>
        <v>2</v>
      </c>
      <c r="N145" s="179">
        <f>N57</f>
        <v>3</v>
      </c>
      <c r="O145" s="179">
        <f t="shared" si="97"/>
        <v>4</v>
      </c>
      <c r="P145" s="179">
        <f t="shared" si="97"/>
        <v>4</v>
      </c>
      <c r="Q145" s="179">
        <f t="shared" si="97"/>
        <v>4</v>
      </c>
      <c r="R145" s="179">
        <f t="shared" si="97"/>
        <v>4</v>
      </c>
      <c r="S145" s="179">
        <f t="shared" si="97"/>
        <v>4</v>
      </c>
      <c r="T145" s="179">
        <f t="shared" si="97"/>
        <v>4</v>
      </c>
      <c r="U145" s="179">
        <f t="shared" si="97"/>
        <v>4</v>
      </c>
      <c r="V145" s="179">
        <f t="shared" si="97"/>
        <v>4</v>
      </c>
      <c r="W145" s="179">
        <f t="shared" si="97"/>
        <v>4</v>
      </c>
      <c r="X145" s="179">
        <f t="shared" si="97"/>
        <v>4</v>
      </c>
      <c r="Y145" s="179">
        <f t="shared" si="97"/>
        <v>4</v>
      </c>
      <c r="Z145" s="179">
        <f t="shared" si="97"/>
        <v>4</v>
      </c>
      <c r="AA145" s="179">
        <f t="shared" si="97"/>
        <v>3</v>
      </c>
      <c r="AB145" s="179">
        <f t="shared" si="97"/>
        <v>2</v>
      </c>
      <c r="AC145" s="179">
        <f t="shared" si="97"/>
        <v>1</v>
      </c>
    </row>
    <row r="146" spans="2:29">
      <c r="B146" s="168" t="str">
        <f>IF(B59="","",B59)</f>
        <v>Miscelleneous</v>
      </c>
      <c r="C146" s="165" t="str">
        <f>IF(C59="","",C59)</f>
        <v>Front End Loader/ 1.7cum</v>
      </c>
      <c r="D146" s="171" t="s">
        <v>896</v>
      </c>
      <c r="E146" s="171"/>
      <c r="F146" s="174">
        <f t="shared" si="86"/>
        <v>1</v>
      </c>
      <c r="G146" s="179">
        <f>G62</f>
        <v>1</v>
      </c>
      <c r="H146" s="179">
        <f t="shared" ref="H146:AC146" si="98">H62</f>
        <v>1</v>
      </c>
      <c r="I146" s="179">
        <f t="shared" si="98"/>
        <v>1</v>
      </c>
      <c r="J146" s="179">
        <f t="shared" si="98"/>
        <v>1</v>
      </c>
      <c r="K146" s="179">
        <f t="shared" si="98"/>
        <v>1</v>
      </c>
      <c r="L146" s="179">
        <f t="shared" si="98"/>
        <v>1</v>
      </c>
      <c r="M146" s="179">
        <f t="shared" si="98"/>
        <v>1</v>
      </c>
      <c r="N146" s="179">
        <f t="shared" si="98"/>
        <v>1</v>
      </c>
      <c r="O146" s="179">
        <f t="shared" si="98"/>
        <v>1</v>
      </c>
      <c r="P146" s="179">
        <f t="shared" si="98"/>
        <v>1</v>
      </c>
      <c r="Q146" s="179">
        <f t="shared" si="98"/>
        <v>1</v>
      </c>
      <c r="R146" s="179">
        <f t="shared" si="98"/>
        <v>1</v>
      </c>
      <c r="S146" s="179">
        <f t="shared" si="98"/>
        <v>1</v>
      </c>
      <c r="T146" s="179">
        <f t="shared" si="98"/>
        <v>1</v>
      </c>
      <c r="U146" s="179">
        <f t="shared" si="98"/>
        <v>1</v>
      </c>
      <c r="V146" s="179">
        <f t="shared" si="98"/>
        <v>1</v>
      </c>
      <c r="W146" s="179">
        <f t="shared" si="98"/>
        <v>1</v>
      </c>
      <c r="X146" s="179">
        <f t="shared" si="98"/>
        <v>1</v>
      </c>
      <c r="Y146" s="179">
        <f t="shared" si="98"/>
        <v>1</v>
      </c>
      <c r="Z146" s="179">
        <f t="shared" si="98"/>
        <v>0</v>
      </c>
      <c r="AA146" s="179">
        <f t="shared" si="98"/>
        <v>0</v>
      </c>
      <c r="AB146" s="179">
        <f t="shared" si="98"/>
        <v>0</v>
      </c>
      <c r="AC146" s="179">
        <f t="shared" si="98"/>
        <v>0</v>
      </c>
    </row>
    <row r="147" spans="2:29">
      <c r="B147" s="168" t="str">
        <f>IF(B65="","",B65)</f>
        <v>Topsoil</v>
      </c>
      <c r="C147" s="165" t="str">
        <f>IF(C65="","",C65)</f>
        <v>Tipper/ 20t</v>
      </c>
      <c r="D147" s="171" t="s">
        <v>896</v>
      </c>
      <c r="E147" s="171"/>
      <c r="F147" s="174">
        <f t="shared" si="86"/>
        <v>0</v>
      </c>
      <c r="G147" s="179">
        <f t="shared" ref="G147:AC147" si="99">G68</f>
        <v>0</v>
      </c>
      <c r="H147" s="179">
        <f t="shared" si="99"/>
        <v>0</v>
      </c>
      <c r="I147" s="179">
        <f t="shared" si="99"/>
        <v>0</v>
      </c>
      <c r="J147" s="179">
        <f t="shared" si="99"/>
        <v>0</v>
      </c>
      <c r="K147" s="179">
        <f t="shared" si="99"/>
        <v>0</v>
      </c>
      <c r="L147" s="179">
        <f t="shared" si="99"/>
        <v>0</v>
      </c>
      <c r="M147" s="179">
        <f t="shared" si="99"/>
        <v>0</v>
      </c>
      <c r="N147" s="179">
        <f t="shared" si="99"/>
        <v>0</v>
      </c>
      <c r="O147" s="179">
        <f t="shared" si="99"/>
        <v>0</v>
      </c>
      <c r="P147" s="179">
        <f t="shared" si="99"/>
        <v>0</v>
      </c>
      <c r="Q147" s="179">
        <f t="shared" si="99"/>
        <v>0</v>
      </c>
      <c r="R147" s="179">
        <f t="shared" si="99"/>
        <v>0</v>
      </c>
      <c r="S147" s="179">
        <f t="shared" si="99"/>
        <v>0</v>
      </c>
      <c r="T147" s="179">
        <f t="shared" si="99"/>
        <v>0</v>
      </c>
      <c r="U147" s="179">
        <f t="shared" si="99"/>
        <v>0</v>
      </c>
      <c r="V147" s="179">
        <f t="shared" si="99"/>
        <v>0</v>
      </c>
      <c r="W147" s="179">
        <f t="shared" si="99"/>
        <v>0</v>
      </c>
      <c r="X147" s="179">
        <f t="shared" si="99"/>
        <v>0</v>
      </c>
      <c r="Y147" s="179">
        <f t="shared" si="99"/>
        <v>0</v>
      </c>
      <c r="Z147" s="179">
        <f t="shared" si="99"/>
        <v>0</v>
      </c>
      <c r="AA147" s="179">
        <f t="shared" si="99"/>
        <v>0</v>
      </c>
      <c r="AB147" s="179">
        <f t="shared" si="99"/>
        <v>0</v>
      </c>
      <c r="AC147" s="179">
        <f t="shared" si="99"/>
        <v>0</v>
      </c>
    </row>
    <row r="148" spans="2:29">
      <c r="B148" s="168" t="str">
        <f>IF(B70="","",B70)</f>
        <v>Thin  Parting + Rehandling</v>
      </c>
      <c r="C148" s="165" t="str">
        <f>IF(C70="","",C70)</f>
        <v>Tipper/ 35t</v>
      </c>
      <c r="D148" s="171" t="s">
        <v>896</v>
      </c>
      <c r="E148" s="171"/>
      <c r="F148" s="174">
        <f t="shared" si="86"/>
        <v>23</v>
      </c>
      <c r="G148" s="179">
        <f t="shared" ref="G148:AC148" si="100">G73</f>
        <v>0</v>
      </c>
      <c r="H148" s="179">
        <f t="shared" si="100"/>
        <v>0</v>
      </c>
      <c r="I148" s="179">
        <f t="shared" si="100"/>
        <v>0</v>
      </c>
      <c r="J148" s="179">
        <f t="shared" si="100"/>
        <v>0</v>
      </c>
      <c r="K148" s="179">
        <f t="shared" si="100"/>
        <v>0</v>
      </c>
      <c r="L148" s="179">
        <f t="shared" si="100"/>
        <v>0</v>
      </c>
      <c r="M148" s="179">
        <f t="shared" si="100"/>
        <v>0</v>
      </c>
      <c r="N148" s="179">
        <f t="shared" si="100"/>
        <v>13</v>
      </c>
      <c r="O148" s="179">
        <f t="shared" si="100"/>
        <v>14</v>
      </c>
      <c r="P148" s="179">
        <f t="shared" si="100"/>
        <v>23</v>
      </c>
      <c r="Q148" s="179">
        <f t="shared" si="100"/>
        <v>22</v>
      </c>
      <c r="R148" s="179">
        <f t="shared" si="100"/>
        <v>20</v>
      </c>
      <c r="S148" s="179">
        <f t="shared" si="100"/>
        <v>21</v>
      </c>
      <c r="T148" s="179">
        <f t="shared" si="100"/>
        <v>20</v>
      </c>
      <c r="U148" s="179">
        <f t="shared" si="100"/>
        <v>22</v>
      </c>
      <c r="V148" s="179">
        <f t="shared" si="100"/>
        <v>17</v>
      </c>
      <c r="W148" s="179">
        <f t="shared" si="100"/>
        <v>15</v>
      </c>
      <c r="X148" s="179">
        <f t="shared" si="100"/>
        <v>18</v>
      </c>
      <c r="Y148" s="179">
        <f t="shared" si="100"/>
        <v>18</v>
      </c>
      <c r="Z148" s="179">
        <f t="shared" si="100"/>
        <v>22</v>
      </c>
      <c r="AA148" s="179">
        <f t="shared" si="100"/>
        <v>13</v>
      </c>
      <c r="AB148" s="179">
        <f t="shared" si="100"/>
        <v>3</v>
      </c>
      <c r="AC148" s="179">
        <f t="shared" si="100"/>
        <v>1</v>
      </c>
    </row>
    <row r="149" spans="2:29">
      <c r="B149" s="168" t="str">
        <f>IF(B75="","",B75)</f>
        <v>Waste - OB &amp; Thick Parting</v>
      </c>
      <c r="C149" s="165" t="str">
        <f>IF(C75="","",C75)</f>
        <v>Dumper/ 100t</v>
      </c>
      <c r="D149" s="171" t="s">
        <v>896</v>
      </c>
      <c r="E149" s="171"/>
      <c r="F149" s="174">
        <f t="shared" si="86"/>
        <v>35</v>
      </c>
      <c r="G149" s="179">
        <f t="shared" ref="G149:AC149" si="101">G78</f>
        <v>0</v>
      </c>
      <c r="H149" s="179">
        <f t="shared" si="101"/>
        <v>0</v>
      </c>
      <c r="I149" s="179">
        <f t="shared" si="101"/>
        <v>0</v>
      </c>
      <c r="J149" s="179">
        <f t="shared" si="101"/>
        <v>0</v>
      </c>
      <c r="K149" s="179">
        <f t="shared" si="101"/>
        <v>0</v>
      </c>
      <c r="L149" s="179">
        <f t="shared" si="101"/>
        <v>0</v>
      </c>
      <c r="M149" s="179">
        <f t="shared" si="101"/>
        <v>0</v>
      </c>
      <c r="N149" s="179">
        <f t="shared" si="101"/>
        <v>21</v>
      </c>
      <c r="O149" s="179">
        <f t="shared" si="101"/>
        <v>22</v>
      </c>
      <c r="P149" s="179">
        <f t="shared" si="101"/>
        <v>35</v>
      </c>
      <c r="Q149" s="179">
        <f t="shared" si="101"/>
        <v>34</v>
      </c>
      <c r="R149" s="179">
        <f t="shared" si="101"/>
        <v>30</v>
      </c>
      <c r="S149" s="179">
        <f t="shared" si="101"/>
        <v>33</v>
      </c>
      <c r="T149" s="179">
        <f t="shared" si="101"/>
        <v>31</v>
      </c>
      <c r="U149" s="179">
        <f>U78</f>
        <v>34</v>
      </c>
      <c r="V149" s="179">
        <f>V78</f>
        <v>25</v>
      </c>
      <c r="W149" s="179">
        <f t="shared" si="101"/>
        <v>22</v>
      </c>
      <c r="X149" s="179">
        <f t="shared" si="101"/>
        <v>27</v>
      </c>
      <c r="Y149" s="179">
        <f t="shared" si="101"/>
        <v>27</v>
      </c>
      <c r="Z149" s="179">
        <f t="shared" si="101"/>
        <v>34</v>
      </c>
      <c r="AA149" s="179">
        <f t="shared" si="101"/>
        <v>20</v>
      </c>
      <c r="AB149" s="179">
        <f t="shared" si="101"/>
        <v>4</v>
      </c>
      <c r="AC149" s="179">
        <f t="shared" si="101"/>
        <v>1</v>
      </c>
    </row>
    <row r="150" spans="2:29">
      <c r="B150" s="168" t="str">
        <f>IF(B80="","",B80)</f>
        <v>Coal/Ore</v>
      </c>
      <c r="C150" s="165" t="str">
        <f>IF(C80="","",C80)</f>
        <v>Dumper/ 40t</v>
      </c>
      <c r="D150" s="171" t="s">
        <v>896</v>
      </c>
      <c r="E150" s="171"/>
      <c r="F150" s="174">
        <f t="shared" si="86"/>
        <v>40</v>
      </c>
      <c r="G150" s="179">
        <f t="shared" ref="G150:AC150" si="102">G83</f>
        <v>0</v>
      </c>
      <c r="H150" s="179">
        <f t="shared" si="102"/>
        <v>0</v>
      </c>
      <c r="I150" s="179">
        <f t="shared" si="102"/>
        <v>0</v>
      </c>
      <c r="J150" s="179">
        <f t="shared" si="102"/>
        <v>0</v>
      </c>
      <c r="K150" s="179">
        <f t="shared" si="102"/>
        <v>3</v>
      </c>
      <c r="L150" s="179">
        <f>L83</f>
        <v>6</v>
      </c>
      <c r="M150" s="179">
        <f t="shared" si="102"/>
        <v>12</v>
      </c>
      <c r="N150" s="179">
        <f t="shared" si="102"/>
        <v>21</v>
      </c>
      <c r="O150" s="179">
        <f t="shared" si="102"/>
        <v>27</v>
      </c>
      <c r="P150" s="179">
        <f t="shared" si="102"/>
        <v>28</v>
      </c>
      <c r="Q150" s="179">
        <f t="shared" si="102"/>
        <v>30</v>
      </c>
      <c r="R150" s="179">
        <f t="shared" si="102"/>
        <v>31</v>
      </c>
      <c r="S150" s="179">
        <f t="shared" si="102"/>
        <v>32</v>
      </c>
      <c r="T150" s="179">
        <f t="shared" si="102"/>
        <v>33</v>
      </c>
      <c r="U150" s="179">
        <f t="shared" si="102"/>
        <v>35</v>
      </c>
      <c r="V150" s="179">
        <f t="shared" si="102"/>
        <v>35</v>
      </c>
      <c r="W150" s="179">
        <f t="shared" si="102"/>
        <v>37</v>
      </c>
      <c r="X150" s="179">
        <f>X83</f>
        <v>38</v>
      </c>
      <c r="Y150" s="179">
        <f t="shared" si="102"/>
        <v>40</v>
      </c>
      <c r="Z150" s="179">
        <f t="shared" si="102"/>
        <v>40</v>
      </c>
      <c r="AA150" s="179">
        <f t="shared" si="102"/>
        <v>27</v>
      </c>
      <c r="AB150" s="179">
        <f>AB83</f>
        <v>20</v>
      </c>
      <c r="AC150" s="179">
        <f t="shared" si="102"/>
        <v>6</v>
      </c>
    </row>
    <row r="151" spans="2:29">
      <c r="B151" s="168" t="str">
        <f>IF(B86="","",B86)</f>
        <v/>
      </c>
      <c r="C151" s="165" t="str">
        <f>IF(C86="","",C86)</f>
        <v>Track Dozer/ 405 HP</v>
      </c>
      <c r="D151" s="171" t="s">
        <v>896</v>
      </c>
      <c r="E151" s="171"/>
      <c r="F151" s="174">
        <f t="shared" ref="F151:F177" si="103">MAX(G151:AC151)</f>
        <v>6</v>
      </c>
      <c r="G151" s="179">
        <f t="shared" ref="G151:AC151" si="104">G87</f>
        <v>0</v>
      </c>
      <c r="H151" s="179">
        <f t="shared" si="104"/>
        <v>0</v>
      </c>
      <c r="I151" s="179">
        <f t="shared" si="104"/>
        <v>0</v>
      </c>
      <c r="J151" s="179">
        <f t="shared" si="104"/>
        <v>0</v>
      </c>
      <c r="K151" s="179">
        <f t="shared" si="104"/>
        <v>1</v>
      </c>
      <c r="L151" s="179">
        <f t="shared" si="104"/>
        <v>2</v>
      </c>
      <c r="M151" s="179">
        <f t="shared" si="104"/>
        <v>4</v>
      </c>
      <c r="N151" s="179">
        <f t="shared" si="104"/>
        <v>5</v>
      </c>
      <c r="O151" s="179">
        <f t="shared" si="104"/>
        <v>6</v>
      </c>
      <c r="P151" s="179">
        <f t="shared" si="104"/>
        <v>6</v>
      </c>
      <c r="Q151" s="179">
        <f t="shared" si="104"/>
        <v>6</v>
      </c>
      <c r="R151" s="179">
        <f t="shared" si="104"/>
        <v>6</v>
      </c>
      <c r="S151" s="179">
        <f t="shared" si="104"/>
        <v>6</v>
      </c>
      <c r="T151" s="179">
        <f t="shared" si="104"/>
        <v>6</v>
      </c>
      <c r="U151" s="179">
        <f t="shared" si="104"/>
        <v>6</v>
      </c>
      <c r="V151" s="179">
        <f t="shared" si="104"/>
        <v>6</v>
      </c>
      <c r="W151" s="179">
        <f t="shared" si="104"/>
        <v>6</v>
      </c>
      <c r="X151" s="179">
        <f t="shared" si="104"/>
        <v>6</v>
      </c>
      <c r="Y151" s="179">
        <f t="shared" si="104"/>
        <v>6</v>
      </c>
      <c r="Z151" s="179">
        <f t="shared" si="104"/>
        <v>6</v>
      </c>
      <c r="AA151" s="179">
        <f t="shared" si="104"/>
        <v>4</v>
      </c>
      <c r="AB151" s="179">
        <f t="shared" si="104"/>
        <v>3</v>
      </c>
      <c r="AC151" s="179">
        <f t="shared" si="104"/>
        <v>1</v>
      </c>
    </row>
    <row r="152" spans="2:29">
      <c r="B152" s="168" t="str">
        <f>IF(B88="","",B88)</f>
        <v/>
      </c>
      <c r="C152" s="165" t="str">
        <f>IF(C88="","",C88)</f>
        <v>Wheel Dozer</v>
      </c>
      <c r="D152" s="171" t="s">
        <v>896</v>
      </c>
      <c r="E152" s="171"/>
      <c r="F152" s="174">
        <f t="shared" si="103"/>
        <v>2</v>
      </c>
      <c r="G152" s="179">
        <f t="shared" ref="G152:AC152" si="105">G89</f>
        <v>0</v>
      </c>
      <c r="H152" s="179">
        <f t="shared" si="105"/>
        <v>0</v>
      </c>
      <c r="I152" s="179">
        <f t="shared" si="105"/>
        <v>0</v>
      </c>
      <c r="J152" s="179">
        <f t="shared" si="105"/>
        <v>0</v>
      </c>
      <c r="K152" s="179">
        <f t="shared" si="105"/>
        <v>1</v>
      </c>
      <c r="L152" s="179">
        <f t="shared" si="105"/>
        <v>1</v>
      </c>
      <c r="M152" s="179">
        <f t="shared" si="105"/>
        <v>2</v>
      </c>
      <c r="N152" s="179">
        <f t="shared" si="105"/>
        <v>2</v>
      </c>
      <c r="O152" s="179">
        <f t="shared" si="105"/>
        <v>2</v>
      </c>
      <c r="P152" s="179">
        <f t="shared" si="105"/>
        <v>2</v>
      </c>
      <c r="Q152" s="179">
        <f t="shared" si="105"/>
        <v>2</v>
      </c>
      <c r="R152" s="179">
        <f t="shared" si="105"/>
        <v>2</v>
      </c>
      <c r="S152" s="179">
        <f t="shared" si="105"/>
        <v>2</v>
      </c>
      <c r="T152" s="179">
        <f t="shared" si="105"/>
        <v>2</v>
      </c>
      <c r="U152" s="179">
        <f t="shared" si="105"/>
        <v>2</v>
      </c>
      <c r="V152" s="179">
        <f t="shared" si="105"/>
        <v>2</v>
      </c>
      <c r="W152" s="179">
        <f t="shared" si="105"/>
        <v>2</v>
      </c>
      <c r="X152" s="179">
        <f t="shared" si="105"/>
        <v>2</v>
      </c>
      <c r="Y152" s="179">
        <f t="shared" si="105"/>
        <v>2</v>
      </c>
      <c r="Z152" s="179">
        <f t="shared" si="105"/>
        <v>2</v>
      </c>
      <c r="AA152" s="179">
        <f t="shared" si="105"/>
        <v>2</v>
      </c>
      <c r="AB152" s="179">
        <f t="shared" si="105"/>
        <v>1</v>
      </c>
      <c r="AC152" s="179">
        <f t="shared" si="105"/>
        <v>1</v>
      </c>
    </row>
    <row r="153" spans="2:29">
      <c r="B153" s="168" t="str">
        <f>IF(B90="","",B90)</f>
        <v/>
      </c>
      <c r="C153" s="165" t="str">
        <f>IF(C90="","",C90)</f>
        <v>Ripper Dozer/ 450TPH</v>
      </c>
      <c r="D153" s="171" t="s">
        <v>896</v>
      </c>
      <c r="E153" s="171"/>
      <c r="F153" s="174">
        <f t="shared" si="103"/>
        <v>2</v>
      </c>
      <c r="G153" s="179">
        <f t="shared" ref="G153:AC153" si="106">G91</f>
        <v>0</v>
      </c>
      <c r="H153" s="179">
        <f t="shared" si="106"/>
        <v>0</v>
      </c>
      <c r="I153" s="179">
        <f t="shared" si="106"/>
        <v>0</v>
      </c>
      <c r="J153" s="179">
        <f t="shared" si="106"/>
        <v>0</v>
      </c>
      <c r="K153" s="179">
        <f t="shared" si="106"/>
        <v>1</v>
      </c>
      <c r="L153" s="179">
        <f t="shared" si="106"/>
        <v>1</v>
      </c>
      <c r="M153" s="179">
        <f t="shared" si="106"/>
        <v>2</v>
      </c>
      <c r="N153" s="179">
        <f t="shared" si="106"/>
        <v>2</v>
      </c>
      <c r="O153" s="179">
        <f t="shared" si="106"/>
        <v>2</v>
      </c>
      <c r="P153" s="179">
        <f t="shared" si="106"/>
        <v>2</v>
      </c>
      <c r="Q153" s="179">
        <f t="shared" si="106"/>
        <v>2</v>
      </c>
      <c r="R153" s="179">
        <f t="shared" si="106"/>
        <v>2</v>
      </c>
      <c r="S153" s="179">
        <f t="shared" si="106"/>
        <v>2</v>
      </c>
      <c r="T153" s="179">
        <f t="shared" si="106"/>
        <v>2</v>
      </c>
      <c r="U153" s="179">
        <f t="shared" si="106"/>
        <v>2</v>
      </c>
      <c r="V153" s="179">
        <f t="shared" si="106"/>
        <v>2</v>
      </c>
      <c r="W153" s="179">
        <f t="shared" si="106"/>
        <v>2</v>
      </c>
      <c r="X153" s="179">
        <f t="shared" si="106"/>
        <v>2</v>
      </c>
      <c r="Y153" s="179">
        <f t="shared" si="106"/>
        <v>2</v>
      </c>
      <c r="Z153" s="179">
        <f t="shared" si="106"/>
        <v>2</v>
      </c>
      <c r="AA153" s="179">
        <f t="shared" si="106"/>
        <v>2</v>
      </c>
      <c r="AB153" s="179">
        <f t="shared" si="106"/>
        <v>1</v>
      </c>
      <c r="AC153" s="179">
        <f t="shared" si="106"/>
        <v>1</v>
      </c>
    </row>
    <row r="154" spans="2:29">
      <c r="B154" s="168" t="str">
        <f>IF(B92="","",B92)</f>
        <v/>
      </c>
      <c r="C154" s="165" t="str">
        <f>IF(C92="","",C92)</f>
        <v>Track Dozer/ 192 HP</v>
      </c>
      <c r="D154" s="171" t="s">
        <v>896</v>
      </c>
      <c r="E154" s="171"/>
      <c r="F154" s="174">
        <f t="shared" si="103"/>
        <v>2</v>
      </c>
      <c r="G154" s="179">
        <f t="shared" ref="G154:AC154" si="107">G93</f>
        <v>0</v>
      </c>
      <c r="H154" s="179">
        <f t="shared" si="107"/>
        <v>0</v>
      </c>
      <c r="I154" s="179">
        <f t="shared" si="107"/>
        <v>0</v>
      </c>
      <c r="J154" s="179">
        <f t="shared" si="107"/>
        <v>0</v>
      </c>
      <c r="K154" s="179">
        <f t="shared" si="107"/>
        <v>1</v>
      </c>
      <c r="L154" s="179">
        <f t="shared" si="107"/>
        <v>1</v>
      </c>
      <c r="M154" s="179">
        <f t="shared" si="107"/>
        <v>2</v>
      </c>
      <c r="N154" s="179">
        <f t="shared" si="107"/>
        <v>2</v>
      </c>
      <c r="O154" s="179">
        <f t="shared" si="107"/>
        <v>2</v>
      </c>
      <c r="P154" s="179">
        <f t="shared" si="107"/>
        <v>2</v>
      </c>
      <c r="Q154" s="179">
        <f t="shared" si="107"/>
        <v>2</v>
      </c>
      <c r="R154" s="179">
        <f t="shared" si="107"/>
        <v>2</v>
      </c>
      <c r="S154" s="179">
        <f t="shared" si="107"/>
        <v>2</v>
      </c>
      <c r="T154" s="179">
        <f t="shared" si="107"/>
        <v>2</v>
      </c>
      <c r="U154" s="179">
        <f t="shared" si="107"/>
        <v>2</v>
      </c>
      <c r="V154" s="179">
        <f t="shared" si="107"/>
        <v>2</v>
      </c>
      <c r="W154" s="179">
        <f t="shared" si="107"/>
        <v>2</v>
      </c>
      <c r="X154" s="179">
        <f t="shared" si="107"/>
        <v>2</v>
      </c>
      <c r="Y154" s="179">
        <f t="shared" si="107"/>
        <v>2</v>
      </c>
      <c r="Z154" s="179">
        <f t="shared" si="107"/>
        <v>2</v>
      </c>
      <c r="AA154" s="179">
        <f t="shared" si="107"/>
        <v>2</v>
      </c>
      <c r="AB154" s="179">
        <f t="shared" si="107"/>
        <v>1</v>
      </c>
      <c r="AC154" s="179">
        <f t="shared" si="107"/>
        <v>1</v>
      </c>
    </row>
    <row r="155" spans="2:29">
      <c r="B155" s="168" t="str">
        <f>IF(B96="","",B96)</f>
        <v/>
      </c>
      <c r="C155" s="165" t="str">
        <f>IF(C96="","",C96)</f>
        <v>Motor Grader/ 290 - 348 HP</v>
      </c>
      <c r="D155" s="171" t="s">
        <v>896</v>
      </c>
      <c r="E155" s="171"/>
      <c r="F155" s="174">
        <f t="shared" si="103"/>
        <v>2</v>
      </c>
      <c r="G155" s="179">
        <f t="shared" ref="G155:AC155" si="108">G97</f>
        <v>0</v>
      </c>
      <c r="H155" s="179">
        <f t="shared" si="108"/>
        <v>0</v>
      </c>
      <c r="I155" s="179">
        <f t="shared" si="108"/>
        <v>0</v>
      </c>
      <c r="J155" s="179">
        <f t="shared" si="108"/>
        <v>0</v>
      </c>
      <c r="K155" s="179">
        <f t="shared" si="108"/>
        <v>1</v>
      </c>
      <c r="L155" s="179">
        <f t="shared" si="108"/>
        <v>1</v>
      </c>
      <c r="M155" s="179">
        <f t="shared" si="108"/>
        <v>2</v>
      </c>
      <c r="N155" s="179">
        <f t="shared" si="108"/>
        <v>2</v>
      </c>
      <c r="O155" s="179">
        <f t="shared" si="108"/>
        <v>2</v>
      </c>
      <c r="P155" s="179">
        <f t="shared" si="108"/>
        <v>2</v>
      </c>
      <c r="Q155" s="179">
        <f t="shared" si="108"/>
        <v>2</v>
      </c>
      <c r="R155" s="179">
        <f t="shared" si="108"/>
        <v>2</v>
      </c>
      <c r="S155" s="179">
        <f t="shared" si="108"/>
        <v>2</v>
      </c>
      <c r="T155" s="179">
        <f t="shared" si="108"/>
        <v>2</v>
      </c>
      <c r="U155" s="179">
        <f t="shared" si="108"/>
        <v>2</v>
      </c>
      <c r="V155" s="179">
        <f t="shared" si="108"/>
        <v>2</v>
      </c>
      <c r="W155" s="179">
        <f t="shared" si="108"/>
        <v>2</v>
      </c>
      <c r="X155" s="179">
        <f t="shared" si="108"/>
        <v>2</v>
      </c>
      <c r="Y155" s="179">
        <f t="shared" si="108"/>
        <v>2</v>
      </c>
      <c r="Z155" s="179">
        <f t="shared" si="108"/>
        <v>2</v>
      </c>
      <c r="AA155" s="179">
        <f t="shared" si="108"/>
        <v>2</v>
      </c>
      <c r="AB155" s="179">
        <f t="shared" si="108"/>
        <v>1</v>
      </c>
      <c r="AC155" s="179">
        <f t="shared" si="108"/>
        <v>1</v>
      </c>
    </row>
    <row r="156" spans="2:29">
      <c r="B156" s="168" t="str">
        <f>IF(B98="","",B98)</f>
        <v/>
      </c>
      <c r="C156" s="165" t="str">
        <f>IF(C98="","",C98)</f>
        <v>Motor Grader/ 145 HP</v>
      </c>
      <c r="D156" s="171" t="s">
        <v>896</v>
      </c>
      <c r="E156" s="171"/>
      <c r="F156" s="174">
        <f t="shared" si="103"/>
        <v>2</v>
      </c>
      <c r="G156" s="179">
        <f t="shared" ref="G156:AC156" si="109">G99</f>
        <v>0</v>
      </c>
      <c r="H156" s="179">
        <f t="shared" si="109"/>
        <v>0</v>
      </c>
      <c r="I156" s="179">
        <f t="shared" si="109"/>
        <v>0</v>
      </c>
      <c r="J156" s="179">
        <f t="shared" si="109"/>
        <v>0</v>
      </c>
      <c r="K156" s="179">
        <f t="shared" si="109"/>
        <v>1</v>
      </c>
      <c r="L156" s="179">
        <f t="shared" si="109"/>
        <v>1</v>
      </c>
      <c r="M156" s="179">
        <f t="shared" si="109"/>
        <v>2</v>
      </c>
      <c r="N156" s="179">
        <f t="shared" si="109"/>
        <v>2</v>
      </c>
      <c r="O156" s="179">
        <f t="shared" si="109"/>
        <v>2</v>
      </c>
      <c r="P156" s="179">
        <f t="shared" si="109"/>
        <v>2</v>
      </c>
      <c r="Q156" s="179">
        <f t="shared" si="109"/>
        <v>2</v>
      </c>
      <c r="R156" s="179">
        <f t="shared" si="109"/>
        <v>2</v>
      </c>
      <c r="S156" s="179">
        <f t="shared" si="109"/>
        <v>2</v>
      </c>
      <c r="T156" s="179">
        <f t="shared" si="109"/>
        <v>2</v>
      </c>
      <c r="U156" s="179">
        <f t="shared" si="109"/>
        <v>2</v>
      </c>
      <c r="V156" s="179">
        <f t="shared" si="109"/>
        <v>2</v>
      </c>
      <c r="W156" s="179">
        <f t="shared" si="109"/>
        <v>2</v>
      </c>
      <c r="X156" s="179">
        <f t="shared" si="109"/>
        <v>2</v>
      </c>
      <c r="Y156" s="179">
        <f t="shared" si="109"/>
        <v>2</v>
      </c>
      <c r="Z156" s="179">
        <f t="shared" si="109"/>
        <v>2</v>
      </c>
      <c r="AA156" s="179">
        <f t="shared" si="109"/>
        <v>2</v>
      </c>
      <c r="AB156" s="179">
        <f t="shared" si="109"/>
        <v>1</v>
      </c>
      <c r="AC156" s="179">
        <f t="shared" si="109"/>
        <v>1</v>
      </c>
    </row>
    <row r="157" spans="2:29">
      <c r="B157" s="168" t="str">
        <f>IF(B102="","",B102)</f>
        <v/>
      </c>
      <c r="C157" s="165" t="str">
        <f>IF(C102="","",C102)</f>
        <v>Crane/ 120t</v>
      </c>
      <c r="D157" s="171" t="s">
        <v>896</v>
      </c>
      <c r="E157" s="171"/>
      <c r="F157" s="174">
        <f t="shared" si="103"/>
        <v>2</v>
      </c>
      <c r="G157" s="179">
        <f t="shared" ref="G157:AC157" si="110">G103</f>
        <v>0</v>
      </c>
      <c r="H157" s="179">
        <f t="shared" si="110"/>
        <v>0</v>
      </c>
      <c r="I157" s="179">
        <f t="shared" si="110"/>
        <v>0</v>
      </c>
      <c r="J157" s="179">
        <f t="shared" si="110"/>
        <v>0</v>
      </c>
      <c r="K157" s="179">
        <f t="shared" si="110"/>
        <v>1</v>
      </c>
      <c r="L157" s="179">
        <f t="shared" si="110"/>
        <v>1</v>
      </c>
      <c r="M157" s="179">
        <f t="shared" si="110"/>
        <v>2</v>
      </c>
      <c r="N157" s="179">
        <f t="shared" si="110"/>
        <v>2</v>
      </c>
      <c r="O157" s="179">
        <f t="shared" si="110"/>
        <v>2</v>
      </c>
      <c r="P157" s="179">
        <f t="shared" si="110"/>
        <v>2</v>
      </c>
      <c r="Q157" s="179">
        <f t="shared" si="110"/>
        <v>2</v>
      </c>
      <c r="R157" s="179">
        <f t="shared" si="110"/>
        <v>2</v>
      </c>
      <c r="S157" s="179">
        <f t="shared" si="110"/>
        <v>2</v>
      </c>
      <c r="T157" s="179">
        <f t="shared" si="110"/>
        <v>2</v>
      </c>
      <c r="U157" s="179">
        <f t="shared" si="110"/>
        <v>2</v>
      </c>
      <c r="V157" s="179">
        <f t="shared" si="110"/>
        <v>2</v>
      </c>
      <c r="W157" s="179">
        <f t="shared" si="110"/>
        <v>2</v>
      </c>
      <c r="X157" s="179">
        <f t="shared" si="110"/>
        <v>2</v>
      </c>
      <c r="Y157" s="179">
        <f t="shared" si="110"/>
        <v>2</v>
      </c>
      <c r="Z157" s="179">
        <f t="shared" si="110"/>
        <v>2</v>
      </c>
      <c r="AA157" s="179">
        <f t="shared" si="110"/>
        <v>2</v>
      </c>
      <c r="AB157" s="179">
        <f t="shared" si="110"/>
        <v>1</v>
      </c>
      <c r="AC157" s="179">
        <f t="shared" si="110"/>
        <v>1</v>
      </c>
    </row>
    <row r="158" spans="2:29">
      <c r="B158" s="168" t="str">
        <f>IF(B104="","",B104)</f>
        <v/>
      </c>
      <c r="C158" s="165" t="str">
        <f>IF(C104="","",C104)</f>
        <v>Crane/ 60t</v>
      </c>
      <c r="D158" s="171" t="s">
        <v>896</v>
      </c>
      <c r="E158" s="171"/>
      <c r="F158" s="174">
        <f t="shared" si="103"/>
        <v>2</v>
      </c>
      <c r="G158" s="179">
        <f t="shared" ref="G158:AC158" si="111">G105</f>
        <v>0</v>
      </c>
      <c r="H158" s="179">
        <f t="shared" si="111"/>
        <v>0</v>
      </c>
      <c r="I158" s="179">
        <f t="shared" si="111"/>
        <v>0</v>
      </c>
      <c r="J158" s="179">
        <f t="shared" si="111"/>
        <v>0</v>
      </c>
      <c r="K158" s="179">
        <f t="shared" si="111"/>
        <v>1</v>
      </c>
      <c r="L158" s="179">
        <f t="shared" si="111"/>
        <v>1</v>
      </c>
      <c r="M158" s="179">
        <f t="shared" si="111"/>
        <v>2</v>
      </c>
      <c r="N158" s="179">
        <f t="shared" si="111"/>
        <v>2</v>
      </c>
      <c r="O158" s="179">
        <f t="shared" si="111"/>
        <v>2</v>
      </c>
      <c r="P158" s="179">
        <f t="shared" si="111"/>
        <v>2</v>
      </c>
      <c r="Q158" s="179">
        <f t="shared" si="111"/>
        <v>2</v>
      </c>
      <c r="R158" s="179">
        <f t="shared" si="111"/>
        <v>2</v>
      </c>
      <c r="S158" s="179">
        <f t="shared" si="111"/>
        <v>2</v>
      </c>
      <c r="T158" s="179">
        <f t="shared" si="111"/>
        <v>2</v>
      </c>
      <c r="U158" s="179">
        <f t="shared" si="111"/>
        <v>2</v>
      </c>
      <c r="V158" s="179">
        <f t="shared" si="111"/>
        <v>2</v>
      </c>
      <c r="W158" s="179">
        <f t="shared" si="111"/>
        <v>2</v>
      </c>
      <c r="X158" s="179">
        <f t="shared" si="111"/>
        <v>2</v>
      </c>
      <c r="Y158" s="179">
        <f t="shared" si="111"/>
        <v>2</v>
      </c>
      <c r="Z158" s="179">
        <f t="shared" si="111"/>
        <v>2</v>
      </c>
      <c r="AA158" s="179">
        <f t="shared" si="111"/>
        <v>2</v>
      </c>
      <c r="AB158" s="179">
        <f t="shared" si="111"/>
        <v>1</v>
      </c>
      <c r="AC158" s="179">
        <f t="shared" si="111"/>
        <v>1</v>
      </c>
    </row>
    <row r="159" spans="2:29">
      <c r="B159" s="168" t="str">
        <f>IF(B106="","",B106)</f>
        <v/>
      </c>
      <c r="C159" s="165" t="str">
        <f>IF(C106="","",C106)</f>
        <v>Crane/ 12t</v>
      </c>
      <c r="D159" s="171" t="s">
        <v>896</v>
      </c>
      <c r="E159" s="171"/>
      <c r="F159" s="174">
        <f t="shared" si="103"/>
        <v>2</v>
      </c>
      <c r="G159" s="179">
        <f t="shared" ref="G159:AC159" si="112">G107</f>
        <v>0</v>
      </c>
      <c r="H159" s="179">
        <f t="shared" si="112"/>
        <v>0</v>
      </c>
      <c r="I159" s="179">
        <f t="shared" si="112"/>
        <v>0</v>
      </c>
      <c r="J159" s="179">
        <f t="shared" si="112"/>
        <v>0</v>
      </c>
      <c r="K159" s="179">
        <f t="shared" si="112"/>
        <v>1</v>
      </c>
      <c r="L159" s="179">
        <f t="shared" si="112"/>
        <v>1</v>
      </c>
      <c r="M159" s="179">
        <f t="shared" si="112"/>
        <v>2</v>
      </c>
      <c r="N159" s="179">
        <f t="shared" si="112"/>
        <v>2</v>
      </c>
      <c r="O159" s="179">
        <f t="shared" si="112"/>
        <v>2</v>
      </c>
      <c r="P159" s="179">
        <f t="shared" si="112"/>
        <v>2</v>
      </c>
      <c r="Q159" s="179">
        <f t="shared" si="112"/>
        <v>2</v>
      </c>
      <c r="R159" s="179">
        <f t="shared" si="112"/>
        <v>2</v>
      </c>
      <c r="S159" s="179">
        <f t="shared" si="112"/>
        <v>2</v>
      </c>
      <c r="T159" s="179">
        <f t="shared" si="112"/>
        <v>2</v>
      </c>
      <c r="U159" s="179">
        <f t="shared" si="112"/>
        <v>2</v>
      </c>
      <c r="V159" s="179">
        <f t="shared" si="112"/>
        <v>2</v>
      </c>
      <c r="W159" s="179">
        <f t="shared" si="112"/>
        <v>2</v>
      </c>
      <c r="X159" s="179">
        <f t="shared" si="112"/>
        <v>2</v>
      </c>
      <c r="Y159" s="179">
        <f t="shared" si="112"/>
        <v>2</v>
      </c>
      <c r="Z159" s="179">
        <f t="shared" si="112"/>
        <v>2</v>
      </c>
      <c r="AA159" s="179">
        <f t="shared" si="112"/>
        <v>2</v>
      </c>
      <c r="AB159" s="179">
        <f t="shared" si="112"/>
        <v>1</v>
      </c>
      <c r="AC159" s="179">
        <f t="shared" si="112"/>
        <v>1</v>
      </c>
    </row>
    <row r="160" spans="2:29">
      <c r="B160" s="168" t="str">
        <f>IF(B108="","",B108)</f>
        <v/>
      </c>
      <c r="C160" s="165" t="str">
        <f>IF(C108="","",C108)</f>
        <v>Crane/ 8t</v>
      </c>
      <c r="D160" s="171" t="s">
        <v>896</v>
      </c>
      <c r="E160" s="171"/>
      <c r="F160" s="174">
        <f t="shared" si="103"/>
        <v>2</v>
      </c>
      <c r="G160" s="179">
        <f t="shared" ref="G160:AC160" si="113">G109</f>
        <v>0</v>
      </c>
      <c r="H160" s="179">
        <f t="shared" si="113"/>
        <v>0</v>
      </c>
      <c r="I160" s="179">
        <f t="shared" si="113"/>
        <v>0</v>
      </c>
      <c r="J160" s="179">
        <f t="shared" si="113"/>
        <v>0</v>
      </c>
      <c r="K160" s="179">
        <f t="shared" si="113"/>
        <v>1</v>
      </c>
      <c r="L160" s="179">
        <f t="shared" si="113"/>
        <v>1</v>
      </c>
      <c r="M160" s="179">
        <f t="shared" si="113"/>
        <v>2</v>
      </c>
      <c r="N160" s="179">
        <f t="shared" si="113"/>
        <v>2</v>
      </c>
      <c r="O160" s="179">
        <f t="shared" si="113"/>
        <v>2</v>
      </c>
      <c r="P160" s="179">
        <f t="shared" si="113"/>
        <v>2</v>
      </c>
      <c r="Q160" s="179">
        <f t="shared" si="113"/>
        <v>2</v>
      </c>
      <c r="R160" s="179">
        <f t="shared" si="113"/>
        <v>2</v>
      </c>
      <c r="S160" s="179">
        <f t="shared" si="113"/>
        <v>2</v>
      </c>
      <c r="T160" s="179">
        <f t="shared" si="113"/>
        <v>2</v>
      </c>
      <c r="U160" s="179">
        <f t="shared" si="113"/>
        <v>2</v>
      </c>
      <c r="V160" s="179">
        <f t="shared" si="113"/>
        <v>2</v>
      </c>
      <c r="W160" s="179">
        <f t="shared" si="113"/>
        <v>2</v>
      </c>
      <c r="X160" s="179">
        <f t="shared" si="113"/>
        <v>2</v>
      </c>
      <c r="Y160" s="179">
        <f t="shared" si="113"/>
        <v>2</v>
      </c>
      <c r="Z160" s="179">
        <f t="shared" si="113"/>
        <v>2</v>
      </c>
      <c r="AA160" s="179">
        <f t="shared" si="113"/>
        <v>2</v>
      </c>
      <c r="AB160" s="179">
        <f t="shared" si="113"/>
        <v>1</v>
      </c>
      <c r="AC160" s="179">
        <f t="shared" si="113"/>
        <v>1</v>
      </c>
    </row>
    <row r="161" spans="2:29">
      <c r="B161" s="168" t="str">
        <f t="shared" ref="B161:C177" si="114">IF(B112="","",B112)</f>
        <v/>
      </c>
      <c r="C161" s="165" t="str">
        <f t="shared" si="114"/>
        <v>Water Sprinkler/ 28KL</v>
      </c>
      <c r="D161" s="171" t="s">
        <v>896</v>
      </c>
      <c r="E161" s="171"/>
      <c r="F161" s="174">
        <f t="shared" si="103"/>
        <v>2</v>
      </c>
      <c r="G161" s="179">
        <f t="shared" ref="G161:AC161" si="115">G112</f>
        <v>0</v>
      </c>
      <c r="H161" s="179">
        <f t="shared" si="115"/>
        <v>0</v>
      </c>
      <c r="I161" s="179">
        <f t="shared" si="115"/>
        <v>0</v>
      </c>
      <c r="J161" s="179">
        <f t="shared" si="115"/>
        <v>0</v>
      </c>
      <c r="K161" s="179">
        <f t="shared" si="115"/>
        <v>1</v>
      </c>
      <c r="L161" s="179">
        <f t="shared" si="115"/>
        <v>1</v>
      </c>
      <c r="M161" s="179">
        <f t="shared" si="115"/>
        <v>2</v>
      </c>
      <c r="N161" s="179">
        <f t="shared" si="115"/>
        <v>2</v>
      </c>
      <c r="O161" s="179">
        <f t="shared" si="115"/>
        <v>2</v>
      </c>
      <c r="P161" s="179">
        <f t="shared" si="115"/>
        <v>2</v>
      </c>
      <c r="Q161" s="179">
        <f t="shared" si="115"/>
        <v>2</v>
      </c>
      <c r="R161" s="179">
        <f t="shared" si="115"/>
        <v>2</v>
      </c>
      <c r="S161" s="179">
        <f t="shared" si="115"/>
        <v>2</v>
      </c>
      <c r="T161" s="179">
        <f t="shared" si="115"/>
        <v>2</v>
      </c>
      <c r="U161" s="179">
        <f t="shared" si="115"/>
        <v>2</v>
      </c>
      <c r="V161" s="179">
        <f t="shared" si="115"/>
        <v>2</v>
      </c>
      <c r="W161" s="179">
        <f t="shared" si="115"/>
        <v>2</v>
      </c>
      <c r="X161" s="179">
        <f t="shared" si="115"/>
        <v>2</v>
      </c>
      <c r="Y161" s="179">
        <f t="shared" si="115"/>
        <v>2</v>
      </c>
      <c r="Z161" s="179">
        <f t="shared" si="115"/>
        <v>2</v>
      </c>
      <c r="AA161" s="179">
        <f t="shared" si="115"/>
        <v>2</v>
      </c>
      <c r="AB161" s="179">
        <f t="shared" si="115"/>
        <v>1</v>
      </c>
      <c r="AC161" s="179">
        <f t="shared" si="115"/>
        <v>1</v>
      </c>
    </row>
    <row r="162" spans="2:29">
      <c r="B162" s="168" t="str">
        <f t="shared" si="114"/>
        <v/>
      </c>
      <c r="C162" s="165" t="str">
        <f t="shared" si="114"/>
        <v>Diesel Bowser/ 9KL</v>
      </c>
      <c r="D162" s="171" t="s">
        <v>896</v>
      </c>
      <c r="E162" s="171"/>
      <c r="F162" s="174">
        <f t="shared" si="103"/>
        <v>2</v>
      </c>
      <c r="G162" s="179">
        <f t="shared" ref="G162:AC162" si="116">G113</f>
        <v>0</v>
      </c>
      <c r="H162" s="179">
        <f t="shared" si="116"/>
        <v>0</v>
      </c>
      <c r="I162" s="179">
        <f t="shared" si="116"/>
        <v>0</v>
      </c>
      <c r="J162" s="179">
        <f t="shared" si="116"/>
        <v>0</v>
      </c>
      <c r="K162" s="179">
        <f t="shared" si="116"/>
        <v>1</v>
      </c>
      <c r="L162" s="179">
        <f t="shared" si="116"/>
        <v>1</v>
      </c>
      <c r="M162" s="179">
        <f t="shared" si="116"/>
        <v>2</v>
      </c>
      <c r="N162" s="179">
        <f t="shared" si="116"/>
        <v>2</v>
      </c>
      <c r="O162" s="179">
        <f t="shared" si="116"/>
        <v>2</v>
      </c>
      <c r="P162" s="179">
        <f t="shared" si="116"/>
        <v>2</v>
      </c>
      <c r="Q162" s="179">
        <f t="shared" si="116"/>
        <v>2</v>
      </c>
      <c r="R162" s="179">
        <f t="shared" si="116"/>
        <v>2</v>
      </c>
      <c r="S162" s="179">
        <f t="shared" si="116"/>
        <v>2</v>
      </c>
      <c r="T162" s="179">
        <f t="shared" si="116"/>
        <v>2</v>
      </c>
      <c r="U162" s="179">
        <f t="shared" si="116"/>
        <v>2</v>
      </c>
      <c r="V162" s="179">
        <f t="shared" si="116"/>
        <v>2</v>
      </c>
      <c r="W162" s="179">
        <f t="shared" si="116"/>
        <v>2</v>
      </c>
      <c r="X162" s="179">
        <f t="shared" si="116"/>
        <v>2</v>
      </c>
      <c r="Y162" s="179">
        <f t="shared" si="116"/>
        <v>2</v>
      </c>
      <c r="Z162" s="179">
        <f t="shared" si="116"/>
        <v>2</v>
      </c>
      <c r="AA162" s="179">
        <f t="shared" si="116"/>
        <v>2</v>
      </c>
      <c r="AB162" s="179">
        <f t="shared" si="116"/>
        <v>1</v>
      </c>
      <c r="AC162" s="179">
        <f t="shared" si="116"/>
        <v>1</v>
      </c>
    </row>
    <row r="163" spans="2:29">
      <c r="B163" s="168" t="str">
        <f t="shared" si="114"/>
        <v/>
      </c>
      <c r="C163" s="165" t="str">
        <f t="shared" si="114"/>
        <v xml:space="preserve">Explosive Van </v>
      </c>
      <c r="D163" s="171" t="s">
        <v>896</v>
      </c>
      <c r="E163" s="171"/>
      <c r="F163" s="174">
        <f t="shared" si="103"/>
        <v>2</v>
      </c>
      <c r="G163" s="179">
        <f t="shared" ref="G163:AC163" si="117">G114</f>
        <v>0</v>
      </c>
      <c r="H163" s="179">
        <f t="shared" si="117"/>
        <v>0</v>
      </c>
      <c r="I163" s="179">
        <f t="shared" si="117"/>
        <v>0</v>
      </c>
      <c r="J163" s="179">
        <f t="shared" si="117"/>
        <v>0</v>
      </c>
      <c r="K163" s="179">
        <f t="shared" si="117"/>
        <v>1</v>
      </c>
      <c r="L163" s="179">
        <f t="shared" si="117"/>
        <v>1</v>
      </c>
      <c r="M163" s="179">
        <f t="shared" si="117"/>
        <v>2</v>
      </c>
      <c r="N163" s="179">
        <f t="shared" si="117"/>
        <v>2</v>
      </c>
      <c r="O163" s="179">
        <f t="shared" si="117"/>
        <v>2</v>
      </c>
      <c r="P163" s="179">
        <f t="shared" si="117"/>
        <v>2</v>
      </c>
      <c r="Q163" s="179">
        <f t="shared" si="117"/>
        <v>2</v>
      </c>
      <c r="R163" s="179">
        <f t="shared" si="117"/>
        <v>2</v>
      </c>
      <c r="S163" s="179">
        <f t="shared" si="117"/>
        <v>2</v>
      </c>
      <c r="T163" s="179">
        <f t="shared" si="117"/>
        <v>2</v>
      </c>
      <c r="U163" s="179">
        <f t="shared" si="117"/>
        <v>2</v>
      </c>
      <c r="V163" s="179">
        <f t="shared" si="117"/>
        <v>2</v>
      </c>
      <c r="W163" s="179">
        <f t="shared" si="117"/>
        <v>2</v>
      </c>
      <c r="X163" s="179">
        <f t="shared" si="117"/>
        <v>2</v>
      </c>
      <c r="Y163" s="179">
        <f t="shared" si="117"/>
        <v>2</v>
      </c>
      <c r="Z163" s="179">
        <f t="shared" si="117"/>
        <v>2</v>
      </c>
      <c r="AA163" s="179">
        <f t="shared" si="117"/>
        <v>2</v>
      </c>
      <c r="AB163" s="179">
        <f t="shared" si="117"/>
        <v>1</v>
      </c>
      <c r="AC163" s="179">
        <f t="shared" si="117"/>
        <v>1</v>
      </c>
    </row>
    <row r="164" spans="2:29">
      <c r="B164" s="168" t="str">
        <f t="shared" si="114"/>
        <v/>
      </c>
      <c r="C164" s="165" t="str">
        <f t="shared" si="114"/>
        <v>Maintenance Van</v>
      </c>
      <c r="D164" s="171" t="s">
        <v>896</v>
      </c>
      <c r="E164" s="171"/>
      <c r="F164" s="174">
        <f t="shared" si="103"/>
        <v>2</v>
      </c>
      <c r="G164" s="179">
        <f t="shared" ref="G164:AC164" si="118">G115</f>
        <v>0</v>
      </c>
      <c r="H164" s="179">
        <f t="shared" si="118"/>
        <v>0</v>
      </c>
      <c r="I164" s="179">
        <f t="shared" si="118"/>
        <v>0</v>
      </c>
      <c r="J164" s="179">
        <f t="shared" si="118"/>
        <v>0</v>
      </c>
      <c r="K164" s="179">
        <f t="shared" si="118"/>
        <v>1</v>
      </c>
      <c r="L164" s="179">
        <f t="shared" si="118"/>
        <v>1</v>
      </c>
      <c r="M164" s="179">
        <f t="shared" si="118"/>
        <v>2</v>
      </c>
      <c r="N164" s="179">
        <f t="shared" si="118"/>
        <v>2</v>
      </c>
      <c r="O164" s="179">
        <f t="shared" si="118"/>
        <v>2</v>
      </c>
      <c r="P164" s="179">
        <f t="shared" si="118"/>
        <v>2</v>
      </c>
      <c r="Q164" s="179">
        <f t="shared" si="118"/>
        <v>2</v>
      </c>
      <c r="R164" s="179">
        <f t="shared" si="118"/>
        <v>2</v>
      </c>
      <c r="S164" s="179">
        <f t="shared" si="118"/>
        <v>2</v>
      </c>
      <c r="T164" s="179">
        <f t="shared" si="118"/>
        <v>2</v>
      </c>
      <c r="U164" s="179">
        <f t="shared" si="118"/>
        <v>2</v>
      </c>
      <c r="V164" s="179">
        <f t="shared" si="118"/>
        <v>2</v>
      </c>
      <c r="W164" s="179">
        <f t="shared" si="118"/>
        <v>2</v>
      </c>
      <c r="X164" s="179">
        <f t="shared" si="118"/>
        <v>2</v>
      </c>
      <c r="Y164" s="179">
        <f t="shared" si="118"/>
        <v>2</v>
      </c>
      <c r="Z164" s="179">
        <f t="shared" si="118"/>
        <v>2</v>
      </c>
      <c r="AA164" s="179">
        <f t="shared" si="118"/>
        <v>2</v>
      </c>
      <c r="AB164" s="179">
        <f t="shared" si="118"/>
        <v>1</v>
      </c>
      <c r="AC164" s="179">
        <f t="shared" si="118"/>
        <v>1</v>
      </c>
    </row>
    <row r="165" spans="2:29">
      <c r="B165" s="168" t="str">
        <f t="shared" si="114"/>
        <v/>
      </c>
      <c r="C165" s="165" t="str">
        <f t="shared" si="114"/>
        <v>Diesel Hydraulic backhoe/ 1.5cum (Komatsu)</v>
      </c>
      <c r="D165" s="171" t="s">
        <v>896</v>
      </c>
      <c r="E165" s="171"/>
      <c r="F165" s="174">
        <f t="shared" si="103"/>
        <v>2</v>
      </c>
      <c r="G165" s="179">
        <f t="shared" ref="G165:AC165" si="119">G116</f>
        <v>0</v>
      </c>
      <c r="H165" s="179">
        <f t="shared" si="119"/>
        <v>0</v>
      </c>
      <c r="I165" s="179">
        <f t="shared" si="119"/>
        <v>0</v>
      </c>
      <c r="J165" s="179">
        <f t="shared" si="119"/>
        <v>0</v>
      </c>
      <c r="K165" s="179">
        <f t="shared" si="119"/>
        <v>1</v>
      </c>
      <c r="L165" s="179">
        <f t="shared" si="119"/>
        <v>1</v>
      </c>
      <c r="M165" s="179">
        <f t="shared" si="119"/>
        <v>2</v>
      </c>
      <c r="N165" s="179">
        <f t="shared" si="119"/>
        <v>2</v>
      </c>
      <c r="O165" s="179">
        <f t="shared" si="119"/>
        <v>2</v>
      </c>
      <c r="P165" s="179">
        <f t="shared" si="119"/>
        <v>2</v>
      </c>
      <c r="Q165" s="179">
        <f t="shared" si="119"/>
        <v>2</v>
      </c>
      <c r="R165" s="179">
        <f t="shared" si="119"/>
        <v>2</v>
      </c>
      <c r="S165" s="179">
        <f t="shared" si="119"/>
        <v>2</v>
      </c>
      <c r="T165" s="179">
        <f t="shared" si="119"/>
        <v>2</v>
      </c>
      <c r="U165" s="179">
        <f t="shared" si="119"/>
        <v>2</v>
      </c>
      <c r="V165" s="179">
        <f t="shared" si="119"/>
        <v>2</v>
      </c>
      <c r="W165" s="179">
        <f t="shared" si="119"/>
        <v>2</v>
      </c>
      <c r="X165" s="179">
        <f t="shared" si="119"/>
        <v>2</v>
      </c>
      <c r="Y165" s="179">
        <f t="shared" si="119"/>
        <v>2</v>
      </c>
      <c r="Z165" s="179">
        <f t="shared" si="119"/>
        <v>2</v>
      </c>
      <c r="AA165" s="179">
        <f t="shared" si="119"/>
        <v>2</v>
      </c>
      <c r="AB165" s="179">
        <f t="shared" si="119"/>
        <v>1</v>
      </c>
      <c r="AC165" s="179">
        <f t="shared" si="119"/>
        <v>1</v>
      </c>
    </row>
    <row r="166" spans="2:29">
      <c r="B166" s="168" t="str">
        <f t="shared" si="114"/>
        <v/>
      </c>
      <c r="C166" s="165" t="str">
        <f t="shared" si="114"/>
        <v xml:space="preserve">Boom Truck </v>
      </c>
      <c r="D166" s="171" t="s">
        <v>896</v>
      </c>
      <c r="E166" s="171"/>
      <c r="F166" s="174">
        <f t="shared" si="103"/>
        <v>2</v>
      </c>
      <c r="G166" s="179">
        <f t="shared" ref="G166:AC166" si="120">G117</f>
        <v>0</v>
      </c>
      <c r="H166" s="179">
        <f t="shared" si="120"/>
        <v>0</v>
      </c>
      <c r="I166" s="179">
        <f t="shared" si="120"/>
        <v>0</v>
      </c>
      <c r="J166" s="179">
        <f t="shared" si="120"/>
        <v>0</v>
      </c>
      <c r="K166" s="179">
        <f t="shared" si="120"/>
        <v>1</v>
      </c>
      <c r="L166" s="179">
        <f t="shared" si="120"/>
        <v>1</v>
      </c>
      <c r="M166" s="179">
        <f t="shared" si="120"/>
        <v>2</v>
      </c>
      <c r="N166" s="179">
        <f t="shared" si="120"/>
        <v>2</v>
      </c>
      <c r="O166" s="179">
        <f t="shared" si="120"/>
        <v>2</v>
      </c>
      <c r="P166" s="179">
        <f t="shared" si="120"/>
        <v>2</v>
      </c>
      <c r="Q166" s="179">
        <f t="shared" si="120"/>
        <v>2</v>
      </c>
      <c r="R166" s="179">
        <f t="shared" si="120"/>
        <v>2</v>
      </c>
      <c r="S166" s="179">
        <f t="shared" si="120"/>
        <v>2</v>
      </c>
      <c r="T166" s="179">
        <f t="shared" si="120"/>
        <v>2</v>
      </c>
      <c r="U166" s="179">
        <f t="shared" si="120"/>
        <v>2</v>
      </c>
      <c r="V166" s="179">
        <f t="shared" si="120"/>
        <v>2</v>
      </c>
      <c r="W166" s="179">
        <f t="shared" si="120"/>
        <v>2</v>
      </c>
      <c r="X166" s="179">
        <f t="shared" si="120"/>
        <v>2</v>
      </c>
      <c r="Y166" s="179">
        <f t="shared" si="120"/>
        <v>2</v>
      </c>
      <c r="Z166" s="179">
        <f t="shared" si="120"/>
        <v>2</v>
      </c>
      <c r="AA166" s="179">
        <f t="shared" si="120"/>
        <v>2</v>
      </c>
      <c r="AB166" s="179">
        <f t="shared" si="120"/>
        <v>1</v>
      </c>
      <c r="AC166" s="179">
        <f t="shared" si="120"/>
        <v>1</v>
      </c>
    </row>
    <row r="167" spans="2:29">
      <c r="B167" s="168" t="str">
        <f t="shared" si="114"/>
        <v/>
      </c>
      <c r="C167" s="165" t="str">
        <f t="shared" si="114"/>
        <v xml:space="preserve">Heavy duty tow truck </v>
      </c>
      <c r="D167" s="171" t="s">
        <v>896</v>
      </c>
      <c r="E167" s="171"/>
      <c r="F167" s="174">
        <f t="shared" si="103"/>
        <v>2</v>
      </c>
      <c r="G167" s="179">
        <f t="shared" ref="G167:AC167" si="121">G118</f>
        <v>0</v>
      </c>
      <c r="H167" s="179">
        <f t="shared" si="121"/>
        <v>0</v>
      </c>
      <c r="I167" s="179">
        <f t="shared" si="121"/>
        <v>0</v>
      </c>
      <c r="J167" s="179">
        <f t="shared" si="121"/>
        <v>0</v>
      </c>
      <c r="K167" s="179">
        <f t="shared" si="121"/>
        <v>1</v>
      </c>
      <c r="L167" s="179">
        <f t="shared" si="121"/>
        <v>1</v>
      </c>
      <c r="M167" s="179">
        <f t="shared" si="121"/>
        <v>2</v>
      </c>
      <c r="N167" s="179">
        <f t="shared" si="121"/>
        <v>2</v>
      </c>
      <c r="O167" s="179">
        <f t="shared" si="121"/>
        <v>2</v>
      </c>
      <c r="P167" s="179">
        <f t="shared" si="121"/>
        <v>2</v>
      </c>
      <c r="Q167" s="179">
        <f t="shared" si="121"/>
        <v>2</v>
      </c>
      <c r="R167" s="179">
        <f t="shared" si="121"/>
        <v>2</v>
      </c>
      <c r="S167" s="179">
        <f t="shared" si="121"/>
        <v>2</v>
      </c>
      <c r="T167" s="179">
        <f t="shared" si="121"/>
        <v>2</v>
      </c>
      <c r="U167" s="179">
        <f t="shared" si="121"/>
        <v>2</v>
      </c>
      <c r="V167" s="179">
        <f t="shared" si="121"/>
        <v>2</v>
      </c>
      <c r="W167" s="179">
        <f t="shared" si="121"/>
        <v>2</v>
      </c>
      <c r="X167" s="179">
        <f t="shared" si="121"/>
        <v>2</v>
      </c>
      <c r="Y167" s="179">
        <f t="shared" si="121"/>
        <v>2</v>
      </c>
      <c r="Z167" s="179">
        <f t="shared" si="121"/>
        <v>2</v>
      </c>
      <c r="AA167" s="179">
        <f t="shared" si="121"/>
        <v>2</v>
      </c>
      <c r="AB167" s="179">
        <f t="shared" si="121"/>
        <v>1</v>
      </c>
      <c r="AC167" s="179">
        <f t="shared" si="121"/>
        <v>1</v>
      </c>
    </row>
    <row r="168" spans="2:29">
      <c r="B168" s="168" t="str">
        <f t="shared" si="114"/>
        <v/>
      </c>
      <c r="C168" s="165" t="str">
        <f t="shared" si="114"/>
        <v>Tipping Truck/ 8t</v>
      </c>
      <c r="D168" s="171" t="s">
        <v>896</v>
      </c>
      <c r="E168" s="171"/>
      <c r="F168" s="174">
        <f t="shared" si="103"/>
        <v>2</v>
      </c>
      <c r="G168" s="179">
        <f t="shared" ref="G168:AC168" si="122">G119</f>
        <v>0</v>
      </c>
      <c r="H168" s="179">
        <f t="shared" si="122"/>
        <v>0</v>
      </c>
      <c r="I168" s="179">
        <f t="shared" si="122"/>
        <v>0</v>
      </c>
      <c r="J168" s="179">
        <f t="shared" si="122"/>
        <v>0</v>
      </c>
      <c r="K168" s="179">
        <f t="shared" si="122"/>
        <v>1</v>
      </c>
      <c r="L168" s="179">
        <f t="shared" si="122"/>
        <v>1</v>
      </c>
      <c r="M168" s="179">
        <f t="shared" si="122"/>
        <v>2</v>
      </c>
      <c r="N168" s="179">
        <f t="shared" si="122"/>
        <v>2</v>
      </c>
      <c r="O168" s="179">
        <f t="shared" si="122"/>
        <v>2</v>
      </c>
      <c r="P168" s="179">
        <f t="shared" si="122"/>
        <v>2</v>
      </c>
      <c r="Q168" s="179">
        <f t="shared" si="122"/>
        <v>2</v>
      </c>
      <c r="R168" s="179">
        <f t="shared" si="122"/>
        <v>2</v>
      </c>
      <c r="S168" s="179">
        <f t="shared" si="122"/>
        <v>2</v>
      </c>
      <c r="T168" s="179">
        <f t="shared" si="122"/>
        <v>2</v>
      </c>
      <c r="U168" s="179">
        <f t="shared" si="122"/>
        <v>2</v>
      </c>
      <c r="V168" s="179">
        <f t="shared" si="122"/>
        <v>2</v>
      </c>
      <c r="W168" s="179">
        <f t="shared" si="122"/>
        <v>2</v>
      </c>
      <c r="X168" s="179">
        <f t="shared" si="122"/>
        <v>2</v>
      </c>
      <c r="Y168" s="179">
        <f t="shared" si="122"/>
        <v>2</v>
      </c>
      <c r="Z168" s="179">
        <f t="shared" si="122"/>
        <v>2</v>
      </c>
      <c r="AA168" s="179">
        <f t="shared" si="122"/>
        <v>2</v>
      </c>
      <c r="AB168" s="179">
        <f t="shared" si="122"/>
        <v>1</v>
      </c>
      <c r="AC168" s="179">
        <f t="shared" si="122"/>
        <v>1</v>
      </c>
    </row>
    <row r="169" spans="2:29">
      <c r="B169" s="168" t="str">
        <f t="shared" si="114"/>
        <v/>
      </c>
      <c r="C169" s="165" t="str">
        <f t="shared" si="114"/>
        <v>Fork lift/ 8t</v>
      </c>
      <c r="D169" s="171" t="s">
        <v>896</v>
      </c>
      <c r="E169" s="171"/>
      <c r="F169" s="174">
        <f t="shared" si="103"/>
        <v>2</v>
      </c>
      <c r="G169" s="179">
        <f t="shared" ref="G169:AC169" si="123">G120</f>
        <v>0</v>
      </c>
      <c r="H169" s="179">
        <f t="shared" si="123"/>
        <v>0</v>
      </c>
      <c r="I169" s="179">
        <f t="shared" si="123"/>
        <v>0</v>
      </c>
      <c r="J169" s="179">
        <f t="shared" si="123"/>
        <v>0</v>
      </c>
      <c r="K169" s="179">
        <f t="shared" si="123"/>
        <v>1</v>
      </c>
      <c r="L169" s="179">
        <f t="shared" si="123"/>
        <v>1</v>
      </c>
      <c r="M169" s="179">
        <f t="shared" si="123"/>
        <v>2</v>
      </c>
      <c r="N169" s="179">
        <f t="shared" si="123"/>
        <v>2</v>
      </c>
      <c r="O169" s="179">
        <f t="shared" si="123"/>
        <v>2</v>
      </c>
      <c r="P169" s="179">
        <f t="shared" si="123"/>
        <v>2</v>
      </c>
      <c r="Q169" s="179">
        <f t="shared" si="123"/>
        <v>2</v>
      </c>
      <c r="R169" s="179">
        <f t="shared" si="123"/>
        <v>2</v>
      </c>
      <c r="S169" s="179">
        <f t="shared" si="123"/>
        <v>2</v>
      </c>
      <c r="T169" s="179">
        <f t="shared" si="123"/>
        <v>2</v>
      </c>
      <c r="U169" s="179">
        <f t="shared" si="123"/>
        <v>2</v>
      </c>
      <c r="V169" s="179">
        <f t="shared" si="123"/>
        <v>2</v>
      </c>
      <c r="W169" s="179">
        <f t="shared" si="123"/>
        <v>2</v>
      </c>
      <c r="X169" s="179">
        <f t="shared" si="123"/>
        <v>2</v>
      </c>
      <c r="Y169" s="179">
        <f t="shared" si="123"/>
        <v>2</v>
      </c>
      <c r="Z169" s="179">
        <f t="shared" si="123"/>
        <v>2</v>
      </c>
      <c r="AA169" s="179">
        <f t="shared" si="123"/>
        <v>2</v>
      </c>
      <c r="AB169" s="179">
        <f t="shared" si="123"/>
        <v>1</v>
      </c>
      <c r="AC169" s="179">
        <f t="shared" si="123"/>
        <v>1</v>
      </c>
    </row>
    <row r="170" spans="2:29">
      <c r="B170" s="168" t="str">
        <f t="shared" si="114"/>
        <v/>
      </c>
      <c r="C170" s="165" t="str">
        <f t="shared" si="114"/>
        <v>Tyre handler/ 20t</v>
      </c>
      <c r="D170" s="171" t="s">
        <v>896</v>
      </c>
      <c r="E170" s="171"/>
      <c r="F170" s="174">
        <f t="shared" si="103"/>
        <v>2</v>
      </c>
      <c r="G170" s="179">
        <f t="shared" ref="G170:AC170" si="124">G121</f>
        <v>0</v>
      </c>
      <c r="H170" s="179">
        <f t="shared" si="124"/>
        <v>0</v>
      </c>
      <c r="I170" s="179">
        <f t="shared" si="124"/>
        <v>0</v>
      </c>
      <c r="J170" s="179">
        <f t="shared" si="124"/>
        <v>0</v>
      </c>
      <c r="K170" s="179">
        <f t="shared" si="124"/>
        <v>1</v>
      </c>
      <c r="L170" s="179">
        <f t="shared" si="124"/>
        <v>1</v>
      </c>
      <c r="M170" s="179">
        <f t="shared" si="124"/>
        <v>2</v>
      </c>
      <c r="N170" s="179">
        <f t="shared" si="124"/>
        <v>2</v>
      </c>
      <c r="O170" s="179">
        <f t="shared" si="124"/>
        <v>2</v>
      </c>
      <c r="P170" s="179">
        <f t="shared" si="124"/>
        <v>2</v>
      </c>
      <c r="Q170" s="179">
        <f t="shared" si="124"/>
        <v>2</v>
      </c>
      <c r="R170" s="179">
        <f t="shared" si="124"/>
        <v>2</v>
      </c>
      <c r="S170" s="179">
        <f t="shared" si="124"/>
        <v>2</v>
      </c>
      <c r="T170" s="179">
        <f t="shared" si="124"/>
        <v>2</v>
      </c>
      <c r="U170" s="179">
        <f t="shared" si="124"/>
        <v>2</v>
      </c>
      <c r="V170" s="179">
        <f t="shared" si="124"/>
        <v>2</v>
      </c>
      <c r="W170" s="179">
        <f t="shared" si="124"/>
        <v>2</v>
      </c>
      <c r="X170" s="179">
        <f t="shared" si="124"/>
        <v>2</v>
      </c>
      <c r="Y170" s="179">
        <f t="shared" si="124"/>
        <v>2</v>
      </c>
      <c r="Z170" s="179">
        <f t="shared" si="124"/>
        <v>2</v>
      </c>
      <c r="AA170" s="179">
        <f t="shared" si="124"/>
        <v>2</v>
      </c>
      <c r="AB170" s="179">
        <f t="shared" si="124"/>
        <v>1</v>
      </c>
      <c r="AC170" s="179">
        <f t="shared" si="124"/>
        <v>1</v>
      </c>
    </row>
    <row r="171" spans="2:29">
      <c r="B171" s="168" t="str">
        <f t="shared" si="114"/>
        <v/>
      </c>
      <c r="C171" s="165" t="str">
        <f t="shared" si="114"/>
        <v xml:space="preserve">Farm tractor </v>
      </c>
      <c r="D171" s="171" t="s">
        <v>896</v>
      </c>
      <c r="E171" s="171"/>
      <c r="F171" s="174">
        <f t="shared" si="103"/>
        <v>2</v>
      </c>
      <c r="G171" s="179">
        <f t="shared" ref="G171:AC171" si="125">G122</f>
        <v>0</v>
      </c>
      <c r="H171" s="179">
        <f t="shared" si="125"/>
        <v>0</v>
      </c>
      <c r="I171" s="179">
        <f t="shared" si="125"/>
        <v>0</v>
      </c>
      <c r="J171" s="179">
        <f t="shared" si="125"/>
        <v>0</v>
      </c>
      <c r="K171" s="179">
        <f t="shared" si="125"/>
        <v>1</v>
      </c>
      <c r="L171" s="179">
        <f t="shared" si="125"/>
        <v>1</v>
      </c>
      <c r="M171" s="179">
        <f t="shared" si="125"/>
        <v>2</v>
      </c>
      <c r="N171" s="179">
        <f t="shared" si="125"/>
        <v>2</v>
      </c>
      <c r="O171" s="179">
        <f t="shared" si="125"/>
        <v>2</v>
      </c>
      <c r="P171" s="179">
        <f t="shared" si="125"/>
        <v>2</v>
      </c>
      <c r="Q171" s="179">
        <f t="shared" si="125"/>
        <v>2</v>
      </c>
      <c r="R171" s="179">
        <f t="shared" si="125"/>
        <v>2</v>
      </c>
      <c r="S171" s="179">
        <f t="shared" si="125"/>
        <v>2</v>
      </c>
      <c r="T171" s="179">
        <f t="shared" si="125"/>
        <v>2</v>
      </c>
      <c r="U171" s="179">
        <f t="shared" si="125"/>
        <v>2</v>
      </c>
      <c r="V171" s="179">
        <f t="shared" si="125"/>
        <v>2</v>
      </c>
      <c r="W171" s="179">
        <f t="shared" si="125"/>
        <v>2</v>
      </c>
      <c r="X171" s="179">
        <f t="shared" si="125"/>
        <v>2</v>
      </c>
      <c r="Y171" s="179">
        <f t="shared" si="125"/>
        <v>2</v>
      </c>
      <c r="Z171" s="179">
        <f t="shared" si="125"/>
        <v>2</v>
      </c>
      <c r="AA171" s="179">
        <f t="shared" si="125"/>
        <v>2</v>
      </c>
      <c r="AB171" s="179">
        <f t="shared" si="125"/>
        <v>1</v>
      </c>
      <c r="AC171" s="179">
        <f t="shared" si="125"/>
        <v>1</v>
      </c>
    </row>
    <row r="172" spans="2:29">
      <c r="B172" s="168" t="str">
        <f t="shared" si="114"/>
        <v/>
      </c>
      <c r="C172" s="165" t="str">
        <f t="shared" si="114"/>
        <v>Fire Tender</v>
      </c>
      <c r="D172" s="171" t="s">
        <v>896</v>
      </c>
      <c r="E172" s="171"/>
      <c r="F172" s="174">
        <f t="shared" si="103"/>
        <v>2</v>
      </c>
      <c r="G172" s="179">
        <f t="shared" ref="G172:AC172" si="126">G123</f>
        <v>0</v>
      </c>
      <c r="H172" s="179">
        <f t="shared" si="126"/>
        <v>0</v>
      </c>
      <c r="I172" s="179">
        <f t="shared" si="126"/>
        <v>0</v>
      </c>
      <c r="J172" s="179">
        <f t="shared" si="126"/>
        <v>0</v>
      </c>
      <c r="K172" s="179">
        <f t="shared" si="126"/>
        <v>1</v>
      </c>
      <c r="L172" s="179">
        <f t="shared" si="126"/>
        <v>1</v>
      </c>
      <c r="M172" s="179">
        <f t="shared" si="126"/>
        <v>2</v>
      </c>
      <c r="N172" s="179">
        <f t="shared" si="126"/>
        <v>2</v>
      </c>
      <c r="O172" s="179">
        <f t="shared" si="126"/>
        <v>2</v>
      </c>
      <c r="P172" s="179">
        <f t="shared" si="126"/>
        <v>2</v>
      </c>
      <c r="Q172" s="179">
        <f t="shared" si="126"/>
        <v>2</v>
      </c>
      <c r="R172" s="179">
        <f t="shared" si="126"/>
        <v>2</v>
      </c>
      <c r="S172" s="179">
        <f t="shared" si="126"/>
        <v>2</v>
      </c>
      <c r="T172" s="179">
        <f t="shared" si="126"/>
        <v>2</v>
      </c>
      <c r="U172" s="179">
        <f t="shared" si="126"/>
        <v>2</v>
      </c>
      <c r="V172" s="179">
        <f t="shared" si="126"/>
        <v>2</v>
      </c>
      <c r="W172" s="179">
        <f t="shared" si="126"/>
        <v>2</v>
      </c>
      <c r="X172" s="179">
        <f t="shared" si="126"/>
        <v>2</v>
      </c>
      <c r="Y172" s="179">
        <f t="shared" si="126"/>
        <v>2</v>
      </c>
      <c r="Z172" s="179">
        <f t="shared" si="126"/>
        <v>2</v>
      </c>
      <c r="AA172" s="179">
        <f t="shared" si="126"/>
        <v>2</v>
      </c>
      <c r="AB172" s="179">
        <f t="shared" si="126"/>
        <v>1</v>
      </c>
      <c r="AC172" s="179">
        <f t="shared" si="126"/>
        <v>1</v>
      </c>
    </row>
    <row r="173" spans="2:29">
      <c r="B173" s="168" t="str">
        <f t="shared" si="114"/>
        <v/>
      </c>
      <c r="C173" s="165" t="str">
        <f t="shared" si="114"/>
        <v xml:space="preserve">Ambulance </v>
      </c>
      <c r="D173" s="171" t="s">
        <v>896</v>
      </c>
      <c r="E173" s="171"/>
      <c r="F173" s="174">
        <f t="shared" si="103"/>
        <v>2</v>
      </c>
      <c r="G173" s="179">
        <f t="shared" ref="G173:AC173" si="127">G124</f>
        <v>0</v>
      </c>
      <c r="H173" s="179">
        <f t="shared" si="127"/>
        <v>0</v>
      </c>
      <c r="I173" s="179">
        <f t="shared" si="127"/>
        <v>0</v>
      </c>
      <c r="J173" s="179">
        <f t="shared" si="127"/>
        <v>0</v>
      </c>
      <c r="K173" s="179">
        <f t="shared" si="127"/>
        <v>1</v>
      </c>
      <c r="L173" s="179">
        <f t="shared" si="127"/>
        <v>1</v>
      </c>
      <c r="M173" s="179">
        <f t="shared" si="127"/>
        <v>2</v>
      </c>
      <c r="N173" s="179">
        <f t="shared" si="127"/>
        <v>2</v>
      </c>
      <c r="O173" s="179">
        <f t="shared" si="127"/>
        <v>2</v>
      </c>
      <c r="P173" s="179">
        <f t="shared" si="127"/>
        <v>2</v>
      </c>
      <c r="Q173" s="179">
        <f t="shared" si="127"/>
        <v>2</v>
      </c>
      <c r="R173" s="179">
        <f t="shared" si="127"/>
        <v>2</v>
      </c>
      <c r="S173" s="179">
        <f t="shared" si="127"/>
        <v>2</v>
      </c>
      <c r="T173" s="179">
        <f t="shared" si="127"/>
        <v>2</v>
      </c>
      <c r="U173" s="179">
        <f t="shared" si="127"/>
        <v>2</v>
      </c>
      <c r="V173" s="179">
        <f t="shared" si="127"/>
        <v>2</v>
      </c>
      <c r="W173" s="179">
        <f t="shared" si="127"/>
        <v>2</v>
      </c>
      <c r="X173" s="179">
        <f t="shared" si="127"/>
        <v>2</v>
      </c>
      <c r="Y173" s="179">
        <f t="shared" si="127"/>
        <v>2</v>
      </c>
      <c r="Z173" s="179">
        <f t="shared" si="127"/>
        <v>2</v>
      </c>
      <c r="AA173" s="179">
        <f t="shared" si="127"/>
        <v>2</v>
      </c>
      <c r="AB173" s="179">
        <f t="shared" si="127"/>
        <v>1</v>
      </c>
      <c r="AC173" s="179">
        <f t="shared" si="127"/>
        <v>1</v>
      </c>
    </row>
    <row r="174" spans="2:29">
      <c r="B174" s="168" t="str">
        <f t="shared" si="114"/>
        <v/>
      </c>
      <c r="C174" s="165" t="str">
        <f t="shared" si="114"/>
        <v>Worker Transportation bus</v>
      </c>
      <c r="D174" s="171" t="s">
        <v>896</v>
      </c>
      <c r="E174" s="171"/>
      <c r="F174" s="174">
        <f t="shared" si="103"/>
        <v>2</v>
      </c>
      <c r="G174" s="179">
        <f t="shared" ref="G174:AC174" si="128">G125</f>
        <v>0</v>
      </c>
      <c r="H174" s="179">
        <f t="shared" si="128"/>
        <v>0</v>
      </c>
      <c r="I174" s="179">
        <f t="shared" si="128"/>
        <v>0</v>
      </c>
      <c r="J174" s="179">
        <f t="shared" si="128"/>
        <v>0</v>
      </c>
      <c r="K174" s="179">
        <f t="shared" si="128"/>
        <v>1</v>
      </c>
      <c r="L174" s="179">
        <f t="shared" si="128"/>
        <v>1</v>
      </c>
      <c r="M174" s="179">
        <f t="shared" si="128"/>
        <v>2</v>
      </c>
      <c r="N174" s="179">
        <f t="shared" si="128"/>
        <v>2</v>
      </c>
      <c r="O174" s="179">
        <f t="shared" si="128"/>
        <v>2</v>
      </c>
      <c r="P174" s="179">
        <f t="shared" si="128"/>
        <v>2</v>
      </c>
      <c r="Q174" s="179">
        <f t="shared" si="128"/>
        <v>2</v>
      </c>
      <c r="R174" s="179">
        <f t="shared" si="128"/>
        <v>2</v>
      </c>
      <c r="S174" s="179">
        <f t="shared" si="128"/>
        <v>2</v>
      </c>
      <c r="T174" s="179">
        <f t="shared" si="128"/>
        <v>2</v>
      </c>
      <c r="U174" s="179">
        <f t="shared" si="128"/>
        <v>2</v>
      </c>
      <c r="V174" s="179">
        <f t="shared" si="128"/>
        <v>2</v>
      </c>
      <c r="W174" s="179">
        <f t="shared" si="128"/>
        <v>2</v>
      </c>
      <c r="X174" s="179">
        <f t="shared" si="128"/>
        <v>2</v>
      </c>
      <c r="Y174" s="179">
        <f t="shared" si="128"/>
        <v>2</v>
      </c>
      <c r="Z174" s="179">
        <f t="shared" si="128"/>
        <v>2</v>
      </c>
      <c r="AA174" s="179">
        <f t="shared" si="128"/>
        <v>2</v>
      </c>
      <c r="AB174" s="179">
        <f t="shared" si="128"/>
        <v>1</v>
      </c>
      <c r="AC174" s="179">
        <f t="shared" si="128"/>
        <v>1</v>
      </c>
    </row>
    <row r="175" spans="2:29">
      <c r="B175" s="168" t="str">
        <f t="shared" si="114"/>
        <v/>
      </c>
      <c r="C175" s="165" t="str">
        <f t="shared" si="114"/>
        <v>School bus</v>
      </c>
      <c r="D175" s="171" t="s">
        <v>896</v>
      </c>
      <c r="E175" s="171"/>
      <c r="F175" s="174">
        <f t="shared" si="103"/>
        <v>2</v>
      </c>
      <c r="G175" s="179">
        <f t="shared" ref="G175:AC175" si="129">G126</f>
        <v>0</v>
      </c>
      <c r="H175" s="179">
        <f t="shared" si="129"/>
        <v>0</v>
      </c>
      <c r="I175" s="179">
        <f t="shared" si="129"/>
        <v>0</v>
      </c>
      <c r="J175" s="179">
        <f t="shared" si="129"/>
        <v>0</v>
      </c>
      <c r="K175" s="179">
        <f t="shared" si="129"/>
        <v>1</v>
      </c>
      <c r="L175" s="179">
        <f t="shared" si="129"/>
        <v>1</v>
      </c>
      <c r="M175" s="179">
        <f t="shared" si="129"/>
        <v>2</v>
      </c>
      <c r="N175" s="179">
        <f t="shared" si="129"/>
        <v>2</v>
      </c>
      <c r="O175" s="179">
        <f t="shared" si="129"/>
        <v>2</v>
      </c>
      <c r="P175" s="179">
        <f t="shared" si="129"/>
        <v>2</v>
      </c>
      <c r="Q175" s="179">
        <f t="shared" si="129"/>
        <v>2</v>
      </c>
      <c r="R175" s="179">
        <f t="shared" si="129"/>
        <v>2</v>
      </c>
      <c r="S175" s="179">
        <f t="shared" si="129"/>
        <v>2</v>
      </c>
      <c r="T175" s="179">
        <f t="shared" si="129"/>
        <v>2</v>
      </c>
      <c r="U175" s="179">
        <f t="shared" si="129"/>
        <v>2</v>
      </c>
      <c r="V175" s="179">
        <f t="shared" si="129"/>
        <v>2</v>
      </c>
      <c r="W175" s="179">
        <f t="shared" si="129"/>
        <v>2</v>
      </c>
      <c r="X175" s="179">
        <f t="shared" si="129"/>
        <v>2</v>
      </c>
      <c r="Y175" s="179">
        <f t="shared" si="129"/>
        <v>2</v>
      </c>
      <c r="Z175" s="179">
        <f t="shared" si="129"/>
        <v>2</v>
      </c>
      <c r="AA175" s="179">
        <f t="shared" si="129"/>
        <v>2</v>
      </c>
      <c r="AB175" s="179">
        <f t="shared" si="129"/>
        <v>1</v>
      </c>
      <c r="AC175" s="179">
        <f t="shared" si="129"/>
        <v>1</v>
      </c>
    </row>
    <row r="176" spans="2:29">
      <c r="B176" s="168" t="str">
        <f t="shared" si="114"/>
        <v/>
      </c>
      <c r="C176" s="165" t="str">
        <f t="shared" si="114"/>
        <v xml:space="preserve">Pickup Van </v>
      </c>
      <c r="D176" s="171" t="s">
        <v>896</v>
      </c>
      <c r="E176" s="171"/>
      <c r="F176" s="174">
        <f t="shared" si="103"/>
        <v>2</v>
      </c>
      <c r="G176" s="179">
        <f t="shared" ref="G176:AC176" si="130">G127</f>
        <v>0</v>
      </c>
      <c r="H176" s="179">
        <f t="shared" si="130"/>
        <v>0</v>
      </c>
      <c r="I176" s="179">
        <f t="shared" si="130"/>
        <v>0</v>
      </c>
      <c r="J176" s="179">
        <f t="shared" si="130"/>
        <v>0</v>
      </c>
      <c r="K176" s="179">
        <f t="shared" si="130"/>
        <v>1</v>
      </c>
      <c r="L176" s="179">
        <f t="shared" si="130"/>
        <v>1</v>
      </c>
      <c r="M176" s="179">
        <f t="shared" si="130"/>
        <v>2</v>
      </c>
      <c r="N176" s="179">
        <f t="shared" si="130"/>
        <v>2</v>
      </c>
      <c r="O176" s="179">
        <f t="shared" si="130"/>
        <v>2</v>
      </c>
      <c r="P176" s="179">
        <f t="shared" si="130"/>
        <v>2</v>
      </c>
      <c r="Q176" s="179">
        <f t="shared" si="130"/>
        <v>2</v>
      </c>
      <c r="R176" s="179">
        <f t="shared" si="130"/>
        <v>2</v>
      </c>
      <c r="S176" s="179">
        <f t="shared" si="130"/>
        <v>2</v>
      </c>
      <c r="T176" s="179">
        <f t="shared" si="130"/>
        <v>2</v>
      </c>
      <c r="U176" s="179">
        <f t="shared" si="130"/>
        <v>2</v>
      </c>
      <c r="V176" s="179">
        <f t="shared" si="130"/>
        <v>2</v>
      </c>
      <c r="W176" s="179">
        <f t="shared" si="130"/>
        <v>2</v>
      </c>
      <c r="X176" s="179">
        <f t="shared" si="130"/>
        <v>2</v>
      </c>
      <c r="Y176" s="179">
        <f t="shared" si="130"/>
        <v>2</v>
      </c>
      <c r="Z176" s="179">
        <f t="shared" si="130"/>
        <v>2</v>
      </c>
      <c r="AA176" s="179">
        <f t="shared" si="130"/>
        <v>2</v>
      </c>
      <c r="AB176" s="179">
        <f t="shared" si="130"/>
        <v>1</v>
      </c>
      <c r="AC176" s="179">
        <f t="shared" si="130"/>
        <v>1</v>
      </c>
    </row>
    <row r="177" spans="2:58">
      <c r="B177" s="168" t="str">
        <f t="shared" si="114"/>
        <v/>
      </c>
      <c r="C177" s="165" t="str">
        <f t="shared" si="114"/>
        <v>Cars</v>
      </c>
      <c r="D177" s="171" t="s">
        <v>896</v>
      </c>
      <c r="E177" s="171"/>
      <c r="F177" s="174">
        <f t="shared" si="103"/>
        <v>2</v>
      </c>
      <c r="G177" s="179">
        <f t="shared" ref="G177:AC177" si="131">G128</f>
        <v>0</v>
      </c>
      <c r="H177" s="179">
        <f t="shared" si="131"/>
        <v>0</v>
      </c>
      <c r="I177" s="179">
        <f t="shared" si="131"/>
        <v>0</v>
      </c>
      <c r="J177" s="179">
        <f t="shared" si="131"/>
        <v>0</v>
      </c>
      <c r="K177" s="179">
        <f t="shared" si="131"/>
        <v>1</v>
      </c>
      <c r="L177" s="179">
        <f t="shared" si="131"/>
        <v>1</v>
      </c>
      <c r="M177" s="179">
        <f t="shared" si="131"/>
        <v>2</v>
      </c>
      <c r="N177" s="179">
        <f t="shared" si="131"/>
        <v>2</v>
      </c>
      <c r="O177" s="179">
        <f t="shared" si="131"/>
        <v>2</v>
      </c>
      <c r="P177" s="179">
        <f t="shared" si="131"/>
        <v>2</v>
      </c>
      <c r="Q177" s="179">
        <f t="shared" si="131"/>
        <v>2</v>
      </c>
      <c r="R177" s="179">
        <f t="shared" si="131"/>
        <v>2</v>
      </c>
      <c r="S177" s="179">
        <f t="shared" si="131"/>
        <v>2</v>
      </c>
      <c r="T177" s="179">
        <f t="shared" si="131"/>
        <v>2</v>
      </c>
      <c r="U177" s="179">
        <f t="shared" si="131"/>
        <v>2</v>
      </c>
      <c r="V177" s="179">
        <f t="shared" si="131"/>
        <v>2</v>
      </c>
      <c r="W177" s="179">
        <f t="shared" si="131"/>
        <v>2</v>
      </c>
      <c r="X177" s="179">
        <f t="shared" si="131"/>
        <v>2</v>
      </c>
      <c r="Y177" s="179">
        <f t="shared" si="131"/>
        <v>2</v>
      </c>
      <c r="Z177" s="179">
        <f t="shared" si="131"/>
        <v>2</v>
      </c>
      <c r="AA177" s="179">
        <f t="shared" si="131"/>
        <v>2</v>
      </c>
      <c r="AB177" s="179">
        <f t="shared" si="131"/>
        <v>1</v>
      </c>
      <c r="AC177" s="179">
        <f t="shared" si="131"/>
        <v>1</v>
      </c>
      <c r="AD177" s="179"/>
      <c r="AE177" s="179"/>
      <c r="AF177" s="179"/>
      <c r="AG177" s="179"/>
      <c r="AH177" s="179"/>
      <c r="AI177" s="179"/>
      <c r="AJ177" s="179"/>
      <c r="AK177" s="179"/>
      <c r="AL177" s="179"/>
      <c r="AM177" s="179"/>
      <c r="AN177" s="179"/>
      <c r="AO177" s="179"/>
      <c r="AP177" s="179"/>
      <c r="AQ177" s="179"/>
      <c r="BF177" s="175"/>
    </row>
    <row r="178" spans="2:58" ht="14" thickBot="1">
      <c r="B178" s="169" t="str">
        <f>IF(B131="","",B131)</f>
        <v/>
      </c>
      <c r="C178" s="166" t="str">
        <f>IF(C131="","",C131)</f>
        <v/>
      </c>
      <c r="D178" s="172" t="s">
        <v>896</v>
      </c>
      <c r="E178" s="172"/>
      <c r="F178" s="172"/>
      <c r="G178" s="176"/>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6"/>
      <c r="AS178" s="176"/>
      <c r="AT178" s="176"/>
      <c r="AU178" s="176"/>
      <c r="AV178" s="176"/>
      <c r="AW178" s="176"/>
      <c r="AX178" s="176"/>
      <c r="AY178" s="176"/>
      <c r="AZ178" s="176"/>
      <c r="BA178" s="176"/>
      <c r="BB178" s="176"/>
      <c r="BC178" s="176"/>
      <c r="BD178" s="176"/>
      <c r="BE178" s="176"/>
      <c r="BF178" s="177"/>
    </row>
    <row r="179" spans="2:58" ht="14" thickTop="1"/>
    <row r="181" spans="2:58">
      <c r="B181" s="191" t="s">
        <v>973</v>
      </c>
    </row>
    <row r="182" spans="2:58" ht="15" thickBot="1">
      <c r="B182" s="1141" t="s">
        <v>971</v>
      </c>
      <c r="C182" s="1141" t="s">
        <v>972</v>
      </c>
      <c r="D182" s="1141" t="s">
        <v>88</v>
      </c>
      <c r="E182" s="789"/>
      <c r="F182" s="1141" t="s">
        <v>267</v>
      </c>
      <c r="G182" s="789">
        <f t="shared" ref="G182:AC182" si="132">G135</f>
        <v>-4</v>
      </c>
      <c r="H182" s="789">
        <f t="shared" si="132"/>
        <v>-3</v>
      </c>
      <c r="I182" s="789">
        <f t="shared" si="132"/>
        <v>-2</v>
      </c>
      <c r="J182" s="789">
        <f t="shared" si="132"/>
        <v>-1</v>
      </c>
      <c r="K182" s="789">
        <f t="shared" si="132"/>
        <v>1</v>
      </c>
      <c r="L182" s="789">
        <f t="shared" si="132"/>
        <v>2</v>
      </c>
      <c r="M182" s="789">
        <f t="shared" si="132"/>
        <v>3</v>
      </c>
      <c r="N182" s="789">
        <f t="shared" si="132"/>
        <v>4</v>
      </c>
      <c r="O182" s="789">
        <f t="shared" si="132"/>
        <v>5</v>
      </c>
      <c r="P182" s="789">
        <f t="shared" si="132"/>
        <v>6</v>
      </c>
      <c r="Q182" s="789">
        <f t="shared" si="132"/>
        <v>7</v>
      </c>
      <c r="R182" s="789">
        <f t="shared" si="132"/>
        <v>8</v>
      </c>
      <c r="S182" s="789">
        <f t="shared" si="132"/>
        <v>9</v>
      </c>
      <c r="T182" s="789">
        <f t="shared" si="132"/>
        <v>10</v>
      </c>
      <c r="U182" s="789">
        <f t="shared" si="132"/>
        <v>11</v>
      </c>
      <c r="V182" s="789">
        <f t="shared" si="132"/>
        <v>12</v>
      </c>
      <c r="W182" s="789">
        <f t="shared" si="132"/>
        <v>13</v>
      </c>
      <c r="X182" s="789">
        <f t="shared" si="132"/>
        <v>14</v>
      </c>
      <c r="Y182" s="789">
        <f t="shared" si="132"/>
        <v>15</v>
      </c>
      <c r="Z182" s="789">
        <f t="shared" si="132"/>
        <v>16</v>
      </c>
      <c r="AA182" s="789">
        <f t="shared" si="132"/>
        <v>17</v>
      </c>
      <c r="AB182" s="789">
        <f t="shared" si="132"/>
        <v>18</v>
      </c>
      <c r="AC182" s="789">
        <f t="shared" si="132"/>
        <v>19</v>
      </c>
      <c r="AD182" s="789"/>
      <c r="AE182" s="789"/>
      <c r="AF182" s="789"/>
      <c r="AG182" s="789"/>
      <c r="AH182" s="789"/>
      <c r="AI182" s="789"/>
      <c r="AJ182" s="789"/>
      <c r="AK182" s="789"/>
      <c r="AL182" s="789"/>
      <c r="AM182" s="789"/>
      <c r="AN182" s="789"/>
      <c r="AO182" s="789"/>
      <c r="AP182" s="789"/>
      <c r="AQ182" s="789"/>
      <c r="AR182" s="789">
        <f t="shared" ref="AR182:BF182" si="133">AR51</f>
        <v>0</v>
      </c>
      <c r="AS182" s="789">
        <f t="shared" si="133"/>
        <v>0</v>
      </c>
      <c r="AT182" s="789">
        <f t="shared" si="133"/>
        <v>0</v>
      </c>
      <c r="AU182" s="789">
        <f t="shared" si="133"/>
        <v>0</v>
      </c>
      <c r="AV182" s="789">
        <f t="shared" si="133"/>
        <v>0</v>
      </c>
      <c r="AW182" s="789">
        <f t="shared" si="133"/>
        <v>0</v>
      </c>
      <c r="AX182" s="789">
        <f t="shared" si="133"/>
        <v>0</v>
      </c>
      <c r="AY182" s="789">
        <f t="shared" si="133"/>
        <v>0</v>
      </c>
      <c r="AZ182" s="789">
        <f t="shared" si="133"/>
        <v>0</v>
      </c>
      <c r="BA182" s="789">
        <f t="shared" si="133"/>
        <v>0</v>
      </c>
      <c r="BB182" s="789">
        <f t="shared" si="133"/>
        <v>0</v>
      </c>
      <c r="BC182" s="789">
        <f t="shared" si="133"/>
        <v>0</v>
      </c>
      <c r="BD182" s="789">
        <f t="shared" si="133"/>
        <v>0</v>
      </c>
      <c r="BE182" s="789">
        <f t="shared" si="133"/>
        <v>0</v>
      </c>
      <c r="BF182" s="789">
        <f t="shared" si="133"/>
        <v>0</v>
      </c>
    </row>
    <row r="183" spans="2:58">
      <c r="B183" s="167" t="str">
        <f t="shared" ref="B183:C198" si="134">B136</f>
        <v>Coal/Ore</v>
      </c>
      <c r="C183" s="164" t="str">
        <f t="shared" si="134"/>
        <v>Drill Machine/ 115mm diameter</v>
      </c>
      <c r="D183" s="170" t="s">
        <v>896</v>
      </c>
      <c r="E183" s="170"/>
      <c r="F183" s="173">
        <f>SUM(G183:BF183)</f>
        <v>1</v>
      </c>
      <c r="G183" s="218">
        <f>ROUNDUP(IF(G136&lt;=MAX($G136:G136),0,G136-MAX($G136:G136)),0)</f>
        <v>0</v>
      </c>
      <c r="H183" s="218">
        <f>ROUNDUP(IF(H136&lt;=MAX($G136:G136),0,H136-MAX($G136:G136)),0)</f>
        <v>0</v>
      </c>
      <c r="I183" s="218">
        <f>ROUNDUP(IF(I136&lt;=MAX($G136:H136),0,I136-MAX($G136:H136)),0)</f>
        <v>0</v>
      </c>
      <c r="J183" s="218">
        <f>ROUNDUP(IF(J136&lt;=MAX($G136:I136),0,J136-MAX($G136:I136)),0)</f>
        <v>0</v>
      </c>
      <c r="K183" s="218">
        <f>ROUNDUP(IF(K136&lt;=MAX($G136:J136),0,K136-MAX($G136:J136)),0)</f>
        <v>1</v>
      </c>
      <c r="L183" s="218">
        <f>ROUNDUP(IF(L136&lt;=MAX($G136:K136),0,L136-MAX($G136:K136)),0)</f>
        <v>0</v>
      </c>
      <c r="M183" s="218">
        <f>ROUNDUP(IF(M136&lt;=MAX($G136:L136),0,M136-MAX($G136:L136)),0)</f>
        <v>0</v>
      </c>
      <c r="N183" s="218">
        <f>ROUNDUP(IF(N136&lt;=MAX($G136:M136),0,N136-MAX($G136:M136)),0)</f>
        <v>0</v>
      </c>
      <c r="O183" s="218">
        <f>ROUNDUP(IF(O136&lt;=MAX($G136:O136),0,O136-MAX($G136:O136)),0)</f>
        <v>0</v>
      </c>
      <c r="P183" s="218">
        <f>ROUNDUP(IF(P136&lt;=MAX($G136:O136),0,P136-MAX($G136:O136)),0)</f>
        <v>0</v>
      </c>
      <c r="Q183" s="218">
        <f>ROUNDUP(IF(Q136&lt;=MAX($G136:P136),0,Q136-MAX($G136:P136)),0)</f>
        <v>0</v>
      </c>
      <c r="R183" s="218">
        <f>ROUNDUP(IF(R136&lt;=MAX($G136:Q136),0,R136-MAX($G136:Q136)),0)</f>
        <v>0</v>
      </c>
      <c r="S183" s="218">
        <f>ROUNDUP(IF(S136&lt;=MAX($G136:R136),0,S136-MAX($G136:R136)),0)</f>
        <v>0</v>
      </c>
      <c r="T183" s="218">
        <f>ROUNDUP(IF(T136&lt;=MAX($G136:S136),0,T136-MAX($G136:S136)),0)</f>
        <v>0</v>
      </c>
      <c r="U183" s="218">
        <f>ROUNDUP(IF(U136&lt;=MAX($G136:T136),0,U136-MAX($G136:T136)),0)</f>
        <v>0</v>
      </c>
      <c r="V183" s="218">
        <f>ROUNDUP(IF(V136&lt;=MAX($G136:U136),0,V136-MAX($G136:U136)),0)</f>
        <v>0</v>
      </c>
      <c r="W183" s="218">
        <f>ROUNDUP(IF(W136&lt;=MAX($G136:W136),0,W136-MAX($G136:W136)),0)</f>
        <v>0</v>
      </c>
      <c r="X183" s="218">
        <f>ROUNDUP(IF(X136&lt;=MAX($G136:W136),0,X136-MAX($G136:W136)),0)</f>
        <v>0</v>
      </c>
      <c r="Y183" s="218">
        <f>ROUNDUP(IF(Y136&lt;=MAX($G136:X136),0,Y136-MAX($G136:X136)),0)</f>
        <v>0</v>
      </c>
      <c r="Z183" s="218">
        <f>ROUNDUP(IF(Z136&lt;=MAX($G136:Y136),0,Z136-MAX($G136:Y136)),0)</f>
        <v>0</v>
      </c>
      <c r="AA183" s="218">
        <f>ROUNDUP(IF(AA136&lt;=MAX($G136:Z136),0,AA136-MAX($G136:Z136)),0)</f>
        <v>0</v>
      </c>
      <c r="AB183" s="218">
        <f>ROUNDUP(IF(AB136&lt;=MAX($G136:AA136),0,AB136-MAX($G136:AA136)),0)</f>
        <v>0</v>
      </c>
      <c r="AC183" s="218">
        <f>ROUNDUP(IF(AC136&lt;=MAX($G136:AB136),0,AC136-MAX($G136:AB136)),0)</f>
        <v>0</v>
      </c>
      <c r="AD183" s="218"/>
      <c r="AE183" s="218"/>
      <c r="AF183" s="218"/>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row>
    <row r="184" spans="2:58">
      <c r="B184" s="168" t="str">
        <f t="shared" si="134"/>
        <v xml:space="preserve">Waste (IB Thin Parting) </v>
      </c>
      <c r="C184" s="165" t="str">
        <f t="shared" si="134"/>
        <v>Drill Machine/ 160mm diameter</v>
      </c>
      <c r="D184" s="171" t="s">
        <v>896</v>
      </c>
      <c r="E184" s="171"/>
      <c r="F184" s="174">
        <f>SUM(G184:BF184)</f>
        <v>4</v>
      </c>
      <c r="G184" s="218">
        <f>ROUNDUP(IF(G137&lt;=MAX($G137:G137),0,G137-MAX($G137:G137)),0)</f>
        <v>0</v>
      </c>
      <c r="H184" s="218">
        <f>ROUNDUP(IF(H137&lt;=MAX($G137:G137),0,H137-MAX($G137:G137)),0)</f>
        <v>0</v>
      </c>
      <c r="I184" s="218">
        <f>ROUNDUP(IF(I137&lt;=MAX($G137:H137),0,I137-MAX($G137:H137)),0)</f>
        <v>0</v>
      </c>
      <c r="J184" s="218">
        <f>ROUNDUP(IF(J137&lt;=MAX($G137:I137),0,J137-MAX($G137:I137)),0)</f>
        <v>0</v>
      </c>
      <c r="K184" s="218">
        <f>ROUNDUP(IF(K137&lt;=MAX($G137:J137),0,K137-MAX($G137:J137)),0)</f>
        <v>1</v>
      </c>
      <c r="L184" s="218">
        <f>ROUNDUP(IF(L137&lt;=MAX($G137:K137),0,L137-MAX($G137:K137)),0)</f>
        <v>0</v>
      </c>
      <c r="M184" s="218">
        <f>ROUNDUP(IF(M137&lt;=MAX($G137:L137),0,M137-MAX($G137:L137)),0)</f>
        <v>1</v>
      </c>
      <c r="N184" s="218">
        <f>ROUNDUP(IF(N137&lt;=MAX($G137:M137),0,N137-MAX($G137:M137)),0)</f>
        <v>1</v>
      </c>
      <c r="O184" s="218">
        <f>ROUNDUP(IF(O137&lt;=MAX($G137:N137),0,O137-MAX($G137:N137)),0)</f>
        <v>0</v>
      </c>
      <c r="P184" s="218">
        <f>ROUNDUP(IF(P137&lt;=MAX($G137:O137),0,P137-MAX($G137:O137)),0)</f>
        <v>1</v>
      </c>
      <c r="Q184" s="218">
        <f>ROUNDUP(IF(Q137&lt;=MAX($G137:P137),0,Q137-MAX($G137:P137)),0)</f>
        <v>0</v>
      </c>
      <c r="R184" s="218">
        <f>ROUNDUP(IF(R137&lt;=MAX($G137:Q137),0,R137-MAX($G137:Q137)),0)</f>
        <v>0</v>
      </c>
      <c r="S184" s="218">
        <f>ROUNDUP(IF(S137&lt;=MAX($G137:R137),0,S137-MAX($G137:R137)),0)</f>
        <v>0</v>
      </c>
      <c r="T184" s="218">
        <f>ROUNDUP(IF(T137&lt;=MAX($G137:S137),0,T137-MAX($G137:S137)),0)</f>
        <v>0</v>
      </c>
      <c r="U184" s="218">
        <f>ROUNDUP(IF(U137&lt;=MAX($G137:T137),0,U137-MAX($G137:T137)),0)</f>
        <v>0</v>
      </c>
      <c r="V184" s="218">
        <f>ROUNDUP(IF(V137&lt;=MAX($G137:U137),0,V137-MAX($G137:U137)),0)</f>
        <v>0</v>
      </c>
      <c r="W184" s="218">
        <f>ROUNDUP(IF(W137&lt;=MAX($G137:V137),0,W137-MAX($G137:V137)),0)</f>
        <v>0</v>
      </c>
      <c r="X184" s="218">
        <f>ROUNDUP(IF(X137&lt;=MAX($G137:W137),0,X137-MAX($G137:W137)),0)</f>
        <v>0</v>
      </c>
      <c r="Y184" s="218">
        <f>ROUNDUP(IF(Y137&lt;=MAX($G137:X137),0,Y137-MAX($G137:X137)),0)</f>
        <v>0</v>
      </c>
      <c r="Z184" s="218">
        <f>ROUNDUP(IF(Z137&lt;=MAX($G137:Y137),0,Z137-MAX($G137:Y137)),0)</f>
        <v>0</v>
      </c>
      <c r="AA184" s="218">
        <f>ROUNDUP(IF(AA137&lt;=MAX($G137:Z137),0,AA137-MAX($G137:Z137)),0)</f>
        <v>0</v>
      </c>
      <c r="AB184" s="218">
        <f>ROUNDUP(IF(AB137&lt;=MAX($G137:AA137),0,AB137-MAX($G137:AA137)),0)</f>
        <v>0</v>
      </c>
      <c r="AC184" s="218">
        <f>ROUNDUP(IF(AC137&lt;=MAX($G137:AB137),0,AC137-MAX($G137:AB137)),0)</f>
        <v>0</v>
      </c>
      <c r="AD184" s="218"/>
      <c r="AE184" s="218"/>
      <c r="AF184" s="218"/>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row>
    <row r="185" spans="2:58">
      <c r="B185" s="168" t="str">
        <f t="shared" si="134"/>
        <v>Waste Thick Parting (Ob/IB)</v>
      </c>
      <c r="C185" s="165" t="str">
        <f t="shared" si="134"/>
        <v>Drill Machine/ 250mm diameter</v>
      </c>
      <c r="D185" s="171" t="s">
        <v>896</v>
      </c>
      <c r="E185" s="171"/>
      <c r="F185" s="174">
        <f t="shared" ref="F185:F225" si="135">SUM(G185:BF185)</f>
        <v>11</v>
      </c>
      <c r="G185" s="218">
        <f>ROUNDUP(IF(G138&lt;=MAX($G138:G138),0,G138-MAX($G138:G138)),0)</f>
        <v>0</v>
      </c>
      <c r="H185" s="218">
        <f>ROUNDUP(IF(H138&lt;=MAX($G138:G138),0,H138-MAX($G138:G138)),0)</f>
        <v>0</v>
      </c>
      <c r="I185" s="218">
        <f>ROUNDUP(IF(I138&lt;=MAX($G138:H138),0,I138-MAX($G138:H138)),0)</f>
        <v>0</v>
      </c>
      <c r="J185" s="218">
        <f>ROUNDUP(IF(J138&lt;=MAX($G138:I138),0,J138-MAX($G138:I138)),0)</f>
        <v>0</v>
      </c>
      <c r="K185" s="218">
        <f>ROUNDUP(IF(K138&lt;=MAX($G138:J138),0,K138-MAX($G138:J138)),0)</f>
        <v>3</v>
      </c>
      <c r="L185" s="218">
        <f>ROUNDUP(IF(L138&lt;=MAX($G138:K138),0,L138-MAX($G138:K138)),0)</f>
        <v>0</v>
      </c>
      <c r="M185" s="218">
        <f>ROUNDUP(IF(M138&lt;=MAX($G138:L138),0,M138-MAX($G138:L138)),0)</f>
        <v>1</v>
      </c>
      <c r="N185" s="218">
        <f>ROUNDUP(IF(N138&lt;=MAX($G138:M138),0,N138-MAX($G138:M138)),0)</f>
        <v>5</v>
      </c>
      <c r="O185" s="218">
        <f>ROUNDUP(IF(O138&lt;=MAX($G138:N138),0,O138-MAX($G138:N138)),0)</f>
        <v>0</v>
      </c>
      <c r="P185" s="218">
        <f>ROUNDUP(IF(P138&lt;=MAX($G138:O138),0,P138-MAX($G138:O138)),0)</f>
        <v>2</v>
      </c>
      <c r="Q185" s="218">
        <f>ROUNDUP(IF(Q138&lt;=MAX($G138:P138),0,Q138-MAX($G138:P138)),0)</f>
        <v>0</v>
      </c>
      <c r="R185" s="218">
        <f>ROUNDUP(IF(R138&lt;=MAX($G138:Q138),0,R138-MAX($G138:Q138)),0)</f>
        <v>0</v>
      </c>
      <c r="S185" s="218">
        <f>ROUNDUP(IF(S138&lt;=MAX($G138:R138),0,S138-MAX($G138:R138)),0)</f>
        <v>0</v>
      </c>
      <c r="T185" s="218">
        <f>ROUNDUP(IF(T138&lt;=MAX($G138:S138),0,T138-MAX($G138:S138)),0)</f>
        <v>0</v>
      </c>
      <c r="U185" s="218">
        <f>ROUNDUP(IF(U138&lt;=MAX($G138:T138),0,U138-MAX($G138:T138)),0)</f>
        <v>0</v>
      </c>
      <c r="V185" s="218">
        <f>ROUNDUP(IF(V138&lt;=MAX($G138:U138),0,V138-MAX($G138:U138)),0)</f>
        <v>0</v>
      </c>
      <c r="W185" s="218">
        <f>ROUNDUP(IF(W138&lt;=MAX($G138:V138),0,W138-MAX($G138:V138)),0)</f>
        <v>0</v>
      </c>
      <c r="X185" s="218">
        <f>ROUNDUP(IF(X138&lt;=MAX($G138:W138),0,X138-MAX($G138:W138)),0)</f>
        <v>0</v>
      </c>
      <c r="Y185" s="218">
        <f>ROUNDUP(IF(Y138&lt;=MAX($G138:X138),0,Y138-MAX($G138:X138)),0)</f>
        <v>0</v>
      </c>
      <c r="Z185" s="218">
        <f>ROUNDUP(IF(Z138&lt;=MAX($G138:Y138),0,Z138-MAX($G138:Y138)),0)</f>
        <v>0</v>
      </c>
      <c r="AA185" s="218">
        <f>ROUNDUP(IF(AA138&lt;=MAX($G138:Z138),0,AA138-MAX($G138:Z138)),0)</f>
        <v>0</v>
      </c>
      <c r="AB185" s="218">
        <f>ROUNDUP(IF(AB138&lt;=MAX($G138:AA138),0,AB138-MAX($G138:AA138)),0)</f>
        <v>0</v>
      </c>
      <c r="AC185" s="218">
        <f>ROUNDUP(IF(AC138&lt;=MAX($G138:AB138),0,AC138-MAX($G138:AB138)),0)</f>
        <v>0</v>
      </c>
      <c r="AD185" s="218"/>
      <c r="AE185" s="218"/>
      <c r="AF185" s="218"/>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row>
    <row r="186" spans="2:58">
      <c r="B186" s="168" t="str">
        <f t="shared" si="134"/>
        <v>Top Soil</v>
      </c>
      <c r="C186" s="165" t="str">
        <f t="shared" si="134"/>
        <v>Diesel hydraulic Shovel/ 1.0 cum</v>
      </c>
      <c r="D186" s="171" t="s">
        <v>896</v>
      </c>
      <c r="E186" s="171"/>
      <c r="F186" s="174">
        <f t="shared" si="135"/>
        <v>0</v>
      </c>
      <c r="G186" s="218">
        <f>ROUNDUP(IF(G139&lt;=MAX($G139:G139),0,G139-MAX($G139:G139)),0)</f>
        <v>0</v>
      </c>
      <c r="H186" s="218">
        <f>ROUNDUP(IF(H139&lt;=MAX($G139:G139),0,H139-MAX($G139:G139)),0)</f>
        <v>0</v>
      </c>
      <c r="I186" s="218">
        <f>ROUNDUP(IF(I139&lt;=MAX($G139:H139),0,I139-MAX($G139:H139)),0)</f>
        <v>0</v>
      </c>
      <c r="J186" s="218">
        <f>ROUNDUP(IF(J139&lt;=MAX($G139:I139),0,J139-MAX($G139:I139)),0)</f>
        <v>0</v>
      </c>
      <c r="K186" s="218">
        <f>ROUNDUP(IF(K139&lt;=MAX($G139:J139),0,K139-MAX($G139:J139)),0)</f>
        <v>0</v>
      </c>
      <c r="L186" s="218">
        <f>ROUNDUP(IF(L139&lt;=MAX($G139:K139),0,L139-MAX($G139:K139)),0)</f>
        <v>0</v>
      </c>
      <c r="M186" s="218">
        <f>ROUNDUP(IF(M139&lt;=MAX($G139:L139),0,M139-MAX($G139:L139)),0)</f>
        <v>0</v>
      </c>
      <c r="N186" s="218">
        <f>ROUNDUP(IF(N139&lt;=MAX($G139:M139),0,N139-MAX($G139:M139)),0)</f>
        <v>0</v>
      </c>
      <c r="O186" s="218">
        <f>ROUNDUP(IF(O139&lt;=MAX($G139:N139),0,O139-MAX($G139:N139)),0)</f>
        <v>0</v>
      </c>
      <c r="P186" s="218">
        <f>ROUNDUP(IF(P139&lt;=MAX($G139:O139),0,P139-MAX($G139:O139)),0)</f>
        <v>0</v>
      </c>
      <c r="Q186" s="218">
        <f>ROUNDUP(IF(Q139&lt;=MAX($G139:P139),0,Q139-MAX($G139:P139)),0)</f>
        <v>0</v>
      </c>
      <c r="R186" s="218">
        <f>ROUNDUP(IF(R139&lt;=MAX($G139:Q139),0,R139-MAX($G139:Q139)),0)</f>
        <v>0</v>
      </c>
      <c r="S186" s="218">
        <f>ROUNDUP(IF(S139&lt;=MAX($G139:R139),0,S139-MAX($G139:R139)),0)</f>
        <v>0</v>
      </c>
      <c r="T186" s="218">
        <f>ROUNDUP(IF(T139&lt;=MAX($G139:S139),0,T139-MAX($G139:S139)),0)</f>
        <v>0</v>
      </c>
      <c r="U186" s="218">
        <f>ROUNDUP(IF(U139&lt;=MAX($G139:T139),0,U139-MAX($G139:T139)),0)</f>
        <v>0</v>
      </c>
      <c r="V186" s="218">
        <f>ROUNDUP(IF(V139&lt;=MAX($G139:U139),0,V139-MAX($G139:U139)),0)</f>
        <v>0</v>
      </c>
      <c r="W186" s="218">
        <f>ROUNDUP(IF(W139&lt;=MAX($G139:V139),0,W139-MAX($G139:V139)),0)</f>
        <v>0</v>
      </c>
      <c r="X186" s="218">
        <f>ROUNDUP(IF(X139&lt;=MAX($G139:W139),0,X139-MAX($G139:W139)),0)</f>
        <v>0</v>
      </c>
      <c r="Y186" s="218">
        <f>ROUNDUP(IF(Y139&lt;=MAX($G139:X139),0,Y139-MAX($G139:X139)),0)</f>
        <v>0</v>
      </c>
      <c r="Z186" s="218">
        <f>ROUNDUP(IF(Z139&lt;=MAX($G139:Y139),0,Z139-MAX($G139:Y139)),0)</f>
        <v>0</v>
      </c>
      <c r="AA186" s="218">
        <f>ROUNDUP(IF(AA139&lt;=MAX($G139:Z139),0,AA139-MAX($G139:Z139)),0)</f>
        <v>0</v>
      </c>
      <c r="AB186" s="218">
        <f>ROUNDUP(IF(AB139&lt;=MAX($G139:AA139),0,AB139-MAX($G139:AA139)),0)</f>
        <v>0</v>
      </c>
      <c r="AC186" s="218">
        <f>ROUNDUP(IF(AC139&lt;=MAX($G139:AB139),0,AC139-MAX($G139:AB139)),0)</f>
        <v>0</v>
      </c>
      <c r="AD186" s="218"/>
      <c r="AE186" s="218"/>
      <c r="AF186" s="218"/>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row>
    <row r="187" spans="2:58">
      <c r="B187" s="168" t="str">
        <f t="shared" si="134"/>
        <v>Thin Parting, Topsoil &amp; Coal (From Drill &amp; Blast)</v>
      </c>
      <c r="C187" s="165" t="str">
        <f t="shared" si="134"/>
        <v>Diesel hydraulic Shovel/ 4.6 cum</v>
      </c>
      <c r="D187" s="171" t="s">
        <v>896</v>
      </c>
      <c r="E187" s="171"/>
      <c r="F187" s="174">
        <f t="shared" si="135"/>
        <v>10</v>
      </c>
      <c r="G187" s="218">
        <f>ROUNDUP(IF(G140&lt;=MAX($G140:G140),0,G140-MAX($G140:G140)),0)</f>
        <v>0</v>
      </c>
      <c r="H187" s="218">
        <f>ROUNDUP(IF(H140&lt;=MAX($G140:G140),0,H140-MAX($G140:G140)),0)</f>
        <v>0</v>
      </c>
      <c r="I187" s="218">
        <f>ROUNDUP(IF(I140&lt;=MAX($G140:H140),0,I140-MAX($G140:H140)),0)</f>
        <v>0</v>
      </c>
      <c r="J187" s="218">
        <f>ROUNDUP(IF(J140&lt;=MAX($G140:I140),0,J140-MAX($G140:I140)),0)</f>
        <v>0</v>
      </c>
      <c r="K187" s="218">
        <f>ROUNDUP(IF(K140&lt;=MAX($G140:J140),0,K140-MAX($G140:J140)),0)</f>
        <v>3</v>
      </c>
      <c r="L187" s="218">
        <f>ROUNDUP(IF(L140&lt;=MAX($G140:K140),0,L140-MAX($G140:K140)),0)</f>
        <v>1</v>
      </c>
      <c r="M187" s="218">
        <f>ROUNDUP(IF(M140&lt;=MAX($G140:L140),0,M140-MAX($G140:L140)),0)</f>
        <v>0</v>
      </c>
      <c r="N187" s="218">
        <f>ROUNDUP(IF(N140&lt;=MAX($G140:M140),0,N140-MAX($G140:M140)),0)</f>
        <v>4</v>
      </c>
      <c r="O187" s="218">
        <f>ROUNDUP(IF(O140&lt;=MAX($G140:N140),0,O140-MAX($G140:N140)),0)</f>
        <v>0</v>
      </c>
      <c r="P187" s="218">
        <f>ROUNDUP(IF(P140&lt;=MAX($G140:O140),0,P140-MAX($G140:O140)),0)</f>
        <v>2</v>
      </c>
      <c r="Q187" s="218">
        <f>ROUNDUP(IF(Q140&lt;=MAX($G140:P140),0,Q140-MAX($G140:P140)),0)</f>
        <v>0</v>
      </c>
      <c r="R187" s="218">
        <f>ROUNDUP(IF(R140&lt;=MAX($G140:Q140),0,R140-MAX($G140:Q140)),0)</f>
        <v>0</v>
      </c>
      <c r="S187" s="218">
        <f>ROUNDUP(IF(S140&lt;=MAX($G140:R140),0,S140-MAX($G140:R140)),0)</f>
        <v>0</v>
      </c>
      <c r="T187" s="218">
        <f>ROUNDUP(IF(T140&lt;=MAX($G140:S140),0,T140-MAX($G140:S140)),0)</f>
        <v>0</v>
      </c>
      <c r="U187" s="218">
        <f>ROUNDUP(IF(U140&lt;=MAX($G140:T140),0,U140-MAX($G140:T140)),0)</f>
        <v>0</v>
      </c>
      <c r="V187" s="218">
        <f>ROUNDUP(IF(V140&lt;=MAX($G140:U140),0,V140-MAX($G140:U140)),0)</f>
        <v>0</v>
      </c>
      <c r="W187" s="218">
        <f>ROUNDUP(IF(W140&lt;=MAX($G140:V140),0,W140-MAX($G140:V140)),0)</f>
        <v>0</v>
      </c>
      <c r="X187" s="218">
        <f>ROUNDUP(IF(X140&lt;=MAX($G140:W140),0,X140-MAX($G140:W140)),0)</f>
        <v>0</v>
      </c>
      <c r="Y187" s="218">
        <f>ROUNDUP(IF(Y140&lt;=MAX($G140:X140),0,Y140-MAX($G140:X140)),0)</f>
        <v>0</v>
      </c>
      <c r="Z187" s="218">
        <f>ROUNDUP(IF(Z140&lt;=MAX($G140:Y140),0,Z140-MAX($G140:Y140)),0)</f>
        <v>0</v>
      </c>
      <c r="AA187" s="218">
        <f>ROUNDUP(IF(AA140&lt;=MAX($G140:Z140),0,AA140-MAX($G140:Z140)),0)</f>
        <v>0</v>
      </c>
      <c r="AB187" s="218">
        <f>ROUNDUP(IF(AB140&lt;=MAX($G140:AA140),0,AB140-MAX($G140:AA140)),0)</f>
        <v>0</v>
      </c>
      <c r="AC187" s="218">
        <f>ROUNDUP(IF(AC140&lt;=MAX($G140:AB140),0,AC140-MAX($G140:AB140)),0)</f>
        <v>0</v>
      </c>
      <c r="AD187" s="218"/>
      <c r="AE187" s="218"/>
      <c r="AF187" s="218"/>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row>
    <row r="188" spans="2:58">
      <c r="B188" s="168" t="str">
        <f t="shared" si="134"/>
        <v>Waste - OB &amp; Thick Parting</v>
      </c>
      <c r="C188" s="165" t="str">
        <f t="shared" si="134"/>
        <v>Diesel hydraulic shovel/ 10 cum</v>
      </c>
      <c r="D188" s="171" t="s">
        <v>896</v>
      </c>
      <c r="E188" s="171"/>
      <c r="F188" s="174">
        <f t="shared" si="135"/>
        <v>11</v>
      </c>
      <c r="G188" s="218">
        <f>ROUNDUP(IF(G141&lt;=MAX($G141:G141),0,G141-MAX($G141:G141)),0)</f>
        <v>0</v>
      </c>
      <c r="H188" s="218">
        <f>ROUNDUP(IF(H141&lt;=MAX($G141:G141),0,H141-MAX($G141:G141)),0)</f>
        <v>0</v>
      </c>
      <c r="I188" s="218">
        <f>ROUNDUP(IF(I141&lt;=MAX($G141:H141),0,I141-MAX($G141:H141)),0)</f>
        <v>0</v>
      </c>
      <c r="J188" s="218">
        <f>ROUNDUP(IF(J141&lt;=MAX($G141:I141),0,J141-MAX($G141:I141)),0)</f>
        <v>0</v>
      </c>
      <c r="K188" s="218">
        <f>ROUNDUP(IF(K141&lt;=MAX($G141:J141),0,K141-MAX($G141:J141)),0)</f>
        <v>3</v>
      </c>
      <c r="L188" s="218">
        <f>ROUNDUP(IF(L141&lt;=MAX($G141:K141),0,L141-MAX($G141:K141)),0)</f>
        <v>0</v>
      </c>
      <c r="M188" s="218">
        <f>ROUNDUP(IF(M141&lt;=MAX($G141:L141),0,M141-MAX($G141:L141)),0)</f>
        <v>1</v>
      </c>
      <c r="N188" s="218">
        <f>ROUNDUP(IF(N141&lt;=MAX($G141:M141),0,N141-MAX($G141:M141)),0)</f>
        <v>5</v>
      </c>
      <c r="O188" s="218">
        <f>ROUNDUP(IF(O141&lt;=MAX($G141:N141),0,O141-MAX($G141:N141)),0)</f>
        <v>0</v>
      </c>
      <c r="P188" s="218">
        <f>ROUNDUP(IF(P141&lt;=MAX($G141:O141),0,P141-MAX($G141:O141)),0)</f>
        <v>2</v>
      </c>
      <c r="Q188" s="218">
        <f>ROUNDUP(IF(Q141&lt;=MAX($G141:P141),0,Q141-MAX($G141:P141)),0)</f>
        <v>0</v>
      </c>
      <c r="R188" s="218">
        <f>ROUNDUP(IF(R141&lt;=MAX($G141:Q141),0,R141-MAX($G141:Q141)),0)</f>
        <v>0</v>
      </c>
      <c r="S188" s="218">
        <f>ROUNDUP(IF(S141&lt;=MAX($G141:R141),0,S141-MAX($G141:R141)),0)</f>
        <v>0</v>
      </c>
      <c r="T188" s="218">
        <f>ROUNDUP(IF(T141&lt;=MAX($G141:S141),0,T141-MAX($G141:S141)),0)</f>
        <v>0</v>
      </c>
      <c r="U188" s="218">
        <f>ROUNDUP(IF(U141&lt;=MAX($G141:T141),0,U141-MAX($G141:T141)),0)</f>
        <v>0</v>
      </c>
      <c r="V188" s="218">
        <f>ROUNDUP(IF(V141&lt;=MAX($G141:U141),0,V141-MAX($G141:U141)),0)</f>
        <v>0</v>
      </c>
      <c r="W188" s="218">
        <f>ROUNDUP(IF(W141&lt;=MAX($G141:V141),0,W141-MAX($G141:V141)),0)</f>
        <v>0</v>
      </c>
      <c r="X188" s="218">
        <f>ROUNDUP(IF(X141&lt;=MAX($G141:W141),0,X141-MAX($G141:W141)),0)</f>
        <v>0</v>
      </c>
      <c r="Y188" s="218">
        <f>ROUNDUP(IF(Y141&lt;=MAX($G141:X141),0,Y141-MAX($G141:X141)),0)</f>
        <v>0</v>
      </c>
      <c r="Z188" s="218">
        <f>ROUNDUP(IF(Z141&lt;=MAX($G141:Y141),0,Z141-MAX($G141:Y141)),0)</f>
        <v>0</v>
      </c>
      <c r="AA188" s="218">
        <f>ROUNDUP(IF(AA141&lt;=MAX($G141:Z141),0,AA141-MAX($G141:Z141)),0)</f>
        <v>0</v>
      </c>
      <c r="AB188" s="218">
        <f>ROUNDUP(IF(AB141&lt;=MAX($G141:AA141),0,AB141-MAX($G141:AA141)),0)</f>
        <v>0</v>
      </c>
      <c r="AC188" s="218">
        <f>ROUNDUP(IF(AC141&lt;=MAX($G141:AB141),0,AC141-MAX($G141:AB141)),0)</f>
        <v>0</v>
      </c>
      <c r="AD188" s="218"/>
      <c r="AE188" s="218"/>
      <c r="AF188" s="218"/>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row>
    <row r="189" spans="2:58">
      <c r="B189" s="168" t="str">
        <f t="shared" si="134"/>
        <v>Rehandling by Own Trucks and Excavators</v>
      </c>
      <c r="C189" s="165" t="str">
        <f t="shared" si="134"/>
        <v>Diesel hydraulic Shovel/ 3.4 cum</v>
      </c>
      <c r="D189" s="171" t="s">
        <v>896</v>
      </c>
      <c r="E189" s="171"/>
      <c r="F189" s="174">
        <f t="shared" si="135"/>
        <v>0</v>
      </c>
      <c r="G189" s="218">
        <f>ROUNDUP(IF(G142&lt;=MAX($G142:G142),0,G142-MAX($G142:G142)),0)</f>
        <v>0</v>
      </c>
      <c r="H189" s="218">
        <f>ROUNDUP(IF(H142&lt;=MAX($G142:G142),0,H142-MAX($G142:G142)),0)</f>
        <v>0</v>
      </c>
      <c r="I189" s="218">
        <f>ROUNDUP(IF(I142&lt;=MAX($G142:H142),0,I142-MAX($G142:H142)),0)</f>
        <v>0</v>
      </c>
      <c r="J189" s="218">
        <f>ROUNDUP(IF(J142&lt;=MAX($G142:I142),0,J142-MAX($G142:I142)),0)</f>
        <v>0</v>
      </c>
      <c r="K189" s="218">
        <f>ROUNDUP(IF(K142&lt;=MAX($G142:J142),0,K142-MAX($G142:J142)),0)</f>
        <v>0</v>
      </c>
      <c r="L189" s="218">
        <f>ROUNDUP(IF(L142&lt;=MAX($G142:K142),0,L142-MAX($G142:K142)),0)</f>
        <v>0</v>
      </c>
      <c r="M189" s="218">
        <f>ROUNDUP(IF(M142&lt;=MAX($G142:L142),0,M142-MAX($G142:L142)),0)</f>
        <v>0</v>
      </c>
      <c r="N189" s="218">
        <f>ROUNDUP(IF(N142&lt;=MAX($G142:M142),0,N142-MAX($G142:M142)),0)</f>
        <v>0</v>
      </c>
      <c r="O189" s="218">
        <f>ROUNDUP(IF(O142&lt;=MAX($G142:N142),0,O142-MAX($G142:N142)),0)</f>
        <v>0</v>
      </c>
      <c r="P189" s="218">
        <f>ROUNDUP(IF(P142&lt;=MAX($G142:O142),0,P142-MAX($G142:O142)),0)</f>
        <v>0</v>
      </c>
      <c r="Q189" s="218">
        <f>ROUNDUP(IF(Q142&lt;=MAX($G142:P142),0,Q142-MAX($G142:P142)),0)</f>
        <v>0</v>
      </c>
      <c r="R189" s="218">
        <f>ROUNDUP(IF(R142&lt;=MAX($G142:Q142),0,R142-MAX($G142:Q142)),0)</f>
        <v>0</v>
      </c>
      <c r="S189" s="218">
        <f>ROUNDUP(IF(S142&lt;=MAX($G142:R142),0,S142-MAX($G142:R142)),0)</f>
        <v>0</v>
      </c>
      <c r="T189" s="218">
        <f>ROUNDUP(IF(T142&lt;=MAX($G142:S142),0,T142-MAX($G142:S142)),0)</f>
        <v>0</v>
      </c>
      <c r="U189" s="218">
        <f>ROUNDUP(IF(U142&lt;=MAX($G142:T142),0,U142-MAX($G142:T142)),0)</f>
        <v>0</v>
      </c>
      <c r="V189" s="218">
        <f>ROUNDUP(IF(V142&lt;=MAX($G142:U142),0,V142-MAX($G142:U142)),0)</f>
        <v>0</v>
      </c>
      <c r="W189" s="218">
        <f>ROUNDUP(IF(W142&lt;=MAX($G142:V142),0,W142-MAX($G142:V142)),0)</f>
        <v>0</v>
      </c>
      <c r="X189" s="218">
        <f>ROUNDUP(IF(X142&lt;=MAX($G142:W142),0,X142-MAX($G142:W142)),0)</f>
        <v>0</v>
      </c>
      <c r="Y189" s="218">
        <f>ROUNDUP(IF(Y142&lt;=MAX($G142:X142),0,Y142-MAX($G142:X142)),0)</f>
        <v>0</v>
      </c>
      <c r="Z189" s="218">
        <f>ROUNDUP(IF(Z142&lt;=MAX($G142:Y142),0,Z142-MAX($G142:Y142)),0)</f>
        <v>0</v>
      </c>
      <c r="AA189" s="218">
        <f>ROUNDUP(IF(AA142&lt;=MAX($G142:Z142),0,AA142-MAX($G142:Z142)),0)</f>
        <v>0</v>
      </c>
      <c r="AB189" s="218">
        <f>ROUNDUP(IF(AB142&lt;=MAX($G142:AA142),0,AB142-MAX($G142:AA142)),0)</f>
        <v>0</v>
      </c>
      <c r="AC189" s="218">
        <f>ROUNDUP(IF(AC142&lt;=MAX($G142:AB142),0,AC142-MAX($G142:AB142)),0)</f>
        <v>0</v>
      </c>
      <c r="AD189" s="218"/>
      <c r="AE189" s="218"/>
      <c r="AF189" s="218"/>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row>
    <row r="190" spans="2:58">
      <c r="B190" s="168" t="str">
        <f t="shared" si="134"/>
        <v>Miscelleneous</v>
      </c>
      <c r="C190" s="165" t="str">
        <f t="shared" si="134"/>
        <v>Diesel hydraulic Shovel/ 3.4 cum</v>
      </c>
      <c r="D190" s="171" t="s">
        <v>896</v>
      </c>
      <c r="E190" s="171"/>
      <c r="F190" s="174">
        <f t="shared" si="135"/>
        <v>0</v>
      </c>
      <c r="G190" s="218">
        <f>ROUNDUP(IF(G143&lt;=MAX($G143:G143),0,G143-MAX($G143:G143)),0)</f>
        <v>0</v>
      </c>
      <c r="H190" s="218">
        <f>ROUNDUP(IF(H143&lt;=MAX($G143:G143),0,H143-MAX($G143:G143)),0)</f>
        <v>0</v>
      </c>
      <c r="I190" s="218">
        <f>ROUNDUP(IF(I143&lt;=MAX($G143:H143),0,I143-MAX($G143:H143)),0)</f>
        <v>0</v>
      </c>
      <c r="J190" s="218">
        <f>ROUNDUP(IF(J143&lt;=MAX($G143:I143),0,J143-MAX($G143:I143)),0)</f>
        <v>0</v>
      </c>
      <c r="K190" s="218">
        <f>ROUNDUP(IF(K143&lt;=MAX($G143:J143),0,K143-MAX($G143:J143)),0)</f>
        <v>0</v>
      </c>
      <c r="L190" s="218">
        <f>ROUNDUP(IF(L143&lt;=MAX($G143:K143),0,L143-MAX($G143:K143)),0)</f>
        <v>0</v>
      </c>
      <c r="M190" s="218">
        <f>ROUNDUP(IF(M143&lt;=MAX($G143:L143),0,M143-MAX($G143:L143)),0)</f>
        <v>0</v>
      </c>
      <c r="N190" s="218">
        <f>ROUNDUP(IF(N143&lt;=MAX($G143:M143),0,N143-MAX($G143:M143)),0)</f>
        <v>0</v>
      </c>
      <c r="O190" s="218">
        <f>ROUNDUP(IF(O143&lt;=MAX($G143:N143),0,O143-MAX($G143:N143)),0)</f>
        <v>0</v>
      </c>
      <c r="P190" s="218">
        <f>ROUNDUP(IF(P143&lt;=MAX($G143:O143),0,P143-MAX($G143:O143)),0)</f>
        <v>0</v>
      </c>
      <c r="Q190" s="218">
        <f>ROUNDUP(IF(Q143&lt;=MAX($G143:P143),0,Q143-MAX($G143:P143)),0)</f>
        <v>0</v>
      </c>
      <c r="R190" s="218">
        <f>ROUNDUP(IF(R143&lt;=MAX($G143:Q143),0,R143-MAX($G143:Q143)),0)</f>
        <v>0</v>
      </c>
      <c r="S190" s="218">
        <f>ROUNDUP(IF(S143&lt;=MAX($G143:R143),0,S143-MAX($G143:R143)),0)</f>
        <v>0</v>
      </c>
      <c r="T190" s="218">
        <f>ROUNDUP(IF(T143&lt;=MAX($G143:S143),0,T143-MAX($G143:S143)),0)</f>
        <v>0</v>
      </c>
      <c r="U190" s="218">
        <f>ROUNDUP(IF(U143&lt;=MAX($G143:T143),0,U143-MAX($G143:T143)),0)</f>
        <v>0</v>
      </c>
      <c r="V190" s="218">
        <f>ROUNDUP(IF(V143&lt;=MAX($G143:U143),0,V143-MAX($G143:U143)),0)</f>
        <v>0</v>
      </c>
      <c r="W190" s="218">
        <f>ROUNDUP(IF(W143&lt;=MAX($G143:V143),0,W143-MAX($G143:V143)),0)</f>
        <v>0</v>
      </c>
      <c r="X190" s="218">
        <f>ROUNDUP(IF(X143&lt;=MAX($G143:W143),0,X143-MAX($G143:W143)),0)</f>
        <v>0</v>
      </c>
      <c r="Y190" s="218">
        <f>ROUNDUP(IF(Y143&lt;=MAX($G143:X143),0,Y143-MAX($G143:X143)),0)</f>
        <v>0</v>
      </c>
      <c r="Z190" s="218">
        <f>ROUNDUP(IF(Z143&lt;=MAX($G143:Y143),0,Z143-MAX($G143:Y143)),0)</f>
        <v>0</v>
      </c>
      <c r="AA190" s="218">
        <f>ROUNDUP(IF(AA143&lt;=MAX($G143:Z143),0,AA143-MAX($G143:Z143)),0)</f>
        <v>0</v>
      </c>
      <c r="AB190" s="218">
        <f>ROUNDUP(IF(AB143&lt;=MAX($G143:AA143),0,AB143-MAX($G143:AA143)),0)</f>
        <v>0</v>
      </c>
      <c r="AC190" s="218">
        <f>ROUNDUP(IF(AC143&lt;=MAX($G143:AB143),0,AC143-MAX($G143:AB143)),0)</f>
        <v>0</v>
      </c>
      <c r="AD190" s="218"/>
      <c r="AE190" s="218"/>
      <c r="AF190" s="218"/>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row>
    <row r="191" spans="2:58">
      <c r="B191" s="168" t="str">
        <f t="shared" si="134"/>
        <v>Coal/Ore</v>
      </c>
      <c r="C191" s="165" t="str">
        <f t="shared" si="134"/>
        <v>Surface Miner/ 2200 SM</v>
      </c>
      <c r="D191" s="171" t="s">
        <v>896</v>
      </c>
      <c r="E191" s="171"/>
      <c r="F191" s="174">
        <f t="shared" si="135"/>
        <v>3</v>
      </c>
      <c r="G191" s="218">
        <f>ROUNDUP(IF(G144&lt;=MAX($G144:G144),0,G144-MAX($G144:G144)),0)</f>
        <v>0</v>
      </c>
      <c r="H191" s="218">
        <f>ROUNDUP(IF(H144&lt;=MAX($G144:G144),0,H144-MAX($G144:G144)),0)</f>
        <v>0</v>
      </c>
      <c r="I191" s="218">
        <f>ROUNDUP(IF(I144&lt;=MAX($G144:H144),0,I144-MAX($G144:H144)),0)</f>
        <v>0</v>
      </c>
      <c r="J191" s="218">
        <f>ROUNDUP(IF(J144&lt;=MAX($G144:I144),0,J144-MAX($G144:I144)),0)</f>
        <v>0</v>
      </c>
      <c r="K191" s="218">
        <f>ROUNDUP(IF(K144&lt;=MAX($G144:J144),0,K144-MAX($G144:J144)),0)</f>
        <v>0</v>
      </c>
      <c r="L191" s="218">
        <f>ROUNDUP(IF(L144&lt;=MAX($G144:K144),0,L144-MAX($G144:K144)),0)</f>
        <v>0</v>
      </c>
      <c r="M191" s="218">
        <f>ROUNDUP(IF(M144&lt;=MAX($G144:L144),0,M144-MAX($G144:L144)),0)</f>
        <v>2</v>
      </c>
      <c r="N191" s="218">
        <f>ROUNDUP(IF(N144&lt;=MAX($G144:M144),0,N144-MAX($G144:M144)),0)</f>
        <v>1</v>
      </c>
      <c r="O191" s="218">
        <f>ROUNDUP(IF(O144&lt;=MAX($G144:N144),0,O144-MAX($G144:N144)),0)</f>
        <v>0</v>
      </c>
      <c r="P191" s="218">
        <f>ROUNDUP(IF(P144&lt;=MAX($G144:O144),0,P144-MAX($G144:O144)),0)</f>
        <v>0</v>
      </c>
      <c r="Q191" s="218">
        <f>ROUNDUP(IF(Q144&lt;=MAX($G144:P144),0,Q144-MAX($G144:P144)),0)</f>
        <v>0</v>
      </c>
      <c r="R191" s="218">
        <f>ROUNDUP(IF(R144&lt;=MAX($G144:Q144),0,R144-MAX($G144:Q144)),0)</f>
        <v>0</v>
      </c>
      <c r="S191" s="218">
        <f>ROUNDUP(IF(S144&lt;=MAX($G144:R144),0,S144-MAX($G144:R144)),0)</f>
        <v>0</v>
      </c>
      <c r="T191" s="218">
        <f>ROUNDUP(IF(T144&lt;=MAX($G144:S144),0,T144-MAX($G144:S144)),0)</f>
        <v>0</v>
      </c>
      <c r="U191" s="218">
        <f>ROUNDUP(IF(U144&lt;=MAX($G144:T144),0,U144-MAX($G144:T144)),0)</f>
        <v>0</v>
      </c>
      <c r="V191" s="218">
        <f>ROUNDUP(IF(V144&lt;=MAX($G144:U144),0,V144-MAX($G144:U144)),0)</f>
        <v>0</v>
      </c>
      <c r="W191" s="218">
        <f>ROUNDUP(IF(W144&lt;=MAX($G144:V144),0,W144-MAX($G144:V144)),0)</f>
        <v>0</v>
      </c>
      <c r="X191" s="218">
        <f>ROUNDUP(IF(X144&lt;=MAX($G144:W144),0,X144-MAX($G144:W144)),0)</f>
        <v>0</v>
      </c>
      <c r="Y191" s="218">
        <f>ROUNDUP(IF(Y144&lt;=MAX($G144:X144),0,Y144-MAX($G144:X144)),0)</f>
        <v>0</v>
      </c>
      <c r="Z191" s="218">
        <f>ROUNDUP(IF(Z144&lt;=MAX($G144:Y144),0,Z144-MAX($G144:Y144)),0)</f>
        <v>0</v>
      </c>
      <c r="AA191" s="218">
        <f>ROUNDUP(IF(AA144&lt;=MAX($G144:Z144),0,AA144-MAX($G144:Z144)),0)</f>
        <v>0</v>
      </c>
      <c r="AB191" s="218">
        <f>ROUNDUP(IF(AB144&lt;=MAX($G144:AA144),0,AB144-MAX($G144:AA144)),0)</f>
        <v>0</v>
      </c>
      <c r="AC191" s="218">
        <f>ROUNDUP(IF(AC144&lt;=MAX($G144:AB144),0,AC144-MAX($G144:AB144)),0)</f>
        <v>0</v>
      </c>
      <c r="AD191" s="218"/>
      <c r="AE191" s="218"/>
      <c r="AF191" s="218"/>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row>
    <row r="192" spans="2:58">
      <c r="B192" s="168" t="str">
        <f t="shared" si="134"/>
        <v>With SM/Ripper</v>
      </c>
      <c r="C192" s="165" t="str">
        <f t="shared" si="134"/>
        <v>Front End Loader/ 6.4 cum</v>
      </c>
      <c r="D192" s="171" t="s">
        <v>896</v>
      </c>
      <c r="E192" s="171"/>
      <c r="F192" s="174">
        <f t="shared" si="135"/>
        <v>4</v>
      </c>
      <c r="G192" s="218">
        <f>ROUNDUP(IF(G145&lt;=MAX($G145:G145),0,G145-MAX($G145:G145)),0)</f>
        <v>0</v>
      </c>
      <c r="H192" s="218">
        <f>ROUNDUP(IF(H145&lt;=MAX($G145:G145),0,H145-MAX($G145:G145)),0)</f>
        <v>0</v>
      </c>
      <c r="I192" s="218">
        <f>ROUNDUP(IF(I145&lt;=MAX($G145:H145),0,I145-MAX($G145:H145)),0)</f>
        <v>0</v>
      </c>
      <c r="J192" s="218">
        <f>ROUNDUP(IF(J145&lt;=MAX($G145:I145),0,J145-MAX($G145:I145)),0)</f>
        <v>0</v>
      </c>
      <c r="K192" s="218">
        <f>ROUNDUP(IF(K145&lt;=MAX($G145:J145),0,K145-MAX($G145:J145)),0)</f>
        <v>0</v>
      </c>
      <c r="L192" s="218">
        <f>ROUNDUP(IF(L145&lt;=MAX($G145:K145),0,L145-MAX($G145:K145)),0)</f>
        <v>0</v>
      </c>
      <c r="M192" s="218">
        <f>ROUNDUP(IF(M145&lt;=MAX($G145:L145),0,M145-MAX($G145:L145)),0)</f>
        <v>2</v>
      </c>
      <c r="N192" s="218">
        <f>ROUNDUP(IF(N145&lt;=MAX($G145:M145),0,N145-MAX($G145:M145)),0)</f>
        <v>1</v>
      </c>
      <c r="O192" s="218">
        <f>ROUNDUP(IF(O145&lt;=MAX($G145:N145),0,O145-MAX($G145:N145)),0)</f>
        <v>1</v>
      </c>
      <c r="P192" s="218">
        <f>ROUNDUP(IF(P145&lt;=MAX($G145:O145),0,P145-MAX($G145:O145)),0)</f>
        <v>0</v>
      </c>
      <c r="Q192" s="218">
        <f>ROUNDUP(IF(Q145&lt;=MAX($G145:P145),0,Q145-MAX($G145:P145)),0)</f>
        <v>0</v>
      </c>
      <c r="R192" s="218">
        <f>ROUNDUP(IF(R145&lt;=MAX($G145:Q145),0,R145-MAX($G145:Q145)),0)</f>
        <v>0</v>
      </c>
      <c r="S192" s="218">
        <f>ROUNDUP(IF(S145&lt;=MAX($G145:R145),0,S145-MAX($G145:R145)),0)</f>
        <v>0</v>
      </c>
      <c r="T192" s="218">
        <f>ROUNDUP(IF(T145&lt;=MAX($G145:S145),0,T145-MAX($G145:S145)),0)</f>
        <v>0</v>
      </c>
      <c r="U192" s="218">
        <f>ROUNDUP(IF(U145&lt;=MAX($G145:T145),0,U145-MAX($G145:T145)),0)</f>
        <v>0</v>
      </c>
      <c r="V192" s="218">
        <f>ROUNDUP(IF(V145&lt;=MAX($G145:U145),0,V145-MAX($G145:U145)),0)</f>
        <v>0</v>
      </c>
      <c r="W192" s="218">
        <f>ROUNDUP(IF(W145&lt;=MAX($G145:V145),0,W145-MAX($G145:V145)),0)</f>
        <v>0</v>
      </c>
      <c r="X192" s="218">
        <f>ROUNDUP(IF(X145&lt;=MAX($G145:W145),0,X145-MAX($G145:W145)),0)</f>
        <v>0</v>
      </c>
      <c r="Y192" s="218">
        <f>ROUNDUP(IF(Y145&lt;=MAX($G145:X145),0,Y145-MAX($G145:X145)),0)</f>
        <v>0</v>
      </c>
      <c r="Z192" s="218">
        <f>ROUNDUP(IF(Z145&lt;=MAX($G145:Y145),0,Z145-MAX($G145:Y145)),0)</f>
        <v>0</v>
      </c>
      <c r="AA192" s="218">
        <f>ROUNDUP(IF(AA145&lt;=MAX($G145:Z145),0,AA145-MAX($G145:Z145)),0)</f>
        <v>0</v>
      </c>
      <c r="AB192" s="218">
        <f>ROUNDUP(IF(AB145&lt;=MAX($G145:AA145),0,AB145-MAX($G145:AA145)),0)</f>
        <v>0</v>
      </c>
      <c r="AC192" s="218">
        <f>ROUNDUP(IF(AC145&lt;=MAX($G145:AB145),0,AC145-MAX($G145:AB145)),0)</f>
        <v>0</v>
      </c>
      <c r="AD192" s="218"/>
      <c r="AE192" s="218"/>
      <c r="AF192" s="218"/>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row>
    <row r="193" spans="2:29">
      <c r="B193" s="168" t="str">
        <f t="shared" si="134"/>
        <v>Miscelleneous</v>
      </c>
      <c r="C193" s="165" t="str">
        <f t="shared" si="134"/>
        <v>Front End Loader/ 1.7cum</v>
      </c>
      <c r="D193" s="171" t="s">
        <v>896</v>
      </c>
      <c r="E193" s="171"/>
      <c r="F193" s="174">
        <f t="shared" si="135"/>
        <v>0</v>
      </c>
      <c r="G193" s="218">
        <f>ROUNDUP(IF(G146&lt;=MAX($G146:G146),0,G146-MAX($G146:G146)),0)</f>
        <v>0</v>
      </c>
      <c r="H193" s="218">
        <f>ROUNDUP(IF(H146&lt;=MAX($G146:G146),0,H146-MAX($G146:G146)),0)</f>
        <v>0</v>
      </c>
      <c r="I193" s="218">
        <f>ROUNDUP(IF(I146&lt;=MAX($G146:H146),0,I146-MAX($G146:H146)),0)</f>
        <v>0</v>
      </c>
      <c r="J193" s="218">
        <f>ROUNDUP(IF(J146&lt;=MAX($G146:I146),0,J146-MAX($G146:I146)),0)</f>
        <v>0</v>
      </c>
      <c r="K193" s="218">
        <f>ROUNDUP(IF(K146&lt;=MAX($G146:J146),0,K146-MAX($G146:J146)),0)</f>
        <v>0</v>
      </c>
      <c r="L193" s="218">
        <f>ROUNDUP(IF(L146&lt;=MAX($G146:K146),0,L146-MAX($G146:K146)),0)</f>
        <v>0</v>
      </c>
      <c r="M193" s="218">
        <f>ROUNDUP(IF(M146&lt;=MAX($G146:L146),0,M146-MAX($G146:L146)),0)</f>
        <v>0</v>
      </c>
      <c r="N193" s="218">
        <f>ROUNDUP(IF(N146&lt;=MAX($G146:M146),0,N146-MAX($G146:M146)),0)</f>
        <v>0</v>
      </c>
      <c r="O193" s="218">
        <f>ROUNDUP(IF(O146&lt;=MAX($G146:N146),0,O146-MAX($G146:N146)),0)</f>
        <v>0</v>
      </c>
      <c r="P193" s="218">
        <f>ROUNDUP(IF(P146&lt;=MAX($G146:O146),0,P146-MAX($G146:O146)),0)</f>
        <v>0</v>
      </c>
      <c r="Q193" s="218">
        <f>ROUNDUP(IF(Q146&lt;=MAX($G146:P146),0,Q146-MAX($G146:P146)),0)</f>
        <v>0</v>
      </c>
      <c r="R193" s="218">
        <f>ROUNDUP(IF(R146&lt;=MAX($G146:Q146),0,R146-MAX($G146:Q146)),0)</f>
        <v>0</v>
      </c>
      <c r="S193" s="218">
        <f>ROUNDUP(IF(S146&lt;=MAX($G146:R146),0,S146-MAX($G146:R146)),0)</f>
        <v>0</v>
      </c>
      <c r="T193" s="218">
        <f>ROUNDUP(IF(T146&lt;=MAX($G146:S146),0,T146-MAX($G146:S146)),0)</f>
        <v>0</v>
      </c>
      <c r="U193" s="218">
        <f>ROUNDUP(IF(U146&lt;=MAX($G146:T146),0,U146-MAX($G146:T146)),0)</f>
        <v>0</v>
      </c>
      <c r="V193" s="218">
        <f>ROUNDUP(IF(V146&lt;=MAX($G146:U146),0,V146-MAX($G146:U146)),0)</f>
        <v>0</v>
      </c>
      <c r="W193" s="218">
        <f>ROUNDUP(IF(W146&lt;=MAX($G146:V146),0,W146-MAX($G146:V146)),0)</f>
        <v>0</v>
      </c>
      <c r="X193" s="218">
        <f>ROUNDUP(IF(X146&lt;=MAX($G146:W146),0,X146-MAX($G146:W146)),0)</f>
        <v>0</v>
      </c>
      <c r="Y193" s="218">
        <f>ROUNDUP(IF(Y146&lt;=MAX($G146:X146),0,Y146-MAX($G146:X146)),0)</f>
        <v>0</v>
      </c>
      <c r="Z193" s="218">
        <f>ROUNDUP(IF(Z146&lt;=MAX($G146:Y146),0,Z146-MAX($G146:Y146)),0)</f>
        <v>0</v>
      </c>
      <c r="AA193" s="218">
        <f>ROUNDUP(IF(AA146&lt;=MAX($G146:Z146),0,AA146-MAX($G146:Z146)),0)</f>
        <v>0</v>
      </c>
      <c r="AB193" s="218">
        <f>ROUNDUP(IF(AB146&lt;=MAX($G146:AA146),0,AB146-MAX($G146:AA146)),0)</f>
        <v>0</v>
      </c>
      <c r="AC193" s="218">
        <f>ROUNDUP(IF(AC146&lt;=MAX($G146:AB146),0,AC146-MAX($G146:AB146)),0)</f>
        <v>0</v>
      </c>
    </row>
    <row r="194" spans="2:29">
      <c r="B194" s="168" t="str">
        <f t="shared" si="134"/>
        <v>Topsoil</v>
      </c>
      <c r="C194" s="165" t="str">
        <f t="shared" si="134"/>
        <v>Tipper/ 20t</v>
      </c>
      <c r="D194" s="171" t="s">
        <v>896</v>
      </c>
      <c r="E194" s="171"/>
      <c r="F194" s="174">
        <f t="shared" si="135"/>
        <v>0</v>
      </c>
      <c r="G194" s="218">
        <f>ROUNDUP(IF(G147&lt;=MAX($G147:G147),0,G147-MAX($G147:G147)),0)</f>
        <v>0</v>
      </c>
      <c r="H194" s="218">
        <f>ROUNDUP(IF(H147&lt;=MAX($G147:G147),0,H147-MAX($G147:G147)),0)</f>
        <v>0</v>
      </c>
      <c r="I194" s="218">
        <f>ROUNDUP(IF(I147&lt;=MAX($G147:H147),0,I147-MAX($G147:H147)),0)</f>
        <v>0</v>
      </c>
      <c r="J194" s="218">
        <f>ROUNDUP(IF(J147&lt;=MAX($G147:I147),0,J147-MAX($G147:I147)),0)</f>
        <v>0</v>
      </c>
      <c r="K194" s="218">
        <f>ROUNDUP(IF(K147&lt;=MAX($G147:J147),0,K147-MAX($G147:J147)),0)</f>
        <v>0</v>
      </c>
      <c r="L194" s="218">
        <f>ROUNDUP(IF(L147&lt;=MAX($G147:K147),0,L147-MAX($G147:K147)),0)</f>
        <v>0</v>
      </c>
      <c r="M194" s="218">
        <f>ROUNDUP(IF(M147&lt;=MAX($G147:L147),0,M147-MAX($G147:L147)),0)</f>
        <v>0</v>
      </c>
      <c r="N194" s="218">
        <f>ROUNDUP(IF(N147&lt;=MAX($G147:M147),0,N147-MAX($G147:M147)),0)</f>
        <v>0</v>
      </c>
      <c r="O194" s="218">
        <f>ROUNDUP(IF(O147&lt;=MAX($G147:N147),0,O147-MAX($G147:N147)),0)</f>
        <v>0</v>
      </c>
      <c r="P194" s="218">
        <f>ROUNDUP(IF(P147&lt;=MAX($G147:O147),0,P147-MAX($G147:O147)),0)</f>
        <v>0</v>
      </c>
      <c r="Q194" s="218">
        <f>ROUNDUP(IF(Q147&lt;=MAX($G147:P147),0,Q147-MAX($G147:P147)),0)</f>
        <v>0</v>
      </c>
      <c r="R194" s="218">
        <f>ROUNDUP(IF(R147&lt;=MAX($G147:Q147),0,R147-MAX($G147:Q147)),0)</f>
        <v>0</v>
      </c>
      <c r="S194" s="218">
        <f>ROUNDUP(IF(S147&lt;=MAX($G147:R147),0,S147-MAX($G147:R147)),0)</f>
        <v>0</v>
      </c>
      <c r="T194" s="218">
        <f>ROUNDUP(IF(T147&lt;=MAX($G147:S147),0,T147-MAX($G147:S147)),0)</f>
        <v>0</v>
      </c>
      <c r="U194" s="218">
        <f>ROUNDUP(IF(U147&lt;=MAX($G147:T147),0,U147-MAX($G147:T147)),0)</f>
        <v>0</v>
      </c>
      <c r="V194" s="218">
        <f>ROUNDUP(IF(V147&lt;=MAX($G147:U147),0,V147-MAX($G147:U147)),0)</f>
        <v>0</v>
      </c>
      <c r="W194" s="218">
        <f>ROUNDUP(IF(W147&lt;=MAX($G147:V147),0,W147-MAX($G147:V147)),0)</f>
        <v>0</v>
      </c>
      <c r="X194" s="218">
        <f>ROUNDUP(IF(X147&lt;=MAX($G147:W147),0,X147-MAX($G147:W147)),0)</f>
        <v>0</v>
      </c>
      <c r="Y194" s="218">
        <f>ROUNDUP(IF(Y147&lt;=MAX($G147:X147),0,Y147-MAX($G147:X147)),0)</f>
        <v>0</v>
      </c>
      <c r="Z194" s="218">
        <f>ROUNDUP(IF(Z147&lt;=MAX($G147:Y147),0,Z147-MAX($G147:Y147)),0)</f>
        <v>0</v>
      </c>
      <c r="AA194" s="218">
        <f>ROUNDUP(IF(AA147&lt;=MAX($G147:Z147),0,AA147-MAX($G147:Z147)),0)</f>
        <v>0</v>
      </c>
      <c r="AB194" s="218">
        <f>ROUNDUP(IF(AB147&lt;=MAX($G147:AA147),0,AB147-MAX($G147:AA147)),0)</f>
        <v>0</v>
      </c>
      <c r="AC194" s="218">
        <f>ROUNDUP(IF(AC147&lt;=MAX($G147:AB147),0,AC147-MAX($G147:AB147)),0)</f>
        <v>0</v>
      </c>
    </row>
    <row r="195" spans="2:29">
      <c r="B195" s="168" t="str">
        <f t="shared" si="134"/>
        <v>Thin  Parting + Rehandling</v>
      </c>
      <c r="C195" s="165" t="str">
        <f t="shared" si="134"/>
        <v>Tipper/ 35t</v>
      </c>
      <c r="D195" s="171" t="s">
        <v>896</v>
      </c>
      <c r="E195" s="171"/>
      <c r="F195" s="174">
        <f t="shared" si="135"/>
        <v>23</v>
      </c>
      <c r="G195" s="218">
        <f>ROUNDUP(IF(G148&lt;=MAX($G148:G148),0,G148-MAX($G148:G148)),0)</f>
        <v>0</v>
      </c>
      <c r="H195" s="218">
        <f>ROUNDUP(IF(H148&lt;=MAX($G148:G148),0,H148-MAX($G148:G148)),0)</f>
        <v>0</v>
      </c>
      <c r="I195" s="218">
        <f>ROUNDUP(IF(I148&lt;=MAX($G148:H148),0,I148-MAX($G148:H148)),0)</f>
        <v>0</v>
      </c>
      <c r="J195" s="218">
        <f>ROUNDUP(IF(J148&lt;=MAX($G148:I148),0,J148-MAX($G148:I148)),0)</f>
        <v>0</v>
      </c>
      <c r="K195" s="218">
        <f>ROUNDUP(IF(K148&lt;=MAX($G148:J148),0,K148-MAX($G148:J148)),0)</f>
        <v>0</v>
      </c>
      <c r="L195" s="218">
        <f>ROUNDUP(IF(L148&lt;=MAX($G148:K148),0,L148-MAX($G148:K148)),0)</f>
        <v>0</v>
      </c>
      <c r="M195" s="218">
        <f>ROUNDUP(IF(M148&lt;=MAX($G148:L148),0,M148-MAX($G148:L148)),0)</f>
        <v>0</v>
      </c>
      <c r="N195" s="218">
        <f>ROUNDUP(IF(N148&lt;=MAX($G148:M148),0,N148-MAX($G148:M148)),0)</f>
        <v>13</v>
      </c>
      <c r="O195" s="218">
        <f>ROUNDUP(IF(O148&lt;=MAX($G148:N148),0,O148-MAX($G148:N148)),0)</f>
        <v>1</v>
      </c>
      <c r="P195" s="218">
        <f>ROUNDUP(IF(P148&lt;=MAX($G148:O148),0,P148-MAX($G148:O148)),0)</f>
        <v>9</v>
      </c>
      <c r="Q195" s="218">
        <f>ROUNDUP(IF(Q148&lt;=MAX($G148:P148),0,Q148-MAX($G148:P148)),0)</f>
        <v>0</v>
      </c>
      <c r="R195" s="218">
        <f>ROUNDUP(IF(R148&lt;=MAX($G148:Q148),0,R148-MAX($G148:Q148)),0)</f>
        <v>0</v>
      </c>
      <c r="S195" s="218">
        <f>ROUNDUP(IF(S148&lt;=MAX($G148:R148),0,S148-MAX($G148:R148)),0)</f>
        <v>0</v>
      </c>
      <c r="T195" s="218">
        <f>ROUNDUP(IF(T148&lt;=MAX($G148:S148),0,T148-MAX($G148:S148)),0)</f>
        <v>0</v>
      </c>
      <c r="U195" s="709">
        <f>ROUNDUP(IF(U148&lt;=MAX($G148:T148),0,U148-MAX($G148:T148)),0)</f>
        <v>0</v>
      </c>
      <c r="V195" s="218">
        <f>ROUNDUP(IF(V148&lt;=MAX($G148:U148),0,V148-MAX($G148:U148)),0)</f>
        <v>0</v>
      </c>
      <c r="W195" s="218">
        <f>ROUNDUP(IF(W148&lt;=MAX($G148:V148),0,W148-MAX($G148:V148)),0)</f>
        <v>0</v>
      </c>
      <c r="X195" s="218">
        <f>ROUNDUP(IF(X148&lt;=MAX($G148:W148),0,X148-MAX($G148:W148)),0)</f>
        <v>0</v>
      </c>
      <c r="Y195" s="218">
        <f>ROUNDUP(IF(Y148&lt;=MAX($G148:X148),0,Y148-MAX($G148:X148)),0)</f>
        <v>0</v>
      </c>
      <c r="Z195" s="218">
        <f>ROUNDUP(IF(Z148&lt;=MAX($G148:Y148),0,Z148-MAX($G148:Y148)),0)</f>
        <v>0</v>
      </c>
      <c r="AA195" s="218">
        <f>ROUNDUP(IF(AA148&lt;=MAX($G148:Z148),0,AA148-MAX($G148:Z148)),0)</f>
        <v>0</v>
      </c>
      <c r="AB195" s="218">
        <f>ROUNDUP(IF(AB148&lt;=MAX($G148:AA148),0,AB148-MAX($G148:AA148)),0)</f>
        <v>0</v>
      </c>
      <c r="AC195" s="218">
        <f>ROUNDUP(IF(AC148&lt;=MAX($G148:AB148),0,AC148-MAX($G148:AB148)),0)</f>
        <v>0</v>
      </c>
    </row>
    <row r="196" spans="2:29">
      <c r="B196" s="168" t="str">
        <f t="shared" si="134"/>
        <v>Waste - OB &amp; Thick Parting</v>
      </c>
      <c r="C196" s="165" t="str">
        <f t="shared" si="134"/>
        <v>Dumper/ 100t</v>
      </c>
      <c r="D196" s="171" t="s">
        <v>896</v>
      </c>
      <c r="E196" s="171"/>
      <c r="F196" s="174">
        <f t="shared" si="135"/>
        <v>35</v>
      </c>
      <c r="G196" s="218">
        <f>ROUNDUP(IF(G149&lt;=MAX($G149:G149),0,G149-MAX($G149:G149)),0)</f>
        <v>0</v>
      </c>
      <c r="H196" s="218">
        <f>ROUNDUP(IF(H149&lt;=MAX($G149:G149),0,H149-MAX($G149:G149)),0)</f>
        <v>0</v>
      </c>
      <c r="I196" s="218">
        <f>ROUNDUP(IF(I149&lt;=MAX($G149:H149),0,I149-MAX($G149:H149)),0)</f>
        <v>0</v>
      </c>
      <c r="J196" s="218">
        <f>ROUNDUP(IF(J149&lt;=MAX($G149:I149),0,J149-MAX($G149:I149)),0)</f>
        <v>0</v>
      </c>
      <c r="K196" s="218">
        <f>ROUNDUP(IF(K149&lt;=MAX($G149:J149),0,K149-MAX($G149:J149)),0)</f>
        <v>0</v>
      </c>
      <c r="L196" s="218">
        <f>ROUNDUP(IF(L149&lt;=MAX($G149:K149),0,L149-MAX($G149:K149)),0)</f>
        <v>0</v>
      </c>
      <c r="M196" s="218">
        <f>ROUNDUP(IF(M149&lt;=MAX($G149:L149),0,M149-MAX($G149:L149)),0)</f>
        <v>0</v>
      </c>
      <c r="N196" s="218">
        <f>ROUNDUP(IF(N149&lt;=MAX($G149:M149),0,N149-MAX($G149:M149)),0)</f>
        <v>21</v>
      </c>
      <c r="O196" s="218">
        <f>ROUNDUP(IF(O149&lt;=MAX($G149:N149),0,O149-MAX($G149:N149)),0)</f>
        <v>1</v>
      </c>
      <c r="P196" s="218">
        <f>ROUNDUP(IF(P149&lt;=MAX($G149:O149),0,P149-MAX($G149:O149)),0)</f>
        <v>13</v>
      </c>
      <c r="Q196" s="218">
        <f>ROUNDUP(IF(Q149&lt;=MAX($G149:P149),0,Q149-MAX($G149:P149)),0)</f>
        <v>0</v>
      </c>
      <c r="R196" s="218">
        <f>ROUNDUP(IF(R149&lt;=MAX($G149:Q149),0,R149-MAX($G149:Q149)),0)</f>
        <v>0</v>
      </c>
      <c r="S196" s="218">
        <f>ROUNDUP(IF(S149&lt;=MAX($G149:R149),0,S149-MAX($G149:R149)),0)</f>
        <v>0</v>
      </c>
      <c r="T196" s="218">
        <f>ROUNDUP(IF(T149&lt;=MAX($G149:S149),0,T149-MAX($G149:S149)),0)</f>
        <v>0</v>
      </c>
      <c r="U196" s="218">
        <f>ROUNDUP(IF(U149&lt;=MAX($G149:T149),0,U149-MAX($G149:T149)),0)</f>
        <v>0</v>
      </c>
      <c r="V196" s="218">
        <f>ROUNDUP(IF(V149&lt;=MAX($G149:U149),0,V149-MAX($G149:U149)),0)</f>
        <v>0</v>
      </c>
      <c r="W196" s="218">
        <f>ROUNDUP(IF(W149&lt;=MAX($G149:V149),0,W149-MAX($G149:V149)),0)</f>
        <v>0</v>
      </c>
      <c r="X196" s="218">
        <f>ROUNDUP(IF(X149&lt;=MAX($G149:W149),0,X149-MAX($G149:W149)),0)</f>
        <v>0</v>
      </c>
      <c r="Y196" s="218">
        <f>ROUNDUP(IF(Y149&lt;=MAX($G149:X149),0,Y149-MAX($G149:X149)),0)</f>
        <v>0</v>
      </c>
      <c r="Z196" s="218">
        <f>ROUNDUP(IF(Z149&lt;=MAX($G149:Y149),0,Z149-MAX($G149:Y149)),0)</f>
        <v>0</v>
      </c>
      <c r="AA196" s="218">
        <f>ROUNDUP(IF(AA149&lt;=MAX($G149:Z149),0,AA149-MAX($G149:Z149)),0)</f>
        <v>0</v>
      </c>
      <c r="AB196" s="218">
        <f>ROUNDUP(IF(AB149&lt;=MAX($G149:AA149),0,AB149-MAX($G149:AA149)),0)</f>
        <v>0</v>
      </c>
      <c r="AC196" s="218">
        <f>ROUNDUP(IF(AC149&lt;=MAX($G149:AB149),0,AC149-MAX($G149:AB149)),0)</f>
        <v>0</v>
      </c>
    </row>
    <row r="197" spans="2:29">
      <c r="B197" s="168" t="str">
        <f t="shared" si="134"/>
        <v>Coal/Ore</v>
      </c>
      <c r="C197" s="165" t="str">
        <f t="shared" ref="C197:C225" si="136">C150</f>
        <v>Dumper/ 40t</v>
      </c>
      <c r="D197" s="171" t="s">
        <v>896</v>
      </c>
      <c r="E197" s="171"/>
      <c r="F197" s="174">
        <f t="shared" si="135"/>
        <v>40</v>
      </c>
      <c r="G197" s="218">
        <f>ROUNDUP(IF(G150&lt;=MAX($G150:G150),0,G150-MAX($G150:G150)),0)</f>
        <v>0</v>
      </c>
      <c r="H197" s="218">
        <f>ROUNDUP(IF(H150&lt;=MAX($G150:G150),0,H150-MAX($G150:G150)),0)</f>
        <v>0</v>
      </c>
      <c r="I197" s="218">
        <f>ROUNDUP(IF(I150&lt;=MAX($G150:H150),0,I150-MAX($G150:H150)),0)</f>
        <v>0</v>
      </c>
      <c r="J197" s="218">
        <f>ROUNDUP(IF(J150&lt;=MAX($G150:I150),0,J150-MAX($G150:I150)),0)</f>
        <v>0</v>
      </c>
      <c r="K197" s="218">
        <f>ROUNDUP(IF(K150&lt;=MAX($G150:J150),0,K150-MAX($G150:J150)),0)</f>
        <v>3</v>
      </c>
      <c r="L197" s="218">
        <f>ROUNDUP(IF(L150&lt;=MAX($G150:K150),0,L150-MAX($G150:K150)),0)</f>
        <v>3</v>
      </c>
      <c r="M197" s="218">
        <f>ROUNDUP(IF(M150&lt;=MAX($G150:L150),0,M150-MAX($G150:L150)),0)</f>
        <v>6</v>
      </c>
      <c r="N197" s="218">
        <f>ROUNDUP(IF(N150&lt;=MAX($G150:M150),0,N150-MAX($G150:M150)),0)</f>
        <v>9</v>
      </c>
      <c r="O197" s="218">
        <f>ROUNDUP(IF(O150&lt;=MAX($G150:N150),0,O150-MAX($G150:N150)),0)</f>
        <v>6</v>
      </c>
      <c r="P197" s="218">
        <f>ROUNDUP(IF(P150&lt;=MAX($G150:O150),0,P150-MAX($G150:O150)),0)</f>
        <v>1</v>
      </c>
      <c r="Q197" s="218">
        <f>ROUNDUP(IF(Q150&lt;=MAX($G150:P150),0,Q150-MAX($G150:P150)),0)</f>
        <v>2</v>
      </c>
      <c r="R197" s="218">
        <f>ROUNDUP(IF(R150&lt;=MAX($G150:Q150),0,R150-MAX($G150:Q150)),0)</f>
        <v>1</v>
      </c>
      <c r="S197" s="218">
        <f>ROUNDUP(IF(S150&lt;=MAX($G150:R150),0,S150-MAX($G150:R150)),0)</f>
        <v>1</v>
      </c>
      <c r="T197" s="218">
        <f>ROUNDUP(IF(T150&lt;=MAX($G150:S150),0,T150-MAX($G150:S150)),0)</f>
        <v>1</v>
      </c>
      <c r="U197" s="218">
        <f>ROUNDUP(IF(U150&lt;=MAX($G150:T150),0,U150-MAX($G150:T150)),0)</f>
        <v>2</v>
      </c>
      <c r="V197" s="218">
        <f>ROUNDUP(IF(V150&lt;=MAX($G150:U150),0,V150-MAX($G150:U150)),0)</f>
        <v>0</v>
      </c>
      <c r="W197" s="218">
        <f>ROUNDUP(IF(W150&lt;=MAX($G150:V150),0,W150-MAX($G150:V150)),0)</f>
        <v>2</v>
      </c>
      <c r="X197" s="218">
        <f>ROUNDUP(IF(X150&lt;=MAX($G150:W150),0,X150-MAX($G150:W150)),0)</f>
        <v>1</v>
      </c>
      <c r="Y197" s="218">
        <f>ROUNDUP(IF(Y150&lt;=MAX($G150:X150),0,Y150-MAX($G150:X150)),0)</f>
        <v>2</v>
      </c>
      <c r="Z197" s="218">
        <f>ROUNDUP(IF(Z150&lt;=MAX($G150:Y150),0,Z150-MAX($G150:Y150)),0)</f>
        <v>0</v>
      </c>
      <c r="AA197" s="218">
        <f>ROUNDUP(IF(AA150&lt;=MAX($G150:Z150),0,AA150-MAX($G150:Z150)),0)</f>
        <v>0</v>
      </c>
      <c r="AB197" s="218">
        <f>ROUNDUP(IF(AB150&lt;=MAX($G150:AA150),0,AB150-MAX($G150:AA150)),0)</f>
        <v>0</v>
      </c>
      <c r="AC197" s="218">
        <f>ROUNDUP(IF(AC150&lt;=MAX($G150:AB150),0,AC150-MAX($G150:AB150)),0)</f>
        <v>0</v>
      </c>
    </row>
    <row r="198" spans="2:29">
      <c r="B198" s="168" t="str">
        <f t="shared" si="134"/>
        <v/>
      </c>
      <c r="C198" s="165" t="str">
        <f t="shared" si="136"/>
        <v>Track Dozer/ 405 HP</v>
      </c>
      <c r="D198" s="171" t="s">
        <v>896</v>
      </c>
      <c r="E198" s="171"/>
      <c r="F198" s="174">
        <f t="shared" ref="F198:F224" si="137">SUM(G198:AC198)</f>
        <v>6</v>
      </c>
      <c r="G198" s="218">
        <f>ROUNDUP(IF(G151&lt;=MAX($G151:G151),0,G151-MAX($G151:G151)),0)</f>
        <v>0</v>
      </c>
      <c r="H198" s="218">
        <f>ROUNDUP(IF(H151&lt;=MAX($G151:G151),0,H151-MAX($G151:G151)),0)</f>
        <v>0</v>
      </c>
      <c r="I198" s="218">
        <f>ROUNDUP(IF(I151&lt;=MAX($G151:H151),0,I151-MAX($G151:H151)),0)</f>
        <v>0</v>
      </c>
      <c r="J198" s="218">
        <f>ROUNDUP(IF(J151&lt;=MAX($G151:I151),0,J151-MAX($G151:I151)),0)</f>
        <v>0</v>
      </c>
      <c r="K198" s="218">
        <f>ROUNDUP(IF(K151&lt;=MAX($G151:J151),0,K151-MAX($G151:J151)),0)</f>
        <v>1</v>
      </c>
      <c r="L198" s="218">
        <f>ROUNDUP(IF(L151&lt;=MAX($G151:K151),0,L151-MAX($G151:K151)),0)</f>
        <v>1</v>
      </c>
      <c r="M198" s="218">
        <f>ROUNDUP(IF(M151&lt;=MAX($G151:L151),0,M151-MAX($G151:L151)),0)</f>
        <v>2</v>
      </c>
      <c r="N198" s="218">
        <f>ROUNDUP(IF(N151&lt;=MAX($G151:M151),0,N151-MAX($G151:M151)),0)</f>
        <v>1</v>
      </c>
      <c r="O198" s="218">
        <f>ROUNDUP(IF(O151&lt;=MAX($G151:N151),0,O151-MAX($G151:N151)),0)</f>
        <v>1</v>
      </c>
      <c r="P198" s="218">
        <f>ROUNDUP(IF(P151&lt;=MAX($G151:O151),0,P151-MAX($G151:O151)),0)</f>
        <v>0</v>
      </c>
      <c r="Q198" s="218">
        <f>ROUNDUP(IF(Q151&lt;=MAX($G151:P151),0,Q151-MAX($G151:P151)),0)</f>
        <v>0</v>
      </c>
      <c r="R198" s="218">
        <f>ROUNDUP(IF(R151&lt;=MAX($G151:Q151),0,R151-MAX($G151:Q151)),0)</f>
        <v>0</v>
      </c>
      <c r="S198" s="218">
        <f>ROUNDUP(IF(S151&lt;=MAX($G151:R151),0,S151-MAX($G151:R151)),0)</f>
        <v>0</v>
      </c>
      <c r="T198" s="218">
        <f>ROUNDUP(IF(T151&lt;=MAX($G151:S151),0,T151-MAX($G151:S151)),0)</f>
        <v>0</v>
      </c>
      <c r="U198" s="218">
        <f>ROUNDUP(IF(U151&lt;=MAX($G151:T151),0,U151-MAX($G151:T151)),0)</f>
        <v>0</v>
      </c>
      <c r="V198" s="218">
        <f>ROUNDUP(IF(V151&lt;=MAX($G151:U151),0,V151-MAX($G151:U151)),0)</f>
        <v>0</v>
      </c>
      <c r="W198" s="218">
        <f>ROUNDUP(IF(W151&lt;=MAX($G151:V151),0,W151-MAX($G151:V151)),0)</f>
        <v>0</v>
      </c>
      <c r="X198" s="218">
        <f>ROUNDUP(IF(X151&lt;=MAX($G151:W151),0,X151-MAX($G151:W151)),0)</f>
        <v>0</v>
      </c>
      <c r="Y198" s="218">
        <f>ROUNDUP(IF(Y151&lt;=MAX($G151:X151),0,Y151-MAX($G151:X151)),0)</f>
        <v>0</v>
      </c>
      <c r="Z198" s="218">
        <f>ROUNDUP(IF(Z151&lt;=MAX($G151:Y151),0,Z151-MAX($G151:Y151)),0)</f>
        <v>0</v>
      </c>
      <c r="AA198" s="218">
        <f>ROUNDUP(IF(AA151&lt;=MAX($G151:Z151),0,AA151-MAX($G151:Z151)),0)</f>
        <v>0</v>
      </c>
      <c r="AB198" s="218">
        <f>ROUNDUP(IF(AB151&lt;=MAX($G151:AA151),0,AB151-MAX($G151:AA151)),0)</f>
        <v>0</v>
      </c>
      <c r="AC198" s="218">
        <f>ROUNDUP(IF(AC151&lt;=MAX($G151:AB151),0,AC151-MAX($G151:AB151)),0)</f>
        <v>0</v>
      </c>
    </row>
    <row r="199" spans="2:29">
      <c r="B199" s="168" t="str">
        <f t="shared" ref="B199:B225" si="138">B152</f>
        <v/>
      </c>
      <c r="C199" s="165" t="str">
        <f t="shared" si="136"/>
        <v>Wheel Dozer</v>
      </c>
      <c r="D199" s="171" t="s">
        <v>896</v>
      </c>
      <c r="E199" s="171"/>
      <c r="F199" s="174">
        <f t="shared" si="137"/>
        <v>2</v>
      </c>
      <c r="G199" s="218">
        <f>ROUNDUP(IF(G152&lt;=MAX($G152:G152),0,G152-MAX($G152:G152)),0)</f>
        <v>0</v>
      </c>
      <c r="H199" s="218">
        <f>ROUNDUP(IF(H152&lt;=MAX($G152:G152),0,H152-MAX($G152:G152)),0)</f>
        <v>0</v>
      </c>
      <c r="I199" s="218">
        <f>ROUNDUP(IF(I152&lt;=MAX($G152:H152),0,I152-MAX($G152:H152)),0)</f>
        <v>0</v>
      </c>
      <c r="J199" s="218">
        <f>ROUNDUP(IF(J152&lt;=MAX($G152:I152),0,J152-MAX($G152:I152)),0)</f>
        <v>0</v>
      </c>
      <c r="K199" s="218">
        <f>ROUNDUP(IF(K152&lt;=MAX($G152:J152),0,K152-MAX($G152:J152)),0)</f>
        <v>1</v>
      </c>
      <c r="L199" s="218">
        <f>ROUNDUP(IF(L152&lt;=MAX($G152:K152),0,L152-MAX($G152:K152)),0)</f>
        <v>0</v>
      </c>
      <c r="M199" s="218">
        <f>ROUNDUP(IF(M152&lt;=MAX($G152:L152),0,M152-MAX($G152:L152)),0)</f>
        <v>1</v>
      </c>
      <c r="N199" s="218">
        <f>ROUNDUP(IF(N152&lt;=MAX($G152:M152),0,N152-MAX($G152:M152)),0)</f>
        <v>0</v>
      </c>
      <c r="O199" s="218">
        <f>ROUNDUP(IF(O152&lt;=MAX($G152:N152),0,O152-MAX($G152:N152)),0)</f>
        <v>0</v>
      </c>
      <c r="P199" s="218">
        <f>ROUNDUP(IF(P152&lt;=MAX($G152:O152),0,P152-MAX($G152:O152)),0)</f>
        <v>0</v>
      </c>
      <c r="Q199" s="218">
        <f>ROUNDUP(IF(Q152&lt;=MAX($G152:P152),0,Q152-MAX($G152:P152)),0)</f>
        <v>0</v>
      </c>
      <c r="R199" s="218">
        <f>ROUNDUP(IF(R152&lt;=MAX($G152:Q152),0,R152-MAX($G152:Q152)),0)</f>
        <v>0</v>
      </c>
      <c r="S199" s="218">
        <f>ROUNDUP(IF(S152&lt;=MAX($G152:R152),0,S152-MAX($G152:R152)),0)</f>
        <v>0</v>
      </c>
      <c r="T199" s="218">
        <f>ROUNDUP(IF(T152&lt;=MAX($G152:S152),0,T152-MAX($G152:S152)),0)</f>
        <v>0</v>
      </c>
      <c r="U199" s="218">
        <f>ROUNDUP(IF(U152&lt;=MAX($G152:T152),0,U152-MAX($G152:T152)),0)</f>
        <v>0</v>
      </c>
      <c r="V199" s="218">
        <f>ROUNDUP(IF(V152&lt;=MAX($G152:U152),0,V152-MAX($G152:U152)),0)</f>
        <v>0</v>
      </c>
      <c r="W199" s="218">
        <f>ROUNDUP(IF(W152&lt;=MAX($G152:V152),0,W152-MAX($G152:V152)),0)</f>
        <v>0</v>
      </c>
      <c r="X199" s="218">
        <f>ROUNDUP(IF(X152&lt;=MAX($G152:W152),0,X152-MAX($G152:W152)),0)</f>
        <v>0</v>
      </c>
      <c r="Y199" s="218">
        <f>ROUNDUP(IF(Y152&lt;=MAX($G152:X152),0,Y152-MAX($G152:X152)),0)</f>
        <v>0</v>
      </c>
      <c r="Z199" s="218">
        <f>ROUNDUP(IF(Z152&lt;=MAX($G152:Y152),0,Z152-MAX($G152:Y152)),0)</f>
        <v>0</v>
      </c>
      <c r="AA199" s="218">
        <f>ROUNDUP(IF(AA152&lt;=MAX($G152:Z152),0,AA152-MAX($G152:Z152)),0)</f>
        <v>0</v>
      </c>
      <c r="AB199" s="218">
        <f>ROUNDUP(IF(AB152&lt;=MAX($G152:AA152),0,AB152-MAX($G152:AA152)),0)</f>
        <v>0</v>
      </c>
      <c r="AC199" s="218">
        <f>ROUNDUP(IF(AC152&lt;=MAX($G152:AB152),0,AC152-MAX($G152:AB152)),0)</f>
        <v>0</v>
      </c>
    </row>
    <row r="200" spans="2:29">
      <c r="B200" s="168" t="str">
        <f t="shared" si="138"/>
        <v/>
      </c>
      <c r="C200" s="165" t="str">
        <f t="shared" si="136"/>
        <v>Ripper Dozer/ 450TPH</v>
      </c>
      <c r="D200" s="171" t="s">
        <v>896</v>
      </c>
      <c r="E200" s="171"/>
      <c r="F200" s="174">
        <f t="shared" si="137"/>
        <v>2</v>
      </c>
      <c r="G200" s="218">
        <f>ROUNDUP(IF(G153&lt;=MAX($G153:G153),0,G153-MAX($G153:G153)),0)</f>
        <v>0</v>
      </c>
      <c r="H200" s="218">
        <f>ROUNDUP(IF(H153&lt;=MAX($G153:G153),0,H153-MAX($G153:G153)),0)</f>
        <v>0</v>
      </c>
      <c r="I200" s="218">
        <f>ROUNDUP(IF(I153&lt;=MAX($G153:H153),0,I153-MAX($G153:H153)),0)</f>
        <v>0</v>
      </c>
      <c r="J200" s="218">
        <f>ROUNDUP(IF(J153&lt;=MAX($G153:I153),0,J153-MAX($G153:I153)),0)</f>
        <v>0</v>
      </c>
      <c r="K200" s="218">
        <f>ROUNDUP(IF(K153&lt;=MAX($G153:J153),0,K153-MAX($G153:J153)),0)</f>
        <v>1</v>
      </c>
      <c r="L200" s="218">
        <f>ROUNDUP(IF(L153&lt;=MAX($G153:K153),0,L153-MAX($G153:K153)),0)</f>
        <v>0</v>
      </c>
      <c r="M200" s="218">
        <f>ROUNDUP(IF(M153&lt;=MAX($G153:L153),0,M153-MAX($G153:L153)),0)</f>
        <v>1</v>
      </c>
      <c r="N200" s="218">
        <f>ROUNDUP(IF(N153&lt;=MAX($G153:M153),0,N153-MAX($G153:M153)),0)</f>
        <v>0</v>
      </c>
      <c r="O200" s="218">
        <f>ROUNDUP(IF(O153&lt;=MAX($G153:N153),0,O153-MAX($G153:N153)),0)</f>
        <v>0</v>
      </c>
      <c r="P200" s="218">
        <f>ROUNDUP(IF(P153&lt;=MAX($G153:O153),0,P153-MAX($G153:O153)),0)</f>
        <v>0</v>
      </c>
      <c r="Q200" s="218">
        <f>ROUNDUP(IF(Q153&lt;=MAX($G153:P153),0,Q153-MAX($G153:P153)),0)</f>
        <v>0</v>
      </c>
      <c r="R200" s="218">
        <f>ROUNDUP(IF(R153&lt;=MAX($G153:Q153),0,R153-MAX($G153:Q153)),0)</f>
        <v>0</v>
      </c>
      <c r="S200" s="218">
        <f>ROUNDUP(IF(S153&lt;=MAX($G153:R153),0,S153-MAX($G153:R153)),0)</f>
        <v>0</v>
      </c>
      <c r="T200" s="218">
        <f>ROUNDUP(IF(T153&lt;=MAX($G153:S153),0,T153-MAX($G153:S153)),0)</f>
        <v>0</v>
      </c>
      <c r="U200" s="218">
        <f>ROUNDUP(IF(U153&lt;=MAX($G153:T153),0,U153-MAX($G153:T153)),0)</f>
        <v>0</v>
      </c>
      <c r="V200" s="218">
        <f>ROUNDUP(IF(V153&lt;=MAX($G153:U153),0,V153-MAX($G153:U153)),0)</f>
        <v>0</v>
      </c>
      <c r="W200" s="218">
        <f>ROUNDUP(IF(W153&lt;=MAX($G153:V153),0,W153-MAX($G153:V153)),0)</f>
        <v>0</v>
      </c>
      <c r="X200" s="218">
        <f>ROUNDUP(IF(X153&lt;=MAX($G153:W153),0,X153-MAX($G153:W153)),0)</f>
        <v>0</v>
      </c>
      <c r="Y200" s="218">
        <f>ROUNDUP(IF(Y153&lt;=MAX($G153:X153),0,Y153-MAX($G153:X153)),0)</f>
        <v>0</v>
      </c>
      <c r="Z200" s="218">
        <f>ROUNDUP(IF(Z153&lt;=MAX($G153:Y153),0,Z153-MAX($G153:Y153)),0)</f>
        <v>0</v>
      </c>
      <c r="AA200" s="218">
        <f>ROUNDUP(IF(AA153&lt;=MAX($G153:Z153),0,AA153-MAX($G153:Z153)),0)</f>
        <v>0</v>
      </c>
      <c r="AB200" s="218">
        <f>ROUNDUP(IF(AB153&lt;=MAX($G153:AA153),0,AB153-MAX($G153:AA153)),0)</f>
        <v>0</v>
      </c>
      <c r="AC200" s="218">
        <f>ROUNDUP(IF(AC153&lt;=MAX($G153:AB153),0,AC153-MAX($G153:AB153)),0)</f>
        <v>0</v>
      </c>
    </row>
    <row r="201" spans="2:29">
      <c r="B201" s="168" t="str">
        <f t="shared" si="138"/>
        <v/>
      </c>
      <c r="C201" s="165" t="str">
        <f t="shared" si="136"/>
        <v>Track Dozer/ 192 HP</v>
      </c>
      <c r="D201" s="171" t="s">
        <v>896</v>
      </c>
      <c r="E201" s="171"/>
      <c r="F201" s="174">
        <f t="shared" si="137"/>
        <v>2</v>
      </c>
      <c r="G201" s="218">
        <f>ROUNDUP(IF(G154&lt;=MAX($G154:G154),0,G154-MAX($G154:G154)),0)</f>
        <v>0</v>
      </c>
      <c r="H201" s="218">
        <f>ROUNDUP(IF(H154&lt;=MAX($G154:G154),0,H154-MAX($G154:G154)),0)</f>
        <v>0</v>
      </c>
      <c r="I201" s="218">
        <f>ROUNDUP(IF(I154&lt;=MAX($G154:H154),0,I154-MAX($G154:H154)),0)</f>
        <v>0</v>
      </c>
      <c r="J201" s="218">
        <f>ROUNDUP(IF(J154&lt;=MAX($G154:I154),0,J154-MAX($G154:I154)),0)</f>
        <v>0</v>
      </c>
      <c r="K201" s="218">
        <f>ROUNDUP(IF(K154&lt;=MAX($G154:J154),0,K154-MAX($G154:J154)),0)</f>
        <v>1</v>
      </c>
      <c r="L201" s="218">
        <f>ROUNDUP(IF(L154&lt;=MAX($G154:K154),0,L154-MAX($G154:K154)),0)</f>
        <v>0</v>
      </c>
      <c r="M201" s="218">
        <f>ROUNDUP(IF(M154&lt;=MAX($G154:L154),0,M154-MAX($G154:L154)),0)</f>
        <v>1</v>
      </c>
      <c r="N201" s="218">
        <f>ROUNDUP(IF(N154&lt;=MAX($G154:M154),0,N154-MAX($G154:M154)),0)</f>
        <v>0</v>
      </c>
      <c r="O201" s="218">
        <f>ROUNDUP(IF(O154&lt;=MAX($G154:N154),0,O154-MAX($G154:N154)),0)</f>
        <v>0</v>
      </c>
      <c r="P201" s="218">
        <f>ROUNDUP(IF(P154&lt;=MAX($G154:O154),0,P154-MAX($G154:O154)),0)</f>
        <v>0</v>
      </c>
      <c r="Q201" s="218">
        <f>ROUNDUP(IF(Q154&lt;=MAX($G154:P154),0,Q154-MAX($G154:P154)),0)</f>
        <v>0</v>
      </c>
      <c r="R201" s="218">
        <f>ROUNDUP(IF(R154&lt;=MAX($G154:Q154),0,R154-MAX($G154:Q154)),0)</f>
        <v>0</v>
      </c>
      <c r="S201" s="218">
        <f>ROUNDUP(IF(S154&lt;=MAX($G154:R154),0,S154-MAX($G154:R154)),0)</f>
        <v>0</v>
      </c>
      <c r="T201" s="218">
        <f>ROUNDUP(IF(T154&lt;=MAX($G154:S154),0,T154-MAX($G154:S154)),0)</f>
        <v>0</v>
      </c>
      <c r="U201" s="218">
        <f>ROUNDUP(IF(U154&lt;=MAX($G154:T154),0,U154-MAX($G154:T154)),0)</f>
        <v>0</v>
      </c>
      <c r="V201" s="218">
        <f>ROUNDUP(IF(V154&lt;=MAX($G154:U154),0,V154-MAX($G154:U154)),0)</f>
        <v>0</v>
      </c>
      <c r="W201" s="218">
        <f>ROUNDUP(IF(W154&lt;=MAX($G154:V154),0,W154-MAX($G154:V154)),0)</f>
        <v>0</v>
      </c>
      <c r="X201" s="218">
        <f>ROUNDUP(IF(X154&lt;=MAX($G154:W154),0,X154-MAX($G154:W154)),0)</f>
        <v>0</v>
      </c>
      <c r="Y201" s="218">
        <f>ROUNDUP(IF(Y154&lt;=MAX($G154:X154),0,Y154-MAX($G154:X154)),0)</f>
        <v>0</v>
      </c>
      <c r="Z201" s="218">
        <f>ROUNDUP(IF(Z154&lt;=MAX($G154:Y154),0,Z154-MAX($G154:Y154)),0)</f>
        <v>0</v>
      </c>
      <c r="AA201" s="218">
        <f>ROUNDUP(IF(AA154&lt;=MAX($G154:Z154),0,AA154-MAX($G154:Z154)),0)</f>
        <v>0</v>
      </c>
      <c r="AB201" s="218">
        <f>ROUNDUP(IF(AB154&lt;=MAX($G154:AA154),0,AB154-MAX($G154:AA154)),0)</f>
        <v>0</v>
      </c>
      <c r="AC201" s="218">
        <f>ROUNDUP(IF(AC154&lt;=MAX($G154:AB154),0,AC154-MAX($G154:AB154)),0)</f>
        <v>0</v>
      </c>
    </row>
    <row r="202" spans="2:29">
      <c r="B202" s="168" t="str">
        <f t="shared" si="138"/>
        <v/>
      </c>
      <c r="C202" s="165" t="str">
        <f t="shared" si="136"/>
        <v>Motor Grader/ 290 - 348 HP</v>
      </c>
      <c r="D202" s="171" t="s">
        <v>896</v>
      </c>
      <c r="E202" s="171"/>
      <c r="F202" s="174">
        <f t="shared" si="137"/>
        <v>2</v>
      </c>
      <c r="G202" s="218">
        <f>ROUNDUP(IF(G155&lt;=MAX($G155:G155),0,G155-MAX($G155:G155)),0)</f>
        <v>0</v>
      </c>
      <c r="H202" s="218">
        <f>ROUNDUP(IF(H155&lt;=MAX($G155:G155),0,H155-MAX($G155:G155)),0)</f>
        <v>0</v>
      </c>
      <c r="I202" s="218">
        <f>ROUNDUP(IF(I155&lt;=MAX($G155:H155),0,I155-MAX($G155:H155)),0)</f>
        <v>0</v>
      </c>
      <c r="J202" s="218">
        <f>ROUNDUP(IF(J155&lt;=MAX($G155:I155),0,J155-MAX($G155:I155)),0)</f>
        <v>0</v>
      </c>
      <c r="K202" s="218">
        <f>ROUNDUP(IF(K155&lt;=MAX($G155:J155),0,K155-MAX($G155:J155)),0)</f>
        <v>1</v>
      </c>
      <c r="L202" s="218">
        <f>ROUNDUP(IF(L155&lt;=MAX($G155:K155),0,L155-MAX($G155:K155)),0)</f>
        <v>0</v>
      </c>
      <c r="M202" s="218">
        <f>ROUNDUP(IF(M155&lt;=MAX($G155:L155),0,M155-MAX($G155:L155)),0)</f>
        <v>1</v>
      </c>
      <c r="N202" s="218">
        <f>ROUNDUP(IF(N155&lt;=MAX($G155:M155),0,N155-MAX($G155:M155)),0)</f>
        <v>0</v>
      </c>
      <c r="O202" s="218">
        <f>ROUNDUP(IF(O155&lt;=MAX($G155:N155),0,O155-MAX($G155:N155)),0)</f>
        <v>0</v>
      </c>
      <c r="P202" s="218">
        <f>ROUNDUP(IF(P155&lt;=MAX($G155:O155),0,P155-MAX($G155:O155)),0)</f>
        <v>0</v>
      </c>
      <c r="Q202" s="218">
        <f>ROUNDUP(IF(Q155&lt;=MAX($G155:P155),0,Q155-MAX($G155:P155)),0)</f>
        <v>0</v>
      </c>
      <c r="R202" s="218">
        <f>ROUNDUP(IF(R155&lt;=MAX($G155:Q155),0,R155-MAX($G155:Q155)),0)</f>
        <v>0</v>
      </c>
      <c r="S202" s="218">
        <f>ROUNDUP(IF(S155&lt;=MAX($G155:R155),0,S155-MAX($G155:R155)),0)</f>
        <v>0</v>
      </c>
      <c r="T202" s="218">
        <f>ROUNDUP(IF(T155&lt;=MAX($G155:S155),0,T155-MAX($G155:S155)),0)</f>
        <v>0</v>
      </c>
      <c r="U202" s="218">
        <f>ROUNDUP(IF(U155&lt;=MAX($G155:T155),0,U155-MAX($G155:T155)),0)</f>
        <v>0</v>
      </c>
      <c r="V202" s="218">
        <f>ROUNDUP(IF(V155&lt;=MAX($G155:U155),0,V155-MAX($G155:U155)),0)</f>
        <v>0</v>
      </c>
      <c r="W202" s="218">
        <f>ROUNDUP(IF(W155&lt;=MAX($G155:V155),0,W155-MAX($G155:V155)),0)</f>
        <v>0</v>
      </c>
      <c r="X202" s="218">
        <f>ROUNDUP(IF(X155&lt;=MAX($G155:W155),0,X155-MAX($G155:W155)),0)</f>
        <v>0</v>
      </c>
      <c r="Y202" s="218">
        <f>ROUNDUP(IF(Y155&lt;=MAX($G155:X155),0,Y155-MAX($G155:X155)),0)</f>
        <v>0</v>
      </c>
      <c r="Z202" s="218">
        <f>ROUNDUP(IF(Z155&lt;=MAX($G155:Y155),0,Z155-MAX($G155:Y155)),0)</f>
        <v>0</v>
      </c>
      <c r="AA202" s="218">
        <f>ROUNDUP(IF(AA155&lt;=MAX($G155:Z155),0,AA155-MAX($G155:Z155)),0)</f>
        <v>0</v>
      </c>
      <c r="AB202" s="218">
        <f>ROUNDUP(IF(AB155&lt;=MAX($G155:AA155),0,AB155-MAX($G155:AA155)),0)</f>
        <v>0</v>
      </c>
      <c r="AC202" s="218">
        <f>ROUNDUP(IF(AC155&lt;=MAX($G155:AB155),0,AC155-MAX($G155:AB155)),0)</f>
        <v>0</v>
      </c>
    </row>
    <row r="203" spans="2:29">
      <c r="B203" s="168" t="str">
        <f t="shared" si="138"/>
        <v/>
      </c>
      <c r="C203" s="165" t="str">
        <f t="shared" si="136"/>
        <v>Motor Grader/ 145 HP</v>
      </c>
      <c r="D203" s="171" t="s">
        <v>896</v>
      </c>
      <c r="E203" s="171"/>
      <c r="F203" s="174">
        <f t="shared" si="137"/>
        <v>2</v>
      </c>
      <c r="G203" s="218">
        <f>ROUNDUP(IF(G156&lt;=MAX($G156:G156),0,G156-MAX($G156:G156)),0)</f>
        <v>0</v>
      </c>
      <c r="H203" s="218">
        <f>ROUNDUP(IF(H156&lt;=MAX($G156:G156),0,H156-MAX($G156:G156)),0)</f>
        <v>0</v>
      </c>
      <c r="I203" s="218">
        <f>ROUNDUP(IF(I156&lt;=MAX($G156:H156),0,I156-MAX($G156:H156)),0)</f>
        <v>0</v>
      </c>
      <c r="J203" s="218">
        <f>ROUNDUP(IF(J156&lt;=MAX($G156:I156),0,J156-MAX($G156:I156)),0)</f>
        <v>0</v>
      </c>
      <c r="K203" s="218">
        <f>ROUNDUP(IF(K156&lt;=MAX($G156:J156),0,K156-MAX($G156:J156)),0)</f>
        <v>1</v>
      </c>
      <c r="L203" s="218">
        <f>ROUNDUP(IF(L156&lt;=MAX($G156:K156),0,L156-MAX($G156:K156)),0)</f>
        <v>0</v>
      </c>
      <c r="M203" s="218">
        <f>ROUNDUP(IF(M156&lt;=MAX($G156:L156),0,M156-MAX($G156:L156)),0)</f>
        <v>1</v>
      </c>
      <c r="N203" s="218">
        <f>ROUNDUP(IF(N156&lt;=MAX($G156:M156),0,N156-MAX($G156:M156)),0)</f>
        <v>0</v>
      </c>
      <c r="O203" s="218">
        <f>ROUNDUP(IF(O156&lt;=MAX($G156:N156),0,O156-MAX($G156:N156)),0)</f>
        <v>0</v>
      </c>
      <c r="P203" s="218">
        <f>ROUNDUP(IF(P156&lt;=MAX($G156:O156),0,P156-MAX($G156:O156)),0)</f>
        <v>0</v>
      </c>
      <c r="Q203" s="218">
        <f>ROUNDUP(IF(Q156&lt;=MAX($G156:P156),0,Q156-MAX($G156:P156)),0)</f>
        <v>0</v>
      </c>
      <c r="R203" s="218">
        <f>ROUNDUP(IF(R156&lt;=MAX($G156:Q156),0,R156-MAX($G156:Q156)),0)</f>
        <v>0</v>
      </c>
      <c r="S203" s="218">
        <f>ROUNDUP(IF(S156&lt;=MAX($G156:R156),0,S156-MAX($G156:R156)),0)</f>
        <v>0</v>
      </c>
      <c r="T203" s="218">
        <f>ROUNDUP(IF(T156&lt;=MAX($G156:S156),0,T156-MAX($G156:S156)),0)</f>
        <v>0</v>
      </c>
      <c r="U203" s="218">
        <f>ROUNDUP(IF(U156&lt;=MAX($G156:T156),0,U156-MAX($G156:T156)),0)</f>
        <v>0</v>
      </c>
      <c r="V203" s="218">
        <f>ROUNDUP(IF(V156&lt;=MAX($G156:U156),0,V156-MAX($G156:U156)),0)</f>
        <v>0</v>
      </c>
      <c r="W203" s="218">
        <f>ROUNDUP(IF(W156&lt;=MAX($G156:V156),0,W156-MAX($G156:V156)),0)</f>
        <v>0</v>
      </c>
      <c r="X203" s="218">
        <f>ROUNDUP(IF(X156&lt;=MAX($G156:W156),0,X156-MAX($G156:W156)),0)</f>
        <v>0</v>
      </c>
      <c r="Y203" s="218">
        <f>ROUNDUP(IF(Y156&lt;=MAX($G156:X156),0,Y156-MAX($G156:X156)),0)</f>
        <v>0</v>
      </c>
      <c r="Z203" s="218">
        <f>ROUNDUP(IF(Z156&lt;=MAX($G156:Y156),0,Z156-MAX($G156:Y156)),0)</f>
        <v>0</v>
      </c>
      <c r="AA203" s="218">
        <f>ROUNDUP(IF(AA156&lt;=MAX($G156:Z156),0,AA156-MAX($G156:Z156)),0)</f>
        <v>0</v>
      </c>
      <c r="AB203" s="218">
        <f>ROUNDUP(IF(AB156&lt;=MAX($G156:AA156),0,AB156-MAX($G156:AA156)),0)</f>
        <v>0</v>
      </c>
      <c r="AC203" s="218">
        <f>ROUNDUP(IF(AC156&lt;=MAX($G156:AB156),0,AC156-MAX($G156:AB156)),0)</f>
        <v>0</v>
      </c>
    </row>
    <row r="204" spans="2:29">
      <c r="B204" s="168" t="str">
        <f t="shared" si="138"/>
        <v/>
      </c>
      <c r="C204" s="165" t="str">
        <f t="shared" si="136"/>
        <v>Crane/ 120t</v>
      </c>
      <c r="D204" s="171" t="s">
        <v>896</v>
      </c>
      <c r="E204" s="171"/>
      <c r="F204" s="174">
        <f t="shared" si="137"/>
        <v>2</v>
      </c>
      <c r="G204" s="218">
        <f>ROUNDUP(IF(G157&lt;=MAX($G157:G157),0,G157-MAX($G157:G157)),0)</f>
        <v>0</v>
      </c>
      <c r="H204" s="218">
        <f>ROUNDUP(IF(H157&lt;=MAX($G157:G157),0,H157-MAX($G157:G157)),0)</f>
        <v>0</v>
      </c>
      <c r="I204" s="218">
        <f>ROUNDUP(IF(I157&lt;=MAX($G157:H157),0,I157-MAX($G157:H157)),0)</f>
        <v>0</v>
      </c>
      <c r="J204" s="218">
        <f>ROUNDUP(IF(J157&lt;=MAX($G157:I157),0,J157-MAX($G157:I157)),0)</f>
        <v>0</v>
      </c>
      <c r="K204" s="218">
        <f>ROUNDUP(IF(K157&lt;=MAX($G157:J157),0,K157-MAX($G157:J157)),0)</f>
        <v>1</v>
      </c>
      <c r="L204" s="218">
        <f>ROUNDUP(IF(L157&lt;=MAX($G157:K157),0,L157-MAX($G157:K157)),0)</f>
        <v>0</v>
      </c>
      <c r="M204" s="218">
        <f>ROUNDUP(IF(M157&lt;=MAX($G157:L157),0,M157-MAX($G157:L157)),0)</f>
        <v>1</v>
      </c>
      <c r="N204" s="218">
        <f>ROUNDUP(IF(N157&lt;=MAX($G157:M157),0,N157-MAX($G157:M157)),0)</f>
        <v>0</v>
      </c>
      <c r="O204" s="218">
        <f>ROUNDUP(IF(O157&lt;=MAX($G157:N157),0,O157-MAX($G157:N157)),0)</f>
        <v>0</v>
      </c>
      <c r="P204" s="218">
        <f>ROUNDUP(IF(P157&lt;=MAX($G157:O157),0,P157-MAX($G157:O157)),0)</f>
        <v>0</v>
      </c>
      <c r="Q204" s="218">
        <f>ROUNDUP(IF(Q157&lt;=MAX($G157:P157),0,Q157-MAX($G157:P157)),0)</f>
        <v>0</v>
      </c>
      <c r="R204" s="218">
        <f>ROUNDUP(IF(R157&lt;=MAX($G157:Q157),0,R157-MAX($G157:Q157)),0)</f>
        <v>0</v>
      </c>
      <c r="S204" s="218">
        <f>ROUNDUP(IF(S157&lt;=MAX($G157:R157),0,S157-MAX($G157:R157)),0)</f>
        <v>0</v>
      </c>
      <c r="T204" s="218">
        <f>ROUNDUP(IF(T157&lt;=MAX($G157:S157),0,T157-MAX($G157:S157)),0)</f>
        <v>0</v>
      </c>
      <c r="U204" s="218">
        <f>ROUNDUP(IF(U157&lt;=MAX($G157:T157),0,U157-MAX($G157:T157)),0)</f>
        <v>0</v>
      </c>
      <c r="V204" s="218">
        <f>ROUNDUP(IF(V157&lt;=MAX($G157:U157),0,V157-MAX($G157:U157)),0)</f>
        <v>0</v>
      </c>
      <c r="W204" s="218">
        <f>ROUNDUP(IF(W157&lt;=MAX($G157:V157),0,W157-MAX($G157:V157)),0)</f>
        <v>0</v>
      </c>
      <c r="X204" s="218">
        <f>ROUNDUP(IF(X157&lt;=MAX($G157:W157),0,X157-MAX($G157:W157)),0)</f>
        <v>0</v>
      </c>
      <c r="Y204" s="218">
        <f>ROUNDUP(IF(Y157&lt;=MAX($G157:X157),0,Y157-MAX($G157:X157)),0)</f>
        <v>0</v>
      </c>
      <c r="Z204" s="218">
        <f>ROUNDUP(IF(Z157&lt;=MAX($G157:Y157),0,Z157-MAX($G157:Y157)),0)</f>
        <v>0</v>
      </c>
      <c r="AA204" s="218">
        <f>ROUNDUP(IF(AA157&lt;=MAX($G157:Z157),0,AA157-MAX($G157:Z157)),0)</f>
        <v>0</v>
      </c>
      <c r="AB204" s="218">
        <f>ROUNDUP(IF(AB157&lt;=MAX($G157:AA157),0,AB157-MAX($G157:AA157)),0)</f>
        <v>0</v>
      </c>
      <c r="AC204" s="218">
        <f>ROUNDUP(IF(AC157&lt;=MAX($G157:AB157),0,AC157-MAX($G157:AB157)),0)</f>
        <v>0</v>
      </c>
    </row>
    <row r="205" spans="2:29">
      <c r="B205" s="168" t="str">
        <f t="shared" si="138"/>
        <v/>
      </c>
      <c r="C205" s="165" t="str">
        <f t="shared" si="136"/>
        <v>Crane/ 60t</v>
      </c>
      <c r="D205" s="171" t="s">
        <v>896</v>
      </c>
      <c r="E205" s="171"/>
      <c r="F205" s="174">
        <f t="shared" si="137"/>
        <v>2</v>
      </c>
      <c r="G205" s="218">
        <f>ROUNDUP(IF(G158&lt;=MAX($G158:G158),0,G158-MAX($G158:G158)),0)</f>
        <v>0</v>
      </c>
      <c r="H205" s="218">
        <f>ROUNDUP(IF(H158&lt;=MAX($G158:G158),0,H158-MAX($G158:G158)),0)</f>
        <v>0</v>
      </c>
      <c r="I205" s="218">
        <f>ROUNDUP(IF(I158&lt;=MAX($G158:H158),0,I158-MAX($G158:H158)),0)</f>
        <v>0</v>
      </c>
      <c r="J205" s="218">
        <f>ROUNDUP(IF(J158&lt;=MAX($G158:I158),0,J158-MAX($G158:I158)),0)</f>
        <v>0</v>
      </c>
      <c r="K205" s="218">
        <f>ROUNDUP(IF(K158&lt;=MAX($G158:J158),0,K158-MAX($G158:J158)),0)</f>
        <v>1</v>
      </c>
      <c r="L205" s="218">
        <f>ROUNDUP(IF(L158&lt;=MAX($G158:K158),0,L158-MAX($G158:K158)),0)</f>
        <v>0</v>
      </c>
      <c r="M205" s="218">
        <f>ROUNDUP(IF(M158&lt;=MAX($G158:L158),0,M158-MAX($G158:L158)),0)</f>
        <v>1</v>
      </c>
      <c r="N205" s="218">
        <f>ROUNDUP(IF(N158&lt;=MAX($G158:M158),0,N158-MAX($G158:M158)),0)</f>
        <v>0</v>
      </c>
      <c r="O205" s="218">
        <f>ROUNDUP(IF(O158&lt;=MAX($G158:N158),0,O158-MAX($G158:N158)),0)</f>
        <v>0</v>
      </c>
      <c r="P205" s="218">
        <f>ROUNDUP(IF(P158&lt;=MAX($G158:O158),0,P158-MAX($G158:O158)),0)</f>
        <v>0</v>
      </c>
      <c r="Q205" s="218">
        <f>ROUNDUP(IF(Q158&lt;=MAX($G158:P158),0,Q158-MAX($G158:P158)),0)</f>
        <v>0</v>
      </c>
      <c r="R205" s="218">
        <f>ROUNDUP(IF(R158&lt;=MAX($G158:Q158),0,R158-MAX($G158:Q158)),0)</f>
        <v>0</v>
      </c>
      <c r="S205" s="218">
        <f>ROUNDUP(IF(S158&lt;=MAX($G158:R158),0,S158-MAX($G158:R158)),0)</f>
        <v>0</v>
      </c>
      <c r="T205" s="218">
        <f>ROUNDUP(IF(T158&lt;=MAX($G158:S158),0,T158-MAX($G158:S158)),0)</f>
        <v>0</v>
      </c>
      <c r="U205" s="218">
        <f>ROUNDUP(IF(U158&lt;=MAX($G158:T158),0,U158-MAX($G158:T158)),0)</f>
        <v>0</v>
      </c>
      <c r="V205" s="218">
        <f>ROUNDUP(IF(V158&lt;=MAX($G158:U158),0,V158-MAX($G158:U158)),0)</f>
        <v>0</v>
      </c>
      <c r="W205" s="218">
        <f>ROUNDUP(IF(W158&lt;=MAX($G158:V158),0,W158-MAX($G158:V158)),0)</f>
        <v>0</v>
      </c>
      <c r="X205" s="218">
        <f>ROUNDUP(IF(X158&lt;=MAX($G158:W158),0,X158-MAX($G158:W158)),0)</f>
        <v>0</v>
      </c>
      <c r="Y205" s="218">
        <f>ROUNDUP(IF(Y158&lt;=MAX($G158:X158),0,Y158-MAX($G158:X158)),0)</f>
        <v>0</v>
      </c>
      <c r="Z205" s="218">
        <f>ROUNDUP(IF(Z158&lt;=MAX($G158:Y158),0,Z158-MAX($G158:Y158)),0)</f>
        <v>0</v>
      </c>
      <c r="AA205" s="218">
        <f>ROUNDUP(IF(AA158&lt;=MAX($G158:Z158),0,AA158-MAX($G158:Z158)),0)</f>
        <v>0</v>
      </c>
      <c r="AB205" s="218">
        <f>ROUNDUP(IF(AB158&lt;=MAX($G158:AA158),0,AB158-MAX($G158:AA158)),0)</f>
        <v>0</v>
      </c>
      <c r="AC205" s="218">
        <f>ROUNDUP(IF(AC158&lt;=MAX($G158:AB158),0,AC158-MAX($G158:AB158)),0)</f>
        <v>0</v>
      </c>
    </row>
    <row r="206" spans="2:29">
      <c r="B206" s="168" t="str">
        <f t="shared" si="138"/>
        <v/>
      </c>
      <c r="C206" s="165" t="str">
        <f t="shared" si="136"/>
        <v>Crane/ 12t</v>
      </c>
      <c r="D206" s="171" t="s">
        <v>896</v>
      </c>
      <c r="E206" s="171"/>
      <c r="F206" s="174">
        <f t="shared" si="137"/>
        <v>2</v>
      </c>
      <c r="G206" s="218">
        <f>ROUNDUP(IF(G159&lt;=MAX($G159:G159),0,G159-MAX($G159:G159)),0)</f>
        <v>0</v>
      </c>
      <c r="H206" s="218">
        <f>ROUNDUP(IF(H159&lt;=MAX($G159:G159),0,H159-MAX($G159:G159)),0)</f>
        <v>0</v>
      </c>
      <c r="I206" s="218">
        <f>ROUNDUP(IF(I159&lt;=MAX($G159:H159),0,I159-MAX($G159:H159)),0)</f>
        <v>0</v>
      </c>
      <c r="J206" s="218">
        <f>ROUNDUP(IF(J159&lt;=MAX($G159:I159),0,J159-MAX($G159:I159)),0)</f>
        <v>0</v>
      </c>
      <c r="K206" s="218">
        <f>ROUNDUP(IF(K159&lt;=MAX($G159:J159),0,K159-MAX($G159:J159)),0)</f>
        <v>1</v>
      </c>
      <c r="L206" s="218">
        <f>ROUNDUP(IF(L159&lt;=MAX($G159:K159),0,L159-MAX($G159:K159)),0)</f>
        <v>0</v>
      </c>
      <c r="M206" s="218">
        <f>ROUNDUP(IF(M159&lt;=MAX($G159:L159),0,M159-MAX($G159:L159)),0)</f>
        <v>1</v>
      </c>
      <c r="N206" s="218">
        <f>ROUNDUP(IF(N159&lt;=MAX($G159:M159),0,N159-MAX($G159:M159)),0)</f>
        <v>0</v>
      </c>
      <c r="O206" s="218">
        <f>ROUNDUP(IF(O159&lt;=MAX($G159:N159),0,O159-MAX($G159:N159)),0)</f>
        <v>0</v>
      </c>
      <c r="P206" s="218">
        <f>ROUNDUP(IF(P159&lt;=MAX($G159:O159),0,P159-MAX($G159:O159)),0)</f>
        <v>0</v>
      </c>
      <c r="Q206" s="218">
        <f>ROUNDUP(IF(Q159&lt;=MAX($G159:P159),0,Q159-MAX($G159:P159)),0)</f>
        <v>0</v>
      </c>
      <c r="R206" s="218">
        <f>ROUNDUP(IF(R159&lt;=MAX($G159:Q159),0,R159-MAX($G159:Q159)),0)</f>
        <v>0</v>
      </c>
      <c r="S206" s="218">
        <f>ROUNDUP(IF(S159&lt;=MAX($G159:R159),0,S159-MAX($G159:R159)),0)</f>
        <v>0</v>
      </c>
      <c r="T206" s="218">
        <f>ROUNDUP(IF(T159&lt;=MAX($G159:S159),0,T159-MAX($G159:S159)),0)</f>
        <v>0</v>
      </c>
      <c r="U206" s="218">
        <f>ROUNDUP(IF(U159&lt;=MAX($G159:T159),0,U159-MAX($G159:T159)),0)</f>
        <v>0</v>
      </c>
      <c r="V206" s="218">
        <f>ROUNDUP(IF(V159&lt;=MAX($G159:U159),0,V159-MAX($G159:U159)),0)</f>
        <v>0</v>
      </c>
      <c r="W206" s="218">
        <f>ROUNDUP(IF(W159&lt;=MAX($G159:V159),0,W159-MAX($G159:V159)),0)</f>
        <v>0</v>
      </c>
      <c r="X206" s="218">
        <f>ROUNDUP(IF(X159&lt;=MAX($G159:W159),0,X159-MAX($G159:W159)),0)</f>
        <v>0</v>
      </c>
      <c r="Y206" s="218">
        <f>ROUNDUP(IF(Y159&lt;=MAX($G159:X159),0,Y159-MAX($G159:X159)),0)</f>
        <v>0</v>
      </c>
      <c r="Z206" s="218">
        <f>ROUNDUP(IF(Z159&lt;=MAX($G159:Y159),0,Z159-MAX($G159:Y159)),0)</f>
        <v>0</v>
      </c>
      <c r="AA206" s="218">
        <f>ROUNDUP(IF(AA159&lt;=MAX($G159:Z159),0,AA159-MAX($G159:Z159)),0)</f>
        <v>0</v>
      </c>
      <c r="AB206" s="218">
        <f>ROUNDUP(IF(AB159&lt;=MAX($G159:AA159),0,AB159-MAX($G159:AA159)),0)</f>
        <v>0</v>
      </c>
      <c r="AC206" s="218">
        <f>ROUNDUP(IF(AC159&lt;=MAX($G159:AB159),0,AC159-MAX($G159:AB159)),0)</f>
        <v>0</v>
      </c>
    </row>
    <row r="207" spans="2:29">
      <c r="B207" s="168" t="str">
        <f t="shared" si="138"/>
        <v/>
      </c>
      <c r="C207" s="165" t="str">
        <f t="shared" si="136"/>
        <v>Crane/ 8t</v>
      </c>
      <c r="D207" s="171" t="s">
        <v>896</v>
      </c>
      <c r="E207" s="171"/>
      <c r="F207" s="174">
        <f t="shared" si="137"/>
        <v>2</v>
      </c>
      <c r="G207" s="218">
        <f>ROUNDUP(IF(G160&lt;=MAX($G160:G160),0,G160-MAX($G160:G160)),0)</f>
        <v>0</v>
      </c>
      <c r="H207" s="218">
        <f>ROUNDUP(IF(H160&lt;=MAX($G160:G160),0,H160-MAX($G160:G160)),0)</f>
        <v>0</v>
      </c>
      <c r="I207" s="218">
        <f>ROUNDUP(IF(I160&lt;=MAX($G160:H160),0,I160-MAX($G160:H160)),0)</f>
        <v>0</v>
      </c>
      <c r="J207" s="218">
        <f>ROUNDUP(IF(J160&lt;=MAX($G160:I160),0,J160-MAX($G160:I160)),0)</f>
        <v>0</v>
      </c>
      <c r="K207" s="218">
        <f>ROUNDUP(IF(K160&lt;=MAX($G160:J160),0,K160-MAX($G160:J160)),0)</f>
        <v>1</v>
      </c>
      <c r="L207" s="218">
        <f>ROUNDUP(IF(L160&lt;=MAX($G160:K160),0,L160-MAX($G160:K160)),0)</f>
        <v>0</v>
      </c>
      <c r="M207" s="218">
        <f>ROUNDUP(IF(M160&lt;=MAX($G160:L160),0,M160-MAX($G160:L160)),0)</f>
        <v>1</v>
      </c>
      <c r="N207" s="218">
        <f>ROUNDUP(IF(N160&lt;=MAX($G160:M160),0,N160-MAX($G160:M160)),0)</f>
        <v>0</v>
      </c>
      <c r="O207" s="218">
        <f>ROUNDUP(IF(O160&lt;=MAX($G160:N160),0,O160-MAX($G160:N160)),0)</f>
        <v>0</v>
      </c>
      <c r="P207" s="218">
        <f>ROUNDUP(IF(P160&lt;=MAX($G160:O160),0,P160-MAX($G160:O160)),0)</f>
        <v>0</v>
      </c>
      <c r="Q207" s="218">
        <f>ROUNDUP(IF(Q160&lt;=MAX($G160:P160),0,Q160-MAX($G160:P160)),0)</f>
        <v>0</v>
      </c>
      <c r="R207" s="218">
        <f>ROUNDUP(IF(R160&lt;=MAX($G160:Q160),0,R160-MAX($G160:Q160)),0)</f>
        <v>0</v>
      </c>
      <c r="S207" s="218">
        <f>ROUNDUP(IF(S160&lt;=MAX($G160:R160),0,S160-MAX($G160:R160)),0)</f>
        <v>0</v>
      </c>
      <c r="T207" s="218">
        <f>ROUNDUP(IF(T160&lt;=MAX($G160:S160),0,T160-MAX($G160:S160)),0)</f>
        <v>0</v>
      </c>
      <c r="U207" s="218">
        <f>ROUNDUP(IF(U160&lt;=MAX($G160:T160),0,U160-MAX($G160:T160)),0)</f>
        <v>0</v>
      </c>
      <c r="V207" s="218">
        <f>ROUNDUP(IF(V160&lt;=MAX($G160:U160),0,V160-MAX($G160:U160)),0)</f>
        <v>0</v>
      </c>
      <c r="W207" s="218">
        <f>ROUNDUP(IF(W160&lt;=MAX($G160:V160),0,W160-MAX($G160:V160)),0)</f>
        <v>0</v>
      </c>
      <c r="X207" s="218">
        <f>ROUNDUP(IF(X160&lt;=MAX($G160:W160),0,X160-MAX($G160:W160)),0)</f>
        <v>0</v>
      </c>
      <c r="Y207" s="218">
        <f>ROUNDUP(IF(Y160&lt;=MAX($G160:X160),0,Y160-MAX($G160:X160)),0)</f>
        <v>0</v>
      </c>
      <c r="Z207" s="218">
        <f>ROUNDUP(IF(Z160&lt;=MAX($G160:Y160),0,Z160-MAX($G160:Y160)),0)</f>
        <v>0</v>
      </c>
      <c r="AA207" s="218">
        <f>ROUNDUP(IF(AA160&lt;=MAX($G160:Z160),0,AA160-MAX($G160:Z160)),0)</f>
        <v>0</v>
      </c>
      <c r="AB207" s="218">
        <f>ROUNDUP(IF(AB160&lt;=MAX($G160:AA160),0,AB160-MAX($G160:AA160)),0)</f>
        <v>0</v>
      </c>
      <c r="AC207" s="218">
        <f>ROUNDUP(IF(AC160&lt;=MAX($G160:AB160),0,AC160-MAX($G160:AB160)),0)</f>
        <v>0</v>
      </c>
    </row>
    <row r="208" spans="2:29">
      <c r="B208" s="168" t="str">
        <f t="shared" si="138"/>
        <v/>
      </c>
      <c r="C208" s="165" t="str">
        <f t="shared" si="136"/>
        <v>Water Sprinkler/ 28KL</v>
      </c>
      <c r="D208" s="171" t="s">
        <v>896</v>
      </c>
      <c r="E208" s="171"/>
      <c r="F208" s="174">
        <f t="shared" si="137"/>
        <v>2</v>
      </c>
      <c r="G208" s="218">
        <f>ROUNDUP(IF(G161&lt;=MAX($G161:G161),0,G161-MAX($G161:G161)),0)</f>
        <v>0</v>
      </c>
      <c r="H208" s="218">
        <f>ROUNDUP(IF(H161&lt;=MAX($G161:G161),0,H161-MAX($G161:G161)),0)</f>
        <v>0</v>
      </c>
      <c r="I208" s="218">
        <f>ROUNDUP(IF(I161&lt;=MAX($G161:H161),0,I161-MAX($G161:H161)),0)</f>
        <v>0</v>
      </c>
      <c r="J208" s="218">
        <f>ROUNDUP(IF(J161&lt;=MAX($G161:I161),0,J161-MAX($G161:I161)),0)</f>
        <v>0</v>
      </c>
      <c r="K208" s="218">
        <f>ROUNDUP(IF(K161&lt;=MAX($G161:J161),0,K161-MAX($G161:J161)),0)</f>
        <v>1</v>
      </c>
      <c r="L208" s="218">
        <f>ROUNDUP(IF(L161&lt;=MAX($G161:K161),0,L161-MAX($G161:K161)),0)</f>
        <v>0</v>
      </c>
      <c r="M208" s="218">
        <f>ROUNDUP(IF(M161&lt;=MAX($G161:L161),0,M161-MAX($G161:L161)),0)</f>
        <v>1</v>
      </c>
      <c r="N208" s="218">
        <f>ROUNDUP(IF(N161&lt;=MAX($G161:M161),0,N161-MAX($G161:M161)),0)</f>
        <v>0</v>
      </c>
      <c r="O208" s="218">
        <f>ROUNDUP(IF(O161&lt;=MAX($G161:N161),0,O161-MAX($G161:N161)),0)</f>
        <v>0</v>
      </c>
      <c r="P208" s="218">
        <f>ROUNDUP(IF(P161&lt;=MAX($G161:O161),0,P161-MAX($G161:O161)),0)</f>
        <v>0</v>
      </c>
      <c r="Q208" s="218">
        <f>ROUNDUP(IF(Q161&lt;=MAX($G161:P161),0,Q161-MAX($G161:P161)),0)</f>
        <v>0</v>
      </c>
      <c r="R208" s="218">
        <f>ROUNDUP(IF(R161&lt;=MAX($G161:Q161),0,R161-MAX($G161:Q161)),0)</f>
        <v>0</v>
      </c>
      <c r="S208" s="218">
        <f>ROUNDUP(IF(S161&lt;=MAX($G161:R161),0,S161-MAX($G161:R161)),0)</f>
        <v>0</v>
      </c>
      <c r="T208" s="218">
        <f>ROUNDUP(IF(T161&lt;=MAX($G161:S161),0,T161-MAX($G161:S161)),0)</f>
        <v>0</v>
      </c>
      <c r="U208" s="218">
        <f>ROUNDUP(IF(U161&lt;=MAX($G161:T161),0,U161-MAX($G161:T161)),0)</f>
        <v>0</v>
      </c>
      <c r="V208" s="218">
        <f>ROUNDUP(IF(V161&lt;=MAX($G161:U161),0,V161-MAX($G161:U161)),0)</f>
        <v>0</v>
      </c>
      <c r="W208" s="218">
        <f>ROUNDUP(IF(W161&lt;=MAX($G161:V161),0,W161-MAX($G161:V161)),0)</f>
        <v>0</v>
      </c>
      <c r="X208" s="218">
        <f>ROUNDUP(IF(X161&lt;=MAX($G161:W161),0,X161-MAX($G161:W161)),0)</f>
        <v>0</v>
      </c>
      <c r="Y208" s="218">
        <f>ROUNDUP(IF(Y161&lt;=MAX($G161:X161),0,Y161-MAX($G161:X161)),0)</f>
        <v>0</v>
      </c>
      <c r="Z208" s="218">
        <f>ROUNDUP(IF(Z161&lt;=MAX($G161:Y161),0,Z161-MAX($G161:Y161)),0)</f>
        <v>0</v>
      </c>
      <c r="AA208" s="218">
        <f>ROUNDUP(IF(AA161&lt;=MAX($G161:Z161),0,AA161-MAX($G161:Z161)),0)</f>
        <v>0</v>
      </c>
      <c r="AB208" s="218">
        <f>ROUNDUP(IF(AB161&lt;=MAX($G161:AA161),0,AB161-MAX($G161:AA161)),0)</f>
        <v>0</v>
      </c>
      <c r="AC208" s="218">
        <f>ROUNDUP(IF(AC161&lt;=MAX($G161:AB161),0,AC161-MAX($G161:AB161)),0)</f>
        <v>0</v>
      </c>
    </row>
    <row r="209" spans="2:29">
      <c r="B209" s="168" t="str">
        <f t="shared" si="138"/>
        <v/>
      </c>
      <c r="C209" s="165" t="str">
        <f t="shared" si="136"/>
        <v>Diesel Bowser/ 9KL</v>
      </c>
      <c r="D209" s="171" t="s">
        <v>896</v>
      </c>
      <c r="E209" s="171"/>
      <c r="F209" s="174">
        <f t="shared" si="137"/>
        <v>2</v>
      </c>
      <c r="G209" s="218">
        <f>ROUNDUP(IF(G162&lt;=MAX($G162:G162),0,G162-MAX($G162:G162)),0)</f>
        <v>0</v>
      </c>
      <c r="H209" s="218">
        <f>ROUNDUP(IF(H162&lt;=MAX($G162:G162),0,H162-MAX($G162:G162)),0)</f>
        <v>0</v>
      </c>
      <c r="I209" s="218">
        <f>ROUNDUP(IF(I162&lt;=MAX($G162:H162),0,I162-MAX($G162:H162)),0)</f>
        <v>0</v>
      </c>
      <c r="J209" s="218">
        <f>ROUNDUP(IF(J162&lt;=MAX($G162:I162),0,J162-MAX($G162:I162)),0)</f>
        <v>0</v>
      </c>
      <c r="K209" s="218">
        <f>ROUNDUP(IF(K162&lt;=MAX($G162:J162),0,K162-MAX($G162:J162)),0)</f>
        <v>1</v>
      </c>
      <c r="L209" s="218">
        <f>ROUNDUP(IF(L162&lt;=MAX($G162:K162),0,L162-MAX($G162:K162)),0)</f>
        <v>0</v>
      </c>
      <c r="M209" s="218">
        <f>ROUNDUP(IF(M162&lt;=MAX($G162:L162),0,M162-MAX($G162:L162)),0)</f>
        <v>1</v>
      </c>
      <c r="N209" s="218">
        <f>ROUNDUP(IF(N162&lt;=MAX($G162:M162),0,N162-MAX($G162:M162)),0)</f>
        <v>0</v>
      </c>
      <c r="O209" s="218">
        <f>ROUNDUP(IF(O162&lt;=MAX($G162:N162),0,O162-MAX($G162:N162)),0)</f>
        <v>0</v>
      </c>
      <c r="P209" s="218">
        <f>ROUNDUP(IF(P162&lt;=MAX($G162:O162),0,P162-MAX($G162:O162)),0)</f>
        <v>0</v>
      </c>
      <c r="Q209" s="218">
        <f>ROUNDUP(IF(Q162&lt;=MAX($G162:P162),0,Q162-MAX($G162:P162)),0)</f>
        <v>0</v>
      </c>
      <c r="R209" s="218">
        <f>ROUNDUP(IF(R162&lt;=MAX($G162:Q162),0,R162-MAX($G162:Q162)),0)</f>
        <v>0</v>
      </c>
      <c r="S209" s="218">
        <f>ROUNDUP(IF(S162&lt;=MAX($G162:R162),0,S162-MAX($G162:R162)),0)</f>
        <v>0</v>
      </c>
      <c r="T209" s="218">
        <f>ROUNDUP(IF(T162&lt;=MAX($G162:S162),0,T162-MAX($G162:S162)),0)</f>
        <v>0</v>
      </c>
      <c r="U209" s="218">
        <f>ROUNDUP(IF(U162&lt;=MAX($G162:T162),0,U162-MAX($G162:T162)),0)</f>
        <v>0</v>
      </c>
      <c r="V209" s="218">
        <f>ROUNDUP(IF(V162&lt;=MAX($G162:U162),0,V162-MAX($G162:U162)),0)</f>
        <v>0</v>
      </c>
      <c r="W209" s="218">
        <f>ROUNDUP(IF(W162&lt;=MAX($G162:V162),0,W162-MAX($G162:V162)),0)</f>
        <v>0</v>
      </c>
      <c r="X209" s="218">
        <f>ROUNDUP(IF(X162&lt;=MAX($G162:W162),0,X162-MAX($G162:W162)),0)</f>
        <v>0</v>
      </c>
      <c r="Y209" s="218">
        <f>ROUNDUP(IF(Y162&lt;=MAX($G162:X162),0,Y162-MAX($G162:X162)),0)</f>
        <v>0</v>
      </c>
      <c r="Z209" s="218">
        <f>ROUNDUP(IF(Z162&lt;=MAX($G162:Y162),0,Z162-MAX($G162:Y162)),0)</f>
        <v>0</v>
      </c>
      <c r="AA209" s="218">
        <f>ROUNDUP(IF(AA162&lt;=MAX($G162:Z162),0,AA162-MAX($G162:Z162)),0)</f>
        <v>0</v>
      </c>
      <c r="AB209" s="218">
        <f>ROUNDUP(IF(AB162&lt;=MAX($G162:AA162),0,AB162-MAX($G162:AA162)),0)</f>
        <v>0</v>
      </c>
      <c r="AC209" s="218">
        <f>ROUNDUP(IF(AC162&lt;=MAX($G162:AB162),0,AC162-MAX($G162:AB162)),0)</f>
        <v>0</v>
      </c>
    </row>
    <row r="210" spans="2:29">
      <c r="B210" s="168" t="str">
        <f t="shared" si="138"/>
        <v/>
      </c>
      <c r="C210" s="165" t="str">
        <f t="shared" si="136"/>
        <v xml:space="preserve">Explosive Van </v>
      </c>
      <c r="D210" s="171" t="s">
        <v>896</v>
      </c>
      <c r="E210" s="171"/>
      <c r="F210" s="174">
        <f t="shared" si="137"/>
        <v>2</v>
      </c>
      <c r="G210" s="218">
        <f>ROUNDUP(IF(G163&lt;=MAX($G163:G163),0,G163-MAX($G163:G163)),0)</f>
        <v>0</v>
      </c>
      <c r="H210" s="218">
        <f>ROUNDUP(IF(H163&lt;=MAX($G163:G163),0,H163-MAX($G163:G163)),0)</f>
        <v>0</v>
      </c>
      <c r="I210" s="218">
        <f>ROUNDUP(IF(I163&lt;=MAX($G163:H163),0,I163-MAX($G163:H163)),0)</f>
        <v>0</v>
      </c>
      <c r="J210" s="218">
        <f>ROUNDUP(IF(J163&lt;=MAX($G163:I163),0,J163-MAX($G163:I163)),0)</f>
        <v>0</v>
      </c>
      <c r="K210" s="218">
        <f>ROUNDUP(IF(K163&lt;=MAX($G163:J163),0,K163-MAX($G163:J163)),0)</f>
        <v>1</v>
      </c>
      <c r="L210" s="218">
        <f>ROUNDUP(IF(L163&lt;=MAX($G163:K163),0,L163-MAX($G163:K163)),0)</f>
        <v>0</v>
      </c>
      <c r="M210" s="218">
        <f>ROUNDUP(IF(M163&lt;=MAX($G163:L163),0,M163-MAX($G163:L163)),0)</f>
        <v>1</v>
      </c>
      <c r="N210" s="218">
        <f>ROUNDUP(IF(N163&lt;=MAX($G163:M163),0,N163-MAX($G163:M163)),0)</f>
        <v>0</v>
      </c>
      <c r="O210" s="218">
        <f>ROUNDUP(IF(O163&lt;=MAX($G163:N163),0,O163-MAX($G163:N163)),0)</f>
        <v>0</v>
      </c>
      <c r="P210" s="218">
        <f>ROUNDUP(IF(P163&lt;=MAX($G163:O163),0,P163-MAX($G163:O163)),0)</f>
        <v>0</v>
      </c>
      <c r="Q210" s="218">
        <f>ROUNDUP(IF(Q163&lt;=MAX($G163:P163),0,Q163-MAX($G163:P163)),0)</f>
        <v>0</v>
      </c>
      <c r="R210" s="218">
        <f>ROUNDUP(IF(R163&lt;=MAX($G163:Q163),0,R163-MAX($G163:Q163)),0)</f>
        <v>0</v>
      </c>
      <c r="S210" s="218">
        <f>ROUNDUP(IF(S163&lt;=MAX($G163:R163),0,S163-MAX($G163:R163)),0)</f>
        <v>0</v>
      </c>
      <c r="T210" s="218">
        <f>ROUNDUP(IF(T163&lt;=MAX($G163:S163),0,T163-MAX($G163:S163)),0)</f>
        <v>0</v>
      </c>
      <c r="U210" s="218">
        <f>ROUNDUP(IF(U163&lt;=MAX($G163:T163),0,U163-MAX($G163:T163)),0)</f>
        <v>0</v>
      </c>
      <c r="V210" s="218">
        <f>ROUNDUP(IF(V163&lt;=MAX($G163:U163),0,V163-MAX($G163:U163)),0)</f>
        <v>0</v>
      </c>
      <c r="W210" s="218">
        <f>ROUNDUP(IF(W163&lt;=MAX($G163:V163),0,W163-MAX($G163:V163)),0)</f>
        <v>0</v>
      </c>
      <c r="X210" s="218">
        <f>ROUNDUP(IF(X163&lt;=MAX($G163:W163),0,X163-MAX($G163:W163)),0)</f>
        <v>0</v>
      </c>
      <c r="Y210" s="218">
        <f>ROUNDUP(IF(Y163&lt;=MAX($G163:X163),0,Y163-MAX($G163:X163)),0)</f>
        <v>0</v>
      </c>
      <c r="Z210" s="218">
        <f>ROUNDUP(IF(Z163&lt;=MAX($G163:Y163),0,Z163-MAX($G163:Y163)),0)</f>
        <v>0</v>
      </c>
      <c r="AA210" s="218">
        <f>ROUNDUP(IF(AA163&lt;=MAX($G163:Z163),0,AA163-MAX($G163:Z163)),0)</f>
        <v>0</v>
      </c>
      <c r="AB210" s="218">
        <f>ROUNDUP(IF(AB163&lt;=MAX($G163:AA163),0,AB163-MAX($G163:AA163)),0)</f>
        <v>0</v>
      </c>
      <c r="AC210" s="218">
        <f>ROUNDUP(IF(AC163&lt;=MAX($G163:AB163),0,AC163-MAX($G163:AB163)),0)</f>
        <v>0</v>
      </c>
    </row>
    <row r="211" spans="2:29">
      <c r="B211" s="168" t="str">
        <f t="shared" si="138"/>
        <v/>
      </c>
      <c r="C211" s="165" t="str">
        <f t="shared" si="136"/>
        <v>Maintenance Van</v>
      </c>
      <c r="D211" s="171" t="s">
        <v>896</v>
      </c>
      <c r="E211" s="171"/>
      <c r="F211" s="174">
        <f t="shared" si="137"/>
        <v>2</v>
      </c>
      <c r="G211" s="218">
        <f>ROUNDUP(IF(G164&lt;=MAX($G164:G164),0,G164-MAX($G164:G164)),0)</f>
        <v>0</v>
      </c>
      <c r="H211" s="218">
        <f>ROUNDUP(IF(H164&lt;=MAX($G164:G164),0,H164-MAX($G164:G164)),0)</f>
        <v>0</v>
      </c>
      <c r="I211" s="218">
        <f>ROUNDUP(IF(I164&lt;=MAX($G164:H164),0,I164-MAX($G164:H164)),0)</f>
        <v>0</v>
      </c>
      <c r="J211" s="218">
        <f>ROUNDUP(IF(J164&lt;=MAX($G164:I164),0,J164-MAX($G164:I164)),0)</f>
        <v>0</v>
      </c>
      <c r="K211" s="218">
        <f>ROUNDUP(IF(K164&lt;=MAX($G164:J164),0,K164-MAX($G164:J164)),0)</f>
        <v>1</v>
      </c>
      <c r="L211" s="218">
        <f>ROUNDUP(IF(L164&lt;=MAX($G164:K164),0,L164-MAX($G164:K164)),0)</f>
        <v>0</v>
      </c>
      <c r="M211" s="218">
        <f>ROUNDUP(IF(M164&lt;=MAX($G164:L164),0,M164-MAX($G164:L164)),0)</f>
        <v>1</v>
      </c>
      <c r="N211" s="218">
        <f>ROUNDUP(IF(N164&lt;=MAX($G164:M164),0,N164-MAX($G164:M164)),0)</f>
        <v>0</v>
      </c>
      <c r="O211" s="218">
        <f>ROUNDUP(IF(O164&lt;=MAX($G164:N164),0,O164-MAX($G164:N164)),0)</f>
        <v>0</v>
      </c>
      <c r="P211" s="218">
        <f>ROUNDUP(IF(P164&lt;=MAX($G164:O164),0,P164-MAX($G164:O164)),0)</f>
        <v>0</v>
      </c>
      <c r="Q211" s="218">
        <f>ROUNDUP(IF(Q164&lt;=MAX($G164:P164),0,Q164-MAX($G164:P164)),0)</f>
        <v>0</v>
      </c>
      <c r="R211" s="218">
        <f>ROUNDUP(IF(R164&lt;=MAX($G164:Q164),0,R164-MAX($G164:Q164)),0)</f>
        <v>0</v>
      </c>
      <c r="S211" s="218">
        <f>ROUNDUP(IF(S164&lt;=MAX($G164:R164),0,S164-MAX($G164:R164)),0)</f>
        <v>0</v>
      </c>
      <c r="T211" s="218">
        <f>ROUNDUP(IF(T164&lt;=MAX($G164:S164),0,T164-MAX($G164:S164)),0)</f>
        <v>0</v>
      </c>
      <c r="U211" s="218">
        <f>ROUNDUP(IF(U164&lt;=MAX($G164:T164),0,U164-MAX($G164:T164)),0)</f>
        <v>0</v>
      </c>
      <c r="V211" s="218">
        <f>ROUNDUP(IF(V164&lt;=MAX($G164:U164),0,V164-MAX($G164:U164)),0)</f>
        <v>0</v>
      </c>
      <c r="W211" s="218">
        <f>ROUNDUP(IF(W164&lt;=MAX($G164:V164),0,W164-MAX($G164:V164)),0)</f>
        <v>0</v>
      </c>
      <c r="X211" s="218">
        <f>ROUNDUP(IF(X164&lt;=MAX($G164:W164),0,X164-MAX($G164:W164)),0)</f>
        <v>0</v>
      </c>
      <c r="Y211" s="218">
        <f>ROUNDUP(IF(Y164&lt;=MAX($G164:X164),0,Y164-MAX($G164:X164)),0)</f>
        <v>0</v>
      </c>
      <c r="Z211" s="218">
        <f>ROUNDUP(IF(Z164&lt;=MAX($G164:Y164),0,Z164-MAX($G164:Y164)),0)</f>
        <v>0</v>
      </c>
      <c r="AA211" s="218">
        <f>ROUNDUP(IF(AA164&lt;=MAX($G164:Z164),0,AA164-MAX($G164:Z164)),0)</f>
        <v>0</v>
      </c>
      <c r="AB211" s="218">
        <f>ROUNDUP(IF(AB164&lt;=MAX($G164:AA164),0,AB164-MAX($G164:AA164)),0)</f>
        <v>0</v>
      </c>
      <c r="AC211" s="218">
        <f>ROUNDUP(IF(AC164&lt;=MAX($G164:AB164),0,AC164-MAX($G164:AB164)),0)</f>
        <v>0</v>
      </c>
    </row>
    <row r="212" spans="2:29">
      <c r="B212" s="168" t="str">
        <f t="shared" si="138"/>
        <v/>
      </c>
      <c r="C212" s="165" t="str">
        <f t="shared" si="136"/>
        <v>Diesel Hydraulic backhoe/ 1.5cum (Komatsu)</v>
      </c>
      <c r="D212" s="171" t="s">
        <v>896</v>
      </c>
      <c r="E212" s="171"/>
      <c r="F212" s="174">
        <f t="shared" si="137"/>
        <v>2</v>
      </c>
      <c r="G212" s="218">
        <f>ROUNDUP(IF(G165&lt;=MAX($G165:G165),0,G165-MAX($G165:G165)),0)</f>
        <v>0</v>
      </c>
      <c r="H212" s="218">
        <f>ROUNDUP(IF(H165&lt;=MAX($G165:G165),0,H165-MAX($G165:G165)),0)</f>
        <v>0</v>
      </c>
      <c r="I212" s="218">
        <f>ROUNDUP(IF(I165&lt;=MAX($G165:H165),0,I165-MAX($G165:H165)),0)</f>
        <v>0</v>
      </c>
      <c r="J212" s="218">
        <f>ROUNDUP(IF(J165&lt;=MAX($G165:I165),0,J165-MAX($G165:I165)),0)</f>
        <v>0</v>
      </c>
      <c r="K212" s="218">
        <f>ROUNDUP(IF(K165&lt;=MAX($G165:J165),0,K165-MAX($G165:J165)),0)</f>
        <v>1</v>
      </c>
      <c r="L212" s="218">
        <f>ROUNDUP(IF(L165&lt;=MAX($G165:K165),0,L165-MAX($G165:K165)),0)</f>
        <v>0</v>
      </c>
      <c r="M212" s="218">
        <f>ROUNDUP(IF(M165&lt;=MAX($G165:L165),0,M165-MAX($G165:L165)),0)</f>
        <v>1</v>
      </c>
      <c r="N212" s="218">
        <f>ROUNDUP(IF(N165&lt;=MAX($G165:M165),0,N165-MAX($G165:M165)),0)</f>
        <v>0</v>
      </c>
      <c r="O212" s="218">
        <f>ROUNDUP(IF(O165&lt;=MAX($G165:N165),0,O165-MAX($G165:N165)),0)</f>
        <v>0</v>
      </c>
      <c r="P212" s="218">
        <f>ROUNDUP(IF(P165&lt;=MAX($G165:O165),0,P165-MAX($G165:O165)),0)</f>
        <v>0</v>
      </c>
      <c r="Q212" s="218">
        <f>ROUNDUP(IF(Q165&lt;=MAX($G165:P165),0,Q165-MAX($G165:P165)),0)</f>
        <v>0</v>
      </c>
      <c r="R212" s="218">
        <f>ROUNDUP(IF(R165&lt;=MAX($G165:Q165),0,R165-MAX($G165:Q165)),0)</f>
        <v>0</v>
      </c>
      <c r="S212" s="218">
        <f>ROUNDUP(IF(S165&lt;=MAX($G165:R165),0,S165-MAX($G165:R165)),0)</f>
        <v>0</v>
      </c>
      <c r="T212" s="218">
        <f>ROUNDUP(IF(T165&lt;=MAX($G165:S165),0,T165-MAX($G165:S165)),0)</f>
        <v>0</v>
      </c>
      <c r="U212" s="218">
        <f>ROUNDUP(IF(U165&lt;=MAX($G165:T165),0,U165-MAX($G165:T165)),0)</f>
        <v>0</v>
      </c>
      <c r="V212" s="218">
        <f>ROUNDUP(IF(V165&lt;=MAX($G165:U165),0,V165-MAX($G165:U165)),0)</f>
        <v>0</v>
      </c>
      <c r="W212" s="218">
        <f>ROUNDUP(IF(W165&lt;=MAX($G165:V165),0,W165-MAX($G165:V165)),0)</f>
        <v>0</v>
      </c>
      <c r="X212" s="218">
        <f>ROUNDUP(IF(X165&lt;=MAX($G165:W165),0,X165-MAX($G165:W165)),0)</f>
        <v>0</v>
      </c>
      <c r="Y212" s="218">
        <f>ROUNDUP(IF(Y165&lt;=MAX($G165:X165),0,Y165-MAX($G165:X165)),0)</f>
        <v>0</v>
      </c>
      <c r="Z212" s="218">
        <f>ROUNDUP(IF(Z165&lt;=MAX($G165:Y165),0,Z165-MAX($G165:Y165)),0)</f>
        <v>0</v>
      </c>
      <c r="AA212" s="218">
        <f>ROUNDUP(IF(AA165&lt;=MAX($G165:Z165),0,AA165-MAX($G165:Z165)),0)</f>
        <v>0</v>
      </c>
      <c r="AB212" s="218">
        <f>ROUNDUP(IF(AB165&lt;=MAX($G165:AA165),0,AB165-MAX($G165:AA165)),0)</f>
        <v>0</v>
      </c>
      <c r="AC212" s="218">
        <f>ROUNDUP(IF(AC165&lt;=MAX($G165:AB165),0,AC165-MAX($G165:AB165)),0)</f>
        <v>0</v>
      </c>
    </row>
    <row r="213" spans="2:29">
      <c r="B213" s="168" t="str">
        <f t="shared" si="138"/>
        <v/>
      </c>
      <c r="C213" s="165" t="str">
        <f t="shared" si="136"/>
        <v xml:space="preserve">Boom Truck </v>
      </c>
      <c r="D213" s="171" t="s">
        <v>896</v>
      </c>
      <c r="E213" s="171"/>
      <c r="F213" s="174">
        <f t="shared" si="137"/>
        <v>2</v>
      </c>
      <c r="G213" s="218">
        <f>ROUNDUP(IF(G166&lt;=MAX($G166:G166),0,G166-MAX($G166:G166)),0)</f>
        <v>0</v>
      </c>
      <c r="H213" s="218">
        <f>ROUNDUP(IF(H166&lt;=MAX($G166:G166),0,H166-MAX($G166:G166)),0)</f>
        <v>0</v>
      </c>
      <c r="I213" s="218">
        <f>ROUNDUP(IF(I166&lt;=MAX($G166:H166),0,I166-MAX($G166:H166)),0)</f>
        <v>0</v>
      </c>
      <c r="J213" s="218">
        <f>ROUNDUP(IF(J166&lt;=MAX($G166:I166),0,J166-MAX($G166:I166)),0)</f>
        <v>0</v>
      </c>
      <c r="K213" s="218">
        <f>ROUNDUP(IF(K166&lt;=MAX($G166:J166),0,K166-MAX($G166:J166)),0)</f>
        <v>1</v>
      </c>
      <c r="L213" s="218">
        <f>ROUNDUP(IF(L166&lt;=MAX($G166:K166),0,L166-MAX($G166:K166)),0)</f>
        <v>0</v>
      </c>
      <c r="M213" s="218">
        <f>ROUNDUP(IF(M166&lt;=MAX($G166:L166),0,M166-MAX($G166:L166)),0)</f>
        <v>1</v>
      </c>
      <c r="N213" s="218">
        <f>ROUNDUP(IF(N166&lt;=MAX($G166:M166),0,N166-MAX($G166:M166)),0)</f>
        <v>0</v>
      </c>
      <c r="O213" s="218">
        <f>ROUNDUP(IF(O166&lt;=MAX($G166:N166),0,O166-MAX($G166:N166)),0)</f>
        <v>0</v>
      </c>
      <c r="P213" s="218">
        <f>ROUNDUP(IF(P166&lt;=MAX($G166:O166),0,P166-MAX($G166:O166)),0)</f>
        <v>0</v>
      </c>
      <c r="Q213" s="218">
        <f>ROUNDUP(IF(Q166&lt;=MAX($G166:P166),0,Q166-MAX($G166:P166)),0)</f>
        <v>0</v>
      </c>
      <c r="R213" s="218">
        <f>ROUNDUP(IF(R166&lt;=MAX($G166:Q166),0,R166-MAX($G166:Q166)),0)</f>
        <v>0</v>
      </c>
      <c r="S213" s="218">
        <f>ROUNDUP(IF(S166&lt;=MAX($G166:R166),0,S166-MAX($G166:R166)),0)</f>
        <v>0</v>
      </c>
      <c r="T213" s="218">
        <f>ROUNDUP(IF(T166&lt;=MAX($G166:S166),0,T166-MAX($G166:S166)),0)</f>
        <v>0</v>
      </c>
      <c r="U213" s="218">
        <f>ROUNDUP(IF(U166&lt;=MAX($G166:T166),0,U166-MAX($G166:T166)),0)</f>
        <v>0</v>
      </c>
      <c r="V213" s="218">
        <f>ROUNDUP(IF(V166&lt;=MAX($G166:U166),0,V166-MAX($G166:U166)),0)</f>
        <v>0</v>
      </c>
      <c r="W213" s="218">
        <f>ROUNDUP(IF(W166&lt;=MAX($G166:V166),0,W166-MAX($G166:V166)),0)</f>
        <v>0</v>
      </c>
      <c r="X213" s="218">
        <f>ROUNDUP(IF(X166&lt;=MAX($G166:W166),0,X166-MAX($G166:W166)),0)</f>
        <v>0</v>
      </c>
      <c r="Y213" s="218">
        <f>ROUNDUP(IF(Y166&lt;=MAX($G166:X166),0,Y166-MAX($G166:X166)),0)</f>
        <v>0</v>
      </c>
      <c r="Z213" s="218">
        <f>ROUNDUP(IF(Z166&lt;=MAX($G166:Y166),0,Z166-MAX($G166:Y166)),0)</f>
        <v>0</v>
      </c>
      <c r="AA213" s="218">
        <f>ROUNDUP(IF(AA166&lt;=MAX($G166:Z166),0,AA166-MAX($G166:Z166)),0)</f>
        <v>0</v>
      </c>
      <c r="AB213" s="218">
        <f>ROUNDUP(IF(AB166&lt;=MAX($G166:AA166),0,AB166-MAX($G166:AA166)),0)</f>
        <v>0</v>
      </c>
      <c r="AC213" s="218">
        <f>ROUNDUP(IF(AC166&lt;=MAX($G166:AB166),0,AC166-MAX($G166:AB166)),0)</f>
        <v>0</v>
      </c>
    </row>
    <row r="214" spans="2:29">
      <c r="B214" s="168" t="str">
        <f t="shared" si="138"/>
        <v/>
      </c>
      <c r="C214" s="165" t="str">
        <f t="shared" si="136"/>
        <v xml:space="preserve">Heavy duty tow truck </v>
      </c>
      <c r="D214" s="171" t="s">
        <v>896</v>
      </c>
      <c r="E214" s="171"/>
      <c r="F214" s="174">
        <f t="shared" si="137"/>
        <v>2</v>
      </c>
      <c r="G214" s="218">
        <f>ROUNDUP(IF(G167&lt;=MAX($G167:G167),0,G167-MAX($G167:G167)),0)</f>
        <v>0</v>
      </c>
      <c r="H214" s="218">
        <f>ROUNDUP(IF(H167&lt;=MAX($G167:G167),0,H167-MAX($G167:G167)),0)</f>
        <v>0</v>
      </c>
      <c r="I214" s="218">
        <f>ROUNDUP(IF(I167&lt;=MAX($G167:H167),0,I167-MAX($G167:H167)),0)</f>
        <v>0</v>
      </c>
      <c r="J214" s="218">
        <f>ROUNDUP(IF(J167&lt;=MAX($G167:I167),0,J167-MAX($G167:I167)),0)</f>
        <v>0</v>
      </c>
      <c r="K214" s="218">
        <f>ROUNDUP(IF(K167&lt;=MAX($G167:J167),0,K167-MAX($G167:J167)),0)</f>
        <v>1</v>
      </c>
      <c r="L214" s="218">
        <f>ROUNDUP(IF(L167&lt;=MAX($G167:K167),0,L167-MAX($G167:K167)),0)</f>
        <v>0</v>
      </c>
      <c r="M214" s="218">
        <f>ROUNDUP(IF(M167&lt;=MAX($G167:L167),0,M167-MAX($G167:L167)),0)</f>
        <v>1</v>
      </c>
      <c r="N214" s="218">
        <f>ROUNDUP(IF(N167&lt;=MAX($G167:M167),0,N167-MAX($G167:M167)),0)</f>
        <v>0</v>
      </c>
      <c r="O214" s="218">
        <f>ROUNDUP(IF(O167&lt;=MAX($G167:N167),0,O167-MAX($G167:N167)),0)</f>
        <v>0</v>
      </c>
      <c r="P214" s="218">
        <f>ROUNDUP(IF(P167&lt;=MAX($G167:O167),0,P167-MAX($G167:O167)),0)</f>
        <v>0</v>
      </c>
      <c r="Q214" s="218">
        <f>ROUNDUP(IF(Q167&lt;=MAX($G167:P167),0,Q167-MAX($G167:P167)),0)</f>
        <v>0</v>
      </c>
      <c r="R214" s="218">
        <f>ROUNDUP(IF(R167&lt;=MAX($G167:Q167),0,R167-MAX($G167:Q167)),0)</f>
        <v>0</v>
      </c>
      <c r="S214" s="218">
        <f>ROUNDUP(IF(S167&lt;=MAX($G167:R167),0,S167-MAX($G167:R167)),0)</f>
        <v>0</v>
      </c>
      <c r="T214" s="218">
        <f>ROUNDUP(IF(T167&lt;=MAX($G167:S167),0,T167-MAX($G167:S167)),0)</f>
        <v>0</v>
      </c>
      <c r="U214" s="218">
        <f>ROUNDUP(IF(U167&lt;=MAX($G167:T167),0,U167-MAX($G167:T167)),0)</f>
        <v>0</v>
      </c>
      <c r="V214" s="218">
        <f>ROUNDUP(IF(V167&lt;=MAX($G167:U167),0,V167-MAX($G167:U167)),0)</f>
        <v>0</v>
      </c>
      <c r="W214" s="218">
        <f>ROUNDUP(IF(W167&lt;=MAX($G167:V167),0,W167-MAX($G167:V167)),0)</f>
        <v>0</v>
      </c>
      <c r="X214" s="218">
        <f>ROUNDUP(IF(X167&lt;=MAX($G167:W167),0,X167-MAX($G167:W167)),0)</f>
        <v>0</v>
      </c>
      <c r="Y214" s="218">
        <f>ROUNDUP(IF(Y167&lt;=MAX($G167:X167),0,Y167-MAX($G167:X167)),0)</f>
        <v>0</v>
      </c>
      <c r="Z214" s="218">
        <f>ROUNDUP(IF(Z167&lt;=MAX($G167:Y167),0,Z167-MAX($G167:Y167)),0)</f>
        <v>0</v>
      </c>
      <c r="AA214" s="218">
        <f>ROUNDUP(IF(AA167&lt;=MAX($G167:Z167),0,AA167-MAX($G167:Z167)),0)</f>
        <v>0</v>
      </c>
      <c r="AB214" s="218">
        <f>ROUNDUP(IF(AB167&lt;=MAX($G167:AA167),0,AB167-MAX($G167:AA167)),0)</f>
        <v>0</v>
      </c>
      <c r="AC214" s="218">
        <f>ROUNDUP(IF(AC167&lt;=MAX($G167:AB167),0,AC167-MAX($G167:AB167)),0)</f>
        <v>0</v>
      </c>
    </row>
    <row r="215" spans="2:29">
      <c r="B215" s="168" t="str">
        <f t="shared" si="138"/>
        <v/>
      </c>
      <c r="C215" s="165" t="str">
        <f t="shared" si="136"/>
        <v>Tipping Truck/ 8t</v>
      </c>
      <c r="D215" s="171" t="s">
        <v>896</v>
      </c>
      <c r="E215" s="171"/>
      <c r="F215" s="174">
        <f t="shared" si="137"/>
        <v>2</v>
      </c>
      <c r="G215" s="218">
        <f>ROUNDUP(IF(G168&lt;=MAX($G168:G168),0,G168-MAX($G168:G168)),0)</f>
        <v>0</v>
      </c>
      <c r="H215" s="218">
        <f>ROUNDUP(IF(H168&lt;=MAX($G168:G168),0,H168-MAX($G168:G168)),0)</f>
        <v>0</v>
      </c>
      <c r="I215" s="218">
        <f>ROUNDUP(IF(I168&lt;=MAX($G168:H168),0,I168-MAX($G168:H168)),0)</f>
        <v>0</v>
      </c>
      <c r="J215" s="218">
        <f>ROUNDUP(IF(J168&lt;=MAX($G168:I168),0,J168-MAX($G168:I168)),0)</f>
        <v>0</v>
      </c>
      <c r="K215" s="218">
        <f>ROUNDUP(IF(K168&lt;=MAX($G168:J168),0,K168-MAX($G168:J168)),0)</f>
        <v>1</v>
      </c>
      <c r="L215" s="218">
        <f>ROUNDUP(IF(L168&lt;=MAX($G168:K168),0,L168-MAX($G168:K168)),0)</f>
        <v>0</v>
      </c>
      <c r="M215" s="218">
        <f>ROUNDUP(IF(M168&lt;=MAX($G168:L168),0,M168-MAX($G168:L168)),0)</f>
        <v>1</v>
      </c>
      <c r="N215" s="218">
        <f>ROUNDUP(IF(N168&lt;=MAX($G168:M168),0,N168-MAX($G168:M168)),0)</f>
        <v>0</v>
      </c>
      <c r="O215" s="218">
        <f>ROUNDUP(IF(O168&lt;=MAX($G168:N168),0,O168-MAX($G168:N168)),0)</f>
        <v>0</v>
      </c>
      <c r="P215" s="218">
        <f>ROUNDUP(IF(P168&lt;=MAX($G168:O168),0,P168-MAX($G168:O168)),0)</f>
        <v>0</v>
      </c>
      <c r="Q215" s="218">
        <f>ROUNDUP(IF(Q168&lt;=MAX($G168:P168),0,Q168-MAX($G168:P168)),0)</f>
        <v>0</v>
      </c>
      <c r="R215" s="218">
        <f>ROUNDUP(IF(R168&lt;=MAX($G168:Q168),0,R168-MAX($G168:Q168)),0)</f>
        <v>0</v>
      </c>
      <c r="S215" s="218">
        <f>ROUNDUP(IF(S168&lt;=MAX($G168:R168),0,S168-MAX($G168:R168)),0)</f>
        <v>0</v>
      </c>
      <c r="T215" s="218">
        <f>ROUNDUP(IF(T168&lt;=MAX($G168:S168),0,T168-MAX($G168:S168)),0)</f>
        <v>0</v>
      </c>
      <c r="U215" s="218">
        <f>ROUNDUP(IF(U168&lt;=MAX($G168:T168),0,U168-MAX($G168:T168)),0)</f>
        <v>0</v>
      </c>
      <c r="V215" s="218">
        <f>ROUNDUP(IF(V168&lt;=MAX($G168:U168),0,V168-MAX($G168:U168)),0)</f>
        <v>0</v>
      </c>
      <c r="W215" s="218">
        <f>ROUNDUP(IF(W168&lt;=MAX($G168:V168),0,W168-MAX($G168:V168)),0)</f>
        <v>0</v>
      </c>
      <c r="X215" s="218">
        <f>ROUNDUP(IF(X168&lt;=MAX($G168:W168),0,X168-MAX($G168:W168)),0)</f>
        <v>0</v>
      </c>
      <c r="Y215" s="218">
        <f>ROUNDUP(IF(Y168&lt;=MAX($G168:X168),0,Y168-MAX($G168:X168)),0)</f>
        <v>0</v>
      </c>
      <c r="Z215" s="218">
        <f>ROUNDUP(IF(Z168&lt;=MAX($G168:Y168),0,Z168-MAX($G168:Y168)),0)</f>
        <v>0</v>
      </c>
      <c r="AA215" s="218">
        <f>ROUNDUP(IF(AA168&lt;=MAX($G168:Z168),0,AA168-MAX($G168:Z168)),0)</f>
        <v>0</v>
      </c>
      <c r="AB215" s="218">
        <f>ROUNDUP(IF(AB168&lt;=MAX($G168:AA168),0,AB168-MAX($G168:AA168)),0)</f>
        <v>0</v>
      </c>
      <c r="AC215" s="218">
        <f>ROUNDUP(IF(AC168&lt;=MAX($G168:AB168),0,AC168-MAX($G168:AB168)),0)</f>
        <v>0</v>
      </c>
    </row>
    <row r="216" spans="2:29">
      <c r="B216" s="168" t="str">
        <f t="shared" si="138"/>
        <v/>
      </c>
      <c r="C216" s="165" t="str">
        <f t="shared" si="136"/>
        <v>Fork lift/ 8t</v>
      </c>
      <c r="D216" s="171" t="s">
        <v>896</v>
      </c>
      <c r="E216" s="171"/>
      <c r="F216" s="174">
        <f t="shared" si="137"/>
        <v>2</v>
      </c>
      <c r="G216" s="218">
        <f>ROUNDUP(IF(G169&lt;=MAX($G169:G169),0,G169-MAX($G169:G169)),0)</f>
        <v>0</v>
      </c>
      <c r="H216" s="218">
        <f>ROUNDUP(IF(H169&lt;=MAX($G169:G169),0,H169-MAX($G169:G169)),0)</f>
        <v>0</v>
      </c>
      <c r="I216" s="218">
        <f>ROUNDUP(IF(I169&lt;=MAX($G169:H169),0,I169-MAX($G169:H169)),0)</f>
        <v>0</v>
      </c>
      <c r="J216" s="218">
        <f>ROUNDUP(IF(J169&lt;=MAX($G169:I169),0,J169-MAX($G169:I169)),0)</f>
        <v>0</v>
      </c>
      <c r="K216" s="218">
        <f>ROUNDUP(IF(K169&lt;=MAX($G169:J169),0,K169-MAX($G169:J169)),0)</f>
        <v>1</v>
      </c>
      <c r="L216" s="218">
        <f>ROUNDUP(IF(L169&lt;=MAX($G169:K169),0,L169-MAX($G169:K169)),0)</f>
        <v>0</v>
      </c>
      <c r="M216" s="218">
        <f>ROUNDUP(IF(M169&lt;=MAX($G169:L169),0,M169-MAX($G169:L169)),0)</f>
        <v>1</v>
      </c>
      <c r="N216" s="218">
        <f>ROUNDUP(IF(N169&lt;=MAX($G169:M169),0,N169-MAX($G169:M169)),0)</f>
        <v>0</v>
      </c>
      <c r="O216" s="218">
        <f>ROUNDUP(IF(O169&lt;=MAX($G169:N169),0,O169-MAX($G169:N169)),0)</f>
        <v>0</v>
      </c>
      <c r="P216" s="218">
        <f>ROUNDUP(IF(P169&lt;=MAX($G169:O169),0,P169-MAX($G169:O169)),0)</f>
        <v>0</v>
      </c>
      <c r="Q216" s="218">
        <f>ROUNDUP(IF(Q169&lt;=MAX($G169:P169),0,Q169-MAX($G169:P169)),0)</f>
        <v>0</v>
      </c>
      <c r="R216" s="218">
        <f>ROUNDUP(IF(R169&lt;=MAX($G169:Q169),0,R169-MAX($G169:Q169)),0)</f>
        <v>0</v>
      </c>
      <c r="S216" s="218">
        <f>ROUNDUP(IF(S169&lt;=MAX($G169:R169),0,S169-MAX($G169:R169)),0)</f>
        <v>0</v>
      </c>
      <c r="T216" s="218">
        <f>ROUNDUP(IF(T169&lt;=MAX($G169:S169),0,T169-MAX($G169:S169)),0)</f>
        <v>0</v>
      </c>
      <c r="U216" s="218">
        <f>ROUNDUP(IF(U169&lt;=MAX($G169:T169),0,U169-MAX($G169:T169)),0)</f>
        <v>0</v>
      </c>
      <c r="V216" s="218">
        <f>ROUNDUP(IF(V169&lt;=MAX($G169:U169),0,V169-MAX($G169:U169)),0)</f>
        <v>0</v>
      </c>
      <c r="W216" s="218">
        <f>ROUNDUP(IF(W169&lt;=MAX($G169:V169),0,W169-MAX($G169:V169)),0)</f>
        <v>0</v>
      </c>
      <c r="X216" s="218">
        <f>ROUNDUP(IF(X169&lt;=MAX($G169:W169),0,X169-MAX($G169:W169)),0)</f>
        <v>0</v>
      </c>
      <c r="Y216" s="218">
        <f>ROUNDUP(IF(Y169&lt;=MAX($G169:X169),0,Y169-MAX($G169:X169)),0)</f>
        <v>0</v>
      </c>
      <c r="Z216" s="218">
        <f>ROUNDUP(IF(Z169&lt;=MAX($G169:Y169),0,Z169-MAX($G169:Y169)),0)</f>
        <v>0</v>
      </c>
      <c r="AA216" s="218">
        <f>ROUNDUP(IF(AA169&lt;=MAX($G169:Z169),0,AA169-MAX($G169:Z169)),0)</f>
        <v>0</v>
      </c>
      <c r="AB216" s="218">
        <f>ROUNDUP(IF(AB169&lt;=MAX($G169:AA169),0,AB169-MAX($G169:AA169)),0)</f>
        <v>0</v>
      </c>
      <c r="AC216" s="218">
        <f>ROUNDUP(IF(AC169&lt;=MAX($G169:AB169),0,AC169-MAX($G169:AB169)),0)</f>
        <v>0</v>
      </c>
    </row>
    <row r="217" spans="2:29">
      <c r="B217" s="168" t="str">
        <f t="shared" si="138"/>
        <v/>
      </c>
      <c r="C217" s="165" t="str">
        <f t="shared" si="136"/>
        <v>Tyre handler/ 20t</v>
      </c>
      <c r="D217" s="171" t="s">
        <v>896</v>
      </c>
      <c r="E217" s="171"/>
      <c r="F217" s="174">
        <f t="shared" si="137"/>
        <v>2</v>
      </c>
      <c r="G217" s="218">
        <f>ROUNDUP(IF(G170&lt;=MAX($G170:G170),0,G170-MAX($G170:G170)),0)</f>
        <v>0</v>
      </c>
      <c r="H217" s="218">
        <f>ROUNDUP(IF(H170&lt;=MAX($G170:G170),0,H170-MAX($G170:G170)),0)</f>
        <v>0</v>
      </c>
      <c r="I217" s="218">
        <f>ROUNDUP(IF(I170&lt;=MAX($G170:H170),0,I170-MAX($G170:H170)),0)</f>
        <v>0</v>
      </c>
      <c r="J217" s="218">
        <f>ROUNDUP(IF(J170&lt;=MAX($G170:I170),0,J170-MAX($G170:I170)),0)</f>
        <v>0</v>
      </c>
      <c r="K217" s="218">
        <f>ROUNDUP(IF(K170&lt;=MAX($G170:J170),0,K170-MAX($G170:J170)),0)</f>
        <v>1</v>
      </c>
      <c r="L217" s="218">
        <f>ROUNDUP(IF(L170&lt;=MAX($G170:K170),0,L170-MAX($G170:K170)),0)</f>
        <v>0</v>
      </c>
      <c r="M217" s="218">
        <f>ROUNDUP(IF(M170&lt;=MAX($G170:L170),0,M170-MAX($G170:L170)),0)</f>
        <v>1</v>
      </c>
      <c r="N217" s="218">
        <f>ROUNDUP(IF(N170&lt;=MAX($G170:M170),0,N170-MAX($G170:M170)),0)</f>
        <v>0</v>
      </c>
      <c r="O217" s="218">
        <f>ROUNDUP(IF(O170&lt;=MAX($G170:N170),0,O170-MAX($G170:N170)),0)</f>
        <v>0</v>
      </c>
      <c r="P217" s="218">
        <f>ROUNDUP(IF(P170&lt;=MAX($G170:O170),0,P170-MAX($G170:O170)),0)</f>
        <v>0</v>
      </c>
      <c r="Q217" s="218">
        <f>ROUNDUP(IF(Q170&lt;=MAX($G170:P170),0,Q170-MAX($G170:P170)),0)</f>
        <v>0</v>
      </c>
      <c r="R217" s="218">
        <f>ROUNDUP(IF(R170&lt;=MAX($G170:Q170),0,R170-MAX($G170:Q170)),0)</f>
        <v>0</v>
      </c>
      <c r="S217" s="218">
        <f>ROUNDUP(IF(S170&lt;=MAX($G170:R170),0,S170-MAX($G170:R170)),0)</f>
        <v>0</v>
      </c>
      <c r="T217" s="218">
        <f>ROUNDUP(IF(T170&lt;=MAX($G170:S170),0,T170-MAX($G170:S170)),0)</f>
        <v>0</v>
      </c>
      <c r="U217" s="218">
        <f>ROUNDUP(IF(U170&lt;=MAX($G170:T170),0,U170-MAX($G170:T170)),0)</f>
        <v>0</v>
      </c>
      <c r="V217" s="218">
        <f>ROUNDUP(IF(V170&lt;=MAX($G170:U170),0,V170-MAX($G170:U170)),0)</f>
        <v>0</v>
      </c>
      <c r="W217" s="218">
        <f>ROUNDUP(IF(W170&lt;=MAX($G170:V170),0,W170-MAX($G170:V170)),0)</f>
        <v>0</v>
      </c>
      <c r="X217" s="218">
        <f>ROUNDUP(IF(X170&lt;=MAX($G170:W170),0,X170-MAX($G170:W170)),0)</f>
        <v>0</v>
      </c>
      <c r="Y217" s="218">
        <f>ROUNDUP(IF(Y170&lt;=MAX($G170:X170),0,Y170-MAX($G170:X170)),0)</f>
        <v>0</v>
      </c>
      <c r="Z217" s="218">
        <f>ROUNDUP(IF(Z170&lt;=MAX($G170:Y170),0,Z170-MAX($G170:Y170)),0)</f>
        <v>0</v>
      </c>
      <c r="AA217" s="218">
        <f>ROUNDUP(IF(AA170&lt;=MAX($G170:Z170),0,AA170-MAX($G170:Z170)),0)</f>
        <v>0</v>
      </c>
      <c r="AB217" s="218">
        <f>ROUNDUP(IF(AB170&lt;=MAX($G170:AA170),0,AB170-MAX($G170:AA170)),0)</f>
        <v>0</v>
      </c>
      <c r="AC217" s="218">
        <f>ROUNDUP(IF(AC170&lt;=MAX($G170:AB170),0,AC170-MAX($G170:AB170)),0)</f>
        <v>0</v>
      </c>
    </row>
    <row r="218" spans="2:29">
      <c r="B218" s="168" t="str">
        <f t="shared" si="138"/>
        <v/>
      </c>
      <c r="C218" s="165" t="str">
        <f t="shared" si="136"/>
        <v xml:space="preserve">Farm tractor </v>
      </c>
      <c r="D218" s="171" t="s">
        <v>896</v>
      </c>
      <c r="E218" s="171"/>
      <c r="F218" s="174">
        <f t="shared" si="137"/>
        <v>2</v>
      </c>
      <c r="G218" s="218">
        <f>ROUNDUP(IF(G171&lt;=MAX($G171:G171),0,G171-MAX($G171:G171)),0)</f>
        <v>0</v>
      </c>
      <c r="H218" s="218">
        <f>ROUNDUP(IF(H171&lt;=MAX($G171:G171),0,H171-MAX($G171:G171)),0)</f>
        <v>0</v>
      </c>
      <c r="I218" s="218">
        <f>ROUNDUP(IF(I171&lt;=MAX($G171:H171),0,I171-MAX($G171:H171)),0)</f>
        <v>0</v>
      </c>
      <c r="J218" s="218">
        <f>ROUNDUP(IF(J171&lt;=MAX($G171:I171),0,J171-MAX($G171:I171)),0)</f>
        <v>0</v>
      </c>
      <c r="K218" s="218">
        <f>ROUNDUP(IF(K171&lt;=MAX($G171:J171),0,K171-MAX($G171:J171)),0)</f>
        <v>1</v>
      </c>
      <c r="L218" s="218">
        <f>ROUNDUP(IF(L171&lt;=MAX($G171:K171),0,L171-MAX($G171:K171)),0)</f>
        <v>0</v>
      </c>
      <c r="M218" s="218">
        <f>ROUNDUP(IF(M171&lt;=MAX($G171:L171),0,M171-MAX($G171:L171)),0)</f>
        <v>1</v>
      </c>
      <c r="N218" s="218">
        <f>ROUNDUP(IF(N171&lt;=MAX($G171:M171),0,N171-MAX($G171:M171)),0)</f>
        <v>0</v>
      </c>
      <c r="O218" s="218">
        <f>ROUNDUP(IF(O171&lt;=MAX($G171:N171),0,O171-MAX($G171:N171)),0)</f>
        <v>0</v>
      </c>
      <c r="P218" s="218">
        <f>ROUNDUP(IF(P171&lt;=MAX($G171:O171),0,P171-MAX($G171:O171)),0)</f>
        <v>0</v>
      </c>
      <c r="Q218" s="218">
        <f>ROUNDUP(IF(Q171&lt;=MAX($G171:P171),0,Q171-MAX($G171:P171)),0)</f>
        <v>0</v>
      </c>
      <c r="R218" s="218">
        <f>ROUNDUP(IF(R171&lt;=MAX($G171:Q171),0,R171-MAX($G171:Q171)),0)</f>
        <v>0</v>
      </c>
      <c r="S218" s="218">
        <f>ROUNDUP(IF(S171&lt;=MAX($G171:R171),0,S171-MAX($G171:R171)),0)</f>
        <v>0</v>
      </c>
      <c r="T218" s="218">
        <f>ROUNDUP(IF(T171&lt;=MAX($G171:S171),0,T171-MAX($G171:S171)),0)</f>
        <v>0</v>
      </c>
      <c r="U218" s="218">
        <f>ROUNDUP(IF(U171&lt;=MAX($G171:T171),0,U171-MAX($G171:T171)),0)</f>
        <v>0</v>
      </c>
      <c r="V218" s="218">
        <f>ROUNDUP(IF(V171&lt;=MAX($G171:U171),0,V171-MAX($G171:U171)),0)</f>
        <v>0</v>
      </c>
      <c r="W218" s="218">
        <f>ROUNDUP(IF(W171&lt;=MAX($G171:V171),0,W171-MAX($G171:V171)),0)</f>
        <v>0</v>
      </c>
      <c r="X218" s="218">
        <f>ROUNDUP(IF(X171&lt;=MAX($G171:W171),0,X171-MAX($G171:W171)),0)</f>
        <v>0</v>
      </c>
      <c r="Y218" s="218">
        <f>ROUNDUP(IF(Y171&lt;=MAX($G171:X171),0,Y171-MAX($G171:X171)),0)</f>
        <v>0</v>
      </c>
      <c r="Z218" s="218">
        <f>ROUNDUP(IF(Z171&lt;=MAX($G171:Y171),0,Z171-MAX($G171:Y171)),0)</f>
        <v>0</v>
      </c>
      <c r="AA218" s="218">
        <f>ROUNDUP(IF(AA171&lt;=MAX($G171:Z171),0,AA171-MAX($G171:Z171)),0)</f>
        <v>0</v>
      </c>
      <c r="AB218" s="218">
        <f>ROUNDUP(IF(AB171&lt;=MAX($G171:AA171),0,AB171-MAX($G171:AA171)),0)</f>
        <v>0</v>
      </c>
      <c r="AC218" s="218">
        <f>ROUNDUP(IF(AC171&lt;=MAX($G171:AB171),0,AC171-MAX($G171:AB171)),0)</f>
        <v>0</v>
      </c>
    </row>
    <row r="219" spans="2:29">
      <c r="B219" s="168" t="str">
        <f t="shared" si="138"/>
        <v/>
      </c>
      <c r="C219" s="165" t="str">
        <f t="shared" si="136"/>
        <v>Fire Tender</v>
      </c>
      <c r="D219" s="171" t="s">
        <v>896</v>
      </c>
      <c r="E219" s="171"/>
      <c r="F219" s="174">
        <f t="shared" si="137"/>
        <v>2</v>
      </c>
      <c r="G219" s="218">
        <f>ROUNDUP(IF(G172&lt;=MAX($G172:G172),0,G172-MAX($G172:G172)),0)</f>
        <v>0</v>
      </c>
      <c r="H219" s="218">
        <f>ROUNDUP(IF(H172&lt;=MAX($G172:G172),0,H172-MAX($G172:G172)),0)</f>
        <v>0</v>
      </c>
      <c r="I219" s="218">
        <f>ROUNDUP(IF(I172&lt;=MAX($G172:H172),0,I172-MAX($G172:H172)),0)</f>
        <v>0</v>
      </c>
      <c r="J219" s="218">
        <f>ROUNDUP(IF(J172&lt;=MAX($G172:I172),0,J172-MAX($G172:I172)),0)</f>
        <v>0</v>
      </c>
      <c r="K219" s="218">
        <f>ROUNDUP(IF(K172&lt;=MAX($G172:J172),0,K172-MAX($G172:J172)),0)</f>
        <v>1</v>
      </c>
      <c r="L219" s="218">
        <f>ROUNDUP(IF(L172&lt;=MAX($G172:K172),0,L172-MAX($G172:K172)),0)</f>
        <v>0</v>
      </c>
      <c r="M219" s="218">
        <f>ROUNDUP(IF(M172&lt;=MAX($G172:L172),0,M172-MAX($G172:L172)),0)</f>
        <v>1</v>
      </c>
      <c r="N219" s="218">
        <f>ROUNDUP(IF(N172&lt;=MAX($G172:M172),0,N172-MAX($G172:M172)),0)</f>
        <v>0</v>
      </c>
      <c r="O219" s="218">
        <f>ROUNDUP(IF(O172&lt;=MAX($G172:N172),0,O172-MAX($G172:N172)),0)</f>
        <v>0</v>
      </c>
      <c r="P219" s="218">
        <f>ROUNDUP(IF(P172&lt;=MAX($G172:O172),0,P172-MAX($G172:O172)),0)</f>
        <v>0</v>
      </c>
      <c r="Q219" s="218">
        <f>ROUNDUP(IF(Q172&lt;=MAX($G172:P172),0,Q172-MAX($G172:P172)),0)</f>
        <v>0</v>
      </c>
      <c r="R219" s="218">
        <f>ROUNDUP(IF(R172&lt;=MAX($G172:Q172),0,R172-MAX($G172:Q172)),0)</f>
        <v>0</v>
      </c>
      <c r="S219" s="218">
        <f>ROUNDUP(IF(S172&lt;=MAX($G172:R172),0,S172-MAX($G172:R172)),0)</f>
        <v>0</v>
      </c>
      <c r="T219" s="218">
        <f>ROUNDUP(IF(T172&lt;=MAX($G172:S172),0,T172-MAX($G172:S172)),0)</f>
        <v>0</v>
      </c>
      <c r="U219" s="218">
        <f>ROUNDUP(IF(U172&lt;=MAX($G172:T172),0,U172-MAX($G172:T172)),0)</f>
        <v>0</v>
      </c>
      <c r="V219" s="218">
        <f>ROUNDUP(IF(V172&lt;=MAX($G172:U172),0,V172-MAX($G172:U172)),0)</f>
        <v>0</v>
      </c>
      <c r="W219" s="218">
        <f>ROUNDUP(IF(W172&lt;=MAX($G172:V172),0,W172-MAX($G172:V172)),0)</f>
        <v>0</v>
      </c>
      <c r="X219" s="218">
        <f>ROUNDUP(IF(X172&lt;=MAX($G172:W172),0,X172-MAX($G172:W172)),0)</f>
        <v>0</v>
      </c>
      <c r="Y219" s="218">
        <f>ROUNDUP(IF(Y172&lt;=MAX($G172:X172),0,Y172-MAX($G172:X172)),0)</f>
        <v>0</v>
      </c>
      <c r="Z219" s="218">
        <f>ROUNDUP(IF(Z172&lt;=MAX($G172:Y172),0,Z172-MAX($G172:Y172)),0)</f>
        <v>0</v>
      </c>
      <c r="AA219" s="218">
        <f>ROUNDUP(IF(AA172&lt;=MAX($G172:Z172),0,AA172-MAX($G172:Z172)),0)</f>
        <v>0</v>
      </c>
      <c r="AB219" s="218">
        <f>ROUNDUP(IF(AB172&lt;=MAX($G172:AA172),0,AB172-MAX($G172:AA172)),0)</f>
        <v>0</v>
      </c>
      <c r="AC219" s="218">
        <f>ROUNDUP(IF(AC172&lt;=MAX($G172:AB172),0,AC172-MAX($G172:AB172)),0)</f>
        <v>0</v>
      </c>
    </row>
    <row r="220" spans="2:29">
      <c r="B220" s="168" t="str">
        <f t="shared" si="138"/>
        <v/>
      </c>
      <c r="C220" s="165" t="str">
        <f t="shared" si="136"/>
        <v xml:space="preserve">Ambulance </v>
      </c>
      <c r="D220" s="171" t="s">
        <v>896</v>
      </c>
      <c r="E220" s="171"/>
      <c r="F220" s="174">
        <f t="shared" si="137"/>
        <v>2</v>
      </c>
      <c r="G220" s="218">
        <f>ROUNDUP(IF(G173&lt;=MAX($G173:G173),0,G173-MAX($G173:G173)),0)</f>
        <v>0</v>
      </c>
      <c r="H220" s="218">
        <f>ROUNDUP(IF(H173&lt;=MAX($G173:G173),0,H173-MAX($G173:G173)),0)</f>
        <v>0</v>
      </c>
      <c r="I220" s="218">
        <f>ROUNDUP(IF(I173&lt;=MAX($G173:H173),0,I173-MAX($G173:H173)),0)</f>
        <v>0</v>
      </c>
      <c r="J220" s="218">
        <f>ROUNDUP(IF(J173&lt;=MAX($G173:I173),0,J173-MAX($G173:I173)),0)</f>
        <v>0</v>
      </c>
      <c r="K220" s="218">
        <f>ROUNDUP(IF(K173&lt;=MAX($G173:J173),0,K173-MAX($G173:J173)),0)</f>
        <v>1</v>
      </c>
      <c r="L220" s="218">
        <f>ROUNDUP(IF(L173&lt;=MAX($G173:K173),0,L173-MAX($G173:K173)),0)</f>
        <v>0</v>
      </c>
      <c r="M220" s="218">
        <f>ROUNDUP(IF(M173&lt;=MAX($G173:L173),0,M173-MAX($G173:L173)),0)</f>
        <v>1</v>
      </c>
      <c r="N220" s="218">
        <f>ROUNDUP(IF(N173&lt;=MAX($G173:M173),0,N173-MAX($G173:M173)),0)</f>
        <v>0</v>
      </c>
      <c r="O220" s="218">
        <f>ROUNDUP(IF(O173&lt;=MAX($G173:N173),0,O173-MAX($G173:N173)),0)</f>
        <v>0</v>
      </c>
      <c r="P220" s="218">
        <f>ROUNDUP(IF(P173&lt;=MAX($G173:O173),0,P173-MAX($G173:O173)),0)</f>
        <v>0</v>
      </c>
      <c r="Q220" s="218">
        <f>ROUNDUP(IF(Q173&lt;=MAX($G173:P173),0,Q173-MAX($G173:P173)),0)</f>
        <v>0</v>
      </c>
      <c r="R220" s="218">
        <f>ROUNDUP(IF(R173&lt;=MAX($G173:Q173),0,R173-MAX($G173:Q173)),0)</f>
        <v>0</v>
      </c>
      <c r="S220" s="218">
        <f>ROUNDUP(IF(S173&lt;=MAX($G173:R173),0,S173-MAX($G173:R173)),0)</f>
        <v>0</v>
      </c>
      <c r="T220" s="218">
        <f>ROUNDUP(IF(T173&lt;=MAX($G173:S173),0,T173-MAX($G173:S173)),0)</f>
        <v>0</v>
      </c>
      <c r="U220" s="218">
        <f>ROUNDUP(IF(U173&lt;=MAX($G173:T173),0,U173-MAX($G173:T173)),0)</f>
        <v>0</v>
      </c>
      <c r="V220" s="218">
        <f>ROUNDUP(IF(V173&lt;=MAX($G173:U173),0,V173-MAX($G173:U173)),0)</f>
        <v>0</v>
      </c>
      <c r="W220" s="218">
        <f>ROUNDUP(IF(W173&lt;=MAX($G173:V173),0,W173-MAX($G173:V173)),0)</f>
        <v>0</v>
      </c>
      <c r="X220" s="218">
        <f>ROUNDUP(IF(X173&lt;=MAX($G173:W173),0,X173-MAX($G173:W173)),0)</f>
        <v>0</v>
      </c>
      <c r="Y220" s="218">
        <f>ROUNDUP(IF(Y173&lt;=MAX($G173:X173),0,Y173-MAX($G173:X173)),0)</f>
        <v>0</v>
      </c>
      <c r="Z220" s="218">
        <f>ROUNDUP(IF(Z173&lt;=MAX($G173:Y173),0,Z173-MAX($G173:Y173)),0)</f>
        <v>0</v>
      </c>
      <c r="AA220" s="218">
        <f>ROUNDUP(IF(AA173&lt;=MAX($G173:Z173),0,AA173-MAX($G173:Z173)),0)</f>
        <v>0</v>
      </c>
      <c r="AB220" s="218">
        <f>ROUNDUP(IF(AB173&lt;=MAX($G173:AA173),0,AB173-MAX($G173:AA173)),0)</f>
        <v>0</v>
      </c>
      <c r="AC220" s="218">
        <f>ROUNDUP(IF(AC173&lt;=MAX($G173:AB173),0,AC173-MAX($G173:AB173)),0)</f>
        <v>0</v>
      </c>
    </row>
    <row r="221" spans="2:29">
      <c r="B221" s="168" t="str">
        <f t="shared" si="138"/>
        <v/>
      </c>
      <c r="C221" s="165" t="str">
        <f t="shared" si="136"/>
        <v>Worker Transportation bus</v>
      </c>
      <c r="D221" s="171" t="s">
        <v>896</v>
      </c>
      <c r="E221" s="171"/>
      <c r="F221" s="174">
        <f t="shared" si="137"/>
        <v>2</v>
      </c>
      <c r="G221" s="218">
        <f>ROUNDUP(IF(G174&lt;=MAX($G174:G174),0,G174-MAX($G174:G174)),0)</f>
        <v>0</v>
      </c>
      <c r="H221" s="218">
        <f>ROUNDUP(IF(H174&lt;=MAX($G174:G174),0,H174-MAX($G174:G174)),0)</f>
        <v>0</v>
      </c>
      <c r="I221" s="218">
        <f>ROUNDUP(IF(I174&lt;=MAX($G174:H174),0,I174-MAX($G174:H174)),0)</f>
        <v>0</v>
      </c>
      <c r="J221" s="218">
        <f>ROUNDUP(IF(J174&lt;=MAX($G174:I174),0,J174-MAX($G174:I174)),0)</f>
        <v>0</v>
      </c>
      <c r="K221" s="218">
        <f>ROUNDUP(IF(K174&lt;=MAX($G174:J174),0,K174-MAX($G174:J174)),0)</f>
        <v>1</v>
      </c>
      <c r="L221" s="218">
        <f>ROUNDUP(IF(L174&lt;=MAX($G174:K174),0,L174-MAX($G174:K174)),0)</f>
        <v>0</v>
      </c>
      <c r="M221" s="218">
        <f>ROUNDUP(IF(M174&lt;=MAX($G174:L174),0,M174-MAX($G174:L174)),0)</f>
        <v>1</v>
      </c>
      <c r="N221" s="218">
        <f>ROUNDUP(IF(N174&lt;=MAX($G174:M174),0,N174-MAX($G174:M174)),0)</f>
        <v>0</v>
      </c>
      <c r="O221" s="218">
        <f>ROUNDUP(IF(O174&lt;=MAX($G174:N174),0,O174-MAX($G174:N174)),0)</f>
        <v>0</v>
      </c>
      <c r="P221" s="218">
        <f>ROUNDUP(IF(P174&lt;=MAX($G174:O174),0,P174-MAX($G174:O174)),0)</f>
        <v>0</v>
      </c>
      <c r="Q221" s="218">
        <f>ROUNDUP(IF(Q174&lt;=MAX($G174:P174),0,Q174-MAX($G174:P174)),0)</f>
        <v>0</v>
      </c>
      <c r="R221" s="218">
        <f>ROUNDUP(IF(R174&lt;=MAX($G174:Q174),0,R174-MAX($G174:Q174)),0)</f>
        <v>0</v>
      </c>
      <c r="S221" s="218">
        <f>ROUNDUP(IF(S174&lt;=MAX($G174:R174),0,S174-MAX($G174:R174)),0)</f>
        <v>0</v>
      </c>
      <c r="T221" s="218">
        <f>ROUNDUP(IF(T174&lt;=MAX($G174:S174),0,T174-MAX($G174:S174)),0)</f>
        <v>0</v>
      </c>
      <c r="U221" s="218">
        <f>ROUNDUP(IF(U174&lt;=MAX($G174:T174),0,U174-MAX($G174:T174)),0)</f>
        <v>0</v>
      </c>
      <c r="V221" s="218">
        <f>ROUNDUP(IF(V174&lt;=MAX($G174:U174),0,V174-MAX($G174:U174)),0)</f>
        <v>0</v>
      </c>
      <c r="W221" s="218">
        <f>ROUNDUP(IF(W174&lt;=MAX($G174:V174),0,W174-MAX($G174:V174)),0)</f>
        <v>0</v>
      </c>
      <c r="X221" s="218">
        <f>ROUNDUP(IF(X174&lt;=MAX($G174:W174),0,X174-MAX($G174:W174)),0)</f>
        <v>0</v>
      </c>
      <c r="Y221" s="218">
        <f>ROUNDUP(IF(Y174&lt;=MAX($G174:X174),0,Y174-MAX($G174:X174)),0)</f>
        <v>0</v>
      </c>
      <c r="Z221" s="218">
        <f>ROUNDUP(IF(Z174&lt;=MAX($G174:Y174),0,Z174-MAX($G174:Y174)),0)</f>
        <v>0</v>
      </c>
      <c r="AA221" s="218">
        <f>ROUNDUP(IF(AA174&lt;=MAX($G174:Z174),0,AA174-MAX($G174:Z174)),0)</f>
        <v>0</v>
      </c>
      <c r="AB221" s="218">
        <f>ROUNDUP(IF(AB174&lt;=MAX($G174:AA174),0,AB174-MAX($G174:AA174)),0)</f>
        <v>0</v>
      </c>
      <c r="AC221" s="218">
        <f>ROUNDUP(IF(AC174&lt;=MAX($G174:AB174),0,AC174-MAX($G174:AB174)),0)</f>
        <v>0</v>
      </c>
    </row>
    <row r="222" spans="2:29">
      <c r="B222" s="168" t="str">
        <f t="shared" si="138"/>
        <v/>
      </c>
      <c r="C222" s="165" t="str">
        <f t="shared" si="136"/>
        <v>School bus</v>
      </c>
      <c r="D222" s="171" t="s">
        <v>896</v>
      </c>
      <c r="E222" s="171"/>
      <c r="F222" s="174">
        <f t="shared" si="137"/>
        <v>2</v>
      </c>
      <c r="G222" s="218">
        <f>ROUNDUP(IF(G175&lt;=MAX($G175:G175),0,G175-MAX($G175:G175)),0)</f>
        <v>0</v>
      </c>
      <c r="H222" s="218">
        <f>ROUNDUP(IF(H175&lt;=MAX($G175:G175),0,H175-MAX($G175:G175)),0)</f>
        <v>0</v>
      </c>
      <c r="I222" s="218">
        <f>ROUNDUP(IF(I175&lt;=MAX($G175:H175),0,I175-MAX($G175:H175)),0)</f>
        <v>0</v>
      </c>
      <c r="J222" s="218">
        <f>ROUNDUP(IF(J175&lt;=MAX($G175:I175),0,J175-MAX($G175:I175)),0)</f>
        <v>0</v>
      </c>
      <c r="K222" s="218">
        <f>ROUNDUP(IF(K175&lt;=MAX($G175:J175),0,K175-MAX($G175:J175)),0)</f>
        <v>1</v>
      </c>
      <c r="L222" s="218">
        <f>ROUNDUP(IF(L175&lt;=MAX($G175:K175),0,L175-MAX($G175:K175)),0)</f>
        <v>0</v>
      </c>
      <c r="M222" s="218">
        <f>ROUNDUP(IF(M175&lt;=MAX($G175:L175),0,M175-MAX($G175:L175)),0)</f>
        <v>1</v>
      </c>
      <c r="N222" s="218">
        <f>ROUNDUP(IF(N175&lt;=MAX($G175:M175),0,N175-MAX($G175:M175)),0)</f>
        <v>0</v>
      </c>
      <c r="O222" s="218">
        <f>ROUNDUP(IF(O175&lt;=MAX($G175:N175),0,O175-MAX($G175:N175)),0)</f>
        <v>0</v>
      </c>
      <c r="P222" s="218">
        <f>ROUNDUP(IF(P175&lt;=MAX($G175:O175),0,P175-MAX($G175:O175)),0)</f>
        <v>0</v>
      </c>
      <c r="Q222" s="218">
        <f>ROUNDUP(IF(Q175&lt;=MAX($G175:P175),0,Q175-MAX($G175:P175)),0)</f>
        <v>0</v>
      </c>
      <c r="R222" s="218">
        <f>ROUNDUP(IF(R175&lt;=MAX($G175:Q175),0,R175-MAX($G175:Q175)),0)</f>
        <v>0</v>
      </c>
      <c r="S222" s="218">
        <f>ROUNDUP(IF(S175&lt;=MAX($G175:R175),0,S175-MAX($G175:R175)),0)</f>
        <v>0</v>
      </c>
      <c r="T222" s="218">
        <f>ROUNDUP(IF(T175&lt;=MAX($G175:S175),0,T175-MAX($G175:S175)),0)</f>
        <v>0</v>
      </c>
      <c r="U222" s="218">
        <f>ROUNDUP(IF(U175&lt;=MAX($G175:T175),0,U175-MAX($G175:T175)),0)</f>
        <v>0</v>
      </c>
      <c r="V222" s="218">
        <f>ROUNDUP(IF(V175&lt;=MAX($G175:U175),0,V175-MAX($G175:U175)),0)</f>
        <v>0</v>
      </c>
      <c r="W222" s="218">
        <f>ROUNDUP(IF(W175&lt;=MAX($G175:V175),0,W175-MAX($G175:V175)),0)</f>
        <v>0</v>
      </c>
      <c r="X222" s="218">
        <f>ROUNDUP(IF(X175&lt;=MAX($G175:W175),0,X175-MAX($G175:W175)),0)</f>
        <v>0</v>
      </c>
      <c r="Y222" s="218">
        <f>ROUNDUP(IF(Y175&lt;=MAX($G175:X175),0,Y175-MAX($G175:X175)),0)</f>
        <v>0</v>
      </c>
      <c r="Z222" s="218">
        <f>ROUNDUP(IF(Z175&lt;=MAX($G175:Y175),0,Z175-MAX($G175:Y175)),0)</f>
        <v>0</v>
      </c>
      <c r="AA222" s="218">
        <f>ROUNDUP(IF(AA175&lt;=MAX($G175:Z175),0,AA175-MAX($G175:Z175)),0)</f>
        <v>0</v>
      </c>
      <c r="AB222" s="218">
        <f>ROUNDUP(IF(AB175&lt;=MAX($G175:AA175),0,AB175-MAX($G175:AA175)),0)</f>
        <v>0</v>
      </c>
      <c r="AC222" s="218">
        <f>ROUNDUP(IF(AC175&lt;=MAX($G175:AB175),0,AC175-MAX($G175:AB175)),0)</f>
        <v>0</v>
      </c>
    </row>
    <row r="223" spans="2:29">
      <c r="B223" s="168" t="str">
        <f t="shared" si="138"/>
        <v/>
      </c>
      <c r="C223" s="165" t="str">
        <f t="shared" si="136"/>
        <v xml:space="preserve">Pickup Van </v>
      </c>
      <c r="D223" s="171" t="s">
        <v>896</v>
      </c>
      <c r="E223" s="171"/>
      <c r="F223" s="174">
        <f t="shared" si="137"/>
        <v>2</v>
      </c>
      <c r="G223" s="218">
        <f>ROUNDUP(IF(G176&lt;=MAX($G176:G176),0,G176-MAX($G176:G176)),0)</f>
        <v>0</v>
      </c>
      <c r="H223" s="218">
        <f>ROUNDUP(IF(H176&lt;=MAX($G176:G176),0,H176-MAX($G176:G176)),0)</f>
        <v>0</v>
      </c>
      <c r="I223" s="218">
        <f>ROUNDUP(IF(I176&lt;=MAX($G176:H176),0,I176-MAX($G176:H176)),0)</f>
        <v>0</v>
      </c>
      <c r="J223" s="218">
        <f>ROUNDUP(IF(J176&lt;=MAX($G176:I176),0,J176-MAX($G176:I176)),0)</f>
        <v>0</v>
      </c>
      <c r="K223" s="218">
        <f>ROUNDUP(IF(K176&lt;=MAX($G176:J176),0,K176-MAX($G176:J176)),0)</f>
        <v>1</v>
      </c>
      <c r="L223" s="218">
        <f>ROUNDUP(IF(L176&lt;=MAX($G176:K176),0,L176-MAX($G176:K176)),0)</f>
        <v>0</v>
      </c>
      <c r="M223" s="218">
        <f>ROUNDUP(IF(M176&lt;=MAX($G176:L176),0,M176-MAX($G176:L176)),0)</f>
        <v>1</v>
      </c>
      <c r="N223" s="218">
        <f>ROUNDUP(IF(N176&lt;=MAX($G176:M176),0,N176-MAX($G176:M176)),0)</f>
        <v>0</v>
      </c>
      <c r="O223" s="218">
        <f>ROUNDUP(IF(O176&lt;=MAX($G176:N176),0,O176-MAX($G176:N176)),0)</f>
        <v>0</v>
      </c>
      <c r="P223" s="218">
        <f>ROUNDUP(IF(P176&lt;=MAX($G176:O176),0,P176-MAX($G176:O176)),0)</f>
        <v>0</v>
      </c>
      <c r="Q223" s="218">
        <f>ROUNDUP(IF(Q176&lt;=MAX($G176:P176),0,Q176-MAX($G176:P176)),0)</f>
        <v>0</v>
      </c>
      <c r="R223" s="218">
        <f>ROUNDUP(IF(R176&lt;=MAX($G176:Q176),0,R176-MAX($G176:Q176)),0)</f>
        <v>0</v>
      </c>
      <c r="S223" s="218">
        <f>ROUNDUP(IF(S176&lt;=MAX($G176:R176),0,S176-MAX($G176:R176)),0)</f>
        <v>0</v>
      </c>
      <c r="T223" s="218">
        <f>ROUNDUP(IF(T176&lt;=MAX($G176:S176),0,T176-MAX($G176:S176)),0)</f>
        <v>0</v>
      </c>
      <c r="U223" s="218">
        <f>ROUNDUP(IF(U176&lt;=MAX($G176:T176),0,U176-MAX($G176:T176)),0)</f>
        <v>0</v>
      </c>
      <c r="V223" s="218">
        <f>ROUNDUP(IF(V176&lt;=MAX($G176:U176),0,V176-MAX($G176:U176)),0)</f>
        <v>0</v>
      </c>
      <c r="W223" s="218">
        <f>ROUNDUP(IF(W176&lt;=MAX($G176:V176),0,W176-MAX($G176:V176)),0)</f>
        <v>0</v>
      </c>
      <c r="X223" s="218">
        <f>ROUNDUP(IF(X176&lt;=MAX($G176:W176),0,X176-MAX($G176:W176)),0)</f>
        <v>0</v>
      </c>
      <c r="Y223" s="218">
        <f>ROUNDUP(IF(Y176&lt;=MAX($G176:X176),0,Y176-MAX($G176:X176)),0)</f>
        <v>0</v>
      </c>
      <c r="Z223" s="218">
        <f>ROUNDUP(IF(Z176&lt;=MAX($G176:Y176),0,Z176-MAX($G176:Y176)),0)</f>
        <v>0</v>
      </c>
      <c r="AA223" s="218">
        <f>ROUNDUP(IF(AA176&lt;=MAX($G176:Z176),0,AA176-MAX($G176:Z176)),0)</f>
        <v>0</v>
      </c>
      <c r="AB223" s="218">
        <f>ROUNDUP(IF(AB176&lt;=MAX($G176:AA176),0,AB176-MAX($G176:AA176)),0)</f>
        <v>0</v>
      </c>
      <c r="AC223" s="218">
        <f>ROUNDUP(IF(AC176&lt;=MAX($G176:AB176),0,AC176-MAX($G176:AB176)),0)</f>
        <v>0</v>
      </c>
    </row>
    <row r="224" spans="2:29">
      <c r="B224" s="168" t="str">
        <f t="shared" si="138"/>
        <v/>
      </c>
      <c r="C224" s="165" t="str">
        <f t="shared" si="136"/>
        <v>Cars</v>
      </c>
      <c r="D224" s="171" t="s">
        <v>896</v>
      </c>
      <c r="E224" s="171"/>
      <c r="F224" s="174">
        <f t="shared" si="137"/>
        <v>2</v>
      </c>
      <c r="G224" s="218">
        <f>ROUNDUP(IF(G177&lt;=MAX($G177:G177),0,G177-MAX($G177:G177)),0)</f>
        <v>0</v>
      </c>
      <c r="H224" s="218">
        <f>ROUNDUP(IF(H177&lt;=MAX($G177:G177),0,H177-MAX($G177:G177)),0)</f>
        <v>0</v>
      </c>
      <c r="I224" s="218">
        <f>ROUNDUP(IF(I177&lt;=MAX($G177:H177),0,I177-MAX($G177:H177)),0)</f>
        <v>0</v>
      </c>
      <c r="J224" s="218">
        <f>ROUNDUP(IF(J177&lt;=MAX($G177:I177),0,J177-MAX($G177:I177)),0)</f>
        <v>0</v>
      </c>
      <c r="K224" s="218">
        <f>ROUNDUP(IF(K177&lt;=MAX($G177:J177),0,K177-MAX($G177:J177)),0)</f>
        <v>1</v>
      </c>
      <c r="L224" s="218">
        <f>ROUNDUP(IF(L177&lt;=MAX($G177:K177),0,L177-MAX($G177:K177)),0)</f>
        <v>0</v>
      </c>
      <c r="M224" s="218">
        <f>ROUNDUP(IF(M177&lt;=MAX($G177:L177),0,M177-MAX($G177:L177)),0)</f>
        <v>1</v>
      </c>
      <c r="N224" s="218">
        <f>ROUNDUP(IF(N177&lt;=MAX($G177:M177),0,N177-MAX($G177:M177)),0)</f>
        <v>0</v>
      </c>
      <c r="O224" s="218">
        <f>ROUNDUP(IF(O177&lt;=MAX($G177:N177),0,O177-MAX($G177:N177)),0)</f>
        <v>0</v>
      </c>
      <c r="P224" s="218">
        <f>ROUNDUP(IF(P177&lt;=MAX($G177:O177),0,P177-MAX($G177:O177)),0)</f>
        <v>0</v>
      </c>
      <c r="Q224" s="218">
        <f>ROUNDUP(IF(Q177&lt;=MAX($G177:P177),0,Q177-MAX($G177:P177)),0)</f>
        <v>0</v>
      </c>
      <c r="R224" s="218">
        <f>ROUNDUP(IF(R177&lt;=MAX($G177:Q177),0,R177-MAX($G177:Q177)),0)</f>
        <v>0</v>
      </c>
      <c r="S224" s="218">
        <f>ROUNDUP(IF(S177&lt;=MAX($G177:R177),0,S177-MAX($G177:R177)),0)</f>
        <v>0</v>
      </c>
      <c r="T224" s="218">
        <f>ROUNDUP(IF(T177&lt;=MAX($G177:S177),0,T177-MAX($G177:S177)),0)</f>
        <v>0</v>
      </c>
      <c r="U224" s="218">
        <f>ROUNDUP(IF(U177&lt;=MAX($G177:T177),0,U177-MAX($G177:T177)),0)</f>
        <v>0</v>
      </c>
      <c r="V224" s="218">
        <f>ROUNDUP(IF(V177&lt;=MAX($G177:U177),0,V177-MAX($G177:U177)),0)</f>
        <v>0</v>
      </c>
      <c r="W224" s="218">
        <f>ROUNDUP(IF(W177&lt;=MAX($G177:V177),0,W177-MAX($G177:V177)),0)</f>
        <v>0</v>
      </c>
      <c r="X224" s="218">
        <f>ROUNDUP(IF(X177&lt;=MAX($G177:W177),0,X177-MAX($G177:W177)),0)</f>
        <v>0</v>
      </c>
      <c r="Y224" s="218">
        <f>ROUNDUP(IF(Y177&lt;=MAX($G177:X177),0,Y177-MAX($G177:X177)),0)</f>
        <v>0</v>
      </c>
      <c r="Z224" s="218">
        <f>ROUNDUP(IF(Z177&lt;=MAX($G177:Y177),0,Z177-MAX($G177:Y177)),0)</f>
        <v>0</v>
      </c>
      <c r="AA224" s="218">
        <f>ROUNDUP(IF(AA177&lt;=MAX($G177:Z177),0,AA177-MAX($G177:Z177)),0)</f>
        <v>0</v>
      </c>
      <c r="AB224" s="218">
        <f>ROUNDUP(IF(AB177&lt;=MAX($G177:AA177),0,AB177-MAX($G177:AA177)),0)</f>
        <v>0</v>
      </c>
      <c r="AC224" s="218">
        <f>ROUNDUP(IF(AC177&lt;=MAX($G177:AB177),0,AC177-MAX($G177:AB177)),0)</f>
        <v>0</v>
      </c>
    </row>
    <row r="225" spans="2:58" ht="14" thickBot="1">
      <c r="B225" s="169" t="str">
        <f t="shared" si="138"/>
        <v/>
      </c>
      <c r="C225" s="166" t="str">
        <f t="shared" si="136"/>
        <v/>
      </c>
      <c r="D225" s="172" t="s">
        <v>896</v>
      </c>
      <c r="E225" s="172"/>
      <c r="F225" s="172">
        <f t="shared" si="135"/>
        <v>0</v>
      </c>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176"/>
      <c r="AX225" s="176"/>
      <c r="AY225" s="176"/>
      <c r="AZ225" s="176"/>
      <c r="BA225" s="176"/>
      <c r="BB225" s="176"/>
      <c r="BC225" s="176"/>
      <c r="BD225" s="176"/>
      <c r="BE225" s="176"/>
      <c r="BF225" s="177"/>
    </row>
    <row r="226" spans="2:58" ht="14" thickTop="1"/>
    <row r="228" spans="2:58">
      <c r="B228" s="191" t="s">
        <v>974</v>
      </c>
    </row>
    <row r="229" spans="2:58" ht="15" thickBot="1">
      <c r="B229" s="1141" t="s">
        <v>971</v>
      </c>
      <c r="C229" s="1141" t="s">
        <v>972</v>
      </c>
      <c r="D229" s="1141" t="s">
        <v>88</v>
      </c>
      <c r="E229" s="789"/>
      <c r="F229" s="1141" t="s">
        <v>886</v>
      </c>
      <c r="G229" s="789">
        <f t="shared" ref="G229:AC229" si="139">G182</f>
        <v>-4</v>
      </c>
      <c r="H229" s="789">
        <f t="shared" si="139"/>
        <v>-3</v>
      </c>
      <c r="I229" s="789">
        <f t="shared" si="139"/>
        <v>-2</v>
      </c>
      <c r="J229" s="789">
        <f t="shared" si="139"/>
        <v>-1</v>
      </c>
      <c r="K229" s="789">
        <f t="shared" si="139"/>
        <v>1</v>
      </c>
      <c r="L229" s="789">
        <f t="shared" si="139"/>
        <v>2</v>
      </c>
      <c r="M229" s="789">
        <f t="shared" si="139"/>
        <v>3</v>
      </c>
      <c r="N229" s="789">
        <f t="shared" si="139"/>
        <v>4</v>
      </c>
      <c r="O229" s="789">
        <f t="shared" si="139"/>
        <v>5</v>
      </c>
      <c r="P229" s="789">
        <f t="shared" si="139"/>
        <v>6</v>
      </c>
      <c r="Q229" s="789">
        <f t="shared" si="139"/>
        <v>7</v>
      </c>
      <c r="R229" s="789">
        <f t="shared" si="139"/>
        <v>8</v>
      </c>
      <c r="S229" s="789">
        <f t="shared" si="139"/>
        <v>9</v>
      </c>
      <c r="T229" s="789">
        <f t="shared" si="139"/>
        <v>10</v>
      </c>
      <c r="U229" s="789">
        <f t="shared" si="139"/>
        <v>11</v>
      </c>
      <c r="V229" s="789">
        <f t="shared" si="139"/>
        <v>12</v>
      </c>
      <c r="W229" s="789">
        <f t="shared" si="139"/>
        <v>13</v>
      </c>
      <c r="X229" s="789">
        <f t="shared" si="139"/>
        <v>14</v>
      </c>
      <c r="Y229" s="789">
        <f t="shared" si="139"/>
        <v>15</v>
      </c>
      <c r="Z229" s="789">
        <f t="shared" si="139"/>
        <v>16</v>
      </c>
      <c r="AA229" s="789">
        <f t="shared" si="139"/>
        <v>17</v>
      </c>
      <c r="AB229" s="789">
        <f t="shared" si="139"/>
        <v>18</v>
      </c>
      <c r="AC229" s="789">
        <f t="shared" si="139"/>
        <v>19</v>
      </c>
      <c r="AD229" s="789"/>
      <c r="AE229" s="789"/>
      <c r="AF229" s="789"/>
      <c r="AG229" s="789"/>
      <c r="AH229" s="789"/>
      <c r="AI229" s="789"/>
      <c r="AJ229" s="789"/>
      <c r="AK229" s="789"/>
      <c r="AL229" s="789"/>
      <c r="AM229" s="789"/>
      <c r="AN229" s="789"/>
      <c r="AO229" s="789"/>
      <c r="AP229" s="789"/>
      <c r="AQ229" s="789"/>
      <c r="AR229" s="789">
        <f t="shared" ref="AR229:BF229" si="140">AR98</f>
        <v>0</v>
      </c>
      <c r="AS229" s="789">
        <f t="shared" si="140"/>
        <v>0</v>
      </c>
      <c r="AT229" s="789">
        <f t="shared" si="140"/>
        <v>0</v>
      </c>
      <c r="AU229" s="789">
        <f t="shared" si="140"/>
        <v>0</v>
      </c>
      <c r="AV229" s="789">
        <f t="shared" si="140"/>
        <v>0</v>
      </c>
      <c r="AW229" s="789">
        <f t="shared" si="140"/>
        <v>0</v>
      </c>
      <c r="AX229" s="789">
        <f t="shared" si="140"/>
        <v>0</v>
      </c>
      <c r="AY229" s="789">
        <f t="shared" si="140"/>
        <v>0</v>
      </c>
      <c r="AZ229" s="789">
        <f t="shared" si="140"/>
        <v>0</v>
      </c>
      <c r="BA229" s="789">
        <f t="shared" si="140"/>
        <v>0</v>
      </c>
      <c r="BB229" s="789">
        <f t="shared" si="140"/>
        <v>0</v>
      </c>
      <c r="BC229" s="789">
        <f t="shared" si="140"/>
        <v>0</v>
      </c>
      <c r="BD229" s="789">
        <f t="shared" si="140"/>
        <v>0</v>
      </c>
      <c r="BE229" s="789">
        <f t="shared" si="140"/>
        <v>0</v>
      </c>
      <c r="BF229" s="789">
        <f t="shared" si="140"/>
        <v>0</v>
      </c>
    </row>
    <row r="230" spans="2:58">
      <c r="B230" s="167" t="str">
        <f t="shared" ref="B230:C245" si="141">B183</f>
        <v>Coal/Ore</v>
      </c>
      <c r="C230" s="164" t="str">
        <f t="shared" si="141"/>
        <v>Drill Machine/ 115mm diameter</v>
      </c>
      <c r="D230" s="170" t="s">
        <v>896</v>
      </c>
      <c r="E230" s="170"/>
      <c r="F230" s="174">
        <f>MAX(G230:BF230)</f>
        <v>0.8239727229918129</v>
      </c>
      <c r="G230" s="220">
        <f t="shared" ref="G230:AC230" si="142">G12</f>
        <v>0</v>
      </c>
      <c r="H230" s="220">
        <f t="shared" si="142"/>
        <v>0</v>
      </c>
      <c r="I230" s="220">
        <f t="shared" si="142"/>
        <v>0</v>
      </c>
      <c r="J230" s="220">
        <f t="shared" si="142"/>
        <v>0</v>
      </c>
      <c r="K230" s="220">
        <f t="shared" si="142"/>
        <v>0.41198644955802083</v>
      </c>
      <c r="L230" s="220">
        <f t="shared" si="142"/>
        <v>0.8239727229918129</v>
      </c>
      <c r="M230" s="220">
        <f t="shared" si="142"/>
        <v>0.24719192257208109</v>
      </c>
      <c r="N230" s="220">
        <f t="shared" si="142"/>
        <v>0.37078780460221866</v>
      </c>
      <c r="O230" s="220">
        <f t="shared" si="142"/>
        <v>0.46348466328755333</v>
      </c>
      <c r="P230" s="220">
        <f t="shared" si="142"/>
        <v>0.46348503314843381</v>
      </c>
      <c r="Q230" s="220">
        <f t="shared" si="142"/>
        <v>0.46348476896209051</v>
      </c>
      <c r="R230" s="220">
        <f t="shared" si="142"/>
        <v>0.46348471612482195</v>
      </c>
      <c r="S230" s="220">
        <f t="shared" si="142"/>
        <v>0.46348492747389636</v>
      </c>
      <c r="T230" s="220">
        <f t="shared" si="142"/>
        <v>0.46348466328755333</v>
      </c>
      <c r="U230" s="220">
        <f t="shared" si="142"/>
        <v>0.46348471612482195</v>
      </c>
      <c r="V230" s="220">
        <f t="shared" si="142"/>
        <v>0.46348487463662774</v>
      </c>
      <c r="W230" s="220">
        <f t="shared" si="142"/>
        <v>0.46348529733477684</v>
      </c>
      <c r="X230" s="220">
        <f t="shared" si="142"/>
        <v>0.46348487463662774</v>
      </c>
      <c r="Y230" s="220">
        <f t="shared" si="142"/>
        <v>0.46348487463662774</v>
      </c>
      <c r="Z230" s="220">
        <f t="shared" si="142"/>
        <v>0.46348482179935913</v>
      </c>
      <c r="AA230" s="220">
        <f t="shared" si="142"/>
        <v>0.30898986358714992</v>
      </c>
      <c r="AB230" s="220">
        <f t="shared" si="142"/>
        <v>0.23174249015558254</v>
      </c>
      <c r="AC230" s="220">
        <f t="shared" si="142"/>
        <v>6.8113447641047681E-2</v>
      </c>
      <c r="AD230" s="220"/>
      <c r="AE230" s="220"/>
      <c r="AF230" s="220"/>
      <c r="AG230" s="220"/>
      <c r="AH230" s="220"/>
      <c r="AI230" s="220"/>
      <c r="AJ230" s="220"/>
      <c r="AK230" s="220"/>
      <c r="AL230" s="220"/>
      <c r="AM230" s="220"/>
      <c r="AN230" s="220"/>
      <c r="AO230" s="220"/>
      <c r="AP230" s="220"/>
      <c r="AQ230" s="220"/>
      <c r="AR230" s="218"/>
      <c r="AS230" s="218"/>
      <c r="AT230" s="218"/>
      <c r="AU230" s="218"/>
      <c r="AV230" s="218"/>
      <c r="AW230" s="218"/>
      <c r="AX230" s="218"/>
      <c r="AY230" s="218"/>
      <c r="AZ230" s="218"/>
      <c r="BA230" s="218"/>
      <c r="BB230" s="218"/>
      <c r="BC230" s="218"/>
      <c r="BD230" s="218"/>
      <c r="BE230" s="218"/>
      <c r="BF230" s="218"/>
    </row>
    <row r="231" spans="2:58">
      <c r="B231" s="168" t="str">
        <f t="shared" si="141"/>
        <v xml:space="preserve">Waste (IB Thin Parting) </v>
      </c>
      <c r="C231" s="165" t="str">
        <f t="shared" si="141"/>
        <v>Drill Machine/ 160mm diameter</v>
      </c>
      <c r="D231" s="171" t="s">
        <v>896</v>
      </c>
      <c r="E231" s="171"/>
      <c r="F231" s="174">
        <f t="shared" ref="F231:F244" si="143">MAX(G231:BF231)</f>
        <v>3.3571227141383311</v>
      </c>
      <c r="G231" s="220">
        <f t="shared" ref="G231:AC231" si="144">G16</f>
        <v>0</v>
      </c>
      <c r="H231" s="220">
        <f t="shared" si="144"/>
        <v>0</v>
      </c>
      <c r="I231" s="220">
        <f t="shared" si="144"/>
        <v>0</v>
      </c>
      <c r="J231" s="220">
        <f t="shared" si="144"/>
        <v>0</v>
      </c>
      <c r="K231" s="220">
        <f t="shared" si="144"/>
        <v>0.81099860480679709</v>
      </c>
      <c r="L231" s="220">
        <f t="shared" si="144"/>
        <v>0.67319963403829319</v>
      </c>
      <c r="M231" s="220">
        <f t="shared" si="144"/>
        <v>1.219429428344474</v>
      </c>
      <c r="N231" s="220">
        <f t="shared" si="144"/>
        <v>2.6040969499099789</v>
      </c>
      <c r="O231" s="220">
        <f t="shared" si="144"/>
        <v>2.5053132970750456</v>
      </c>
      <c r="P231" s="220">
        <f t="shared" si="144"/>
        <v>3.3571227141383311</v>
      </c>
      <c r="Q231" s="220">
        <f t="shared" si="144"/>
        <v>3.0730590245984799</v>
      </c>
      <c r="R231" s="220">
        <f t="shared" si="144"/>
        <v>2.5701660605281207</v>
      </c>
      <c r="S231" s="220">
        <f t="shared" si="144"/>
        <v>2.6782221503486516</v>
      </c>
      <c r="T231" s="220">
        <f t="shared" si="144"/>
        <v>2.3892002959615031</v>
      </c>
      <c r="U231" s="220">
        <f t="shared" si="144"/>
        <v>2.6915400322148657</v>
      </c>
      <c r="V231" s="220">
        <f t="shared" si="144"/>
        <v>2.0499923685469685</v>
      </c>
      <c r="W231" s="220">
        <f t="shared" si="144"/>
        <v>1.8000815420100795</v>
      </c>
      <c r="X231" s="220">
        <f t="shared" si="144"/>
        <v>2.2361822219420304</v>
      </c>
      <c r="Y231" s="220">
        <f t="shared" si="144"/>
        <v>2.2290896546056431</v>
      </c>
      <c r="Z231" s="220">
        <f t="shared" si="144"/>
        <v>2.837943886909303</v>
      </c>
      <c r="AA231" s="220">
        <f t="shared" si="144"/>
        <v>1.7489232710454885</v>
      </c>
      <c r="AB231" s="220">
        <f t="shared" si="144"/>
        <v>0.30386090072820215</v>
      </c>
      <c r="AC231" s="220">
        <f t="shared" si="144"/>
        <v>9.0285572604456577E-2</v>
      </c>
      <c r="AD231" s="220"/>
      <c r="AE231" s="220"/>
      <c r="AF231" s="220"/>
      <c r="AG231" s="220"/>
      <c r="AH231" s="220"/>
      <c r="AI231" s="220"/>
      <c r="AJ231" s="220"/>
      <c r="AK231" s="220"/>
      <c r="AL231" s="220"/>
      <c r="AM231" s="220"/>
      <c r="AN231" s="220"/>
      <c r="AO231" s="220"/>
      <c r="AP231" s="220"/>
      <c r="AQ231" s="220"/>
      <c r="AR231" s="218"/>
      <c r="AS231" s="218"/>
      <c r="AT231" s="218"/>
      <c r="AU231" s="218"/>
      <c r="AV231" s="218"/>
      <c r="AW231" s="218"/>
      <c r="AX231" s="218"/>
      <c r="AY231" s="218"/>
      <c r="AZ231" s="218"/>
      <c r="BA231" s="218"/>
      <c r="BB231" s="218"/>
      <c r="BC231" s="218"/>
      <c r="BD231" s="218"/>
      <c r="BE231" s="218"/>
      <c r="BF231" s="218"/>
    </row>
    <row r="232" spans="2:58">
      <c r="B232" s="168" t="str">
        <f t="shared" si="141"/>
        <v>Waste Thick Parting (Ob/IB)</v>
      </c>
      <c r="C232" s="165" t="str">
        <f t="shared" si="141"/>
        <v>Drill Machine/ 250mm diameter</v>
      </c>
      <c r="D232" s="171" t="s">
        <v>896</v>
      </c>
      <c r="E232" s="171"/>
      <c r="F232" s="174">
        <f t="shared" si="143"/>
        <v>10.403847435950246</v>
      </c>
      <c r="G232" s="220">
        <f t="shared" ref="G232:AC232" si="145">G20</f>
        <v>0</v>
      </c>
      <c r="H232" s="220">
        <f t="shared" si="145"/>
        <v>0</v>
      </c>
      <c r="I232" s="220">
        <f t="shared" si="145"/>
        <v>0</v>
      </c>
      <c r="J232" s="220">
        <f t="shared" si="145"/>
        <v>0</v>
      </c>
      <c r="K232" s="220">
        <f t="shared" si="145"/>
        <v>2.5023542582989435</v>
      </c>
      <c r="L232" s="220">
        <f t="shared" si="145"/>
        <v>2.0669781013284485</v>
      </c>
      <c r="M232" s="220">
        <f t="shared" si="145"/>
        <v>3.7377268543543973</v>
      </c>
      <c r="N232" s="220">
        <f t="shared" si="145"/>
        <v>8.031430160993942</v>
      </c>
      <c r="O232" s="220">
        <f t="shared" si="145"/>
        <v>7.737968537772125</v>
      </c>
      <c r="P232" s="220">
        <f t="shared" si="145"/>
        <v>10.403847435950246</v>
      </c>
      <c r="Q232" s="220">
        <f t="shared" si="145"/>
        <v>9.5212414672385446</v>
      </c>
      <c r="R232" s="220">
        <f t="shared" si="145"/>
        <v>7.9587174697835703</v>
      </c>
      <c r="S232" s="220">
        <f t="shared" si="145"/>
        <v>8.294455381185541</v>
      </c>
      <c r="T232" s="220">
        <f t="shared" si="145"/>
        <v>7.3964440437159773</v>
      </c>
      <c r="U232" s="220">
        <f t="shared" si="145"/>
        <v>8.3461541279028175</v>
      </c>
      <c r="V232" s="220">
        <f t="shared" si="145"/>
        <v>6.3528201749306463</v>
      </c>
      <c r="W232" s="220">
        <f t="shared" si="145"/>
        <v>5.5763295664180497</v>
      </c>
      <c r="X232" s="220">
        <f t="shared" si="145"/>
        <v>6.9313252143682318</v>
      </c>
      <c r="Y232" s="220">
        <f t="shared" si="145"/>
        <v>6.9092881061594182</v>
      </c>
      <c r="Z232" s="220">
        <f t="shared" si="145"/>
        <v>8.802918825527696</v>
      </c>
      <c r="AA232" s="220">
        <f t="shared" si="145"/>
        <v>5.4192547705811371</v>
      </c>
      <c r="AB232" s="220">
        <f t="shared" si="145"/>
        <v>0.9293438098781347</v>
      </c>
      <c r="AC232" s="220">
        <f t="shared" si="145"/>
        <v>0.26575016411183006</v>
      </c>
      <c r="AD232" s="220"/>
      <c r="AE232" s="220"/>
      <c r="AF232" s="220"/>
      <c r="AG232" s="220"/>
      <c r="AH232" s="220"/>
      <c r="AI232" s="220"/>
      <c r="AJ232" s="220"/>
      <c r="AK232" s="220"/>
      <c r="AL232" s="220"/>
      <c r="AM232" s="220"/>
      <c r="AN232" s="220"/>
      <c r="AO232" s="220"/>
      <c r="AP232" s="220"/>
      <c r="AQ232" s="220"/>
      <c r="AR232" s="218"/>
      <c r="AS232" s="218"/>
      <c r="AT232" s="218"/>
      <c r="AU232" s="218"/>
      <c r="AV232" s="218"/>
      <c r="AW232" s="218"/>
      <c r="AX232" s="218"/>
      <c r="AY232" s="218"/>
      <c r="AZ232" s="218"/>
      <c r="BA232" s="218"/>
      <c r="BB232" s="218"/>
      <c r="BC232" s="218"/>
      <c r="BD232" s="218"/>
      <c r="BE232" s="218"/>
      <c r="BF232" s="218"/>
    </row>
    <row r="233" spans="2:58">
      <c r="B233" s="168" t="str">
        <f t="shared" si="141"/>
        <v>Top Soil</v>
      </c>
      <c r="C233" s="165" t="str">
        <f t="shared" si="141"/>
        <v>Diesel hydraulic Shovel/ 1.0 cum</v>
      </c>
      <c r="D233" s="171" t="s">
        <v>896</v>
      </c>
      <c r="E233" s="171"/>
      <c r="F233" s="174">
        <f t="shared" si="143"/>
        <v>0</v>
      </c>
      <c r="G233" s="220">
        <f t="shared" ref="G233:AC233" si="146">G26</f>
        <v>0</v>
      </c>
      <c r="H233" s="220">
        <f t="shared" si="146"/>
        <v>0</v>
      </c>
      <c r="I233" s="220">
        <f t="shared" si="146"/>
        <v>0</v>
      </c>
      <c r="J233" s="220">
        <f t="shared" si="146"/>
        <v>0</v>
      </c>
      <c r="K233" s="220">
        <f t="shared" si="146"/>
        <v>0</v>
      </c>
      <c r="L233" s="220">
        <f t="shared" si="146"/>
        <v>0</v>
      </c>
      <c r="M233" s="220">
        <f t="shared" si="146"/>
        <v>0</v>
      </c>
      <c r="N233" s="220">
        <f t="shared" si="146"/>
        <v>0</v>
      </c>
      <c r="O233" s="220">
        <f t="shared" si="146"/>
        <v>0</v>
      </c>
      <c r="P233" s="220">
        <f t="shared" si="146"/>
        <v>0</v>
      </c>
      <c r="Q233" s="220">
        <f t="shared" si="146"/>
        <v>0</v>
      </c>
      <c r="R233" s="220">
        <f t="shared" si="146"/>
        <v>0</v>
      </c>
      <c r="S233" s="220">
        <f t="shared" si="146"/>
        <v>0</v>
      </c>
      <c r="T233" s="220">
        <f t="shared" si="146"/>
        <v>0</v>
      </c>
      <c r="U233" s="220">
        <f t="shared" si="146"/>
        <v>0</v>
      </c>
      <c r="V233" s="220">
        <f t="shared" si="146"/>
        <v>0</v>
      </c>
      <c r="W233" s="220">
        <f t="shared" si="146"/>
        <v>0</v>
      </c>
      <c r="X233" s="220">
        <f t="shared" si="146"/>
        <v>0</v>
      </c>
      <c r="Y233" s="220">
        <f t="shared" si="146"/>
        <v>0</v>
      </c>
      <c r="Z233" s="220">
        <f t="shared" si="146"/>
        <v>0</v>
      </c>
      <c r="AA233" s="220">
        <f t="shared" si="146"/>
        <v>0</v>
      </c>
      <c r="AB233" s="220">
        <f t="shared" si="146"/>
        <v>0</v>
      </c>
      <c r="AC233" s="220">
        <f t="shared" si="146"/>
        <v>0</v>
      </c>
      <c r="AD233" s="220"/>
      <c r="AE233" s="220"/>
      <c r="AF233" s="220"/>
      <c r="AG233" s="220"/>
      <c r="AH233" s="220"/>
      <c r="AI233" s="220"/>
      <c r="AJ233" s="220"/>
      <c r="AK233" s="220"/>
      <c r="AL233" s="220"/>
      <c r="AM233" s="220"/>
      <c r="AN233" s="220"/>
      <c r="AO233" s="220"/>
      <c r="AP233" s="220"/>
      <c r="AQ233" s="220"/>
      <c r="AR233" s="218"/>
      <c r="AS233" s="218"/>
      <c r="AT233" s="218"/>
      <c r="AU233" s="218"/>
      <c r="AV233" s="218"/>
      <c r="AW233" s="218"/>
      <c r="AX233" s="218"/>
      <c r="AY233" s="218"/>
      <c r="AZ233" s="218"/>
      <c r="BA233" s="218"/>
      <c r="BB233" s="218"/>
      <c r="BC233" s="218"/>
      <c r="BD233" s="218"/>
      <c r="BE233" s="218"/>
      <c r="BF233" s="218"/>
    </row>
    <row r="234" spans="2:58">
      <c r="B234" s="168" t="str">
        <f t="shared" si="141"/>
        <v>Thin Parting, Topsoil &amp; Coal (From Drill &amp; Blast)</v>
      </c>
      <c r="C234" s="165" t="str">
        <f t="shared" si="141"/>
        <v>Diesel hydraulic Shovel/ 4.6 cum</v>
      </c>
      <c r="D234" s="171" t="s">
        <v>896</v>
      </c>
      <c r="E234" s="171"/>
      <c r="F234" s="174">
        <f t="shared" si="143"/>
        <v>9.1490982078761842</v>
      </c>
      <c r="G234" s="220">
        <f t="shared" ref="G234:AC234" si="147">G31</f>
        <v>0</v>
      </c>
      <c r="H234" s="220">
        <f t="shared" si="147"/>
        <v>0</v>
      </c>
      <c r="I234" s="220">
        <f t="shared" si="147"/>
        <v>0</v>
      </c>
      <c r="J234" s="220">
        <f t="shared" si="147"/>
        <v>0</v>
      </c>
      <c r="K234" s="220">
        <f t="shared" si="147"/>
        <v>2.8414796316001469</v>
      </c>
      <c r="L234" s="220">
        <f t="shared" si="147"/>
        <v>3.3728430564281289</v>
      </c>
      <c r="M234" s="220">
        <f t="shared" si="147"/>
        <v>3.4891702756055247</v>
      </c>
      <c r="N234" s="220">
        <f t="shared" si="147"/>
        <v>7.120596864644317</v>
      </c>
      <c r="O234" s="220">
        <f t="shared" si="147"/>
        <v>7.075126675050786</v>
      </c>
      <c r="P234" s="220">
        <f t="shared" si="147"/>
        <v>9.1490982078761842</v>
      </c>
      <c r="Q234" s="220">
        <f t="shared" si="147"/>
        <v>8.4574643209393994</v>
      </c>
      <c r="R234" s="220">
        <f t="shared" si="147"/>
        <v>7.2330291668088345</v>
      </c>
      <c r="S234" s="220">
        <f t="shared" si="147"/>
        <v>7.4961226997741042</v>
      </c>
      <c r="T234" s="220">
        <f t="shared" si="147"/>
        <v>6.7924167592960751</v>
      </c>
      <c r="U234" s="220">
        <f t="shared" si="147"/>
        <v>7.5285484022200384</v>
      </c>
      <c r="V234" s="220">
        <f t="shared" si="147"/>
        <v>5.9665196416020558</v>
      </c>
      <c r="W234" s="220">
        <f t="shared" si="147"/>
        <v>5.3580419968384572</v>
      </c>
      <c r="X234" s="220">
        <f t="shared" si="147"/>
        <v>6.4198514585639455</v>
      </c>
      <c r="Y234" s="220">
        <f t="shared" si="147"/>
        <v>6.402582598962308</v>
      </c>
      <c r="Z234" s="220">
        <f t="shared" si="147"/>
        <v>7.8850101838293547</v>
      </c>
      <c r="AA234" s="220">
        <f t="shared" si="147"/>
        <v>4.9084037695780793</v>
      </c>
      <c r="AB234" s="220">
        <f t="shared" si="147"/>
        <v>1.2274522850848142</v>
      </c>
      <c r="AC234" s="220">
        <f t="shared" si="147"/>
        <v>0.36314550299877724</v>
      </c>
      <c r="AD234" s="220"/>
      <c r="AE234" s="220"/>
      <c r="AF234" s="220"/>
      <c r="AG234" s="220"/>
      <c r="AH234" s="220"/>
      <c r="AI234" s="220"/>
      <c r="AJ234" s="220"/>
      <c r="AK234" s="220"/>
      <c r="AL234" s="220"/>
      <c r="AM234" s="220"/>
      <c r="AN234" s="220"/>
      <c r="AO234" s="220"/>
      <c r="AP234" s="220"/>
      <c r="AQ234" s="220"/>
      <c r="AR234" s="218"/>
      <c r="AS234" s="218"/>
      <c r="AT234" s="218"/>
      <c r="AU234" s="218"/>
      <c r="AV234" s="218"/>
      <c r="AW234" s="218"/>
      <c r="AX234" s="218"/>
      <c r="AY234" s="218"/>
      <c r="AZ234" s="218"/>
      <c r="BA234" s="218"/>
      <c r="BB234" s="218"/>
      <c r="BC234" s="218"/>
      <c r="BD234" s="218"/>
      <c r="BE234" s="218"/>
      <c r="BF234" s="218"/>
    </row>
    <row r="235" spans="2:58">
      <c r="B235" s="168" t="str">
        <f t="shared" si="141"/>
        <v>Waste - OB &amp; Thick Parting</v>
      </c>
      <c r="C235" s="165" t="str">
        <f t="shared" si="141"/>
        <v>Diesel hydraulic shovel/ 10 cum</v>
      </c>
      <c r="D235" s="171" t="s">
        <v>896</v>
      </c>
      <c r="E235" s="171"/>
      <c r="F235" s="174">
        <f t="shared" si="143"/>
        <v>11.305317171167525</v>
      </c>
      <c r="G235" s="220">
        <f t="shared" ref="G235:AC235" si="148">G35</f>
        <v>0</v>
      </c>
      <c r="H235" s="220">
        <f t="shared" si="148"/>
        <v>0</v>
      </c>
      <c r="I235" s="220">
        <f t="shared" si="148"/>
        <v>0</v>
      </c>
      <c r="J235" s="220">
        <f t="shared" si="148"/>
        <v>0</v>
      </c>
      <c r="K235" s="220">
        <f t="shared" si="148"/>
        <v>2.7191775676117782</v>
      </c>
      <c r="L235" s="220">
        <f t="shared" si="148"/>
        <v>2.2460770561310555</v>
      </c>
      <c r="M235" s="220">
        <f t="shared" si="148"/>
        <v>4.0615923914504464</v>
      </c>
      <c r="N235" s="220">
        <f t="shared" si="148"/>
        <v>8.7273353311937019</v>
      </c>
      <c r="O235" s="220">
        <f t="shared" si="148"/>
        <v>8.4084459252779489</v>
      </c>
      <c r="P235" s="220">
        <f t="shared" si="148"/>
        <v>11.305317171167525</v>
      </c>
      <c r="Q235" s="220">
        <f t="shared" si="148"/>
        <v>10.346235401189611</v>
      </c>
      <c r="R235" s="220">
        <f t="shared" si="148"/>
        <v>8.6483222505460677</v>
      </c>
      <c r="S235" s="220">
        <f t="shared" si="148"/>
        <v>9.0131510889303126</v>
      </c>
      <c r="T235" s="220">
        <f t="shared" si="148"/>
        <v>8.0373291100038671</v>
      </c>
      <c r="U235" s="220">
        <f t="shared" si="148"/>
        <v>9.06932941455349</v>
      </c>
      <c r="V235" s="220">
        <f t="shared" si="148"/>
        <v>6.9032776048607172</v>
      </c>
      <c r="W235" s="220">
        <f t="shared" si="148"/>
        <v>6.0595058498718872</v>
      </c>
      <c r="X235" s="220">
        <f t="shared" si="148"/>
        <v>7.5319087911813893</v>
      </c>
      <c r="Y235" s="220">
        <f t="shared" si="148"/>
        <v>7.5079622176306184</v>
      </c>
      <c r="Z235" s="220">
        <f t="shared" si="148"/>
        <v>9.5656717351259779</v>
      </c>
      <c r="AA235" s="220">
        <f t="shared" si="148"/>
        <v>5.8888208799638786</v>
      </c>
      <c r="AB235" s="220">
        <f t="shared" si="148"/>
        <v>1.0098693388590527</v>
      </c>
      <c r="AC235" s="220">
        <f t="shared" si="148"/>
        <v>0.28877681185447446</v>
      </c>
      <c r="AD235" s="220"/>
      <c r="AE235" s="220"/>
      <c r="AF235" s="220"/>
      <c r="AG235" s="220"/>
      <c r="AH235" s="220"/>
      <c r="AI235" s="220"/>
      <c r="AJ235" s="220"/>
      <c r="AK235" s="220"/>
      <c r="AL235" s="220"/>
      <c r="AM235" s="220"/>
      <c r="AN235" s="220"/>
      <c r="AO235" s="220"/>
      <c r="AP235" s="220"/>
      <c r="AQ235" s="220"/>
      <c r="AR235" s="218"/>
      <c r="AS235" s="218"/>
      <c r="AT235" s="218"/>
      <c r="AU235" s="218"/>
      <c r="AV235" s="218"/>
      <c r="AW235" s="218"/>
      <c r="AX235" s="218"/>
      <c r="AY235" s="218"/>
      <c r="AZ235" s="218"/>
      <c r="BA235" s="218"/>
      <c r="BB235" s="218"/>
      <c r="BC235" s="218"/>
      <c r="BD235" s="218"/>
      <c r="BE235" s="218"/>
      <c r="BF235" s="218"/>
    </row>
    <row r="236" spans="2:58">
      <c r="B236" s="168" t="str">
        <f t="shared" si="141"/>
        <v>Rehandling by Own Trucks and Excavators</v>
      </c>
      <c r="C236" s="165" t="str">
        <f t="shared" si="141"/>
        <v>Diesel hydraulic Shovel/ 3.4 cum</v>
      </c>
      <c r="D236" s="171" t="s">
        <v>896</v>
      </c>
      <c r="E236" s="171"/>
      <c r="F236" s="174">
        <f t="shared" si="143"/>
        <v>0</v>
      </c>
      <c r="G236" s="220">
        <f t="shared" ref="G236:AC236" si="149">G40</f>
        <v>0</v>
      </c>
      <c r="H236" s="220">
        <f t="shared" si="149"/>
        <v>0</v>
      </c>
      <c r="I236" s="220">
        <f t="shared" si="149"/>
        <v>0</v>
      </c>
      <c r="J236" s="220">
        <f t="shared" si="149"/>
        <v>0</v>
      </c>
      <c r="K236" s="220">
        <f t="shared" si="149"/>
        <v>0</v>
      </c>
      <c r="L236" s="220">
        <f t="shared" si="149"/>
        <v>0</v>
      </c>
      <c r="M236" s="220">
        <f t="shared" si="149"/>
        <v>0</v>
      </c>
      <c r="N236" s="220">
        <f t="shared" si="149"/>
        <v>0</v>
      </c>
      <c r="O236" s="220">
        <f t="shared" si="149"/>
        <v>0</v>
      </c>
      <c r="P236" s="220">
        <f t="shared" si="149"/>
        <v>0</v>
      </c>
      <c r="Q236" s="220">
        <f t="shared" si="149"/>
        <v>0</v>
      </c>
      <c r="R236" s="220">
        <f t="shared" si="149"/>
        <v>0</v>
      </c>
      <c r="S236" s="220">
        <f t="shared" si="149"/>
        <v>0</v>
      </c>
      <c r="T236" s="220">
        <f t="shared" si="149"/>
        <v>0</v>
      </c>
      <c r="U236" s="220">
        <f t="shared" si="149"/>
        <v>0</v>
      </c>
      <c r="V236" s="220">
        <f t="shared" si="149"/>
        <v>0</v>
      </c>
      <c r="W236" s="220">
        <f t="shared" si="149"/>
        <v>0</v>
      </c>
      <c r="X236" s="220">
        <f t="shared" si="149"/>
        <v>0</v>
      </c>
      <c r="Y236" s="220">
        <f t="shared" si="149"/>
        <v>0</v>
      </c>
      <c r="Z236" s="220">
        <f t="shared" si="149"/>
        <v>0</v>
      </c>
      <c r="AA236" s="220">
        <f t="shared" si="149"/>
        <v>0</v>
      </c>
      <c r="AB236" s="220">
        <f t="shared" si="149"/>
        <v>0</v>
      </c>
      <c r="AC236" s="220">
        <f t="shared" si="149"/>
        <v>0</v>
      </c>
      <c r="AD236" s="220"/>
      <c r="AE236" s="220"/>
      <c r="AF236" s="220"/>
      <c r="AG236" s="220"/>
      <c r="AH236" s="220"/>
      <c r="AI236" s="220"/>
      <c r="AJ236" s="220"/>
      <c r="AK236" s="220"/>
      <c r="AL236" s="220"/>
      <c r="AM236" s="220"/>
      <c r="AN236" s="220"/>
      <c r="AO236" s="220"/>
      <c r="AP236" s="220"/>
      <c r="AQ236" s="220"/>
      <c r="AR236" s="218"/>
      <c r="AS236" s="218"/>
      <c r="AT236" s="218"/>
      <c r="AU236" s="218"/>
      <c r="AV236" s="218"/>
      <c r="AW236" s="218"/>
      <c r="AX236" s="218"/>
      <c r="AY236" s="218"/>
      <c r="AZ236" s="218"/>
      <c r="BA236" s="218"/>
      <c r="BB236" s="218"/>
      <c r="BC236" s="218"/>
      <c r="BD236" s="218"/>
      <c r="BE236" s="218"/>
      <c r="BF236" s="218"/>
    </row>
    <row r="237" spans="2:58">
      <c r="B237" s="168" t="str">
        <f t="shared" si="141"/>
        <v>Miscelleneous</v>
      </c>
      <c r="C237" s="165" t="str">
        <f t="shared" si="141"/>
        <v>Diesel hydraulic Shovel/ 3.4 cum</v>
      </c>
      <c r="D237" s="171" t="s">
        <v>896</v>
      </c>
      <c r="E237" s="171"/>
      <c r="F237" s="174">
        <f t="shared" si="143"/>
        <v>0</v>
      </c>
      <c r="G237" s="220">
        <f t="shared" ref="G237:AC237" si="150">G45</f>
        <v>0</v>
      </c>
      <c r="H237" s="220">
        <f t="shared" si="150"/>
        <v>0</v>
      </c>
      <c r="I237" s="220">
        <f t="shared" si="150"/>
        <v>0</v>
      </c>
      <c r="J237" s="220">
        <f t="shared" si="150"/>
        <v>0</v>
      </c>
      <c r="K237" s="220">
        <f t="shared" si="150"/>
        <v>0</v>
      </c>
      <c r="L237" s="220">
        <f t="shared" si="150"/>
        <v>0</v>
      </c>
      <c r="M237" s="220">
        <f t="shared" si="150"/>
        <v>0</v>
      </c>
      <c r="N237" s="220">
        <f t="shared" si="150"/>
        <v>0</v>
      </c>
      <c r="O237" s="220">
        <f t="shared" si="150"/>
        <v>0</v>
      </c>
      <c r="P237" s="220">
        <f t="shared" si="150"/>
        <v>0</v>
      </c>
      <c r="Q237" s="220">
        <f t="shared" si="150"/>
        <v>0</v>
      </c>
      <c r="R237" s="220">
        <f t="shared" si="150"/>
        <v>0</v>
      </c>
      <c r="S237" s="220">
        <f t="shared" si="150"/>
        <v>0</v>
      </c>
      <c r="T237" s="220">
        <f t="shared" si="150"/>
        <v>0</v>
      </c>
      <c r="U237" s="220">
        <f t="shared" si="150"/>
        <v>0</v>
      </c>
      <c r="V237" s="220">
        <f t="shared" si="150"/>
        <v>0</v>
      </c>
      <c r="W237" s="220">
        <f t="shared" si="150"/>
        <v>0</v>
      </c>
      <c r="X237" s="220">
        <f t="shared" si="150"/>
        <v>0</v>
      </c>
      <c r="Y237" s="220">
        <f t="shared" si="150"/>
        <v>0</v>
      </c>
      <c r="Z237" s="220">
        <f t="shared" si="150"/>
        <v>0</v>
      </c>
      <c r="AA237" s="220">
        <f t="shared" si="150"/>
        <v>0</v>
      </c>
      <c r="AB237" s="220">
        <f t="shared" si="150"/>
        <v>0</v>
      </c>
      <c r="AC237" s="220">
        <f t="shared" si="150"/>
        <v>0</v>
      </c>
      <c r="AD237" s="220"/>
      <c r="AE237" s="220"/>
      <c r="AF237" s="220"/>
      <c r="AG237" s="220"/>
      <c r="AH237" s="220"/>
      <c r="AI237" s="220"/>
      <c r="AJ237" s="220"/>
      <c r="AK237" s="220"/>
      <c r="AL237" s="220"/>
      <c r="AM237" s="220"/>
      <c r="AN237" s="220"/>
      <c r="AO237" s="220"/>
      <c r="AP237" s="220"/>
      <c r="AQ237" s="220"/>
      <c r="AR237" s="218"/>
      <c r="AS237" s="218"/>
      <c r="AT237" s="218"/>
      <c r="AU237" s="218"/>
      <c r="AV237" s="218"/>
      <c r="AW237" s="218"/>
      <c r="AX237" s="218"/>
      <c r="AY237" s="218"/>
      <c r="AZ237" s="218"/>
      <c r="BA237" s="218"/>
      <c r="BB237" s="218"/>
      <c r="BC237" s="218"/>
      <c r="BD237" s="218"/>
      <c r="BE237" s="218"/>
      <c r="BF237" s="218"/>
    </row>
    <row r="238" spans="2:58">
      <c r="B238" s="168" t="str">
        <f t="shared" si="141"/>
        <v>Coal/Ore</v>
      </c>
      <c r="C238" s="165" t="str">
        <f t="shared" si="141"/>
        <v>Surface Miner/ 2200 SM</v>
      </c>
      <c r="D238" s="171" t="s">
        <v>896</v>
      </c>
      <c r="E238" s="171"/>
      <c r="F238" s="174">
        <f t="shared" si="143"/>
        <v>2.5489090425818257</v>
      </c>
      <c r="G238" s="220">
        <f t="shared" ref="G238:AC238" si="151">G50</f>
        <v>0</v>
      </c>
      <c r="H238" s="220">
        <f t="shared" si="151"/>
        <v>0</v>
      </c>
      <c r="I238" s="220">
        <f t="shared" si="151"/>
        <v>0</v>
      </c>
      <c r="J238" s="220">
        <f t="shared" si="151"/>
        <v>0</v>
      </c>
      <c r="K238" s="220">
        <f t="shared" si="151"/>
        <v>0</v>
      </c>
      <c r="L238" s="220">
        <f t="shared" si="151"/>
        <v>0</v>
      </c>
      <c r="M238" s="220">
        <f t="shared" si="151"/>
        <v>1.3594168581405137</v>
      </c>
      <c r="N238" s="220">
        <f t="shared" si="151"/>
        <v>2.03912485134778</v>
      </c>
      <c r="O238" s="220">
        <f t="shared" si="151"/>
        <v>2.5489055556779032</v>
      </c>
      <c r="P238" s="220">
        <f t="shared" si="151"/>
        <v>2.5489075897051916</v>
      </c>
      <c r="Q238" s="220">
        <f t="shared" si="151"/>
        <v>2.5489061368285566</v>
      </c>
      <c r="R238" s="220">
        <f t="shared" si="151"/>
        <v>2.5489058462532297</v>
      </c>
      <c r="S238" s="220">
        <f t="shared" si="151"/>
        <v>2.5489070085545373</v>
      </c>
      <c r="T238" s="220">
        <f t="shared" si="151"/>
        <v>2.5489055556779032</v>
      </c>
      <c r="U238" s="220">
        <f t="shared" si="151"/>
        <v>2.5489058462532297</v>
      </c>
      <c r="V238" s="220">
        <f t="shared" si="151"/>
        <v>2.5489067179792104</v>
      </c>
      <c r="W238" s="220">
        <f t="shared" si="151"/>
        <v>2.5489090425818257</v>
      </c>
      <c r="X238" s="220">
        <f t="shared" si="151"/>
        <v>2.5489067179792104</v>
      </c>
      <c r="Y238" s="220">
        <f t="shared" si="151"/>
        <v>2.5489067179792104</v>
      </c>
      <c r="Z238" s="220">
        <f t="shared" si="151"/>
        <v>2.5489064274038831</v>
      </c>
      <c r="AA238" s="220">
        <f t="shared" si="151"/>
        <v>1.6992708547441471</v>
      </c>
      <c r="AB238" s="220">
        <f t="shared" si="151"/>
        <v>1.2744536495649321</v>
      </c>
      <c r="AC238" s="220">
        <f t="shared" si="151"/>
        <v>0.37458573899117137</v>
      </c>
      <c r="AD238" s="220"/>
      <c r="AE238" s="220"/>
      <c r="AF238" s="220"/>
      <c r="AG238" s="220"/>
      <c r="AH238" s="220"/>
      <c r="AI238" s="220"/>
      <c r="AJ238" s="220"/>
      <c r="AK238" s="220"/>
      <c r="AL238" s="220"/>
      <c r="AM238" s="220"/>
      <c r="AN238" s="220"/>
      <c r="AO238" s="220"/>
      <c r="AP238" s="220"/>
      <c r="AQ238" s="220"/>
      <c r="AR238" s="218"/>
      <c r="AS238" s="218"/>
      <c r="AT238" s="218"/>
      <c r="AU238" s="218"/>
      <c r="AV238" s="218"/>
      <c r="AW238" s="218"/>
      <c r="AX238" s="218"/>
      <c r="AY238" s="218"/>
      <c r="AZ238" s="218"/>
      <c r="BA238" s="218"/>
      <c r="BB238" s="218"/>
      <c r="BC238" s="218"/>
      <c r="BD238" s="218"/>
      <c r="BE238" s="218"/>
      <c r="BF238" s="218"/>
    </row>
    <row r="239" spans="2:58">
      <c r="B239" s="168" t="str">
        <f t="shared" si="141"/>
        <v>With SM/Ripper</v>
      </c>
      <c r="C239" s="165" t="str">
        <f t="shared" si="141"/>
        <v>Front End Loader/ 6.4 cum</v>
      </c>
      <c r="D239" s="171" t="s">
        <v>896</v>
      </c>
      <c r="E239" s="171"/>
      <c r="F239" s="174">
        <f t="shared" si="143"/>
        <v>3.4672659770414533</v>
      </c>
      <c r="G239" s="220">
        <f t="shared" ref="G239:AC239" si="152">G56</f>
        <v>0</v>
      </c>
      <c r="H239" s="220">
        <f t="shared" si="152"/>
        <v>0</v>
      </c>
      <c r="I239" s="220">
        <f t="shared" si="152"/>
        <v>0</v>
      </c>
      <c r="J239" s="220">
        <f t="shared" si="152"/>
        <v>0</v>
      </c>
      <c r="K239" s="220">
        <f t="shared" si="152"/>
        <v>0</v>
      </c>
      <c r="L239" s="220">
        <f t="shared" si="152"/>
        <v>0</v>
      </c>
      <c r="M239" s="220">
        <f t="shared" si="152"/>
        <v>1.8492067555587866</v>
      </c>
      <c r="N239" s="220">
        <f t="shared" si="152"/>
        <v>2.7738095404363174</v>
      </c>
      <c r="O239" s="220">
        <f t="shared" si="152"/>
        <v>3.4672612338265583</v>
      </c>
      <c r="P239" s="220">
        <f t="shared" si="152"/>
        <v>3.4672640007019142</v>
      </c>
      <c r="Q239" s="220">
        <f t="shared" si="152"/>
        <v>3.4672620243623742</v>
      </c>
      <c r="R239" s="220">
        <f t="shared" si="152"/>
        <v>3.467261629094466</v>
      </c>
      <c r="S239" s="220">
        <f t="shared" si="152"/>
        <v>3.4672632101660978</v>
      </c>
      <c r="T239" s="220">
        <f t="shared" si="152"/>
        <v>3.4672612338265583</v>
      </c>
      <c r="U239" s="220">
        <f t="shared" si="152"/>
        <v>3.467261629094466</v>
      </c>
      <c r="V239" s="220">
        <f t="shared" si="152"/>
        <v>3.4672628148981897</v>
      </c>
      <c r="W239" s="220">
        <f t="shared" si="152"/>
        <v>3.4672659770414533</v>
      </c>
      <c r="X239" s="220">
        <f t="shared" si="152"/>
        <v>3.4672628148981897</v>
      </c>
      <c r="Y239" s="220">
        <f t="shared" si="152"/>
        <v>3.4672628148981897</v>
      </c>
      <c r="Z239" s="220">
        <f t="shared" si="152"/>
        <v>3.4672624196302819</v>
      </c>
      <c r="AA239" s="220">
        <f t="shared" si="152"/>
        <v>2.3115081479975523</v>
      </c>
      <c r="AB239" s="220">
        <f t="shared" si="152"/>
        <v>1.733631802717003</v>
      </c>
      <c r="AC239" s="220">
        <f t="shared" si="152"/>
        <v>0.50954677730416675</v>
      </c>
      <c r="AD239" s="220"/>
      <c r="AE239" s="220"/>
      <c r="AF239" s="220"/>
      <c r="AG239" s="220"/>
      <c r="AH239" s="220"/>
      <c r="AI239" s="220"/>
      <c r="AJ239" s="220"/>
      <c r="AK239" s="220"/>
      <c r="AL239" s="220"/>
      <c r="AM239" s="220"/>
      <c r="AN239" s="220"/>
      <c r="AO239" s="220"/>
      <c r="AP239" s="220"/>
      <c r="AQ239" s="220"/>
      <c r="AR239" s="218"/>
      <c r="AS239" s="218"/>
      <c r="AT239" s="218"/>
      <c r="AU239" s="218"/>
      <c r="AV239" s="218"/>
      <c r="AW239" s="218"/>
      <c r="AX239" s="218"/>
      <c r="AY239" s="218"/>
      <c r="AZ239" s="218"/>
      <c r="BA239" s="218"/>
      <c r="BB239" s="218"/>
      <c r="BC239" s="218"/>
      <c r="BD239" s="218"/>
      <c r="BE239" s="218"/>
      <c r="BF239" s="218"/>
    </row>
    <row r="240" spans="2:58">
      <c r="B240" s="168" t="str">
        <f t="shared" si="141"/>
        <v>Miscelleneous</v>
      </c>
      <c r="C240" s="165" t="str">
        <f t="shared" si="141"/>
        <v>Front End Loader/ 1.7cum</v>
      </c>
      <c r="D240" s="171" t="s">
        <v>896</v>
      </c>
      <c r="E240" s="171"/>
      <c r="F240" s="174">
        <f t="shared" si="143"/>
        <v>0.66250713829076202</v>
      </c>
      <c r="G240" s="220">
        <f t="shared" ref="G240:AC240" si="153">G61</f>
        <v>8.8334181886930749E-2</v>
      </c>
      <c r="H240" s="220">
        <f t="shared" si="153"/>
        <v>0.17666832601099414</v>
      </c>
      <c r="I240" s="220">
        <f t="shared" si="153"/>
        <v>0.35333680307345777</v>
      </c>
      <c r="J240" s="220">
        <f t="shared" si="153"/>
        <v>0.53000509132158435</v>
      </c>
      <c r="K240" s="220">
        <f t="shared" si="153"/>
        <v>0.6625062319819448</v>
      </c>
      <c r="L240" s="220">
        <f t="shared" si="153"/>
        <v>0.66250676066208825</v>
      </c>
      <c r="M240" s="220">
        <f t="shared" si="153"/>
        <v>0.66250638303341436</v>
      </c>
      <c r="N240" s="220">
        <f t="shared" si="153"/>
        <v>0.66250630750767958</v>
      </c>
      <c r="O240" s="220">
        <f t="shared" si="153"/>
        <v>0.66250660961061847</v>
      </c>
      <c r="P240" s="220">
        <f t="shared" si="153"/>
        <v>0.6625062319819448</v>
      </c>
      <c r="Q240" s="220">
        <f t="shared" si="153"/>
        <v>0.66250630750767958</v>
      </c>
      <c r="R240" s="220">
        <f t="shared" si="153"/>
        <v>0.6625065340848838</v>
      </c>
      <c r="S240" s="220">
        <f t="shared" si="153"/>
        <v>0.66250713829076202</v>
      </c>
      <c r="T240" s="220">
        <f t="shared" si="153"/>
        <v>0.6625065340848838</v>
      </c>
      <c r="U240" s="220">
        <f t="shared" si="153"/>
        <v>0.6625065340848838</v>
      </c>
      <c r="V240" s="220">
        <f t="shared" si="153"/>
        <v>0.66250645855914903</v>
      </c>
      <c r="W240" s="220">
        <f t="shared" si="153"/>
        <v>0.44167094719752109</v>
      </c>
      <c r="X240" s="220">
        <f t="shared" si="153"/>
        <v>0.33125334256817668</v>
      </c>
      <c r="Y240" s="220">
        <f t="shared" si="153"/>
        <v>9.7361546386214165E-2</v>
      </c>
      <c r="Z240" s="220">
        <f t="shared" si="153"/>
        <v>0</v>
      </c>
      <c r="AA240" s="220">
        <f t="shared" si="153"/>
        <v>0</v>
      </c>
      <c r="AB240" s="220">
        <f t="shared" si="153"/>
        <v>0</v>
      </c>
      <c r="AC240" s="220">
        <f t="shared" si="153"/>
        <v>0</v>
      </c>
      <c r="AD240" s="220"/>
      <c r="AE240" s="220"/>
      <c r="AF240" s="220"/>
      <c r="AG240" s="220"/>
      <c r="AH240" s="220"/>
      <c r="AI240" s="220"/>
      <c r="AJ240" s="220"/>
      <c r="AK240" s="220"/>
      <c r="AL240" s="220"/>
      <c r="AM240" s="220"/>
      <c r="AN240" s="220"/>
      <c r="AO240" s="220"/>
      <c r="AP240" s="220"/>
      <c r="AQ240" s="220"/>
      <c r="AR240" s="218"/>
      <c r="AS240" s="218"/>
      <c r="AT240" s="218"/>
      <c r="AU240" s="218"/>
      <c r="AV240" s="218"/>
      <c r="AW240" s="218"/>
      <c r="AX240" s="218"/>
      <c r="AY240" s="218"/>
      <c r="AZ240" s="218"/>
      <c r="BA240" s="218"/>
      <c r="BB240" s="218"/>
      <c r="BC240" s="218"/>
      <c r="BD240" s="218"/>
      <c r="BE240" s="218"/>
      <c r="BF240" s="218"/>
    </row>
    <row r="241" spans="2:29">
      <c r="B241" s="168" t="str">
        <f t="shared" si="141"/>
        <v>Topsoil</v>
      </c>
      <c r="C241" s="165" t="str">
        <f t="shared" si="141"/>
        <v>Tipper/ 20t</v>
      </c>
      <c r="D241" s="171" t="s">
        <v>896</v>
      </c>
      <c r="E241" s="171"/>
      <c r="F241" s="174">
        <f t="shared" si="143"/>
        <v>0</v>
      </c>
      <c r="G241" s="220">
        <f t="shared" ref="G241:AC241" si="154">G67</f>
        <v>0</v>
      </c>
      <c r="H241" s="220">
        <f t="shared" si="154"/>
        <v>0</v>
      </c>
      <c r="I241" s="220">
        <f t="shared" si="154"/>
        <v>0</v>
      </c>
      <c r="J241" s="220">
        <f t="shared" si="154"/>
        <v>0</v>
      </c>
      <c r="K241" s="220">
        <f t="shared" si="154"/>
        <v>0</v>
      </c>
      <c r="L241" s="220">
        <f t="shared" si="154"/>
        <v>0</v>
      </c>
      <c r="M241" s="220">
        <f t="shared" si="154"/>
        <v>0</v>
      </c>
      <c r="N241" s="220">
        <f t="shared" si="154"/>
        <v>0</v>
      </c>
      <c r="O241" s="220">
        <f t="shared" si="154"/>
        <v>0</v>
      </c>
      <c r="P241" s="220">
        <f t="shared" si="154"/>
        <v>0</v>
      </c>
      <c r="Q241" s="220">
        <f t="shared" si="154"/>
        <v>0</v>
      </c>
      <c r="R241" s="220">
        <f t="shared" si="154"/>
        <v>0</v>
      </c>
      <c r="S241" s="220">
        <f t="shared" si="154"/>
        <v>0</v>
      </c>
      <c r="T241" s="220">
        <f t="shared" si="154"/>
        <v>0</v>
      </c>
      <c r="U241" s="220">
        <f t="shared" si="154"/>
        <v>0</v>
      </c>
      <c r="V241" s="220">
        <f t="shared" si="154"/>
        <v>0</v>
      </c>
      <c r="W241" s="220">
        <f t="shared" si="154"/>
        <v>0</v>
      </c>
      <c r="X241" s="220">
        <f t="shared" si="154"/>
        <v>0</v>
      </c>
      <c r="Y241" s="220">
        <f t="shared" si="154"/>
        <v>0</v>
      </c>
      <c r="Z241" s="220">
        <f t="shared" si="154"/>
        <v>0</v>
      </c>
      <c r="AA241" s="220">
        <f t="shared" si="154"/>
        <v>0</v>
      </c>
      <c r="AB241" s="220">
        <f t="shared" si="154"/>
        <v>0</v>
      </c>
      <c r="AC241" s="220">
        <f t="shared" si="154"/>
        <v>0</v>
      </c>
    </row>
    <row r="242" spans="2:29">
      <c r="B242" s="168" t="str">
        <f t="shared" si="141"/>
        <v>Thin  Parting + Rehandling</v>
      </c>
      <c r="C242" s="165" t="str">
        <f t="shared" si="141"/>
        <v>Tipper/ 35t</v>
      </c>
      <c r="D242" s="171" t="s">
        <v>896</v>
      </c>
      <c r="E242" s="171"/>
      <c r="F242" s="174">
        <f t="shared" si="143"/>
        <v>22.537327311697879</v>
      </c>
      <c r="G242" s="220">
        <f t="shared" ref="G242:AC242" si="155">G72</f>
        <v>0</v>
      </c>
      <c r="H242" s="220">
        <f t="shared" si="155"/>
        <v>0</v>
      </c>
      <c r="I242" s="220">
        <f t="shared" si="155"/>
        <v>0</v>
      </c>
      <c r="J242" s="220">
        <f t="shared" si="155"/>
        <v>0</v>
      </c>
      <c r="K242" s="220">
        <f t="shared" si="155"/>
        <v>0</v>
      </c>
      <c r="L242" s="220">
        <f t="shared" si="155"/>
        <v>0</v>
      </c>
      <c r="M242" s="220">
        <f t="shared" si="155"/>
        <v>0</v>
      </c>
      <c r="N242" s="220">
        <f t="shared" si="155"/>
        <v>12.986665308641971</v>
      </c>
      <c r="O242" s="220">
        <f t="shared" si="155"/>
        <v>13.809190996317954</v>
      </c>
      <c r="P242" s="220">
        <f t="shared" si="155"/>
        <v>22.537327311697879</v>
      </c>
      <c r="Q242" s="220">
        <f t="shared" si="155"/>
        <v>21.745479092981871</v>
      </c>
      <c r="R242" s="220">
        <f t="shared" si="155"/>
        <v>19.226177283950612</v>
      </c>
      <c r="S242" s="220">
        <f t="shared" si="155"/>
        <v>20.931559818192984</v>
      </c>
      <c r="T242" s="220">
        <f t="shared" si="155"/>
        <v>19.548002421503202</v>
      </c>
      <c r="U242" s="220">
        <f t="shared" si="155"/>
        <v>21.682895923856819</v>
      </c>
      <c r="V242" s="220">
        <f t="shared" si="155"/>
        <v>16.514623836126628</v>
      </c>
      <c r="W242" s="220">
        <f t="shared" si="155"/>
        <v>14.281638680410547</v>
      </c>
      <c r="X242" s="220">
        <f t="shared" si="155"/>
        <v>17.47681085262699</v>
      </c>
      <c r="Y242" s="220">
        <f t="shared" si="155"/>
        <v>17.165182367016719</v>
      </c>
      <c r="Z242" s="220">
        <f t="shared" si="155"/>
        <v>21.229294530646214</v>
      </c>
      <c r="AA242" s="220">
        <f t="shared" si="155"/>
        <v>12.898589041257379</v>
      </c>
      <c r="AB242" s="220">
        <f t="shared" si="155"/>
        <v>2.1796248918984364</v>
      </c>
      <c r="AC242" s="220">
        <f t="shared" si="155"/>
        <v>0.62206327536084904</v>
      </c>
    </row>
    <row r="243" spans="2:29">
      <c r="B243" s="168" t="str">
        <f t="shared" si="141"/>
        <v>Waste - OB &amp; Thick Parting</v>
      </c>
      <c r="C243" s="165" t="str">
        <f t="shared" si="141"/>
        <v>Dumper/ 100t</v>
      </c>
      <c r="D243" s="171" t="s">
        <v>896</v>
      </c>
      <c r="E243" s="171"/>
      <c r="F243" s="174">
        <f t="shared" si="143"/>
        <v>34.785148871845436</v>
      </c>
      <c r="G243" s="220">
        <f t="shared" ref="G243:AC243" si="156">G77</f>
        <v>0</v>
      </c>
      <c r="H243" s="220">
        <f t="shared" si="156"/>
        <v>0</v>
      </c>
      <c r="I243" s="220">
        <f t="shared" si="156"/>
        <v>0</v>
      </c>
      <c r="J243" s="220">
        <f t="shared" si="156"/>
        <v>0</v>
      </c>
      <c r="K243" s="220">
        <f t="shared" si="156"/>
        <v>0</v>
      </c>
      <c r="L243" s="220">
        <f t="shared" si="156"/>
        <v>0</v>
      </c>
      <c r="M243" s="220">
        <f t="shared" si="156"/>
        <v>0</v>
      </c>
      <c r="N243" s="220">
        <f t="shared" si="156"/>
        <v>20.276753549314577</v>
      </c>
      <c r="O243" s="220">
        <f t="shared" si="156"/>
        <v>21.511394455976113</v>
      </c>
      <c r="P243" s="220">
        <f t="shared" si="156"/>
        <v>34.785148871845436</v>
      </c>
      <c r="Q243" s="220">
        <f t="shared" si="156"/>
        <v>33.179271161634347</v>
      </c>
      <c r="R243" s="220">
        <f t="shared" si="156"/>
        <v>29.390020984753008</v>
      </c>
      <c r="S243" s="220">
        <f t="shared" si="156"/>
        <v>32.065610462265013</v>
      </c>
      <c r="T243" s="220">
        <f t="shared" si="156"/>
        <v>30.00024159370701</v>
      </c>
      <c r="U243" s="220">
        <f t="shared" si="156"/>
        <v>33.306294830645619</v>
      </c>
      <c r="V243" s="220">
        <f t="shared" si="156"/>
        <v>24.949257414273085</v>
      </c>
      <c r="W243" s="220">
        <f t="shared" si="156"/>
        <v>21.899767024478159</v>
      </c>
      <c r="X243" s="220">
        <f t="shared" si="156"/>
        <v>26.795873158273555</v>
      </c>
      <c r="Y243" s="220">
        <f t="shared" si="156"/>
        <v>26.29974616744542</v>
      </c>
      <c r="Z243" s="220">
        <f t="shared" si="156"/>
        <v>33.000032886441019</v>
      </c>
      <c r="AA243" s="220">
        <f t="shared" si="156"/>
        <v>19.717972972745489</v>
      </c>
      <c r="AB243" s="220">
        <f t="shared" si="156"/>
        <v>3.3324138510729009</v>
      </c>
      <c r="AC243" s="220">
        <f t="shared" si="156"/>
        <v>0.91321420031156153</v>
      </c>
    </row>
    <row r="244" spans="2:29">
      <c r="B244" s="168" t="str">
        <f t="shared" si="141"/>
        <v>Coal/Ore</v>
      </c>
      <c r="C244" s="165" t="str">
        <f t="shared" si="141"/>
        <v>Dumper/ 40t</v>
      </c>
      <c r="D244" s="171" t="s">
        <v>896</v>
      </c>
      <c r="E244" s="171"/>
      <c r="F244" s="174">
        <f t="shared" si="143"/>
        <v>39.950211416490475</v>
      </c>
      <c r="G244" s="220">
        <f t="shared" ref="G244:AC244" si="157">G82</f>
        <v>0</v>
      </c>
      <c r="H244" s="220">
        <f t="shared" si="157"/>
        <v>0</v>
      </c>
      <c r="I244" s="220">
        <f t="shared" si="157"/>
        <v>0</v>
      </c>
      <c r="J244" s="220">
        <f t="shared" si="157"/>
        <v>0</v>
      </c>
      <c r="K244" s="220">
        <f t="shared" si="157"/>
        <v>2.5538941386743237</v>
      </c>
      <c r="L244" s="220">
        <f t="shared" si="157"/>
        <v>5.1077871855587693</v>
      </c>
      <c r="M244" s="220">
        <f t="shared" si="157"/>
        <v>11.652144498347258</v>
      </c>
      <c r="N244" s="220">
        <f t="shared" si="157"/>
        <v>20.338284231624609</v>
      </c>
      <c r="O244" s="220">
        <f t="shared" si="157"/>
        <v>26.382203056073166</v>
      </c>
      <c r="P244" s="220">
        <f t="shared" si="157"/>
        <v>27.965157555622667</v>
      </c>
      <c r="Q244" s="220">
        <f t="shared" si="157"/>
        <v>29.130355849469218</v>
      </c>
      <c r="R244" s="220">
        <f t="shared" si="157"/>
        <v>30.396889595069563</v>
      </c>
      <c r="S244" s="220">
        <f t="shared" si="157"/>
        <v>31.778580885874742</v>
      </c>
      <c r="T244" s="220">
        <f t="shared" si="157"/>
        <v>32.517599115625075</v>
      </c>
      <c r="U244" s="220">
        <f t="shared" si="157"/>
        <v>34.103827350565858</v>
      </c>
      <c r="V244" s="220">
        <f t="shared" si="157"/>
        <v>34.956434989429169</v>
      </c>
      <c r="W244" s="220">
        <f t="shared" si="157"/>
        <v>36.796280915466959</v>
      </c>
      <c r="X244" s="220">
        <f t="shared" si="157"/>
        <v>37.790740529112618</v>
      </c>
      <c r="Y244" s="220">
        <f t="shared" si="157"/>
        <v>39.950211416490475</v>
      </c>
      <c r="Z244" s="220">
        <f t="shared" si="157"/>
        <v>39.950206862166979</v>
      </c>
      <c r="AA244" s="220">
        <f t="shared" si="157"/>
        <v>26.63346972333683</v>
      </c>
      <c r="AB244" s="220">
        <f t="shared" si="157"/>
        <v>19.97511026256873</v>
      </c>
      <c r="AC244" s="220">
        <f t="shared" si="157"/>
        <v>5.871058113167746</v>
      </c>
    </row>
    <row r="245" spans="2:29">
      <c r="B245" s="168" t="str">
        <f t="shared" si="141"/>
        <v/>
      </c>
      <c r="C245" s="165" t="str">
        <f t="shared" si="141"/>
        <v>Track Dozer/ 405 HP</v>
      </c>
      <c r="D245" s="171" t="s">
        <v>896</v>
      </c>
      <c r="E245" s="171"/>
      <c r="F245" s="174">
        <f t="shared" ref="F245:F271" si="158">MAX(G245:AC245)</f>
        <v>6</v>
      </c>
      <c r="G245" s="220">
        <f t="shared" ref="G245:AC245" si="159">G87</f>
        <v>0</v>
      </c>
      <c r="H245" s="220">
        <f t="shared" si="159"/>
        <v>0</v>
      </c>
      <c r="I245" s="220">
        <f t="shared" si="159"/>
        <v>0</v>
      </c>
      <c r="J245" s="220">
        <f t="shared" si="159"/>
        <v>0</v>
      </c>
      <c r="K245" s="220">
        <f t="shared" si="159"/>
        <v>1</v>
      </c>
      <c r="L245" s="220">
        <f t="shared" si="159"/>
        <v>2</v>
      </c>
      <c r="M245" s="220">
        <f t="shared" si="159"/>
        <v>4</v>
      </c>
      <c r="N245" s="220">
        <f t="shared" si="159"/>
        <v>5</v>
      </c>
      <c r="O245" s="220">
        <f t="shared" si="159"/>
        <v>6</v>
      </c>
      <c r="P245" s="220">
        <f t="shared" si="159"/>
        <v>6</v>
      </c>
      <c r="Q245" s="220">
        <f t="shared" si="159"/>
        <v>6</v>
      </c>
      <c r="R245" s="220">
        <f t="shared" si="159"/>
        <v>6</v>
      </c>
      <c r="S245" s="220">
        <f t="shared" si="159"/>
        <v>6</v>
      </c>
      <c r="T245" s="220">
        <f t="shared" si="159"/>
        <v>6</v>
      </c>
      <c r="U245" s="220">
        <f t="shared" si="159"/>
        <v>6</v>
      </c>
      <c r="V245" s="220">
        <f t="shared" si="159"/>
        <v>6</v>
      </c>
      <c r="W245" s="220">
        <f t="shared" si="159"/>
        <v>6</v>
      </c>
      <c r="X245" s="220">
        <f t="shared" si="159"/>
        <v>6</v>
      </c>
      <c r="Y245" s="220">
        <f t="shared" si="159"/>
        <v>6</v>
      </c>
      <c r="Z245" s="220">
        <f t="shared" si="159"/>
        <v>6</v>
      </c>
      <c r="AA245" s="220">
        <f t="shared" si="159"/>
        <v>4</v>
      </c>
      <c r="AB245" s="220">
        <f t="shared" si="159"/>
        <v>3</v>
      </c>
      <c r="AC245" s="220">
        <f t="shared" si="159"/>
        <v>1</v>
      </c>
    </row>
    <row r="246" spans="2:29">
      <c r="B246" s="168" t="str">
        <f t="shared" ref="B246:C246" si="160">B199</f>
        <v/>
      </c>
      <c r="C246" s="165" t="str">
        <f t="shared" si="160"/>
        <v>Wheel Dozer</v>
      </c>
      <c r="D246" s="171" t="s">
        <v>896</v>
      </c>
      <c r="E246" s="171"/>
      <c r="F246" s="174">
        <f t="shared" si="158"/>
        <v>2</v>
      </c>
      <c r="G246" s="220">
        <f t="shared" ref="G246:AC246" si="161">G89</f>
        <v>0</v>
      </c>
      <c r="H246" s="220">
        <f t="shared" si="161"/>
        <v>0</v>
      </c>
      <c r="I246" s="220">
        <f t="shared" si="161"/>
        <v>0</v>
      </c>
      <c r="J246" s="220">
        <f t="shared" si="161"/>
        <v>0</v>
      </c>
      <c r="K246" s="220">
        <f t="shared" si="161"/>
        <v>1</v>
      </c>
      <c r="L246" s="220">
        <f t="shared" si="161"/>
        <v>1</v>
      </c>
      <c r="M246" s="220">
        <f t="shared" si="161"/>
        <v>2</v>
      </c>
      <c r="N246" s="220">
        <f t="shared" si="161"/>
        <v>2</v>
      </c>
      <c r="O246" s="220">
        <f t="shared" si="161"/>
        <v>2</v>
      </c>
      <c r="P246" s="220">
        <f t="shared" si="161"/>
        <v>2</v>
      </c>
      <c r="Q246" s="220">
        <f t="shared" si="161"/>
        <v>2</v>
      </c>
      <c r="R246" s="220">
        <f t="shared" si="161"/>
        <v>2</v>
      </c>
      <c r="S246" s="220">
        <f t="shared" si="161"/>
        <v>2</v>
      </c>
      <c r="T246" s="220">
        <f t="shared" si="161"/>
        <v>2</v>
      </c>
      <c r="U246" s="220">
        <f t="shared" si="161"/>
        <v>2</v>
      </c>
      <c r="V246" s="220">
        <f t="shared" si="161"/>
        <v>2</v>
      </c>
      <c r="W246" s="220">
        <f t="shared" si="161"/>
        <v>2</v>
      </c>
      <c r="X246" s="220">
        <f t="shared" si="161"/>
        <v>2</v>
      </c>
      <c r="Y246" s="220">
        <f t="shared" si="161"/>
        <v>2</v>
      </c>
      <c r="Z246" s="220">
        <f t="shared" si="161"/>
        <v>2</v>
      </c>
      <c r="AA246" s="220">
        <f t="shared" si="161"/>
        <v>2</v>
      </c>
      <c r="AB246" s="220">
        <f t="shared" si="161"/>
        <v>1</v>
      </c>
      <c r="AC246" s="220">
        <f t="shared" si="161"/>
        <v>1</v>
      </c>
    </row>
    <row r="247" spans="2:29">
      <c r="B247" s="168" t="str">
        <f t="shared" ref="B247:C247" si="162">B200</f>
        <v/>
      </c>
      <c r="C247" s="165" t="str">
        <f t="shared" si="162"/>
        <v>Ripper Dozer/ 450TPH</v>
      </c>
      <c r="D247" s="171" t="s">
        <v>896</v>
      </c>
      <c r="E247" s="171"/>
      <c r="F247" s="174">
        <f t="shared" si="158"/>
        <v>2</v>
      </c>
      <c r="G247" s="220">
        <f t="shared" ref="G247:AC247" si="163">G91</f>
        <v>0</v>
      </c>
      <c r="H247" s="220">
        <f t="shared" si="163"/>
        <v>0</v>
      </c>
      <c r="I247" s="220">
        <f t="shared" si="163"/>
        <v>0</v>
      </c>
      <c r="J247" s="220">
        <f t="shared" si="163"/>
        <v>0</v>
      </c>
      <c r="K247" s="220">
        <f t="shared" si="163"/>
        <v>1</v>
      </c>
      <c r="L247" s="220">
        <f t="shared" si="163"/>
        <v>1</v>
      </c>
      <c r="M247" s="220">
        <f t="shared" si="163"/>
        <v>2</v>
      </c>
      <c r="N247" s="220">
        <f t="shared" si="163"/>
        <v>2</v>
      </c>
      <c r="O247" s="220">
        <f t="shared" si="163"/>
        <v>2</v>
      </c>
      <c r="P247" s="220">
        <f t="shared" si="163"/>
        <v>2</v>
      </c>
      <c r="Q247" s="220">
        <f t="shared" si="163"/>
        <v>2</v>
      </c>
      <c r="R247" s="220">
        <f t="shared" si="163"/>
        <v>2</v>
      </c>
      <c r="S247" s="220">
        <f t="shared" si="163"/>
        <v>2</v>
      </c>
      <c r="T247" s="220">
        <f t="shared" si="163"/>
        <v>2</v>
      </c>
      <c r="U247" s="220">
        <f t="shared" si="163"/>
        <v>2</v>
      </c>
      <c r="V247" s="220">
        <f t="shared" si="163"/>
        <v>2</v>
      </c>
      <c r="W247" s="220">
        <f t="shared" si="163"/>
        <v>2</v>
      </c>
      <c r="X247" s="220">
        <f t="shared" si="163"/>
        <v>2</v>
      </c>
      <c r="Y247" s="220">
        <f t="shared" si="163"/>
        <v>2</v>
      </c>
      <c r="Z247" s="220">
        <f t="shared" si="163"/>
        <v>2</v>
      </c>
      <c r="AA247" s="220">
        <f t="shared" si="163"/>
        <v>2</v>
      </c>
      <c r="AB247" s="220">
        <f t="shared" si="163"/>
        <v>1</v>
      </c>
      <c r="AC247" s="220">
        <f t="shared" si="163"/>
        <v>1</v>
      </c>
    </row>
    <row r="248" spans="2:29">
      <c r="B248" s="168" t="str">
        <f t="shared" ref="B248:C248" si="164">B201</f>
        <v/>
      </c>
      <c r="C248" s="165" t="str">
        <f t="shared" si="164"/>
        <v>Track Dozer/ 192 HP</v>
      </c>
      <c r="D248" s="171" t="s">
        <v>896</v>
      </c>
      <c r="E248" s="171"/>
      <c r="F248" s="174">
        <f t="shared" si="158"/>
        <v>2</v>
      </c>
      <c r="G248" s="220">
        <f t="shared" ref="G248:AC248" si="165">G93</f>
        <v>0</v>
      </c>
      <c r="H248" s="220">
        <f t="shared" si="165"/>
        <v>0</v>
      </c>
      <c r="I248" s="220">
        <f t="shared" si="165"/>
        <v>0</v>
      </c>
      <c r="J248" s="220">
        <f t="shared" si="165"/>
        <v>0</v>
      </c>
      <c r="K248" s="220">
        <f t="shared" si="165"/>
        <v>1</v>
      </c>
      <c r="L248" s="220">
        <f t="shared" si="165"/>
        <v>1</v>
      </c>
      <c r="M248" s="220">
        <f t="shared" si="165"/>
        <v>2</v>
      </c>
      <c r="N248" s="220">
        <f t="shared" si="165"/>
        <v>2</v>
      </c>
      <c r="O248" s="220">
        <f t="shared" si="165"/>
        <v>2</v>
      </c>
      <c r="P248" s="220">
        <f t="shared" si="165"/>
        <v>2</v>
      </c>
      <c r="Q248" s="220">
        <f t="shared" si="165"/>
        <v>2</v>
      </c>
      <c r="R248" s="220">
        <f t="shared" si="165"/>
        <v>2</v>
      </c>
      <c r="S248" s="220">
        <f t="shared" si="165"/>
        <v>2</v>
      </c>
      <c r="T248" s="220">
        <f t="shared" si="165"/>
        <v>2</v>
      </c>
      <c r="U248" s="220">
        <f t="shared" si="165"/>
        <v>2</v>
      </c>
      <c r="V248" s="220">
        <f t="shared" si="165"/>
        <v>2</v>
      </c>
      <c r="W248" s="220">
        <f t="shared" si="165"/>
        <v>2</v>
      </c>
      <c r="X248" s="220">
        <f t="shared" si="165"/>
        <v>2</v>
      </c>
      <c r="Y248" s="220">
        <f t="shared" si="165"/>
        <v>2</v>
      </c>
      <c r="Z248" s="220">
        <f t="shared" si="165"/>
        <v>2</v>
      </c>
      <c r="AA248" s="220">
        <f t="shared" si="165"/>
        <v>2</v>
      </c>
      <c r="AB248" s="220">
        <f t="shared" si="165"/>
        <v>1</v>
      </c>
      <c r="AC248" s="220">
        <f t="shared" si="165"/>
        <v>1</v>
      </c>
    </row>
    <row r="249" spans="2:29">
      <c r="B249" s="168" t="str">
        <f t="shared" ref="B249:C249" si="166">B202</f>
        <v/>
      </c>
      <c r="C249" s="165" t="str">
        <f t="shared" si="166"/>
        <v>Motor Grader/ 290 - 348 HP</v>
      </c>
      <c r="D249" s="171" t="s">
        <v>896</v>
      </c>
      <c r="E249" s="171"/>
      <c r="F249" s="174">
        <f t="shared" si="158"/>
        <v>2</v>
      </c>
      <c r="G249" s="220">
        <f t="shared" ref="G249:AC249" si="167">G97</f>
        <v>0</v>
      </c>
      <c r="H249" s="220">
        <f t="shared" si="167"/>
        <v>0</v>
      </c>
      <c r="I249" s="220">
        <f t="shared" si="167"/>
        <v>0</v>
      </c>
      <c r="J249" s="220">
        <f t="shared" si="167"/>
        <v>0</v>
      </c>
      <c r="K249" s="220">
        <f t="shared" si="167"/>
        <v>1</v>
      </c>
      <c r="L249" s="220">
        <f t="shared" si="167"/>
        <v>1</v>
      </c>
      <c r="M249" s="220">
        <f t="shared" si="167"/>
        <v>2</v>
      </c>
      <c r="N249" s="220">
        <f t="shared" si="167"/>
        <v>2</v>
      </c>
      <c r="O249" s="220">
        <f t="shared" si="167"/>
        <v>2</v>
      </c>
      <c r="P249" s="220">
        <f t="shared" si="167"/>
        <v>2</v>
      </c>
      <c r="Q249" s="220">
        <f t="shared" si="167"/>
        <v>2</v>
      </c>
      <c r="R249" s="220">
        <f t="shared" si="167"/>
        <v>2</v>
      </c>
      <c r="S249" s="220">
        <f t="shared" si="167"/>
        <v>2</v>
      </c>
      <c r="T249" s="220">
        <f t="shared" si="167"/>
        <v>2</v>
      </c>
      <c r="U249" s="220">
        <f t="shared" si="167"/>
        <v>2</v>
      </c>
      <c r="V249" s="220">
        <f t="shared" si="167"/>
        <v>2</v>
      </c>
      <c r="W249" s="220">
        <f t="shared" si="167"/>
        <v>2</v>
      </c>
      <c r="X249" s="220">
        <f t="shared" si="167"/>
        <v>2</v>
      </c>
      <c r="Y249" s="220">
        <f t="shared" si="167"/>
        <v>2</v>
      </c>
      <c r="Z249" s="220">
        <f t="shared" si="167"/>
        <v>2</v>
      </c>
      <c r="AA249" s="220">
        <f t="shared" si="167"/>
        <v>2</v>
      </c>
      <c r="AB249" s="220">
        <f t="shared" si="167"/>
        <v>1</v>
      </c>
      <c r="AC249" s="220">
        <f t="shared" si="167"/>
        <v>1</v>
      </c>
    </row>
    <row r="250" spans="2:29">
      <c r="B250" s="168" t="str">
        <f t="shared" ref="B250:C250" si="168">B203</f>
        <v/>
      </c>
      <c r="C250" s="165" t="str">
        <f t="shared" si="168"/>
        <v>Motor Grader/ 145 HP</v>
      </c>
      <c r="D250" s="171" t="s">
        <v>896</v>
      </c>
      <c r="E250" s="171"/>
      <c r="F250" s="174">
        <f t="shared" si="158"/>
        <v>2</v>
      </c>
      <c r="G250" s="220">
        <f t="shared" ref="G250:AC250" si="169">G99</f>
        <v>0</v>
      </c>
      <c r="H250" s="220">
        <f t="shared" si="169"/>
        <v>0</v>
      </c>
      <c r="I250" s="220">
        <f t="shared" si="169"/>
        <v>0</v>
      </c>
      <c r="J250" s="220">
        <f t="shared" si="169"/>
        <v>0</v>
      </c>
      <c r="K250" s="220">
        <f t="shared" si="169"/>
        <v>1</v>
      </c>
      <c r="L250" s="220">
        <f t="shared" si="169"/>
        <v>1</v>
      </c>
      <c r="M250" s="220">
        <f t="shared" si="169"/>
        <v>2</v>
      </c>
      <c r="N250" s="220">
        <f t="shared" si="169"/>
        <v>2</v>
      </c>
      <c r="O250" s="220">
        <f t="shared" si="169"/>
        <v>2</v>
      </c>
      <c r="P250" s="220">
        <f t="shared" si="169"/>
        <v>2</v>
      </c>
      <c r="Q250" s="220">
        <f t="shared" si="169"/>
        <v>2</v>
      </c>
      <c r="R250" s="220">
        <f t="shared" si="169"/>
        <v>2</v>
      </c>
      <c r="S250" s="220">
        <f t="shared" si="169"/>
        <v>2</v>
      </c>
      <c r="T250" s="220">
        <f t="shared" si="169"/>
        <v>2</v>
      </c>
      <c r="U250" s="220">
        <f t="shared" si="169"/>
        <v>2</v>
      </c>
      <c r="V250" s="220">
        <f t="shared" si="169"/>
        <v>2</v>
      </c>
      <c r="W250" s="220">
        <f t="shared" si="169"/>
        <v>2</v>
      </c>
      <c r="X250" s="220">
        <f t="shared" si="169"/>
        <v>2</v>
      </c>
      <c r="Y250" s="220">
        <f t="shared" si="169"/>
        <v>2</v>
      </c>
      <c r="Z250" s="220">
        <f t="shared" si="169"/>
        <v>2</v>
      </c>
      <c r="AA250" s="220">
        <f t="shared" si="169"/>
        <v>2</v>
      </c>
      <c r="AB250" s="220">
        <f t="shared" si="169"/>
        <v>1</v>
      </c>
      <c r="AC250" s="220">
        <f t="shared" si="169"/>
        <v>1</v>
      </c>
    </row>
    <row r="251" spans="2:29">
      <c r="B251" s="168" t="str">
        <f t="shared" ref="B251:C251" si="170">B204</f>
        <v/>
      </c>
      <c r="C251" s="165" t="str">
        <f t="shared" si="170"/>
        <v>Crane/ 120t</v>
      </c>
      <c r="D251" s="171" t="s">
        <v>896</v>
      </c>
      <c r="E251" s="171"/>
      <c r="F251" s="174">
        <f t="shared" si="158"/>
        <v>2</v>
      </c>
      <c r="G251" s="220">
        <f t="shared" ref="G251:AC251" si="171">G103</f>
        <v>0</v>
      </c>
      <c r="H251" s="220">
        <f t="shared" si="171"/>
        <v>0</v>
      </c>
      <c r="I251" s="220">
        <f t="shared" si="171"/>
        <v>0</v>
      </c>
      <c r="J251" s="220">
        <f t="shared" si="171"/>
        <v>0</v>
      </c>
      <c r="K251" s="220">
        <f t="shared" si="171"/>
        <v>1</v>
      </c>
      <c r="L251" s="220">
        <f t="shared" si="171"/>
        <v>1</v>
      </c>
      <c r="M251" s="220">
        <f t="shared" si="171"/>
        <v>2</v>
      </c>
      <c r="N251" s="220">
        <f t="shared" si="171"/>
        <v>2</v>
      </c>
      <c r="O251" s="220">
        <f t="shared" si="171"/>
        <v>2</v>
      </c>
      <c r="P251" s="220">
        <f t="shared" si="171"/>
        <v>2</v>
      </c>
      <c r="Q251" s="220">
        <f t="shared" si="171"/>
        <v>2</v>
      </c>
      <c r="R251" s="220">
        <f t="shared" si="171"/>
        <v>2</v>
      </c>
      <c r="S251" s="220">
        <f t="shared" si="171"/>
        <v>2</v>
      </c>
      <c r="T251" s="220">
        <f t="shared" si="171"/>
        <v>2</v>
      </c>
      <c r="U251" s="220">
        <f t="shared" si="171"/>
        <v>2</v>
      </c>
      <c r="V251" s="220">
        <f t="shared" si="171"/>
        <v>2</v>
      </c>
      <c r="W251" s="220">
        <f t="shared" si="171"/>
        <v>2</v>
      </c>
      <c r="X251" s="220">
        <f t="shared" si="171"/>
        <v>2</v>
      </c>
      <c r="Y251" s="220">
        <f t="shared" si="171"/>
        <v>2</v>
      </c>
      <c r="Z251" s="220">
        <f t="shared" si="171"/>
        <v>2</v>
      </c>
      <c r="AA251" s="220">
        <f t="shared" si="171"/>
        <v>2</v>
      </c>
      <c r="AB251" s="220">
        <f t="shared" si="171"/>
        <v>1</v>
      </c>
      <c r="AC251" s="220">
        <f t="shared" si="171"/>
        <v>1</v>
      </c>
    </row>
    <row r="252" spans="2:29">
      <c r="B252" s="168" t="str">
        <f t="shared" ref="B252:C252" si="172">B205</f>
        <v/>
      </c>
      <c r="C252" s="165" t="str">
        <f t="shared" si="172"/>
        <v>Crane/ 60t</v>
      </c>
      <c r="D252" s="171" t="s">
        <v>896</v>
      </c>
      <c r="E252" s="171"/>
      <c r="F252" s="174">
        <f t="shared" si="158"/>
        <v>2</v>
      </c>
      <c r="G252" s="220">
        <f t="shared" ref="G252:AC252" si="173">G105</f>
        <v>0</v>
      </c>
      <c r="H252" s="220">
        <f t="shared" si="173"/>
        <v>0</v>
      </c>
      <c r="I252" s="220">
        <f t="shared" si="173"/>
        <v>0</v>
      </c>
      <c r="J252" s="220">
        <f t="shared" si="173"/>
        <v>0</v>
      </c>
      <c r="K252" s="220">
        <f t="shared" si="173"/>
        <v>1</v>
      </c>
      <c r="L252" s="220">
        <f t="shared" si="173"/>
        <v>1</v>
      </c>
      <c r="M252" s="220">
        <f t="shared" si="173"/>
        <v>2</v>
      </c>
      <c r="N252" s="220">
        <f t="shared" si="173"/>
        <v>2</v>
      </c>
      <c r="O252" s="220">
        <f t="shared" si="173"/>
        <v>2</v>
      </c>
      <c r="P252" s="220">
        <f t="shared" si="173"/>
        <v>2</v>
      </c>
      <c r="Q252" s="220">
        <f t="shared" si="173"/>
        <v>2</v>
      </c>
      <c r="R252" s="220">
        <f t="shared" si="173"/>
        <v>2</v>
      </c>
      <c r="S252" s="220">
        <f t="shared" si="173"/>
        <v>2</v>
      </c>
      <c r="T252" s="220">
        <f t="shared" si="173"/>
        <v>2</v>
      </c>
      <c r="U252" s="220">
        <f t="shared" si="173"/>
        <v>2</v>
      </c>
      <c r="V252" s="220">
        <f t="shared" si="173"/>
        <v>2</v>
      </c>
      <c r="W252" s="220">
        <f t="shared" si="173"/>
        <v>2</v>
      </c>
      <c r="X252" s="220">
        <f t="shared" si="173"/>
        <v>2</v>
      </c>
      <c r="Y252" s="220">
        <f t="shared" si="173"/>
        <v>2</v>
      </c>
      <c r="Z252" s="220">
        <f t="shared" si="173"/>
        <v>2</v>
      </c>
      <c r="AA252" s="220">
        <f t="shared" si="173"/>
        <v>2</v>
      </c>
      <c r="AB252" s="220">
        <f t="shared" si="173"/>
        <v>1</v>
      </c>
      <c r="AC252" s="220">
        <f t="shared" si="173"/>
        <v>1</v>
      </c>
    </row>
    <row r="253" spans="2:29">
      <c r="B253" s="168" t="str">
        <f t="shared" ref="B253:C253" si="174">B206</f>
        <v/>
      </c>
      <c r="C253" s="165" t="str">
        <f t="shared" si="174"/>
        <v>Crane/ 12t</v>
      </c>
      <c r="D253" s="171" t="s">
        <v>896</v>
      </c>
      <c r="E253" s="171"/>
      <c r="F253" s="174">
        <f t="shared" si="158"/>
        <v>2</v>
      </c>
      <c r="G253" s="220">
        <f t="shared" ref="G253:AC253" si="175">G107</f>
        <v>0</v>
      </c>
      <c r="H253" s="220">
        <f t="shared" si="175"/>
        <v>0</v>
      </c>
      <c r="I253" s="220">
        <f t="shared" si="175"/>
        <v>0</v>
      </c>
      <c r="J253" s="220">
        <f t="shared" si="175"/>
        <v>0</v>
      </c>
      <c r="K253" s="220">
        <f t="shared" si="175"/>
        <v>1</v>
      </c>
      <c r="L253" s="220">
        <f t="shared" si="175"/>
        <v>1</v>
      </c>
      <c r="M253" s="220">
        <f t="shared" si="175"/>
        <v>2</v>
      </c>
      <c r="N253" s="220">
        <f t="shared" si="175"/>
        <v>2</v>
      </c>
      <c r="O253" s="220">
        <f t="shared" si="175"/>
        <v>2</v>
      </c>
      <c r="P253" s="220">
        <f t="shared" si="175"/>
        <v>2</v>
      </c>
      <c r="Q253" s="220">
        <f t="shared" si="175"/>
        <v>2</v>
      </c>
      <c r="R253" s="220">
        <f t="shared" si="175"/>
        <v>2</v>
      </c>
      <c r="S253" s="220">
        <f t="shared" si="175"/>
        <v>2</v>
      </c>
      <c r="T253" s="220">
        <f t="shared" si="175"/>
        <v>2</v>
      </c>
      <c r="U253" s="220">
        <f t="shared" si="175"/>
        <v>2</v>
      </c>
      <c r="V253" s="220">
        <f t="shared" si="175"/>
        <v>2</v>
      </c>
      <c r="W253" s="220">
        <f t="shared" si="175"/>
        <v>2</v>
      </c>
      <c r="X253" s="220">
        <f t="shared" si="175"/>
        <v>2</v>
      </c>
      <c r="Y253" s="220">
        <f t="shared" si="175"/>
        <v>2</v>
      </c>
      <c r="Z253" s="220">
        <f t="shared" si="175"/>
        <v>2</v>
      </c>
      <c r="AA253" s="220">
        <f t="shared" si="175"/>
        <v>2</v>
      </c>
      <c r="AB253" s="220">
        <f t="shared" si="175"/>
        <v>1</v>
      </c>
      <c r="AC253" s="220">
        <f t="shared" si="175"/>
        <v>1</v>
      </c>
    </row>
    <row r="254" spans="2:29">
      <c r="B254" s="168" t="str">
        <f t="shared" ref="B254:C254" si="176">B207</f>
        <v/>
      </c>
      <c r="C254" s="165" t="str">
        <f t="shared" si="176"/>
        <v>Crane/ 8t</v>
      </c>
      <c r="D254" s="171" t="s">
        <v>896</v>
      </c>
      <c r="E254" s="171"/>
      <c r="F254" s="174">
        <f t="shared" si="158"/>
        <v>2</v>
      </c>
      <c r="G254" s="220">
        <f t="shared" ref="G254:AC254" si="177">G109</f>
        <v>0</v>
      </c>
      <c r="H254" s="220">
        <f t="shared" si="177"/>
        <v>0</v>
      </c>
      <c r="I254" s="220">
        <f t="shared" si="177"/>
        <v>0</v>
      </c>
      <c r="J254" s="220">
        <f t="shared" si="177"/>
        <v>0</v>
      </c>
      <c r="K254" s="220">
        <f t="shared" si="177"/>
        <v>1</v>
      </c>
      <c r="L254" s="220">
        <f t="shared" si="177"/>
        <v>1</v>
      </c>
      <c r="M254" s="220">
        <f t="shared" si="177"/>
        <v>2</v>
      </c>
      <c r="N254" s="220">
        <f t="shared" si="177"/>
        <v>2</v>
      </c>
      <c r="O254" s="220">
        <f t="shared" si="177"/>
        <v>2</v>
      </c>
      <c r="P254" s="220">
        <f t="shared" si="177"/>
        <v>2</v>
      </c>
      <c r="Q254" s="220">
        <f t="shared" si="177"/>
        <v>2</v>
      </c>
      <c r="R254" s="220">
        <f t="shared" si="177"/>
        <v>2</v>
      </c>
      <c r="S254" s="220">
        <f t="shared" si="177"/>
        <v>2</v>
      </c>
      <c r="T254" s="220">
        <f t="shared" si="177"/>
        <v>2</v>
      </c>
      <c r="U254" s="220">
        <f t="shared" si="177"/>
        <v>2</v>
      </c>
      <c r="V254" s="220">
        <f t="shared" si="177"/>
        <v>2</v>
      </c>
      <c r="W254" s="220">
        <f t="shared" si="177"/>
        <v>2</v>
      </c>
      <c r="X254" s="220">
        <f t="shared" si="177"/>
        <v>2</v>
      </c>
      <c r="Y254" s="220">
        <f t="shared" si="177"/>
        <v>2</v>
      </c>
      <c r="Z254" s="220">
        <f t="shared" si="177"/>
        <v>2</v>
      </c>
      <c r="AA254" s="220">
        <f t="shared" si="177"/>
        <v>2</v>
      </c>
      <c r="AB254" s="220">
        <f t="shared" si="177"/>
        <v>1</v>
      </c>
      <c r="AC254" s="220">
        <f t="shared" si="177"/>
        <v>1</v>
      </c>
    </row>
    <row r="255" spans="2:29">
      <c r="B255" s="168" t="str">
        <f t="shared" ref="B255:C255" si="178">B208</f>
        <v/>
      </c>
      <c r="C255" s="165" t="str">
        <f t="shared" si="178"/>
        <v>Water Sprinkler/ 28KL</v>
      </c>
      <c r="D255" s="171" t="s">
        <v>896</v>
      </c>
      <c r="E255" s="171"/>
      <c r="F255" s="174">
        <f t="shared" si="158"/>
        <v>2</v>
      </c>
      <c r="G255" s="220">
        <f t="shared" ref="G255:AC255" si="179">G112</f>
        <v>0</v>
      </c>
      <c r="H255" s="220">
        <f t="shared" si="179"/>
        <v>0</v>
      </c>
      <c r="I255" s="220">
        <f t="shared" si="179"/>
        <v>0</v>
      </c>
      <c r="J255" s="220">
        <f t="shared" si="179"/>
        <v>0</v>
      </c>
      <c r="K255" s="220">
        <f t="shared" si="179"/>
        <v>1</v>
      </c>
      <c r="L255" s="220">
        <f t="shared" si="179"/>
        <v>1</v>
      </c>
      <c r="M255" s="220">
        <f t="shared" si="179"/>
        <v>2</v>
      </c>
      <c r="N255" s="220">
        <f t="shared" si="179"/>
        <v>2</v>
      </c>
      <c r="O255" s="220">
        <f t="shared" si="179"/>
        <v>2</v>
      </c>
      <c r="P255" s="220">
        <f t="shared" si="179"/>
        <v>2</v>
      </c>
      <c r="Q255" s="220">
        <f t="shared" si="179"/>
        <v>2</v>
      </c>
      <c r="R255" s="220">
        <f t="shared" si="179"/>
        <v>2</v>
      </c>
      <c r="S255" s="220">
        <f t="shared" si="179"/>
        <v>2</v>
      </c>
      <c r="T255" s="220">
        <f t="shared" si="179"/>
        <v>2</v>
      </c>
      <c r="U255" s="220">
        <f t="shared" si="179"/>
        <v>2</v>
      </c>
      <c r="V255" s="220">
        <f t="shared" si="179"/>
        <v>2</v>
      </c>
      <c r="W255" s="220">
        <f t="shared" si="179"/>
        <v>2</v>
      </c>
      <c r="X255" s="220">
        <f t="shared" si="179"/>
        <v>2</v>
      </c>
      <c r="Y255" s="220">
        <f t="shared" si="179"/>
        <v>2</v>
      </c>
      <c r="Z255" s="220">
        <f t="shared" si="179"/>
        <v>2</v>
      </c>
      <c r="AA255" s="220">
        <f t="shared" si="179"/>
        <v>2</v>
      </c>
      <c r="AB255" s="220">
        <f t="shared" si="179"/>
        <v>1</v>
      </c>
      <c r="AC255" s="220">
        <f t="shared" si="179"/>
        <v>1</v>
      </c>
    </row>
    <row r="256" spans="2:29">
      <c r="B256" s="168" t="str">
        <f t="shared" ref="B256:C256" si="180">B209</f>
        <v/>
      </c>
      <c r="C256" s="165" t="str">
        <f t="shared" si="180"/>
        <v>Diesel Bowser/ 9KL</v>
      </c>
      <c r="D256" s="171" t="s">
        <v>896</v>
      </c>
      <c r="E256" s="171"/>
      <c r="F256" s="174">
        <f t="shared" si="158"/>
        <v>2</v>
      </c>
      <c r="G256" s="220">
        <f t="shared" ref="G256:AC256" si="181">G113</f>
        <v>0</v>
      </c>
      <c r="H256" s="220">
        <f t="shared" si="181"/>
        <v>0</v>
      </c>
      <c r="I256" s="220">
        <f t="shared" si="181"/>
        <v>0</v>
      </c>
      <c r="J256" s="220">
        <f t="shared" si="181"/>
        <v>0</v>
      </c>
      <c r="K256" s="220">
        <f t="shared" si="181"/>
        <v>1</v>
      </c>
      <c r="L256" s="220">
        <f t="shared" si="181"/>
        <v>1</v>
      </c>
      <c r="M256" s="220">
        <f t="shared" si="181"/>
        <v>2</v>
      </c>
      <c r="N256" s="220">
        <f t="shared" si="181"/>
        <v>2</v>
      </c>
      <c r="O256" s="220">
        <f t="shared" si="181"/>
        <v>2</v>
      </c>
      <c r="P256" s="220">
        <f t="shared" si="181"/>
        <v>2</v>
      </c>
      <c r="Q256" s="220">
        <f t="shared" si="181"/>
        <v>2</v>
      </c>
      <c r="R256" s="220">
        <f t="shared" si="181"/>
        <v>2</v>
      </c>
      <c r="S256" s="220">
        <f t="shared" si="181"/>
        <v>2</v>
      </c>
      <c r="T256" s="220">
        <f t="shared" si="181"/>
        <v>2</v>
      </c>
      <c r="U256" s="220">
        <f t="shared" si="181"/>
        <v>2</v>
      </c>
      <c r="V256" s="220">
        <f t="shared" si="181"/>
        <v>2</v>
      </c>
      <c r="W256" s="220">
        <f t="shared" si="181"/>
        <v>2</v>
      </c>
      <c r="X256" s="220">
        <f t="shared" si="181"/>
        <v>2</v>
      </c>
      <c r="Y256" s="220">
        <f t="shared" si="181"/>
        <v>2</v>
      </c>
      <c r="Z256" s="220">
        <f t="shared" si="181"/>
        <v>2</v>
      </c>
      <c r="AA256" s="220">
        <f t="shared" si="181"/>
        <v>2</v>
      </c>
      <c r="AB256" s="220">
        <f t="shared" si="181"/>
        <v>1</v>
      </c>
      <c r="AC256" s="220">
        <f t="shared" si="181"/>
        <v>1</v>
      </c>
    </row>
    <row r="257" spans="2:29">
      <c r="B257" s="168" t="str">
        <f t="shared" ref="B257:C257" si="182">B210</f>
        <v/>
      </c>
      <c r="C257" s="165" t="str">
        <f t="shared" si="182"/>
        <v xml:space="preserve">Explosive Van </v>
      </c>
      <c r="D257" s="171" t="s">
        <v>896</v>
      </c>
      <c r="E257" s="171"/>
      <c r="F257" s="174">
        <f t="shared" si="158"/>
        <v>2</v>
      </c>
      <c r="G257" s="220">
        <f t="shared" ref="G257:AC257" si="183">G114</f>
        <v>0</v>
      </c>
      <c r="H257" s="220">
        <f t="shared" si="183"/>
        <v>0</v>
      </c>
      <c r="I257" s="220">
        <f t="shared" si="183"/>
        <v>0</v>
      </c>
      <c r="J257" s="220">
        <f t="shared" si="183"/>
        <v>0</v>
      </c>
      <c r="K257" s="220">
        <f t="shared" si="183"/>
        <v>1</v>
      </c>
      <c r="L257" s="220">
        <f t="shared" si="183"/>
        <v>1</v>
      </c>
      <c r="M257" s="220">
        <f t="shared" si="183"/>
        <v>2</v>
      </c>
      <c r="N257" s="220">
        <f t="shared" si="183"/>
        <v>2</v>
      </c>
      <c r="O257" s="220">
        <f t="shared" si="183"/>
        <v>2</v>
      </c>
      <c r="P257" s="220">
        <f t="shared" si="183"/>
        <v>2</v>
      </c>
      <c r="Q257" s="220">
        <f t="shared" si="183"/>
        <v>2</v>
      </c>
      <c r="R257" s="220">
        <f t="shared" si="183"/>
        <v>2</v>
      </c>
      <c r="S257" s="220">
        <f t="shared" si="183"/>
        <v>2</v>
      </c>
      <c r="T257" s="220">
        <f t="shared" si="183"/>
        <v>2</v>
      </c>
      <c r="U257" s="220">
        <f t="shared" si="183"/>
        <v>2</v>
      </c>
      <c r="V257" s="220">
        <f t="shared" si="183"/>
        <v>2</v>
      </c>
      <c r="W257" s="220">
        <f t="shared" si="183"/>
        <v>2</v>
      </c>
      <c r="X257" s="220">
        <f t="shared" si="183"/>
        <v>2</v>
      </c>
      <c r="Y257" s="220">
        <f t="shared" si="183"/>
        <v>2</v>
      </c>
      <c r="Z257" s="220">
        <f t="shared" si="183"/>
        <v>2</v>
      </c>
      <c r="AA257" s="220">
        <f t="shared" si="183"/>
        <v>2</v>
      </c>
      <c r="AB257" s="220">
        <f t="shared" si="183"/>
        <v>1</v>
      </c>
      <c r="AC257" s="220">
        <f t="shared" si="183"/>
        <v>1</v>
      </c>
    </row>
    <row r="258" spans="2:29">
      <c r="B258" s="168" t="str">
        <f t="shared" ref="B258:C258" si="184">B211</f>
        <v/>
      </c>
      <c r="C258" s="165" t="str">
        <f t="shared" si="184"/>
        <v>Maintenance Van</v>
      </c>
      <c r="D258" s="171" t="s">
        <v>896</v>
      </c>
      <c r="E258" s="171"/>
      <c r="F258" s="174">
        <f t="shared" si="158"/>
        <v>2</v>
      </c>
      <c r="G258" s="220">
        <f t="shared" ref="G258:AC258" si="185">G115</f>
        <v>0</v>
      </c>
      <c r="H258" s="220">
        <f t="shared" si="185"/>
        <v>0</v>
      </c>
      <c r="I258" s="220">
        <f t="shared" si="185"/>
        <v>0</v>
      </c>
      <c r="J258" s="220">
        <f t="shared" si="185"/>
        <v>0</v>
      </c>
      <c r="K258" s="220">
        <f t="shared" si="185"/>
        <v>1</v>
      </c>
      <c r="L258" s="220">
        <f t="shared" si="185"/>
        <v>1</v>
      </c>
      <c r="M258" s="220">
        <f t="shared" si="185"/>
        <v>2</v>
      </c>
      <c r="N258" s="220">
        <f t="shared" si="185"/>
        <v>2</v>
      </c>
      <c r="O258" s="220">
        <f t="shared" si="185"/>
        <v>2</v>
      </c>
      <c r="P258" s="220">
        <f t="shared" si="185"/>
        <v>2</v>
      </c>
      <c r="Q258" s="220">
        <f t="shared" si="185"/>
        <v>2</v>
      </c>
      <c r="R258" s="220">
        <f t="shared" si="185"/>
        <v>2</v>
      </c>
      <c r="S258" s="220">
        <f t="shared" si="185"/>
        <v>2</v>
      </c>
      <c r="T258" s="220">
        <f t="shared" si="185"/>
        <v>2</v>
      </c>
      <c r="U258" s="220">
        <f t="shared" si="185"/>
        <v>2</v>
      </c>
      <c r="V258" s="220">
        <f t="shared" si="185"/>
        <v>2</v>
      </c>
      <c r="W258" s="220">
        <f t="shared" si="185"/>
        <v>2</v>
      </c>
      <c r="X258" s="220">
        <f t="shared" si="185"/>
        <v>2</v>
      </c>
      <c r="Y258" s="220">
        <f t="shared" si="185"/>
        <v>2</v>
      </c>
      <c r="Z258" s="220">
        <f t="shared" si="185"/>
        <v>2</v>
      </c>
      <c r="AA258" s="220">
        <f t="shared" si="185"/>
        <v>2</v>
      </c>
      <c r="AB258" s="220">
        <f t="shared" si="185"/>
        <v>1</v>
      </c>
      <c r="AC258" s="220">
        <f t="shared" si="185"/>
        <v>1</v>
      </c>
    </row>
    <row r="259" spans="2:29">
      <c r="B259" s="168" t="str">
        <f t="shared" ref="B259:C259" si="186">B212</f>
        <v/>
      </c>
      <c r="C259" s="165" t="str">
        <f t="shared" si="186"/>
        <v>Diesel Hydraulic backhoe/ 1.5cum (Komatsu)</v>
      </c>
      <c r="D259" s="171" t="s">
        <v>896</v>
      </c>
      <c r="E259" s="171"/>
      <c r="F259" s="174">
        <f t="shared" si="158"/>
        <v>2</v>
      </c>
      <c r="G259" s="220">
        <f t="shared" ref="G259:AC259" si="187">G116</f>
        <v>0</v>
      </c>
      <c r="H259" s="220">
        <f t="shared" si="187"/>
        <v>0</v>
      </c>
      <c r="I259" s="220">
        <f t="shared" si="187"/>
        <v>0</v>
      </c>
      <c r="J259" s="220">
        <f t="shared" si="187"/>
        <v>0</v>
      </c>
      <c r="K259" s="220">
        <f t="shared" si="187"/>
        <v>1</v>
      </c>
      <c r="L259" s="220">
        <f t="shared" si="187"/>
        <v>1</v>
      </c>
      <c r="M259" s="220">
        <f t="shared" si="187"/>
        <v>2</v>
      </c>
      <c r="N259" s="220">
        <f t="shared" si="187"/>
        <v>2</v>
      </c>
      <c r="O259" s="220">
        <f t="shared" si="187"/>
        <v>2</v>
      </c>
      <c r="P259" s="220">
        <f t="shared" si="187"/>
        <v>2</v>
      </c>
      <c r="Q259" s="220">
        <f t="shared" si="187"/>
        <v>2</v>
      </c>
      <c r="R259" s="220">
        <f t="shared" si="187"/>
        <v>2</v>
      </c>
      <c r="S259" s="220">
        <f t="shared" si="187"/>
        <v>2</v>
      </c>
      <c r="T259" s="220">
        <f t="shared" si="187"/>
        <v>2</v>
      </c>
      <c r="U259" s="220">
        <f t="shared" si="187"/>
        <v>2</v>
      </c>
      <c r="V259" s="220">
        <f t="shared" si="187"/>
        <v>2</v>
      </c>
      <c r="W259" s="220">
        <f t="shared" si="187"/>
        <v>2</v>
      </c>
      <c r="X259" s="220">
        <f t="shared" si="187"/>
        <v>2</v>
      </c>
      <c r="Y259" s="220">
        <f t="shared" si="187"/>
        <v>2</v>
      </c>
      <c r="Z259" s="220">
        <f t="shared" si="187"/>
        <v>2</v>
      </c>
      <c r="AA259" s="220">
        <f t="shared" si="187"/>
        <v>2</v>
      </c>
      <c r="AB259" s="220">
        <f t="shared" si="187"/>
        <v>1</v>
      </c>
      <c r="AC259" s="220">
        <f t="shared" si="187"/>
        <v>1</v>
      </c>
    </row>
    <row r="260" spans="2:29">
      <c r="B260" s="168" t="str">
        <f t="shared" ref="B260:C260" si="188">B213</f>
        <v/>
      </c>
      <c r="C260" s="165" t="str">
        <f t="shared" si="188"/>
        <v xml:space="preserve">Boom Truck </v>
      </c>
      <c r="D260" s="171" t="s">
        <v>896</v>
      </c>
      <c r="E260" s="171"/>
      <c r="F260" s="174">
        <f t="shared" si="158"/>
        <v>2</v>
      </c>
      <c r="G260" s="220">
        <f t="shared" ref="G260:AC260" si="189">G117</f>
        <v>0</v>
      </c>
      <c r="H260" s="220">
        <f t="shared" si="189"/>
        <v>0</v>
      </c>
      <c r="I260" s="220">
        <f t="shared" si="189"/>
        <v>0</v>
      </c>
      <c r="J260" s="220">
        <f t="shared" si="189"/>
        <v>0</v>
      </c>
      <c r="K260" s="220">
        <f t="shared" si="189"/>
        <v>1</v>
      </c>
      <c r="L260" s="220">
        <f t="shared" si="189"/>
        <v>1</v>
      </c>
      <c r="M260" s="220">
        <f t="shared" si="189"/>
        <v>2</v>
      </c>
      <c r="N260" s="220">
        <f t="shared" si="189"/>
        <v>2</v>
      </c>
      <c r="O260" s="220">
        <f t="shared" si="189"/>
        <v>2</v>
      </c>
      <c r="P260" s="220">
        <f t="shared" si="189"/>
        <v>2</v>
      </c>
      <c r="Q260" s="220">
        <f t="shared" si="189"/>
        <v>2</v>
      </c>
      <c r="R260" s="220">
        <f t="shared" si="189"/>
        <v>2</v>
      </c>
      <c r="S260" s="220">
        <f t="shared" si="189"/>
        <v>2</v>
      </c>
      <c r="T260" s="220">
        <f t="shared" si="189"/>
        <v>2</v>
      </c>
      <c r="U260" s="220">
        <f t="shared" si="189"/>
        <v>2</v>
      </c>
      <c r="V260" s="220">
        <f t="shared" si="189"/>
        <v>2</v>
      </c>
      <c r="W260" s="220">
        <f t="shared" si="189"/>
        <v>2</v>
      </c>
      <c r="X260" s="220">
        <f t="shared" si="189"/>
        <v>2</v>
      </c>
      <c r="Y260" s="220">
        <f t="shared" si="189"/>
        <v>2</v>
      </c>
      <c r="Z260" s="220">
        <f t="shared" si="189"/>
        <v>2</v>
      </c>
      <c r="AA260" s="220">
        <f t="shared" si="189"/>
        <v>2</v>
      </c>
      <c r="AB260" s="220">
        <f t="shared" si="189"/>
        <v>1</v>
      </c>
      <c r="AC260" s="220">
        <f t="shared" si="189"/>
        <v>1</v>
      </c>
    </row>
    <row r="261" spans="2:29">
      <c r="B261" s="168" t="str">
        <f t="shared" ref="B261:C261" si="190">B214</f>
        <v/>
      </c>
      <c r="C261" s="165" t="str">
        <f t="shared" si="190"/>
        <v xml:space="preserve">Heavy duty tow truck </v>
      </c>
      <c r="D261" s="171" t="s">
        <v>896</v>
      </c>
      <c r="E261" s="171"/>
      <c r="F261" s="174">
        <f t="shared" si="158"/>
        <v>2</v>
      </c>
      <c r="G261" s="220">
        <f t="shared" ref="G261:AC261" si="191">G118</f>
        <v>0</v>
      </c>
      <c r="H261" s="220">
        <f t="shared" si="191"/>
        <v>0</v>
      </c>
      <c r="I261" s="220">
        <f t="shared" si="191"/>
        <v>0</v>
      </c>
      <c r="J261" s="220">
        <f t="shared" si="191"/>
        <v>0</v>
      </c>
      <c r="K261" s="220">
        <f t="shared" si="191"/>
        <v>1</v>
      </c>
      <c r="L261" s="220">
        <f t="shared" si="191"/>
        <v>1</v>
      </c>
      <c r="M261" s="220">
        <f t="shared" si="191"/>
        <v>2</v>
      </c>
      <c r="N261" s="220">
        <f t="shared" si="191"/>
        <v>2</v>
      </c>
      <c r="O261" s="220">
        <f t="shared" si="191"/>
        <v>2</v>
      </c>
      <c r="P261" s="220">
        <f t="shared" si="191"/>
        <v>2</v>
      </c>
      <c r="Q261" s="220">
        <f t="shared" si="191"/>
        <v>2</v>
      </c>
      <c r="R261" s="220">
        <f t="shared" si="191"/>
        <v>2</v>
      </c>
      <c r="S261" s="220">
        <f t="shared" si="191"/>
        <v>2</v>
      </c>
      <c r="T261" s="220">
        <f t="shared" si="191"/>
        <v>2</v>
      </c>
      <c r="U261" s="220">
        <f t="shared" si="191"/>
        <v>2</v>
      </c>
      <c r="V261" s="220">
        <f t="shared" si="191"/>
        <v>2</v>
      </c>
      <c r="W261" s="220">
        <f t="shared" si="191"/>
        <v>2</v>
      </c>
      <c r="X261" s="220">
        <f t="shared" si="191"/>
        <v>2</v>
      </c>
      <c r="Y261" s="220">
        <f t="shared" si="191"/>
        <v>2</v>
      </c>
      <c r="Z261" s="220">
        <f t="shared" si="191"/>
        <v>2</v>
      </c>
      <c r="AA261" s="220">
        <f t="shared" si="191"/>
        <v>2</v>
      </c>
      <c r="AB261" s="220">
        <f t="shared" si="191"/>
        <v>1</v>
      </c>
      <c r="AC261" s="220">
        <f t="shared" si="191"/>
        <v>1</v>
      </c>
    </row>
    <row r="262" spans="2:29">
      <c r="B262" s="168" t="str">
        <f t="shared" ref="B262:C262" si="192">B215</f>
        <v/>
      </c>
      <c r="C262" s="165" t="str">
        <f t="shared" si="192"/>
        <v>Tipping Truck/ 8t</v>
      </c>
      <c r="D262" s="171" t="s">
        <v>896</v>
      </c>
      <c r="E262" s="171"/>
      <c r="F262" s="174">
        <f t="shared" si="158"/>
        <v>2</v>
      </c>
      <c r="G262" s="220">
        <f t="shared" ref="G262:AC262" si="193">G119</f>
        <v>0</v>
      </c>
      <c r="H262" s="220">
        <f t="shared" si="193"/>
        <v>0</v>
      </c>
      <c r="I262" s="220">
        <f t="shared" si="193"/>
        <v>0</v>
      </c>
      <c r="J262" s="220">
        <f t="shared" si="193"/>
        <v>0</v>
      </c>
      <c r="K262" s="220">
        <f t="shared" si="193"/>
        <v>1</v>
      </c>
      <c r="L262" s="220">
        <f t="shared" si="193"/>
        <v>1</v>
      </c>
      <c r="M262" s="220">
        <f t="shared" si="193"/>
        <v>2</v>
      </c>
      <c r="N262" s="220">
        <f t="shared" si="193"/>
        <v>2</v>
      </c>
      <c r="O262" s="220">
        <f t="shared" si="193"/>
        <v>2</v>
      </c>
      <c r="P262" s="220">
        <f t="shared" si="193"/>
        <v>2</v>
      </c>
      <c r="Q262" s="220">
        <f t="shared" si="193"/>
        <v>2</v>
      </c>
      <c r="R262" s="220">
        <f t="shared" si="193"/>
        <v>2</v>
      </c>
      <c r="S262" s="220">
        <f t="shared" si="193"/>
        <v>2</v>
      </c>
      <c r="T262" s="220">
        <f t="shared" si="193"/>
        <v>2</v>
      </c>
      <c r="U262" s="220">
        <f t="shared" si="193"/>
        <v>2</v>
      </c>
      <c r="V262" s="220">
        <f t="shared" si="193"/>
        <v>2</v>
      </c>
      <c r="W262" s="220">
        <f t="shared" si="193"/>
        <v>2</v>
      </c>
      <c r="X262" s="220">
        <f t="shared" si="193"/>
        <v>2</v>
      </c>
      <c r="Y262" s="220">
        <f t="shared" si="193"/>
        <v>2</v>
      </c>
      <c r="Z262" s="220">
        <f t="shared" si="193"/>
        <v>2</v>
      </c>
      <c r="AA262" s="220">
        <f t="shared" si="193"/>
        <v>2</v>
      </c>
      <c r="AB262" s="220">
        <f t="shared" si="193"/>
        <v>1</v>
      </c>
      <c r="AC262" s="220">
        <f t="shared" si="193"/>
        <v>1</v>
      </c>
    </row>
    <row r="263" spans="2:29">
      <c r="B263" s="168" t="str">
        <f t="shared" ref="B263:C263" si="194">B216</f>
        <v/>
      </c>
      <c r="C263" s="165" t="str">
        <f t="shared" si="194"/>
        <v>Fork lift/ 8t</v>
      </c>
      <c r="D263" s="171" t="s">
        <v>896</v>
      </c>
      <c r="E263" s="171"/>
      <c r="F263" s="174">
        <f t="shared" si="158"/>
        <v>2</v>
      </c>
      <c r="G263" s="220">
        <f t="shared" ref="G263:AC263" si="195">G120</f>
        <v>0</v>
      </c>
      <c r="H263" s="220">
        <f t="shared" si="195"/>
        <v>0</v>
      </c>
      <c r="I263" s="220">
        <f t="shared" si="195"/>
        <v>0</v>
      </c>
      <c r="J263" s="220">
        <f t="shared" si="195"/>
        <v>0</v>
      </c>
      <c r="K263" s="220">
        <f t="shared" si="195"/>
        <v>1</v>
      </c>
      <c r="L263" s="220">
        <f t="shared" si="195"/>
        <v>1</v>
      </c>
      <c r="M263" s="220">
        <f t="shared" si="195"/>
        <v>2</v>
      </c>
      <c r="N263" s="220">
        <f t="shared" si="195"/>
        <v>2</v>
      </c>
      <c r="O263" s="220">
        <f t="shared" si="195"/>
        <v>2</v>
      </c>
      <c r="P263" s="220">
        <f t="shared" si="195"/>
        <v>2</v>
      </c>
      <c r="Q263" s="220">
        <f t="shared" si="195"/>
        <v>2</v>
      </c>
      <c r="R263" s="220">
        <f t="shared" si="195"/>
        <v>2</v>
      </c>
      <c r="S263" s="220">
        <f t="shared" si="195"/>
        <v>2</v>
      </c>
      <c r="T263" s="220">
        <f t="shared" si="195"/>
        <v>2</v>
      </c>
      <c r="U263" s="220">
        <f t="shared" si="195"/>
        <v>2</v>
      </c>
      <c r="V263" s="220">
        <f t="shared" si="195"/>
        <v>2</v>
      </c>
      <c r="W263" s="220">
        <f t="shared" si="195"/>
        <v>2</v>
      </c>
      <c r="X263" s="220">
        <f t="shared" si="195"/>
        <v>2</v>
      </c>
      <c r="Y263" s="220">
        <f t="shared" si="195"/>
        <v>2</v>
      </c>
      <c r="Z263" s="220">
        <f t="shared" si="195"/>
        <v>2</v>
      </c>
      <c r="AA263" s="220">
        <f t="shared" si="195"/>
        <v>2</v>
      </c>
      <c r="AB263" s="220">
        <f t="shared" si="195"/>
        <v>1</v>
      </c>
      <c r="AC263" s="220">
        <f t="shared" si="195"/>
        <v>1</v>
      </c>
    </row>
    <row r="264" spans="2:29">
      <c r="B264" s="168" t="str">
        <f t="shared" ref="B264:C264" si="196">B217</f>
        <v/>
      </c>
      <c r="C264" s="165" t="str">
        <f t="shared" si="196"/>
        <v>Tyre handler/ 20t</v>
      </c>
      <c r="D264" s="171" t="s">
        <v>896</v>
      </c>
      <c r="E264" s="171"/>
      <c r="F264" s="174">
        <f t="shared" si="158"/>
        <v>2</v>
      </c>
      <c r="G264" s="220">
        <f t="shared" ref="G264:AC264" si="197">G121</f>
        <v>0</v>
      </c>
      <c r="H264" s="220">
        <f t="shared" si="197"/>
        <v>0</v>
      </c>
      <c r="I264" s="220">
        <f t="shared" si="197"/>
        <v>0</v>
      </c>
      <c r="J264" s="220">
        <f t="shared" si="197"/>
        <v>0</v>
      </c>
      <c r="K264" s="220">
        <f t="shared" si="197"/>
        <v>1</v>
      </c>
      <c r="L264" s="220">
        <f t="shared" si="197"/>
        <v>1</v>
      </c>
      <c r="M264" s="220">
        <f t="shared" si="197"/>
        <v>2</v>
      </c>
      <c r="N264" s="220">
        <f t="shared" si="197"/>
        <v>2</v>
      </c>
      <c r="O264" s="220">
        <f t="shared" si="197"/>
        <v>2</v>
      </c>
      <c r="P264" s="220">
        <f t="shared" si="197"/>
        <v>2</v>
      </c>
      <c r="Q264" s="220">
        <f t="shared" si="197"/>
        <v>2</v>
      </c>
      <c r="R264" s="220">
        <f t="shared" si="197"/>
        <v>2</v>
      </c>
      <c r="S264" s="220">
        <f t="shared" si="197"/>
        <v>2</v>
      </c>
      <c r="T264" s="220">
        <f t="shared" si="197"/>
        <v>2</v>
      </c>
      <c r="U264" s="220">
        <f t="shared" si="197"/>
        <v>2</v>
      </c>
      <c r="V264" s="220">
        <f t="shared" si="197"/>
        <v>2</v>
      </c>
      <c r="W264" s="220">
        <f t="shared" si="197"/>
        <v>2</v>
      </c>
      <c r="X264" s="220">
        <f t="shared" si="197"/>
        <v>2</v>
      </c>
      <c r="Y264" s="220">
        <f t="shared" si="197"/>
        <v>2</v>
      </c>
      <c r="Z264" s="220">
        <f t="shared" si="197"/>
        <v>2</v>
      </c>
      <c r="AA264" s="220">
        <f t="shared" si="197"/>
        <v>2</v>
      </c>
      <c r="AB264" s="220">
        <f t="shared" si="197"/>
        <v>1</v>
      </c>
      <c r="AC264" s="220">
        <f t="shared" si="197"/>
        <v>1</v>
      </c>
    </row>
    <row r="265" spans="2:29">
      <c r="B265" s="168" t="str">
        <f t="shared" ref="B265:C265" si="198">B218</f>
        <v/>
      </c>
      <c r="C265" s="165" t="str">
        <f t="shared" si="198"/>
        <v xml:space="preserve">Farm tractor </v>
      </c>
      <c r="D265" s="171" t="s">
        <v>896</v>
      </c>
      <c r="E265" s="171"/>
      <c r="F265" s="174">
        <f t="shared" si="158"/>
        <v>2</v>
      </c>
      <c r="G265" s="220">
        <f t="shared" ref="G265:AC265" si="199">G122</f>
        <v>0</v>
      </c>
      <c r="H265" s="220">
        <f t="shared" si="199"/>
        <v>0</v>
      </c>
      <c r="I265" s="220">
        <f t="shared" si="199"/>
        <v>0</v>
      </c>
      <c r="J265" s="220">
        <f t="shared" si="199"/>
        <v>0</v>
      </c>
      <c r="K265" s="220">
        <f t="shared" si="199"/>
        <v>1</v>
      </c>
      <c r="L265" s="220">
        <f t="shared" si="199"/>
        <v>1</v>
      </c>
      <c r="M265" s="220">
        <f t="shared" si="199"/>
        <v>2</v>
      </c>
      <c r="N265" s="220">
        <f t="shared" si="199"/>
        <v>2</v>
      </c>
      <c r="O265" s="220">
        <f t="shared" si="199"/>
        <v>2</v>
      </c>
      <c r="P265" s="220">
        <f t="shared" si="199"/>
        <v>2</v>
      </c>
      <c r="Q265" s="220">
        <f t="shared" si="199"/>
        <v>2</v>
      </c>
      <c r="R265" s="220">
        <f t="shared" si="199"/>
        <v>2</v>
      </c>
      <c r="S265" s="220">
        <f t="shared" si="199"/>
        <v>2</v>
      </c>
      <c r="T265" s="220">
        <f t="shared" si="199"/>
        <v>2</v>
      </c>
      <c r="U265" s="220">
        <f t="shared" si="199"/>
        <v>2</v>
      </c>
      <c r="V265" s="220">
        <f t="shared" si="199"/>
        <v>2</v>
      </c>
      <c r="W265" s="220">
        <f t="shared" si="199"/>
        <v>2</v>
      </c>
      <c r="X265" s="220">
        <f t="shared" si="199"/>
        <v>2</v>
      </c>
      <c r="Y265" s="220">
        <f t="shared" si="199"/>
        <v>2</v>
      </c>
      <c r="Z265" s="220">
        <f t="shared" si="199"/>
        <v>2</v>
      </c>
      <c r="AA265" s="220">
        <f t="shared" si="199"/>
        <v>2</v>
      </c>
      <c r="AB265" s="220">
        <f t="shared" si="199"/>
        <v>1</v>
      </c>
      <c r="AC265" s="220">
        <f t="shared" si="199"/>
        <v>1</v>
      </c>
    </row>
    <row r="266" spans="2:29">
      <c r="B266" s="168" t="str">
        <f t="shared" ref="B266:C266" si="200">B219</f>
        <v/>
      </c>
      <c r="C266" s="165" t="str">
        <f t="shared" si="200"/>
        <v>Fire Tender</v>
      </c>
      <c r="D266" s="171" t="s">
        <v>896</v>
      </c>
      <c r="E266" s="171"/>
      <c r="F266" s="174">
        <f t="shared" si="158"/>
        <v>2</v>
      </c>
      <c r="G266" s="220">
        <f t="shared" ref="G266:AC266" si="201">G123</f>
        <v>0</v>
      </c>
      <c r="H266" s="220">
        <f t="shared" si="201"/>
        <v>0</v>
      </c>
      <c r="I266" s="220">
        <f t="shared" si="201"/>
        <v>0</v>
      </c>
      <c r="J266" s="220">
        <f t="shared" si="201"/>
        <v>0</v>
      </c>
      <c r="K266" s="220">
        <f t="shared" si="201"/>
        <v>1</v>
      </c>
      <c r="L266" s="220">
        <f t="shared" si="201"/>
        <v>1</v>
      </c>
      <c r="M266" s="220">
        <f t="shared" si="201"/>
        <v>2</v>
      </c>
      <c r="N266" s="220">
        <f t="shared" si="201"/>
        <v>2</v>
      </c>
      <c r="O266" s="220">
        <f t="shared" si="201"/>
        <v>2</v>
      </c>
      <c r="P266" s="220">
        <f t="shared" si="201"/>
        <v>2</v>
      </c>
      <c r="Q266" s="220">
        <f t="shared" si="201"/>
        <v>2</v>
      </c>
      <c r="R266" s="220">
        <f t="shared" si="201"/>
        <v>2</v>
      </c>
      <c r="S266" s="220">
        <f t="shared" si="201"/>
        <v>2</v>
      </c>
      <c r="T266" s="220">
        <f t="shared" si="201"/>
        <v>2</v>
      </c>
      <c r="U266" s="220">
        <f t="shared" si="201"/>
        <v>2</v>
      </c>
      <c r="V266" s="220">
        <f t="shared" si="201"/>
        <v>2</v>
      </c>
      <c r="W266" s="220">
        <f t="shared" si="201"/>
        <v>2</v>
      </c>
      <c r="X266" s="220">
        <f t="shared" si="201"/>
        <v>2</v>
      </c>
      <c r="Y266" s="220">
        <f t="shared" si="201"/>
        <v>2</v>
      </c>
      <c r="Z266" s="220">
        <f t="shared" si="201"/>
        <v>2</v>
      </c>
      <c r="AA266" s="220">
        <f t="shared" si="201"/>
        <v>2</v>
      </c>
      <c r="AB266" s="220">
        <f t="shared" si="201"/>
        <v>1</v>
      </c>
      <c r="AC266" s="220">
        <f t="shared" si="201"/>
        <v>1</v>
      </c>
    </row>
    <row r="267" spans="2:29">
      <c r="B267" s="168" t="str">
        <f t="shared" ref="B267:C267" si="202">B220</f>
        <v/>
      </c>
      <c r="C267" s="165" t="str">
        <f t="shared" si="202"/>
        <v xml:space="preserve">Ambulance </v>
      </c>
      <c r="D267" s="171" t="s">
        <v>896</v>
      </c>
      <c r="E267" s="171"/>
      <c r="F267" s="174">
        <f t="shared" si="158"/>
        <v>2</v>
      </c>
      <c r="G267" s="220">
        <f t="shared" ref="G267:AC267" si="203">G124</f>
        <v>0</v>
      </c>
      <c r="H267" s="220">
        <f t="shared" si="203"/>
        <v>0</v>
      </c>
      <c r="I267" s="220">
        <f t="shared" si="203"/>
        <v>0</v>
      </c>
      <c r="J267" s="220">
        <f t="shared" si="203"/>
        <v>0</v>
      </c>
      <c r="K267" s="220">
        <f t="shared" si="203"/>
        <v>1</v>
      </c>
      <c r="L267" s="220">
        <f t="shared" si="203"/>
        <v>1</v>
      </c>
      <c r="M267" s="220">
        <f t="shared" si="203"/>
        <v>2</v>
      </c>
      <c r="N267" s="220">
        <f t="shared" si="203"/>
        <v>2</v>
      </c>
      <c r="O267" s="220">
        <f t="shared" si="203"/>
        <v>2</v>
      </c>
      <c r="P267" s="220">
        <f t="shared" si="203"/>
        <v>2</v>
      </c>
      <c r="Q267" s="220">
        <f t="shared" si="203"/>
        <v>2</v>
      </c>
      <c r="R267" s="220">
        <f t="shared" si="203"/>
        <v>2</v>
      </c>
      <c r="S267" s="220">
        <f t="shared" si="203"/>
        <v>2</v>
      </c>
      <c r="T267" s="220">
        <f t="shared" si="203"/>
        <v>2</v>
      </c>
      <c r="U267" s="220">
        <f t="shared" si="203"/>
        <v>2</v>
      </c>
      <c r="V267" s="220">
        <f t="shared" si="203"/>
        <v>2</v>
      </c>
      <c r="W267" s="220">
        <f t="shared" si="203"/>
        <v>2</v>
      </c>
      <c r="X267" s="220">
        <f t="shared" si="203"/>
        <v>2</v>
      </c>
      <c r="Y267" s="220">
        <f t="shared" si="203"/>
        <v>2</v>
      </c>
      <c r="Z267" s="220">
        <f t="shared" si="203"/>
        <v>2</v>
      </c>
      <c r="AA267" s="220">
        <f t="shared" si="203"/>
        <v>2</v>
      </c>
      <c r="AB267" s="220">
        <f t="shared" si="203"/>
        <v>1</v>
      </c>
      <c r="AC267" s="220">
        <f t="shared" si="203"/>
        <v>1</v>
      </c>
    </row>
    <row r="268" spans="2:29">
      <c r="B268" s="168" t="str">
        <f t="shared" ref="B268:C268" si="204">B221</f>
        <v/>
      </c>
      <c r="C268" s="165" t="str">
        <f t="shared" si="204"/>
        <v>Worker Transportation bus</v>
      </c>
      <c r="D268" s="171" t="s">
        <v>896</v>
      </c>
      <c r="E268" s="171"/>
      <c r="F268" s="174">
        <f t="shared" si="158"/>
        <v>2</v>
      </c>
      <c r="G268" s="220">
        <f t="shared" ref="G268:AC268" si="205">G125</f>
        <v>0</v>
      </c>
      <c r="H268" s="220">
        <f t="shared" si="205"/>
        <v>0</v>
      </c>
      <c r="I268" s="220">
        <f t="shared" si="205"/>
        <v>0</v>
      </c>
      <c r="J268" s="220">
        <f t="shared" si="205"/>
        <v>0</v>
      </c>
      <c r="K268" s="220">
        <f t="shared" si="205"/>
        <v>1</v>
      </c>
      <c r="L268" s="220">
        <f t="shared" si="205"/>
        <v>1</v>
      </c>
      <c r="M268" s="220">
        <f t="shared" si="205"/>
        <v>2</v>
      </c>
      <c r="N268" s="220">
        <f t="shared" si="205"/>
        <v>2</v>
      </c>
      <c r="O268" s="220">
        <f t="shared" si="205"/>
        <v>2</v>
      </c>
      <c r="P268" s="220">
        <f t="shared" si="205"/>
        <v>2</v>
      </c>
      <c r="Q268" s="220">
        <f t="shared" si="205"/>
        <v>2</v>
      </c>
      <c r="R268" s="220">
        <f t="shared" si="205"/>
        <v>2</v>
      </c>
      <c r="S268" s="220">
        <f t="shared" si="205"/>
        <v>2</v>
      </c>
      <c r="T268" s="220">
        <f t="shared" si="205"/>
        <v>2</v>
      </c>
      <c r="U268" s="220">
        <f t="shared" si="205"/>
        <v>2</v>
      </c>
      <c r="V268" s="220">
        <f t="shared" si="205"/>
        <v>2</v>
      </c>
      <c r="W268" s="220">
        <f t="shared" si="205"/>
        <v>2</v>
      </c>
      <c r="X268" s="220">
        <f t="shared" si="205"/>
        <v>2</v>
      </c>
      <c r="Y268" s="220">
        <f t="shared" si="205"/>
        <v>2</v>
      </c>
      <c r="Z268" s="220">
        <f t="shared" si="205"/>
        <v>2</v>
      </c>
      <c r="AA268" s="220">
        <f t="shared" si="205"/>
        <v>2</v>
      </c>
      <c r="AB268" s="220">
        <f t="shared" si="205"/>
        <v>1</v>
      </c>
      <c r="AC268" s="220">
        <f t="shared" si="205"/>
        <v>1</v>
      </c>
    </row>
    <row r="269" spans="2:29">
      <c r="B269" s="168" t="str">
        <f t="shared" ref="B269:C269" si="206">B222</f>
        <v/>
      </c>
      <c r="C269" s="165" t="str">
        <f t="shared" si="206"/>
        <v>School bus</v>
      </c>
      <c r="D269" s="171" t="s">
        <v>896</v>
      </c>
      <c r="E269" s="171"/>
      <c r="F269" s="174">
        <f t="shared" si="158"/>
        <v>2</v>
      </c>
      <c r="G269" s="220">
        <f t="shared" ref="G269:AC269" si="207">G126</f>
        <v>0</v>
      </c>
      <c r="H269" s="220">
        <f t="shared" si="207"/>
        <v>0</v>
      </c>
      <c r="I269" s="220">
        <f t="shared" si="207"/>
        <v>0</v>
      </c>
      <c r="J269" s="220">
        <f t="shared" si="207"/>
        <v>0</v>
      </c>
      <c r="K269" s="220">
        <f t="shared" si="207"/>
        <v>1</v>
      </c>
      <c r="L269" s="220">
        <f t="shared" si="207"/>
        <v>1</v>
      </c>
      <c r="M269" s="220">
        <f t="shared" si="207"/>
        <v>2</v>
      </c>
      <c r="N269" s="220">
        <f t="shared" si="207"/>
        <v>2</v>
      </c>
      <c r="O269" s="220">
        <f t="shared" si="207"/>
        <v>2</v>
      </c>
      <c r="P269" s="220">
        <f t="shared" si="207"/>
        <v>2</v>
      </c>
      <c r="Q269" s="220">
        <f t="shared" si="207"/>
        <v>2</v>
      </c>
      <c r="R269" s="220">
        <f t="shared" si="207"/>
        <v>2</v>
      </c>
      <c r="S269" s="220">
        <f t="shared" si="207"/>
        <v>2</v>
      </c>
      <c r="T269" s="220">
        <f t="shared" si="207"/>
        <v>2</v>
      </c>
      <c r="U269" s="220">
        <f t="shared" si="207"/>
        <v>2</v>
      </c>
      <c r="V269" s="220">
        <f t="shared" si="207"/>
        <v>2</v>
      </c>
      <c r="W269" s="220">
        <f t="shared" si="207"/>
        <v>2</v>
      </c>
      <c r="X269" s="220">
        <f t="shared" si="207"/>
        <v>2</v>
      </c>
      <c r="Y269" s="220">
        <f t="shared" si="207"/>
        <v>2</v>
      </c>
      <c r="Z269" s="220">
        <f t="shared" si="207"/>
        <v>2</v>
      </c>
      <c r="AA269" s="220">
        <f t="shared" si="207"/>
        <v>2</v>
      </c>
      <c r="AB269" s="220">
        <f t="shared" si="207"/>
        <v>1</v>
      </c>
      <c r="AC269" s="220">
        <f t="shared" si="207"/>
        <v>1</v>
      </c>
    </row>
    <row r="270" spans="2:29">
      <c r="B270" s="168" t="str">
        <f t="shared" ref="B270:C270" si="208">B223</f>
        <v/>
      </c>
      <c r="C270" s="165" t="str">
        <f t="shared" si="208"/>
        <v xml:space="preserve">Pickup Van </v>
      </c>
      <c r="D270" s="171" t="s">
        <v>896</v>
      </c>
      <c r="E270" s="171"/>
      <c r="F270" s="174">
        <f t="shared" si="158"/>
        <v>2</v>
      </c>
      <c r="G270" s="220">
        <f t="shared" ref="G270:AC270" si="209">G127</f>
        <v>0</v>
      </c>
      <c r="H270" s="220">
        <f t="shared" si="209"/>
        <v>0</v>
      </c>
      <c r="I270" s="220">
        <f t="shared" si="209"/>
        <v>0</v>
      </c>
      <c r="J270" s="220">
        <f t="shared" si="209"/>
        <v>0</v>
      </c>
      <c r="K270" s="220">
        <f t="shared" si="209"/>
        <v>1</v>
      </c>
      <c r="L270" s="220">
        <f t="shared" si="209"/>
        <v>1</v>
      </c>
      <c r="M270" s="220">
        <f t="shared" si="209"/>
        <v>2</v>
      </c>
      <c r="N270" s="220">
        <f t="shared" si="209"/>
        <v>2</v>
      </c>
      <c r="O270" s="220">
        <f t="shared" si="209"/>
        <v>2</v>
      </c>
      <c r="P270" s="220">
        <f t="shared" si="209"/>
        <v>2</v>
      </c>
      <c r="Q270" s="220">
        <f t="shared" si="209"/>
        <v>2</v>
      </c>
      <c r="R270" s="220">
        <f t="shared" si="209"/>
        <v>2</v>
      </c>
      <c r="S270" s="220">
        <f t="shared" si="209"/>
        <v>2</v>
      </c>
      <c r="T270" s="220">
        <f t="shared" si="209"/>
        <v>2</v>
      </c>
      <c r="U270" s="220">
        <f t="shared" si="209"/>
        <v>2</v>
      </c>
      <c r="V270" s="220">
        <f t="shared" si="209"/>
        <v>2</v>
      </c>
      <c r="W270" s="220">
        <f t="shared" si="209"/>
        <v>2</v>
      </c>
      <c r="X270" s="220">
        <f t="shared" si="209"/>
        <v>2</v>
      </c>
      <c r="Y270" s="220">
        <f t="shared" si="209"/>
        <v>2</v>
      </c>
      <c r="Z270" s="220">
        <f t="shared" si="209"/>
        <v>2</v>
      </c>
      <c r="AA270" s="220">
        <f t="shared" si="209"/>
        <v>2</v>
      </c>
      <c r="AB270" s="220">
        <f t="shared" si="209"/>
        <v>1</v>
      </c>
      <c r="AC270" s="220">
        <f t="shared" si="209"/>
        <v>1</v>
      </c>
    </row>
    <row r="271" spans="2:29">
      <c r="B271" s="168" t="str">
        <f t="shared" ref="B271:C271" si="210">B224</f>
        <v/>
      </c>
      <c r="C271" s="165" t="str">
        <f t="shared" si="210"/>
        <v>Cars</v>
      </c>
      <c r="D271" s="171" t="s">
        <v>896</v>
      </c>
      <c r="E271" s="171"/>
      <c r="F271" s="174">
        <f t="shared" si="158"/>
        <v>2</v>
      </c>
      <c r="G271" s="220">
        <f t="shared" ref="G271:AC271" si="211">G128</f>
        <v>0</v>
      </c>
      <c r="H271" s="220">
        <f t="shared" si="211"/>
        <v>0</v>
      </c>
      <c r="I271" s="220">
        <f t="shared" si="211"/>
        <v>0</v>
      </c>
      <c r="J271" s="220">
        <f t="shared" si="211"/>
        <v>0</v>
      </c>
      <c r="K271" s="220">
        <f t="shared" si="211"/>
        <v>1</v>
      </c>
      <c r="L271" s="220">
        <f t="shared" si="211"/>
        <v>1</v>
      </c>
      <c r="M271" s="220">
        <f t="shared" si="211"/>
        <v>2</v>
      </c>
      <c r="N271" s="220">
        <f t="shared" si="211"/>
        <v>2</v>
      </c>
      <c r="O271" s="220">
        <f t="shared" si="211"/>
        <v>2</v>
      </c>
      <c r="P271" s="220">
        <f t="shared" si="211"/>
        <v>2</v>
      </c>
      <c r="Q271" s="220">
        <f t="shared" si="211"/>
        <v>2</v>
      </c>
      <c r="R271" s="220">
        <f t="shared" si="211"/>
        <v>2</v>
      </c>
      <c r="S271" s="220">
        <f t="shared" si="211"/>
        <v>2</v>
      </c>
      <c r="T271" s="220">
        <f t="shared" si="211"/>
        <v>2</v>
      </c>
      <c r="U271" s="220">
        <f t="shared" si="211"/>
        <v>2</v>
      </c>
      <c r="V271" s="220">
        <f t="shared" si="211"/>
        <v>2</v>
      </c>
      <c r="W271" s="220">
        <f t="shared" si="211"/>
        <v>2</v>
      </c>
      <c r="X271" s="220">
        <f t="shared" si="211"/>
        <v>2</v>
      </c>
      <c r="Y271" s="220">
        <f t="shared" si="211"/>
        <v>2</v>
      </c>
      <c r="Z271" s="220">
        <f t="shared" si="211"/>
        <v>2</v>
      </c>
      <c r="AA271" s="220">
        <f t="shared" si="211"/>
        <v>2</v>
      </c>
      <c r="AB271" s="220">
        <f t="shared" si="211"/>
        <v>1</v>
      </c>
      <c r="AC271" s="220">
        <f t="shared" si="211"/>
        <v>1</v>
      </c>
    </row>
    <row r="275" spans="2:98">
      <c r="B275" s="191" t="s">
        <v>975</v>
      </c>
    </row>
    <row r="276" spans="2:98" ht="14">
      <c r="B276" s="1141" t="s">
        <v>971</v>
      </c>
      <c r="C276" s="1141" t="s">
        <v>972</v>
      </c>
      <c r="D276" s="1141" t="s">
        <v>88</v>
      </c>
      <c r="E276" s="789"/>
      <c r="F276" s="1141" t="s">
        <v>976</v>
      </c>
      <c r="G276" s="789">
        <f t="shared" ref="G276:AC276" si="212">G229</f>
        <v>-4</v>
      </c>
      <c r="H276" s="789">
        <f t="shared" si="212"/>
        <v>-3</v>
      </c>
      <c r="I276" s="789">
        <f t="shared" si="212"/>
        <v>-2</v>
      </c>
      <c r="J276" s="789">
        <f t="shared" si="212"/>
        <v>-1</v>
      </c>
      <c r="K276" s="789">
        <f t="shared" si="212"/>
        <v>1</v>
      </c>
      <c r="L276" s="789">
        <f t="shared" si="212"/>
        <v>2</v>
      </c>
      <c r="M276" s="789">
        <f t="shared" si="212"/>
        <v>3</v>
      </c>
      <c r="N276" s="789">
        <f t="shared" si="212"/>
        <v>4</v>
      </c>
      <c r="O276" s="789">
        <f t="shared" si="212"/>
        <v>5</v>
      </c>
      <c r="P276" s="789">
        <f t="shared" si="212"/>
        <v>6</v>
      </c>
      <c r="Q276" s="789">
        <f t="shared" si="212"/>
        <v>7</v>
      </c>
      <c r="R276" s="789">
        <f t="shared" si="212"/>
        <v>8</v>
      </c>
      <c r="S276" s="789">
        <f t="shared" si="212"/>
        <v>9</v>
      </c>
      <c r="T276" s="789">
        <f t="shared" si="212"/>
        <v>10</v>
      </c>
      <c r="U276" s="789">
        <f t="shared" si="212"/>
        <v>11</v>
      </c>
      <c r="V276" s="789">
        <f t="shared" si="212"/>
        <v>12</v>
      </c>
      <c r="W276" s="789">
        <f t="shared" si="212"/>
        <v>13</v>
      </c>
      <c r="X276" s="789">
        <f t="shared" si="212"/>
        <v>14</v>
      </c>
      <c r="Y276" s="789">
        <f t="shared" si="212"/>
        <v>15</v>
      </c>
      <c r="Z276" s="789">
        <f t="shared" si="212"/>
        <v>16</v>
      </c>
      <c r="AA276" s="789">
        <f t="shared" si="212"/>
        <v>17</v>
      </c>
      <c r="AB276" s="789">
        <f t="shared" si="212"/>
        <v>18</v>
      </c>
      <c r="AC276" s="789">
        <f t="shared" si="212"/>
        <v>19</v>
      </c>
      <c r="AD276" s="789"/>
      <c r="AE276" s="789"/>
      <c r="AF276" s="789"/>
      <c r="AG276" s="789"/>
      <c r="AH276" s="789"/>
      <c r="AI276" s="789"/>
      <c r="AJ276" s="789"/>
      <c r="AK276" s="789"/>
      <c r="AL276" s="789"/>
      <c r="AM276" s="789"/>
      <c r="AN276" s="789"/>
      <c r="AO276" s="789"/>
      <c r="AP276" s="789"/>
      <c r="AQ276" s="789"/>
      <c r="AR276" s="789">
        <f t="shared" ref="AR276:BF276" si="213">AR146</f>
        <v>0</v>
      </c>
      <c r="AS276" s="789">
        <f t="shared" si="213"/>
        <v>0</v>
      </c>
      <c r="AT276" s="789">
        <f t="shared" si="213"/>
        <v>0</v>
      </c>
      <c r="AU276" s="789">
        <f t="shared" si="213"/>
        <v>0</v>
      </c>
      <c r="AV276" s="789">
        <f t="shared" si="213"/>
        <v>0</v>
      </c>
      <c r="AW276" s="789">
        <f t="shared" si="213"/>
        <v>0</v>
      </c>
      <c r="AX276" s="789">
        <f t="shared" si="213"/>
        <v>0</v>
      </c>
      <c r="AY276" s="789">
        <f t="shared" si="213"/>
        <v>0</v>
      </c>
      <c r="AZ276" s="789">
        <f t="shared" si="213"/>
        <v>0</v>
      </c>
      <c r="BA276" s="789">
        <f t="shared" si="213"/>
        <v>0</v>
      </c>
      <c r="BB276" s="789">
        <f t="shared" si="213"/>
        <v>0</v>
      </c>
      <c r="BC276" s="789">
        <f t="shared" si="213"/>
        <v>0</v>
      </c>
      <c r="BD276" s="789">
        <f t="shared" si="213"/>
        <v>0</v>
      </c>
      <c r="BE276" s="789">
        <f t="shared" si="213"/>
        <v>0</v>
      </c>
      <c r="BF276" s="789">
        <f t="shared" si="213"/>
        <v>0</v>
      </c>
      <c r="BG276" s="789"/>
      <c r="BH276" s="789"/>
      <c r="BI276" s="789"/>
      <c r="BJ276" s="789"/>
      <c r="BK276" s="789"/>
      <c r="BL276" s="789"/>
      <c r="BM276" s="789"/>
      <c r="BN276" s="789">
        <f t="shared" ref="BN276:CT276" si="214">K276</f>
        <v>1</v>
      </c>
      <c r="BO276" s="789">
        <f t="shared" si="214"/>
        <v>2</v>
      </c>
      <c r="BP276" s="789">
        <f t="shared" si="214"/>
        <v>3</v>
      </c>
      <c r="BQ276" s="789">
        <f t="shared" si="214"/>
        <v>4</v>
      </c>
      <c r="BR276" s="789">
        <f t="shared" si="214"/>
        <v>5</v>
      </c>
      <c r="BS276" s="789">
        <f t="shared" si="214"/>
        <v>6</v>
      </c>
      <c r="BT276" s="789">
        <f t="shared" si="214"/>
        <v>7</v>
      </c>
      <c r="BU276" s="789">
        <f t="shared" si="214"/>
        <v>8</v>
      </c>
      <c r="BV276" s="789">
        <f t="shared" si="214"/>
        <v>9</v>
      </c>
      <c r="BW276" s="789">
        <f t="shared" si="214"/>
        <v>10</v>
      </c>
      <c r="BX276" s="789">
        <f t="shared" si="214"/>
        <v>11</v>
      </c>
      <c r="BY276" s="789">
        <f t="shared" si="214"/>
        <v>12</v>
      </c>
      <c r="BZ276" s="789">
        <f t="shared" si="214"/>
        <v>13</v>
      </c>
      <c r="CA276" s="789">
        <f t="shared" si="214"/>
        <v>14</v>
      </c>
      <c r="CB276" s="789">
        <f t="shared" si="214"/>
        <v>15</v>
      </c>
      <c r="CC276" s="789">
        <f t="shared" si="214"/>
        <v>16</v>
      </c>
      <c r="CD276" s="789">
        <f t="shared" si="214"/>
        <v>17</v>
      </c>
      <c r="CE276" s="789">
        <f t="shared" si="214"/>
        <v>18</v>
      </c>
      <c r="CF276" s="789">
        <f t="shared" si="214"/>
        <v>19</v>
      </c>
      <c r="CG276" s="789">
        <f t="shared" si="214"/>
        <v>0</v>
      </c>
      <c r="CH276" s="789">
        <f t="shared" si="214"/>
        <v>0</v>
      </c>
      <c r="CI276" s="789">
        <f t="shared" si="214"/>
        <v>0</v>
      </c>
      <c r="CJ276" s="789">
        <f t="shared" si="214"/>
        <v>0</v>
      </c>
      <c r="CK276" s="789">
        <f t="shared" si="214"/>
        <v>0</v>
      </c>
      <c r="CL276" s="789">
        <f t="shared" si="214"/>
        <v>0</v>
      </c>
      <c r="CM276" s="789">
        <f t="shared" si="214"/>
        <v>0</v>
      </c>
      <c r="CN276" s="789">
        <f t="shared" si="214"/>
        <v>0</v>
      </c>
      <c r="CO276" s="789">
        <f t="shared" si="214"/>
        <v>0</v>
      </c>
      <c r="CP276" s="789">
        <f t="shared" si="214"/>
        <v>0</v>
      </c>
      <c r="CQ276" s="789">
        <f t="shared" si="214"/>
        <v>0</v>
      </c>
      <c r="CR276" s="789">
        <f t="shared" si="214"/>
        <v>0</v>
      </c>
      <c r="CS276" s="789">
        <f t="shared" si="214"/>
        <v>0</v>
      </c>
      <c r="CT276" s="789">
        <f t="shared" si="214"/>
        <v>0</v>
      </c>
    </row>
    <row r="277" spans="2:98">
      <c r="B277" s="168" t="str">
        <f t="shared" ref="B277:C304" si="215">B230</f>
        <v>Coal/Ore</v>
      </c>
      <c r="C277" s="165" t="str">
        <f t="shared" si="215"/>
        <v>Drill Machine/ 115mm diameter</v>
      </c>
      <c r="D277" s="171" t="s">
        <v>896</v>
      </c>
      <c r="E277" s="436">
        <f t="shared" ref="E277:E318" si="216">SUM(G277:AN277)</f>
        <v>3</v>
      </c>
      <c r="F277" s="174">
        <f>VLOOKUP(C277,Equipment!$C$5:$V$47,Equipment!O$1,FALSE)</f>
        <v>5</v>
      </c>
      <c r="G277" s="378" cm="1">
        <f t="array" ref="G277">SUMPRODUCT(($C$183:$C$225=$C277)*(MOD(G$276-$G$182:$AQ$182,$F277)=0)*($G$183:$AQ$225)*(G$276&gt;=$G$182:$AQ$182))</f>
        <v>0</v>
      </c>
      <c r="H277" s="378">
        <f t="shared" ref="H277:J296" si="217">IFERROR(INDEX($G$183:$AO$224,MATCH($C277,$C$183:$C$224,0),MATCH(H$276-$F277,$G$182:$AO$182,0)),0)</f>
        <v>0</v>
      </c>
      <c r="I277" s="378">
        <f t="shared" si="217"/>
        <v>0</v>
      </c>
      <c r="J277" s="378">
        <f t="shared" si="217"/>
        <v>0</v>
      </c>
      <c r="K277" s="378">
        <f t="shared" ref="K277:T286" si="218">IFERROR(IF(K$276&lt;=$F277,0,INDEX($G$183:$AO$224,MATCH($C277,$C$183:$C$224,0),MATCH(MOD(K$276-$F277-1,$F277)+1,$G$182:$AO$182,0))),0)</f>
        <v>0</v>
      </c>
      <c r="L277" s="378">
        <f t="shared" si="218"/>
        <v>0</v>
      </c>
      <c r="M277" s="378">
        <f t="shared" si="218"/>
        <v>0</v>
      </c>
      <c r="N277" s="378">
        <f t="shared" si="218"/>
        <v>0</v>
      </c>
      <c r="O277" s="378">
        <f t="shared" si="218"/>
        <v>0</v>
      </c>
      <c r="P277" s="378">
        <f t="shared" si="218"/>
        <v>1</v>
      </c>
      <c r="Q277" s="378">
        <f t="shared" si="218"/>
        <v>0</v>
      </c>
      <c r="R277" s="378">
        <f t="shared" si="218"/>
        <v>0</v>
      </c>
      <c r="S277" s="378">
        <f t="shared" si="218"/>
        <v>0</v>
      </c>
      <c r="T277" s="378">
        <f t="shared" si="218"/>
        <v>0</v>
      </c>
      <c r="U277" s="378">
        <f t="shared" ref="U277:AC286" si="219">IFERROR(IF(U$276&lt;=$F277,0,INDEX($G$183:$AO$224,MATCH($C277,$C$183:$C$224,0),MATCH(MOD(U$276-$F277-1,$F277)+1,$G$182:$AO$182,0))),0)</f>
        <v>1</v>
      </c>
      <c r="V277" s="378">
        <f t="shared" si="219"/>
        <v>0</v>
      </c>
      <c r="W277" s="378">
        <f t="shared" si="219"/>
        <v>0</v>
      </c>
      <c r="X277" s="378">
        <f t="shared" si="219"/>
        <v>0</v>
      </c>
      <c r="Y277" s="378">
        <f t="shared" si="219"/>
        <v>0</v>
      </c>
      <c r="Z277" s="378">
        <f t="shared" si="219"/>
        <v>1</v>
      </c>
      <c r="AA277" s="378">
        <f t="shared" si="219"/>
        <v>0</v>
      </c>
      <c r="AB277" s="378">
        <f t="shared" si="219"/>
        <v>0</v>
      </c>
      <c r="AC277" s="378">
        <f t="shared" si="219"/>
        <v>0</v>
      </c>
      <c r="AD277" s="378"/>
      <c r="AE277" s="378"/>
      <c r="AF277" s="378"/>
      <c r="AG277" s="378"/>
      <c r="AH277" s="378"/>
      <c r="AI277" s="378"/>
      <c r="AJ277" s="378"/>
      <c r="AK277" s="378"/>
      <c r="AL277" s="378"/>
      <c r="AM277" s="378"/>
      <c r="AN277" s="378"/>
      <c r="AO277" s="378"/>
      <c r="AP277" s="378"/>
      <c r="AQ277" s="378"/>
      <c r="AR277" s="378"/>
      <c r="AS277" s="378"/>
      <c r="AT277" s="378"/>
      <c r="AU277" s="218"/>
      <c r="AV277" s="218"/>
      <c r="AW277" s="218"/>
      <c r="AX277" s="218"/>
      <c r="AY277" s="218"/>
      <c r="AZ277" s="218"/>
      <c r="BA277" s="218"/>
      <c r="BB277" s="218"/>
      <c r="BC277" s="218"/>
      <c r="BD277" s="218"/>
      <c r="BE277" s="218"/>
      <c r="BF277" s="218"/>
      <c r="BN277">
        <f>IF(K$276&lt;=$F277,K$276,IF(AND(K$276&gt;$F277,K$276&lt;=2*$F277),K$276-$F277,IF(AND(K$276&gt;2*$F277,K$276&lt;=3*$F277),K$276-2*$F277,IF(AND(K$276&gt;3*$F277,K$276&lt;=4*$F277),K$276-3*$F277,K$276-4*$F277))))</f>
        <v>1</v>
      </c>
      <c r="BO277">
        <f t="shared" ref="BO277:CT277" si="220">IF(L$276&lt;=$F277,L$276,IF(AND(L$276&gt;$F277,L$276&lt;=2*$F277),L$276-$F277,IF(AND(L$276&gt;2*$F277,L$276&lt;=3*$F277),L$276-2*$F277,IF(AND(L$276&gt;3*$F277,L$276&lt;=4*$F277),L$276-3*$F277,L$276-4*$F277))))</f>
        <v>2</v>
      </c>
      <c r="BP277">
        <f t="shared" si="220"/>
        <v>3</v>
      </c>
      <c r="BQ277">
        <f t="shared" si="220"/>
        <v>4</v>
      </c>
      <c r="BR277">
        <f t="shared" si="220"/>
        <v>5</v>
      </c>
      <c r="BS277">
        <f t="shared" si="220"/>
        <v>1</v>
      </c>
      <c r="BT277">
        <f t="shared" si="220"/>
        <v>2</v>
      </c>
      <c r="BU277">
        <f t="shared" si="220"/>
        <v>3</v>
      </c>
      <c r="BV277">
        <f t="shared" si="220"/>
        <v>4</v>
      </c>
      <c r="BW277">
        <f t="shared" si="220"/>
        <v>5</v>
      </c>
      <c r="BX277">
        <f t="shared" si="220"/>
        <v>1</v>
      </c>
      <c r="BY277">
        <f t="shared" si="220"/>
        <v>2</v>
      </c>
      <c r="BZ277">
        <f t="shared" si="220"/>
        <v>3</v>
      </c>
      <c r="CA277">
        <f t="shared" si="220"/>
        <v>4</v>
      </c>
      <c r="CB277">
        <f t="shared" si="220"/>
        <v>5</v>
      </c>
      <c r="CC277">
        <f t="shared" si="220"/>
        <v>1</v>
      </c>
      <c r="CD277">
        <f t="shared" si="220"/>
        <v>2</v>
      </c>
      <c r="CE277">
        <f t="shared" si="220"/>
        <v>3</v>
      </c>
      <c r="CF277">
        <f t="shared" si="220"/>
        <v>4</v>
      </c>
      <c r="CG277">
        <f t="shared" si="220"/>
        <v>0</v>
      </c>
      <c r="CH277">
        <f t="shared" si="220"/>
        <v>0</v>
      </c>
      <c r="CI277">
        <f t="shared" si="220"/>
        <v>0</v>
      </c>
      <c r="CJ277">
        <f t="shared" si="220"/>
        <v>0</v>
      </c>
      <c r="CK277">
        <f t="shared" si="220"/>
        <v>0</v>
      </c>
      <c r="CL277">
        <f t="shared" si="220"/>
        <v>0</v>
      </c>
      <c r="CM277">
        <f t="shared" si="220"/>
        <v>0</v>
      </c>
      <c r="CN277">
        <f t="shared" si="220"/>
        <v>0</v>
      </c>
      <c r="CO277">
        <f t="shared" si="220"/>
        <v>0</v>
      </c>
      <c r="CP277">
        <f t="shared" si="220"/>
        <v>0</v>
      </c>
      <c r="CQ277">
        <f t="shared" si="220"/>
        <v>0</v>
      </c>
      <c r="CR277">
        <f t="shared" si="220"/>
        <v>0</v>
      </c>
      <c r="CS277">
        <f t="shared" si="220"/>
        <v>0</v>
      </c>
      <c r="CT277">
        <f t="shared" si="220"/>
        <v>0</v>
      </c>
    </row>
    <row r="278" spans="2:98">
      <c r="B278" s="168" t="str">
        <f t="shared" si="215"/>
        <v xml:space="preserve">Waste (IB Thin Parting) </v>
      </c>
      <c r="C278" s="165" t="str">
        <f t="shared" si="215"/>
        <v>Drill Machine/ 160mm diameter</v>
      </c>
      <c r="D278" s="171" t="s">
        <v>896</v>
      </c>
      <c r="E278" s="436">
        <f t="shared" si="216"/>
        <v>9</v>
      </c>
      <c r="F278" s="174">
        <f>VLOOKUP(C278,Equipment!$C$5:$V$47,Equipment!O$1,FALSE)</f>
        <v>5</v>
      </c>
      <c r="G278" s="378">
        <f t="shared" ref="G278:G318" si="221">IFERROR(INDEX($G$183:$AO$224,MATCH($C278,$C$183:$C$224,0),MATCH(G$276-$F278,$G$182:$AO$182,0)),0)</f>
        <v>0</v>
      </c>
      <c r="H278" s="378">
        <f t="shared" si="217"/>
        <v>0</v>
      </c>
      <c r="I278" s="378">
        <f t="shared" si="217"/>
        <v>0</v>
      </c>
      <c r="J278" s="378">
        <f t="shared" si="217"/>
        <v>0</v>
      </c>
      <c r="K278" s="378">
        <f t="shared" si="218"/>
        <v>0</v>
      </c>
      <c r="L278" s="378">
        <f t="shared" si="218"/>
        <v>0</v>
      </c>
      <c r="M278" s="378">
        <f t="shared" si="218"/>
        <v>0</v>
      </c>
      <c r="N278" s="378">
        <f t="shared" si="218"/>
        <v>0</v>
      </c>
      <c r="O278" s="378">
        <f t="shared" si="218"/>
        <v>0</v>
      </c>
      <c r="P278" s="378">
        <f t="shared" si="218"/>
        <v>1</v>
      </c>
      <c r="Q278" s="378">
        <f t="shared" si="218"/>
        <v>0</v>
      </c>
      <c r="R278" s="378">
        <f t="shared" si="218"/>
        <v>1</v>
      </c>
      <c r="S278" s="378">
        <f t="shared" si="218"/>
        <v>1</v>
      </c>
      <c r="T278" s="378">
        <f t="shared" si="218"/>
        <v>0</v>
      </c>
      <c r="U278" s="378">
        <f t="shared" si="219"/>
        <v>1</v>
      </c>
      <c r="V278" s="378">
        <f t="shared" si="219"/>
        <v>0</v>
      </c>
      <c r="W278" s="378">
        <f t="shared" si="219"/>
        <v>1</v>
      </c>
      <c r="X278" s="378">
        <f t="shared" si="219"/>
        <v>1</v>
      </c>
      <c r="Y278" s="378">
        <f t="shared" si="219"/>
        <v>0</v>
      </c>
      <c r="Z278" s="378">
        <f t="shared" si="219"/>
        <v>1</v>
      </c>
      <c r="AA278" s="378">
        <f t="shared" si="219"/>
        <v>0</v>
      </c>
      <c r="AB278" s="378">
        <f t="shared" si="219"/>
        <v>1</v>
      </c>
      <c r="AC278" s="378">
        <f t="shared" si="219"/>
        <v>1</v>
      </c>
      <c r="AD278" s="378"/>
      <c r="AE278" s="378"/>
      <c r="AF278" s="378"/>
      <c r="AG278" s="378"/>
      <c r="AH278" s="378"/>
      <c r="AI278" s="378"/>
      <c r="AJ278" s="378"/>
      <c r="AK278" s="378"/>
      <c r="AL278" s="378"/>
      <c r="AM278" s="378"/>
      <c r="AN278" s="378"/>
      <c r="AO278" s="378"/>
      <c r="AP278" s="378"/>
      <c r="AQ278" s="378"/>
      <c r="AR278" s="378"/>
      <c r="AS278" s="378"/>
      <c r="AT278" s="378"/>
      <c r="AU278" s="218"/>
      <c r="AV278" s="218"/>
      <c r="AW278" s="218"/>
      <c r="AX278" s="218"/>
      <c r="AY278" s="218"/>
      <c r="AZ278" s="218"/>
      <c r="BA278" s="218"/>
      <c r="BB278" s="218"/>
      <c r="BC278" s="218"/>
      <c r="BD278" s="218"/>
      <c r="BE278" s="218"/>
      <c r="BF278" s="218"/>
      <c r="BN278">
        <f t="shared" ref="BN278:BN319" si="222">IF(K$276&lt;=$F278,K$276,IF(AND(K$276&gt;$F278,K$276&lt;=2*$F278),K$276-$F278,IF(AND(K$276&gt;2*$F278,K$276&lt;=3*$F278),K$276-2*$F278,IF(AND(K$276&gt;3*$F278,K$276&lt;=4*$F278),K$276-3*$F278,K$276-4*$F278))))</f>
        <v>1</v>
      </c>
      <c r="BO278">
        <f t="shared" ref="BO278:BO303" si="223">IF(L$276&lt;=$F278,L$276,IF(AND(L$276&gt;$F278,L$276&lt;=2*$F278),L$276-$F278,IF(AND(L$276&gt;2*$F278,L$276&lt;=3*$F278),L$276-2*$F278,IF(AND(L$276&gt;3*$F278,L$276&lt;=4*$F278),L$276-3*$F278,L$276-4*$F278))))</f>
        <v>2</v>
      </c>
      <c r="BP278">
        <f t="shared" ref="BP278:BP303" si="224">IF(M$276&lt;=$F278,M$276,IF(AND(M$276&gt;$F278,M$276&lt;=2*$F278),M$276-$F278,IF(AND(M$276&gt;2*$F278,M$276&lt;=3*$F278),M$276-2*$F278,IF(AND(M$276&gt;3*$F278,M$276&lt;=4*$F278),M$276-3*$F278,M$276-4*$F278))))</f>
        <v>3</v>
      </c>
      <c r="BQ278">
        <f t="shared" ref="BQ278:BQ303" si="225">IF(N$276&lt;=$F278,N$276,IF(AND(N$276&gt;$F278,N$276&lt;=2*$F278),N$276-$F278,IF(AND(N$276&gt;2*$F278,N$276&lt;=3*$F278),N$276-2*$F278,IF(AND(N$276&gt;3*$F278,N$276&lt;=4*$F278),N$276-3*$F278,N$276-4*$F278))))</f>
        <v>4</v>
      </c>
      <c r="BR278">
        <f t="shared" ref="BR278:BR303" si="226">IF(O$276&lt;=$F278,O$276,IF(AND(O$276&gt;$F278,O$276&lt;=2*$F278),O$276-$F278,IF(AND(O$276&gt;2*$F278,O$276&lt;=3*$F278),O$276-2*$F278,IF(AND(O$276&gt;3*$F278,O$276&lt;=4*$F278),O$276-3*$F278,O$276-4*$F278))))</f>
        <v>5</v>
      </c>
      <c r="BS278">
        <f t="shared" ref="BS278:BS303" si="227">IF(P$276&lt;=$F278,P$276,IF(AND(P$276&gt;$F278,P$276&lt;=2*$F278),P$276-$F278,IF(AND(P$276&gt;2*$F278,P$276&lt;=3*$F278),P$276-2*$F278,IF(AND(P$276&gt;3*$F278,P$276&lt;=4*$F278),P$276-3*$F278,P$276-4*$F278))))</f>
        <v>1</v>
      </c>
      <c r="BT278">
        <f t="shared" ref="BT278:BT303" si="228">IF(Q$276&lt;=$F278,Q$276,IF(AND(Q$276&gt;$F278,Q$276&lt;=2*$F278),Q$276-$F278,IF(AND(Q$276&gt;2*$F278,Q$276&lt;=3*$F278),Q$276-2*$F278,IF(AND(Q$276&gt;3*$F278,Q$276&lt;=4*$F278),Q$276-3*$F278,Q$276-4*$F278))))</f>
        <v>2</v>
      </c>
      <c r="BU278">
        <f t="shared" ref="BU278:BU303" si="229">IF(R$276&lt;=$F278,R$276,IF(AND(R$276&gt;$F278,R$276&lt;=2*$F278),R$276-$F278,IF(AND(R$276&gt;2*$F278,R$276&lt;=3*$F278),R$276-2*$F278,IF(AND(R$276&gt;3*$F278,R$276&lt;=4*$F278),R$276-3*$F278,R$276-4*$F278))))</f>
        <v>3</v>
      </c>
      <c r="BV278">
        <f t="shared" ref="BV278:BV303" si="230">IF(S$276&lt;=$F278,S$276,IF(AND(S$276&gt;$F278,S$276&lt;=2*$F278),S$276-$F278,IF(AND(S$276&gt;2*$F278,S$276&lt;=3*$F278),S$276-2*$F278,IF(AND(S$276&gt;3*$F278,S$276&lt;=4*$F278),S$276-3*$F278,S$276-4*$F278))))</f>
        <v>4</v>
      </c>
      <c r="BW278">
        <f t="shared" ref="BW278:BW303" si="231">IF(T$276&lt;=$F278,T$276,IF(AND(T$276&gt;$F278,T$276&lt;=2*$F278),T$276-$F278,IF(AND(T$276&gt;2*$F278,T$276&lt;=3*$F278),T$276-2*$F278,IF(AND(T$276&gt;3*$F278,T$276&lt;=4*$F278),T$276-3*$F278,T$276-4*$F278))))</f>
        <v>5</v>
      </c>
      <c r="BX278">
        <f t="shared" ref="BX278:BX303" si="232">IF(U$276&lt;=$F278,U$276,IF(AND(U$276&gt;$F278,U$276&lt;=2*$F278),U$276-$F278,IF(AND(U$276&gt;2*$F278,U$276&lt;=3*$F278),U$276-2*$F278,IF(AND(U$276&gt;3*$F278,U$276&lt;=4*$F278),U$276-3*$F278,U$276-4*$F278))))</f>
        <v>1</v>
      </c>
      <c r="BY278">
        <f t="shared" ref="BY278:BY303" si="233">IF(V$276&lt;=$F278,V$276,IF(AND(V$276&gt;$F278,V$276&lt;=2*$F278),V$276-$F278,IF(AND(V$276&gt;2*$F278,V$276&lt;=3*$F278),V$276-2*$F278,IF(AND(V$276&gt;3*$F278,V$276&lt;=4*$F278),V$276-3*$F278,V$276-4*$F278))))</f>
        <v>2</v>
      </c>
      <c r="BZ278">
        <f t="shared" ref="BZ278:BZ303" si="234">IF(W$276&lt;=$F278,W$276,IF(AND(W$276&gt;$F278,W$276&lt;=2*$F278),W$276-$F278,IF(AND(W$276&gt;2*$F278,W$276&lt;=3*$F278),W$276-2*$F278,IF(AND(W$276&gt;3*$F278,W$276&lt;=4*$F278),W$276-3*$F278,W$276-4*$F278))))</f>
        <v>3</v>
      </c>
      <c r="CA278">
        <f t="shared" ref="CA278:CA303" si="235">IF(X$276&lt;=$F278,X$276,IF(AND(X$276&gt;$F278,X$276&lt;=2*$F278),X$276-$F278,IF(AND(X$276&gt;2*$F278,X$276&lt;=3*$F278),X$276-2*$F278,IF(AND(X$276&gt;3*$F278,X$276&lt;=4*$F278),X$276-3*$F278,X$276-4*$F278))))</f>
        <v>4</v>
      </c>
      <c r="CB278">
        <f t="shared" ref="CB278:CB303" si="236">IF(Y$276&lt;=$F278,Y$276,IF(AND(Y$276&gt;$F278,Y$276&lt;=2*$F278),Y$276-$F278,IF(AND(Y$276&gt;2*$F278,Y$276&lt;=3*$F278),Y$276-2*$F278,IF(AND(Y$276&gt;3*$F278,Y$276&lt;=4*$F278),Y$276-3*$F278,Y$276-4*$F278))))</f>
        <v>5</v>
      </c>
      <c r="CC278">
        <f t="shared" ref="CC278:CC303" si="237">IF(Z$276&lt;=$F278,Z$276,IF(AND(Z$276&gt;$F278,Z$276&lt;=2*$F278),Z$276-$F278,IF(AND(Z$276&gt;2*$F278,Z$276&lt;=3*$F278),Z$276-2*$F278,IF(AND(Z$276&gt;3*$F278,Z$276&lt;=4*$F278),Z$276-3*$F278,Z$276-4*$F278))))</f>
        <v>1</v>
      </c>
      <c r="CD278">
        <f t="shared" ref="CD278:CD303" si="238">IF(AA$276&lt;=$F278,AA$276,IF(AND(AA$276&gt;$F278,AA$276&lt;=2*$F278),AA$276-$F278,IF(AND(AA$276&gt;2*$F278,AA$276&lt;=3*$F278),AA$276-2*$F278,IF(AND(AA$276&gt;3*$F278,AA$276&lt;=4*$F278),AA$276-3*$F278,AA$276-4*$F278))))</f>
        <v>2</v>
      </c>
      <c r="CE278">
        <f t="shared" ref="CE278:CE303" si="239">IF(AB$276&lt;=$F278,AB$276,IF(AND(AB$276&gt;$F278,AB$276&lt;=2*$F278),AB$276-$F278,IF(AND(AB$276&gt;2*$F278,AB$276&lt;=3*$F278),AB$276-2*$F278,IF(AND(AB$276&gt;3*$F278,AB$276&lt;=4*$F278),AB$276-3*$F278,AB$276-4*$F278))))</f>
        <v>3</v>
      </c>
      <c r="CF278">
        <f t="shared" ref="CF278:CF303" si="240">IF(AC$276&lt;=$F278,AC$276,IF(AND(AC$276&gt;$F278,AC$276&lt;=2*$F278),AC$276-$F278,IF(AND(AC$276&gt;2*$F278,AC$276&lt;=3*$F278),AC$276-2*$F278,IF(AND(AC$276&gt;3*$F278,AC$276&lt;=4*$F278),AC$276-3*$F278,AC$276-4*$F278))))</f>
        <v>4</v>
      </c>
      <c r="CG278">
        <f t="shared" ref="CG278:CG303" si="241">IF(AD$276&lt;=$F278,AD$276,IF(AND(AD$276&gt;$F278,AD$276&lt;=2*$F278),AD$276-$F278,IF(AND(AD$276&gt;2*$F278,AD$276&lt;=3*$F278),AD$276-2*$F278,IF(AND(AD$276&gt;3*$F278,AD$276&lt;=4*$F278),AD$276-3*$F278,AD$276-4*$F278))))</f>
        <v>0</v>
      </c>
      <c r="CH278">
        <f t="shared" ref="CH278:CH303" si="242">IF(AE$276&lt;=$F278,AE$276,IF(AND(AE$276&gt;$F278,AE$276&lt;=2*$F278),AE$276-$F278,IF(AND(AE$276&gt;2*$F278,AE$276&lt;=3*$F278),AE$276-2*$F278,IF(AND(AE$276&gt;3*$F278,AE$276&lt;=4*$F278),AE$276-3*$F278,AE$276-4*$F278))))</f>
        <v>0</v>
      </c>
      <c r="CI278">
        <f t="shared" ref="CI278:CI303" si="243">IF(AF$276&lt;=$F278,AF$276,IF(AND(AF$276&gt;$F278,AF$276&lt;=2*$F278),AF$276-$F278,IF(AND(AF$276&gt;2*$F278,AF$276&lt;=3*$F278),AF$276-2*$F278,IF(AND(AF$276&gt;3*$F278,AF$276&lt;=4*$F278),AF$276-3*$F278,AF$276-4*$F278))))</f>
        <v>0</v>
      </c>
      <c r="CJ278">
        <f t="shared" ref="CJ278:CJ303" si="244">IF(AG$276&lt;=$F278,AG$276,IF(AND(AG$276&gt;$F278,AG$276&lt;=2*$F278),AG$276-$F278,IF(AND(AG$276&gt;2*$F278,AG$276&lt;=3*$F278),AG$276-2*$F278,IF(AND(AG$276&gt;3*$F278,AG$276&lt;=4*$F278),AG$276-3*$F278,AG$276-4*$F278))))</f>
        <v>0</v>
      </c>
      <c r="CK278">
        <f t="shared" ref="CK278:CK303" si="245">IF(AH$276&lt;=$F278,AH$276,IF(AND(AH$276&gt;$F278,AH$276&lt;=2*$F278),AH$276-$F278,IF(AND(AH$276&gt;2*$F278,AH$276&lt;=3*$F278),AH$276-2*$F278,IF(AND(AH$276&gt;3*$F278,AH$276&lt;=4*$F278),AH$276-3*$F278,AH$276-4*$F278))))</f>
        <v>0</v>
      </c>
      <c r="CL278">
        <f t="shared" ref="CL278:CL303" si="246">IF(AI$276&lt;=$F278,AI$276,IF(AND(AI$276&gt;$F278,AI$276&lt;=2*$F278),AI$276-$F278,IF(AND(AI$276&gt;2*$F278,AI$276&lt;=3*$F278),AI$276-2*$F278,IF(AND(AI$276&gt;3*$F278,AI$276&lt;=4*$F278),AI$276-3*$F278,AI$276-4*$F278))))</f>
        <v>0</v>
      </c>
      <c r="CM278">
        <f t="shared" ref="CM278:CM303" si="247">IF(AJ$276&lt;=$F278,AJ$276,IF(AND(AJ$276&gt;$F278,AJ$276&lt;=2*$F278),AJ$276-$F278,IF(AND(AJ$276&gt;2*$F278,AJ$276&lt;=3*$F278),AJ$276-2*$F278,IF(AND(AJ$276&gt;3*$F278,AJ$276&lt;=4*$F278),AJ$276-3*$F278,AJ$276-4*$F278))))</f>
        <v>0</v>
      </c>
      <c r="CN278">
        <f t="shared" ref="CN278:CN303" si="248">IF(AK$276&lt;=$F278,AK$276,IF(AND(AK$276&gt;$F278,AK$276&lt;=2*$F278),AK$276-$F278,IF(AND(AK$276&gt;2*$F278,AK$276&lt;=3*$F278),AK$276-2*$F278,IF(AND(AK$276&gt;3*$F278,AK$276&lt;=4*$F278),AK$276-3*$F278,AK$276-4*$F278))))</f>
        <v>0</v>
      </c>
      <c r="CO278">
        <f t="shared" ref="CO278:CO303" si="249">IF(AL$276&lt;=$F278,AL$276,IF(AND(AL$276&gt;$F278,AL$276&lt;=2*$F278),AL$276-$F278,IF(AND(AL$276&gt;2*$F278,AL$276&lt;=3*$F278),AL$276-2*$F278,IF(AND(AL$276&gt;3*$F278,AL$276&lt;=4*$F278),AL$276-3*$F278,AL$276-4*$F278))))</f>
        <v>0</v>
      </c>
      <c r="CP278">
        <f t="shared" ref="CP278:CP303" si="250">IF(AM$276&lt;=$F278,AM$276,IF(AND(AM$276&gt;$F278,AM$276&lt;=2*$F278),AM$276-$F278,IF(AND(AM$276&gt;2*$F278,AM$276&lt;=3*$F278),AM$276-2*$F278,IF(AND(AM$276&gt;3*$F278,AM$276&lt;=4*$F278),AM$276-3*$F278,AM$276-4*$F278))))</f>
        <v>0</v>
      </c>
      <c r="CQ278">
        <f t="shared" ref="CQ278:CQ303" si="251">IF(AN$276&lt;=$F278,AN$276,IF(AND(AN$276&gt;$F278,AN$276&lt;=2*$F278),AN$276-$F278,IF(AND(AN$276&gt;2*$F278,AN$276&lt;=3*$F278),AN$276-2*$F278,IF(AND(AN$276&gt;3*$F278,AN$276&lt;=4*$F278),AN$276-3*$F278,AN$276-4*$F278))))</f>
        <v>0</v>
      </c>
      <c r="CR278">
        <f t="shared" ref="CR278:CR303" si="252">IF(AO$276&lt;=$F278,AO$276,IF(AND(AO$276&gt;$F278,AO$276&lt;=2*$F278),AO$276-$F278,IF(AND(AO$276&gt;2*$F278,AO$276&lt;=3*$F278),AO$276-2*$F278,IF(AND(AO$276&gt;3*$F278,AO$276&lt;=4*$F278),AO$276-3*$F278,AO$276-4*$F278))))</f>
        <v>0</v>
      </c>
      <c r="CS278">
        <f t="shared" ref="CS278:CS303" si="253">IF(AP$276&lt;=$F278,AP$276,IF(AND(AP$276&gt;$F278,AP$276&lt;=2*$F278),AP$276-$F278,IF(AND(AP$276&gt;2*$F278,AP$276&lt;=3*$F278),AP$276-2*$F278,IF(AND(AP$276&gt;3*$F278,AP$276&lt;=4*$F278),AP$276-3*$F278,AP$276-4*$F278))))</f>
        <v>0</v>
      </c>
      <c r="CT278">
        <f t="shared" ref="CT278:CT303" si="254">IF(AQ$276&lt;=$F278,AQ$276,IF(AND(AQ$276&gt;$F278,AQ$276&lt;=2*$F278),AQ$276-$F278,IF(AND(AQ$276&gt;2*$F278,AQ$276&lt;=3*$F278),AQ$276-2*$F278,IF(AND(AQ$276&gt;3*$F278,AQ$276&lt;=4*$F278),AQ$276-3*$F278,AQ$276-4*$F278))))</f>
        <v>0</v>
      </c>
    </row>
    <row r="279" spans="2:98">
      <c r="B279" s="168" t="str">
        <f t="shared" si="215"/>
        <v>Waste Thick Parting (Ob/IB)</v>
      </c>
      <c r="C279" s="165" t="str">
        <f t="shared" si="215"/>
        <v>Drill Machine/ 250mm diameter</v>
      </c>
      <c r="D279" s="171" t="s">
        <v>896</v>
      </c>
      <c r="E279" s="436">
        <f t="shared" si="216"/>
        <v>27</v>
      </c>
      <c r="F279" s="174">
        <f>VLOOKUP(C279,Equipment!$C$5:$V$47,Equipment!O$1,FALSE)</f>
        <v>5</v>
      </c>
      <c r="G279" s="378">
        <f t="shared" si="221"/>
        <v>0</v>
      </c>
      <c r="H279" s="378">
        <f t="shared" si="217"/>
        <v>0</v>
      </c>
      <c r="I279" s="378">
        <f t="shared" si="217"/>
        <v>0</v>
      </c>
      <c r="J279" s="378">
        <f t="shared" si="217"/>
        <v>0</v>
      </c>
      <c r="K279" s="378">
        <f t="shared" si="218"/>
        <v>0</v>
      </c>
      <c r="L279" s="378">
        <f t="shared" si="218"/>
        <v>0</v>
      </c>
      <c r="M279" s="378">
        <f t="shared" si="218"/>
        <v>0</v>
      </c>
      <c r="N279" s="378">
        <f t="shared" si="218"/>
        <v>0</v>
      </c>
      <c r="O279" s="378">
        <f t="shared" si="218"/>
        <v>0</v>
      </c>
      <c r="P279" s="378">
        <f t="shared" si="218"/>
        <v>3</v>
      </c>
      <c r="Q279" s="378">
        <f t="shared" si="218"/>
        <v>0</v>
      </c>
      <c r="R279" s="378">
        <f t="shared" si="218"/>
        <v>1</v>
      </c>
      <c r="S279" s="378">
        <f t="shared" si="218"/>
        <v>5</v>
      </c>
      <c r="T279" s="378">
        <f t="shared" si="218"/>
        <v>0</v>
      </c>
      <c r="U279" s="378">
        <f t="shared" si="219"/>
        <v>3</v>
      </c>
      <c r="V279" s="378">
        <f t="shared" si="219"/>
        <v>0</v>
      </c>
      <c r="W279" s="378">
        <f t="shared" si="219"/>
        <v>1</v>
      </c>
      <c r="X279" s="378">
        <f t="shared" si="219"/>
        <v>5</v>
      </c>
      <c r="Y279" s="378">
        <f t="shared" si="219"/>
        <v>0</v>
      </c>
      <c r="Z279" s="378">
        <f t="shared" si="219"/>
        <v>3</v>
      </c>
      <c r="AA279" s="378">
        <f t="shared" si="219"/>
        <v>0</v>
      </c>
      <c r="AB279" s="378">
        <f t="shared" si="219"/>
        <v>1</v>
      </c>
      <c r="AC279" s="378">
        <f t="shared" si="219"/>
        <v>5</v>
      </c>
      <c r="AD279" s="378"/>
      <c r="AE279" s="378"/>
      <c r="AF279" s="378"/>
      <c r="AG279" s="378"/>
      <c r="AH279" s="378"/>
      <c r="AI279" s="378"/>
      <c r="AJ279" s="378"/>
      <c r="AK279" s="378"/>
      <c r="AL279" s="378"/>
      <c r="AM279" s="378"/>
      <c r="AN279" s="378"/>
      <c r="AO279" s="378"/>
      <c r="AP279" s="378"/>
      <c r="AQ279" s="378"/>
      <c r="AR279" s="378"/>
      <c r="AS279" s="378"/>
      <c r="AT279" s="378"/>
      <c r="AU279" s="218"/>
      <c r="AV279" s="218"/>
      <c r="AW279" s="218"/>
      <c r="AX279" s="218"/>
      <c r="AY279" s="218"/>
      <c r="AZ279" s="218"/>
      <c r="BA279" s="218"/>
      <c r="BB279" s="218"/>
      <c r="BC279" s="218"/>
      <c r="BD279" s="218"/>
      <c r="BE279" s="218"/>
      <c r="BF279" s="218"/>
      <c r="BN279">
        <f t="shared" si="222"/>
        <v>1</v>
      </c>
      <c r="BO279">
        <f t="shared" si="223"/>
        <v>2</v>
      </c>
      <c r="BP279">
        <f t="shared" si="224"/>
        <v>3</v>
      </c>
      <c r="BQ279">
        <f t="shared" si="225"/>
        <v>4</v>
      </c>
      <c r="BR279">
        <f t="shared" si="226"/>
        <v>5</v>
      </c>
      <c r="BS279">
        <f t="shared" si="227"/>
        <v>1</v>
      </c>
      <c r="BT279">
        <f t="shared" si="228"/>
        <v>2</v>
      </c>
      <c r="BU279">
        <f t="shared" si="229"/>
        <v>3</v>
      </c>
      <c r="BV279">
        <f t="shared" si="230"/>
        <v>4</v>
      </c>
      <c r="BW279">
        <f t="shared" si="231"/>
        <v>5</v>
      </c>
      <c r="BX279">
        <f t="shared" si="232"/>
        <v>1</v>
      </c>
      <c r="BY279">
        <f t="shared" si="233"/>
        <v>2</v>
      </c>
      <c r="BZ279">
        <f t="shared" si="234"/>
        <v>3</v>
      </c>
      <c r="CA279">
        <f t="shared" si="235"/>
        <v>4</v>
      </c>
      <c r="CB279">
        <f t="shared" si="236"/>
        <v>5</v>
      </c>
      <c r="CC279">
        <f t="shared" si="237"/>
        <v>1</v>
      </c>
      <c r="CD279">
        <f t="shared" si="238"/>
        <v>2</v>
      </c>
      <c r="CE279">
        <f t="shared" si="239"/>
        <v>3</v>
      </c>
      <c r="CF279">
        <f t="shared" si="240"/>
        <v>4</v>
      </c>
      <c r="CG279">
        <f t="shared" si="241"/>
        <v>0</v>
      </c>
      <c r="CH279">
        <f t="shared" si="242"/>
        <v>0</v>
      </c>
      <c r="CI279">
        <f t="shared" si="243"/>
        <v>0</v>
      </c>
      <c r="CJ279">
        <f t="shared" si="244"/>
        <v>0</v>
      </c>
      <c r="CK279">
        <f t="shared" si="245"/>
        <v>0</v>
      </c>
      <c r="CL279">
        <f t="shared" si="246"/>
        <v>0</v>
      </c>
      <c r="CM279">
        <f t="shared" si="247"/>
        <v>0</v>
      </c>
      <c r="CN279">
        <f t="shared" si="248"/>
        <v>0</v>
      </c>
      <c r="CO279">
        <f t="shared" si="249"/>
        <v>0</v>
      </c>
      <c r="CP279">
        <f t="shared" si="250"/>
        <v>0</v>
      </c>
      <c r="CQ279">
        <f t="shared" si="251"/>
        <v>0</v>
      </c>
      <c r="CR279">
        <f t="shared" si="252"/>
        <v>0</v>
      </c>
      <c r="CS279">
        <f t="shared" si="253"/>
        <v>0</v>
      </c>
      <c r="CT279">
        <f t="shared" si="254"/>
        <v>0</v>
      </c>
    </row>
    <row r="280" spans="2:98">
      <c r="B280" s="168" t="str">
        <f t="shared" si="215"/>
        <v>Top Soil</v>
      </c>
      <c r="C280" s="165" t="str">
        <f t="shared" si="215"/>
        <v>Diesel hydraulic Shovel/ 1.0 cum</v>
      </c>
      <c r="D280" s="171" t="s">
        <v>896</v>
      </c>
      <c r="E280" s="436">
        <f t="shared" si="216"/>
        <v>0</v>
      </c>
      <c r="F280" s="174">
        <f>VLOOKUP(C280,Equipment!$C$5:$V$47,Equipment!O$1,FALSE)</f>
        <v>6</v>
      </c>
      <c r="G280" s="378">
        <f t="shared" si="221"/>
        <v>0</v>
      </c>
      <c r="H280" s="378">
        <f t="shared" si="217"/>
        <v>0</v>
      </c>
      <c r="I280" s="378">
        <f t="shared" si="217"/>
        <v>0</v>
      </c>
      <c r="J280" s="378">
        <f t="shared" si="217"/>
        <v>0</v>
      </c>
      <c r="K280" s="378">
        <f t="shared" si="218"/>
        <v>0</v>
      </c>
      <c r="L280" s="378">
        <f t="shared" si="218"/>
        <v>0</v>
      </c>
      <c r="M280" s="378">
        <f t="shared" si="218"/>
        <v>0</v>
      </c>
      <c r="N280" s="378">
        <f t="shared" si="218"/>
        <v>0</v>
      </c>
      <c r="O280" s="378">
        <f t="shared" si="218"/>
        <v>0</v>
      </c>
      <c r="P280" s="378">
        <f t="shared" si="218"/>
        <v>0</v>
      </c>
      <c r="Q280" s="378">
        <f t="shared" si="218"/>
        <v>0</v>
      </c>
      <c r="R280" s="378">
        <f t="shared" si="218"/>
        <v>0</v>
      </c>
      <c r="S280" s="378">
        <f t="shared" si="218"/>
        <v>0</v>
      </c>
      <c r="T280" s="378">
        <f t="shared" si="218"/>
        <v>0</v>
      </c>
      <c r="U280" s="378">
        <f t="shared" si="219"/>
        <v>0</v>
      </c>
      <c r="V280" s="378">
        <f t="shared" si="219"/>
        <v>0</v>
      </c>
      <c r="W280" s="378">
        <f t="shared" si="219"/>
        <v>0</v>
      </c>
      <c r="X280" s="378">
        <f t="shared" si="219"/>
        <v>0</v>
      </c>
      <c r="Y280" s="378">
        <f t="shared" si="219"/>
        <v>0</v>
      </c>
      <c r="Z280" s="378">
        <f t="shared" si="219"/>
        <v>0</v>
      </c>
      <c r="AA280" s="378">
        <f t="shared" si="219"/>
        <v>0</v>
      </c>
      <c r="AB280" s="378">
        <f t="shared" si="219"/>
        <v>0</v>
      </c>
      <c r="AC280" s="378">
        <f t="shared" si="219"/>
        <v>0</v>
      </c>
      <c r="AD280" s="378"/>
      <c r="AE280" s="378"/>
      <c r="AF280" s="378"/>
      <c r="AG280" s="378"/>
      <c r="AH280" s="378"/>
      <c r="AI280" s="378"/>
      <c r="AJ280" s="378"/>
      <c r="AK280" s="378"/>
      <c r="AL280" s="378"/>
      <c r="AM280" s="378"/>
      <c r="AN280" s="378"/>
      <c r="AO280" s="378"/>
      <c r="AP280" s="378"/>
      <c r="AQ280" s="378"/>
      <c r="AR280" s="378"/>
      <c r="AS280" s="378"/>
      <c r="AT280" s="378"/>
      <c r="AU280" s="218"/>
      <c r="AV280" s="218"/>
      <c r="AW280" s="218"/>
      <c r="AX280" s="218"/>
      <c r="AY280" s="218"/>
      <c r="AZ280" s="218"/>
      <c r="BA280" s="218"/>
      <c r="BB280" s="218"/>
      <c r="BC280" s="218"/>
      <c r="BD280" s="218"/>
      <c r="BE280" s="218"/>
      <c r="BF280" s="218"/>
      <c r="BN280">
        <f t="shared" si="222"/>
        <v>1</v>
      </c>
      <c r="BO280">
        <f t="shared" si="223"/>
        <v>2</v>
      </c>
      <c r="BP280">
        <f t="shared" si="224"/>
        <v>3</v>
      </c>
      <c r="BQ280">
        <f t="shared" si="225"/>
        <v>4</v>
      </c>
      <c r="BR280">
        <f t="shared" si="226"/>
        <v>5</v>
      </c>
      <c r="BS280">
        <f t="shared" si="227"/>
        <v>6</v>
      </c>
      <c r="BT280">
        <f t="shared" si="228"/>
        <v>1</v>
      </c>
      <c r="BU280">
        <f t="shared" si="229"/>
        <v>2</v>
      </c>
      <c r="BV280">
        <f t="shared" si="230"/>
        <v>3</v>
      </c>
      <c r="BW280">
        <f t="shared" si="231"/>
        <v>4</v>
      </c>
      <c r="BX280">
        <f t="shared" si="232"/>
        <v>5</v>
      </c>
      <c r="BY280">
        <f t="shared" si="233"/>
        <v>6</v>
      </c>
      <c r="BZ280">
        <f t="shared" si="234"/>
        <v>1</v>
      </c>
      <c r="CA280">
        <f t="shared" si="235"/>
        <v>2</v>
      </c>
      <c r="CB280">
        <f t="shared" si="236"/>
        <v>3</v>
      </c>
      <c r="CC280">
        <f t="shared" si="237"/>
        <v>4</v>
      </c>
      <c r="CD280">
        <f t="shared" si="238"/>
        <v>5</v>
      </c>
      <c r="CE280">
        <f t="shared" si="239"/>
        <v>6</v>
      </c>
      <c r="CF280">
        <f t="shared" si="240"/>
        <v>1</v>
      </c>
      <c r="CG280">
        <f t="shared" si="241"/>
        <v>0</v>
      </c>
      <c r="CH280">
        <f t="shared" si="242"/>
        <v>0</v>
      </c>
      <c r="CI280">
        <f t="shared" si="243"/>
        <v>0</v>
      </c>
      <c r="CJ280">
        <f t="shared" si="244"/>
        <v>0</v>
      </c>
      <c r="CK280">
        <f t="shared" si="245"/>
        <v>0</v>
      </c>
      <c r="CL280">
        <f t="shared" si="246"/>
        <v>0</v>
      </c>
      <c r="CM280">
        <f t="shared" si="247"/>
        <v>0</v>
      </c>
      <c r="CN280">
        <f t="shared" si="248"/>
        <v>0</v>
      </c>
      <c r="CO280">
        <f t="shared" si="249"/>
        <v>0</v>
      </c>
      <c r="CP280">
        <f t="shared" si="250"/>
        <v>0</v>
      </c>
      <c r="CQ280">
        <f t="shared" si="251"/>
        <v>0</v>
      </c>
      <c r="CR280">
        <f t="shared" si="252"/>
        <v>0</v>
      </c>
      <c r="CS280">
        <f t="shared" si="253"/>
        <v>0</v>
      </c>
      <c r="CT280">
        <f t="shared" si="254"/>
        <v>0</v>
      </c>
    </row>
    <row r="281" spans="2:98">
      <c r="B281" s="168" t="str">
        <f t="shared" si="215"/>
        <v>Thin Parting, Topsoil &amp; Coal (From Drill &amp; Blast)</v>
      </c>
      <c r="C281" s="165" t="str">
        <f t="shared" si="215"/>
        <v>Diesel hydraulic Shovel/ 4.6 cum</v>
      </c>
      <c r="D281" s="171" t="s">
        <v>896</v>
      </c>
      <c r="E281" s="436">
        <f t="shared" si="216"/>
        <v>23</v>
      </c>
      <c r="F281" s="174">
        <f>VLOOKUP(C281,Equipment!$C$5:$V$47,Equipment!O$1,FALSE)</f>
        <v>6</v>
      </c>
      <c r="G281" s="378">
        <f t="shared" si="221"/>
        <v>0</v>
      </c>
      <c r="H281" s="378">
        <f t="shared" si="217"/>
        <v>0</v>
      </c>
      <c r="I281" s="378">
        <f t="shared" si="217"/>
        <v>0</v>
      </c>
      <c r="J281" s="378">
        <f t="shared" si="217"/>
        <v>0</v>
      </c>
      <c r="K281" s="378">
        <f t="shared" si="218"/>
        <v>0</v>
      </c>
      <c r="L281" s="378">
        <f t="shared" si="218"/>
        <v>0</v>
      </c>
      <c r="M281" s="378">
        <f t="shared" si="218"/>
        <v>0</v>
      </c>
      <c r="N281" s="378">
        <f t="shared" si="218"/>
        <v>0</v>
      </c>
      <c r="O281" s="378">
        <f t="shared" si="218"/>
        <v>0</v>
      </c>
      <c r="P281" s="378">
        <f t="shared" si="218"/>
        <v>0</v>
      </c>
      <c r="Q281" s="378">
        <f t="shared" si="218"/>
        <v>3</v>
      </c>
      <c r="R281" s="378">
        <f t="shared" si="218"/>
        <v>1</v>
      </c>
      <c r="S281" s="378">
        <f t="shared" si="218"/>
        <v>0</v>
      </c>
      <c r="T281" s="378">
        <f t="shared" si="218"/>
        <v>4</v>
      </c>
      <c r="U281" s="378">
        <f t="shared" si="219"/>
        <v>0</v>
      </c>
      <c r="V281" s="378">
        <f t="shared" si="219"/>
        <v>2</v>
      </c>
      <c r="W281" s="378">
        <f t="shared" si="219"/>
        <v>3</v>
      </c>
      <c r="X281" s="378">
        <f t="shared" si="219"/>
        <v>1</v>
      </c>
      <c r="Y281" s="378">
        <f t="shared" si="219"/>
        <v>0</v>
      </c>
      <c r="Z281" s="378">
        <f t="shared" si="219"/>
        <v>4</v>
      </c>
      <c r="AA281" s="378">
        <f t="shared" si="219"/>
        <v>0</v>
      </c>
      <c r="AB281" s="378">
        <f t="shared" si="219"/>
        <v>2</v>
      </c>
      <c r="AC281" s="378">
        <f t="shared" si="219"/>
        <v>3</v>
      </c>
      <c r="AD281" s="378"/>
      <c r="AE281" s="378"/>
      <c r="AF281" s="378"/>
      <c r="AG281" s="378"/>
      <c r="AH281" s="378"/>
      <c r="AI281" s="378"/>
      <c r="AJ281" s="378"/>
      <c r="AK281" s="378"/>
      <c r="AL281" s="378"/>
      <c r="AM281" s="378"/>
      <c r="AN281" s="378"/>
      <c r="AO281" s="378"/>
      <c r="AP281" s="378"/>
      <c r="AQ281" s="378"/>
      <c r="AR281" s="378"/>
      <c r="AS281" s="378"/>
      <c r="AT281" s="378"/>
      <c r="AU281" s="218"/>
      <c r="AV281" s="218"/>
      <c r="AW281" s="218"/>
      <c r="AX281" s="218"/>
      <c r="AY281" s="218"/>
      <c r="AZ281" s="218"/>
      <c r="BA281" s="218"/>
      <c r="BB281" s="218"/>
      <c r="BC281" s="218"/>
      <c r="BD281" s="218"/>
      <c r="BE281" s="218"/>
      <c r="BF281" s="218"/>
      <c r="BN281">
        <f t="shared" si="222"/>
        <v>1</v>
      </c>
      <c r="BO281">
        <f t="shared" si="223"/>
        <v>2</v>
      </c>
      <c r="BP281">
        <f t="shared" si="224"/>
        <v>3</v>
      </c>
      <c r="BQ281">
        <f t="shared" si="225"/>
        <v>4</v>
      </c>
      <c r="BR281">
        <f t="shared" si="226"/>
        <v>5</v>
      </c>
      <c r="BS281">
        <f t="shared" si="227"/>
        <v>6</v>
      </c>
      <c r="BT281">
        <f t="shared" si="228"/>
        <v>1</v>
      </c>
      <c r="BU281">
        <f t="shared" si="229"/>
        <v>2</v>
      </c>
      <c r="BV281">
        <f t="shared" si="230"/>
        <v>3</v>
      </c>
      <c r="BW281">
        <f t="shared" si="231"/>
        <v>4</v>
      </c>
      <c r="BX281">
        <f t="shared" si="232"/>
        <v>5</v>
      </c>
      <c r="BY281">
        <f t="shared" si="233"/>
        <v>6</v>
      </c>
      <c r="BZ281">
        <f t="shared" si="234"/>
        <v>1</v>
      </c>
      <c r="CA281">
        <f t="shared" si="235"/>
        <v>2</v>
      </c>
      <c r="CB281">
        <f t="shared" si="236"/>
        <v>3</v>
      </c>
      <c r="CC281">
        <f t="shared" si="237"/>
        <v>4</v>
      </c>
      <c r="CD281">
        <f t="shared" si="238"/>
        <v>5</v>
      </c>
      <c r="CE281">
        <f t="shared" si="239"/>
        <v>6</v>
      </c>
      <c r="CF281">
        <f t="shared" si="240"/>
        <v>1</v>
      </c>
      <c r="CG281">
        <f t="shared" si="241"/>
        <v>0</v>
      </c>
      <c r="CH281">
        <f t="shared" si="242"/>
        <v>0</v>
      </c>
      <c r="CI281">
        <f t="shared" si="243"/>
        <v>0</v>
      </c>
      <c r="CJ281">
        <f t="shared" si="244"/>
        <v>0</v>
      </c>
      <c r="CK281">
        <f t="shared" si="245"/>
        <v>0</v>
      </c>
      <c r="CL281">
        <f t="shared" si="246"/>
        <v>0</v>
      </c>
      <c r="CM281">
        <f t="shared" si="247"/>
        <v>0</v>
      </c>
      <c r="CN281">
        <f t="shared" si="248"/>
        <v>0</v>
      </c>
      <c r="CO281">
        <f t="shared" si="249"/>
        <v>0</v>
      </c>
      <c r="CP281">
        <f t="shared" si="250"/>
        <v>0</v>
      </c>
      <c r="CQ281">
        <f t="shared" si="251"/>
        <v>0</v>
      </c>
      <c r="CR281">
        <f t="shared" si="252"/>
        <v>0</v>
      </c>
      <c r="CS281">
        <f t="shared" si="253"/>
        <v>0</v>
      </c>
      <c r="CT281">
        <f t="shared" si="254"/>
        <v>0</v>
      </c>
    </row>
    <row r="282" spans="2:98">
      <c r="B282" s="168" t="str">
        <f t="shared" si="215"/>
        <v>Waste - OB &amp; Thick Parting</v>
      </c>
      <c r="C282" s="165" t="str">
        <f t="shared" si="215"/>
        <v>Diesel hydraulic shovel/ 10 cum</v>
      </c>
      <c r="D282" s="171" t="s">
        <v>896</v>
      </c>
      <c r="E282" s="436">
        <f t="shared" si="216"/>
        <v>27</v>
      </c>
      <c r="F282" s="174">
        <f>VLOOKUP(C282,Equipment!$C$5:$V$47,Equipment!O$1,FALSE)</f>
        <v>5</v>
      </c>
      <c r="G282" s="378">
        <f t="shared" si="221"/>
        <v>0</v>
      </c>
      <c r="H282" s="378">
        <f t="shared" si="217"/>
        <v>0</v>
      </c>
      <c r="I282" s="378">
        <f t="shared" si="217"/>
        <v>0</v>
      </c>
      <c r="J282" s="378">
        <f t="shared" si="217"/>
        <v>0</v>
      </c>
      <c r="K282" s="378">
        <f t="shared" si="218"/>
        <v>0</v>
      </c>
      <c r="L282" s="378">
        <f t="shared" si="218"/>
        <v>0</v>
      </c>
      <c r="M282" s="378">
        <f t="shared" si="218"/>
        <v>0</v>
      </c>
      <c r="N282" s="378">
        <f t="shared" si="218"/>
        <v>0</v>
      </c>
      <c r="O282" s="378">
        <f t="shared" si="218"/>
        <v>0</v>
      </c>
      <c r="P282" s="378">
        <f t="shared" si="218"/>
        <v>3</v>
      </c>
      <c r="Q282" s="378">
        <f t="shared" si="218"/>
        <v>0</v>
      </c>
      <c r="R282" s="378">
        <f t="shared" si="218"/>
        <v>1</v>
      </c>
      <c r="S282" s="378">
        <f t="shared" si="218"/>
        <v>5</v>
      </c>
      <c r="T282" s="378">
        <f t="shared" si="218"/>
        <v>0</v>
      </c>
      <c r="U282" s="378">
        <f t="shared" si="219"/>
        <v>3</v>
      </c>
      <c r="V282" s="378">
        <f t="shared" si="219"/>
        <v>0</v>
      </c>
      <c r="W282" s="378">
        <f t="shared" si="219"/>
        <v>1</v>
      </c>
      <c r="X282" s="378">
        <f t="shared" si="219"/>
        <v>5</v>
      </c>
      <c r="Y282" s="378">
        <f t="shared" si="219"/>
        <v>0</v>
      </c>
      <c r="Z282" s="378">
        <f t="shared" si="219"/>
        <v>3</v>
      </c>
      <c r="AA282" s="378">
        <f t="shared" si="219"/>
        <v>0</v>
      </c>
      <c r="AB282" s="378">
        <f t="shared" si="219"/>
        <v>1</v>
      </c>
      <c r="AC282" s="378">
        <f t="shared" si="219"/>
        <v>5</v>
      </c>
      <c r="AD282" s="378"/>
      <c r="AE282" s="378"/>
      <c r="AF282" s="378"/>
      <c r="AG282" s="378"/>
      <c r="AH282" s="378"/>
      <c r="AI282" s="378"/>
      <c r="AJ282" s="378"/>
      <c r="AK282" s="378"/>
      <c r="AL282" s="378"/>
      <c r="AM282" s="378"/>
      <c r="AN282" s="378"/>
      <c r="AO282" s="378"/>
      <c r="AP282" s="378"/>
      <c r="AQ282" s="378"/>
      <c r="AR282" s="378"/>
      <c r="AS282" s="378"/>
      <c r="AT282" s="378"/>
      <c r="AU282" s="218"/>
      <c r="AV282" s="218"/>
      <c r="AW282" s="218"/>
      <c r="AX282" s="218"/>
      <c r="AY282" s="218"/>
      <c r="AZ282" s="218"/>
      <c r="BA282" s="218"/>
      <c r="BB282" s="218"/>
      <c r="BC282" s="218"/>
      <c r="BD282" s="218"/>
      <c r="BE282" s="218"/>
      <c r="BF282" s="218"/>
      <c r="BN282">
        <f t="shared" si="222"/>
        <v>1</v>
      </c>
      <c r="BO282">
        <f t="shared" si="223"/>
        <v>2</v>
      </c>
      <c r="BP282">
        <f t="shared" si="224"/>
        <v>3</v>
      </c>
      <c r="BQ282">
        <f t="shared" si="225"/>
        <v>4</v>
      </c>
      <c r="BR282">
        <f t="shared" si="226"/>
        <v>5</v>
      </c>
      <c r="BS282">
        <f t="shared" si="227"/>
        <v>1</v>
      </c>
      <c r="BT282">
        <f t="shared" si="228"/>
        <v>2</v>
      </c>
      <c r="BU282">
        <f t="shared" si="229"/>
        <v>3</v>
      </c>
      <c r="BV282">
        <f t="shared" si="230"/>
        <v>4</v>
      </c>
      <c r="BW282">
        <f t="shared" si="231"/>
        <v>5</v>
      </c>
      <c r="BX282">
        <f t="shared" si="232"/>
        <v>1</v>
      </c>
      <c r="BY282">
        <f t="shared" si="233"/>
        <v>2</v>
      </c>
      <c r="BZ282">
        <f t="shared" si="234"/>
        <v>3</v>
      </c>
      <c r="CA282">
        <f t="shared" si="235"/>
        <v>4</v>
      </c>
      <c r="CB282">
        <f t="shared" si="236"/>
        <v>5</v>
      </c>
      <c r="CC282">
        <f t="shared" si="237"/>
        <v>1</v>
      </c>
      <c r="CD282">
        <f t="shared" si="238"/>
        <v>2</v>
      </c>
      <c r="CE282">
        <f t="shared" si="239"/>
        <v>3</v>
      </c>
      <c r="CF282">
        <f t="shared" si="240"/>
        <v>4</v>
      </c>
      <c r="CG282">
        <f t="shared" si="241"/>
        <v>0</v>
      </c>
      <c r="CH282">
        <f t="shared" si="242"/>
        <v>0</v>
      </c>
      <c r="CI282">
        <f t="shared" si="243"/>
        <v>0</v>
      </c>
      <c r="CJ282">
        <f t="shared" si="244"/>
        <v>0</v>
      </c>
      <c r="CK282">
        <f t="shared" si="245"/>
        <v>0</v>
      </c>
      <c r="CL282">
        <f t="shared" si="246"/>
        <v>0</v>
      </c>
      <c r="CM282">
        <f t="shared" si="247"/>
        <v>0</v>
      </c>
      <c r="CN282">
        <f t="shared" si="248"/>
        <v>0</v>
      </c>
      <c r="CO282">
        <f t="shared" si="249"/>
        <v>0</v>
      </c>
      <c r="CP282">
        <f t="shared" si="250"/>
        <v>0</v>
      </c>
      <c r="CQ282">
        <f t="shared" si="251"/>
        <v>0</v>
      </c>
      <c r="CR282">
        <f t="shared" si="252"/>
        <v>0</v>
      </c>
      <c r="CS282">
        <f t="shared" si="253"/>
        <v>0</v>
      </c>
      <c r="CT282">
        <f t="shared" si="254"/>
        <v>0</v>
      </c>
    </row>
    <row r="283" spans="2:98">
      <c r="B283" s="168" t="str">
        <f t="shared" si="215"/>
        <v>Rehandling by Own Trucks and Excavators</v>
      </c>
      <c r="C283" s="165" t="str">
        <f t="shared" si="215"/>
        <v>Diesel hydraulic Shovel/ 3.4 cum</v>
      </c>
      <c r="D283" s="171" t="s">
        <v>896</v>
      </c>
      <c r="E283" s="436">
        <f t="shared" si="216"/>
        <v>0</v>
      </c>
      <c r="F283" s="174">
        <f>VLOOKUP(C283,Equipment!$C$5:$V$47,Equipment!O$1,FALSE)</f>
        <v>6</v>
      </c>
      <c r="G283" s="378">
        <f t="shared" si="221"/>
        <v>0</v>
      </c>
      <c r="H283" s="378">
        <f t="shared" si="217"/>
        <v>0</v>
      </c>
      <c r="I283" s="378">
        <f t="shared" si="217"/>
        <v>0</v>
      </c>
      <c r="J283" s="378">
        <f t="shared" si="217"/>
        <v>0</v>
      </c>
      <c r="K283" s="378">
        <f t="shared" si="218"/>
        <v>0</v>
      </c>
      <c r="L283" s="378">
        <f t="shared" si="218"/>
        <v>0</v>
      </c>
      <c r="M283" s="378">
        <f t="shared" si="218"/>
        <v>0</v>
      </c>
      <c r="N283" s="378">
        <f t="shared" si="218"/>
        <v>0</v>
      </c>
      <c r="O283" s="378">
        <f t="shared" si="218"/>
        <v>0</v>
      </c>
      <c r="P283" s="378">
        <f t="shared" si="218"/>
        <v>0</v>
      </c>
      <c r="Q283" s="378">
        <f t="shared" si="218"/>
        <v>0</v>
      </c>
      <c r="R283" s="378">
        <f t="shared" si="218"/>
        <v>0</v>
      </c>
      <c r="S283" s="378">
        <f t="shared" si="218"/>
        <v>0</v>
      </c>
      <c r="T283" s="378">
        <f t="shared" si="218"/>
        <v>0</v>
      </c>
      <c r="U283" s="378">
        <f t="shared" si="219"/>
        <v>0</v>
      </c>
      <c r="V283" s="378">
        <f t="shared" si="219"/>
        <v>0</v>
      </c>
      <c r="W283" s="378">
        <f t="shared" si="219"/>
        <v>0</v>
      </c>
      <c r="X283" s="378">
        <f t="shared" si="219"/>
        <v>0</v>
      </c>
      <c r="Y283" s="378">
        <f t="shared" si="219"/>
        <v>0</v>
      </c>
      <c r="Z283" s="378">
        <f t="shared" si="219"/>
        <v>0</v>
      </c>
      <c r="AA283" s="378">
        <f t="shared" si="219"/>
        <v>0</v>
      </c>
      <c r="AB283" s="378">
        <f t="shared" si="219"/>
        <v>0</v>
      </c>
      <c r="AC283" s="378">
        <f t="shared" si="219"/>
        <v>0</v>
      </c>
      <c r="AD283" s="378"/>
      <c r="AE283" s="378"/>
      <c r="AF283" s="378"/>
      <c r="AG283" s="378"/>
      <c r="AH283" s="378"/>
      <c r="AI283" s="378"/>
      <c r="AJ283" s="378"/>
      <c r="AK283" s="378"/>
      <c r="AL283" s="378"/>
      <c r="AM283" s="378"/>
      <c r="AN283" s="378"/>
      <c r="AO283" s="378"/>
      <c r="AP283" s="378"/>
      <c r="AQ283" s="378"/>
      <c r="AR283" s="378"/>
      <c r="AS283" s="378"/>
      <c r="AT283" s="378"/>
      <c r="AU283" s="218"/>
      <c r="AV283" s="218"/>
      <c r="AW283" s="218"/>
      <c r="AX283" s="218"/>
      <c r="AY283" s="218"/>
      <c r="AZ283" s="218"/>
      <c r="BA283" s="218"/>
      <c r="BB283" s="218"/>
      <c r="BC283" s="218"/>
      <c r="BD283" s="218"/>
      <c r="BE283" s="218"/>
      <c r="BF283" s="218"/>
      <c r="BN283">
        <f t="shared" si="222"/>
        <v>1</v>
      </c>
      <c r="BO283">
        <f t="shared" si="223"/>
        <v>2</v>
      </c>
      <c r="BP283">
        <f t="shared" si="224"/>
        <v>3</v>
      </c>
      <c r="BQ283">
        <f t="shared" si="225"/>
        <v>4</v>
      </c>
      <c r="BR283">
        <f t="shared" si="226"/>
        <v>5</v>
      </c>
      <c r="BS283">
        <f t="shared" si="227"/>
        <v>6</v>
      </c>
      <c r="BT283">
        <f t="shared" si="228"/>
        <v>1</v>
      </c>
      <c r="BU283">
        <f t="shared" si="229"/>
        <v>2</v>
      </c>
      <c r="BV283">
        <f t="shared" si="230"/>
        <v>3</v>
      </c>
      <c r="BW283">
        <f t="shared" si="231"/>
        <v>4</v>
      </c>
      <c r="BX283">
        <f t="shared" si="232"/>
        <v>5</v>
      </c>
      <c r="BY283">
        <f t="shared" si="233"/>
        <v>6</v>
      </c>
      <c r="BZ283">
        <f t="shared" si="234"/>
        <v>1</v>
      </c>
      <c r="CA283">
        <f t="shared" si="235"/>
        <v>2</v>
      </c>
      <c r="CB283">
        <f t="shared" si="236"/>
        <v>3</v>
      </c>
      <c r="CC283">
        <f t="shared" si="237"/>
        <v>4</v>
      </c>
      <c r="CD283">
        <f t="shared" si="238"/>
        <v>5</v>
      </c>
      <c r="CE283">
        <f t="shared" si="239"/>
        <v>6</v>
      </c>
      <c r="CF283">
        <f t="shared" si="240"/>
        <v>1</v>
      </c>
      <c r="CG283">
        <f t="shared" si="241"/>
        <v>0</v>
      </c>
      <c r="CH283">
        <f t="shared" si="242"/>
        <v>0</v>
      </c>
      <c r="CI283">
        <f t="shared" si="243"/>
        <v>0</v>
      </c>
      <c r="CJ283">
        <f t="shared" si="244"/>
        <v>0</v>
      </c>
      <c r="CK283">
        <f t="shared" si="245"/>
        <v>0</v>
      </c>
      <c r="CL283">
        <f t="shared" si="246"/>
        <v>0</v>
      </c>
      <c r="CM283">
        <f t="shared" si="247"/>
        <v>0</v>
      </c>
      <c r="CN283">
        <f t="shared" si="248"/>
        <v>0</v>
      </c>
      <c r="CO283">
        <f t="shared" si="249"/>
        <v>0</v>
      </c>
      <c r="CP283">
        <f t="shared" si="250"/>
        <v>0</v>
      </c>
      <c r="CQ283">
        <f t="shared" si="251"/>
        <v>0</v>
      </c>
      <c r="CR283">
        <f t="shared" si="252"/>
        <v>0</v>
      </c>
      <c r="CS283">
        <f t="shared" si="253"/>
        <v>0</v>
      </c>
      <c r="CT283">
        <f t="shared" si="254"/>
        <v>0</v>
      </c>
    </row>
    <row r="284" spans="2:98">
      <c r="B284" s="168" t="str">
        <f t="shared" si="215"/>
        <v>Miscelleneous</v>
      </c>
      <c r="C284" s="165" t="str">
        <f t="shared" si="215"/>
        <v>Diesel hydraulic Shovel/ 3.4 cum</v>
      </c>
      <c r="D284" s="171" t="s">
        <v>896</v>
      </c>
      <c r="E284" s="436">
        <f t="shared" si="216"/>
        <v>0</v>
      </c>
      <c r="F284" s="174">
        <f>VLOOKUP(C284,Equipment!$C$5:$V$47,Equipment!O$1,FALSE)</f>
        <v>6</v>
      </c>
      <c r="G284" s="378">
        <f t="shared" si="221"/>
        <v>0</v>
      </c>
      <c r="H284" s="378">
        <f t="shared" si="217"/>
        <v>0</v>
      </c>
      <c r="I284" s="378">
        <f t="shared" si="217"/>
        <v>0</v>
      </c>
      <c r="J284" s="378">
        <f t="shared" si="217"/>
        <v>0</v>
      </c>
      <c r="K284" s="378">
        <f t="shared" si="218"/>
        <v>0</v>
      </c>
      <c r="L284" s="378">
        <f t="shared" si="218"/>
        <v>0</v>
      </c>
      <c r="M284" s="378">
        <f t="shared" si="218"/>
        <v>0</v>
      </c>
      <c r="N284" s="378">
        <f t="shared" si="218"/>
        <v>0</v>
      </c>
      <c r="O284" s="378">
        <f t="shared" si="218"/>
        <v>0</v>
      </c>
      <c r="P284" s="378">
        <f t="shared" si="218"/>
        <v>0</v>
      </c>
      <c r="Q284" s="378">
        <f t="shared" si="218"/>
        <v>0</v>
      </c>
      <c r="R284" s="378">
        <f t="shared" si="218"/>
        <v>0</v>
      </c>
      <c r="S284" s="378">
        <f t="shared" si="218"/>
        <v>0</v>
      </c>
      <c r="T284" s="378">
        <f t="shared" si="218"/>
        <v>0</v>
      </c>
      <c r="U284" s="378">
        <f t="shared" si="219"/>
        <v>0</v>
      </c>
      <c r="V284" s="378">
        <f t="shared" si="219"/>
        <v>0</v>
      </c>
      <c r="W284" s="378">
        <f t="shared" si="219"/>
        <v>0</v>
      </c>
      <c r="X284" s="378">
        <f t="shared" si="219"/>
        <v>0</v>
      </c>
      <c r="Y284" s="378">
        <f t="shared" si="219"/>
        <v>0</v>
      </c>
      <c r="Z284" s="378">
        <f t="shared" si="219"/>
        <v>0</v>
      </c>
      <c r="AA284" s="378">
        <f t="shared" si="219"/>
        <v>0</v>
      </c>
      <c r="AB284" s="378">
        <f t="shared" si="219"/>
        <v>0</v>
      </c>
      <c r="AC284" s="378">
        <f t="shared" si="219"/>
        <v>0</v>
      </c>
      <c r="AD284" s="378"/>
      <c r="AE284" s="378"/>
      <c r="AF284" s="378"/>
      <c r="AG284" s="378"/>
      <c r="AH284" s="378"/>
      <c r="AI284" s="378"/>
      <c r="AJ284" s="378"/>
      <c r="AK284" s="378"/>
      <c r="AL284" s="378"/>
      <c r="AM284" s="378"/>
      <c r="AN284" s="378"/>
      <c r="AO284" s="378"/>
      <c r="AP284" s="378"/>
      <c r="AQ284" s="378"/>
      <c r="AR284" s="378"/>
      <c r="AS284" s="378"/>
      <c r="AT284" s="378"/>
      <c r="AU284" s="218"/>
      <c r="AV284" s="218"/>
      <c r="AW284" s="218"/>
      <c r="AX284" s="218"/>
      <c r="AY284" s="218"/>
      <c r="AZ284" s="218"/>
      <c r="BA284" s="218"/>
      <c r="BB284" s="218"/>
      <c r="BC284" s="218"/>
      <c r="BD284" s="218"/>
      <c r="BE284" s="218"/>
      <c r="BF284" s="218"/>
      <c r="BN284">
        <f t="shared" si="222"/>
        <v>1</v>
      </c>
      <c r="BO284">
        <f t="shared" si="223"/>
        <v>2</v>
      </c>
      <c r="BP284">
        <f t="shared" si="224"/>
        <v>3</v>
      </c>
      <c r="BQ284">
        <f t="shared" si="225"/>
        <v>4</v>
      </c>
      <c r="BR284">
        <f t="shared" si="226"/>
        <v>5</v>
      </c>
      <c r="BS284">
        <f t="shared" si="227"/>
        <v>6</v>
      </c>
      <c r="BT284">
        <f t="shared" si="228"/>
        <v>1</v>
      </c>
      <c r="BU284">
        <f t="shared" si="229"/>
        <v>2</v>
      </c>
      <c r="BV284">
        <f t="shared" si="230"/>
        <v>3</v>
      </c>
      <c r="BW284">
        <f t="shared" si="231"/>
        <v>4</v>
      </c>
      <c r="BX284">
        <f t="shared" si="232"/>
        <v>5</v>
      </c>
      <c r="BY284">
        <f t="shared" si="233"/>
        <v>6</v>
      </c>
      <c r="BZ284">
        <f t="shared" si="234"/>
        <v>1</v>
      </c>
      <c r="CA284">
        <f t="shared" si="235"/>
        <v>2</v>
      </c>
      <c r="CB284">
        <f t="shared" si="236"/>
        <v>3</v>
      </c>
      <c r="CC284">
        <f t="shared" si="237"/>
        <v>4</v>
      </c>
      <c r="CD284">
        <f t="shared" si="238"/>
        <v>5</v>
      </c>
      <c r="CE284">
        <f t="shared" si="239"/>
        <v>6</v>
      </c>
      <c r="CF284">
        <f t="shared" si="240"/>
        <v>1</v>
      </c>
      <c r="CG284">
        <f t="shared" si="241"/>
        <v>0</v>
      </c>
      <c r="CH284">
        <f t="shared" si="242"/>
        <v>0</v>
      </c>
      <c r="CI284">
        <f t="shared" si="243"/>
        <v>0</v>
      </c>
      <c r="CJ284">
        <f t="shared" si="244"/>
        <v>0</v>
      </c>
      <c r="CK284">
        <f t="shared" si="245"/>
        <v>0</v>
      </c>
      <c r="CL284">
        <f t="shared" si="246"/>
        <v>0</v>
      </c>
      <c r="CM284">
        <f t="shared" si="247"/>
        <v>0</v>
      </c>
      <c r="CN284">
        <f t="shared" si="248"/>
        <v>0</v>
      </c>
      <c r="CO284">
        <f t="shared" si="249"/>
        <v>0</v>
      </c>
      <c r="CP284">
        <f t="shared" si="250"/>
        <v>0</v>
      </c>
      <c r="CQ284">
        <f t="shared" si="251"/>
        <v>0</v>
      </c>
      <c r="CR284">
        <f t="shared" si="252"/>
        <v>0</v>
      </c>
      <c r="CS284">
        <f t="shared" si="253"/>
        <v>0</v>
      </c>
      <c r="CT284">
        <f t="shared" si="254"/>
        <v>0</v>
      </c>
    </row>
    <row r="285" spans="2:98">
      <c r="B285" s="168" t="str">
        <f t="shared" si="215"/>
        <v>Coal/Ore</v>
      </c>
      <c r="C285" s="165" t="str">
        <f t="shared" si="215"/>
        <v>Surface Miner/ 2200 SM</v>
      </c>
      <c r="D285" s="171" t="s">
        <v>896</v>
      </c>
      <c r="E285" s="436">
        <f t="shared" si="216"/>
        <v>9</v>
      </c>
      <c r="F285" s="174">
        <f>VLOOKUP(C285,Equipment!$C$5:$V$47,Equipment!O$1,FALSE)</f>
        <v>5</v>
      </c>
      <c r="G285" s="378">
        <f t="shared" si="221"/>
        <v>0</v>
      </c>
      <c r="H285" s="378">
        <f t="shared" si="217"/>
        <v>0</v>
      </c>
      <c r="I285" s="378">
        <f t="shared" si="217"/>
        <v>0</v>
      </c>
      <c r="J285" s="378">
        <f t="shared" si="217"/>
        <v>0</v>
      </c>
      <c r="K285" s="378">
        <f t="shared" si="218"/>
        <v>0</v>
      </c>
      <c r="L285" s="378">
        <f t="shared" si="218"/>
        <v>0</v>
      </c>
      <c r="M285" s="378">
        <f t="shared" si="218"/>
        <v>0</v>
      </c>
      <c r="N285" s="378">
        <f t="shared" si="218"/>
        <v>0</v>
      </c>
      <c r="O285" s="378">
        <f t="shared" si="218"/>
        <v>0</v>
      </c>
      <c r="P285" s="378">
        <f t="shared" si="218"/>
        <v>0</v>
      </c>
      <c r="Q285" s="378">
        <f t="shared" si="218"/>
        <v>0</v>
      </c>
      <c r="R285" s="378">
        <f t="shared" si="218"/>
        <v>2</v>
      </c>
      <c r="S285" s="378">
        <f t="shared" si="218"/>
        <v>1</v>
      </c>
      <c r="T285" s="378">
        <f t="shared" si="218"/>
        <v>0</v>
      </c>
      <c r="U285" s="378">
        <f t="shared" si="219"/>
        <v>0</v>
      </c>
      <c r="V285" s="378">
        <f t="shared" si="219"/>
        <v>0</v>
      </c>
      <c r="W285" s="378">
        <f t="shared" si="219"/>
        <v>2</v>
      </c>
      <c r="X285" s="378">
        <f t="shared" si="219"/>
        <v>1</v>
      </c>
      <c r="Y285" s="378">
        <f t="shared" si="219"/>
        <v>0</v>
      </c>
      <c r="Z285" s="378">
        <f t="shared" si="219"/>
        <v>0</v>
      </c>
      <c r="AA285" s="378">
        <f t="shared" si="219"/>
        <v>0</v>
      </c>
      <c r="AB285" s="378">
        <f t="shared" si="219"/>
        <v>2</v>
      </c>
      <c r="AC285" s="378">
        <f t="shared" si="219"/>
        <v>1</v>
      </c>
      <c r="AD285" s="378"/>
      <c r="AE285" s="378"/>
      <c r="AF285" s="378"/>
      <c r="AG285" s="378"/>
      <c r="AH285" s="378"/>
      <c r="AI285" s="378"/>
      <c r="AJ285" s="378"/>
      <c r="AK285" s="378"/>
      <c r="AL285" s="378"/>
      <c r="AM285" s="378"/>
      <c r="AN285" s="378"/>
      <c r="AO285" s="378"/>
      <c r="AP285" s="378"/>
      <c r="AQ285" s="378"/>
      <c r="AR285" s="378"/>
      <c r="AS285" s="378"/>
      <c r="AT285" s="378"/>
      <c r="AU285" s="218"/>
      <c r="AV285" s="218"/>
      <c r="AW285" s="218"/>
      <c r="AX285" s="218"/>
      <c r="AY285" s="218"/>
      <c r="AZ285" s="218"/>
      <c r="BA285" s="218"/>
      <c r="BB285" s="218"/>
      <c r="BC285" s="218"/>
      <c r="BD285" s="218"/>
      <c r="BE285" s="218"/>
      <c r="BF285" s="218"/>
      <c r="BN285">
        <f t="shared" si="222"/>
        <v>1</v>
      </c>
      <c r="BO285">
        <f t="shared" si="223"/>
        <v>2</v>
      </c>
      <c r="BP285">
        <f t="shared" si="224"/>
        <v>3</v>
      </c>
      <c r="BQ285">
        <f t="shared" si="225"/>
        <v>4</v>
      </c>
      <c r="BR285">
        <f t="shared" si="226"/>
        <v>5</v>
      </c>
      <c r="BS285">
        <f t="shared" si="227"/>
        <v>1</v>
      </c>
      <c r="BT285">
        <f t="shared" si="228"/>
        <v>2</v>
      </c>
      <c r="BU285">
        <f t="shared" si="229"/>
        <v>3</v>
      </c>
      <c r="BV285">
        <f t="shared" si="230"/>
        <v>4</v>
      </c>
      <c r="BW285">
        <f t="shared" si="231"/>
        <v>5</v>
      </c>
      <c r="BX285">
        <f t="shared" si="232"/>
        <v>1</v>
      </c>
      <c r="BY285">
        <f t="shared" si="233"/>
        <v>2</v>
      </c>
      <c r="BZ285">
        <f t="shared" si="234"/>
        <v>3</v>
      </c>
      <c r="CA285">
        <f t="shared" si="235"/>
        <v>4</v>
      </c>
      <c r="CB285">
        <f t="shared" si="236"/>
        <v>5</v>
      </c>
      <c r="CC285">
        <f t="shared" si="237"/>
        <v>1</v>
      </c>
      <c r="CD285">
        <f t="shared" si="238"/>
        <v>2</v>
      </c>
      <c r="CE285">
        <f t="shared" si="239"/>
        <v>3</v>
      </c>
      <c r="CF285">
        <f t="shared" si="240"/>
        <v>4</v>
      </c>
      <c r="CG285">
        <f t="shared" si="241"/>
        <v>0</v>
      </c>
      <c r="CH285">
        <f t="shared" si="242"/>
        <v>0</v>
      </c>
      <c r="CI285">
        <f t="shared" si="243"/>
        <v>0</v>
      </c>
      <c r="CJ285">
        <f t="shared" si="244"/>
        <v>0</v>
      </c>
      <c r="CK285">
        <f t="shared" si="245"/>
        <v>0</v>
      </c>
      <c r="CL285">
        <f t="shared" si="246"/>
        <v>0</v>
      </c>
      <c r="CM285">
        <f t="shared" si="247"/>
        <v>0</v>
      </c>
      <c r="CN285">
        <f t="shared" si="248"/>
        <v>0</v>
      </c>
      <c r="CO285">
        <f t="shared" si="249"/>
        <v>0</v>
      </c>
      <c r="CP285">
        <f t="shared" si="250"/>
        <v>0</v>
      </c>
      <c r="CQ285">
        <f t="shared" si="251"/>
        <v>0</v>
      </c>
      <c r="CR285">
        <f t="shared" si="252"/>
        <v>0</v>
      </c>
      <c r="CS285">
        <f t="shared" si="253"/>
        <v>0</v>
      </c>
      <c r="CT285">
        <f t="shared" si="254"/>
        <v>0</v>
      </c>
    </row>
    <row r="286" spans="2:98">
      <c r="B286" s="168" t="str">
        <f t="shared" si="215"/>
        <v>With SM/Ripper</v>
      </c>
      <c r="C286" s="165" t="str">
        <f t="shared" si="215"/>
        <v>Front End Loader/ 6.4 cum</v>
      </c>
      <c r="D286" s="171" t="s">
        <v>896</v>
      </c>
      <c r="E286" s="436">
        <f t="shared" si="216"/>
        <v>11</v>
      </c>
      <c r="F286" s="174">
        <f>VLOOKUP(C286,Equipment!$C$5:$V$47,Equipment!O$1,FALSE)</f>
        <v>5</v>
      </c>
      <c r="G286" s="378">
        <f t="shared" si="221"/>
        <v>0</v>
      </c>
      <c r="H286" s="378">
        <f t="shared" si="217"/>
        <v>0</v>
      </c>
      <c r="I286" s="378">
        <f t="shared" si="217"/>
        <v>0</v>
      </c>
      <c r="J286" s="378">
        <f t="shared" si="217"/>
        <v>0</v>
      </c>
      <c r="K286" s="378">
        <f t="shared" si="218"/>
        <v>0</v>
      </c>
      <c r="L286" s="378">
        <f t="shared" si="218"/>
        <v>0</v>
      </c>
      <c r="M286" s="378">
        <f t="shared" si="218"/>
        <v>0</v>
      </c>
      <c r="N286" s="378">
        <f t="shared" si="218"/>
        <v>0</v>
      </c>
      <c r="O286" s="378">
        <f t="shared" si="218"/>
        <v>0</v>
      </c>
      <c r="P286" s="378">
        <f t="shared" si="218"/>
        <v>0</v>
      </c>
      <c r="Q286" s="378">
        <f t="shared" si="218"/>
        <v>0</v>
      </c>
      <c r="R286" s="378">
        <f t="shared" si="218"/>
        <v>2</v>
      </c>
      <c r="S286" s="378">
        <f t="shared" si="218"/>
        <v>1</v>
      </c>
      <c r="T286" s="378">
        <f t="shared" si="218"/>
        <v>1</v>
      </c>
      <c r="U286" s="378">
        <f t="shared" si="219"/>
        <v>0</v>
      </c>
      <c r="V286" s="378">
        <f t="shared" si="219"/>
        <v>0</v>
      </c>
      <c r="W286" s="378">
        <f t="shared" si="219"/>
        <v>2</v>
      </c>
      <c r="X286" s="378">
        <f t="shared" si="219"/>
        <v>1</v>
      </c>
      <c r="Y286" s="378">
        <f t="shared" si="219"/>
        <v>1</v>
      </c>
      <c r="Z286" s="378">
        <f t="shared" si="219"/>
        <v>0</v>
      </c>
      <c r="AA286" s="378">
        <f t="shared" si="219"/>
        <v>0</v>
      </c>
      <c r="AB286" s="378">
        <f t="shared" si="219"/>
        <v>2</v>
      </c>
      <c r="AC286" s="378">
        <f t="shared" si="219"/>
        <v>1</v>
      </c>
      <c r="AD286" s="378"/>
      <c r="AE286" s="378"/>
      <c r="AF286" s="378"/>
      <c r="AG286" s="378"/>
      <c r="AH286" s="378"/>
      <c r="AI286" s="378"/>
      <c r="AJ286" s="378"/>
      <c r="AK286" s="378"/>
      <c r="AL286" s="378"/>
      <c r="AM286" s="378"/>
      <c r="AN286" s="378"/>
      <c r="AO286" s="378"/>
      <c r="AP286" s="378"/>
      <c r="AQ286" s="378"/>
      <c r="AR286" s="378"/>
      <c r="AS286" s="378"/>
      <c r="AT286" s="378"/>
      <c r="AU286" s="218"/>
      <c r="AV286" s="218"/>
      <c r="AW286" s="218"/>
      <c r="AX286" s="218"/>
      <c r="AY286" s="218"/>
      <c r="AZ286" s="218"/>
      <c r="BA286" s="218"/>
      <c r="BB286" s="218"/>
      <c r="BC286" s="218"/>
      <c r="BD286" s="218"/>
      <c r="BE286" s="218"/>
      <c r="BF286" s="218"/>
      <c r="BN286">
        <f t="shared" si="222"/>
        <v>1</v>
      </c>
      <c r="BO286">
        <f t="shared" si="223"/>
        <v>2</v>
      </c>
      <c r="BP286">
        <f t="shared" si="224"/>
        <v>3</v>
      </c>
      <c r="BQ286">
        <f t="shared" si="225"/>
        <v>4</v>
      </c>
      <c r="BR286">
        <f t="shared" si="226"/>
        <v>5</v>
      </c>
      <c r="BS286">
        <f t="shared" si="227"/>
        <v>1</v>
      </c>
      <c r="BT286">
        <f t="shared" si="228"/>
        <v>2</v>
      </c>
      <c r="BU286">
        <f t="shared" si="229"/>
        <v>3</v>
      </c>
      <c r="BV286">
        <f t="shared" si="230"/>
        <v>4</v>
      </c>
      <c r="BW286">
        <f t="shared" si="231"/>
        <v>5</v>
      </c>
      <c r="BX286">
        <f t="shared" si="232"/>
        <v>1</v>
      </c>
      <c r="BY286">
        <f t="shared" si="233"/>
        <v>2</v>
      </c>
      <c r="BZ286">
        <f t="shared" si="234"/>
        <v>3</v>
      </c>
      <c r="CA286">
        <f t="shared" si="235"/>
        <v>4</v>
      </c>
      <c r="CB286">
        <f t="shared" si="236"/>
        <v>5</v>
      </c>
      <c r="CC286">
        <f t="shared" si="237"/>
        <v>1</v>
      </c>
      <c r="CD286">
        <f t="shared" si="238"/>
        <v>2</v>
      </c>
      <c r="CE286">
        <f t="shared" si="239"/>
        <v>3</v>
      </c>
      <c r="CF286">
        <f t="shared" si="240"/>
        <v>4</v>
      </c>
      <c r="CG286">
        <f t="shared" si="241"/>
        <v>0</v>
      </c>
      <c r="CH286">
        <f t="shared" si="242"/>
        <v>0</v>
      </c>
      <c r="CI286">
        <f t="shared" si="243"/>
        <v>0</v>
      </c>
      <c r="CJ286">
        <f t="shared" si="244"/>
        <v>0</v>
      </c>
      <c r="CK286">
        <f t="shared" si="245"/>
        <v>0</v>
      </c>
      <c r="CL286">
        <f t="shared" si="246"/>
        <v>0</v>
      </c>
      <c r="CM286">
        <f t="shared" si="247"/>
        <v>0</v>
      </c>
      <c r="CN286">
        <f t="shared" si="248"/>
        <v>0</v>
      </c>
      <c r="CO286">
        <f t="shared" si="249"/>
        <v>0</v>
      </c>
      <c r="CP286">
        <f t="shared" si="250"/>
        <v>0</v>
      </c>
      <c r="CQ286">
        <f t="shared" si="251"/>
        <v>0</v>
      </c>
      <c r="CR286">
        <f t="shared" si="252"/>
        <v>0</v>
      </c>
      <c r="CS286">
        <f t="shared" si="253"/>
        <v>0</v>
      </c>
      <c r="CT286">
        <f t="shared" si="254"/>
        <v>0</v>
      </c>
    </row>
    <row r="287" spans="2:98">
      <c r="B287" s="168" t="str">
        <f t="shared" si="215"/>
        <v>Miscelleneous</v>
      </c>
      <c r="C287" s="165" t="str">
        <f t="shared" si="215"/>
        <v>Front End Loader/ 1.7cum</v>
      </c>
      <c r="D287" s="171" t="s">
        <v>896</v>
      </c>
      <c r="E287" s="436">
        <f t="shared" si="216"/>
        <v>0</v>
      </c>
      <c r="F287" s="174">
        <f>VLOOKUP(C287,Equipment!$C$5:$V$47,Equipment!O$1,FALSE)</f>
        <v>9</v>
      </c>
      <c r="G287" s="378">
        <f t="shared" si="221"/>
        <v>0</v>
      </c>
      <c r="H287" s="378">
        <f t="shared" si="217"/>
        <v>0</v>
      </c>
      <c r="I287" s="378">
        <f t="shared" si="217"/>
        <v>0</v>
      </c>
      <c r="J287" s="378">
        <f t="shared" si="217"/>
        <v>0</v>
      </c>
      <c r="K287" s="378">
        <f t="shared" ref="K287:T296" si="255">IFERROR(IF(K$276&lt;=$F287,0,INDEX($G$183:$AO$224,MATCH($C287,$C$183:$C$224,0),MATCH(MOD(K$276-$F287-1,$F287)+1,$G$182:$AO$182,0))),0)</f>
        <v>0</v>
      </c>
      <c r="L287" s="378">
        <f t="shared" si="255"/>
        <v>0</v>
      </c>
      <c r="M287" s="378">
        <f t="shared" si="255"/>
        <v>0</v>
      </c>
      <c r="N287" s="378">
        <f t="shared" si="255"/>
        <v>0</v>
      </c>
      <c r="O287" s="378">
        <f t="shared" si="255"/>
        <v>0</v>
      </c>
      <c r="P287" s="378">
        <f t="shared" si="255"/>
        <v>0</v>
      </c>
      <c r="Q287" s="378">
        <f t="shared" si="255"/>
        <v>0</v>
      </c>
      <c r="R287" s="378">
        <f t="shared" si="255"/>
        <v>0</v>
      </c>
      <c r="S287" s="378">
        <f t="shared" si="255"/>
        <v>0</v>
      </c>
      <c r="T287" s="378">
        <f t="shared" si="255"/>
        <v>0</v>
      </c>
      <c r="U287" s="378">
        <f t="shared" ref="U287:AC296" si="256">IFERROR(IF(U$276&lt;=$F287,0,INDEX($G$183:$AO$224,MATCH($C287,$C$183:$C$224,0),MATCH(MOD(U$276-$F287-1,$F287)+1,$G$182:$AO$182,0))),0)</f>
        <v>0</v>
      </c>
      <c r="V287" s="378">
        <f t="shared" si="256"/>
        <v>0</v>
      </c>
      <c r="W287" s="378">
        <f t="shared" si="256"/>
        <v>0</v>
      </c>
      <c r="X287" s="378">
        <f t="shared" si="256"/>
        <v>0</v>
      </c>
      <c r="Y287" s="378">
        <f t="shared" si="256"/>
        <v>0</v>
      </c>
      <c r="Z287" s="378">
        <f t="shared" si="256"/>
        <v>0</v>
      </c>
      <c r="AA287" s="378">
        <f t="shared" si="256"/>
        <v>0</v>
      </c>
      <c r="AB287" s="378">
        <f t="shared" si="256"/>
        <v>0</v>
      </c>
      <c r="AC287" s="378">
        <f t="shared" si="256"/>
        <v>0</v>
      </c>
      <c r="AD287" s="378"/>
      <c r="AE287" s="378"/>
      <c r="AF287" s="378"/>
      <c r="AG287" s="378"/>
      <c r="AH287" s="378"/>
      <c r="AI287" s="378"/>
      <c r="AJ287" s="378"/>
      <c r="AK287" s="378"/>
      <c r="AL287" s="378"/>
      <c r="AM287" s="378"/>
      <c r="AN287" s="378"/>
      <c r="AO287" s="378"/>
      <c r="AP287" s="378"/>
      <c r="AQ287" s="378"/>
      <c r="AR287" s="378"/>
      <c r="AS287" s="378"/>
      <c r="AT287" s="378"/>
      <c r="AU287" s="218"/>
      <c r="AV287" s="218"/>
      <c r="AW287" s="218"/>
      <c r="AX287" s="218"/>
      <c r="AY287" s="218"/>
      <c r="AZ287" s="218"/>
      <c r="BA287" s="218"/>
      <c r="BB287" s="218"/>
      <c r="BC287" s="218"/>
      <c r="BD287" s="218"/>
      <c r="BE287" s="218"/>
      <c r="BF287" s="218"/>
      <c r="BN287">
        <f t="shared" si="222"/>
        <v>1</v>
      </c>
      <c r="BO287">
        <f t="shared" si="223"/>
        <v>2</v>
      </c>
      <c r="BP287">
        <f t="shared" si="224"/>
        <v>3</v>
      </c>
      <c r="BQ287">
        <f t="shared" si="225"/>
        <v>4</v>
      </c>
      <c r="BR287">
        <f t="shared" si="226"/>
        <v>5</v>
      </c>
      <c r="BS287">
        <f t="shared" si="227"/>
        <v>6</v>
      </c>
      <c r="BT287">
        <f t="shared" si="228"/>
        <v>7</v>
      </c>
      <c r="BU287">
        <f t="shared" si="229"/>
        <v>8</v>
      </c>
      <c r="BV287">
        <f t="shared" si="230"/>
        <v>9</v>
      </c>
      <c r="BW287">
        <f t="shared" si="231"/>
        <v>1</v>
      </c>
      <c r="BX287">
        <f t="shared" si="232"/>
        <v>2</v>
      </c>
      <c r="BY287">
        <f t="shared" si="233"/>
        <v>3</v>
      </c>
      <c r="BZ287">
        <f t="shared" si="234"/>
        <v>4</v>
      </c>
      <c r="CA287">
        <f t="shared" si="235"/>
        <v>5</v>
      </c>
      <c r="CB287">
        <f t="shared" si="236"/>
        <v>6</v>
      </c>
      <c r="CC287">
        <f t="shared" si="237"/>
        <v>7</v>
      </c>
      <c r="CD287">
        <f t="shared" si="238"/>
        <v>8</v>
      </c>
      <c r="CE287">
        <f t="shared" si="239"/>
        <v>9</v>
      </c>
      <c r="CF287">
        <f t="shared" si="240"/>
        <v>1</v>
      </c>
      <c r="CG287">
        <f t="shared" si="241"/>
        <v>0</v>
      </c>
      <c r="CH287">
        <f t="shared" si="242"/>
        <v>0</v>
      </c>
      <c r="CI287">
        <f t="shared" si="243"/>
        <v>0</v>
      </c>
      <c r="CJ287">
        <f t="shared" si="244"/>
        <v>0</v>
      </c>
      <c r="CK287">
        <f t="shared" si="245"/>
        <v>0</v>
      </c>
      <c r="CL287">
        <f t="shared" si="246"/>
        <v>0</v>
      </c>
      <c r="CM287">
        <f t="shared" si="247"/>
        <v>0</v>
      </c>
      <c r="CN287">
        <f t="shared" si="248"/>
        <v>0</v>
      </c>
      <c r="CO287">
        <f t="shared" si="249"/>
        <v>0</v>
      </c>
      <c r="CP287">
        <f t="shared" si="250"/>
        <v>0</v>
      </c>
      <c r="CQ287">
        <f t="shared" si="251"/>
        <v>0</v>
      </c>
      <c r="CR287">
        <f t="shared" si="252"/>
        <v>0</v>
      </c>
      <c r="CS287">
        <f t="shared" si="253"/>
        <v>0</v>
      </c>
      <c r="CT287">
        <f t="shared" si="254"/>
        <v>0</v>
      </c>
    </row>
    <row r="288" spans="2:98">
      <c r="B288" s="168" t="str">
        <f t="shared" si="215"/>
        <v>Topsoil</v>
      </c>
      <c r="C288" s="165" t="str">
        <f t="shared" si="215"/>
        <v>Tipper/ 20t</v>
      </c>
      <c r="D288" s="171" t="s">
        <v>896</v>
      </c>
      <c r="E288" s="436">
        <f t="shared" si="216"/>
        <v>0</v>
      </c>
      <c r="F288" s="174">
        <f>VLOOKUP(C288,Equipment!$C$5:$V$47,Equipment!O$1,FALSE)</f>
        <v>6</v>
      </c>
      <c r="G288" s="378">
        <f t="shared" si="221"/>
        <v>0</v>
      </c>
      <c r="H288" s="378">
        <f t="shared" si="217"/>
        <v>0</v>
      </c>
      <c r="I288" s="378">
        <f t="shared" si="217"/>
        <v>0</v>
      </c>
      <c r="J288" s="378">
        <f t="shared" si="217"/>
        <v>0</v>
      </c>
      <c r="K288" s="378">
        <f t="shared" si="255"/>
        <v>0</v>
      </c>
      <c r="L288" s="378">
        <f t="shared" si="255"/>
        <v>0</v>
      </c>
      <c r="M288" s="378">
        <f t="shared" si="255"/>
        <v>0</v>
      </c>
      <c r="N288" s="378">
        <f t="shared" si="255"/>
        <v>0</v>
      </c>
      <c r="O288" s="378">
        <f t="shared" si="255"/>
        <v>0</v>
      </c>
      <c r="P288" s="378">
        <f t="shared" si="255"/>
        <v>0</v>
      </c>
      <c r="Q288" s="378">
        <f t="shared" si="255"/>
        <v>0</v>
      </c>
      <c r="R288" s="378">
        <f t="shared" si="255"/>
        <v>0</v>
      </c>
      <c r="S288" s="378">
        <f t="shared" si="255"/>
        <v>0</v>
      </c>
      <c r="T288" s="378">
        <f t="shared" si="255"/>
        <v>0</v>
      </c>
      <c r="U288" s="378">
        <f t="shared" si="256"/>
        <v>0</v>
      </c>
      <c r="V288" s="378">
        <f t="shared" si="256"/>
        <v>0</v>
      </c>
      <c r="W288" s="378">
        <f t="shared" si="256"/>
        <v>0</v>
      </c>
      <c r="X288" s="378">
        <f t="shared" si="256"/>
        <v>0</v>
      </c>
      <c r="Y288" s="378">
        <f t="shared" si="256"/>
        <v>0</v>
      </c>
      <c r="Z288" s="378">
        <f t="shared" si="256"/>
        <v>0</v>
      </c>
      <c r="AA288" s="378">
        <f t="shared" si="256"/>
        <v>0</v>
      </c>
      <c r="AB288" s="378">
        <f t="shared" si="256"/>
        <v>0</v>
      </c>
      <c r="AC288" s="378">
        <f t="shared" si="256"/>
        <v>0</v>
      </c>
      <c r="AD288" s="378"/>
      <c r="AE288" s="378"/>
      <c r="AF288" s="378"/>
      <c r="AG288" s="378"/>
      <c r="AH288" s="378"/>
      <c r="AI288" s="378"/>
      <c r="AJ288" s="378"/>
      <c r="AK288" s="378"/>
      <c r="AL288" s="378"/>
      <c r="AM288" s="378"/>
      <c r="AN288" s="378"/>
      <c r="AO288" s="378"/>
      <c r="AP288" s="378"/>
      <c r="AQ288" s="378"/>
      <c r="AR288" s="378"/>
      <c r="AS288" s="378"/>
      <c r="AT288" s="378"/>
      <c r="AU288" s="218"/>
      <c r="AV288" s="218"/>
      <c r="AW288" s="218"/>
      <c r="AX288" s="218"/>
      <c r="AY288" s="218"/>
      <c r="AZ288" s="218"/>
      <c r="BA288" s="218"/>
      <c r="BB288" s="218"/>
      <c r="BC288" s="218"/>
      <c r="BD288" s="218"/>
      <c r="BE288" s="218"/>
      <c r="BF288" s="218"/>
      <c r="BN288">
        <f t="shared" si="222"/>
        <v>1</v>
      </c>
      <c r="BO288">
        <f t="shared" si="223"/>
        <v>2</v>
      </c>
      <c r="BP288">
        <f t="shared" si="224"/>
        <v>3</v>
      </c>
      <c r="BQ288">
        <f t="shared" si="225"/>
        <v>4</v>
      </c>
      <c r="BR288">
        <f t="shared" si="226"/>
        <v>5</v>
      </c>
      <c r="BS288">
        <f t="shared" si="227"/>
        <v>6</v>
      </c>
      <c r="BT288">
        <f t="shared" si="228"/>
        <v>1</v>
      </c>
      <c r="BU288">
        <f t="shared" si="229"/>
        <v>2</v>
      </c>
      <c r="BV288">
        <f t="shared" si="230"/>
        <v>3</v>
      </c>
      <c r="BW288">
        <f t="shared" si="231"/>
        <v>4</v>
      </c>
      <c r="BX288">
        <f t="shared" si="232"/>
        <v>5</v>
      </c>
      <c r="BY288">
        <f t="shared" si="233"/>
        <v>6</v>
      </c>
      <c r="BZ288">
        <f t="shared" si="234"/>
        <v>1</v>
      </c>
      <c r="CA288">
        <f t="shared" si="235"/>
        <v>2</v>
      </c>
      <c r="CB288">
        <f t="shared" si="236"/>
        <v>3</v>
      </c>
      <c r="CC288">
        <f t="shared" si="237"/>
        <v>4</v>
      </c>
      <c r="CD288">
        <f t="shared" si="238"/>
        <v>5</v>
      </c>
      <c r="CE288">
        <f t="shared" si="239"/>
        <v>6</v>
      </c>
      <c r="CF288">
        <f t="shared" si="240"/>
        <v>1</v>
      </c>
      <c r="CG288">
        <f t="shared" si="241"/>
        <v>0</v>
      </c>
      <c r="CH288">
        <f t="shared" si="242"/>
        <v>0</v>
      </c>
      <c r="CI288">
        <f t="shared" si="243"/>
        <v>0</v>
      </c>
      <c r="CJ288">
        <f t="shared" si="244"/>
        <v>0</v>
      </c>
      <c r="CK288">
        <f t="shared" si="245"/>
        <v>0</v>
      </c>
      <c r="CL288">
        <f t="shared" si="246"/>
        <v>0</v>
      </c>
      <c r="CM288">
        <f t="shared" si="247"/>
        <v>0</v>
      </c>
      <c r="CN288">
        <f t="shared" si="248"/>
        <v>0</v>
      </c>
      <c r="CO288">
        <f t="shared" si="249"/>
        <v>0</v>
      </c>
      <c r="CP288">
        <f t="shared" si="250"/>
        <v>0</v>
      </c>
      <c r="CQ288">
        <f t="shared" si="251"/>
        <v>0</v>
      </c>
      <c r="CR288">
        <f t="shared" si="252"/>
        <v>0</v>
      </c>
      <c r="CS288">
        <f t="shared" si="253"/>
        <v>0</v>
      </c>
      <c r="CT288">
        <f t="shared" si="254"/>
        <v>0</v>
      </c>
    </row>
    <row r="289" spans="2:98">
      <c r="B289" s="168" t="str">
        <f t="shared" si="215"/>
        <v>Thin  Parting + Rehandling</v>
      </c>
      <c r="C289" s="165" t="str">
        <f t="shared" si="215"/>
        <v>Tipper/ 35t</v>
      </c>
      <c r="D289" s="171" t="s">
        <v>896</v>
      </c>
      <c r="E289" s="436">
        <f t="shared" si="216"/>
        <v>46</v>
      </c>
      <c r="F289" s="174">
        <f>VLOOKUP(C289,Equipment!$C$5:$V$47,Equipment!O$1,FALSE)</f>
        <v>6</v>
      </c>
      <c r="G289" s="378">
        <f t="shared" si="221"/>
        <v>0</v>
      </c>
      <c r="H289" s="378">
        <f t="shared" si="217"/>
        <v>0</v>
      </c>
      <c r="I289" s="378">
        <f t="shared" si="217"/>
        <v>0</v>
      </c>
      <c r="J289" s="378">
        <f t="shared" si="217"/>
        <v>0</v>
      </c>
      <c r="K289" s="378">
        <f t="shared" si="255"/>
        <v>0</v>
      </c>
      <c r="L289" s="378">
        <f t="shared" si="255"/>
        <v>0</v>
      </c>
      <c r="M289" s="378">
        <f t="shared" si="255"/>
        <v>0</v>
      </c>
      <c r="N289" s="378">
        <f t="shared" si="255"/>
        <v>0</v>
      </c>
      <c r="O289" s="378">
        <f t="shared" si="255"/>
        <v>0</v>
      </c>
      <c r="P289" s="378">
        <f t="shared" si="255"/>
        <v>0</v>
      </c>
      <c r="Q289" s="378">
        <f t="shared" si="255"/>
        <v>0</v>
      </c>
      <c r="R289" s="378">
        <f t="shared" si="255"/>
        <v>0</v>
      </c>
      <c r="S289" s="378">
        <f t="shared" si="255"/>
        <v>0</v>
      </c>
      <c r="T289" s="378">
        <f t="shared" si="255"/>
        <v>13</v>
      </c>
      <c r="U289" s="378">
        <f t="shared" si="256"/>
        <v>1</v>
      </c>
      <c r="V289" s="378">
        <f t="shared" si="256"/>
        <v>9</v>
      </c>
      <c r="W289" s="378">
        <f t="shared" si="256"/>
        <v>0</v>
      </c>
      <c r="X289" s="378">
        <f t="shared" si="256"/>
        <v>0</v>
      </c>
      <c r="Y289" s="378">
        <f t="shared" si="256"/>
        <v>0</v>
      </c>
      <c r="Z289" s="378">
        <f t="shared" si="256"/>
        <v>13</v>
      </c>
      <c r="AA289" s="378">
        <f t="shared" si="256"/>
        <v>1</v>
      </c>
      <c r="AB289" s="378">
        <f t="shared" si="256"/>
        <v>9</v>
      </c>
      <c r="AC289" s="378">
        <f t="shared" si="256"/>
        <v>0</v>
      </c>
      <c r="AD289" s="378"/>
      <c r="AE289" s="378"/>
      <c r="AF289" s="378"/>
      <c r="AG289" s="378"/>
      <c r="AH289" s="378"/>
      <c r="AI289" s="378"/>
      <c r="AJ289" s="378"/>
      <c r="AK289" s="378"/>
      <c r="AL289" s="378"/>
      <c r="AM289" s="378"/>
      <c r="AN289" s="378"/>
      <c r="AO289" s="378"/>
      <c r="AP289" s="378"/>
      <c r="AQ289" s="378"/>
      <c r="AR289" s="378"/>
      <c r="AS289" s="378"/>
      <c r="AT289" s="378"/>
      <c r="AU289" s="218"/>
      <c r="AV289" s="218"/>
      <c r="AW289" s="218"/>
      <c r="AX289" s="218"/>
      <c r="AY289" s="218"/>
      <c r="AZ289" s="218"/>
      <c r="BA289" s="218"/>
      <c r="BB289" s="218"/>
      <c r="BC289" s="218"/>
      <c r="BD289" s="218"/>
      <c r="BE289" s="218"/>
      <c r="BF289" s="218"/>
      <c r="BN289">
        <f t="shared" si="222"/>
        <v>1</v>
      </c>
      <c r="BO289">
        <f t="shared" si="223"/>
        <v>2</v>
      </c>
      <c r="BP289">
        <f t="shared" si="224"/>
        <v>3</v>
      </c>
      <c r="BQ289">
        <f t="shared" si="225"/>
        <v>4</v>
      </c>
      <c r="BR289">
        <f t="shared" si="226"/>
        <v>5</v>
      </c>
      <c r="BS289">
        <f t="shared" si="227"/>
        <v>6</v>
      </c>
      <c r="BT289">
        <f t="shared" si="228"/>
        <v>1</v>
      </c>
      <c r="BU289">
        <f t="shared" si="229"/>
        <v>2</v>
      </c>
      <c r="BV289">
        <f t="shared" si="230"/>
        <v>3</v>
      </c>
      <c r="BW289">
        <f t="shared" si="231"/>
        <v>4</v>
      </c>
      <c r="BX289">
        <f t="shared" si="232"/>
        <v>5</v>
      </c>
      <c r="BY289">
        <f t="shared" si="233"/>
        <v>6</v>
      </c>
      <c r="BZ289">
        <f t="shared" si="234"/>
        <v>1</v>
      </c>
      <c r="CA289">
        <f t="shared" si="235"/>
        <v>2</v>
      </c>
      <c r="CB289">
        <f t="shared" si="236"/>
        <v>3</v>
      </c>
      <c r="CC289">
        <f t="shared" si="237"/>
        <v>4</v>
      </c>
      <c r="CD289">
        <f t="shared" si="238"/>
        <v>5</v>
      </c>
      <c r="CE289">
        <f t="shared" si="239"/>
        <v>6</v>
      </c>
      <c r="CF289">
        <f t="shared" si="240"/>
        <v>1</v>
      </c>
      <c r="CG289">
        <f t="shared" si="241"/>
        <v>0</v>
      </c>
      <c r="CH289">
        <f t="shared" si="242"/>
        <v>0</v>
      </c>
      <c r="CI289">
        <f t="shared" si="243"/>
        <v>0</v>
      </c>
      <c r="CJ289">
        <f t="shared" si="244"/>
        <v>0</v>
      </c>
      <c r="CK289">
        <f t="shared" si="245"/>
        <v>0</v>
      </c>
      <c r="CL289">
        <f t="shared" si="246"/>
        <v>0</v>
      </c>
      <c r="CM289">
        <f t="shared" si="247"/>
        <v>0</v>
      </c>
      <c r="CN289">
        <f t="shared" si="248"/>
        <v>0</v>
      </c>
      <c r="CO289">
        <f t="shared" si="249"/>
        <v>0</v>
      </c>
      <c r="CP289">
        <f t="shared" si="250"/>
        <v>0</v>
      </c>
      <c r="CQ289">
        <f t="shared" si="251"/>
        <v>0</v>
      </c>
      <c r="CR289">
        <f t="shared" si="252"/>
        <v>0</v>
      </c>
      <c r="CS289">
        <f t="shared" si="253"/>
        <v>0</v>
      </c>
      <c r="CT289">
        <f t="shared" si="254"/>
        <v>0</v>
      </c>
    </row>
    <row r="290" spans="2:98">
      <c r="B290" s="168" t="str">
        <f t="shared" si="215"/>
        <v>Waste - OB &amp; Thick Parting</v>
      </c>
      <c r="C290" s="165" t="str">
        <f t="shared" si="215"/>
        <v>Dumper/ 100t</v>
      </c>
      <c r="D290" s="171" t="s">
        <v>896</v>
      </c>
      <c r="E290" s="436">
        <f t="shared" si="216"/>
        <v>35</v>
      </c>
      <c r="F290" s="174">
        <f>VLOOKUP(C290,Equipment!$C$5:$V$47,Equipment!O$1,FALSE)</f>
        <v>10</v>
      </c>
      <c r="G290" s="378">
        <f t="shared" si="221"/>
        <v>0</v>
      </c>
      <c r="H290" s="378">
        <f t="shared" si="217"/>
        <v>0</v>
      </c>
      <c r="I290" s="378">
        <f t="shared" si="217"/>
        <v>0</v>
      </c>
      <c r="J290" s="378">
        <f t="shared" si="217"/>
        <v>0</v>
      </c>
      <c r="K290" s="378">
        <f t="shared" si="255"/>
        <v>0</v>
      </c>
      <c r="L290" s="378">
        <f t="shared" si="255"/>
        <v>0</v>
      </c>
      <c r="M290" s="378">
        <f t="shared" si="255"/>
        <v>0</v>
      </c>
      <c r="N290" s="378">
        <f t="shared" si="255"/>
        <v>0</v>
      </c>
      <c r="O290" s="378">
        <f t="shared" si="255"/>
        <v>0</v>
      </c>
      <c r="P290" s="378">
        <f t="shared" si="255"/>
        <v>0</v>
      </c>
      <c r="Q290" s="378">
        <f t="shared" si="255"/>
        <v>0</v>
      </c>
      <c r="R290" s="378">
        <f t="shared" si="255"/>
        <v>0</v>
      </c>
      <c r="S290" s="378">
        <f t="shared" si="255"/>
        <v>0</v>
      </c>
      <c r="T290" s="378">
        <f t="shared" si="255"/>
        <v>0</v>
      </c>
      <c r="U290" s="378">
        <f t="shared" si="256"/>
        <v>0</v>
      </c>
      <c r="V290" s="378">
        <f t="shared" si="256"/>
        <v>0</v>
      </c>
      <c r="W290" s="378">
        <f t="shared" si="256"/>
        <v>0</v>
      </c>
      <c r="X290" s="378">
        <f t="shared" si="256"/>
        <v>21</v>
      </c>
      <c r="Y290" s="378">
        <f t="shared" si="256"/>
        <v>1</v>
      </c>
      <c r="Z290" s="378">
        <f t="shared" si="256"/>
        <v>13</v>
      </c>
      <c r="AA290" s="378">
        <f t="shared" si="256"/>
        <v>0</v>
      </c>
      <c r="AB290" s="378">
        <f t="shared" si="256"/>
        <v>0</v>
      </c>
      <c r="AC290" s="378">
        <f t="shared" si="256"/>
        <v>0</v>
      </c>
      <c r="AD290" s="378"/>
      <c r="AE290" s="378"/>
      <c r="AF290" s="378"/>
      <c r="AG290" s="378"/>
      <c r="AH290" s="378"/>
      <c r="AI290" s="378"/>
      <c r="AJ290" s="378"/>
      <c r="AK290" s="378"/>
      <c r="AL290" s="378"/>
      <c r="AM290" s="378"/>
      <c r="AN290" s="378"/>
      <c r="AO290" s="378"/>
      <c r="AP290" s="378"/>
      <c r="AQ290" s="378"/>
      <c r="AR290" s="378"/>
      <c r="AS290" s="378"/>
      <c r="AT290" s="378"/>
      <c r="AU290" s="218"/>
      <c r="AV290" s="218"/>
      <c r="AW290" s="218"/>
      <c r="AX290" s="218"/>
      <c r="AY290" s="218"/>
      <c r="AZ290" s="218"/>
      <c r="BA290" s="218"/>
      <c r="BB290" s="218"/>
      <c r="BC290" s="218"/>
      <c r="BD290" s="218"/>
      <c r="BE290" s="218"/>
      <c r="BF290" s="218"/>
      <c r="BN290">
        <f t="shared" si="222"/>
        <v>1</v>
      </c>
      <c r="BO290">
        <f t="shared" si="223"/>
        <v>2</v>
      </c>
      <c r="BP290">
        <f t="shared" si="224"/>
        <v>3</v>
      </c>
      <c r="BQ290">
        <f t="shared" si="225"/>
        <v>4</v>
      </c>
      <c r="BR290">
        <f t="shared" si="226"/>
        <v>5</v>
      </c>
      <c r="BS290">
        <f t="shared" si="227"/>
        <v>6</v>
      </c>
      <c r="BT290">
        <f t="shared" si="228"/>
        <v>7</v>
      </c>
      <c r="BU290">
        <f t="shared" si="229"/>
        <v>8</v>
      </c>
      <c r="BV290">
        <f t="shared" si="230"/>
        <v>9</v>
      </c>
      <c r="BW290">
        <f t="shared" si="231"/>
        <v>10</v>
      </c>
      <c r="BX290">
        <f t="shared" si="232"/>
        <v>1</v>
      </c>
      <c r="BY290">
        <f t="shared" si="233"/>
        <v>2</v>
      </c>
      <c r="BZ290">
        <f t="shared" si="234"/>
        <v>3</v>
      </c>
      <c r="CA290">
        <f t="shared" si="235"/>
        <v>4</v>
      </c>
      <c r="CB290">
        <f t="shared" si="236"/>
        <v>5</v>
      </c>
      <c r="CC290">
        <f t="shared" si="237"/>
        <v>6</v>
      </c>
      <c r="CD290">
        <f t="shared" si="238"/>
        <v>7</v>
      </c>
      <c r="CE290">
        <f t="shared" si="239"/>
        <v>8</v>
      </c>
      <c r="CF290">
        <f t="shared" si="240"/>
        <v>9</v>
      </c>
      <c r="CG290">
        <f t="shared" si="241"/>
        <v>0</v>
      </c>
      <c r="CH290">
        <f t="shared" si="242"/>
        <v>0</v>
      </c>
      <c r="CI290">
        <f t="shared" si="243"/>
        <v>0</v>
      </c>
      <c r="CJ290">
        <f t="shared" si="244"/>
        <v>0</v>
      </c>
      <c r="CK290">
        <f t="shared" si="245"/>
        <v>0</v>
      </c>
      <c r="CL290">
        <f t="shared" si="246"/>
        <v>0</v>
      </c>
      <c r="CM290">
        <f t="shared" si="247"/>
        <v>0</v>
      </c>
      <c r="CN290">
        <f t="shared" si="248"/>
        <v>0</v>
      </c>
      <c r="CO290">
        <f t="shared" si="249"/>
        <v>0</v>
      </c>
      <c r="CP290">
        <f t="shared" si="250"/>
        <v>0</v>
      </c>
      <c r="CQ290">
        <f t="shared" si="251"/>
        <v>0</v>
      </c>
      <c r="CR290">
        <f t="shared" si="252"/>
        <v>0</v>
      </c>
      <c r="CS290">
        <f t="shared" si="253"/>
        <v>0</v>
      </c>
      <c r="CT290">
        <f t="shared" si="254"/>
        <v>0</v>
      </c>
    </row>
    <row r="291" spans="2:98">
      <c r="B291" s="168" t="str">
        <f t="shared" si="215"/>
        <v>Coal/Ore</v>
      </c>
      <c r="C291" s="165" t="str">
        <f t="shared" si="215"/>
        <v>Dumper/ 40t</v>
      </c>
      <c r="D291" s="171" t="s">
        <v>896</v>
      </c>
      <c r="E291" s="436">
        <f t="shared" si="216"/>
        <v>59</v>
      </c>
      <c r="F291" s="174">
        <f>VLOOKUP(C291,Equipment!$C$5:$V$47,Equipment!O$1,FALSE)</f>
        <v>6</v>
      </c>
      <c r="G291" s="378">
        <f t="shared" si="221"/>
        <v>0</v>
      </c>
      <c r="H291" s="378">
        <f t="shared" si="217"/>
        <v>0</v>
      </c>
      <c r="I291" s="378">
        <f t="shared" si="217"/>
        <v>0</v>
      </c>
      <c r="J291" s="378">
        <f t="shared" si="217"/>
        <v>0</v>
      </c>
      <c r="K291" s="378">
        <f t="shared" si="255"/>
        <v>0</v>
      </c>
      <c r="L291" s="378">
        <f t="shared" si="255"/>
        <v>0</v>
      </c>
      <c r="M291" s="378">
        <f t="shared" si="255"/>
        <v>0</v>
      </c>
      <c r="N291" s="378">
        <f t="shared" si="255"/>
        <v>0</v>
      </c>
      <c r="O291" s="378">
        <f t="shared" si="255"/>
        <v>0</v>
      </c>
      <c r="P291" s="378">
        <f t="shared" si="255"/>
        <v>0</v>
      </c>
      <c r="Q291" s="378">
        <f t="shared" si="255"/>
        <v>3</v>
      </c>
      <c r="R291" s="378">
        <f t="shared" si="255"/>
        <v>3</v>
      </c>
      <c r="S291" s="378">
        <f t="shared" si="255"/>
        <v>6</v>
      </c>
      <c r="T291" s="378">
        <f t="shared" si="255"/>
        <v>9</v>
      </c>
      <c r="U291" s="378">
        <f t="shared" si="256"/>
        <v>6</v>
      </c>
      <c r="V291" s="378">
        <f t="shared" si="256"/>
        <v>1</v>
      </c>
      <c r="W291" s="378">
        <f t="shared" si="256"/>
        <v>3</v>
      </c>
      <c r="X291" s="378">
        <f t="shared" si="256"/>
        <v>3</v>
      </c>
      <c r="Y291" s="378">
        <f t="shared" si="256"/>
        <v>6</v>
      </c>
      <c r="Z291" s="378">
        <f t="shared" si="256"/>
        <v>9</v>
      </c>
      <c r="AA291" s="378">
        <f t="shared" si="256"/>
        <v>6</v>
      </c>
      <c r="AB291" s="378">
        <f t="shared" si="256"/>
        <v>1</v>
      </c>
      <c r="AC291" s="378">
        <f t="shared" si="256"/>
        <v>3</v>
      </c>
      <c r="AD291" s="378"/>
      <c r="AE291" s="378"/>
      <c r="AF291" s="378"/>
      <c r="AG291" s="378"/>
      <c r="AH291" s="378"/>
      <c r="AI291" s="378"/>
      <c r="AJ291" s="378"/>
      <c r="AK291" s="378"/>
      <c r="AL291" s="378"/>
      <c r="AM291" s="378"/>
      <c r="AN291" s="378"/>
      <c r="AO291" s="378"/>
      <c r="AP291" s="378"/>
      <c r="AQ291" s="378"/>
      <c r="AR291" s="378"/>
      <c r="AS291" s="378"/>
      <c r="AT291" s="378"/>
      <c r="AU291" s="218"/>
      <c r="AV291" s="218"/>
      <c r="AW291" s="218"/>
      <c r="AX291" s="218"/>
      <c r="AY291" s="218"/>
      <c r="AZ291" s="218"/>
      <c r="BA291" s="218"/>
      <c r="BB291" s="218"/>
      <c r="BC291" s="218"/>
      <c r="BD291" s="218"/>
      <c r="BE291" s="218"/>
      <c r="BF291" s="218"/>
      <c r="BN291">
        <f t="shared" si="222"/>
        <v>1</v>
      </c>
      <c r="BO291">
        <f t="shared" si="223"/>
        <v>2</v>
      </c>
      <c r="BP291">
        <f t="shared" si="224"/>
        <v>3</v>
      </c>
      <c r="BQ291">
        <f t="shared" si="225"/>
        <v>4</v>
      </c>
      <c r="BR291">
        <f t="shared" si="226"/>
        <v>5</v>
      </c>
      <c r="BS291">
        <f t="shared" si="227"/>
        <v>6</v>
      </c>
      <c r="BT291">
        <f t="shared" si="228"/>
        <v>1</v>
      </c>
      <c r="BU291">
        <f t="shared" si="229"/>
        <v>2</v>
      </c>
      <c r="BV291">
        <f t="shared" si="230"/>
        <v>3</v>
      </c>
      <c r="BW291">
        <f t="shared" si="231"/>
        <v>4</v>
      </c>
      <c r="BX291">
        <f t="shared" si="232"/>
        <v>5</v>
      </c>
      <c r="BY291">
        <f t="shared" si="233"/>
        <v>6</v>
      </c>
      <c r="BZ291">
        <f t="shared" si="234"/>
        <v>1</v>
      </c>
      <c r="CA291">
        <f t="shared" si="235"/>
        <v>2</v>
      </c>
      <c r="CB291">
        <f t="shared" si="236"/>
        <v>3</v>
      </c>
      <c r="CC291">
        <f t="shared" si="237"/>
        <v>4</v>
      </c>
      <c r="CD291">
        <f t="shared" si="238"/>
        <v>5</v>
      </c>
      <c r="CE291">
        <f t="shared" si="239"/>
        <v>6</v>
      </c>
      <c r="CF291">
        <f t="shared" si="240"/>
        <v>1</v>
      </c>
      <c r="CG291">
        <f t="shared" si="241"/>
        <v>0</v>
      </c>
      <c r="CH291">
        <f t="shared" si="242"/>
        <v>0</v>
      </c>
      <c r="CI291">
        <f t="shared" si="243"/>
        <v>0</v>
      </c>
      <c r="CJ291">
        <f t="shared" si="244"/>
        <v>0</v>
      </c>
      <c r="CK291">
        <f t="shared" si="245"/>
        <v>0</v>
      </c>
      <c r="CL291">
        <f t="shared" si="246"/>
        <v>0</v>
      </c>
      <c r="CM291">
        <f t="shared" si="247"/>
        <v>0</v>
      </c>
      <c r="CN291">
        <f t="shared" si="248"/>
        <v>0</v>
      </c>
      <c r="CO291">
        <f t="shared" si="249"/>
        <v>0</v>
      </c>
      <c r="CP291">
        <f t="shared" si="250"/>
        <v>0</v>
      </c>
      <c r="CQ291">
        <f t="shared" si="251"/>
        <v>0</v>
      </c>
      <c r="CR291">
        <f t="shared" si="252"/>
        <v>0</v>
      </c>
      <c r="CS291">
        <f t="shared" si="253"/>
        <v>0</v>
      </c>
      <c r="CT291">
        <f t="shared" si="254"/>
        <v>0</v>
      </c>
    </row>
    <row r="292" spans="2:98">
      <c r="B292" s="168" t="str">
        <f t="shared" si="215"/>
        <v/>
      </c>
      <c r="C292" s="165" t="str">
        <f>C245</f>
        <v>Track Dozer/ 405 HP</v>
      </c>
      <c r="D292" s="171" t="s">
        <v>896</v>
      </c>
      <c r="E292" s="436">
        <f t="shared" si="216"/>
        <v>13</v>
      </c>
      <c r="F292" s="174">
        <f>VLOOKUP(C292,Equipment!$C$5:$V$47,Equipment!O$1,FALSE)</f>
        <v>6</v>
      </c>
      <c r="G292" s="378">
        <f t="shared" si="221"/>
        <v>0</v>
      </c>
      <c r="H292" s="378">
        <f t="shared" si="217"/>
        <v>0</v>
      </c>
      <c r="I292" s="378">
        <f t="shared" si="217"/>
        <v>0</v>
      </c>
      <c r="J292" s="378">
        <f t="shared" si="217"/>
        <v>0</v>
      </c>
      <c r="K292" s="378">
        <f t="shared" si="255"/>
        <v>0</v>
      </c>
      <c r="L292" s="378">
        <f t="shared" si="255"/>
        <v>0</v>
      </c>
      <c r="M292" s="378">
        <f t="shared" si="255"/>
        <v>0</v>
      </c>
      <c r="N292" s="378">
        <f t="shared" si="255"/>
        <v>0</v>
      </c>
      <c r="O292" s="378">
        <f t="shared" si="255"/>
        <v>0</v>
      </c>
      <c r="P292" s="378">
        <f t="shared" si="255"/>
        <v>0</v>
      </c>
      <c r="Q292" s="378">
        <f t="shared" si="255"/>
        <v>1</v>
      </c>
      <c r="R292" s="378">
        <f t="shared" si="255"/>
        <v>1</v>
      </c>
      <c r="S292" s="378">
        <f t="shared" si="255"/>
        <v>2</v>
      </c>
      <c r="T292" s="378">
        <f t="shared" si="255"/>
        <v>1</v>
      </c>
      <c r="U292" s="378">
        <f t="shared" si="256"/>
        <v>1</v>
      </c>
      <c r="V292" s="378">
        <f t="shared" si="256"/>
        <v>0</v>
      </c>
      <c r="W292" s="378">
        <f t="shared" si="256"/>
        <v>1</v>
      </c>
      <c r="X292" s="378">
        <f t="shared" si="256"/>
        <v>1</v>
      </c>
      <c r="Y292" s="378">
        <f t="shared" si="256"/>
        <v>2</v>
      </c>
      <c r="Z292" s="378">
        <f t="shared" si="256"/>
        <v>1</v>
      </c>
      <c r="AA292" s="378">
        <f t="shared" si="256"/>
        <v>1</v>
      </c>
      <c r="AB292" s="378">
        <f t="shared" si="256"/>
        <v>0</v>
      </c>
      <c r="AC292" s="378">
        <f t="shared" si="256"/>
        <v>1</v>
      </c>
      <c r="AD292" s="378"/>
      <c r="AE292" s="378"/>
      <c r="AF292" s="378"/>
      <c r="AG292" s="378"/>
      <c r="AH292" s="378"/>
      <c r="AI292" s="378"/>
      <c r="AJ292" s="378"/>
      <c r="AK292" s="378"/>
      <c r="AL292" s="378"/>
      <c r="AM292" s="378"/>
      <c r="AN292" s="378"/>
      <c r="AO292" s="378"/>
      <c r="AP292" s="378"/>
      <c r="AQ292" s="378"/>
      <c r="AR292" s="378"/>
      <c r="AS292" s="378"/>
      <c r="AT292" s="378"/>
      <c r="AU292" s="218"/>
      <c r="AV292" s="218"/>
      <c r="AW292" s="218"/>
      <c r="AX292" s="218"/>
      <c r="AY292" s="218"/>
      <c r="AZ292" s="218"/>
      <c r="BA292" s="218"/>
      <c r="BB292" s="218"/>
      <c r="BC292" s="218"/>
      <c r="BD292" s="218"/>
      <c r="BE292" s="218"/>
      <c r="BF292" s="218"/>
      <c r="BN292">
        <f t="shared" si="222"/>
        <v>1</v>
      </c>
      <c r="BO292">
        <f t="shared" si="223"/>
        <v>2</v>
      </c>
      <c r="BP292">
        <f t="shared" si="224"/>
        <v>3</v>
      </c>
      <c r="BQ292">
        <f t="shared" si="225"/>
        <v>4</v>
      </c>
      <c r="BR292">
        <f t="shared" si="226"/>
        <v>5</v>
      </c>
      <c r="BS292">
        <f t="shared" si="227"/>
        <v>6</v>
      </c>
      <c r="BT292">
        <f t="shared" si="228"/>
        <v>1</v>
      </c>
      <c r="BU292">
        <f t="shared" si="229"/>
        <v>2</v>
      </c>
      <c r="BV292">
        <f t="shared" si="230"/>
        <v>3</v>
      </c>
      <c r="BW292">
        <f t="shared" si="231"/>
        <v>4</v>
      </c>
      <c r="BX292">
        <f t="shared" si="232"/>
        <v>5</v>
      </c>
      <c r="BY292">
        <f t="shared" si="233"/>
        <v>6</v>
      </c>
      <c r="BZ292">
        <f t="shared" si="234"/>
        <v>1</v>
      </c>
      <c r="CA292">
        <f t="shared" si="235"/>
        <v>2</v>
      </c>
      <c r="CB292">
        <f t="shared" si="236"/>
        <v>3</v>
      </c>
      <c r="CC292">
        <f t="shared" si="237"/>
        <v>4</v>
      </c>
      <c r="CD292">
        <f t="shared" si="238"/>
        <v>5</v>
      </c>
      <c r="CE292">
        <f t="shared" si="239"/>
        <v>6</v>
      </c>
      <c r="CF292">
        <f t="shared" si="240"/>
        <v>1</v>
      </c>
      <c r="CG292">
        <f t="shared" si="241"/>
        <v>0</v>
      </c>
      <c r="CH292">
        <f t="shared" si="242"/>
        <v>0</v>
      </c>
      <c r="CI292">
        <f t="shared" si="243"/>
        <v>0</v>
      </c>
      <c r="CJ292">
        <f t="shared" si="244"/>
        <v>0</v>
      </c>
      <c r="CK292">
        <f t="shared" si="245"/>
        <v>0</v>
      </c>
      <c r="CL292">
        <f t="shared" si="246"/>
        <v>0</v>
      </c>
      <c r="CM292">
        <f t="shared" si="247"/>
        <v>0</v>
      </c>
      <c r="CN292">
        <f t="shared" si="248"/>
        <v>0</v>
      </c>
      <c r="CO292">
        <f t="shared" si="249"/>
        <v>0</v>
      </c>
      <c r="CP292">
        <f t="shared" si="250"/>
        <v>0</v>
      </c>
      <c r="CQ292">
        <f t="shared" si="251"/>
        <v>0</v>
      </c>
      <c r="CR292">
        <f t="shared" si="252"/>
        <v>0</v>
      </c>
      <c r="CS292">
        <f t="shared" si="253"/>
        <v>0</v>
      </c>
      <c r="CT292">
        <f t="shared" si="254"/>
        <v>0</v>
      </c>
    </row>
    <row r="293" spans="2:98">
      <c r="B293" s="168" t="str">
        <f t="shared" si="215"/>
        <v/>
      </c>
      <c r="C293" s="165" t="str">
        <f t="shared" si="215"/>
        <v>Wheel Dozer</v>
      </c>
      <c r="D293" s="171" t="s">
        <v>896</v>
      </c>
      <c r="E293" s="436">
        <f t="shared" si="216"/>
        <v>4</v>
      </c>
      <c r="F293" s="174">
        <f>VLOOKUP(C293,Equipment!$C$5:$V$47,Equipment!O$1,FALSE)</f>
        <v>7</v>
      </c>
      <c r="G293" s="378">
        <f t="shared" si="221"/>
        <v>0</v>
      </c>
      <c r="H293" s="378">
        <f t="shared" si="217"/>
        <v>0</v>
      </c>
      <c r="I293" s="378">
        <f t="shared" si="217"/>
        <v>0</v>
      </c>
      <c r="J293" s="378">
        <f t="shared" si="217"/>
        <v>0</v>
      </c>
      <c r="K293" s="378">
        <f t="shared" si="255"/>
        <v>0</v>
      </c>
      <c r="L293" s="378">
        <f t="shared" si="255"/>
        <v>0</v>
      </c>
      <c r="M293" s="378">
        <f t="shared" si="255"/>
        <v>0</v>
      </c>
      <c r="N293" s="378">
        <f t="shared" si="255"/>
        <v>0</v>
      </c>
      <c r="O293" s="378">
        <f t="shared" si="255"/>
        <v>0</v>
      </c>
      <c r="P293" s="378">
        <f t="shared" si="255"/>
        <v>0</v>
      </c>
      <c r="Q293" s="378">
        <f t="shared" si="255"/>
        <v>0</v>
      </c>
      <c r="R293" s="378">
        <f t="shared" si="255"/>
        <v>1</v>
      </c>
      <c r="S293" s="378">
        <f t="shared" si="255"/>
        <v>0</v>
      </c>
      <c r="T293" s="378">
        <f t="shared" si="255"/>
        <v>1</v>
      </c>
      <c r="U293" s="378">
        <f t="shared" si="256"/>
        <v>0</v>
      </c>
      <c r="V293" s="378">
        <f t="shared" si="256"/>
        <v>0</v>
      </c>
      <c r="W293" s="378">
        <f t="shared" si="256"/>
        <v>0</v>
      </c>
      <c r="X293" s="378">
        <f t="shared" si="256"/>
        <v>0</v>
      </c>
      <c r="Y293" s="378">
        <f t="shared" si="256"/>
        <v>1</v>
      </c>
      <c r="Z293" s="378">
        <f t="shared" si="256"/>
        <v>0</v>
      </c>
      <c r="AA293" s="378">
        <f t="shared" si="256"/>
        <v>1</v>
      </c>
      <c r="AB293" s="378">
        <f t="shared" si="256"/>
        <v>0</v>
      </c>
      <c r="AC293" s="378">
        <f t="shared" si="256"/>
        <v>0</v>
      </c>
      <c r="AD293" s="378"/>
      <c r="AE293" s="378"/>
      <c r="AF293" s="378"/>
      <c r="AG293" s="378"/>
      <c r="AH293" s="378"/>
      <c r="AI293" s="378"/>
      <c r="AJ293" s="378"/>
      <c r="AK293" s="378"/>
      <c r="AL293" s="378"/>
      <c r="AM293" s="378"/>
      <c r="AN293" s="378"/>
      <c r="AO293" s="378"/>
      <c r="AP293" s="378"/>
      <c r="AQ293" s="378"/>
      <c r="AR293" s="378"/>
      <c r="AS293" s="378"/>
      <c r="AT293" s="378"/>
      <c r="AU293" s="218"/>
      <c r="AV293" s="218"/>
      <c r="AW293" s="218"/>
      <c r="AX293" s="218"/>
      <c r="AY293" s="218"/>
      <c r="AZ293" s="218"/>
      <c r="BA293" s="218"/>
      <c r="BB293" s="218"/>
      <c r="BC293" s="218"/>
      <c r="BD293" s="218"/>
      <c r="BE293" s="218"/>
      <c r="BF293" s="218"/>
      <c r="BN293">
        <f t="shared" si="222"/>
        <v>1</v>
      </c>
      <c r="BO293">
        <f t="shared" si="223"/>
        <v>2</v>
      </c>
      <c r="BP293">
        <f t="shared" si="224"/>
        <v>3</v>
      </c>
      <c r="BQ293">
        <f t="shared" si="225"/>
        <v>4</v>
      </c>
      <c r="BR293">
        <f t="shared" si="226"/>
        <v>5</v>
      </c>
      <c r="BS293">
        <f t="shared" si="227"/>
        <v>6</v>
      </c>
      <c r="BT293">
        <f t="shared" si="228"/>
        <v>7</v>
      </c>
      <c r="BU293">
        <f t="shared" si="229"/>
        <v>1</v>
      </c>
      <c r="BV293">
        <f t="shared" si="230"/>
        <v>2</v>
      </c>
      <c r="BW293">
        <f t="shared" si="231"/>
        <v>3</v>
      </c>
      <c r="BX293">
        <f t="shared" si="232"/>
        <v>4</v>
      </c>
      <c r="BY293">
        <f t="shared" si="233"/>
        <v>5</v>
      </c>
      <c r="BZ293">
        <f t="shared" si="234"/>
        <v>6</v>
      </c>
      <c r="CA293">
        <f t="shared" si="235"/>
        <v>7</v>
      </c>
      <c r="CB293">
        <f t="shared" si="236"/>
        <v>1</v>
      </c>
      <c r="CC293">
        <f t="shared" si="237"/>
        <v>2</v>
      </c>
      <c r="CD293">
        <f t="shared" si="238"/>
        <v>3</v>
      </c>
      <c r="CE293">
        <f t="shared" si="239"/>
        <v>4</v>
      </c>
      <c r="CF293">
        <f t="shared" si="240"/>
        <v>5</v>
      </c>
      <c r="CG293">
        <f t="shared" si="241"/>
        <v>0</v>
      </c>
      <c r="CH293">
        <f t="shared" si="242"/>
        <v>0</v>
      </c>
      <c r="CI293">
        <f t="shared" si="243"/>
        <v>0</v>
      </c>
      <c r="CJ293">
        <f t="shared" si="244"/>
        <v>0</v>
      </c>
      <c r="CK293">
        <f t="shared" si="245"/>
        <v>0</v>
      </c>
      <c r="CL293">
        <f t="shared" si="246"/>
        <v>0</v>
      </c>
      <c r="CM293">
        <f t="shared" si="247"/>
        <v>0</v>
      </c>
      <c r="CN293">
        <f t="shared" si="248"/>
        <v>0</v>
      </c>
      <c r="CO293">
        <f t="shared" si="249"/>
        <v>0</v>
      </c>
      <c r="CP293">
        <f t="shared" si="250"/>
        <v>0</v>
      </c>
      <c r="CQ293">
        <f t="shared" si="251"/>
        <v>0</v>
      </c>
      <c r="CR293">
        <f t="shared" si="252"/>
        <v>0</v>
      </c>
      <c r="CS293">
        <f t="shared" si="253"/>
        <v>0</v>
      </c>
      <c r="CT293">
        <f t="shared" si="254"/>
        <v>0</v>
      </c>
    </row>
    <row r="294" spans="2:98">
      <c r="B294" s="168" t="str">
        <f t="shared" si="215"/>
        <v/>
      </c>
      <c r="C294" s="165" t="str">
        <f t="shared" si="215"/>
        <v>Ripper Dozer/ 450TPH</v>
      </c>
      <c r="D294" s="171" t="s">
        <v>896</v>
      </c>
      <c r="E294" s="436">
        <f t="shared" si="216"/>
        <v>6</v>
      </c>
      <c r="F294" s="174">
        <f>VLOOKUP(C294,Equipment!$C$5:$V$47,Equipment!O$1,FALSE)</f>
        <v>5</v>
      </c>
      <c r="G294" s="378">
        <f t="shared" si="221"/>
        <v>0</v>
      </c>
      <c r="H294" s="378">
        <f t="shared" si="217"/>
        <v>0</v>
      </c>
      <c r="I294" s="378">
        <f t="shared" si="217"/>
        <v>0</v>
      </c>
      <c r="J294" s="378">
        <f t="shared" si="217"/>
        <v>0</v>
      </c>
      <c r="K294" s="378">
        <f t="shared" si="255"/>
        <v>0</v>
      </c>
      <c r="L294" s="378">
        <f t="shared" si="255"/>
        <v>0</v>
      </c>
      <c r="M294" s="378">
        <f t="shared" si="255"/>
        <v>0</v>
      </c>
      <c r="N294" s="378">
        <f t="shared" si="255"/>
        <v>0</v>
      </c>
      <c r="O294" s="378">
        <f t="shared" si="255"/>
        <v>0</v>
      </c>
      <c r="P294" s="378">
        <f t="shared" si="255"/>
        <v>1</v>
      </c>
      <c r="Q294" s="378">
        <f t="shared" si="255"/>
        <v>0</v>
      </c>
      <c r="R294" s="378">
        <f t="shared" si="255"/>
        <v>1</v>
      </c>
      <c r="S294" s="378">
        <f t="shared" si="255"/>
        <v>0</v>
      </c>
      <c r="T294" s="378">
        <f t="shared" si="255"/>
        <v>0</v>
      </c>
      <c r="U294" s="378">
        <f t="shared" si="256"/>
        <v>1</v>
      </c>
      <c r="V294" s="378">
        <f t="shared" si="256"/>
        <v>0</v>
      </c>
      <c r="W294" s="378">
        <f t="shared" si="256"/>
        <v>1</v>
      </c>
      <c r="X294" s="378">
        <f t="shared" si="256"/>
        <v>0</v>
      </c>
      <c r="Y294" s="378">
        <f t="shared" si="256"/>
        <v>0</v>
      </c>
      <c r="Z294" s="378">
        <f t="shared" si="256"/>
        <v>1</v>
      </c>
      <c r="AA294" s="378">
        <f t="shared" si="256"/>
        <v>0</v>
      </c>
      <c r="AB294" s="378">
        <f t="shared" si="256"/>
        <v>1</v>
      </c>
      <c r="AC294" s="378">
        <f t="shared" si="256"/>
        <v>0</v>
      </c>
      <c r="AD294" s="378"/>
      <c r="AE294" s="378"/>
      <c r="AF294" s="378"/>
      <c r="AG294" s="378"/>
      <c r="AH294" s="378"/>
      <c r="AI294" s="378"/>
      <c r="AJ294" s="378"/>
      <c r="AK294" s="378"/>
      <c r="AL294" s="378"/>
      <c r="AM294" s="378"/>
      <c r="AN294" s="378"/>
      <c r="AO294" s="378"/>
      <c r="AP294" s="378"/>
      <c r="AQ294" s="378"/>
      <c r="AR294" s="378"/>
      <c r="AS294" s="378"/>
      <c r="AT294" s="378"/>
      <c r="AU294" s="218"/>
      <c r="AV294" s="218"/>
      <c r="AW294" s="218"/>
      <c r="AX294" s="218"/>
      <c r="AY294" s="218"/>
      <c r="AZ294" s="218"/>
      <c r="BA294" s="218"/>
      <c r="BB294" s="218"/>
      <c r="BC294" s="218"/>
      <c r="BD294" s="218"/>
      <c r="BE294" s="218"/>
      <c r="BF294" s="218"/>
      <c r="BN294">
        <f t="shared" si="222"/>
        <v>1</v>
      </c>
      <c r="BO294">
        <f t="shared" si="223"/>
        <v>2</v>
      </c>
      <c r="BP294">
        <f t="shared" si="224"/>
        <v>3</v>
      </c>
      <c r="BQ294">
        <f t="shared" si="225"/>
        <v>4</v>
      </c>
      <c r="BR294">
        <f t="shared" si="226"/>
        <v>5</v>
      </c>
      <c r="BS294">
        <f t="shared" si="227"/>
        <v>1</v>
      </c>
      <c r="BT294">
        <f t="shared" si="228"/>
        <v>2</v>
      </c>
      <c r="BU294">
        <f t="shared" si="229"/>
        <v>3</v>
      </c>
      <c r="BV294">
        <f t="shared" si="230"/>
        <v>4</v>
      </c>
      <c r="BW294">
        <f t="shared" si="231"/>
        <v>5</v>
      </c>
      <c r="BX294">
        <f t="shared" si="232"/>
        <v>1</v>
      </c>
      <c r="BY294">
        <f t="shared" si="233"/>
        <v>2</v>
      </c>
      <c r="BZ294">
        <f t="shared" si="234"/>
        <v>3</v>
      </c>
      <c r="CA294">
        <f t="shared" si="235"/>
        <v>4</v>
      </c>
      <c r="CB294">
        <f t="shared" si="236"/>
        <v>5</v>
      </c>
      <c r="CC294">
        <f t="shared" si="237"/>
        <v>1</v>
      </c>
      <c r="CD294">
        <f t="shared" si="238"/>
        <v>2</v>
      </c>
      <c r="CE294">
        <f t="shared" si="239"/>
        <v>3</v>
      </c>
      <c r="CF294">
        <f t="shared" si="240"/>
        <v>4</v>
      </c>
      <c r="CG294">
        <f t="shared" si="241"/>
        <v>0</v>
      </c>
      <c r="CH294">
        <f t="shared" si="242"/>
        <v>0</v>
      </c>
      <c r="CI294">
        <f t="shared" si="243"/>
        <v>0</v>
      </c>
      <c r="CJ294">
        <f t="shared" si="244"/>
        <v>0</v>
      </c>
      <c r="CK294">
        <f t="shared" si="245"/>
        <v>0</v>
      </c>
      <c r="CL294">
        <f t="shared" si="246"/>
        <v>0</v>
      </c>
      <c r="CM294">
        <f t="shared" si="247"/>
        <v>0</v>
      </c>
      <c r="CN294">
        <f t="shared" si="248"/>
        <v>0</v>
      </c>
      <c r="CO294">
        <f t="shared" si="249"/>
        <v>0</v>
      </c>
      <c r="CP294">
        <f t="shared" si="250"/>
        <v>0</v>
      </c>
      <c r="CQ294">
        <f t="shared" si="251"/>
        <v>0</v>
      </c>
      <c r="CR294">
        <f t="shared" si="252"/>
        <v>0</v>
      </c>
      <c r="CS294">
        <f t="shared" si="253"/>
        <v>0</v>
      </c>
      <c r="CT294">
        <f t="shared" si="254"/>
        <v>0</v>
      </c>
    </row>
    <row r="295" spans="2:98">
      <c r="B295" s="168" t="str">
        <f t="shared" si="215"/>
        <v/>
      </c>
      <c r="C295" s="165" t="str">
        <f t="shared" si="215"/>
        <v>Track Dozer/ 192 HP</v>
      </c>
      <c r="D295" s="171" t="s">
        <v>896</v>
      </c>
      <c r="E295" s="436">
        <f t="shared" si="216"/>
        <v>5</v>
      </c>
      <c r="F295" s="174">
        <f>VLOOKUP(C295,Equipment!$C$5:$V$47,Equipment!O$1,FALSE)</f>
        <v>6</v>
      </c>
      <c r="G295" s="378">
        <f t="shared" si="221"/>
        <v>0</v>
      </c>
      <c r="H295" s="378">
        <f t="shared" si="217"/>
        <v>0</v>
      </c>
      <c r="I295" s="378">
        <f t="shared" si="217"/>
        <v>0</v>
      </c>
      <c r="J295" s="378">
        <f t="shared" si="217"/>
        <v>0</v>
      </c>
      <c r="K295" s="378">
        <f t="shared" si="255"/>
        <v>0</v>
      </c>
      <c r="L295" s="378">
        <f t="shared" si="255"/>
        <v>0</v>
      </c>
      <c r="M295" s="378">
        <f t="shared" si="255"/>
        <v>0</v>
      </c>
      <c r="N295" s="378">
        <f t="shared" si="255"/>
        <v>0</v>
      </c>
      <c r="O295" s="378">
        <f t="shared" si="255"/>
        <v>0</v>
      </c>
      <c r="P295" s="378">
        <f t="shared" si="255"/>
        <v>0</v>
      </c>
      <c r="Q295" s="378">
        <f t="shared" si="255"/>
        <v>1</v>
      </c>
      <c r="R295" s="378">
        <f t="shared" si="255"/>
        <v>0</v>
      </c>
      <c r="S295" s="378">
        <f t="shared" si="255"/>
        <v>1</v>
      </c>
      <c r="T295" s="378">
        <f t="shared" si="255"/>
        <v>0</v>
      </c>
      <c r="U295" s="378">
        <f t="shared" si="256"/>
        <v>0</v>
      </c>
      <c r="V295" s="378">
        <f t="shared" si="256"/>
        <v>0</v>
      </c>
      <c r="W295" s="378">
        <f t="shared" si="256"/>
        <v>1</v>
      </c>
      <c r="X295" s="378">
        <f t="shared" si="256"/>
        <v>0</v>
      </c>
      <c r="Y295" s="378">
        <f t="shared" si="256"/>
        <v>1</v>
      </c>
      <c r="Z295" s="378">
        <f t="shared" si="256"/>
        <v>0</v>
      </c>
      <c r="AA295" s="378">
        <f t="shared" si="256"/>
        <v>0</v>
      </c>
      <c r="AB295" s="378">
        <f t="shared" si="256"/>
        <v>0</v>
      </c>
      <c r="AC295" s="378">
        <f t="shared" si="256"/>
        <v>1</v>
      </c>
      <c r="AD295" s="378"/>
      <c r="AE295" s="378"/>
      <c r="AF295" s="378"/>
      <c r="AG295" s="378"/>
      <c r="AH295" s="378"/>
      <c r="AI295" s="378"/>
      <c r="AJ295" s="378"/>
      <c r="AK295" s="378"/>
      <c r="AL295" s="378"/>
      <c r="AM295" s="378"/>
      <c r="AN295" s="378"/>
      <c r="AO295" s="378"/>
      <c r="AP295" s="378"/>
      <c r="AQ295" s="378"/>
      <c r="AR295" s="378"/>
      <c r="AS295" s="378"/>
      <c r="AT295" s="378"/>
      <c r="AU295" s="218"/>
      <c r="AV295" s="218"/>
      <c r="AW295" s="218"/>
      <c r="AX295" s="218"/>
      <c r="AY295" s="218"/>
      <c r="AZ295" s="218"/>
      <c r="BA295" s="218"/>
      <c r="BB295" s="218"/>
      <c r="BC295" s="218"/>
      <c r="BD295" s="218"/>
      <c r="BE295" s="218"/>
      <c r="BF295" s="218"/>
      <c r="BN295">
        <f t="shared" si="222"/>
        <v>1</v>
      </c>
      <c r="BO295">
        <f t="shared" si="223"/>
        <v>2</v>
      </c>
      <c r="BP295">
        <f t="shared" si="224"/>
        <v>3</v>
      </c>
      <c r="BQ295">
        <f t="shared" si="225"/>
        <v>4</v>
      </c>
      <c r="BR295">
        <f t="shared" si="226"/>
        <v>5</v>
      </c>
      <c r="BS295">
        <f t="shared" si="227"/>
        <v>6</v>
      </c>
      <c r="BT295">
        <f t="shared" si="228"/>
        <v>1</v>
      </c>
      <c r="BU295">
        <f t="shared" si="229"/>
        <v>2</v>
      </c>
      <c r="BV295">
        <f t="shared" si="230"/>
        <v>3</v>
      </c>
      <c r="BW295">
        <f t="shared" si="231"/>
        <v>4</v>
      </c>
      <c r="BX295">
        <f t="shared" si="232"/>
        <v>5</v>
      </c>
      <c r="BY295">
        <f t="shared" si="233"/>
        <v>6</v>
      </c>
      <c r="BZ295">
        <f t="shared" si="234"/>
        <v>1</v>
      </c>
      <c r="CA295">
        <f t="shared" si="235"/>
        <v>2</v>
      </c>
      <c r="CB295">
        <f t="shared" si="236"/>
        <v>3</v>
      </c>
      <c r="CC295">
        <f t="shared" si="237"/>
        <v>4</v>
      </c>
      <c r="CD295">
        <f t="shared" si="238"/>
        <v>5</v>
      </c>
      <c r="CE295">
        <f t="shared" si="239"/>
        <v>6</v>
      </c>
      <c r="CF295">
        <f t="shared" si="240"/>
        <v>1</v>
      </c>
      <c r="CG295">
        <f t="shared" si="241"/>
        <v>0</v>
      </c>
      <c r="CH295">
        <f t="shared" si="242"/>
        <v>0</v>
      </c>
      <c r="CI295">
        <f t="shared" si="243"/>
        <v>0</v>
      </c>
      <c r="CJ295">
        <f t="shared" si="244"/>
        <v>0</v>
      </c>
      <c r="CK295">
        <f t="shared" si="245"/>
        <v>0</v>
      </c>
      <c r="CL295">
        <f t="shared" si="246"/>
        <v>0</v>
      </c>
      <c r="CM295">
        <f t="shared" si="247"/>
        <v>0</v>
      </c>
      <c r="CN295">
        <f t="shared" si="248"/>
        <v>0</v>
      </c>
      <c r="CO295">
        <f t="shared" si="249"/>
        <v>0</v>
      </c>
      <c r="CP295">
        <f t="shared" si="250"/>
        <v>0</v>
      </c>
      <c r="CQ295">
        <f t="shared" si="251"/>
        <v>0</v>
      </c>
      <c r="CR295">
        <f t="shared" si="252"/>
        <v>0</v>
      </c>
      <c r="CS295">
        <f t="shared" si="253"/>
        <v>0</v>
      </c>
      <c r="CT295">
        <f t="shared" si="254"/>
        <v>0</v>
      </c>
    </row>
    <row r="296" spans="2:98">
      <c r="B296" s="168" t="str">
        <f t="shared" si="215"/>
        <v/>
      </c>
      <c r="C296" s="165" t="str">
        <f t="shared" si="215"/>
        <v>Motor Grader/ 290 - 348 HP</v>
      </c>
      <c r="D296" s="171" t="s">
        <v>896</v>
      </c>
      <c r="E296" s="436">
        <f t="shared" si="216"/>
        <v>4</v>
      </c>
      <c r="F296" s="174">
        <f>VLOOKUP(C296,Equipment!$C$5:$V$47,Equipment!O$1,FALSE)</f>
        <v>7</v>
      </c>
      <c r="G296" s="378">
        <f t="shared" si="221"/>
        <v>0</v>
      </c>
      <c r="H296" s="378">
        <f t="shared" si="217"/>
        <v>0</v>
      </c>
      <c r="I296" s="378">
        <f t="shared" si="217"/>
        <v>0</v>
      </c>
      <c r="J296" s="378">
        <f t="shared" si="217"/>
        <v>0</v>
      </c>
      <c r="K296" s="378">
        <f t="shared" si="255"/>
        <v>0</v>
      </c>
      <c r="L296" s="378">
        <f t="shared" si="255"/>
        <v>0</v>
      </c>
      <c r="M296" s="378">
        <f t="shared" si="255"/>
        <v>0</v>
      </c>
      <c r="N296" s="378">
        <f t="shared" si="255"/>
        <v>0</v>
      </c>
      <c r="O296" s="378">
        <f t="shared" si="255"/>
        <v>0</v>
      </c>
      <c r="P296" s="378">
        <f t="shared" si="255"/>
        <v>0</v>
      </c>
      <c r="Q296" s="378">
        <f t="shared" si="255"/>
        <v>0</v>
      </c>
      <c r="R296" s="378">
        <f t="shared" si="255"/>
        <v>1</v>
      </c>
      <c r="S296" s="378">
        <f t="shared" si="255"/>
        <v>0</v>
      </c>
      <c r="T296" s="378">
        <f t="shared" si="255"/>
        <v>1</v>
      </c>
      <c r="U296" s="378">
        <f t="shared" si="256"/>
        <v>0</v>
      </c>
      <c r="V296" s="378">
        <f t="shared" si="256"/>
        <v>0</v>
      </c>
      <c r="W296" s="378">
        <f t="shared" si="256"/>
        <v>0</v>
      </c>
      <c r="X296" s="378">
        <f t="shared" si="256"/>
        <v>0</v>
      </c>
      <c r="Y296" s="378">
        <f t="shared" si="256"/>
        <v>1</v>
      </c>
      <c r="Z296" s="378">
        <f t="shared" si="256"/>
        <v>0</v>
      </c>
      <c r="AA296" s="378">
        <f t="shared" si="256"/>
        <v>1</v>
      </c>
      <c r="AB296" s="378">
        <f t="shared" si="256"/>
        <v>0</v>
      </c>
      <c r="AC296" s="378">
        <f t="shared" si="256"/>
        <v>0</v>
      </c>
      <c r="AD296" s="378"/>
      <c r="AE296" s="378"/>
      <c r="AF296" s="378"/>
      <c r="AG296" s="378"/>
      <c r="AH296" s="378"/>
      <c r="AI296" s="378"/>
      <c r="AJ296" s="378"/>
      <c r="AK296" s="378"/>
      <c r="AL296" s="378"/>
      <c r="AM296" s="378"/>
      <c r="AN296" s="378"/>
      <c r="AO296" s="378"/>
      <c r="AP296" s="378"/>
      <c r="AQ296" s="378"/>
      <c r="AR296" s="378"/>
      <c r="AS296" s="378"/>
      <c r="AT296" s="378"/>
      <c r="AU296" s="218"/>
      <c r="AV296" s="218"/>
      <c r="AW296" s="218"/>
      <c r="AX296" s="218"/>
      <c r="AY296" s="218"/>
      <c r="AZ296" s="218"/>
      <c r="BA296" s="218"/>
      <c r="BB296" s="218"/>
      <c r="BC296" s="218"/>
      <c r="BD296" s="218"/>
      <c r="BE296" s="218"/>
      <c r="BF296" s="218"/>
      <c r="BN296">
        <f t="shared" si="222"/>
        <v>1</v>
      </c>
      <c r="BO296">
        <f t="shared" si="223"/>
        <v>2</v>
      </c>
      <c r="BP296">
        <f t="shared" si="224"/>
        <v>3</v>
      </c>
      <c r="BQ296">
        <f t="shared" si="225"/>
        <v>4</v>
      </c>
      <c r="BR296">
        <f t="shared" si="226"/>
        <v>5</v>
      </c>
      <c r="BS296">
        <f t="shared" si="227"/>
        <v>6</v>
      </c>
      <c r="BT296">
        <f t="shared" si="228"/>
        <v>7</v>
      </c>
      <c r="BU296">
        <f t="shared" si="229"/>
        <v>1</v>
      </c>
      <c r="BV296">
        <f t="shared" si="230"/>
        <v>2</v>
      </c>
      <c r="BW296">
        <f t="shared" si="231"/>
        <v>3</v>
      </c>
      <c r="BX296">
        <f t="shared" si="232"/>
        <v>4</v>
      </c>
      <c r="BY296">
        <f t="shared" si="233"/>
        <v>5</v>
      </c>
      <c r="BZ296">
        <f t="shared" si="234"/>
        <v>6</v>
      </c>
      <c r="CA296">
        <f t="shared" si="235"/>
        <v>7</v>
      </c>
      <c r="CB296">
        <f t="shared" si="236"/>
        <v>1</v>
      </c>
      <c r="CC296">
        <f t="shared" si="237"/>
        <v>2</v>
      </c>
      <c r="CD296">
        <f t="shared" si="238"/>
        <v>3</v>
      </c>
      <c r="CE296">
        <f t="shared" si="239"/>
        <v>4</v>
      </c>
      <c r="CF296">
        <f t="shared" si="240"/>
        <v>5</v>
      </c>
      <c r="CG296">
        <f t="shared" si="241"/>
        <v>0</v>
      </c>
      <c r="CH296">
        <f t="shared" si="242"/>
        <v>0</v>
      </c>
      <c r="CI296">
        <f t="shared" si="243"/>
        <v>0</v>
      </c>
      <c r="CJ296">
        <f t="shared" si="244"/>
        <v>0</v>
      </c>
      <c r="CK296">
        <f t="shared" si="245"/>
        <v>0</v>
      </c>
      <c r="CL296">
        <f t="shared" si="246"/>
        <v>0</v>
      </c>
      <c r="CM296">
        <f t="shared" si="247"/>
        <v>0</v>
      </c>
      <c r="CN296">
        <f t="shared" si="248"/>
        <v>0</v>
      </c>
      <c r="CO296">
        <f t="shared" si="249"/>
        <v>0</v>
      </c>
      <c r="CP296">
        <f t="shared" si="250"/>
        <v>0</v>
      </c>
      <c r="CQ296">
        <f t="shared" si="251"/>
        <v>0</v>
      </c>
      <c r="CR296">
        <f t="shared" si="252"/>
        <v>0</v>
      </c>
      <c r="CS296">
        <f t="shared" si="253"/>
        <v>0</v>
      </c>
      <c r="CT296">
        <f t="shared" si="254"/>
        <v>0</v>
      </c>
    </row>
    <row r="297" spans="2:98">
      <c r="B297" s="168" t="str">
        <f t="shared" si="215"/>
        <v/>
      </c>
      <c r="C297" s="165" t="str">
        <f t="shared" si="215"/>
        <v>Motor Grader/ 145 HP</v>
      </c>
      <c r="D297" s="171" t="s">
        <v>896</v>
      </c>
      <c r="E297" s="436">
        <f t="shared" si="216"/>
        <v>2</v>
      </c>
      <c r="F297" s="174">
        <f>VLOOKUP(C297,Equipment!$C$5:$V$47,Equipment!O$1,FALSE)</f>
        <v>11</v>
      </c>
      <c r="G297" s="378">
        <f t="shared" si="221"/>
        <v>0</v>
      </c>
      <c r="H297" s="378">
        <f t="shared" ref="H297:J318" si="257">IFERROR(INDEX($G$183:$AO$224,MATCH($C297,$C$183:$C$224,0),MATCH(H$276-$F297,$G$182:$AO$182,0)),0)</f>
        <v>0</v>
      </c>
      <c r="I297" s="378">
        <f t="shared" si="257"/>
        <v>0</v>
      </c>
      <c r="J297" s="378">
        <f t="shared" si="257"/>
        <v>0</v>
      </c>
      <c r="K297" s="378">
        <f t="shared" ref="K297:T306" si="258">IFERROR(IF(K$276&lt;=$F297,0,INDEX($G$183:$AO$224,MATCH($C297,$C$183:$C$224,0),MATCH(MOD(K$276-$F297-1,$F297)+1,$G$182:$AO$182,0))),0)</f>
        <v>0</v>
      </c>
      <c r="L297" s="378">
        <f t="shared" si="258"/>
        <v>0</v>
      </c>
      <c r="M297" s="378">
        <f t="shared" si="258"/>
        <v>0</v>
      </c>
      <c r="N297" s="378">
        <f t="shared" si="258"/>
        <v>0</v>
      </c>
      <c r="O297" s="378">
        <f t="shared" si="258"/>
        <v>0</v>
      </c>
      <c r="P297" s="378">
        <f t="shared" si="258"/>
        <v>0</v>
      </c>
      <c r="Q297" s="378">
        <f t="shared" si="258"/>
        <v>0</v>
      </c>
      <c r="R297" s="378">
        <f t="shared" si="258"/>
        <v>0</v>
      </c>
      <c r="S297" s="378">
        <f t="shared" si="258"/>
        <v>0</v>
      </c>
      <c r="T297" s="378">
        <f t="shared" si="258"/>
        <v>0</v>
      </c>
      <c r="U297" s="378">
        <f t="shared" ref="U297:AC306" si="259">IFERROR(IF(U$276&lt;=$F297,0,INDEX($G$183:$AO$224,MATCH($C297,$C$183:$C$224,0),MATCH(MOD(U$276-$F297-1,$F297)+1,$G$182:$AO$182,0))),0)</f>
        <v>0</v>
      </c>
      <c r="V297" s="378">
        <f t="shared" si="259"/>
        <v>1</v>
      </c>
      <c r="W297" s="378">
        <f t="shared" si="259"/>
        <v>0</v>
      </c>
      <c r="X297" s="378">
        <f t="shared" si="259"/>
        <v>1</v>
      </c>
      <c r="Y297" s="378">
        <f t="shared" si="259"/>
        <v>0</v>
      </c>
      <c r="Z297" s="378">
        <f t="shared" si="259"/>
        <v>0</v>
      </c>
      <c r="AA297" s="378">
        <f t="shared" si="259"/>
        <v>0</v>
      </c>
      <c r="AB297" s="378">
        <f t="shared" si="259"/>
        <v>0</v>
      </c>
      <c r="AC297" s="378">
        <f t="shared" si="259"/>
        <v>0</v>
      </c>
      <c r="AD297" s="378"/>
      <c r="AE297" s="378"/>
      <c r="AF297" s="378"/>
      <c r="AG297" s="378"/>
      <c r="AH297" s="378"/>
      <c r="AI297" s="378"/>
      <c r="AJ297" s="378"/>
      <c r="AK297" s="378"/>
      <c r="AL297" s="378"/>
      <c r="AM297" s="378"/>
      <c r="AN297" s="378"/>
      <c r="AO297" s="378"/>
      <c r="AP297" s="378"/>
      <c r="AQ297" s="378"/>
      <c r="AR297" s="378"/>
      <c r="AS297" s="378"/>
      <c r="AT297" s="378"/>
      <c r="AU297" s="218"/>
      <c r="AV297" s="218"/>
      <c r="AW297" s="218"/>
      <c r="AX297" s="218"/>
      <c r="AY297" s="218"/>
      <c r="AZ297" s="218"/>
      <c r="BA297" s="218"/>
      <c r="BB297" s="218"/>
      <c r="BC297" s="218"/>
      <c r="BD297" s="218"/>
      <c r="BE297" s="218"/>
      <c r="BF297" s="218"/>
      <c r="BN297">
        <f t="shared" si="222"/>
        <v>1</v>
      </c>
      <c r="BO297">
        <f t="shared" si="223"/>
        <v>2</v>
      </c>
      <c r="BP297">
        <f t="shared" si="224"/>
        <v>3</v>
      </c>
      <c r="BQ297">
        <f t="shared" si="225"/>
        <v>4</v>
      </c>
      <c r="BR297">
        <f t="shared" si="226"/>
        <v>5</v>
      </c>
      <c r="BS297">
        <f t="shared" si="227"/>
        <v>6</v>
      </c>
      <c r="BT297">
        <f t="shared" si="228"/>
        <v>7</v>
      </c>
      <c r="BU297">
        <f t="shared" si="229"/>
        <v>8</v>
      </c>
      <c r="BV297">
        <f t="shared" si="230"/>
        <v>9</v>
      </c>
      <c r="BW297">
        <f t="shared" si="231"/>
        <v>10</v>
      </c>
      <c r="BX297">
        <f t="shared" si="232"/>
        <v>11</v>
      </c>
      <c r="BY297">
        <f t="shared" si="233"/>
        <v>1</v>
      </c>
      <c r="BZ297">
        <f t="shared" si="234"/>
        <v>2</v>
      </c>
      <c r="CA297">
        <f t="shared" si="235"/>
        <v>3</v>
      </c>
      <c r="CB297">
        <f t="shared" si="236"/>
        <v>4</v>
      </c>
      <c r="CC297">
        <f t="shared" si="237"/>
        <v>5</v>
      </c>
      <c r="CD297">
        <f t="shared" si="238"/>
        <v>6</v>
      </c>
      <c r="CE297">
        <f t="shared" si="239"/>
        <v>7</v>
      </c>
      <c r="CF297">
        <f t="shared" si="240"/>
        <v>8</v>
      </c>
      <c r="CG297">
        <f t="shared" si="241"/>
        <v>0</v>
      </c>
      <c r="CH297">
        <f t="shared" si="242"/>
        <v>0</v>
      </c>
      <c r="CI297">
        <f t="shared" si="243"/>
        <v>0</v>
      </c>
      <c r="CJ297">
        <f t="shared" si="244"/>
        <v>0</v>
      </c>
      <c r="CK297">
        <f t="shared" si="245"/>
        <v>0</v>
      </c>
      <c r="CL297">
        <f t="shared" si="246"/>
        <v>0</v>
      </c>
      <c r="CM297">
        <f t="shared" si="247"/>
        <v>0</v>
      </c>
      <c r="CN297">
        <f t="shared" si="248"/>
        <v>0</v>
      </c>
      <c r="CO297">
        <f t="shared" si="249"/>
        <v>0</v>
      </c>
      <c r="CP297">
        <f t="shared" si="250"/>
        <v>0</v>
      </c>
      <c r="CQ297">
        <f t="shared" si="251"/>
        <v>0</v>
      </c>
      <c r="CR297">
        <f t="shared" si="252"/>
        <v>0</v>
      </c>
      <c r="CS297">
        <f t="shared" si="253"/>
        <v>0</v>
      </c>
      <c r="CT297">
        <f t="shared" si="254"/>
        <v>0</v>
      </c>
    </row>
    <row r="298" spans="2:98">
      <c r="B298" s="168" t="str">
        <f t="shared" si="215"/>
        <v/>
      </c>
      <c r="C298" s="165" t="str">
        <f t="shared" si="215"/>
        <v>Crane/ 120t</v>
      </c>
      <c r="D298" s="171" t="s">
        <v>896</v>
      </c>
      <c r="E298" s="436">
        <f t="shared" si="216"/>
        <v>2</v>
      </c>
      <c r="F298" s="174">
        <f>VLOOKUP(C298,Equipment!$C$5:$V$47,Equipment!O$1,FALSE)</f>
        <v>15</v>
      </c>
      <c r="G298" s="378">
        <f t="shared" si="221"/>
        <v>0</v>
      </c>
      <c r="H298" s="378">
        <f t="shared" si="257"/>
        <v>0</v>
      </c>
      <c r="I298" s="378">
        <f t="shared" si="257"/>
        <v>0</v>
      </c>
      <c r="J298" s="378">
        <f t="shared" si="257"/>
        <v>0</v>
      </c>
      <c r="K298" s="378">
        <f t="shared" si="258"/>
        <v>0</v>
      </c>
      <c r="L298" s="378">
        <f t="shared" si="258"/>
        <v>0</v>
      </c>
      <c r="M298" s="378">
        <f t="shared" si="258"/>
        <v>0</v>
      </c>
      <c r="N298" s="378">
        <f t="shared" si="258"/>
        <v>0</v>
      </c>
      <c r="O298" s="378">
        <f t="shared" si="258"/>
        <v>0</v>
      </c>
      <c r="P298" s="378">
        <f t="shared" si="258"/>
        <v>0</v>
      </c>
      <c r="Q298" s="378">
        <f t="shared" si="258"/>
        <v>0</v>
      </c>
      <c r="R298" s="378">
        <f t="shared" si="258"/>
        <v>0</v>
      </c>
      <c r="S298" s="378">
        <f t="shared" si="258"/>
        <v>0</v>
      </c>
      <c r="T298" s="378">
        <f t="shared" si="258"/>
        <v>0</v>
      </c>
      <c r="U298" s="378">
        <f t="shared" si="259"/>
        <v>0</v>
      </c>
      <c r="V298" s="378">
        <f t="shared" si="259"/>
        <v>0</v>
      </c>
      <c r="W298" s="378">
        <f t="shared" si="259"/>
        <v>0</v>
      </c>
      <c r="X298" s="378">
        <f t="shared" si="259"/>
        <v>0</v>
      </c>
      <c r="Y298" s="378">
        <f t="shared" si="259"/>
        <v>0</v>
      </c>
      <c r="Z298" s="378">
        <f t="shared" si="259"/>
        <v>1</v>
      </c>
      <c r="AA298" s="378">
        <f t="shared" si="259"/>
        <v>0</v>
      </c>
      <c r="AB298" s="378">
        <f t="shared" si="259"/>
        <v>1</v>
      </c>
      <c r="AC298" s="378">
        <f t="shared" si="259"/>
        <v>0</v>
      </c>
      <c r="AD298" s="378"/>
      <c r="AE298" s="378"/>
      <c r="AF298" s="378"/>
      <c r="AG298" s="378"/>
      <c r="AH298" s="378"/>
      <c r="AI298" s="378"/>
      <c r="AJ298" s="378"/>
      <c r="AK298" s="378"/>
      <c r="AL298" s="378"/>
      <c r="AM298" s="378"/>
      <c r="AN298" s="378"/>
      <c r="AO298" s="378"/>
      <c r="AP298" s="378"/>
      <c r="AQ298" s="378"/>
      <c r="AR298" s="378"/>
      <c r="AS298" s="378"/>
      <c r="AT298" s="378"/>
      <c r="AU298" s="218"/>
      <c r="AV298" s="218"/>
      <c r="AW298" s="218"/>
      <c r="AX298" s="218"/>
      <c r="AY298" s="218"/>
      <c r="AZ298" s="218"/>
      <c r="BA298" s="218"/>
      <c r="BB298" s="218"/>
      <c r="BC298" s="218"/>
      <c r="BD298" s="218"/>
      <c r="BE298" s="218"/>
      <c r="BF298" s="218"/>
      <c r="BN298">
        <f t="shared" si="222"/>
        <v>1</v>
      </c>
      <c r="BO298">
        <f t="shared" si="223"/>
        <v>2</v>
      </c>
      <c r="BP298">
        <f t="shared" si="224"/>
        <v>3</v>
      </c>
      <c r="BQ298">
        <f t="shared" si="225"/>
        <v>4</v>
      </c>
      <c r="BR298">
        <f t="shared" si="226"/>
        <v>5</v>
      </c>
      <c r="BS298">
        <f t="shared" si="227"/>
        <v>6</v>
      </c>
      <c r="BT298">
        <f t="shared" si="228"/>
        <v>7</v>
      </c>
      <c r="BU298">
        <f t="shared" si="229"/>
        <v>8</v>
      </c>
      <c r="BV298">
        <f t="shared" si="230"/>
        <v>9</v>
      </c>
      <c r="BW298">
        <f t="shared" si="231"/>
        <v>10</v>
      </c>
      <c r="BX298">
        <f t="shared" si="232"/>
        <v>11</v>
      </c>
      <c r="BY298">
        <f t="shared" si="233"/>
        <v>12</v>
      </c>
      <c r="BZ298">
        <f t="shared" si="234"/>
        <v>13</v>
      </c>
      <c r="CA298">
        <f t="shared" si="235"/>
        <v>14</v>
      </c>
      <c r="CB298">
        <f t="shared" si="236"/>
        <v>15</v>
      </c>
      <c r="CC298">
        <f t="shared" si="237"/>
        <v>1</v>
      </c>
      <c r="CD298">
        <f t="shared" si="238"/>
        <v>2</v>
      </c>
      <c r="CE298">
        <f t="shared" si="239"/>
        <v>3</v>
      </c>
      <c r="CF298">
        <f t="shared" si="240"/>
        <v>4</v>
      </c>
      <c r="CG298">
        <f t="shared" si="241"/>
        <v>0</v>
      </c>
      <c r="CH298">
        <f t="shared" si="242"/>
        <v>0</v>
      </c>
      <c r="CI298">
        <f t="shared" si="243"/>
        <v>0</v>
      </c>
      <c r="CJ298">
        <f t="shared" si="244"/>
        <v>0</v>
      </c>
      <c r="CK298">
        <f t="shared" si="245"/>
        <v>0</v>
      </c>
      <c r="CL298">
        <f t="shared" si="246"/>
        <v>0</v>
      </c>
      <c r="CM298">
        <f t="shared" si="247"/>
        <v>0</v>
      </c>
      <c r="CN298">
        <f t="shared" si="248"/>
        <v>0</v>
      </c>
      <c r="CO298">
        <f t="shared" si="249"/>
        <v>0</v>
      </c>
      <c r="CP298">
        <f t="shared" si="250"/>
        <v>0</v>
      </c>
      <c r="CQ298">
        <f t="shared" si="251"/>
        <v>0</v>
      </c>
      <c r="CR298">
        <f t="shared" si="252"/>
        <v>0</v>
      </c>
      <c r="CS298">
        <f t="shared" si="253"/>
        <v>0</v>
      </c>
      <c r="CT298">
        <f t="shared" si="254"/>
        <v>0</v>
      </c>
    </row>
    <row r="299" spans="2:98">
      <c r="B299" s="168" t="str">
        <f t="shared" si="215"/>
        <v/>
      </c>
      <c r="C299" s="165" t="str">
        <f t="shared" si="215"/>
        <v>Crane/ 60t</v>
      </c>
      <c r="D299" s="171" t="s">
        <v>896</v>
      </c>
      <c r="E299" s="436">
        <f t="shared" si="216"/>
        <v>2</v>
      </c>
      <c r="F299" s="174">
        <f>VLOOKUP(C299,Equipment!$C$5:$V$47,Equipment!O$1,FALSE)</f>
        <v>15</v>
      </c>
      <c r="G299" s="378">
        <f t="shared" si="221"/>
        <v>0</v>
      </c>
      <c r="H299" s="378">
        <f t="shared" si="257"/>
        <v>0</v>
      </c>
      <c r="I299" s="378">
        <f t="shared" si="257"/>
        <v>0</v>
      </c>
      <c r="J299" s="378">
        <f t="shared" si="257"/>
        <v>0</v>
      </c>
      <c r="K299" s="378">
        <f t="shared" si="258"/>
        <v>0</v>
      </c>
      <c r="L299" s="378">
        <f t="shared" si="258"/>
        <v>0</v>
      </c>
      <c r="M299" s="378">
        <f t="shared" si="258"/>
        <v>0</v>
      </c>
      <c r="N299" s="378">
        <f t="shared" si="258"/>
        <v>0</v>
      </c>
      <c r="O299" s="378">
        <f t="shared" si="258"/>
        <v>0</v>
      </c>
      <c r="P299" s="378">
        <f t="shared" si="258"/>
        <v>0</v>
      </c>
      <c r="Q299" s="378">
        <f t="shared" si="258"/>
        <v>0</v>
      </c>
      <c r="R299" s="378">
        <f t="shared" si="258"/>
        <v>0</v>
      </c>
      <c r="S299" s="378">
        <f t="shared" si="258"/>
        <v>0</v>
      </c>
      <c r="T299" s="378">
        <f t="shared" si="258"/>
        <v>0</v>
      </c>
      <c r="U299" s="378">
        <f t="shared" si="259"/>
        <v>0</v>
      </c>
      <c r="V299" s="378">
        <f t="shared" si="259"/>
        <v>0</v>
      </c>
      <c r="W299" s="378">
        <f t="shared" si="259"/>
        <v>0</v>
      </c>
      <c r="X299" s="378">
        <f t="shared" si="259"/>
        <v>0</v>
      </c>
      <c r="Y299" s="378">
        <f t="shared" si="259"/>
        <v>0</v>
      </c>
      <c r="Z299" s="378">
        <f t="shared" si="259"/>
        <v>1</v>
      </c>
      <c r="AA299" s="378">
        <f t="shared" si="259"/>
        <v>0</v>
      </c>
      <c r="AB299" s="378">
        <f t="shared" si="259"/>
        <v>1</v>
      </c>
      <c r="AC299" s="378">
        <f t="shared" si="259"/>
        <v>0</v>
      </c>
      <c r="AD299" s="378"/>
      <c r="AE299" s="378"/>
      <c r="AF299" s="378"/>
      <c r="AG299" s="378"/>
      <c r="AH299" s="378"/>
      <c r="AI299" s="378"/>
      <c r="AJ299" s="378"/>
      <c r="AK299" s="378"/>
      <c r="AL299" s="378"/>
      <c r="AM299" s="378"/>
      <c r="AN299" s="378"/>
      <c r="AO299" s="378"/>
      <c r="AP299" s="378"/>
      <c r="AQ299" s="378"/>
      <c r="AR299" s="378"/>
      <c r="AS299" s="378"/>
      <c r="AT299" s="378"/>
      <c r="AU299" s="218"/>
      <c r="AV299" s="218"/>
      <c r="AW299" s="218"/>
      <c r="AX299" s="218"/>
      <c r="AY299" s="218"/>
      <c r="AZ299" s="218"/>
      <c r="BA299" s="218"/>
      <c r="BB299" s="218"/>
      <c r="BC299" s="218"/>
      <c r="BD299" s="218"/>
      <c r="BE299" s="218"/>
      <c r="BF299" s="218"/>
      <c r="BN299">
        <f t="shared" si="222"/>
        <v>1</v>
      </c>
      <c r="BO299">
        <f t="shared" si="223"/>
        <v>2</v>
      </c>
      <c r="BP299">
        <f t="shared" si="224"/>
        <v>3</v>
      </c>
      <c r="BQ299">
        <f t="shared" si="225"/>
        <v>4</v>
      </c>
      <c r="BR299">
        <f t="shared" si="226"/>
        <v>5</v>
      </c>
      <c r="BS299">
        <f t="shared" si="227"/>
        <v>6</v>
      </c>
      <c r="BT299">
        <f t="shared" si="228"/>
        <v>7</v>
      </c>
      <c r="BU299">
        <f t="shared" si="229"/>
        <v>8</v>
      </c>
      <c r="BV299">
        <f t="shared" si="230"/>
        <v>9</v>
      </c>
      <c r="BW299">
        <f t="shared" si="231"/>
        <v>10</v>
      </c>
      <c r="BX299">
        <f t="shared" si="232"/>
        <v>11</v>
      </c>
      <c r="BY299">
        <f t="shared" si="233"/>
        <v>12</v>
      </c>
      <c r="BZ299">
        <f t="shared" si="234"/>
        <v>13</v>
      </c>
      <c r="CA299">
        <f t="shared" si="235"/>
        <v>14</v>
      </c>
      <c r="CB299">
        <f t="shared" si="236"/>
        <v>15</v>
      </c>
      <c r="CC299">
        <f t="shared" si="237"/>
        <v>1</v>
      </c>
      <c r="CD299">
        <f t="shared" si="238"/>
        <v>2</v>
      </c>
      <c r="CE299">
        <f t="shared" si="239"/>
        <v>3</v>
      </c>
      <c r="CF299">
        <f t="shared" si="240"/>
        <v>4</v>
      </c>
      <c r="CG299">
        <f t="shared" si="241"/>
        <v>0</v>
      </c>
      <c r="CH299">
        <f t="shared" si="242"/>
        <v>0</v>
      </c>
      <c r="CI299">
        <f t="shared" si="243"/>
        <v>0</v>
      </c>
      <c r="CJ299">
        <f t="shared" si="244"/>
        <v>0</v>
      </c>
      <c r="CK299">
        <f t="shared" si="245"/>
        <v>0</v>
      </c>
      <c r="CL299">
        <f t="shared" si="246"/>
        <v>0</v>
      </c>
      <c r="CM299">
        <f t="shared" si="247"/>
        <v>0</v>
      </c>
      <c r="CN299">
        <f t="shared" si="248"/>
        <v>0</v>
      </c>
      <c r="CO299">
        <f t="shared" si="249"/>
        <v>0</v>
      </c>
      <c r="CP299">
        <f t="shared" si="250"/>
        <v>0</v>
      </c>
      <c r="CQ299">
        <f t="shared" si="251"/>
        <v>0</v>
      </c>
      <c r="CR299">
        <f t="shared" si="252"/>
        <v>0</v>
      </c>
      <c r="CS299">
        <f t="shared" si="253"/>
        <v>0</v>
      </c>
      <c r="CT299">
        <f t="shared" si="254"/>
        <v>0</v>
      </c>
    </row>
    <row r="300" spans="2:98">
      <c r="B300" s="168" t="str">
        <f t="shared" si="215"/>
        <v/>
      </c>
      <c r="C300" s="165" t="str">
        <f t="shared" si="215"/>
        <v>Crane/ 12t</v>
      </c>
      <c r="D300" s="171" t="s">
        <v>896</v>
      </c>
      <c r="E300" s="436">
        <f t="shared" si="216"/>
        <v>2</v>
      </c>
      <c r="F300" s="174">
        <f>VLOOKUP(C300,Equipment!$C$5:$V$47,Equipment!O$1,FALSE)</f>
        <v>15</v>
      </c>
      <c r="G300" s="378">
        <f t="shared" si="221"/>
        <v>0</v>
      </c>
      <c r="H300" s="378">
        <f t="shared" si="257"/>
        <v>0</v>
      </c>
      <c r="I300" s="378">
        <f t="shared" si="257"/>
        <v>0</v>
      </c>
      <c r="J300" s="378">
        <f t="shared" si="257"/>
        <v>0</v>
      </c>
      <c r="K300" s="378">
        <f t="shared" si="258"/>
        <v>0</v>
      </c>
      <c r="L300" s="378">
        <f t="shared" si="258"/>
        <v>0</v>
      </c>
      <c r="M300" s="378">
        <f t="shared" si="258"/>
        <v>0</v>
      </c>
      <c r="N300" s="378">
        <f t="shared" si="258"/>
        <v>0</v>
      </c>
      <c r="O300" s="378">
        <f t="shared" si="258"/>
        <v>0</v>
      </c>
      <c r="P300" s="378">
        <f t="shared" si="258"/>
        <v>0</v>
      </c>
      <c r="Q300" s="378">
        <f t="shared" si="258"/>
        <v>0</v>
      </c>
      <c r="R300" s="378">
        <f t="shared" si="258"/>
        <v>0</v>
      </c>
      <c r="S300" s="378">
        <f t="shared" si="258"/>
        <v>0</v>
      </c>
      <c r="T300" s="378">
        <f t="shared" si="258"/>
        <v>0</v>
      </c>
      <c r="U300" s="378">
        <f t="shared" si="259"/>
        <v>0</v>
      </c>
      <c r="V300" s="378">
        <f t="shared" si="259"/>
        <v>0</v>
      </c>
      <c r="W300" s="378">
        <f t="shared" si="259"/>
        <v>0</v>
      </c>
      <c r="X300" s="378">
        <f t="shared" si="259"/>
        <v>0</v>
      </c>
      <c r="Y300" s="378">
        <f t="shared" si="259"/>
        <v>0</v>
      </c>
      <c r="Z300" s="378">
        <f t="shared" si="259"/>
        <v>1</v>
      </c>
      <c r="AA300" s="378">
        <f t="shared" si="259"/>
        <v>0</v>
      </c>
      <c r="AB300" s="378">
        <f t="shared" si="259"/>
        <v>1</v>
      </c>
      <c r="AC300" s="378">
        <f t="shared" si="259"/>
        <v>0</v>
      </c>
      <c r="AD300" s="378"/>
      <c r="AE300" s="378"/>
      <c r="AF300" s="378"/>
      <c r="AG300" s="378"/>
      <c r="AH300" s="378"/>
      <c r="AI300" s="378"/>
      <c r="AJ300" s="378"/>
      <c r="AK300" s="378"/>
      <c r="AL300" s="378"/>
      <c r="AM300" s="378"/>
      <c r="AN300" s="378"/>
      <c r="AO300" s="378"/>
      <c r="AP300" s="378"/>
      <c r="AQ300" s="378"/>
      <c r="AR300" s="378"/>
      <c r="AS300" s="378"/>
      <c r="AT300" s="378"/>
      <c r="AU300" s="218"/>
      <c r="AV300" s="218"/>
      <c r="AW300" s="218"/>
      <c r="AX300" s="218"/>
      <c r="AY300" s="218"/>
      <c r="AZ300" s="218"/>
      <c r="BA300" s="218"/>
      <c r="BB300" s="218"/>
      <c r="BC300" s="218"/>
      <c r="BD300" s="218"/>
      <c r="BE300" s="218"/>
      <c r="BF300" s="218"/>
      <c r="BN300">
        <f t="shared" si="222"/>
        <v>1</v>
      </c>
      <c r="BO300">
        <f t="shared" si="223"/>
        <v>2</v>
      </c>
      <c r="BP300">
        <f t="shared" si="224"/>
        <v>3</v>
      </c>
      <c r="BQ300">
        <f t="shared" si="225"/>
        <v>4</v>
      </c>
      <c r="BR300">
        <f t="shared" si="226"/>
        <v>5</v>
      </c>
      <c r="BS300">
        <f t="shared" si="227"/>
        <v>6</v>
      </c>
      <c r="BT300">
        <f t="shared" si="228"/>
        <v>7</v>
      </c>
      <c r="BU300">
        <f t="shared" si="229"/>
        <v>8</v>
      </c>
      <c r="BV300">
        <f t="shared" si="230"/>
        <v>9</v>
      </c>
      <c r="BW300">
        <f t="shared" si="231"/>
        <v>10</v>
      </c>
      <c r="BX300">
        <f t="shared" si="232"/>
        <v>11</v>
      </c>
      <c r="BY300">
        <f t="shared" si="233"/>
        <v>12</v>
      </c>
      <c r="BZ300">
        <f t="shared" si="234"/>
        <v>13</v>
      </c>
      <c r="CA300">
        <f t="shared" si="235"/>
        <v>14</v>
      </c>
      <c r="CB300">
        <f t="shared" si="236"/>
        <v>15</v>
      </c>
      <c r="CC300">
        <f t="shared" si="237"/>
        <v>1</v>
      </c>
      <c r="CD300">
        <f t="shared" si="238"/>
        <v>2</v>
      </c>
      <c r="CE300">
        <f t="shared" si="239"/>
        <v>3</v>
      </c>
      <c r="CF300">
        <f t="shared" si="240"/>
        <v>4</v>
      </c>
      <c r="CG300">
        <f t="shared" si="241"/>
        <v>0</v>
      </c>
      <c r="CH300">
        <f t="shared" si="242"/>
        <v>0</v>
      </c>
      <c r="CI300">
        <f t="shared" si="243"/>
        <v>0</v>
      </c>
      <c r="CJ300">
        <f t="shared" si="244"/>
        <v>0</v>
      </c>
      <c r="CK300">
        <f t="shared" si="245"/>
        <v>0</v>
      </c>
      <c r="CL300">
        <f t="shared" si="246"/>
        <v>0</v>
      </c>
      <c r="CM300">
        <f t="shared" si="247"/>
        <v>0</v>
      </c>
      <c r="CN300">
        <f t="shared" si="248"/>
        <v>0</v>
      </c>
      <c r="CO300">
        <f t="shared" si="249"/>
        <v>0</v>
      </c>
      <c r="CP300">
        <f t="shared" si="250"/>
        <v>0</v>
      </c>
      <c r="CQ300">
        <f t="shared" si="251"/>
        <v>0</v>
      </c>
      <c r="CR300">
        <f t="shared" si="252"/>
        <v>0</v>
      </c>
      <c r="CS300">
        <f t="shared" si="253"/>
        <v>0</v>
      </c>
      <c r="CT300">
        <f t="shared" si="254"/>
        <v>0</v>
      </c>
    </row>
    <row r="301" spans="2:98">
      <c r="B301" s="168" t="str">
        <f t="shared" si="215"/>
        <v/>
      </c>
      <c r="C301" s="165" t="str">
        <f t="shared" si="215"/>
        <v>Crane/ 8t</v>
      </c>
      <c r="D301" s="171" t="s">
        <v>896</v>
      </c>
      <c r="E301" s="436">
        <f t="shared" si="216"/>
        <v>2</v>
      </c>
      <c r="F301" s="174">
        <f>VLOOKUP(C301,Equipment!$C$5:$V$47,Equipment!O$1,FALSE)</f>
        <v>15</v>
      </c>
      <c r="G301" s="378">
        <f t="shared" si="221"/>
        <v>0</v>
      </c>
      <c r="H301" s="378">
        <f t="shared" si="257"/>
        <v>0</v>
      </c>
      <c r="I301" s="378">
        <f t="shared" si="257"/>
        <v>0</v>
      </c>
      <c r="J301" s="378">
        <f t="shared" si="257"/>
        <v>0</v>
      </c>
      <c r="K301" s="378">
        <f t="shared" si="258"/>
        <v>0</v>
      </c>
      <c r="L301" s="378">
        <f t="shared" si="258"/>
        <v>0</v>
      </c>
      <c r="M301" s="378">
        <f t="shared" si="258"/>
        <v>0</v>
      </c>
      <c r="N301" s="378">
        <f t="shared" si="258"/>
        <v>0</v>
      </c>
      <c r="O301" s="378">
        <f t="shared" si="258"/>
        <v>0</v>
      </c>
      <c r="P301" s="378">
        <f t="shared" si="258"/>
        <v>0</v>
      </c>
      <c r="Q301" s="378">
        <f t="shared" si="258"/>
        <v>0</v>
      </c>
      <c r="R301" s="378">
        <f t="shared" si="258"/>
        <v>0</v>
      </c>
      <c r="S301" s="378">
        <f t="shared" si="258"/>
        <v>0</v>
      </c>
      <c r="T301" s="378">
        <f t="shared" si="258"/>
        <v>0</v>
      </c>
      <c r="U301" s="378">
        <f t="shared" si="259"/>
        <v>0</v>
      </c>
      <c r="V301" s="378">
        <f t="shared" si="259"/>
        <v>0</v>
      </c>
      <c r="W301" s="378">
        <f t="shared" si="259"/>
        <v>0</v>
      </c>
      <c r="X301" s="378">
        <f t="shared" si="259"/>
        <v>0</v>
      </c>
      <c r="Y301" s="378">
        <f t="shared" si="259"/>
        <v>0</v>
      </c>
      <c r="Z301" s="378">
        <f t="shared" si="259"/>
        <v>1</v>
      </c>
      <c r="AA301" s="378">
        <f t="shared" si="259"/>
        <v>0</v>
      </c>
      <c r="AB301" s="378">
        <f t="shared" si="259"/>
        <v>1</v>
      </c>
      <c r="AC301" s="378">
        <f t="shared" si="259"/>
        <v>0</v>
      </c>
      <c r="AD301" s="378"/>
      <c r="AE301" s="378"/>
      <c r="AF301" s="378"/>
      <c r="AG301" s="378"/>
      <c r="AH301" s="378"/>
      <c r="AI301" s="378"/>
      <c r="AJ301" s="378"/>
      <c r="AK301" s="378"/>
      <c r="AL301" s="378"/>
      <c r="AM301" s="378"/>
      <c r="AN301" s="378"/>
      <c r="AO301" s="378"/>
      <c r="AP301" s="378"/>
      <c r="AQ301" s="378"/>
      <c r="AR301" s="378"/>
      <c r="AS301" s="378"/>
      <c r="AT301" s="378"/>
      <c r="AU301" s="218"/>
      <c r="AV301" s="218"/>
      <c r="AW301" s="218"/>
      <c r="AX301" s="218"/>
      <c r="AY301" s="218"/>
      <c r="AZ301" s="218"/>
      <c r="BA301" s="218"/>
      <c r="BB301" s="218"/>
      <c r="BC301" s="218"/>
      <c r="BD301" s="218"/>
      <c r="BE301" s="218"/>
      <c r="BF301" s="218"/>
      <c r="BN301">
        <f t="shared" si="222"/>
        <v>1</v>
      </c>
      <c r="BO301">
        <f t="shared" si="223"/>
        <v>2</v>
      </c>
      <c r="BP301">
        <f t="shared" si="224"/>
        <v>3</v>
      </c>
      <c r="BQ301">
        <f t="shared" si="225"/>
        <v>4</v>
      </c>
      <c r="BR301">
        <f t="shared" si="226"/>
        <v>5</v>
      </c>
      <c r="BS301">
        <f t="shared" si="227"/>
        <v>6</v>
      </c>
      <c r="BT301">
        <f t="shared" si="228"/>
        <v>7</v>
      </c>
      <c r="BU301">
        <f t="shared" si="229"/>
        <v>8</v>
      </c>
      <c r="BV301">
        <f t="shared" si="230"/>
        <v>9</v>
      </c>
      <c r="BW301">
        <f t="shared" si="231"/>
        <v>10</v>
      </c>
      <c r="BX301">
        <f t="shared" si="232"/>
        <v>11</v>
      </c>
      <c r="BY301">
        <f t="shared" si="233"/>
        <v>12</v>
      </c>
      <c r="BZ301">
        <f t="shared" si="234"/>
        <v>13</v>
      </c>
      <c r="CA301">
        <f t="shared" si="235"/>
        <v>14</v>
      </c>
      <c r="CB301">
        <f t="shared" si="236"/>
        <v>15</v>
      </c>
      <c r="CC301">
        <f t="shared" si="237"/>
        <v>1</v>
      </c>
      <c r="CD301">
        <f t="shared" si="238"/>
        <v>2</v>
      </c>
      <c r="CE301">
        <f t="shared" si="239"/>
        <v>3</v>
      </c>
      <c r="CF301">
        <f t="shared" si="240"/>
        <v>4</v>
      </c>
      <c r="CG301">
        <f t="shared" si="241"/>
        <v>0</v>
      </c>
      <c r="CH301">
        <f t="shared" si="242"/>
        <v>0</v>
      </c>
      <c r="CI301">
        <f t="shared" si="243"/>
        <v>0</v>
      </c>
      <c r="CJ301">
        <f t="shared" si="244"/>
        <v>0</v>
      </c>
      <c r="CK301">
        <f t="shared" si="245"/>
        <v>0</v>
      </c>
      <c r="CL301">
        <f t="shared" si="246"/>
        <v>0</v>
      </c>
      <c r="CM301">
        <f t="shared" si="247"/>
        <v>0</v>
      </c>
      <c r="CN301">
        <f t="shared" si="248"/>
        <v>0</v>
      </c>
      <c r="CO301">
        <f t="shared" si="249"/>
        <v>0</v>
      </c>
      <c r="CP301">
        <f t="shared" si="250"/>
        <v>0</v>
      </c>
      <c r="CQ301">
        <f t="shared" si="251"/>
        <v>0</v>
      </c>
      <c r="CR301">
        <f t="shared" si="252"/>
        <v>0</v>
      </c>
      <c r="CS301">
        <f t="shared" si="253"/>
        <v>0</v>
      </c>
      <c r="CT301">
        <f t="shared" si="254"/>
        <v>0</v>
      </c>
    </row>
    <row r="302" spans="2:98">
      <c r="B302" s="168" t="str">
        <f t="shared" si="215"/>
        <v/>
      </c>
      <c r="C302" s="165" t="str">
        <f t="shared" si="215"/>
        <v>Water Sprinkler/ 28KL</v>
      </c>
      <c r="D302" s="171" t="s">
        <v>896</v>
      </c>
      <c r="E302" s="436">
        <f t="shared" si="216"/>
        <v>3</v>
      </c>
      <c r="F302" s="174">
        <f>VLOOKUP(C302,Equipment!$C$5:$V$47,Equipment!O$1,FALSE)</f>
        <v>9</v>
      </c>
      <c r="G302" s="378">
        <f t="shared" si="221"/>
        <v>0</v>
      </c>
      <c r="H302" s="378">
        <f t="shared" si="257"/>
        <v>0</v>
      </c>
      <c r="I302" s="378">
        <f t="shared" si="257"/>
        <v>0</v>
      </c>
      <c r="J302" s="378">
        <f t="shared" si="257"/>
        <v>0</v>
      </c>
      <c r="K302" s="378">
        <f t="shared" si="258"/>
        <v>0</v>
      </c>
      <c r="L302" s="378">
        <f t="shared" si="258"/>
        <v>0</v>
      </c>
      <c r="M302" s="378">
        <f t="shared" si="258"/>
        <v>0</v>
      </c>
      <c r="N302" s="378">
        <f t="shared" si="258"/>
        <v>0</v>
      </c>
      <c r="O302" s="378">
        <f t="shared" si="258"/>
        <v>0</v>
      </c>
      <c r="P302" s="378">
        <f t="shared" si="258"/>
        <v>0</v>
      </c>
      <c r="Q302" s="378">
        <f t="shared" si="258"/>
        <v>0</v>
      </c>
      <c r="R302" s="378">
        <f t="shared" si="258"/>
        <v>0</v>
      </c>
      <c r="S302" s="378">
        <f t="shared" si="258"/>
        <v>0</v>
      </c>
      <c r="T302" s="378">
        <f t="shared" si="258"/>
        <v>1</v>
      </c>
      <c r="U302" s="378">
        <f t="shared" si="259"/>
        <v>0</v>
      </c>
      <c r="V302" s="378">
        <f t="shared" si="259"/>
        <v>1</v>
      </c>
      <c r="W302" s="378">
        <f t="shared" si="259"/>
        <v>0</v>
      </c>
      <c r="X302" s="378">
        <f t="shared" si="259"/>
        <v>0</v>
      </c>
      <c r="Y302" s="378">
        <f t="shared" si="259"/>
        <v>0</v>
      </c>
      <c r="Z302" s="378">
        <f t="shared" si="259"/>
        <v>0</v>
      </c>
      <c r="AA302" s="378">
        <f t="shared" si="259"/>
        <v>0</v>
      </c>
      <c r="AB302" s="378">
        <f t="shared" si="259"/>
        <v>0</v>
      </c>
      <c r="AC302" s="378">
        <f t="shared" si="259"/>
        <v>1</v>
      </c>
      <c r="AD302" s="378"/>
      <c r="AE302" s="378"/>
      <c r="AF302" s="378"/>
      <c r="AG302" s="378"/>
      <c r="AH302" s="378"/>
      <c r="AI302" s="378"/>
      <c r="AJ302" s="378"/>
      <c r="AK302" s="378"/>
      <c r="AL302" s="378"/>
      <c r="AM302" s="378"/>
      <c r="AN302" s="378"/>
      <c r="AO302" s="378"/>
      <c r="AP302" s="378"/>
      <c r="AQ302" s="378"/>
      <c r="AR302" s="378"/>
      <c r="AS302" s="378"/>
      <c r="AT302" s="378"/>
      <c r="AU302" s="218"/>
      <c r="AV302" s="218"/>
      <c r="AW302" s="218"/>
      <c r="AX302" s="218"/>
      <c r="AY302" s="218"/>
      <c r="AZ302" s="218"/>
      <c r="BA302" s="218"/>
      <c r="BB302" s="218"/>
      <c r="BC302" s="218"/>
      <c r="BD302" s="218"/>
      <c r="BE302" s="218"/>
      <c r="BF302" s="218"/>
      <c r="BN302">
        <f t="shared" si="222"/>
        <v>1</v>
      </c>
      <c r="BO302">
        <f t="shared" si="223"/>
        <v>2</v>
      </c>
      <c r="BP302">
        <f t="shared" si="224"/>
        <v>3</v>
      </c>
      <c r="BQ302">
        <f t="shared" si="225"/>
        <v>4</v>
      </c>
      <c r="BR302">
        <f t="shared" si="226"/>
        <v>5</v>
      </c>
      <c r="BS302">
        <f t="shared" si="227"/>
        <v>6</v>
      </c>
      <c r="BT302">
        <f t="shared" si="228"/>
        <v>7</v>
      </c>
      <c r="BU302">
        <f t="shared" si="229"/>
        <v>8</v>
      </c>
      <c r="BV302">
        <f t="shared" si="230"/>
        <v>9</v>
      </c>
      <c r="BW302">
        <f t="shared" si="231"/>
        <v>1</v>
      </c>
      <c r="BX302">
        <f t="shared" si="232"/>
        <v>2</v>
      </c>
      <c r="BY302">
        <f t="shared" si="233"/>
        <v>3</v>
      </c>
      <c r="BZ302">
        <f t="shared" si="234"/>
        <v>4</v>
      </c>
      <c r="CA302">
        <f t="shared" si="235"/>
        <v>5</v>
      </c>
      <c r="CB302">
        <f t="shared" si="236"/>
        <v>6</v>
      </c>
      <c r="CC302">
        <f t="shared" si="237"/>
        <v>7</v>
      </c>
      <c r="CD302">
        <f t="shared" si="238"/>
        <v>8</v>
      </c>
      <c r="CE302">
        <f t="shared" si="239"/>
        <v>9</v>
      </c>
      <c r="CF302">
        <f t="shared" si="240"/>
        <v>1</v>
      </c>
      <c r="CG302">
        <f t="shared" si="241"/>
        <v>0</v>
      </c>
      <c r="CH302">
        <f t="shared" si="242"/>
        <v>0</v>
      </c>
      <c r="CI302">
        <f t="shared" si="243"/>
        <v>0</v>
      </c>
      <c r="CJ302">
        <f t="shared" si="244"/>
        <v>0</v>
      </c>
      <c r="CK302">
        <f t="shared" si="245"/>
        <v>0</v>
      </c>
      <c r="CL302">
        <f t="shared" si="246"/>
        <v>0</v>
      </c>
      <c r="CM302">
        <f t="shared" si="247"/>
        <v>0</v>
      </c>
      <c r="CN302">
        <f t="shared" si="248"/>
        <v>0</v>
      </c>
      <c r="CO302">
        <f t="shared" si="249"/>
        <v>0</v>
      </c>
      <c r="CP302">
        <f t="shared" si="250"/>
        <v>0</v>
      </c>
      <c r="CQ302">
        <f t="shared" si="251"/>
        <v>0</v>
      </c>
      <c r="CR302">
        <f t="shared" si="252"/>
        <v>0</v>
      </c>
      <c r="CS302">
        <f t="shared" si="253"/>
        <v>0</v>
      </c>
      <c r="CT302">
        <f t="shared" si="254"/>
        <v>0</v>
      </c>
    </row>
    <row r="303" spans="2:98">
      <c r="B303" s="168" t="str">
        <f t="shared" si="215"/>
        <v/>
      </c>
      <c r="C303" s="165" t="str">
        <f t="shared" si="215"/>
        <v>Diesel Bowser/ 9KL</v>
      </c>
      <c r="D303" s="171" t="s">
        <v>896</v>
      </c>
      <c r="E303" s="436">
        <f t="shared" si="216"/>
        <v>2</v>
      </c>
      <c r="F303" s="174">
        <f>VLOOKUP(C303,Equipment!$C$5:$V$47,Equipment!O$1,FALSE)</f>
        <v>12</v>
      </c>
      <c r="G303" s="378">
        <f t="shared" si="221"/>
        <v>0</v>
      </c>
      <c r="H303" s="378">
        <f t="shared" si="257"/>
        <v>0</v>
      </c>
      <c r="I303" s="378">
        <f t="shared" si="257"/>
        <v>0</v>
      </c>
      <c r="J303" s="378">
        <f t="shared" si="257"/>
        <v>0</v>
      </c>
      <c r="K303" s="378">
        <f t="shared" si="258"/>
        <v>0</v>
      </c>
      <c r="L303" s="378">
        <f t="shared" si="258"/>
        <v>0</v>
      </c>
      <c r="M303" s="378">
        <f t="shared" si="258"/>
        <v>0</v>
      </c>
      <c r="N303" s="378">
        <f t="shared" si="258"/>
        <v>0</v>
      </c>
      <c r="O303" s="378">
        <f t="shared" si="258"/>
        <v>0</v>
      </c>
      <c r="P303" s="378">
        <f t="shared" si="258"/>
        <v>0</v>
      </c>
      <c r="Q303" s="378">
        <f t="shared" si="258"/>
        <v>0</v>
      </c>
      <c r="R303" s="378">
        <f t="shared" si="258"/>
        <v>0</v>
      </c>
      <c r="S303" s="378">
        <f t="shared" si="258"/>
        <v>0</v>
      </c>
      <c r="T303" s="378">
        <f t="shared" si="258"/>
        <v>0</v>
      </c>
      <c r="U303" s="378">
        <f t="shared" si="259"/>
        <v>0</v>
      </c>
      <c r="V303" s="378">
        <f t="shared" si="259"/>
        <v>0</v>
      </c>
      <c r="W303" s="378">
        <f t="shared" si="259"/>
        <v>1</v>
      </c>
      <c r="X303" s="378">
        <f t="shared" si="259"/>
        <v>0</v>
      </c>
      <c r="Y303" s="378">
        <f t="shared" si="259"/>
        <v>1</v>
      </c>
      <c r="Z303" s="378">
        <f t="shared" si="259"/>
        <v>0</v>
      </c>
      <c r="AA303" s="378">
        <f t="shared" si="259"/>
        <v>0</v>
      </c>
      <c r="AB303" s="378">
        <f t="shared" si="259"/>
        <v>0</v>
      </c>
      <c r="AC303" s="378">
        <f t="shared" si="259"/>
        <v>0</v>
      </c>
      <c r="AD303" s="378"/>
      <c r="AE303" s="378"/>
      <c r="AF303" s="378"/>
      <c r="AG303" s="378"/>
      <c r="AH303" s="378"/>
      <c r="AI303" s="378"/>
      <c r="AJ303" s="378"/>
      <c r="AK303" s="378"/>
      <c r="AL303" s="378"/>
      <c r="AM303" s="378"/>
      <c r="AN303" s="378"/>
      <c r="AO303" s="378"/>
      <c r="AP303" s="378"/>
      <c r="AQ303" s="378"/>
      <c r="AR303" s="378"/>
      <c r="AS303" s="378"/>
      <c r="AT303" s="378"/>
      <c r="AU303" s="218"/>
      <c r="AV303" s="218"/>
      <c r="AW303" s="218"/>
      <c r="AX303" s="218"/>
      <c r="AY303" s="218"/>
      <c r="AZ303" s="218"/>
      <c r="BA303" s="218"/>
      <c r="BB303" s="218"/>
      <c r="BC303" s="218"/>
      <c r="BD303" s="218"/>
      <c r="BE303" s="218"/>
      <c r="BF303" s="218"/>
      <c r="BN303">
        <f t="shared" si="222"/>
        <v>1</v>
      </c>
      <c r="BO303">
        <f t="shared" si="223"/>
        <v>2</v>
      </c>
      <c r="BP303">
        <f t="shared" si="224"/>
        <v>3</v>
      </c>
      <c r="BQ303">
        <f t="shared" si="225"/>
        <v>4</v>
      </c>
      <c r="BR303">
        <f t="shared" si="226"/>
        <v>5</v>
      </c>
      <c r="BS303">
        <f t="shared" si="227"/>
        <v>6</v>
      </c>
      <c r="BT303">
        <f t="shared" si="228"/>
        <v>7</v>
      </c>
      <c r="BU303">
        <f t="shared" si="229"/>
        <v>8</v>
      </c>
      <c r="BV303">
        <f t="shared" si="230"/>
        <v>9</v>
      </c>
      <c r="BW303">
        <f t="shared" si="231"/>
        <v>10</v>
      </c>
      <c r="BX303">
        <f t="shared" si="232"/>
        <v>11</v>
      </c>
      <c r="BY303">
        <f t="shared" si="233"/>
        <v>12</v>
      </c>
      <c r="BZ303">
        <f t="shared" si="234"/>
        <v>1</v>
      </c>
      <c r="CA303">
        <f t="shared" si="235"/>
        <v>2</v>
      </c>
      <c r="CB303">
        <f t="shared" si="236"/>
        <v>3</v>
      </c>
      <c r="CC303">
        <f t="shared" si="237"/>
        <v>4</v>
      </c>
      <c r="CD303">
        <f t="shared" si="238"/>
        <v>5</v>
      </c>
      <c r="CE303">
        <f t="shared" si="239"/>
        <v>6</v>
      </c>
      <c r="CF303">
        <f t="shared" si="240"/>
        <v>7</v>
      </c>
      <c r="CG303">
        <f t="shared" si="241"/>
        <v>0</v>
      </c>
      <c r="CH303">
        <f t="shared" si="242"/>
        <v>0</v>
      </c>
      <c r="CI303">
        <f t="shared" si="243"/>
        <v>0</v>
      </c>
      <c r="CJ303">
        <f t="shared" si="244"/>
        <v>0</v>
      </c>
      <c r="CK303">
        <f t="shared" si="245"/>
        <v>0</v>
      </c>
      <c r="CL303">
        <f t="shared" si="246"/>
        <v>0</v>
      </c>
      <c r="CM303">
        <f t="shared" si="247"/>
        <v>0</v>
      </c>
      <c r="CN303">
        <f t="shared" si="248"/>
        <v>0</v>
      </c>
      <c r="CO303">
        <f t="shared" si="249"/>
        <v>0</v>
      </c>
      <c r="CP303">
        <f t="shared" si="250"/>
        <v>0</v>
      </c>
      <c r="CQ303">
        <f t="shared" si="251"/>
        <v>0</v>
      </c>
      <c r="CR303">
        <f t="shared" si="252"/>
        <v>0</v>
      </c>
      <c r="CS303">
        <f t="shared" si="253"/>
        <v>0</v>
      </c>
      <c r="CT303">
        <f t="shared" si="254"/>
        <v>0</v>
      </c>
    </row>
    <row r="304" spans="2:98">
      <c r="B304" s="168" t="str">
        <f t="shared" si="215"/>
        <v/>
      </c>
      <c r="C304" s="165" t="str">
        <f t="shared" si="215"/>
        <v xml:space="preserve">Explosive Van </v>
      </c>
      <c r="D304" s="171" t="s">
        <v>896</v>
      </c>
      <c r="E304" s="436">
        <f t="shared" si="216"/>
        <v>2</v>
      </c>
      <c r="F304" s="174">
        <f>VLOOKUP(C304,Equipment!$C$5:$V$47,Equipment!O$1,FALSE)</f>
        <v>12</v>
      </c>
      <c r="G304" s="378">
        <f t="shared" si="221"/>
        <v>0</v>
      </c>
      <c r="H304" s="378">
        <f t="shared" si="257"/>
        <v>0</v>
      </c>
      <c r="I304" s="378">
        <f t="shared" si="257"/>
        <v>0</v>
      </c>
      <c r="J304" s="378">
        <f t="shared" si="257"/>
        <v>0</v>
      </c>
      <c r="K304" s="378">
        <f t="shared" si="258"/>
        <v>0</v>
      </c>
      <c r="L304" s="378">
        <f t="shared" si="258"/>
        <v>0</v>
      </c>
      <c r="M304" s="378">
        <f t="shared" si="258"/>
        <v>0</v>
      </c>
      <c r="N304" s="378">
        <f t="shared" si="258"/>
        <v>0</v>
      </c>
      <c r="O304" s="378">
        <f t="shared" si="258"/>
        <v>0</v>
      </c>
      <c r="P304" s="378">
        <f t="shared" si="258"/>
        <v>0</v>
      </c>
      <c r="Q304" s="378">
        <f t="shared" si="258"/>
        <v>0</v>
      </c>
      <c r="R304" s="378">
        <f t="shared" si="258"/>
        <v>0</v>
      </c>
      <c r="S304" s="378">
        <f t="shared" si="258"/>
        <v>0</v>
      </c>
      <c r="T304" s="378">
        <f t="shared" si="258"/>
        <v>0</v>
      </c>
      <c r="U304" s="378">
        <f t="shared" si="259"/>
        <v>0</v>
      </c>
      <c r="V304" s="378">
        <f t="shared" si="259"/>
        <v>0</v>
      </c>
      <c r="W304" s="378">
        <f t="shared" si="259"/>
        <v>1</v>
      </c>
      <c r="X304" s="378">
        <f t="shared" si="259"/>
        <v>0</v>
      </c>
      <c r="Y304" s="378">
        <f t="shared" si="259"/>
        <v>1</v>
      </c>
      <c r="Z304" s="378">
        <f t="shared" si="259"/>
        <v>0</v>
      </c>
      <c r="AA304" s="378">
        <f t="shared" si="259"/>
        <v>0</v>
      </c>
      <c r="AB304" s="378">
        <f t="shared" si="259"/>
        <v>0</v>
      </c>
      <c r="AC304" s="378">
        <f t="shared" si="259"/>
        <v>0</v>
      </c>
      <c r="AD304" s="378"/>
      <c r="AE304" s="378"/>
      <c r="AF304" s="378"/>
      <c r="AG304" s="378"/>
      <c r="AH304" s="378"/>
      <c r="AI304" s="378"/>
      <c r="AJ304" s="378"/>
      <c r="AK304" s="378"/>
      <c r="AL304" s="378"/>
      <c r="AM304" s="378"/>
      <c r="AN304" s="378"/>
      <c r="AO304" s="378"/>
      <c r="AP304" s="378"/>
      <c r="AQ304" s="378"/>
      <c r="AR304" s="378"/>
      <c r="AS304" s="378"/>
      <c r="AT304" s="378"/>
      <c r="AU304" s="218"/>
      <c r="AV304" s="218"/>
      <c r="AW304" s="218"/>
      <c r="AX304" s="218"/>
      <c r="AY304" s="218"/>
      <c r="AZ304" s="218"/>
      <c r="BA304" s="218"/>
      <c r="BB304" s="218"/>
      <c r="BC304" s="218"/>
      <c r="BD304" s="218"/>
      <c r="BE304" s="218"/>
      <c r="BF304" s="218"/>
      <c r="BN304">
        <f t="shared" si="222"/>
        <v>1</v>
      </c>
      <c r="BO304">
        <f t="shared" ref="BO304:BO319" si="260">IF(L$276&lt;=$F304,L$276,IF(AND(L$276&gt;$F304,L$276&lt;=2*$F304),L$276-$F304,IF(AND(L$276&gt;2*$F304,L$276&lt;=3*$F304),L$276-2*$F304,IF(AND(L$276&gt;3*$F304,L$276&lt;=4*$F304),L$276-3*$F304,L$276-4*$F304))))</f>
        <v>2</v>
      </c>
      <c r="BP304">
        <f t="shared" ref="BP304:BP319" si="261">IF(M$276&lt;=$F304,M$276,IF(AND(M$276&gt;$F304,M$276&lt;=2*$F304),M$276-$F304,IF(AND(M$276&gt;2*$F304,M$276&lt;=3*$F304),M$276-2*$F304,IF(AND(M$276&gt;3*$F304,M$276&lt;=4*$F304),M$276-3*$F304,M$276-4*$F304))))</f>
        <v>3</v>
      </c>
      <c r="BQ304">
        <f t="shared" ref="BQ304:BQ319" si="262">IF(N$276&lt;=$F304,N$276,IF(AND(N$276&gt;$F304,N$276&lt;=2*$F304),N$276-$F304,IF(AND(N$276&gt;2*$F304,N$276&lt;=3*$F304),N$276-2*$F304,IF(AND(N$276&gt;3*$F304,N$276&lt;=4*$F304),N$276-3*$F304,N$276-4*$F304))))</f>
        <v>4</v>
      </c>
      <c r="BR304">
        <f t="shared" ref="BR304:BR319" si="263">IF(O$276&lt;=$F304,O$276,IF(AND(O$276&gt;$F304,O$276&lt;=2*$F304),O$276-$F304,IF(AND(O$276&gt;2*$F304,O$276&lt;=3*$F304),O$276-2*$F304,IF(AND(O$276&gt;3*$F304,O$276&lt;=4*$F304),O$276-3*$F304,O$276-4*$F304))))</f>
        <v>5</v>
      </c>
      <c r="BS304">
        <f t="shared" ref="BS304:BS319" si="264">IF(P$276&lt;=$F304,P$276,IF(AND(P$276&gt;$F304,P$276&lt;=2*$F304),P$276-$F304,IF(AND(P$276&gt;2*$F304,P$276&lt;=3*$F304),P$276-2*$F304,IF(AND(P$276&gt;3*$F304,P$276&lt;=4*$F304),P$276-3*$F304,P$276-4*$F304))))</f>
        <v>6</v>
      </c>
      <c r="BT304">
        <f t="shared" ref="BT304:BT319" si="265">IF(Q$276&lt;=$F304,Q$276,IF(AND(Q$276&gt;$F304,Q$276&lt;=2*$F304),Q$276-$F304,IF(AND(Q$276&gt;2*$F304,Q$276&lt;=3*$F304),Q$276-2*$F304,IF(AND(Q$276&gt;3*$F304,Q$276&lt;=4*$F304),Q$276-3*$F304,Q$276-4*$F304))))</f>
        <v>7</v>
      </c>
      <c r="BU304">
        <f t="shared" ref="BU304:BU319" si="266">IF(R$276&lt;=$F304,R$276,IF(AND(R$276&gt;$F304,R$276&lt;=2*$F304),R$276-$F304,IF(AND(R$276&gt;2*$F304,R$276&lt;=3*$F304),R$276-2*$F304,IF(AND(R$276&gt;3*$F304,R$276&lt;=4*$F304),R$276-3*$F304,R$276-4*$F304))))</f>
        <v>8</v>
      </c>
      <c r="BV304">
        <f t="shared" ref="BV304:BV319" si="267">IF(S$276&lt;=$F304,S$276,IF(AND(S$276&gt;$F304,S$276&lt;=2*$F304),S$276-$F304,IF(AND(S$276&gt;2*$F304,S$276&lt;=3*$F304),S$276-2*$F304,IF(AND(S$276&gt;3*$F304,S$276&lt;=4*$F304),S$276-3*$F304,S$276-4*$F304))))</f>
        <v>9</v>
      </c>
      <c r="BW304">
        <f t="shared" ref="BW304:BW319" si="268">IF(T$276&lt;=$F304,T$276,IF(AND(T$276&gt;$F304,T$276&lt;=2*$F304),T$276-$F304,IF(AND(T$276&gt;2*$F304,T$276&lt;=3*$F304),T$276-2*$F304,IF(AND(T$276&gt;3*$F304,T$276&lt;=4*$F304),T$276-3*$F304,T$276-4*$F304))))</f>
        <v>10</v>
      </c>
      <c r="BX304">
        <f t="shared" ref="BX304:BX319" si="269">IF(U$276&lt;=$F304,U$276,IF(AND(U$276&gt;$F304,U$276&lt;=2*$F304),U$276-$F304,IF(AND(U$276&gt;2*$F304,U$276&lt;=3*$F304),U$276-2*$F304,IF(AND(U$276&gt;3*$F304,U$276&lt;=4*$F304),U$276-3*$F304,U$276-4*$F304))))</f>
        <v>11</v>
      </c>
      <c r="BY304">
        <f t="shared" ref="BY304:BY319" si="270">IF(V$276&lt;=$F304,V$276,IF(AND(V$276&gt;$F304,V$276&lt;=2*$F304),V$276-$F304,IF(AND(V$276&gt;2*$F304,V$276&lt;=3*$F304),V$276-2*$F304,IF(AND(V$276&gt;3*$F304,V$276&lt;=4*$F304),V$276-3*$F304,V$276-4*$F304))))</f>
        <v>12</v>
      </c>
      <c r="BZ304">
        <f t="shared" ref="BZ304:BZ319" si="271">IF(W$276&lt;=$F304,W$276,IF(AND(W$276&gt;$F304,W$276&lt;=2*$F304),W$276-$F304,IF(AND(W$276&gt;2*$F304,W$276&lt;=3*$F304),W$276-2*$F304,IF(AND(W$276&gt;3*$F304,W$276&lt;=4*$F304),W$276-3*$F304,W$276-4*$F304))))</f>
        <v>1</v>
      </c>
      <c r="CA304">
        <f t="shared" ref="CA304:CA319" si="272">IF(X$276&lt;=$F304,X$276,IF(AND(X$276&gt;$F304,X$276&lt;=2*$F304),X$276-$F304,IF(AND(X$276&gt;2*$F304,X$276&lt;=3*$F304),X$276-2*$F304,IF(AND(X$276&gt;3*$F304,X$276&lt;=4*$F304),X$276-3*$F304,X$276-4*$F304))))</f>
        <v>2</v>
      </c>
      <c r="CB304">
        <f t="shared" ref="CB304:CB319" si="273">IF(Y$276&lt;=$F304,Y$276,IF(AND(Y$276&gt;$F304,Y$276&lt;=2*$F304),Y$276-$F304,IF(AND(Y$276&gt;2*$F304,Y$276&lt;=3*$F304),Y$276-2*$F304,IF(AND(Y$276&gt;3*$F304,Y$276&lt;=4*$F304),Y$276-3*$F304,Y$276-4*$F304))))</f>
        <v>3</v>
      </c>
      <c r="CC304">
        <f t="shared" ref="CC304:CC319" si="274">IF(Z$276&lt;=$F304,Z$276,IF(AND(Z$276&gt;$F304,Z$276&lt;=2*$F304),Z$276-$F304,IF(AND(Z$276&gt;2*$F304,Z$276&lt;=3*$F304),Z$276-2*$F304,IF(AND(Z$276&gt;3*$F304,Z$276&lt;=4*$F304),Z$276-3*$F304,Z$276-4*$F304))))</f>
        <v>4</v>
      </c>
      <c r="CD304">
        <f t="shared" ref="CD304:CD319" si="275">IF(AA$276&lt;=$F304,AA$276,IF(AND(AA$276&gt;$F304,AA$276&lt;=2*$F304),AA$276-$F304,IF(AND(AA$276&gt;2*$F304,AA$276&lt;=3*$F304),AA$276-2*$F304,IF(AND(AA$276&gt;3*$F304,AA$276&lt;=4*$F304),AA$276-3*$F304,AA$276-4*$F304))))</f>
        <v>5</v>
      </c>
      <c r="CE304">
        <f t="shared" ref="CE304:CE319" si="276">IF(AB$276&lt;=$F304,AB$276,IF(AND(AB$276&gt;$F304,AB$276&lt;=2*$F304),AB$276-$F304,IF(AND(AB$276&gt;2*$F304,AB$276&lt;=3*$F304),AB$276-2*$F304,IF(AND(AB$276&gt;3*$F304,AB$276&lt;=4*$F304),AB$276-3*$F304,AB$276-4*$F304))))</f>
        <v>6</v>
      </c>
      <c r="CF304">
        <f t="shared" ref="CF304:CF319" si="277">IF(AC$276&lt;=$F304,AC$276,IF(AND(AC$276&gt;$F304,AC$276&lt;=2*$F304),AC$276-$F304,IF(AND(AC$276&gt;2*$F304,AC$276&lt;=3*$F304),AC$276-2*$F304,IF(AND(AC$276&gt;3*$F304,AC$276&lt;=4*$F304),AC$276-3*$F304,AC$276-4*$F304))))</f>
        <v>7</v>
      </c>
      <c r="CG304">
        <f t="shared" ref="CG304:CG319" si="278">IF(AD$276&lt;=$F304,AD$276,IF(AND(AD$276&gt;$F304,AD$276&lt;=2*$F304),AD$276-$F304,IF(AND(AD$276&gt;2*$F304,AD$276&lt;=3*$F304),AD$276-2*$F304,IF(AND(AD$276&gt;3*$F304,AD$276&lt;=4*$F304),AD$276-3*$F304,AD$276-4*$F304))))</f>
        <v>0</v>
      </c>
      <c r="CH304">
        <f t="shared" ref="CH304:CH319" si="279">IF(AE$276&lt;=$F304,AE$276,IF(AND(AE$276&gt;$F304,AE$276&lt;=2*$F304),AE$276-$F304,IF(AND(AE$276&gt;2*$F304,AE$276&lt;=3*$F304),AE$276-2*$F304,IF(AND(AE$276&gt;3*$F304,AE$276&lt;=4*$F304),AE$276-3*$F304,AE$276-4*$F304))))</f>
        <v>0</v>
      </c>
      <c r="CI304">
        <f t="shared" ref="CI304:CI319" si="280">IF(AF$276&lt;=$F304,AF$276,IF(AND(AF$276&gt;$F304,AF$276&lt;=2*$F304),AF$276-$F304,IF(AND(AF$276&gt;2*$F304,AF$276&lt;=3*$F304),AF$276-2*$F304,IF(AND(AF$276&gt;3*$F304,AF$276&lt;=4*$F304),AF$276-3*$F304,AF$276-4*$F304))))</f>
        <v>0</v>
      </c>
      <c r="CJ304">
        <f t="shared" ref="CJ304:CJ319" si="281">IF(AG$276&lt;=$F304,AG$276,IF(AND(AG$276&gt;$F304,AG$276&lt;=2*$F304),AG$276-$F304,IF(AND(AG$276&gt;2*$F304,AG$276&lt;=3*$F304),AG$276-2*$F304,IF(AND(AG$276&gt;3*$F304,AG$276&lt;=4*$F304),AG$276-3*$F304,AG$276-4*$F304))))</f>
        <v>0</v>
      </c>
      <c r="CK304">
        <f t="shared" ref="CK304:CK319" si="282">IF(AH$276&lt;=$F304,AH$276,IF(AND(AH$276&gt;$F304,AH$276&lt;=2*$F304),AH$276-$F304,IF(AND(AH$276&gt;2*$F304,AH$276&lt;=3*$F304),AH$276-2*$F304,IF(AND(AH$276&gt;3*$F304,AH$276&lt;=4*$F304),AH$276-3*$F304,AH$276-4*$F304))))</f>
        <v>0</v>
      </c>
      <c r="CL304">
        <f t="shared" ref="CL304:CL319" si="283">IF(AI$276&lt;=$F304,AI$276,IF(AND(AI$276&gt;$F304,AI$276&lt;=2*$F304),AI$276-$F304,IF(AND(AI$276&gt;2*$F304,AI$276&lt;=3*$F304),AI$276-2*$F304,IF(AND(AI$276&gt;3*$F304,AI$276&lt;=4*$F304),AI$276-3*$F304,AI$276-4*$F304))))</f>
        <v>0</v>
      </c>
      <c r="CM304">
        <f t="shared" ref="CM304:CM319" si="284">IF(AJ$276&lt;=$F304,AJ$276,IF(AND(AJ$276&gt;$F304,AJ$276&lt;=2*$F304),AJ$276-$F304,IF(AND(AJ$276&gt;2*$F304,AJ$276&lt;=3*$F304),AJ$276-2*$F304,IF(AND(AJ$276&gt;3*$F304,AJ$276&lt;=4*$F304),AJ$276-3*$F304,AJ$276-4*$F304))))</f>
        <v>0</v>
      </c>
      <c r="CN304">
        <f t="shared" ref="CN304:CN319" si="285">IF(AK$276&lt;=$F304,AK$276,IF(AND(AK$276&gt;$F304,AK$276&lt;=2*$F304),AK$276-$F304,IF(AND(AK$276&gt;2*$F304,AK$276&lt;=3*$F304),AK$276-2*$F304,IF(AND(AK$276&gt;3*$F304,AK$276&lt;=4*$F304),AK$276-3*$F304,AK$276-4*$F304))))</f>
        <v>0</v>
      </c>
      <c r="CO304">
        <f t="shared" ref="CO304:CO319" si="286">IF(AL$276&lt;=$F304,AL$276,IF(AND(AL$276&gt;$F304,AL$276&lt;=2*$F304),AL$276-$F304,IF(AND(AL$276&gt;2*$F304,AL$276&lt;=3*$F304),AL$276-2*$F304,IF(AND(AL$276&gt;3*$F304,AL$276&lt;=4*$F304),AL$276-3*$F304,AL$276-4*$F304))))</f>
        <v>0</v>
      </c>
      <c r="CP304">
        <f t="shared" ref="CP304:CP319" si="287">IF(AM$276&lt;=$F304,AM$276,IF(AND(AM$276&gt;$F304,AM$276&lt;=2*$F304),AM$276-$F304,IF(AND(AM$276&gt;2*$F304,AM$276&lt;=3*$F304),AM$276-2*$F304,IF(AND(AM$276&gt;3*$F304,AM$276&lt;=4*$F304),AM$276-3*$F304,AM$276-4*$F304))))</f>
        <v>0</v>
      </c>
      <c r="CQ304">
        <f t="shared" ref="CQ304:CQ319" si="288">IF(AN$276&lt;=$F304,AN$276,IF(AND(AN$276&gt;$F304,AN$276&lt;=2*$F304),AN$276-$F304,IF(AND(AN$276&gt;2*$F304,AN$276&lt;=3*$F304),AN$276-2*$F304,IF(AND(AN$276&gt;3*$F304,AN$276&lt;=4*$F304),AN$276-3*$F304,AN$276-4*$F304))))</f>
        <v>0</v>
      </c>
      <c r="CR304">
        <f t="shared" ref="CR304:CR319" si="289">IF(AO$276&lt;=$F304,AO$276,IF(AND(AO$276&gt;$F304,AO$276&lt;=2*$F304),AO$276-$F304,IF(AND(AO$276&gt;2*$F304,AO$276&lt;=3*$F304),AO$276-2*$F304,IF(AND(AO$276&gt;3*$F304,AO$276&lt;=4*$F304),AO$276-3*$F304,AO$276-4*$F304))))</f>
        <v>0</v>
      </c>
      <c r="CS304">
        <f t="shared" ref="CS304:CS319" si="290">IF(AP$276&lt;=$F304,AP$276,IF(AND(AP$276&gt;$F304,AP$276&lt;=2*$F304),AP$276-$F304,IF(AND(AP$276&gt;2*$F304,AP$276&lt;=3*$F304),AP$276-2*$F304,IF(AND(AP$276&gt;3*$F304,AP$276&lt;=4*$F304),AP$276-3*$F304,AP$276-4*$F304))))</f>
        <v>0</v>
      </c>
      <c r="CT304">
        <f t="shared" ref="CT304:CT319" si="291">IF(AQ$276&lt;=$F304,AQ$276,IF(AND(AQ$276&gt;$F304,AQ$276&lt;=2*$F304),AQ$276-$F304,IF(AND(AQ$276&gt;2*$F304,AQ$276&lt;=3*$F304),AQ$276-2*$F304,IF(AND(AQ$276&gt;3*$F304,AQ$276&lt;=4*$F304),AQ$276-3*$F304,AQ$276-4*$F304))))</f>
        <v>0</v>
      </c>
    </row>
    <row r="305" spans="2:98">
      <c r="B305" s="168" t="str">
        <f t="shared" ref="B305:C305" si="292">B258</f>
        <v/>
      </c>
      <c r="C305" s="165" t="str">
        <f t="shared" si="292"/>
        <v>Maintenance Van</v>
      </c>
      <c r="D305" s="171" t="s">
        <v>896</v>
      </c>
      <c r="E305" s="436">
        <f t="shared" si="216"/>
        <v>2</v>
      </c>
      <c r="F305" s="174">
        <f>VLOOKUP(C305,Equipment!$C$5:$V$47,Equipment!O$1,FALSE)</f>
        <v>12</v>
      </c>
      <c r="G305" s="378">
        <f t="shared" si="221"/>
        <v>0</v>
      </c>
      <c r="H305" s="378">
        <f t="shared" si="257"/>
        <v>0</v>
      </c>
      <c r="I305" s="378">
        <f t="shared" si="257"/>
        <v>0</v>
      </c>
      <c r="J305" s="378">
        <f t="shared" si="257"/>
        <v>0</v>
      </c>
      <c r="K305" s="378">
        <f t="shared" si="258"/>
        <v>0</v>
      </c>
      <c r="L305" s="378">
        <f t="shared" si="258"/>
        <v>0</v>
      </c>
      <c r="M305" s="378">
        <f t="shared" si="258"/>
        <v>0</v>
      </c>
      <c r="N305" s="378">
        <f t="shared" si="258"/>
        <v>0</v>
      </c>
      <c r="O305" s="378">
        <f t="shared" si="258"/>
        <v>0</v>
      </c>
      <c r="P305" s="378">
        <f t="shared" si="258"/>
        <v>0</v>
      </c>
      <c r="Q305" s="378">
        <f t="shared" si="258"/>
        <v>0</v>
      </c>
      <c r="R305" s="378">
        <f t="shared" si="258"/>
        <v>0</v>
      </c>
      <c r="S305" s="378">
        <f t="shared" si="258"/>
        <v>0</v>
      </c>
      <c r="T305" s="378">
        <f t="shared" si="258"/>
        <v>0</v>
      </c>
      <c r="U305" s="378">
        <f t="shared" si="259"/>
        <v>0</v>
      </c>
      <c r="V305" s="378">
        <f t="shared" si="259"/>
        <v>0</v>
      </c>
      <c r="W305" s="378">
        <f t="shared" si="259"/>
        <v>1</v>
      </c>
      <c r="X305" s="378">
        <f t="shared" si="259"/>
        <v>0</v>
      </c>
      <c r="Y305" s="378">
        <f t="shared" si="259"/>
        <v>1</v>
      </c>
      <c r="Z305" s="378">
        <f t="shared" si="259"/>
        <v>0</v>
      </c>
      <c r="AA305" s="378">
        <f t="shared" si="259"/>
        <v>0</v>
      </c>
      <c r="AB305" s="378">
        <f t="shared" si="259"/>
        <v>0</v>
      </c>
      <c r="AC305" s="378">
        <f t="shared" si="259"/>
        <v>0</v>
      </c>
      <c r="AD305" s="378"/>
      <c r="AE305" s="378"/>
      <c r="AF305" s="378"/>
      <c r="AG305" s="378"/>
      <c r="AH305" s="378"/>
      <c r="AI305" s="378"/>
      <c r="AJ305" s="378"/>
      <c r="AK305" s="378"/>
      <c r="AL305" s="378"/>
      <c r="AM305" s="378"/>
      <c r="AN305" s="378"/>
      <c r="AO305" s="378"/>
      <c r="AP305" s="378"/>
      <c r="AQ305" s="378"/>
      <c r="AR305" s="378"/>
      <c r="AS305" s="378"/>
      <c r="AT305" s="378"/>
      <c r="AU305" s="218"/>
      <c r="AV305" s="218"/>
      <c r="AW305" s="218"/>
      <c r="AX305" s="218"/>
      <c r="AY305" s="218"/>
      <c r="AZ305" s="218"/>
      <c r="BA305" s="218"/>
      <c r="BB305" s="218"/>
      <c r="BC305" s="218"/>
      <c r="BD305" s="218"/>
      <c r="BE305" s="218"/>
      <c r="BF305" s="218"/>
      <c r="BN305">
        <f t="shared" si="222"/>
        <v>1</v>
      </c>
      <c r="BO305">
        <f t="shared" si="260"/>
        <v>2</v>
      </c>
      <c r="BP305">
        <f t="shared" si="261"/>
        <v>3</v>
      </c>
      <c r="BQ305">
        <f t="shared" si="262"/>
        <v>4</v>
      </c>
      <c r="BR305">
        <f t="shared" si="263"/>
        <v>5</v>
      </c>
      <c r="BS305">
        <f t="shared" si="264"/>
        <v>6</v>
      </c>
      <c r="BT305">
        <f t="shared" si="265"/>
        <v>7</v>
      </c>
      <c r="BU305">
        <f t="shared" si="266"/>
        <v>8</v>
      </c>
      <c r="BV305">
        <f t="shared" si="267"/>
        <v>9</v>
      </c>
      <c r="BW305">
        <f t="shared" si="268"/>
        <v>10</v>
      </c>
      <c r="BX305">
        <f t="shared" si="269"/>
        <v>11</v>
      </c>
      <c r="BY305">
        <f t="shared" si="270"/>
        <v>12</v>
      </c>
      <c r="BZ305">
        <f t="shared" si="271"/>
        <v>1</v>
      </c>
      <c r="CA305">
        <f t="shared" si="272"/>
        <v>2</v>
      </c>
      <c r="CB305">
        <f t="shared" si="273"/>
        <v>3</v>
      </c>
      <c r="CC305">
        <f t="shared" si="274"/>
        <v>4</v>
      </c>
      <c r="CD305">
        <f t="shared" si="275"/>
        <v>5</v>
      </c>
      <c r="CE305">
        <f t="shared" si="276"/>
        <v>6</v>
      </c>
      <c r="CF305">
        <f t="shared" si="277"/>
        <v>7</v>
      </c>
      <c r="CG305">
        <f t="shared" si="278"/>
        <v>0</v>
      </c>
      <c r="CH305">
        <f t="shared" si="279"/>
        <v>0</v>
      </c>
      <c r="CI305">
        <f t="shared" si="280"/>
        <v>0</v>
      </c>
      <c r="CJ305">
        <f t="shared" si="281"/>
        <v>0</v>
      </c>
      <c r="CK305">
        <f t="shared" si="282"/>
        <v>0</v>
      </c>
      <c r="CL305">
        <f t="shared" si="283"/>
        <v>0</v>
      </c>
      <c r="CM305">
        <f t="shared" si="284"/>
        <v>0</v>
      </c>
      <c r="CN305">
        <f t="shared" si="285"/>
        <v>0</v>
      </c>
      <c r="CO305">
        <f t="shared" si="286"/>
        <v>0</v>
      </c>
      <c r="CP305">
        <f t="shared" si="287"/>
        <v>0</v>
      </c>
      <c r="CQ305">
        <f t="shared" si="288"/>
        <v>0</v>
      </c>
      <c r="CR305">
        <f t="shared" si="289"/>
        <v>0</v>
      </c>
      <c r="CS305">
        <f t="shared" si="290"/>
        <v>0</v>
      </c>
      <c r="CT305">
        <f t="shared" si="291"/>
        <v>0</v>
      </c>
    </row>
    <row r="306" spans="2:98">
      <c r="B306" s="168" t="str">
        <f t="shared" ref="B306:C306" si="293">B259</f>
        <v/>
      </c>
      <c r="C306" s="165" t="str">
        <f t="shared" si="293"/>
        <v>Diesel Hydraulic backhoe/ 1.5cum (Komatsu)</v>
      </c>
      <c r="D306" s="171" t="s">
        <v>896</v>
      </c>
      <c r="E306" s="436">
        <f t="shared" si="216"/>
        <v>2</v>
      </c>
      <c r="F306" s="174">
        <f>VLOOKUP(C306,Equipment!$C$5:$V$47,Equipment!O$1,FALSE)</f>
        <v>11</v>
      </c>
      <c r="G306" s="378">
        <f t="shared" si="221"/>
        <v>0</v>
      </c>
      <c r="H306" s="378">
        <f t="shared" si="257"/>
        <v>0</v>
      </c>
      <c r="I306" s="378">
        <f t="shared" si="257"/>
        <v>0</v>
      </c>
      <c r="J306" s="378">
        <f t="shared" si="257"/>
        <v>0</v>
      </c>
      <c r="K306" s="378">
        <f t="shared" si="258"/>
        <v>0</v>
      </c>
      <c r="L306" s="378">
        <f t="shared" si="258"/>
        <v>0</v>
      </c>
      <c r="M306" s="378">
        <f t="shared" si="258"/>
        <v>0</v>
      </c>
      <c r="N306" s="378">
        <f t="shared" si="258"/>
        <v>0</v>
      </c>
      <c r="O306" s="378">
        <f t="shared" si="258"/>
        <v>0</v>
      </c>
      <c r="P306" s="378">
        <f t="shared" si="258"/>
        <v>0</v>
      </c>
      <c r="Q306" s="378">
        <f t="shared" si="258"/>
        <v>0</v>
      </c>
      <c r="R306" s="378">
        <f t="shared" si="258"/>
        <v>0</v>
      </c>
      <c r="S306" s="378">
        <f t="shared" si="258"/>
        <v>0</v>
      </c>
      <c r="T306" s="378">
        <f t="shared" si="258"/>
        <v>0</v>
      </c>
      <c r="U306" s="378">
        <f t="shared" si="259"/>
        <v>0</v>
      </c>
      <c r="V306" s="378">
        <f t="shared" si="259"/>
        <v>1</v>
      </c>
      <c r="W306" s="378">
        <f t="shared" si="259"/>
        <v>0</v>
      </c>
      <c r="X306" s="378">
        <f t="shared" si="259"/>
        <v>1</v>
      </c>
      <c r="Y306" s="378">
        <f t="shared" si="259"/>
        <v>0</v>
      </c>
      <c r="Z306" s="378">
        <f t="shared" si="259"/>
        <v>0</v>
      </c>
      <c r="AA306" s="378">
        <f t="shared" si="259"/>
        <v>0</v>
      </c>
      <c r="AB306" s="378">
        <f t="shared" si="259"/>
        <v>0</v>
      </c>
      <c r="AC306" s="378">
        <f t="shared" si="259"/>
        <v>0</v>
      </c>
      <c r="AD306" s="378"/>
      <c r="AE306" s="378"/>
      <c r="AF306" s="378"/>
      <c r="AG306" s="378"/>
      <c r="AH306" s="378"/>
      <c r="AI306" s="378"/>
      <c r="AJ306" s="378"/>
      <c r="AK306" s="378"/>
      <c r="AL306" s="378"/>
      <c r="AM306" s="378"/>
      <c r="AN306" s="378"/>
      <c r="AO306" s="378"/>
      <c r="AP306" s="378"/>
      <c r="AQ306" s="378"/>
      <c r="AR306" s="378"/>
      <c r="AS306" s="378"/>
      <c r="AT306" s="378"/>
      <c r="AU306" s="218"/>
      <c r="AV306" s="218"/>
      <c r="AW306" s="218"/>
      <c r="AX306" s="218"/>
      <c r="AY306" s="218"/>
      <c r="AZ306" s="218"/>
      <c r="BA306" s="218"/>
      <c r="BB306" s="218"/>
      <c r="BC306" s="218"/>
      <c r="BD306" s="218"/>
      <c r="BE306" s="218"/>
      <c r="BF306" s="218"/>
      <c r="BN306">
        <f t="shared" si="222"/>
        <v>1</v>
      </c>
      <c r="BO306">
        <f t="shared" si="260"/>
        <v>2</v>
      </c>
      <c r="BP306">
        <f t="shared" si="261"/>
        <v>3</v>
      </c>
      <c r="BQ306">
        <f t="shared" si="262"/>
        <v>4</v>
      </c>
      <c r="BR306">
        <f t="shared" si="263"/>
        <v>5</v>
      </c>
      <c r="BS306">
        <f t="shared" si="264"/>
        <v>6</v>
      </c>
      <c r="BT306">
        <f t="shared" si="265"/>
        <v>7</v>
      </c>
      <c r="BU306">
        <f t="shared" si="266"/>
        <v>8</v>
      </c>
      <c r="BV306">
        <f t="shared" si="267"/>
        <v>9</v>
      </c>
      <c r="BW306">
        <f t="shared" si="268"/>
        <v>10</v>
      </c>
      <c r="BX306">
        <f t="shared" si="269"/>
        <v>11</v>
      </c>
      <c r="BY306">
        <f t="shared" si="270"/>
        <v>1</v>
      </c>
      <c r="BZ306">
        <f t="shared" si="271"/>
        <v>2</v>
      </c>
      <c r="CA306">
        <f t="shared" si="272"/>
        <v>3</v>
      </c>
      <c r="CB306">
        <f t="shared" si="273"/>
        <v>4</v>
      </c>
      <c r="CC306">
        <f t="shared" si="274"/>
        <v>5</v>
      </c>
      <c r="CD306">
        <f t="shared" si="275"/>
        <v>6</v>
      </c>
      <c r="CE306">
        <f t="shared" si="276"/>
        <v>7</v>
      </c>
      <c r="CF306">
        <f t="shared" si="277"/>
        <v>8</v>
      </c>
      <c r="CG306">
        <f t="shared" si="278"/>
        <v>0</v>
      </c>
      <c r="CH306">
        <f t="shared" si="279"/>
        <v>0</v>
      </c>
      <c r="CI306">
        <f t="shared" si="280"/>
        <v>0</v>
      </c>
      <c r="CJ306">
        <f t="shared" si="281"/>
        <v>0</v>
      </c>
      <c r="CK306">
        <f t="shared" si="282"/>
        <v>0</v>
      </c>
      <c r="CL306">
        <f t="shared" si="283"/>
        <v>0</v>
      </c>
      <c r="CM306">
        <f t="shared" si="284"/>
        <v>0</v>
      </c>
      <c r="CN306">
        <f t="shared" si="285"/>
        <v>0</v>
      </c>
      <c r="CO306">
        <f t="shared" si="286"/>
        <v>0</v>
      </c>
      <c r="CP306">
        <f t="shared" si="287"/>
        <v>0</v>
      </c>
      <c r="CQ306">
        <f t="shared" si="288"/>
        <v>0</v>
      </c>
      <c r="CR306">
        <f t="shared" si="289"/>
        <v>0</v>
      </c>
      <c r="CS306">
        <f t="shared" si="290"/>
        <v>0</v>
      </c>
      <c r="CT306">
        <f t="shared" si="291"/>
        <v>0</v>
      </c>
    </row>
    <row r="307" spans="2:98">
      <c r="B307" s="168" t="str">
        <f t="shared" ref="B307:C307" si="294">B260</f>
        <v/>
      </c>
      <c r="C307" s="165" t="str">
        <f t="shared" si="294"/>
        <v xml:space="preserve">Boom Truck </v>
      </c>
      <c r="D307" s="171" t="s">
        <v>896</v>
      </c>
      <c r="E307" s="436">
        <f t="shared" si="216"/>
        <v>2</v>
      </c>
      <c r="F307" s="174">
        <f>VLOOKUP(C307,Equipment!$C$5:$V$47,Equipment!O$1,FALSE)</f>
        <v>15</v>
      </c>
      <c r="G307" s="378">
        <f t="shared" si="221"/>
        <v>0</v>
      </c>
      <c r="H307" s="378">
        <f t="shared" si="257"/>
        <v>0</v>
      </c>
      <c r="I307" s="378">
        <f t="shared" si="257"/>
        <v>0</v>
      </c>
      <c r="J307" s="378">
        <f t="shared" si="257"/>
        <v>0</v>
      </c>
      <c r="K307" s="378">
        <f t="shared" ref="K307:T318" si="295">IFERROR(IF(K$276&lt;=$F307,0,INDEX($G$183:$AO$224,MATCH($C307,$C$183:$C$224,0),MATCH(MOD(K$276-$F307-1,$F307)+1,$G$182:$AO$182,0))),0)</f>
        <v>0</v>
      </c>
      <c r="L307" s="378">
        <f t="shared" si="295"/>
        <v>0</v>
      </c>
      <c r="M307" s="378">
        <f t="shared" si="295"/>
        <v>0</v>
      </c>
      <c r="N307" s="378">
        <f t="shared" si="295"/>
        <v>0</v>
      </c>
      <c r="O307" s="378">
        <f t="shared" si="295"/>
        <v>0</v>
      </c>
      <c r="P307" s="378">
        <f t="shared" si="295"/>
        <v>0</v>
      </c>
      <c r="Q307" s="378">
        <f t="shared" si="295"/>
        <v>0</v>
      </c>
      <c r="R307" s="378">
        <f t="shared" si="295"/>
        <v>0</v>
      </c>
      <c r="S307" s="378">
        <f t="shared" si="295"/>
        <v>0</v>
      </c>
      <c r="T307" s="378">
        <f t="shared" si="295"/>
        <v>0</v>
      </c>
      <c r="U307" s="378">
        <f t="shared" ref="U307:AC318" si="296">IFERROR(IF(U$276&lt;=$F307,0,INDEX($G$183:$AO$224,MATCH($C307,$C$183:$C$224,0),MATCH(MOD(U$276-$F307-1,$F307)+1,$G$182:$AO$182,0))),0)</f>
        <v>0</v>
      </c>
      <c r="V307" s="378">
        <f t="shared" si="296"/>
        <v>0</v>
      </c>
      <c r="W307" s="378">
        <f t="shared" si="296"/>
        <v>0</v>
      </c>
      <c r="X307" s="378">
        <f t="shared" si="296"/>
        <v>0</v>
      </c>
      <c r="Y307" s="378">
        <f t="shared" si="296"/>
        <v>0</v>
      </c>
      <c r="Z307" s="378">
        <f t="shared" si="296"/>
        <v>1</v>
      </c>
      <c r="AA307" s="378">
        <f t="shared" si="296"/>
        <v>0</v>
      </c>
      <c r="AB307" s="378">
        <f t="shared" si="296"/>
        <v>1</v>
      </c>
      <c r="AC307" s="378">
        <f t="shared" si="296"/>
        <v>0</v>
      </c>
      <c r="AD307" s="378"/>
      <c r="AE307" s="378"/>
      <c r="AF307" s="378"/>
      <c r="AG307" s="378"/>
      <c r="AH307" s="378"/>
      <c r="AI307" s="378"/>
      <c r="AJ307" s="378"/>
      <c r="AK307" s="378"/>
      <c r="AL307" s="378"/>
      <c r="AM307" s="378"/>
      <c r="AN307" s="378"/>
      <c r="AO307" s="378"/>
      <c r="AP307" s="378"/>
      <c r="AQ307" s="378"/>
      <c r="AR307" s="378"/>
      <c r="AS307" s="378"/>
      <c r="AT307" s="378"/>
      <c r="AU307" s="218"/>
      <c r="AV307" s="218"/>
      <c r="AW307" s="218"/>
      <c r="AX307" s="218"/>
      <c r="AY307" s="218"/>
      <c r="AZ307" s="218"/>
      <c r="BA307" s="218"/>
      <c r="BB307" s="218"/>
      <c r="BC307" s="218"/>
      <c r="BD307" s="218"/>
      <c r="BE307" s="218"/>
      <c r="BF307" s="218"/>
      <c r="BN307">
        <f t="shared" si="222"/>
        <v>1</v>
      </c>
      <c r="BO307">
        <f t="shared" si="260"/>
        <v>2</v>
      </c>
      <c r="BP307">
        <f t="shared" si="261"/>
        <v>3</v>
      </c>
      <c r="BQ307">
        <f t="shared" si="262"/>
        <v>4</v>
      </c>
      <c r="BR307">
        <f t="shared" si="263"/>
        <v>5</v>
      </c>
      <c r="BS307">
        <f t="shared" si="264"/>
        <v>6</v>
      </c>
      <c r="BT307">
        <f t="shared" si="265"/>
        <v>7</v>
      </c>
      <c r="BU307">
        <f t="shared" si="266"/>
        <v>8</v>
      </c>
      <c r="BV307">
        <f t="shared" si="267"/>
        <v>9</v>
      </c>
      <c r="BW307">
        <f t="shared" si="268"/>
        <v>10</v>
      </c>
      <c r="BX307">
        <f t="shared" si="269"/>
        <v>11</v>
      </c>
      <c r="BY307">
        <f t="shared" si="270"/>
        <v>12</v>
      </c>
      <c r="BZ307">
        <f t="shared" si="271"/>
        <v>13</v>
      </c>
      <c r="CA307">
        <f t="shared" si="272"/>
        <v>14</v>
      </c>
      <c r="CB307">
        <f t="shared" si="273"/>
        <v>15</v>
      </c>
      <c r="CC307">
        <f t="shared" si="274"/>
        <v>1</v>
      </c>
      <c r="CD307">
        <f t="shared" si="275"/>
        <v>2</v>
      </c>
      <c r="CE307">
        <f t="shared" si="276"/>
        <v>3</v>
      </c>
      <c r="CF307">
        <f t="shared" si="277"/>
        <v>4</v>
      </c>
      <c r="CG307">
        <f t="shared" si="278"/>
        <v>0</v>
      </c>
      <c r="CH307">
        <f t="shared" si="279"/>
        <v>0</v>
      </c>
      <c r="CI307">
        <f t="shared" si="280"/>
        <v>0</v>
      </c>
      <c r="CJ307">
        <f t="shared" si="281"/>
        <v>0</v>
      </c>
      <c r="CK307">
        <f t="shared" si="282"/>
        <v>0</v>
      </c>
      <c r="CL307">
        <f t="shared" si="283"/>
        <v>0</v>
      </c>
      <c r="CM307">
        <f t="shared" si="284"/>
        <v>0</v>
      </c>
      <c r="CN307">
        <f t="shared" si="285"/>
        <v>0</v>
      </c>
      <c r="CO307">
        <f t="shared" si="286"/>
        <v>0</v>
      </c>
      <c r="CP307">
        <f t="shared" si="287"/>
        <v>0</v>
      </c>
      <c r="CQ307">
        <f t="shared" si="288"/>
        <v>0</v>
      </c>
      <c r="CR307">
        <f t="shared" si="289"/>
        <v>0</v>
      </c>
      <c r="CS307">
        <f t="shared" si="290"/>
        <v>0</v>
      </c>
      <c r="CT307">
        <f t="shared" si="291"/>
        <v>0</v>
      </c>
    </row>
    <row r="308" spans="2:98">
      <c r="B308" s="168" t="str">
        <f t="shared" ref="B308:C308" si="297">B261</f>
        <v/>
      </c>
      <c r="C308" s="165" t="str">
        <f t="shared" si="297"/>
        <v xml:space="preserve">Heavy duty tow truck </v>
      </c>
      <c r="D308" s="171" t="s">
        <v>896</v>
      </c>
      <c r="E308" s="436">
        <f t="shared" si="216"/>
        <v>2</v>
      </c>
      <c r="F308" s="174">
        <f>VLOOKUP(C308,Equipment!$C$5:$V$47,Equipment!O$1,FALSE)</f>
        <v>15</v>
      </c>
      <c r="G308" s="378">
        <f t="shared" si="221"/>
        <v>0</v>
      </c>
      <c r="H308" s="378">
        <f t="shared" si="257"/>
        <v>0</v>
      </c>
      <c r="I308" s="378">
        <f t="shared" si="257"/>
        <v>0</v>
      </c>
      <c r="J308" s="378">
        <f t="shared" si="257"/>
        <v>0</v>
      </c>
      <c r="K308" s="378">
        <f t="shared" si="295"/>
        <v>0</v>
      </c>
      <c r="L308" s="378">
        <f t="shared" si="295"/>
        <v>0</v>
      </c>
      <c r="M308" s="378">
        <f t="shared" si="295"/>
        <v>0</v>
      </c>
      <c r="N308" s="378">
        <f t="shared" si="295"/>
        <v>0</v>
      </c>
      <c r="O308" s="378">
        <f t="shared" si="295"/>
        <v>0</v>
      </c>
      <c r="P308" s="378">
        <f t="shared" si="295"/>
        <v>0</v>
      </c>
      <c r="Q308" s="378">
        <f t="shared" si="295"/>
        <v>0</v>
      </c>
      <c r="R308" s="378">
        <f t="shared" si="295"/>
        <v>0</v>
      </c>
      <c r="S308" s="378">
        <f t="shared" si="295"/>
        <v>0</v>
      </c>
      <c r="T308" s="378">
        <f t="shared" si="295"/>
        <v>0</v>
      </c>
      <c r="U308" s="378">
        <f t="shared" si="296"/>
        <v>0</v>
      </c>
      <c r="V308" s="378">
        <f t="shared" si="296"/>
        <v>0</v>
      </c>
      <c r="W308" s="378">
        <f t="shared" si="296"/>
        <v>0</v>
      </c>
      <c r="X308" s="378">
        <f t="shared" si="296"/>
        <v>0</v>
      </c>
      <c r="Y308" s="378">
        <f t="shared" si="296"/>
        <v>0</v>
      </c>
      <c r="Z308" s="378">
        <f t="shared" si="296"/>
        <v>1</v>
      </c>
      <c r="AA308" s="378">
        <f t="shared" si="296"/>
        <v>0</v>
      </c>
      <c r="AB308" s="378">
        <f t="shared" si="296"/>
        <v>1</v>
      </c>
      <c r="AC308" s="378">
        <f t="shared" si="296"/>
        <v>0</v>
      </c>
      <c r="AD308" s="378"/>
      <c r="AE308" s="378"/>
      <c r="AF308" s="378"/>
      <c r="AG308" s="378"/>
      <c r="AH308" s="378"/>
      <c r="AI308" s="378"/>
      <c r="AJ308" s="378"/>
      <c r="AK308" s="378"/>
      <c r="AL308" s="378"/>
      <c r="AM308" s="378"/>
      <c r="AN308" s="378"/>
      <c r="AO308" s="378"/>
      <c r="AP308" s="378"/>
      <c r="AQ308" s="378"/>
      <c r="AR308" s="378"/>
      <c r="AS308" s="378"/>
      <c r="AT308" s="378"/>
      <c r="AU308" s="218"/>
      <c r="AV308" s="218"/>
      <c r="AW308" s="218"/>
      <c r="AX308" s="218"/>
      <c r="AY308" s="218"/>
      <c r="AZ308" s="218"/>
      <c r="BA308" s="218"/>
      <c r="BB308" s="218"/>
      <c r="BC308" s="218"/>
      <c r="BD308" s="218"/>
      <c r="BE308" s="218"/>
      <c r="BF308" s="218"/>
      <c r="BN308">
        <f t="shared" si="222"/>
        <v>1</v>
      </c>
      <c r="BO308">
        <f t="shared" si="260"/>
        <v>2</v>
      </c>
      <c r="BP308">
        <f t="shared" si="261"/>
        <v>3</v>
      </c>
      <c r="BQ308">
        <f t="shared" si="262"/>
        <v>4</v>
      </c>
      <c r="BR308">
        <f t="shared" si="263"/>
        <v>5</v>
      </c>
      <c r="BS308">
        <f t="shared" si="264"/>
        <v>6</v>
      </c>
      <c r="BT308">
        <f t="shared" si="265"/>
        <v>7</v>
      </c>
      <c r="BU308">
        <f t="shared" si="266"/>
        <v>8</v>
      </c>
      <c r="BV308">
        <f t="shared" si="267"/>
        <v>9</v>
      </c>
      <c r="BW308">
        <f t="shared" si="268"/>
        <v>10</v>
      </c>
      <c r="BX308">
        <f t="shared" si="269"/>
        <v>11</v>
      </c>
      <c r="BY308">
        <f t="shared" si="270"/>
        <v>12</v>
      </c>
      <c r="BZ308">
        <f t="shared" si="271"/>
        <v>13</v>
      </c>
      <c r="CA308">
        <f t="shared" si="272"/>
        <v>14</v>
      </c>
      <c r="CB308">
        <f t="shared" si="273"/>
        <v>15</v>
      </c>
      <c r="CC308">
        <f t="shared" si="274"/>
        <v>1</v>
      </c>
      <c r="CD308">
        <f t="shared" si="275"/>
        <v>2</v>
      </c>
      <c r="CE308">
        <f t="shared" si="276"/>
        <v>3</v>
      </c>
      <c r="CF308">
        <f t="shared" si="277"/>
        <v>4</v>
      </c>
      <c r="CG308">
        <f t="shared" si="278"/>
        <v>0</v>
      </c>
      <c r="CH308">
        <f t="shared" si="279"/>
        <v>0</v>
      </c>
      <c r="CI308">
        <f t="shared" si="280"/>
        <v>0</v>
      </c>
      <c r="CJ308">
        <f t="shared" si="281"/>
        <v>0</v>
      </c>
      <c r="CK308">
        <f t="shared" si="282"/>
        <v>0</v>
      </c>
      <c r="CL308">
        <f t="shared" si="283"/>
        <v>0</v>
      </c>
      <c r="CM308">
        <f t="shared" si="284"/>
        <v>0</v>
      </c>
      <c r="CN308">
        <f t="shared" si="285"/>
        <v>0</v>
      </c>
      <c r="CO308">
        <f t="shared" si="286"/>
        <v>0</v>
      </c>
      <c r="CP308">
        <f t="shared" si="287"/>
        <v>0</v>
      </c>
      <c r="CQ308">
        <f t="shared" si="288"/>
        <v>0</v>
      </c>
      <c r="CR308">
        <f t="shared" si="289"/>
        <v>0</v>
      </c>
      <c r="CS308">
        <f t="shared" si="290"/>
        <v>0</v>
      </c>
      <c r="CT308">
        <f t="shared" si="291"/>
        <v>0</v>
      </c>
    </row>
    <row r="309" spans="2:98">
      <c r="B309" s="168" t="str">
        <f t="shared" ref="B309:C309" si="298">B262</f>
        <v/>
      </c>
      <c r="C309" s="165" t="str">
        <f t="shared" si="298"/>
        <v>Tipping Truck/ 8t</v>
      </c>
      <c r="D309" s="171" t="s">
        <v>896</v>
      </c>
      <c r="E309" s="436">
        <f t="shared" si="216"/>
        <v>2</v>
      </c>
      <c r="F309" s="174">
        <f>VLOOKUP(C309,Equipment!$C$5:$V$47,Equipment!O$1,FALSE)</f>
        <v>15</v>
      </c>
      <c r="G309" s="378">
        <f t="shared" si="221"/>
        <v>0</v>
      </c>
      <c r="H309" s="378">
        <f t="shared" si="257"/>
        <v>0</v>
      </c>
      <c r="I309" s="378">
        <f t="shared" si="257"/>
        <v>0</v>
      </c>
      <c r="J309" s="378">
        <f t="shared" si="257"/>
        <v>0</v>
      </c>
      <c r="K309" s="378">
        <f t="shared" si="295"/>
        <v>0</v>
      </c>
      <c r="L309" s="378">
        <f t="shared" si="295"/>
        <v>0</v>
      </c>
      <c r="M309" s="378">
        <f t="shared" si="295"/>
        <v>0</v>
      </c>
      <c r="N309" s="378">
        <f t="shared" si="295"/>
        <v>0</v>
      </c>
      <c r="O309" s="378">
        <f t="shared" si="295"/>
        <v>0</v>
      </c>
      <c r="P309" s="378">
        <f t="shared" si="295"/>
        <v>0</v>
      </c>
      <c r="Q309" s="378">
        <f t="shared" si="295"/>
        <v>0</v>
      </c>
      <c r="R309" s="378">
        <f t="shared" si="295"/>
        <v>0</v>
      </c>
      <c r="S309" s="378">
        <f t="shared" si="295"/>
        <v>0</v>
      </c>
      <c r="T309" s="378">
        <f t="shared" si="295"/>
        <v>0</v>
      </c>
      <c r="U309" s="378">
        <f t="shared" si="296"/>
        <v>0</v>
      </c>
      <c r="V309" s="378">
        <f t="shared" si="296"/>
        <v>0</v>
      </c>
      <c r="W309" s="378">
        <f t="shared" si="296"/>
        <v>0</v>
      </c>
      <c r="X309" s="378">
        <f t="shared" si="296"/>
        <v>0</v>
      </c>
      <c r="Y309" s="378">
        <f t="shared" si="296"/>
        <v>0</v>
      </c>
      <c r="Z309" s="378">
        <f t="shared" si="296"/>
        <v>1</v>
      </c>
      <c r="AA309" s="378">
        <f t="shared" si="296"/>
        <v>0</v>
      </c>
      <c r="AB309" s="378">
        <f t="shared" si="296"/>
        <v>1</v>
      </c>
      <c r="AC309" s="378">
        <f t="shared" si="296"/>
        <v>0</v>
      </c>
      <c r="AD309" s="378"/>
      <c r="AE309" s="378"/>
      <c r="AF309" s="378"/>
      <c r="AG309" s="378"/>
      <c r="AH309" s="378"/>
      <c r="AI309" s="378"/>
      <c r="AJ309" s="378"/>
      <c r="AK309" s="378"/>
      <c r="AL309" s="378"/>
      <c r="AM309" s="378"/>
      <c r="AN309" s="378"/>
      <c r="AO309" s="378"/>
      <c r="AP309" s="378"/>
      <c r="AQ309" s="378"/>
      <c r="AR309" s="378"/>
      <c r="AS309" s="378"/>
      <c r="AT309" s="378"/>
      <c r="AU309" s="218"/>
      <c r="AV309" s="218"/>
      <c r="AW309" s="218"/>
      <c r="AX309" s="218"/>
      <c r="AY309" s="218"/>
      <c r="AZ309" s="218"/>
      <c r="BA309" s="218"/>
      <c r="BB309" s="218"/>
      <c r="BC309" s="218"/>
      <c r="BD309" s="218"/>
      <c r="BE309" s="218"/>
      <c r="BF309" s="218"/>
      <c r="BN309">
        <f t="shared" si="222"/>
        <v>1</v>
      </c>
      <c r="BO309">
        <f t="shared" si="260"/>
        <v>2</v>
      </c>
      <c r="BP309">
        <f t="shared" si="261"/>
        <v>3</v>
      </c>
      <c r="BQ309">
        <f t="shared" si="262"/>
        <v>4</v>
      </c>
      <c r="BR309">
        <f t="shared" si="263"/>
        <v>5</v>
      </c>
      <c r="BS309">
        <f t="shared" si="264"/>
        <v>6</v>
      </c>
      <c r="BT309">
        <f t="shared" si="265"/>
        <v>7</v>
      </c>
      <c r="BU309">
        <f t="shared" si="266"/>
        <v>8</v>
      </c>
      <c r="BV309">
        <f t="shared" si="267"/>
        <v>9</v>
      </c>
      <c r="BW309">
        <f t="shared" si="268"/>
        <v>10</v>
      </c>
      <c r="BX309">
        <f t="shared" si="269"/>
        <v>11</v>
      </c>
      <c r="BY309">
        <f t="shared" si="270"/>
        <v>12</v>
      </c>
      <c r="BZ309">
        <f t="shared" si="271"/>
        <v>13</v>
      </c>
      <c r="CA309">
        <f t="shared" si="272"/>
        <v>14</v>
      </c>
      <c r="CB309">
        <f t="shared" si="273"/>
        <v>15</v>
      </c>
      <c r="CC309">
        <f t="shared" si="274"/>
        <v>1</v>
      </c>
      <c r="CD309">
        <f t="shared" si="275"/>
        <v>2</v>
      </c>
      <c r="CE309">
        <f t="shared" si="276"/>
        <v>3</v>
      </c>
      <c r="CF309">
        <f t="shared" si="277"/>
        <v>4</v>
      </c>
      <c r="CG309">
        <f t="shared" si="278"/>
        <v>0</v>
      </c>
      <c r="CH309">
        <f t="shared" si="279"/>
        <v>0</v>
      </c>
      <c r="CI309">
        <f t="shared" si="280"/>
        <v>0</v>
      </c>
      <c r="CJ309">
        <f t="shared" si="281"/>
        <v>0</v>
      </c>
      <c r="CK309">
        <f t="shared" si="282"/>
        <v>0</v>
      </c>
      <c r="CL309">
        <f t="shared" si="283"/>
        <v>0</v>
      </c>
      <c r="CM309">
        <f t="shared" si="284"/>
        <v>0</v>
      </c>
      <c r="CN309">
        <f t="shared" si="285"/>
        <v>0</v>
      </c>
      <c r="CO309">
        <f t="shared" si="286"/>
        <v>0</v>
      </c>
      <c r="CP309">
        <f t="shared" si="287"/>
        <v>0</v>
      </c>
      <c r="CQ309">
        <f t="shared" si="288"/>
        <v>0</v>
      </c>
      <c r="CR309">
        <f t="shared" si="289"/>
        <v>0</v>
      </c>
      <c r="CS309">
        <f t="shared" si="290"/>
        <v>0</v>
      </c>
      <c r="CT309">
        <f t="shared" si="291"/>
        <v>0</v>
      </c>
    </row>
    <row r="310" spans="2:98">
      <c r="B310" s="168" t="str">
        <f t="shared" ref="B310:C310" si="299">B263</f>
        <v/>
      </c>
      <c r="C310" s="165" t="str">
        <f t="shared" si="299"/>
        <v>Fork lift/ 8t</v>
      </c>
      <c r="D310" s="171" t="s">
        <v>896</v>
      </c>
      <c r="E310" s="436">
        <f t="shared" si="216"/>
        <v>4</v>
      </c>
      <c r="F310" s="174">
        <f>VLOOKUP(C310,Equipment!$C$5:$V$47,Equipment!O$1,FALSE)</f>
        <v>8</v>
      </c>
      <c r="G310" s="378">
        <f t="shared" si="221"/>
        <v>0</v>
      </c>
      <c r="H310" s="378">
        <f t="shared" si="257"/>
        <v>0</v>
      </c>
      <c r="I310" s="378">
        <f t="shared" si="257"/>
        <v>0</v>
      </c>
      <c r="J310" s="378">
        <f t="shared" si="257"/>
        <v>0</v>
      </c>
      <c r="K310" s="378">
        <f t="shared" si="295"/>
        <v>0</v>
      </c>
      <c r="L310" s="378">
        <f t="shared" si="295"/>
        <v>0</v>
      </c>
      <c r="M310" s="378">
        <f t="shared" si="295"/>
        <v>0</v>
      </c>
      <c r="N310" s="378">
        <f t="shared" si="295"/>
        <v>0</v>
      </c>
      <c r="O310" s="378">
        <f t="shared" si="295"/>
        <v>0</v>
      </c>
      <c r="P310" s="378">
        <f t="shared" si="295"/>
        <v>0</v>
      </c>
      <c r="Q310" s="378">
        <f t="shared" si="295"/>
        <v>0</v>
      </c>
      <c r="R310" s="378">
        <f t="shared" si="295"/>
        <v>0</v>
      </c>
      <c r="S310" s="378">
        <f t="shared" si="295"/>
        <v>1</v>
      </c>
      <c r="T310" s="378">
        <f t="shared" si="295"/>
        <v>0</v>
      </c>
      <c r="U310" s="378">
        <f t="shared" si="296"/>
        <v>1</v>
      </c>
      <c r="V310" s="378">
        <f t="shared" si="296"/>
        <v>0</v>
      </c>
      <c r="W310" s="378">
        <f t="shared" si="296"/>
        <v>0</v>
      </c>
      <c r="X310" s="378">
        <f t="shared" si="296"/>
        <v>0</v>
      </c>
      <c r="Y310" s="378">
        <f t="shared" si="296"/>
        <v>0</v>
      </c>
      <c r="Z310" s="378">
        <f t="shared" si="296"/>
        <v>0</v>
      </c>
      <c r="AA310" s="378">
        <f t="shared" si="296"/>
        <v>1</v>
      </c>
      <c r="AB310" s="378">
        <f t="shared" si="296"/>
        <v>0</v>
      </c>
      <c r="AC310" s="378">
        <f t="shared" si="296"/>
        <v>1</v>
      </c>
      <c r="AD310" s="378"/>
      <c r="AE310" s="378"/>
      <c r="AF310" s="378"/>
      <c r="AG310" s="378"/>
      <c r="AH310" s="378"/>
      <c r="AI310" s="378"/>
      <c r="AJ310" s="378"/>
      <c r="AK310" s="378"/>
      <c r="AL310" s="378"/>
      <c r="AM310" s="378"/>
      <c r="AN310" s="378"/>
      <c r="AO310" s="378"/>
      <c r="AP310" s="378"/>
      <c r="AQ310" s="378"/>
      <c r="AR310" s="378"/>
      <c r="AS310" s="378"/>
      <c r="AT310" s="378"/>
      <c r="AU310" s="218"/>
      <c r="AV310" s="218"/>
      <c r="AW310" s="218"/>
      <c r="AX310" s="218"/>
      <c r="AY310" s="218"/>
      <c r="AZ310" s="218"/>
      <c r="BA310" s="218"/>
      <c r="BB310" s="218"/>
      <c r="BC310" s="218"/>
      <c r="BD310" s="218"/>
      <c r="BE310" s="218"/>
      <c r="BF310" s="218"/>
      <c r="BN310">
        <f t="shared" si="222"/>
        <v>1</v>
      </c>
      <c r="BO310">
        <f t="shared" si="260"/>
        <v>2</v>
      </c>
      <c r="BP310">
        <f t="shared" si="261"/>
        <v>3</v>
      </c>
      <c r="BQ310">
        <f t="shared" si="262"/>
        <v>4</v>
      </c>
      <c r="BR310">
        <f t="shared" si="263"/>
        <v>5</v>
      </c>
      <c r="BS310">
        <f t="shared" si="264"/>
        <v>6</v>
      </c>
      <c r="BT310">
        <f t="shared" si="265"/>
        <v>7</v>
      </c>
      <c r="BU310">
        <f t="shared" si="266"/>
        <v>8</v>
      </c>
      <c r="BV310">
        <f t="shared" si="267"/>
        <v>1</v>
      </c>
      <c r="BW310">
        <f t="shared" si="268"/>
        <v>2</v>
      </c>
      <c r="BX310">
        <f t="shared" si="269"/>
        <v>3</v>
      </c>
      <c r="BY310">
        <f t="shared" si="270"/>
        <v>4</v>
      </c>
      <c r="BZ310">
        <f t="shared" si="271"/>
        <v>5</v>
      </c>
      <c r="CA310">
        <f t="shared" si="272"/>
        <v>6</v>
      </c>
      <c r="CB310">
        <f t="shared" si="273"/>
        <v>7</v>
      </c>
      <c r="CC310">
        <f t="shared" si="274"/>
        <v>8</v>
      </c>
      <c r="CD310">
        <f t="shared" si="275"/>
        <v>1</v>
      </c>
      <c r="CE310">
        <f t="shared" si="276"/>
        <v>2</v>
      </c>
      <c r="CF310">
        <f t="shared" si="277"/>
        <v>3</v>
      </c>
      <c r="CG310">
        <f t="shared" si="278"/>
        <v>0</v>
      </c>
      <c r="CH310">
        <f t="shared" si="279"/>
        <v>0</v>
      </c>
      <c r="CI310">
        <f t="shared" si="280"/>
        <v>0</v>
      </c>
      <c r="CJ310">
        <f t="shared" si="281"/>
        <v>0</v>
      </c>
      <c r="CK310">
        <f t="shared" si="282"/>
        <v>0</v>
      </c>
      <c r="CL310">
        <f t="shared" si="283"/>
        <v>0</v>
      </c>
      <c r="CM310">
        <f t="shared" si="284"/>
        <v>0</v>
      </c>
      <c r="CN310">
        <f t="shared" si="285"/>
        <v>0</v>
      </c>
      <c r="CO310">
        <f t="shared" si="286"/>
        <v>0</v>
      </c>
      <c r="CP310">
        <f t="shared" si="287"/>
        <v>0</v>
      </c>
      <c r="CQ310">
        <f t="shared" si="288"/>
        <v>0</v>
      </c>
      <c r="CR310">
        <f t="shared" si="289"/>
        <v>0</v>
      </c>
      <c r="CS310">
        <f t="shared" si="290"/>
        <v>0</v>
      </c>
      <c r="CT310">
        <f t="shared" si="291"/>
        <v>0</v>
      </c>
    </row>
    <row r="311" spans="2:98">
      <c r="B311" s="168" t="str">
        <f t="shared" ref="B311:C311" si="300">B264</f>
        <v/>
      </c>
      <c r="C311" s="165" t="str">
        <f t="shared" si="300"/>
        <v>Tyre handler/ 20t</v>
      </c>
      <c r="D311" s="171" t="s">
        <v>896</v>
      </c>
      <c r="E311" s="436">
        <f t="shared" si="216"/>
        <v>2</v>
      </c>
      <c r="F311" s="174">
        <f>VLOOKUP(C311,Equipment!$C$5:$V$47,Equipment!O$1,FALSE)</f>
        <v>15</v>
      </c>
      <c r="G311" s="378">
        <f t="shared" si="221"/>
        <v>0</v>
      </c>
      <c r="H311" s="378">
        <f t="shared" si="257"/>
        <v>0</v>
      </c>
      <c r="I311" s="378">
        <f t="shared" si="257"/>
        <v>0</v>
      </c>
      <c r="J311" s="378">
        <f t="shared" si="257"/>
        <v>0</v>
      </c>
      <c r="K311" s="378">
        <f t="shared" si="295"/>
        <v>0</v>
      </c>
      <c r="L311" s="378">
        <f t="shared" si="295"/>
        <v>0</v>
      </c>
      <c r="M311" s="378">
        <f t="shared" si="295"/>
        <v>0</v>
      </c>
      <c r="N311" s="378">
        <f t="shared" si="295"/>
        <v>0</v>
      </c>
      <c r="O311" s="378">
        <f t="shared" si="295"/>
        <v>0</v>
      </c>
      <c r="P311" s="378">
        <f t="shared" si="295"/>
        <v>0</v>
      </c>
      <c r="Q311" s="378">
        <f t="shared" si="295"/>
        <v>0</v>
      </c>
      <c r="R311" s="378">
        <f t="shared" si="295"/>
        <v>0</v>
      </c>
      <c r="S311" s="378">
        <f t="shared" si="295"/>
        <v>0</v>
      </c>
      <c r="T311" s="378">
        <f t="shared" si="295"/>
        <v>0</v>
      </c>
      <c r="U311" s="378">
        <f t="shared" si="296"/>
        <v>0</v>
      </c>
      <c r="V311" s="378">
        <f t="shared" si="296"/>
        <v>0</v>
      </c>
      <c r="W311" s="378">
        <f t="shared" si="296"/>
        <v>0</v>
      </c>
      <c r="X311" s="378">
        <f t="shared" si="296"/>
        <v>0</v>
      </c>
      <c r="Y311" s="378">
        <f t="shared" si="296"/>
        <v>0</v>
      </c>
      <c r="Z311" s="378">
        <f t="shared" si="296"/>
        <v>1</v>
      </c>
      <c r="AA311" s="378">
        <f t="shared" si="296"/>
        <v>0</v>
      </c>
      <c r="AB311" s="378">
        <f t="shared" si="296"/>
        <v>1</v>
      </c>
      <c r="AC311" s="378">
        <f t="shared" si="296"/>
        <v>0</v>
      </c>
      <c r="AD311" s="378"/>
      <c r="AE311" s="378"/>
      <c r="AF311" s="378"/>
      <c r="AG311" s="378"/>
      <c r="AH311" s="378"/>
      <c r="AI311" s="378"/>
      <c r="AJ311" s="378"/>
      <c r="AK311" s="378"/>
      <c r="AL311" s="378"/>
      <c r="AM311" s="378"/>
      <c r="AN311" s="378"/>
      <c r="AO311" s="378"/>
      <c r="AP311" s="378"/>
      <c r="AQ311" s="378"/>
      <c r="AR311" s="378"/>
      <c r="AS311" s="378"/>
      <c r="AT311" s="378"/>
      <c r="AU311" s="218"/>
      <c r="AV311" s="218"/>
      <c r="AW311" s="218"/>
      <c r="AX311" s="218"/>
      <c r="AY311" s="218"/>
      <c r="AZ311" s="218"/>
      <c r="BA311" s="218"/>
      <c r="BB311" s="218"/>
      <c r="BC311" s="218"/>
      <c r="BD311" s="218"/>
      <c r="BE311" s="218"/>
      <c r="BF311" s="218"/>
      <c r="BN311">
        <f t="shared" si="222"/>
        <v>1</v>
      </c>
      <c r="BO311">
        <f t="shared" si="260"/>
        <v>2</v>
      </c>
      <c r="BP311">
        <f t="shared" si="261"/>
        <v>3</v>
      </c>
      <c r="BQ311">
        <f t="shared" si="262"/>
        <v>4</v>
      </c>
      <c r="BR311">
        <f t="shared" si="263"/>
        <v>5</v>
      </c>
      <c r="BS311">
        <f t="shared" si="264"/>
        <v>6</v>
      </c>
      <c r="BT311">
        <f t="shared" si="265"/>
        <v>7</v>
      </c>
      <c r="BU311">
        <f t="shared" si="266"/>
        <v>8</v>
      </c>
      <c r="BV311">
        <f t="shared" si="267"/>
        <v>9</v>
      </c>
      <c r="BW311">
        <f t="shared" si="268"/>
        <v>10</v>
      </c>
      <c r="BX311">
        <f t="shared" si="269"/>
        <v>11</v>
      </c>
      <c r="BY311">
        <f t="shared" si="270"/>
        <v>12</v>
      </c>
      <c r="BZ311">
        <f t="shared" si="271"/>
        <v>13</v>
      </c>
      <c r="CA311">
        <f t="shared" si="272"/>
        <v>14</v>
      </c>
      <c r="CB311">
        <f t="shared" si="273"/>
        <v>15</v>
      </c>
      <c r="CC311">
        <f t="shared" si="274"/>
        <v>1</v>
      </c>
      <c r="CD311">
        <f t="shared" si="275"/>
        <v>2</v>
      </c>
      <c r="CE311">
        <f t="shared" si="276"/>
        <v>3</v>
      </c>
      <c r="CF311">
        <f t="shared" si="277"/>
        <v>4</v>
      </c>
      <c r="CG311">
        <f t="shared" si="278"/>
        <v>0</v>
      </c>
      <c r="CH311">
        <f t="shared" si="279"/>
        <v>0</v>
      </c>
      <c r="CI311">
        <f t="shared" si="280"/>
        <v>0</v>
      </c>
      <c r="CJ311">
        <f t="shared" si="281"/>
        <v>0</v>
      </c>
      <c r="CK311">
        <f t="shared" si="282"/>
        <v>0</v>
      </c>
      <c r="CL311">
        <f t="shared" si="283"/>
        <v>0</v>
      </c>
      <c r="CM311">
        <f t="shared" si="284"/>
        <v>0</v>
      </c>
      <c r="CN311">
        <f t="shared" si="285"/>
        <v>0</v>
      </c>
      <c r="CO311">
        <f t="shared" si="286"/>
        <v>0</v>
      </c>
      <c r="CP311">
        <f t="shared" si="287"/>
        <v>0</v>
      </c>
      <c r="CQ311">
        <f t="shared" si="288"/>
        <v>0</v>
      </c>
      <c r="CR311">
        <f t="shared" si="289"/>
        <v>0</v>
      </c>
      <c r="CS311">
        <f t="shared" si="290"/>
        <v>0</v>
      </c>
      <c r="CT311">
        <f t="shared" si="291"/>
        <v>0</v>
      </c>
    </row>
    <row r="312" spans="2:98">
      <c r="B312" s="168" t="str">
        <f t="shared" ref="B312:C312" si="301">B265</f>
        <v/>
      </c>
      <c r="C312" s="165" t="str">
        <f t="shared" si="301"/>
        <v xml:space="preserve">Farm tractor </v>
      </c>
      <c r="D312" s="171" t="s">
        <v>896</v>
      </c>
      <c r="E312" s="436">
        <f t="shared" si="216"/>
        <v>2</v>
      </c>
      <c r="F312" s="174">
        <f>VLOOKUP(C312,Equipment!$C$5:$V$47,Equipment!O$1,FALSE)</f>
        <v>15</v>
      </c>
      <c r="G312" s="378">
        <f t="shared" si="221"/>
        <v>0</v>
      </c>
      <c r="H312" s="378">
        <f t="shared" si="257"/>
        <v>0</v>
      </c>
      <c r="I312" s="378">
        <f t="shared" si="257"/>
        <v>0</v>
      </c>
      <c r="J312" s="378">
        <f t="shared" si="257"/>
        <v>0</v>
      </c>
      <c r="K312" s="378">
        <f t="shared" si="295"/>
        <v>0</v>
      </c>
      <c r="L312" s="378">
        <f t="shared" si="295"/>
        <v>0</v>
      </c>
      <c r="M312" s="378">
        <f t="shared" si="295"/>
        <v>0</v>
      </c>
      <c r="N312" s="378">
        <f t="shared" si="295"/>
        <v>0</v>
      </c>
      <c r="O312" s="378">
        <f t="shared" si="295"/>
        <v>0</v>
      </c>
      <c r="P312" s="378">
        <f t="shared" si="295"/>
        <v>0</v>
      </c>
      <c r="Q312" s="378">
        <f t="shared" si="295"/>
        <v>0</v>
      </c>
      <c r="R312" s="378">
        <f t="shared" si="295"/>
        <v>0</v>
      </c>
      <c r="S312" s="378">
        <f t="shared" si="295"/>
        <v>0</v>
      </c>
      <c r="T312" s="378">
        <f t="shared" si="295"/>
        <v>0</v>
      </c>
      <c r="U312" s="378">
        <f t="shared" si="296"/>
        <v>0</v>
      </c>
      <c r="V312" s="378">
        <f t="shared" si="296"/>
        <v>0</v>
      </c>
      <c r="W312" s="378">
        <f t="shared" si="296"/>
        <v>0</v>
      </c>
      <c r="X312" s="378">
        <f t="shared" si="296"/>
        <v>0</v>
      </c>
      <c r="Y312" s="378">
        <f t="shared" si="296"/>
        <v>0</v>
      </c>
      <c r="Z312" s="378">
        <f t="shared" si="296"/>
        <v>1</v>
      </c>
      <c r="AA312" s="378">
        <f t="shared" si="296"/>
        <v>0</v>
      </c>
      <c r="AB312" s="378">
        <f t="shared" si="296"/>
        <v>1</v>
      </c>
      <c r="AC312" s="378">
        <f t="shared" si="296"/>
        <v>0</v>
      </c>
      <c r="AD312" s="378"/>
      <c r="AE312" s="378"/>
      <c r="AF312" s="378"/>
      <c r="AG312" s="378"/>
      <c r="AH312" s="378"/>
      <c r="AI312" s="378"/>
      <c r="AJ312" s="378"/>
      <c r="AK312" s="378"/>
      <c r="AL312" s="378"/>
      <c r="AM312" s="378"/>
      <c r="AN312" s="378"/>
      <c r="AO312" s="378"/>
      <c r="AP312" s="378"/>
      <c r="AQ312" s="378"/>
      <c r="AR312" s="378"/>
      <c r="AS312" s="378"/>
      <c r="AT312" s="378"/>
      <c r="AU312" s="218"/>
      <c r="AV312" s="218"/>
      <c r="AW312" s="218"/>
      <c r="AX312" s="218"/>
      <c r="AY312" s="218"/>
      <c r="AZ312" s="218"/>
      <c r="BA312" s="218"/>
      <c r="BB312" s="218"/>
      <c r="BC312" s="218"/>
      <c r="BD312" s="218"/>
      <c r="BE312" s="218"/>
      <c r="BF312" s="218"/>
      <c r="BN312">
        <f t="shared" si="222"/>
        <v>1</v>
      </c>
      <c r="BO312">
        <f t="shared" si="260"/>
        <v>2</v>
      </c>
      <c r="BP312">
        <f t="shared" si="261"/>
        <v>3</v>
      </c>
      <c r="BQ312">
        <f t="shared" si="262"/>
        <v>4</v>
      </c>
      <c r="BR312">
        <f t="shared" si="263"/>
        <v>5</v>
      </c>
      <c r="BS312">
        <f t="shared" si="264"/>
        <v>6</v>
      </c>
      <c r="BT312">
        <f t="shared" si="265"/>
        <v>7</v>
      </c>
      <c r="BU312">
        <f t="shared" si="266"/>
        <v>8</v>
      </c>
      <c r="BV312">
        <f t="shared" si="267"/>
        <v>9</v>
      </c>
      <c r="BW312">
        <f t="shared" si="268"/>
        <v>10</v>
      </c>
      <c r="BX312">
        <f t="shared" si="269"/>
        <v>11</v>
      </c>
      <c r="BY312">
        <f t="shared" si="270"/>
        <v>12</v>
      </c>
      <c r="BZ312">
        <f t="shared" si="271"/>
        <v>13</v>
      </c>
      <c r="CA312">
        <f t="shared" si="272"/>
        <v>14</v>
      </c>
      <c r="CB312">
        <f t="shared" si="273"/>
        <v>15</v>
      </c>
      <c r="CC312">
        <f t="shared" si="274"/>
        <v>1</v>
      </c>
      <c r="CD312">
        <f t="shared" si="275"/>
        <v>2</v>
      </c>
      <c r="CE312">
        <f t="shared" si="276"/>
        <v>3</v>
      </c>
      <c r="CF312">
        <f t="shared" si="277"/>
        <v>4</v>
      </c>
      <c r="CG312">
        <f t="shared" si="278"/>
        <v>0</v>
      </c>
      <c r="CH312">
        <f t="shared" si="279"/>
        <v>0</v>
      </c>
      <c r="CI312">
        <f t="shared" si="280"/>
        <v>0</v>
      </c>
      <c r="CJ312">
        <f t="shared" si="281"/>
        <v>0</v>
      </c>
      <c r="CK312">
        <f t="shared" si="282"/>
        <v>0</v>
      </c>
      <c r="CL312">
        <f t="shared" si="283"/>
        <v>0</v>
      </c>
      <c r="CM312">
        <f t="shared" si="284"/>
        <v>0</v>
      </c>
      <c r="CN312">
        <f t="shared" si="285"/>
        <v>0</v>
      </c>
      <c r="CO312">
        <f t="shared" si="286"/>
        <v>0</v>
      </c>
      <c r="CP312">
        <f t="shared" si="287"/>
        <v>0</v>
      </c>
      <c r="CQ312">
        <f t="shared" si="288"/>
        <v>0</v>
      </c>
      <c r="CR312">
        <f t="shared" si="289"/>
        <v>0</v>
      </c>
      <c r="CS312">
        <f t="shared" si="290"/>
        <v>0</v>
      </c>
      <c r="CT312">
        <f t="shared" si="291"/>
        <v>0</v>
      </c>
    </row>
    <row r="313" spans="2:98">
      <c r="B313" s="168" t="str">
        <f t="shared" ref="B313:C313" si="302">B266</f>
        <v/>
      </c>
      <c r="C313" s="165" t="str">
        <f t="shared" si="302"/>
        <v>Fire Tender</v>
      </c>
      <c r="D313" s="171" t="s">
        <v>896</v>
      </c>
      <c r="E313" s="436">
        <f t="shared" si="216"/>
        <v>2</v>
      </c>
      <c r="F313" s="174">
        <f>VLOOKUP(C313,Equipment!$C$5:$V$47,Equipment!O$1,FALSE)</f>
        <v>15</v>
      </c>
      <c r="G313" s="378">
        <f t="shared" si="221"/>
        <v>0</v>
      </c>
      <c r="H313" s="378">
        <f t="shared" si="257"/>
        <v>0</v>
      </c>
      <c r="I313" s="378">
        <f t="shared" si="257"/>
        <v>0</v>
      </c>
      <c r="J313" s="378">
        <f t="shared" si="257"/>
        <v>0</v>
      </c>
      <c r="K313" s="378">
        <f t="shared" si="295"/>
        <v>0</v>
      </c>
      <c r="L313" s="378">
        <f t="shared" si="295"/>
        <v>0</v>
      </c>
      <c r="M313" s="378">
        <f t="shared" si="295"/>
        <v>0</v>
      </c>
      <c r="N313" s="378">
        <f t="shared" si="295"/>
        <v>0</v>
      </c>
      <c r="O313" s="378">
        <f t="shared" si="295"/>
        <v>0</v>
      </c>
      <c r="P313" s="378">
        <f t="shared" si="295"/>
        <v>0</v>
      </c>
      <c r="Q313" s="378">
        <f t="shared" si="295"/>
        <v>0</v>
      </c>
      <c r="R313" s="378">
        <f t="shared" si="295"/>
        <v>0</v>
      </c>
      <c r="S313" s="378">
        <f t="shared" si="295"/>
        <v>0</v>
      </c>
      <c r="T313" s="378">
        <f t="shared" si="295"/>
        <v>0</v>
      </c>
      <c r="U313" s="378">
        <f t="shared" si="296"/>
        <v>0</v>
      </c>
      <c r="V313" s="378">
        <f t="shared" si="296"/>
        <v>0</v>
      </c>
      <c r="W313" s="378">
        <f t="shared" si="296"/>
        <v>0</v>
      </c>
      <c r="X313" s="378">
        <f t="shared" si="296"/>
        <v>0</v>
      </c>
      <c r="Y313" s="378">
        <f t="shared" si="296"/>
        <v>0</v>
      </c>
      <c r="Z313" s="378">
        <f t="shared" si="296"/>
        <v>1</v>
      </c>
      <c r="AA313" s="378">
        <f t="shared" si="296"/>
        <v>0</v>
      </c>
      <c r="AB313" s="378">
        <f t="shared" si="296"/>
        <v>1</v>
      </c>
      <c r="AC313" s="378">
        <f t="shared" si="296"/>
        <v>0</v>
      </c>
      <c r="AD313" s="378"/>
      <c r="AE313" s="378"/>
      <c r="AF313" s="378"/>
      <c r="AG313" s="378"/>
      <c r="AH313" s="378"/>
      <c r="AI313" s="378"/>
      <c r="AJ313" s="378"/>
      <c r="AK313" s="378"/>
      <c r="AL313" s="378"/>
      <c r="AM313" s="378"/>
      <c r="AN313" s="378"/>
      <c r="AO313" s="378"/>
      <c r="AP313" s="378"/>
      <c r="AQ313" s="378"/>
      <c r="AR313" s="378"/>
      <c r="AS313" s="378"/>
      <c r="AT313" s="378"/>
      <c r="AU313" s="218"/>
      <c r="AV313" s="218"/>
      <c r="AW313" s="218"/>
      <c r="AX313" s="218"/>
      <c r="AY313" s="218"/>
      <c r="AZ313" s="218"/>
      <c r="BA313" s="218"/>
      <c r="BB313" s="218"/>
      <c r="BC313" s="218"/>
      <c r="BD313" s="218"/>
      <c r="BE313" s="218"/>
      <c r="BF313" s="218"/>
      <c r="BN313">
        <f t="shared" si="222"/>
        <v>1</v>
      </c>
      <c r="BO313">
        <f t="shared" si="260"/>
        <v>2</v>
      </c>
      <c r="BP313">
        <f t="shared" si="261"/>
        <v>3</v>
      </c>
      <c r="BQ313">
        <f t="shared" si="262"/>
        <v>4</v>
      </c>
      <c r="BR313">
        <f t="shared" si="263"/>
        <v>5</v>
      </c>
      <c r="BS313">
        <f t="shared" si="264"/>
        <v>6</v>
      </c>
      <c r="BT313">
        <f t="shared" si="265"/>
        <v>7</v>
      </c>
      <c r="BU313">
        <f t="shared" si="266"/>
        <v>8</v>
      </c>
      <c r="BV313">
        <f t="shared" si="267"/>
        <v>9</v>
      </c>
      <c r="BW313">
        <f t="shared" si="268"/>
        <v>10</v>
      </c>
      <c r="BX313">
        <f t="shared" si="269"/>
        <v>11</v>
      </c>
      <c r="BY313">
        <f t="shared" si="270"/>
        <v>12</v>
      </c>
      <c r="BZ313">
        <f t="shared" si="271"/>
        <v>13</v>
      </c>
      <c r="CA313">
        <f t="shared" si="272"/>
        <v>14</v>
      </c>
      <c r="CB313">
        <f t="shared" si="273"/>
        <v>15</v>
      </c>
      <c r="CC313">
        <f t="shared" si="274"/>
        <v>1</v>
      </c>
      <c r="CD313">
        <f t="shared" si="275"/>
        <v>2</v>
      </c>
      <c r="CE313">
        <f t="shared" si="276"/>
        <v>3</v>
      </c>
      <c r="CF313">
        <f t="shared" si="277"/>
        <v>4</v>
      </c>
      <c r="CG313">
        <f t="shared" si="278"/>
        <v>0</v>
      </c>
      <c r="CH313">
        <f t="shared" si="279"/>
        <v>0</v>
      </c>
      <c r="CI313">
        <f t="shared" si="280"/>
        <v>0</v>
      </c>
      <c r="CJ313">
        <f t="shared" si="281"/>
        <v>0</v>
      </c>
      <c r="CK313">
        <f t="shared" si="282"/>
        <v>0</v>
      </c>
      <c r="CL313">
        <f t="shared" si="283"/>
        <v>0</v>
      </c>
      <c r="CM313">
        <f t="shared" si="284"/>
        <v>0</v>
      </c>
      <c r="CN313">
        <f t="shared" si="285"/>
        <v>0</v>
      </c>
      <c r="CO313">
        <f t="shared" si="286"/>
        <v>0</v>
      </c>
      <c r="CP313">
        <f t="shared" si="287"/>
        <v>0</v>
      </c>
      <c r="CQ313">
        <f t="shared" si="288"/>
        <v>0</v>
      </c>
      <c r="CR313">
        <f t="shared" si="289"/>
        <v>0</v>
      </c>
      <c r="CS313">
        <f t="shared" si="290"/>
        <v>0</v>
      </c>
      <c r="CT313">
        <f t="shared" si="291"/>
        <v>0</v>
      </c>
    </row>
    <row r="314" spans="2:98">
      <c r="B314" s="168" t="str">
        <f t="shared" ref="B314:C314" si="303">B267</f>
        <v/>
      </c>
      <c r="C314" s="165" t="str">
        <f t="shared" si="303"/>
        <v xml:space="preserve">Ambulance </v>
      </c>
      <c r="D314" s="171" t="s">
        <v>896</v>
      </c>
      <c r="E314" s="436">
        <f t="shared" si="216"/>
        <v>2</v>
      </c>
      <c r="F314" s="174">
        <f>VLOOKUP(C314,Equipment!$C$5:$V$47,Equipment!O$1,FALSE)</f>
        <v>10</v>
      </c>
      <c r="G314" s="378">
        <f t="shared" si="221"/>
        <v>0</v>
      </c>
      <c r="H314" s="378">
        <f t="shared" si="257"/>
        <v>0</v>
      </c>
      <c r="I314" s="378">
        <f t="shared" si="257"/>
        <v>0</v>
      </c>
      <c r="J314" s="378">
        <f t="shared" si="257"/>
        <v>0</v>
      </c>
      <c r="K314" s="378">
        <f t="shared" si="295"/>
        <v>0</v>
      </c>
      <c r="L314" s="378">
        <f t="shared" si="295"/>
        <v>0</v>
      </c>
      <c r="M314" s="378">
        <f t="shared" si="295"/>
        <v>0</v>
      </c>
      <c r="N314" s="378">
        <f t="shared" si="295"/>
        <v>0</v>
      </c>
      <c r="O314" s="378">
        <f t="shared" si="295"/>
        <v>0</v>
      </c>
      <c r="P314" s="378">
        <f t="shared" si="295"/>
        <v>0</v>
      </c>
      <c r="Q314" s="378">
        <f t="shared" si="295"/>
        <v>0</v>
      </c>
      <c r="R314" s="378">
        <f t="shared" si="295"/>
        <v>0</v>
      </c>
      <c r="S314" s="378">
        <f t="shared" si="295"/>
        <v>0</v>
      </c>
      <c r="T314" s="378">
        <f t="shared" si="295"/>
        <v>0</v>
      </c>
      <c r="U314" s="378">
        <f t="shared" si="296"/>
        <v>1</v>
      </c>
      <c r="V314" s="378">
        <f t="shared" si="296"/>
        <v>0</v>
      </c>
      <c r="W314" s="378">
        <f t="shared" si="296"/>
        <v>1</v>
      </c>
      <c r="X314" s="378">
        <f t="shared" si="296"/>
        <v>0</v>
      </c>
      <c r="Y314" s="378">
        <f t="shared" si="296"/>
        <v>0</v>
      </c>
      <c r="Z314" s="378">
        <f t="shared" si="296"/>
        <v>0</v>
      </c>
      <c r="AA314" s="378">
        <f t="shared" si="296"/>
        <v>0</v>
      </c>
      <c r="AB314" s="378">
        <f t="shared" si="296"/>
        <v>0</v>
      </c>
      <c r="AC314" s="378">
        <f t="shared" si="296"/>
        <v>0</v>
      </c>
      <c r="AD314" s="378"/>
      <c r="AE314" s="378"/>
      <c r="AF314" s="378"/>
      <c r="AG314" s="378"/>
      <c r="AH314" s="378"/>
      <c r="AI314" s="378"/>
      <c r="AJ314" s="378"/>
      <c r="AK314" s="378"/>
      <c r="AL314" s="378"/>
      <c r="AM314" s="378"/>
      <c r="AN314" s="378"/>
      <c r="AO314" s="378"/>
      <c r="AP314" s="378"/>
      <c r="AQ314" s="378"/>
      <c r="AR314" s="378"/>
      <c r="AS314" s="378"/>
      <c r="AT314" s="378"/>
      <c r="AU314" s="218"/>
      <c r="AV314" s="218"/>
      <c r="AW314" s="218"/>
      <c r="AX314" s="218"/>
      <c r="AY314" s="218"/>
      <c r="AZ314" s="218"/>
      <c r="BA314" s="218"/>
      <c r="BB314" s="218"/>
      <c r="BC314" s="218"/>
      <c r="BD314" s="218"/>
      <c r="BE314" s="218"/>
      <c r="BF314" s="218"/>
      <c r="BN314">
        <f t="shared" si="222"/>
        <v>1</v>
      </c>
      <c r="BO314">
        <f t="shared" si="260"/>
        <v>2</v>
      </c>
      <c r="BP314">
        <f t="shared" si="261"/>
        <v>3</v>
      </c>
      <c r="BQ314">
        <f t="shared" si="262"/>
        <v>4</v>
      </c>
      <c r="BR314">
        <f t="shared" si="263"/>
        <v>5</v>
      </c>
      <c r="BS314">
        <f t="shared" si="264"/>
        <v>6</v>
      </c>
      <c r="BT314">
        <f t="shared" si="265"/>
        <v>7</v>
      </c>
      <c r="BU314">
        <f t="shared" si="266"/>
        <v>8</v>
      </c>
      <c r="BV314">
        <f t="shared" si="267"/>
        <v>9</v>
      </c>
      <c r="BW314">
        <f t="shared" si="268"/>
        <v>10</v>
      </c>
      <c r="BX314">
        <f t="shared" si="269"/>
        <v>1</v>
      </c>
      <c r="BY314">
        <f t="shared" si="270"/>
        <v>2</v>
      </c>
      <c r="BZ314">
        <f t="shared" si="271"/>
        <v>3</v>
      </c>
      <c r="CA314">
        <f t="shared" si="272"/>
        <v>4</v>
      </c>
      <c r="CB314">
        <f t="shared" si="273"/>
        <v>5</v>
      </c>
      <c r="CC314">
        <f t="shared" si="274"/>
        <v>6</v>
      </c>
      <c r="CD314">
        <f t="shared" si="275"/>
        <v>7</v>
      </c>
      <c r="CE314">
        <f t="shared" si="276"/>
        <v>8</v>
      </c>
      <c r="CF314">
        <f t="shared" si="277"/>
        <v>9</v>
      </c>
      <c r="CG314">
        <f t="shared" si="278"/>
        <v>0</v>
      </c>
      <c r="CH314">
        <f t="shared" si="279"/>
        <v>0</v>
      </c>
      <c r="CI314">
        <f t="shared" si="280"/>
        <v>0</v>
      </c>
      <c r="CJ314">
        <f t="shared" si="281"/>
        <v>0</v>
      </c>
      <c r="CK314">
        <f t="shared" si="282"/>
        <v>0</v>
      </c>
      <c r="CL314">
        <f t="shared" si="283"/>
        <v>0</v>
      </c>
      <c r="CM314">
        <f t="shared" si="284"/>
        <v>0</v>
      </c>
      <c r="CN314">
        <f t="shared" si="285"/>
        <v>0</v>
      </c>
      <c r="CO314">
        <f t="shared" si="286"/>
        <v>0</v>
      </c>
      <c r="CP314">
        <f t="shared" si="287"/>
        <v>0</v>
      </c>
      <c r="CQ314">
        <f t="shared" si="288"/>
        <v>0</v>
      </c>
      <c r="CR314">
        <f t="shared" si="289"/>
        <v>0</v>
      </c>
      <c r="CS314">
        <f t="shared" si="290"/>
        <v>0</v>
      </c>
      <c r="CT314">
        <f t="shared" si="291"/>
        <v>0</v>
      </c>
    </row>
    <row r="315" spans="2:98">
      <c r="B315" s="168" t="str">
        <f t="shared" ref="B315:C315" si="304">B268</f>
        <v/>
      </c>
      <c r="C315" s="165" t="str">
        <f t="shared" si="304"/>
        <v>Worker Transportation bus</v>
      </c>
      <c r="D315" s="171" t="s">
        <v>896</v>
      </c>
      <c r="E315" s="436">
        <f t="shared" si="216"/>
        <v>6</v>
      </c>
      <c r="F315" s="174">
        <f>VLOOKUP(C315,Equipment!$C$5:$V$47,Equipment!O$1,FALSE)</f>
        <v>5</v>
      </c>
      <c r="G315" s="378">
        <f t="shared" si="221"/>
        <v>0</v>
      </c>
      <c r="H315" s="378">
        <f t="shared" si="257"/>
        <v>0</v>
      </c>
      <c r="I315" s="378">
        <f t="shared" si="257"/>
        <v>0</v>
      </c>
      <c r="J315" s="378">
        <f t="shared" si="257"/>
        <v>0</v>
      </c>
      <c r="K315" s="378">
        <f t="shared" si="295"/>
        <v>0</v>
      </c>
      <c r="L315" s="378">
        <f t="shared" si="295"/>
        <v>0</v>
      </c>
      <c r="M315" s="378">
        <f t="shared" si="295"/>
        <v>0</v>
      </c>
      <c r="N315" s="378">
        <f t="shared" si="295"/>
        <v>0</v>
      </c>
      <c r="O315" s="378">
        <f t="shared" si="295"/>
        <v>0</v>
      </c>
      <c r="P315" s="378">
        <f t="shared" si="295"/>
        <v>1</v>
      </c>
      <c r="Q315" s="378">
        <f t="shared" si="295"/>
        <v>0</v>
      </c>
      <c r="R315" s="378">
        <f t="shared" si="295"/>
        <v>1</v>
      </c>
      <c r="S315" s="378">
        <f t="shared" si="295"/>
        <v>0</v>
      </c>
      <c r="T315" s="378">
        <f t="shared" si="295"/>
        <v>0</v>
      </c>
      <c r="U315" s="378">
        <f t="shared" si="296"/>
        <v>1</v>
      </c>
      <c r="V315" s="378">
        <f t="shared" si="296"/>
        <v>0</v>
      </c>
      <c r="W315" s="378">
        <f t="shared" si="296"/>
        <v>1</v>
      </c>
      <c r="X315" s="378">
        <f t="shared" si="296"/>
        <v>0</v>
      </c>
      <c r="Y315" s="378">
        <f t="shared" si="296"/>
        <v>0</v>
      </c>
      <c r="Z315" s="378">
        <f t="shared" si="296"/>
        <v>1</v>
      </c>
      <c r="AA315" s="378">
        <f t="shared" si="296"/>
        <v>0</v>
      </c>
      <c r="AB315" s="378">
        <f t="shared" si="296"/>
        <v>1</v>
      </c>
      <c r="AC315" s="378">
        <f t="shared" si="296"/>
        <v>0</v>
      </c>
      <c r="AD315" s="378"/>
      <c r="AE315" s="378"/>
      <c r="AF315" s="378"/>
      <c r="AG315" s="378"/>
      <c r="AH315" s="378"/>
      <c r="AI315" s="378"/>
      <c r="AJ315" s="378"/>
      <c r="AK315" s="378"/>
      <c r="AL315" s="378"/>
      <c r="AM315" s="378"/>
      <c r="AN315" s="378"/>
      <c r="AO315" s="378"/>
      <c r="AP315" s="378"/>
      <c r="AQ315" s="378"/>
      <c r="AR315" s="378"/>
      <c r="AS315" s="378"/>
      <c r="AT315" s="378"/>
      <c r="AU315" s="218"/>
      <c r="AV315" s="218"/>
      <c r="AW315" s="218"/>
      <c r="AX315" s="218"/>
      <c r="AY315" s="218"/>
      <c r="AZ315" s="218"/>
      <c r="BA315" s="218"/>
      <c r="BB315" s="218"/>
      <c r="BC315" s="218"/>
      <c r="BD315" s="218"/>
      <c r="BE315" s="218"/>
      <c r="BF315" s="218"/>
      <c r="BN315">
        <f t="shared" si="222"/>
        <v>1</v>
      </c>
      <c r="BO315">
        <f t="shared" si="260"/>
        <v>2</v>
      </c>
      <c r="BP315">
        <f t="shared" si="261"/>
        <v>3</v>
      </c>
      <c r="BQ315">
        <f t="shared" si="262"/>
        <v>4</v>
      </c>
      <c r="BR315">
        <f t="shared" si="263"/>
        <v>5</v>
      </c>
      <c r="BS315">
        <f t="shared" si="264"/>
        <v>1</v>
      </c>
      <c r="BT315">
        <f t="shared" si="265"/>
        <v>2</v>
      </c>
      <c r="BU315">
        <f t="shared" si="266"/>
        <v>3</v>
      </c>
      <c r="BV315">
        <f t="shared" si="267"/>
        <v>4</v>
      </c>
      <c r="BW315">
        <f t="shared" si="268"/>
        <v>5</v>
      </c>
      <c r="BX315">
        <f t="shared" si="269"/>
        <v>1</v>
      </c>
      <c r="BY315">
        <f t="shared" si="270"/>
        <v>2</v>
      </c>
      <c r="BZ315">
        <f t="shared" si="271"/>
        <v>3</v>
      </c>
      <c r="CA315">
        <f t="shared" si="272"/>
        <v>4</v>
      </c>
      <c r="CB315">
        <f t="shared" si="273"/>
        <v>5</v>
      </c>
      <c r="CC315">
        <f t="shared" si="274"/>
        <v>1</v>
      </c>
      <c r="CD315">
        <f t="shared" si="275"/>
        <v>2</v>
      </c>
      <c r="CE315">
        <f t="shared" si="276"/>
        <v>3</v>
      </c>
      <c r="CF315">
        <f t="shared" si="277"/>
        <v>4</v>
      </c>
      <c r="CG315">
        <f t="shared" si="278"/>
        <v>0</v>
      </c>
      <c r="CH315">
        <f t="shared" si="279"/>
        <v>0</v>
      </c>
      <c r="CI315">
        <f t="shared" si="280"/>
        <v>0</v>
      </c>
      <c r="CJ315">
        <f t="shared" si="281"/>
        <v>0</v>
      </c>
      <c r="CK315">
        <f t="shared" si="282"/>
        <v>0</v>
      </c>
      <c r="CL315">
        <f t="shared" si="283"/>
        <v>0</v>
      </c>
      <c r="CM315">
        <f t="shared" si="284"/>
        <v>0</v>
      </c>
      <c r="CN315">
        <f t="shared" si="285"/>
        <v>0</v>
      </c>
      <c r="CO315">
        <f t="shared" si="286"/>
        <v>0</v>
      </c>
      <c r="CP315">
        <f t="shared" si="287"/>
        <v>0</v>
      </c>
      <c r="CQ315">
        <f t="shared" si="288"/>
        <v>0</v>
      </c>
      <c r="CR315">
        <f t="shared" si="289"/>
        <v>0</v>
      </c>
      <c r="CS315">
        <f t="shared" si="290"/>
        <v>0</v>
      </c>
      <c r="CT315">
        <f t="shared" si="291"/>
        <v>0</v>
      </c>
    </row>
    <row r="316" spans="2:98">
      <c r="B316" s="168" t="str">
        <f t="shared" ref="B316:C316" si="305">B269</f>
        <v/>
      </c>
      <c r="C316" s="165" t="str">
        <f t="shared" si="305"/>
        <v>School bus</v>
      </c>
      <c r="D316" s="171" t="s">
        <v>896</v>
      </c>
      <c r="E316" s="436">
        <f t="shared" si="216"/>
        <v>6</v>
      </c>
      <c r="F316" s="174">
        <f>VLOOKUP(C316,Equipment!$C$5:$V$47,Equipment!O$1,FALSE)</f>
        <v>5</v>
      </c>
      <c r="G316" s="378">
        <f t="shared" si="221"/>
        <v>0</v>
      </c>
      <c r="H316" s="378">
        <f t="shared" si="257"/>
        <v>0</v>
      </c>
      <c r="I316" s="378">
        <f t="shared" si="257"/>
        <v>0</v>
      </c>
      <c r="J316" s="378">
        <f t="shared" si="257"/>
        <v>0</v>
      </c>
      <c r="K316" s="378">
        <f t="shared" si="295"/>
        <v>0</v>
      </c>
      <c r="L316" s="378">
        <f t="shared" si="295"/>
        <v>0</v>
      </c>
      <c r="M316" s="378">
        <f t="shared" si="295"/>
        <v>0</v>
      </c>
      <c r="N316" s="378">
        <f t="shared" si="295"/>
        <v>0</v>
      </c>
      <c r="O316" s="378">
        <f t="shared" si="295"/>
        <v>0</v>
      </c>
      <c r="P316" s="378">
        <f t="shared" si="295"/>
        <v>1</v>
      </c>
      <c r="Q316" s="378">
        <f t="shared" si="295"/>
        <v>0</v>
      </c>
      <c r="R316" s="378">
        <f t="shared" si="295"/>
        <v>1</v>
      </c>
      <c r="S316" s="378">
        <f t="shared" si="295"/>
        <v>0</v>
      </c>
      <c r="T316" s="378">
        <f t="shared" si="295"/>
        <v>0</v>
      </c>
      <c r="U316" s="378">
        <f t="shared" si="296"/>
        <v>1</v>
      </c>
      <c r="V316" s="378">
        <f t="shared" si="296"/>
        <v>0</v>
      </c>
      <c r="W316" s="378">
        <f t="shared" si="296"/>
        <v>1</v>
      </c>
      <c r="X316" s="378">
        <f t="shared" si="296"/>
        <v>0</v>
      </c>
      <c r="Y316" s="378">
        <f t="shared" si="296"/>
        <v>0</v>
      </c>
      <c r="Z316" s="378">
        <f t="shared" si="296"/>
        <v>1</v>
      </c>
      <c r="AA316" s="378">
        <f t="shared" si="296"/>
        <v>0</v>
      </c>
      <c r="AB316" s="378">
        <f t="shared" si="296"/>
        <v>1</v>
      </c>
      <c r="AC316" s="378">
        <f t="shared" si="296"/>
        <v>0</v>
      </c>
      <c r="AD316" s="378"/>
      <c r="AE316" s="378"/>
      <c r="AF316" s="378"/>
      <c r="AG316" s="378"/>
      <c r="AH316" s="378"/>
      <c r="AI316" s="378"/>
      <c r="AJ316" s="378"/>
      <c r="AK316" s="378"/>
      <c r="AL316" s="378"/>
      <c r="AM316" s="378"/>
      <c r="AN316" s="378"/>
      <c r="AO316" s="378"/>
      <c r="AP316" s="378"/>
      <c r="AQ316" s="378"/>
      <c r="AR316" s="378"/>
      <c r="AS316" s="378"/>
      <c r="AT316" s="378"/>
      <c r="AU316" s="218"/>
      <c r="AV316" s="218"/>
      <c r="AW316" s="218"/>
      <c r="AX316" s="218"/>
      <c r="AY316" s="218"/>
      <c r="AZ316" s="218"/>
      <c r="BA316" s="218"/>
      <c r="BB316" s="218"/>
      <c r="BC316" s="218"/>
      <c r="BD316" s="218"/>
      <c r="BE316" s="218"/>
      <c r="BF316" s="218"/>
      <c r="BN316">
        <f t="shared" si="222"/>
        <v>1</v>
      </c>
      <c r="BO316">
        <f t="shared" si="260"/>
        <v>2</v>
      </c>
      <c r="BP316">
        <f t="shared" si="261"/>
        <v>3</v>
      </c>
      <c r="BQ316">
        <f t="shared" si="262"/>
        <v>4</v>
      </c>
      <c r="BR316">
        <f t="shared" si="263"/>
        <v>5</v>
      </c>
      <c r="BS316">
        <f t="shared" si="264"/>
        <v>1</v>
      </c>
      <c r="BT316">
        <f t="shared" si="265"/>
        <v>2</v>
      </c>
      <c r="BU316">
        <f t="shared" si="266"/>
        <v>3</v>
      </c>
      <c r="BV316">
        <f t="shared" si="267"/>
        <v>4</v>
      </c>
      <c r="BW316">
        <f t="shared" si="268"/>
        <v>5</v>
      </c>
      <c r="BX316">
        <f t="shared" si="269"/>
        <v>1</v>
      </c>
      <c r="BY316">
        <f t="shared" si="270"/>
        <v>2</v>
      </c>
      <c r="BZ316">
        <f t="shared" si="271"/>
        <v>3</v>
      </c>
      <c r="CA316">
        <f t="shared" si="272"/>
        <v>4</v>
      </c>
      <c r="CB316">
        <f t="shared" si="273"/>
        <v>5</v>
      </c>
      <c r="CC316">
        <f t="shared" si="274"/>
        <v>1</v>
      </c>
      <c r="CD316">
        <f t="shared" si="275"/>
        <v>2</v>
      </c>
      <c r="CE316">
        <f t="shared" si="276"/>
        <v>3</v>
      </c>
      <c r="CF316">
        <f t="shared" si="277"/>
        <v>4</v>
      </c>
      <c r="CG316">
        <f t="shared" si="278"/>
        <v>0</v>
      </c>
      <c r="CH316">
        <f t="shared" si="279"/>
        <v>0</v>
      </c>
      <c r="CI316">
        <f t="shared" si="280"/>
        <v>0</v>
      </c>
      <c r="CJ316">
        <f t="shared" si="281"/>
        <v>0</v>
      </c>
      <c r="CK316">
        <f t="shared" si="282"/>
        <v>0</v>
      </c>
      <c r="CL316">
        <f t="shared" si="283"/>
        <v>0</v>
      </c>
      <c r="CM316">
        <f t="shared" si="284"/>
        <v>0</v>
      </c>
      <c r="CN316">
        <f t="shared" si="285"/>
        <v>0</v>
      </c>
      <c r="CO316">
        <f t="shared" si="286"/>
        <v>0</v>
      </c>
      <c r="CP316">
        <f t="shared" si="287"/>
        <v>0</v>
      </c>
      <c r="CQ316">
        <f t="shared" si="288"/>
        <v>0</v>
      </c>
      <c r="CR316">
        <f t="shared" si="289"/>
        <v>0</v>
      </c>
      <c r="CS316">
        <f t="shared" si="290"/>
        <v>0</v>
      </c>
      <c r="CT316">
        <f t="shared" si="291"/>
        <v>0</v>
      </c>
    </row>
    <row r="317" spans="2:98">
      <c r="B317" s="168" t="str">
        <f t="shared" ref="B317:C317" si="306">B270</f>
        <v/>
      </c>
      <c r="C317" s="165" t="str">
        <f t="shared" si="306"/>
        <v xml:space="preserve">Pickup Van </v>
      </c>
      <c r="D317" s="171" t="s">
        <v>896</v>
      </c>
      <c r="E317" s="436">
        <f t="shared" si="216"/>
        <v>6</v>
      </c>
      <c r="F317" s="174">
        <f>VLOOKUP(C317,Equipment!$C$5:$V$47,Equipment!O$1,FALSE)</f>
        <v>5</v>
      </c>
      <c r="G317" s="378">
        <f t="shared" si="221"/>
        <v>0</v>
      </c>
      <c r="H317" s="378">
        <f t="shared" si="257"/>
        <v>0</v>
      </c>
      <c r="I317" s="378">
        <f t="shared" si="257"/>
        <v>0</v>
      </c>
      <c r="J317" s="378">
        <f t="shared" si="257"/>
        <v>0</v>
      </c>
      <c r="K317" s="378">
        <f t="shared" si="295"/>
        <v>0</v>
      </c>
      <c r="L317" s="378">
        <f t="shared" si="295"/>
        <v>0</v>
      </c>
      <c r="M317" s="378">
        <f t="shared" si="295"/>
        <v>0</v>
      </c>
      <c r="N317" s="378">
        <f t="shared" si="295"/>
        <v>0</v>
      </c>
      <c r="O317" s="378">
        <f t="shared" si="295"/>
        <v>0</v>
      </c>
      <c r="P317" s="378">
        <f t="shared" si="295"/>
        <v>1</v>
      </c>
      <c r="Q317" s="378">
        <f t="shared" si="295"/>
        <v>0</v>
      </c>
      <c r="R317" s="378">
        <f t="shared" si="295"/>
        <v>1</v>
      </c>
      <c r="S317" s="378">
        <f t="shared" si="295"/>
        <v>0</v>
      </c>
      <c r="T317" s="378">
        <f t="shared" si="295"/>
        <v>0</v>
      </c>
      <c r="U317" s="378">
        <f t="shared" si="296"/>
        <v>1</v>
      </c>
      <c r="V317" s="378">
        <f t="shared" si="296"/>
        <v>0</v>
      </c>
      <c r="W317" s="378">
        <f t="shared" si="296"/>
        <v>1</v>
      </c>
      <c r="X317" s="378">
        <f t="shared" si="296"/>
        <v>0</v>
      </c>
      <c r="Y317" s="378">
        <f t="shared" si="296"/>
        <v>0</v>
      </c>
      <c r="Z317" s="378">
        <f t="shared" si="296"/>
        <v>1</v>
      </c>
      <c r="AA317" s="378">
        <f t="shared" si="296"/>
        <v>0</v>
      </c>
      <c r="AB317" s="378">
        <f t="shared" si="296"/>
        <v>1</v>
      </c>
      <c r="AC317" s="378">
        <f t="shared" si="296"/>
        <v>0</v>
      </c>
      <c r="AD317" s="378"/>
      <c r="AE317" s="378"/>
      <c r="AF317" s="378"/>
      <c r="AG317" s="378"/>
      <c r="AH317" s="378"/>
      <c r="AI317" s="378"/>
      <c r="AJ317" s="378"/>
      <c r="AK317" s="378"/>
      <c r="AL317" s="378"/>
      <c r="AM317" s="378"/>
      <c r="AN317" s="378"/>
      <c r="AO317" s="378"/>
      <c r="AP317" s="378"/>
      <c r="AQ317" s="378"/>
      <c r="AR317" s="378"/>
      <c r="AS317" s="378"/>
      <c r="AT317" s="378"/>
      <c r="AU317" s="218"/>
      <c r="AV317" s="218"/>
      <c r="AW317" s="218"/>
      <c r="AX317" s="218"/>
      <c r="AY317" s="218"/>
      <c r="AZ317" s="218"/>
      <c r="BA317" s="218"/>
      <c r="BB317" s="218"/>
      <c r="BC317" s="218"/>
      <c r="BD317" s="218"/>
      <c r="BE317" s="218"/>
      <c r="BF317" s="218"/>
      <c r="BN317">
        <f t="shared" si="222"/>
        <v>1</v>
      </c>
      <c r="BO317">
        <f t="shared" si="260"/>
        <v>2</v>
      </c>
      <c r="BP317">
        <f t="shared" si="261"/>
        <v>3</v>
      </c>
      <c r="BQ317">
        <f t="shared" si="262"/>
        <v>4</v>
      </c>
      <c r="BR317">
        <f t="shared" si="263"/>
        <v>5</v>
      </c>
      <c r="BS317">
        <f t="shared" si="264"/>
        <v>1</v>
      </c>
      <c r="BT317">
        <f t="shared" si="265"/>
        <v>2</v>
      </c>
      <c r="BU317">
        <f t="shared" si="266"/>
        <v>3</v>
      </c>
      <c r="BV317">
        <f t="shared" si="267"/>
        <v>4</v>
      </c>
      <c r="BW317">
        <f t="shared" si="268"/>
        <v>5</v>
      </c>
      <c r="BX317">
        <f t="shared" si="269"/>
        <v>1</v>
      </c>
      <c r="BY317">
        <f t="shared" si="270"/>
        <v>2</v>
      </c>
      <c r="BZ317">
        <f t="shared" si="271"/>
        <v>3</v>
      </c>
      <c r="CA317">
        <f t="shared" si="272"/>
        <v>4</v>
      </c>
      <c r="CB317">
        <f t="shared" si="273"/>
        <v>5</v>
      </c>
      <c r="CC317">
        <f t="shared" si="274"/>
        <v>1</v>
      </c>
      <c r="CD317">
        <f t="shared" si="275"/>
        <v>2</v>
      </c>
      <c r="CE317">
        <f t="shared" si="276"/>
        <v>3</v>
      </c>
      <c r="CF317">
        <f t="shared" si="277"/>
        <v>4</v>
      </c>
      <c r="CG317">
        <f t="shared" si="278"/>
        <v>0</v>
      </c>
      <c r="CH317">
        <f t="shared" si="279"/>
        <v>0</v>
      </c>
      <c r="CI317">
        <f t="shared" si="280"/>
        <v>0</v>
      </c>
      <c r="CJ317">
        <f t="shared" si="281"/>
        <v>0</v>
      </c>
      <c r="CK317">
        <f t="shared" si="282"/>
        <v>0</v>
      </c>
      <c r="CL317">
        <f t="shared" si="283"/>
        <v>0</v>
      </c>
      <c r="CM317">
        <f t="shared" si="284"/>
        <v>0</v>
      </c>
      <c r="CN317">
        <f t="shared" si="285"/>
        <v>0</v>
      </c>
      <c r="CO317">
        <f t="shared" si="286"/>
        <v>0</v>
      </c>
      <c r="CP317">
        <f t="shared" si="287"/>
        <v>0</v>
      </c>
      <c r="CQ317">
        <f t="shared" si="288"/>
        <v>0</v>
      </c>
      <c r="CR317">
        <f t="shared" si="289"/>
        <v>0</v>
      </c>
      <c r="CS317">
        <f t="shared" si="290"/>
        <v>0</v>
      </c>
      <c r="CT317">
        <f t="shared" si="291"/>
        <v>0</v>
      </c>
    </row>
    <row r="318" spans="2:98">
      <c r="B318" s="168" t="str">
        <f t="shared" ref="B318:C318" si="307">B271</f>
        <v/>
      </c>
      <c r="C318" s="165" t="str">
        <f t="shared" si="307"/>
        <v>Cars</v>
      </c>
      <c r="D318" s="171" t="s">
        <v>896</v>
      </c>
      <c r="E318" s="436">
        <f t="shared" si="216"/>
        <v>6</v>
      </c>
      <c r="F318" s="174">
        <f>VLOOKUP(C318,Equipment!$C$5:$V$47,Equipment!O$1,FALSE)</f>
        <v>5</v>
      </c>
      <c r="G318" s="378">
        <f t="shared" si="221"/>
        <v>0</v>
      </c>
      <c r="H318" s="378">
        <f t="shared" si="257"/>
        <v>0</v>
      </c>
      <c r="I318" s="378">
        <f t="shared" si="257"/>
        <v>0</v>
      </c>
      <c r="J318" s="378">
        <f t="shared" si="257"/>
        <v>0</v>
      </c>
      <c r="K318" s="378">
        <f t="shared" si="295"/>
        <v>0</v>
      </c>
      <c r="L318" s="378">
        <f t="shared" si="295"/>
        <v>0</v>
      </c>
      <c r="M318" s="378">
        <f t="shared" si="295"/>
        <v>0</v>
      </c>
      <c r="N318" s="378">
        <f t="shared" si="295"/>
        <v>0</v>
      </c>
      <c r="O318" s="378">
        <f t="shared" si="295"/>
        <v>0</v>
      </c>
      <c r="P318" s="378">
        <f t="shared" si="295"/>
        <v>1</v>
      </c>
      <c r="Q318" s="378">
        <f t="shared" si="295"/>
        <v>0</v>
      </c>
      <c r="R318" s="378">
        <f t="shared" si="295"/>
        <v>1</v>
      </c>
      <c r="S318" s="378">
        <f t="shared" si="295"/>
        <v>0</v>
      </c>
      <c r="T318" s="378">
        <f t="shared" si="295"/>
        <v>0</v>
      </c>
      <c r="U318" s="378">
        <f t="shared" si="296"/>
        <v>1</v>
      </c>
      <c r="V318" s="378">
        <f t="shared" si="296"/>
        <v>0</v>
      </c>
      <c r="W318" s="378">
        <f t="shared" si="296"/>
        <v>1</v>
      </c>
      <c r="X318" s="378">
        <f t="shared" si="296"/>
        <v>0</v>
      </c>
      <c r="Y318" s="378">
        <f t="shared" si="296"/>
        <v>0</v>
      </c>
      <c r="Z318" s="378">
        <f t="shared" si="296"/>
        <v>1</v>
      </c>
      <c r="AA318" s="378">
        <f t="shared" si="296"/>
        <v>0</v>
      </c>
      <c r="AB318" s="378">
        <f t="shared" si="296"/>
        <v>1</v>
      </c>
      <c r="AC318" s="378">
        <f t="shared" si="296"/>
        <v>0</v>
      </c>
      <c r="AD318" s="378"/>
      <c r="AE318" s="378"/>
      <c r="AF318" s="378"/>
      <c r="AG318" s="378"/>
      <c r="AH318" s="378"/>
      <c r="AI318" s="378"/>
      <c r="AJ318" s="378"/>
      <c r="AK318" s="378"/>
      <c r="AL318" s="378"/>
      <c r="AM318" s="378"/>
      <c r="AN318" s="378"/>
      <c r="AO318" s="378"/>
      <c r="AP318" s="378"/>
      <c r="AQ318" s="378"/>
      <c r="AR318" s="378"/>
      <c r="AS318" s="378"/>
      <c r="AT318" s="378"/>
      <c r="AU318" s="218"/>
      <c r="AV318" s="218"/>
      <c r="AW318" s="218"/>
      <c r="AX318" s="218"/>
      <c r="AY318" s="218"/>
      <c r="AZ318" s="218"/>
      <c r="BA318" s="218"/>
      <c r="BB318" s="218"/>
      <c r="BC318" s="218"/>
      <c r="BD318" s="218"/>
      <c r="BE318" s="218"/>
      <c r="BF318" s="218"/>
      <c r="BN318">
        <f t="shared" si="222"/>
        <v>1</v>
      </c>
      <c r="BO318">
        <f t="shared" si="260"/>
        <v>2</v>
      </c>
      <c r="BP318">
        <f t="shared" si="261"/>
        <v>3</v>
      </c>
      <c r="BQ318">
        <f t="shared" si="262"/>
        <v>4</v>
      </c>
      <c r="BR318">
        <f t="shared" si="263"/>
        <v>5</v>
      </c>
      <c r="BS318">
        <f t="shared" si="264"/>
        <v>1</v>
      </c>
      <c r="BT318">
        <f t="shared" si="265"/>
        <v>2</v>
      </c>
      <c r="BU318">
        <f t="shared" si="266"/>
        <v>3</v>
      </c>
      <c r="BV318">
        <f t="shared" si="267"/>
        <v>4</v>
      </c>
      <c r="BW318">
        <f t="shared" si="268"/>
        <v>5</v>
      </c>
      <c r="BX318">
        <f t="shared" si="269"/>
        <v>1</v>
      </c>
      <c r="BY318">
        <f t="shared" si="270"/>
        <v>2</v>
      </c>
      <c r="BZ318">
        <f t="shared" si="271"/>
        <v>3</v>
      </c>
      <c r="CA318">
        <f t="shared" si="272"/>
        <v>4</v>
      </c>
      <c r="CB318">
        <f t="shared" si="273"/>
        <v>5</v>
      </c>
      <c r="CC318">
        <f t="shared" si="274"/>
        <v>1</v>
      </c>
      <c r="CD318">
        <f t="shared" si="275"/>
        <v>2</v>
      </c>
      <c r="CE318">
        <f t="shared" si="276"/>
        <v>3</v>
      </c>
      <c r="CF318">
        <f t="shared" si="277"/>
        <v>4</v>
      </c>
      <c r="CG318">
        <f t="shared" si="278"/>
        <v>0</v>
      </c>
      <c r="CH318">
        <f t="shared" si="279"/>
        <v>0</v>
      </c>
      <c r="CI318">
        <f t="shared" si="280"/>
        <v>0</v>
      </c>
      <c r="CJ318">
        <f t="shared" si="281"/>
        <v>0</v>
      </c>
      <c r="CK318">
        <f t="shared" si="282"/>
        <v>0</v>
      </c>
      <c r="CL318">
        <f t="shared" si="283"/>
        <v>0</v>
      </c>
      <c r="CM318">
        <f t="shared" si="284"/>
        <v>0</v>
      </c>
      <c r="CN318">
        <f t="shared" si="285"/>
        <v>0</v>
      </c>
      <c r="CO318">
        <f t="shared" si="286"/>
        <v>0</v>
      </c>
      <c r="CP318">
        <f t="shared" si="287"/>
        <v>0</v>
      </c>
      <c r="CQ318">
        <f t="shared" si="288"/>
        <v>0</v>
      </c>
      <c r="CR318">
        <f t="shared" si="289"/>
        <v>0</v>
      </c>
      <c r="CS318">
        <f t="shared" si="290"/>
        <v>0</v>
      </c>
      <c r="CT318">
        <f t="shared" si="291"/>
        <v>0</v>
      </c>
    </row>
    <row r="319" spans="2:98" ht="14" thickBot="1">
      <c r="B319" s="169"/>
      <c r="C319" s="166"/>
      <c r="D319" s="172"/>
      <c r="E319" s="172"/>
      <c r="F319" s="172"/>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176"/>
      <c r="AX319" s="176"/>
      <c r="AY319" s="176"/>
      <c r="AZ319" s="176"/>
      <c r="BA319" s="176"/>
      <c r="BB319" s="176"/>
      <c r="BC319" s="176"/>
      <c r="BD319" s="176"/>
      <c r="BE319" s="176"/>
      <c r="BF319" s="177"/>
      <c r="BN319">
        <f t="shared" si="222"/>
        <v>1</v>
      </c>
      <c r="BO319">
        <f t="shared" si="260"/>
        <v>2</v>
      </c>
      <c r="BP319">
        <f t="shared" si="261"/>
        <v>3</v>
      </c>
      <c r="BQ319">
        <f t="shared" si="262"/>
        <v>4</v>
      </c>
      <c r="BR319">
        <f t="shared" si="263"/>
        <v>5</v>
      </c>
      <c r="BS319">
        <f t="shared" si="264"/>
        <v>6</v>
      </c>
      <c r="BT319">
        <f t="shared" si="265"/>
        <v>7</v>
      </c>
      <c r="BU319">
        <f t="shared" si="266"/>
        <v>8</v>
      </c>
      <c r="BV319">
        <f t="shared" si="267"/>
        <v>9</v>
      </c>
      <c r="BW319">
        <f t="shared" si="268"/>
        <v>10</v>
      </c>
      <c r="BX319">
        <f t="shared" si="269"/>
        <v>11</v>
      </c>
      <c r="BY319">
        <f t="shared" si="270"/>
        <v>12</v>
      </c>
      <c r="BZ319">
        <f t="shared" si="271"/>
        <v>13</v>
      </c>
      <c r="CA319">
        <f t="shared" si="272"/>
        <v>14</v>
      </c>
      <c r="CB319">
        <f t="shared" si="273"/>
        <v>15</v>
      </c>
      <c r="CC319">
        <f t="shared" si="274"/>
        <v>16</v>
      </c>
      <c r="CD319">
        <f t="shared" si="275"/>
        <v>17</v>
      </c>
      <c r="CE319">
        <f t="shared" si="276"/>
        <v>18</v>
      </c>
      <c r="CF319">
        <f t="shared" si="277"/>
        <v>19</v>
      </c>
      <c r="CG319">
        <f t="shared" si="278"/>
        <v>0</v>
      </c>
      <c r="CH319">
        <f t="shared" si="279"/>
        <v>0</v>
      </c>
      <c r="CI319">
        <f t="shared" si="280"/>
        <v>0</v>
      </c>
      <c r="CJ319">
        <f t="shared" si="281"/>
        <v>0</v>
      </c>
      <c r="CK319">
        <f t="shared" si="282"/>
        <v>0</v>
      </c>
      <c r="CL319">
        <f t="shared" si="283"/>
        <v>0</v>
      </c>
      <c r="CM319">
        <f t="shared" si="284"/>
        <v>0</v>
      </c>
      <c r="CN319">
        <f t="shared" si="285"/>
        <v>0</v>
      </c>
      <c r="CO319">
        <f t="shared" si="286"/>
        <v>0</v>
      </c>
      <c r="CP319">
        <f t="shared" si="287"/>
        <v>0</v>
      </c>
      <c r="CQ319">
        <f t="shared" si="288"/>
        <v>0</v>
      </c>
      <c r="CR319">
        <f t="shared" si="289"/>
        <v>0</v>
      </c>
      <c r="CS319">
        <f t="shared" si="290"/>
        <v>0</v>
      </c>
      <c r="CT319">
        <f t="shared" si="291"/>
        <v>0</v>
      </c>
    </row>
    <row r="322" spans="2:58">
      <c r="B322" s="191" t="s">
        <v>977</v>
      </c>
    </row>
    <row r="323" spans="2:58" ht="14">
      <c r="B323" s="1141" t="s">
        <v>971</v>
      </c>
      <c r="C323" s="1141" t="s">
        <v>972</v>
      </c>
      <c r="D323" s="789"/>
      <c r="E323" s="1141" t="s">
        <v>978</v>
      </c>
      <c r="F323" s="1141" t="s">
        <v>1665</v>
      </c>
      <c r="G323" s="789">
        <f t="shared" ref="G323:AC323" si="308">G276</f>
        <v>-4</v>
      </c>
      <c r="H323" s="789">
        <f t="shared" si="308"/>
        <v>-3</v>
      </c>
      <c r="I323" s="789">
        <f t="shared" si="308"/>
        <v>-2</v>
      </c>
      <c r="J323" s="789">
        <f t="shared" si="308"/>
        <v>-1</v>
      </c>
      <c r="K323" s="789">
        <f t="shared" si="308"/>
        <v>1</v>
      </c>
      <c r="L323" s="789">
        <f t="shared" si="308"/>
        <v>2</v>
      </c>
      <c r="M323" s="789">
        <f t="shared" si="308"/>
        <v>3</v>
      </c>
      <c r="N323" s="789">
        <f t="shared" si="308"/>
        <v>4</v>
      </c>
      <c r="O323" s="789">
        <f t="shared" si="308"/>
        <v>5</v>
      </c>
      <c r="P323" s="789">
        <f t="shared" si="308"/>
        <v>6</v>
      </c>
      <c r="Q323" s="789">
        <f t="shared" si="308"/>
        <v>7</v>
      </c>
      <c r="R323" s="789">
        <f t="shared" si="308"/>
        <v>8</v>
      </c>
      <c r="S323" s="789">
        <f t="shared" si="308"/>
        <v>9</v>
      </c>
      <c r="T323" s="789">
        <f t="shared" si="308"/>
        <v>10</v>
      </c>
      <c r="U323" s="789">
        <f t="shared" si="308"/>
        <v>11</v>
      </c>
      <c r="V323" s="789">
        <f t="shared" si="308"/>
        <v>12</v>
      </c>
      <c r="W323" s="789">
        <f t="shared" si="308"/>
        <v>13</v>
      </c>
      <c r="X323" s="789">
        <f t="shared" si="308"/>
        <v>14</v>
      </c>
      <c r="Y323" s="789">
        <f t="shared" si="308"/>
        <v>15</v>
      </c>
      <c r="Z323" s="789">
        <f t="shared" si="308"/>
        <v>16</v>
      </c>
      <c r="AA323" s="789">
        <f t="shared" si="308"/>
        <v>17</v>
      </c>
      <c r="AB323" s="789">
        <f t="shared" si="308"/>
        <v>18</v>
      </c>
      <c r="AC323" s="789">
        <f t="shared" si="308"/>
        <v>19</v>
      </c>
      <c r="AD323" s="789"/>
      <c r="AE323" s="789"/>
      <c r="AF323" s="789"/>
      <c r="AG323" s="789"/>
      <c r="AH323" s="789"/>
      <c r="AI323" s="789"/>
      <c r="AJ323" s="789"/>
      <c r="AK323" s="789"/>
      <c r="AL323" s="789"/>
      <c r="AM323" s="789"/>
      <c r="AN323" s="789"/>
      <c r="AO323" s="789"/>
      <c r="AP323" s="789"/>
      <c r="AQ323" s="789"/>
      <c r="AR323" s="789">
        <f t="shared" ref="AR323:BF323" si="309">AR193</f>
        <v>0</v>
      </c>
      <c r="AS323" s="789">
        <f t="shared" si="309"/>
        <v>0</v>
      </c>
      <c r="AT323" s="789">
        <f t="shared" si="309"/>
        <v>0</v>
      </c>
      <c r="AU323" s="789">
        <f t="shared" si="309"/>
        <v>0</v>
      </c>
      <c r="AV323" s="789">
        <f t="shared" si="309"/>
        <v>0</v>
      </c>
      <c r="AW323" s="789">
        <f t="shared" si="309"/>
        <v>0</v>
      </c>
      <c r="AX323" s="789">
        <f t="shared" si="309"/>
        <v>0</v>
      </c>
      <c r="AY323" s="789">
        <f t="shared" si="309"/>
        <v>0</v>
      </c>
      <c r="AZ323" s="789">
        <f t="shared" si="309"/>
        <v>0</v>
      </c>
      <c r="BA323" s="789">
        <f t="shared" si="309"/>
        <v>0</v>
      </c>
      <c r="BB323" s="789">
        <f t="shared" si="309"/>
        <v>0</v>
      </c>
      <c r="BC323" s="789">
        <f t="shared" si="309"/>
        <v>0</v>
      </c>
      <c r="BD323" s="789">
        <f t="shared" si="309"/>
        <v>0</v>
      </c>
      <c r="BE323" s="789">
        <f t="shared" si="309"/>
        <v>0</v>
      </c>
      <c r="BF323" s="789">
        <f t="shared" si="309"/>
        <v>0</v>
      </c>
    </row>
    <row r="324" spans="2:58">
      <c r="B324" s="168" t="str">
        <f t="shared" ref="B324:C351" si="310">B277</f>
        <v>Coal/Ore</v>
      </c>
      <c r="C324" s="165" t="str">
        <f t="shared" si="310"/>
        <v>Drill Machine/ 115mm diameter</v>
      </c>
      <c r="D324" s="171" t="s">
        <v>134</v>
      </c>
      <c r="E324" s="1687">
        <f>VLOOKUP(C324,Equipment!$C$5:$F$53,Equipment!$F$1,FALSE)/10^7</f>
        <v>0.57999999999999996</v>
      </c>
      <c r="F324" s="221">
        <f t="shared" ref="F324:F338" si="311">SUM(K324:AQ324)</f>
        <v>0.57999999999999996</v>
      </c>
      <c r="G324" s="220"/>
      <c r="H324" s="220"/>
      <c r="I324" s="220"/>
      <c r="J324" s="220"/>
      <c r="K324" s="220">
        <f t="shared" ref="K324:AC324" si="312">$E324*K183</f>
        <v>0.57999999999999996</v>
      </c>
      <c r="L324" s="220">
        <f t="shared" si="312"/>
        <v>0</v>
      </c>
      <c r="M324" s="220">
        <f t="shared" si="312"/>
        <v>0</v>
      </c>
      <c r="N324" s="220">
        <f t="shared" si="312"/>
        <v>0</v>
      </c>
      <c r="O324" s="220">
        <f t="shared" si="312"/>
        <v>0</v>
      </c>
      <c r="P324" s="220">
        <f t="shared" si="312"/>
        <v>0</v>
      </c>
      <c r="Q324" s="220">
        <f t="shared" si="312"/>
        <v>0</v>
      </c>
      <c r="R324" s="220">
        <f t="shared" si="312"/>
        <v>0</v>
      </c>
      <c r="S324" s="220">
        <f t="shared" si="312"/>
        <v>0</v>
      </c>
      <c r="T324" s="220">
        <f t="shared" si="312"/>
        <v>0</v>
      </c>
      <c r="U324" s="220">
        <f t="shared" si="312"/>
        <v>0</v>
      </c>
      <c r="V324" s="220">
        <f t="shared" si="312"/>
        <v>0</v>
      </c>
      <c r="W324" s="220">
        <f t="shared" si="312"/>
        <v>0</v>
      </c>
      <c r="X324" s="220">
        <f t="shared" si="312"/>
        <v>0</v>
      </c>
      <c r="Y324" s="220">
        <f t="shared" si="312"/>
        <v>0</v>
      </c>
      <c r="Z324" s="220">
        <f t="shared" si="312"/>
        <v>0</v>
      </c>
      <c r="AA324" s="220">
        <f t="shared" si="312"/>
        <v>0</v>
      </c>
      <c r="AB324" s="220">
        <f t="shared" si="312"/>
        <v>0</v>
      </c>
      <c r="AC324" s="220">
        <f t="shared" si="312"/>
        <v>0</v>
      </c>
      <c r="AD324" s="220"/>
      <c r="AE324" s="220"/>
      <c r="AF324" s="220"/>
      <c r="AG324" s="220"/>
      <c r="AH324" s="220"/>
      <c r="AI324" s="220"/>
      <c r="AJ324" s="220"/>
      <c r="AK324" s="220"/>
      <c r="AL324" s="220"/>
      <c r="AM324" s="220"/>
      <c r="AN324" s="220"/>
      <c r="AO324" s="220"/>
      <c r="AP324" s="220"/>
      <c r="AQ324" s="220"/>
      <c r="AR324" s="218"/>
      <c r="AS324" s="218"/>
      <c r="AT324" s="218"/>
      <c r="AU324" s="218"/>
      <c r="AV324" s="218"/>
      <c r="AW324" s="218"/>
      <c r="AX324" s="218"/>
      <c r="AY324" s="218"/>
      <c r="AZ324" s="218"/>
      <c r="BA324" s="218"/>
      <c r="BB324" s="218"/>
      <c r="BC324" s="218"/>
      <c r="BD324" s="218"/>
      <c r="BE324" s="218"/>
      <c r="BF324" s="218"/>
    </row>
    <row r="325" spans="2:58">
      <c r="B325" s="168" t="str">
        <f t="shared" si="310"/>
        <v xml:space="preserve">Waste (IB Thin Parting) </v>
      </c>
      <c r="C325" s="165" t="str">
        <f t="shared" si="310"/>
        <v>Drill Machine/ 160mm diameter</v>
      </c>
      <c r="D325" s="171" t="s">
        <v>134</v>
      </c>
      <c r="E325" s="1687">
        <f>VLOOKUP(C325,Equipment!$C$5:$F$53,Equipment!$F$1,FALSE)/10^7</f>
        <v>1.19</v>
      </c>
      <c r="F325" s="221">
        <f t="shared" si="311"/>
        <v>4.76</v>
      </c>
      <c r="G325" s="220"/>
      <c r="H325" s="220"/>
      <c r="I325" s="220"/>
      <c r="J325" s="220"/>
      <c r="K325" s="220">
        <f>$E325*K184</f>
        <v>1.19</v>
      </c>
      <c r="L325" s="220">
        <f t="shared" ref="L325:AC325" si="313">$E325*L184</f>
        <v>0</v>
      </c>
      <c r="M325" s="220">
        <f t="shared" si="313"/>
        <v>1.19</v>
      </c>
      <c r="N325" s="220">
        <f t="shared" si="313"/>
        <v>1.19</v>
      </c>
      <c r="O325" s="220">
        <f t="shared" si="313"/>
        <v>0</v>
      </c>
      <c r="P325" s="220">
        <f t="shared" si="313"/>
        <v>1.19</v>
      </c>
      <c r="Q325" s="220">
        <f t="shared" si="313"/>
        <v>0</v>
      </c>
      <c r="R325" s="220">
        <f t="shared" si="313"/>
        <v>0</v>
      </c>
      <c r="S325" s="220">
        <f t="shared" si="313"/>
        <v>0</v>
      </c>
      <c r="T325" s="220">
        <f t="shared" si="313"/>
        <v>0</v>
      </c>
      <c r="U325" s="220">
        <f t="shared" si="313"/>
        <v>0</v>
      </c>
      <c r="V325" s="220">
        <f t="shared" si="313"/>
        <v>0</v>
      </c>
      <c r="W325" s="220">
        <f t="shared" si="313"/>
        <v>0</v>
      </c>
      <c r="X325" s="220">
        <f t="shared" si="313"/>
        <v>0</v>
      </c>
      <c r="Y325" s="220">
        <f t="shared" si="313"/>
        <v>0</v>
      </c>
      <c r="Z325" s="220">
        <f t="shared" si="313"/>
        <v>0</v>
      </c>
      <c r="AA325" s="220">
        <f t="shared" si="313"/>
        <v>0</v>
      </c>
      <c r="AB325" s="220">
        <f t="shared" si="313"/>
        <v>0</v>
      </c>
      <c r="AC325" s="220">
        <f t="shared" si="313"/>
        <v>0</v>
      </c>
      <c r="AD325" s="220"/>
      <c r="AE325" s="220"/>
      <c r="AF325" s="220"/>
      <c r="AG325" s="220"/>
      <c r="AH325" s="220"/>
      <c r="AI325" s="220"/>
      <c r="AJ325" s="220"/>
      <c r="AK325" s="220"/>
      <c r="AL325" s="220"/>
      <c r="AM325" s="220"/>
      <c r="AN325" s="220"/>
      <c r="AO325" s="220"/>
      <c r="AP325" s="220"/>
      <c r="AQ325" s="220"/>
      <c r="AR325" s="218"/>
      <c r="AS325" s="218"/>
      <c r="AT325" s="218"/>
      <c r="AU325" s="218"/>
      <c r="AV325" s="218"/>
      <c r="AW325" s="218"/>
      <c r="AX325" s="218"/>
      <c r="AY325" s="218"/>
      <c r="AZ325" s="218"/>
      <c r="BA325" s="218"/>
      <c r="BB325" s="218"/>
      <c r="BC325" s="218"/>
      <c r="BD325" s="218"/>
      <c r="BE325" s="218"/>
      <c r="BF325" s="218"/>
    </row>
    <row r="326" spans="2:58">
      <c r="B326" s="168" t="str">
        <f t="shared" si="310"/>
        <v>Waste Thick Parting (Ob/IB)</v>
      </c>
      <c r="C326" s="165" t="str">
        <f t="shared" si="310"/>
        <v>Drill Machine/ 250mm diameter</v>
      </c>
      <c r="D326" s="171" t="s">
        <v>134</v>
      </c>
      <c r="E326" s="1687">
        <f>VLOOKUP(C326,Equipment!$C$5:$F$53,Equipment!$F$1,FALSE)/10^7</f>
        <v>4.72</v>
      </c>
      <c r="F326" s="221">
        <f t="shared" si="311"/>
        <v>51.919999999999995</v>
      </c>
      <c r="G326" s="220"/>
      <c r="H326" s="220"/>
      <c r="I326" s="220"/>
      <c r="J326" s="220"/>
      <c r="K326" s="220">
        <f t="shared" ref="K326:AC326" si="314">$E326*K185</f>
        <v>14.16</v>
      </c>
      <c r="L326" s="220">
        <f t="shared" si="314"/>
        <v>0</v>
      </c>
      <c r="M326" s="220">
        <f t="shared" si="314"/>
        <v>4.72</v>
      </c>
      <c r="N326" s="220">
        <f t="shared" si="314"/>
        <v>23.599999999999998</v>
      </c>
      <c r="O326" s="220">
        <f t="shared" si="314"/>
        <v>0</v>
      </c>
      <c r="P326" s="220">
        <f t="shared" si="314"/>
        <v>9.44</v>
      </c>
      <c r="Q326" s="220">
        <f t="shared" si="314"/>
        <v>0</v>
      </c>
      <c r="R326" s="220">
        <f t="shared" si="314"/>
        <v>0</v>
      </c>
      <c r="S326" s="220">
        <f t="shared" si="314"/>
        <v>0</v>
      </c>
      <c r="T326" s="220">
        <f t="shared" si="314"/>
        <v>0</v>
      </c>
      <c r="U326" s="220">
        <f t="shared" si="314"/>
        <v>0</v>
      </c>
      <c r="V326" s="220">
        <f t="shared" si="314"/>
        <v>0</v>
      </c>
      <c r="W326" s="220">
        <f t="shared" si="314"/>
        <v>0</v>
      </c>
      <c r="X326" s="220">
        <f t="shared" si="314"/>
        <v>0</v>
      </c>
      <c r="Y326" s="220">
        <f t="shared" si="314"/>
        <v>0</v>
      </c>
      <c r="Z326" s="220">
        <f t="shared" si="314"/>
        <v>0</v>
      </c>
      <c r="AA326" s="220">
        <f t="shared" si="314"/>
        <v>0</v>
      </c>
      <c r="AB326" s="220">
        <f t="shared" si="314"/>
        <v>0</v>
      </c>
      <c r="AC326" s="220">
        <f t="shared" si="314"/>
        <v>0</v>
      </c>
      <c r="AD326" s="220"/>
      <c r="AE326" s="220"/>
      <c r="AF326" s="220"/>
      <c r="AG326" s="220"/>
      <c r="AH326" s="220"/>
      <c r="AI326" s="220"/>
      <c r="AJ326" s="220"/>
      <c r="AK326" s="220"/>
      <c r="AL326" s="220"/>
      <c r="AM326" s="220"/>
      <c r="AN326" s="220"/>
      <c r="AO326" s="220"/>
      <c r="AP326" s="220"/>
      <c r="AQ326" s="220"/>
      <c r="AR326" s="218"/>
      <c r="AS326" s="218"/>
      <c r="AT326" s="218"/>
      <c r="AU326" s="218"/>
      <c r="AV326" s="218"/>
      <c r="AW326" s="218"/>
      <c r="AX326" s="218"/>
      <c r="AY326" s="218"/>
      <c r="AZ326" s="218"/>
      <c r="BA326" s="218"/>
      <c r="BB326" s="218"/>
      <c r="BC326" s="218"/>
      <c r="BD326" s="218"/>
      <c r="BE326" s="218"/>
      <c r="BF326" s="218"/>
    </row>
    <row r="327" spans="2:58">
      <c r="B327" s="168" t="str">
        <f t="shared" si="310"/>
        <v>Top Soil</v>
      </c>
      <c r="C327" s="165" t="str">
        <f t="shared" si="310"/>
        <v>Diesel hydraulic Shovel/ 1.0 cum</v>
      </c>
      <c r="D327" s="171" t="s">
        <v>134</v>
      </c>
      <c r="E327" s="1687">
        <f>VLOOKUP(C327,Equipment!$C$5:$F$53,Equipment!$F$1,FALSE)/10^7</f>
        <v>0.86399999999999999</v>
      </c>
      <c r="F327" s="221">
        <f t="shared" si="311"/>
        <v>0</v>
      </c>
      <c r="G327" s="220"/>
      <c r="H327" s="220"/>
      <c r="I327" s="220"/>
      <c r="J327" s="220"/>
      <c r="K327" s="220">
        <f t="shared" ref="K327:AC327" si="315">$E327*K186</f>
        <v>0</v>
      </c>
      <c r="L327" s="220">
        <f t="shared" si="315"/>
        <v>0</v>
      </c>
      <c r="M327" s="220">
        <f t="shared" si="315"/>
        <v>0</v>
      </c>
      <c r="N327" s="220">
        <f t="shared" si="315"/>
        <v>0</v>
      </c>
      <c r="O327" s="220">
        <f t="shared" si="315"/>
        <v>0</v>
      </c>
      <c r="P327" s="220">
        <f t="shared" si="315"/>
        <v>0</v>
      </c>
      <c r="Q327" s="220">
        <f t="shared" si="315"/>
        <v>0</v>
      </c>
      <c r="R327" s="220">
        <f t="shared" si="315"/>
        <v>0</v>
      </c>
      <c r="S327" s="220">
        <f t="shared" si="315"/>
        <v>0</v>
      </c>
      <c r="T327" s="220">
        <f t="shared" si="315"/>
        <v>0</v>
      </c>
      <c r="U327" s="220">
        <f t="shared" si="315"/>
        <v>0</v>
      </c>
      <c r="V327" s="220">
        <f t="shared" si="315"/>
        <v>0</v>
      </c>
      <c r="W327" s="220">
        <f t="shared" si="315"/>
        <v>0</v>
      </c>
      <c r="X327" s="220">
        <f t="shared" si="315"/>
        <v>0</v>
      </c>
      <c r="Y327" s="220">
        <f t="shared" si="315"/>
        <v>0</v>
      </c>
      <c r="Z327" s="220">
        <f t="shared" si="315"/>
        <v>0</v>
      </c>
      <c r="AA327" s="220">
        <f t="shared" si="315"/>
        <v>0</v>
      </c>
      <c r="AB327" s="220">
        <f t="shared" si="315"/>
        <v>0</v>
      </c>
      <c r="AC327" s="220">
        <f t="shared" si="315"/>
        <v>0</v>
      </c>
      <c r="AD327" s="220"/>
      <c r="AE327" s="220"/>
      <c r="AF327" s="220"/>
      <c r="AG327" s="220"/>
      <c r="AH327" s="220"/>
      <c r="AI327" s="220"/>
      <c r="AJ327" s="220"/>
      <c r="AK327" s="220"/>
      <c r="AL327" s="220"/>
      <c r="AM327" s="220"/>
      <c r="AN327" s="220"/>
      <c r="AO327" s="220"/>
      <c r="AP327" s="220"/>
      <c r="AQ327" s="220"/>
      <c r="AR327" s="218"/>
      <c r="AS327" s="218"/>
      <c r="AT327" s="218"/>
      <c r="AU327" s="218"/>
      <c r="AV327" s="218"/>
      <c r="AW327" s="218"/>
      <c r="AX327" s="218"/>
      <c r="AY327" s="218"/>
      <c r="AZ327" s="218"/>
      <c r="BA327" s="218"/>
      <c r="BB327" s="218"/>
      <c r="BC327" s="218"/>
      <c r="BD327" s="218"/>
      <c r="BE327" s="218"/>
      <c r="BF327" s="218"/>
    </row>
    <row r="328" spans="2:58">
      <c r="B328" s="168" t="str">
        <f t="shared" si="310"/>
        <v>Thin Parting, Topsoil &amp; Coal (From Drill &amp; Blast)</v>
      </c>
      <c r="C328" s="165" t="str">
        <f t="shared" si="310"/>
        <v>Diesel hydraulic Shovel/ 4.6 cum</v>
      </c>
      <c r="D328" s="171" t="s">
        <v>134</v>
      </c>
      <c r="E328" s="1687">
        <f>VLOOKUP(C328,Equipment!$C$5:$F$53,Equipment!$F$1,FALSE)/10^7</f>
        <v>4.3499999999999996</v>
      </c>
      <c r="F328" s="221">
        <f t="shared" si="311"/>
        <v>43.5</v>
      </c>
      <c r="G328" s="220"/>
      <c r="H328" s="220"/>
      <c r="I328" s="220"/>
      <c r="J328" s="220"/>
      <c r="K328" s="220">
        <f t="shared" ref="K328:AC328" si="316">$E328*K187</f>
        <v>13.049999999999999</v>
      </c>
      <c r="L328" s="220">
        <f t="shared" si="316"/>
        <v>4.3499999999999996</v>
      </c>
      <c r="M328" s="220">
        <f t="shared" si="316"/>
        <v>0</v>
      </c>
      <c r="N328" s="220">
        <f t="shared" si="316"/>
        <v>17.399999999999999</v>
      </c>
      <c r="O328" s="220">
        <f t="shared" si="316"/>
        <v>0</v>
      </c>
      <c r="P328" s="220">
        <f t="shared" si="316"/>
        <v>8.6999999999999993</v>
      </c>
      <c r="Q328" s="220">
        <f t="shared" si="316"/>
        <v>0</v>
      </c>
      <c r="R328" s="220">
        <f t="shared" si="316"/>
        <v>0</v>
      </c>
      <c r="S328" s="220">
        <f t="shared" si="316"/>
        <v>0</v>
      </c>
      <c r="T328" s="220">
        <f t="shared" si="316"/>
        <v>0</v>
      </c>
      <c r="U328" s="220">
        <f t="shared" si="316"/>
        <v>0</v>
      </c>
      <c r="V328" s="220">
        <f t="shared" si="316"/>
        <v>0</v>
      </c>
      <c r="W328" s="220">
        <f t="shared" si="316"/>
        <v>0</v>
      </c>
      <c r="X328" s="220">
        <f t="shared" si="316"/>
        <v>0</v>
      </c>
      <c r="Y328" s="220">
        <f t="shared" si="316"/>
        <v>0</v>
      </c>
      <c r="Z328" s="220">
        <f t="shared" si="316"/>
        <v>0</v>
      </c>
      <c r="AA328" s="220">
        <f t="shared" si="316"/>
        <v>0</v>
      </c>
      <c r="AB328" s="220">
        <f t="shared" si="316"/>
        <v>0</v>
      </c>
      <c r="AC328" s="220">
        <f t="shared" si="316"/>
        <v>0</v>
      </c>
      <c r="AD328" s="220"/>
      <c r="AE328" s="220"/>
      <c r="AF328" s="220"/>
      <c r="AG328" s="220"/>
      <c r="AH328" s="220"/>
      <c r="AI328" s="220"/>
      <c r="AJ328" s="220"/>
      <c r="AK328" s="220"/>
      <c r="AL328" s="220"/>
      <c r="AM328" s="220"/>
      <c r="AN328" s="220"/>
      <c r="AO328" s="220"/>
      <c r="AP328" s="220"/>
      <c r="AQ328" s="220"/>
      <c r="AR328" s="218"/>
      <c r="AS328" s="218"/>
      <c r="AT328" s="218"/>
      <c r="AU328" s="218"/>
      <c r="AV328" s="218"/>
      <c r="AW328" s="218"/>
      <c r="AX328" s="218"/>
      <c r="AY328" s="218"/>
      <c r="AZ328" s="218"/>
      <c r="BA328" s="218"/>
      <c r="BB328" s="218"/>
      <c r="BC328" s="218"/>
      <c r="BD328" s="218"/>
      <c r="BE328" s="218"/>
      <c r="BF328" s="218"/>
    </row>
    <row r="329" spans="2:58">
      <c r="B329" s="168" t="str">
        <f t="shared" si="310"/>
        <v>Waste - OB &amp; Thick Parting</v>
      </c>
      <c r="C329" s="165" t="str">
        <f t="shared" si="310"/>
        <v>Diesel hydraulic shovel/ 10 cum</v>
      </c>
      <c r="D329" s="171" t="s">
        <v>134</v>
      </c>
      <c r="E329" s="1687">
        <f>VLOOKUP(C329,Equipment!$C$5:$F$53,Equipment!$F$1,FALSE)/10^7</f>
        <v>18.55</v>
      </c>
      <c r="F329" s="221">
        <f t="shared" si="311"/>
        <v>204.04999999999998</v>
      </c>
      <c r="G329" s="220"/>
      <c r="H329" s="220"/>
      <c r="I329" s="220"/>
      <c r="J329" s="220"/>
      <c r="K329" s="220">
        <f t="shared" ref="K329:AC329" si="317">$E329*K188</f>
        <v>55.650000000000006</v>
      </c>
      <c r="L329" s="220">
        <f t="shared" si="317"/>
        <v>0</v>
      </c>
      <c r="M329" s="220">
        <f t="shared" si="317"/>
        <v>18.55</v>
      </c>
      <c r="N329" s="220">
        <f t="shared" si="317"/>
        <v>92.75</v>
      </c>
      <c r="O329" s="220">
        <f t="shared" si="317"/>
        <v>0</v>
      </c>
      <c r="P329" s="220">
        <f t="shared" si="317"/>
        <v>37.1</v>
      </c>
      <c r="Q329" s="220">
        <f t="shared" si="317"/>
        <v>0</v>
      </c>
      <c r="R329" s="220">
        <f t="shared" si="317"/>
        <v>0</v>
      </c>
      <c r="S329" s="220">
        <f t="shared" si="317"/>
        <v>0</v>
      </c>
      <c r="T329" s="220">
        <f t="shared" si="317"/>
        <v>0</v>
      </c>
      <c r="U329" s="220">
        <f t="shared" si="317"/>
        <v>0</v>
      </c>
      <c r="V329" s="220">
        <f t="shared" si="317"/>
        <v>0</v>
      </c>
      <c r="W329" s="220">
        <f t="shared" si="317"/>
        <v>0</v>
      </c>
      <c r="X329" s="220">
        <f t="shared" si="317"/>
        <v>0</v>
      </c>
      <c r="Y329" s="220">
        <f t="shared" si="317"/>
        <v>0</v>
      </c>
      <c r="Z329" s="220">
        <f t="shared" si="317"/>
        <v>0</v>
      </c>
      <c r="AA329" s="220">
        <f t="shared" si="317"/>
        <v>0</v>
      </c>
      <c r="AB329" s="220">
        <f t="shared" si="317"/>
        <v>0</v>
      </c>
      <c r="AC329" s="220">
        <f t="shared" si="317"/>
        <v>0</v>
      </c>
      <c r="AD329" s="220"/>
      <c r="AE329" s="220"/>
      <c r="AF329" s="220"/>
      <c r="AG329" s="220"/>
      <c r="AH329" s="220"/>
      <c r="AI329" s="220"/>
      <c r="AJ329" s="220"/>
      <c r="AK329" s="220"/>
      <c r="AL329" s="220"/>
      <c r="AM329" s="220"/>
      <c r="AN329" s="220"/>
      <c r="AO329" s="220"/>
      <c r="AP329" s="220"/>
      <c r="AQ329" s="220"/>
      <c r="AR329" s="218"/>
      <c r="AS329" s="218"/>
      <c r="AT329" s="218"/>
      <c r="AU329" s="218"/>
      <c r="AV329" s="218"/>
      <c r="AW329" s="218"/>
      <c r="AX329" s="218"/>
      <c r="AY329" s="218"/>
      <c r="AZ329" s="218"/>
      <c r="BA329" s="218"/>
      <c r="BB329" s="218"/>
      <c r="BC329" s="218"/>
      <c r="BD329" s="218"/>
      <c r="BE329" s="218"/>
      <c r="BF329" s="218"/>
    </row>
    <row r="330" spans="2:58">
      <c r="B330" s="168" t="str">
        <f t="shared" si="310"/>
        <v>Rehandling by Own Trucks and Excavators</v>
      </c>
      <c r="C330" s="165" t="str">
        <f t="shared" si="310"/>
        <v>Diesel hydraulic Shovel/ 3.4 cum</v>
      </c>
      <c r="D330" s="171" t="s">
        <v>134</v>
      </c>
      <c r="E330" s="1687">
        <f>VLOOKUP(C330,Equipment!$C$5:$F$53,Equipment!$F$1,FALSE)/10^7</f>
        <v>2.25</v>
      </c>
      <c r="F330" s="221">
        <f t="shared" si="311"/>
        <v>0</v>
      </c>
      <c r="G330" s="220"/>
      <c r="H330" s="220"/>
      <c r="I330" s="220"/>
      <c r="J330" s="220"/>
      <c r="K330" s="220">
        <f t="shared" ref="K330:AC330" si="318">$E330*K189</f>
        <v>0</v>
      </c>
      <c r="L330" s="220">
        <f t="shared" si="318"/>
        <v>0</v>
      </c>
      <c r="M330" s="220">
        <f t="shared" si="318"/>
        <v>0</v>
      </c>
      <c r="N330" s="220">
        <f t="shared" si="318"/>
        <v>0</v>
      </c>
      <c r="O330" s="220">
        <f t="shared" si="318"/>
        <v>0</v>
      </c>
      <c r="P330" s="220">
        <f t="shared" si="318"/>
        <v>0</v>
      </c>
      <c r="Q330" s="220">
        <f t="shared" si="318"/>
        <v>0</v>
      </c>
      <c r="R330" s="220">
        <f t="shared" si="318"/>
        <v>0</v>
      </c>
      <c r="S330" s="220">
        <f t="shared" si="318"/>
        <v>0</v>
      </c>
      <c r="T330" s="220">
        <f t="shared" si="318"/>
        <v>0</v>
      </c>
      <c r="U330" s="220">
        <f t="shared" si="318"/>
        <v>0</v>
      </c>
      <c r="V330" s="220">
        <f t="shared" si="318"/>
        <v>0</v>
      </c>
      <c r="W330" s="220">
        <f t="shared" si="318"/>
        <v>0</v>
      </c>
      <c r="X330" s="220">
        <f t="shared" si="318"/>
        <v>0</v>
      </c>
      <c r="Y330" s="220">
        <f t="shared" si="318"/>
        <v>0</v>
      </c>
      <c r="Z330" s="220">
        <f t="shared" si="318"/>
        <v>0</v>
      </c>
      <c r="AA330" s="220">
        <f t="shared" si="318"/>
        <v>0</v>
      </c>
      <c r="AB330" s="220">
        <f t="shared" si="318"/>
        <v>0</v>
      </c>
      <c r="AC330" s="220">
        <f t="shared" si="318"/>
        <v>0</v>
      </c>
      <c r="AD330" s="220"/>
      <c r="AE330" s="220"/>
      <c r="AF330" s="220"/>
      <c r="AG330" s="220"/>
      <c r="AH330" s="220"/>
      <c r="AI330" s="220"/>
      <c r="AJ330" s="220"/>
      <c r="AK330" s="220"/>
      <c r="AL330" s="220"/>
      <c r="AM330" s="220"/>
      <c r="AN330" s="220"/>
      <c r="AO330" s="220"/>
      <c r="AP330" s="220"/>
      <c r="AQ330" s="220"/>
      <c r="AR330" s="218"/>
      <c r="AS330" s="218"/>
      <c r="AT330" s="218"/>
      <c r="AU330" s="218"/>
      <c r="AV330" s="218"/>
      <c r="AW330" s="218"/>
      <c r="AX330" s="218"/>
      <c r="AY330" s="218"/>
      <c r="AZ330" s="218"/>
      <c r="BA330" s="218"/>
      <c r="BB330" s="218"/>
      <c r="BC330" s="218"/>
      <c r="BD330" s="218"/>
      <c r="BE330" s="218"/>
      <c r="BF330" s="218"/>
    </row>
    <row r="331" spans="2:58">
      <c r="B331" s="168" t="str">
        <f t="shared" si="310"/>
        <v>Miscelleneous</v>
      </c>
      <c r="C331" s="165" t="str">
        <f t="shared" si="310"/>
        <v>Diesel hydraulic Shovel/ 3.4 cum</v>
      </c>
      <c r="D331" s="171" t="s">
        <v>134</v>
      </c>
      <c r="E331" s="1687">
        <f>VLOOKUP(C331,Equipment!$C$5:$F$53,Equipment!$F$1,FALSE)/10^7</f>
        <v>2.25</v>
      </c>
      <c r="F331" s="221">
        <f t="shared" si="311"/>
        <v>0</v>
      </c>
      <c r="G331" s="220"/>
      <c r="H331" s="220"/>
      <c r="I331" s="220"/>
      <c r="J331" s="220"/>
      <c r="K331" s="220">
        <f t="shared" ref="K331:AC331" si="319">$E331*K190</f>
        <v>0</v>
      </c>
      <c r="L331" s="220">
        <f t="shared" si="319"/>
        <v>0</v>
      </c>
      <c r="M331" s="220">
        <f t="shared" si="319"/>
        <v>0</v>
      </c>
      <c r="N331" s="220">
        <f t="shared" si="319"/>
        <v>0</v>
      </c>
      <c r="O331" s="220">
        <f t="shared" si="319"/>
        <v>0</v>
      </c>
      <c r="P331" s="220">
        <f t="shared" si="319"/>
        <v>0</v>
      </c>
      <c r="Q331" s="220">
        <f t="shared" si="319"/>
        <v>0</v>
      </c>
      <c r="R331" s="220">
        <f t="shared" si="319"/>
        <v>0</v>
      </c>
      <c r="S331" s="220">
        <f t="shared" si="319"/>
        <v>0</v>
      </c>
      <c r="T331" s="220">
        <f t="shared" si="319"/>
        <v>0</v>
      </c>
      <c r="U331" s="220">
        <f t="shared" si="319"/>
        <v>0</v>
      </c>
      <c r="V331" s="220">
        <f t="shared" si="319"/>
        <v>0</v>
      </c>
      <c r="W331" s="220">
        <f t="shared" si="319"/>
        <v>0</v>
      </c>
      <c r="X331" s="220">
        <f t="shared" si="319"/>
        <v>0</v>
      </c>
      <c r="Y331" s="220">
        <f t="shared" si="319"/>
        <v>0</v>
      </c>
      <c r="Z331" s="220">
        <f t="shared" si="319"/>
        <v>0</v>
      </c>
      <c r="AA331" s="220">
        <f t="shared" si="319"/>
        <v>0</v>
      </c>
      <c r="AB331" s="220">
        <f t="shared" si="319"/>
        <v>0</v>
      </c>
      <c r="AC331" s="220">
        <f t="shared" si="319"/>
        <v>0</v>
      </c>
      <c r="AD331" s="220"/>
      <c r="AE331" s="220"/>
      <c r="AF331" s="220"/>
      <c r="AG331" s="220"/>
      <c r="AH331" s="220"/>
      <c r="AI331" s="220"/>
      <c r="AJ331" s="220"/>
      <c r="AK331" s="220"/>
      <c r="AL331" s="220"/>
      <c r="AM331" s="220"/>
      <c r="AN331" s="220"/>
      <c r="AO331" s="220"/>
      <c r="AP331" s="220"/>
      <c r="AQ331" s="220"/>
      <c r="AR331" s="218"/>
      <c r="AS331" s="218"/>
      <c r="AT331" s="218"/>
      <c r="AU331" s="218"/>
      <c r="AV331" s="218"/>
      <c r="AW331" s="218"/>
      <c r="AX331" s="218"/>
      <c r="AY331" s="218"/>
      <c r="AZ331" s="218"/>
      <c r="BA331" s="218"/>
      <c r="BB331" s="218"/>
      <c r="BC331" s="218"/>
      <c r="BD331" s="218"/>
      <c r="BE331" s="218"/>
      <c r="BF331" s="218"/>
    </row>
    <row r="332" spans="2:58">
      <c r="B332" s="168" t="str">
        <f t="shared" si="310"/>
        <v>Coal/Ore</v>
      </c>
      <c r="C332" s="165" t="str">
        <f t="shared" si="310"/>
        <v>Surface Miner/ 2200 SM</v>
      </c>
      <c r="D332" s="171" t="s">
        <v>134</v>
      </c>
      <c r="E332" s="1687">
        <f>VLOOKUP(C332,Equipment!$C$5:$F$53,Equipment!$F$1,FALSE)/10^7</f>
        <v>7.67</v>
      </c>
      <c r="F332" s="221">
        <f t="shared" si="311"/>
        <v>23.009999999999998</v>
      </c>
      <c r="G332" s="220"/>
      <c r="H332" s="220"/>
      <c r="I332" s="220"/>
      <c r="J332" s="220"/>
      <c r="K332" s="220">
        <f t="shared" ref="K332:AC332" si="320">$E332*K191</f>
        <v>0</v>
      </c>
      <c r="L332" s="220">
        <f t="shared" si="320"/>
        <v>0</v>
      </c>
      <c r="M332" s="220">
        <f t="shared" si="320"/>
        <v>15.34</v>
      </c>
      <c r="N332" s="220">
        <f t="shared" si="320"/>
        <v>7.67</v>
      </c>
      <c r="O332" s="220">
        <f t="shared" si="320"/>
        <v>0</v>
      </c>
      <c r="P332" s="220">
        <f t="shared" si="320"/>
        <v>0</v>
      </c>
      <c r="Q332" s="220">
        <f t="shared" si="320"/>
        <v>0</v>
      </c>
      <c r="R332" s="220">
        <f t="shared" si="320"/>
        <v>0</v>
      </c>
      <c r="S332" s="220">
        <f t="shared" si="320"/>
        <v>0</v>
      </c>
      <c r="T332" s="220">
        <f t="shared" si="320"/>
        <v>0</v>
      </c>
      <c r="U332" s="220">
        <f t="shared" si="320"/>
        <v>0</v>
      </c>
      <c r="V332" s="220">
        <f t="shared" si="320"/>
        <v>0</v>
      </c>
      <c r="W332" s="220">
        <f t="shared" si="320"/>
        <v>0</v>
      </c>
      <c r="X332" s="220">
        <f t="shared" si="320"/>
        <v>0</v>
      </c>
      <c r="Y332" s="220">
        <f t="shared" si="320"/>
        <v>0</v>
      </c>
      <c r="Z332" s="220">
        <f t="shared" si="320"/>
        <v>0</v>
      </c>
      <c r="AA332" s="220">
        <f t="shared" si="320"/>
        <v>0</v>
      </c>
      <c r="AB332" s="220">
        <f t="shared" si="320"/>
        <v>0</v>
      </c>
      <c r="AC332" s="220">
        <f t="shared" si="320"/>
        <v>0</v>
      </c>
      <c r="AD332" s="220"/>
      <c r="AE332" s="220"/>
      <c r="AF332" s="220"/>
      <c r="AG332" s="220"/>
      <c r="AH332" s="220"/>
      <c r="AI332" s="220"/>
      <c r="AJ332" s="220"/>
      <c r="AK332" s="220"/>
      <c r="AL332" s="220"/>
      <c r="AM332" s="220"/>
      <c r="AN332" s="220"/>
      <c r="AO332" s="220"/>
      <c r="AP332" s="220"/>
      <c r="AQ332" s="220"/>
      <c r="AR332" s="218"/>
      <c r="AS332" s="218"/>
      <c r="AT332" s="218"/>
      <c r="AU332" s="218"/>
      <c r="AV332" s="218"/>
      <c r="AW332" s="218"/>
      <c r="AX332" s="218"/>
      <c r="AY332" s="218"/>
      <c r="AZ332" s="218"/>
      <c r="BA332" s="218"/>
      <c r="BB332" s="218"/>
      <c r="BC332" s="218"/>
      <c r="BD332" s="218"/>
      <c r="BE332" s="218"/>
      <c r="BF332" s="218"/>
    </row>
    <row r="333" spans="2:58">
      <c r="B333" s="168" t="str">
        <f t="shared" si="310"/>
        <v>With SM/Ripper</v>
      </c>
      <c r="C333" s="165" t="str">
        <f t="shared" si="310"/>
        <v>Front End Loader/ 6.4 cum</v>
      </c>
      <c r="D333" s="171" t="s">
        <v>134</v>
      </c>
      <c r="E333" s="1687">
        <f>VLOOKUP(C333,Equipment!$C$5:$F$53,Equipment!$F$1,FALSE)/10^7</f>
        <v>4.5199999999999996</v>
      </c>
      <c r="F333" s="221">
        <f t="shared" si="311"/>
        <v>18.079999999999998</v>
      </c>
      <c r="G333" s="220"/>
      <c r="H333" s="220"/>
      <c r="I333" s="220"/>
      <c r="J333" s="220"/>
      <c r="K333" s="220">
        <f t="shared" ref="K333:AC333" si="321">$E333*K192</f>
        <v>0</v>
      </c>
      <c r="L333" s="220">
        <f t="shared" si="321"/>
        <v>0</v>
      </c>
      <c r="M333" s="220">
        <f t="shared" si="321"/>
        <v>9.0399999999999991</v>
      </c>
      <c r="N333" s="220">
        <f t="shared" si="321"/>
        <v>4.5199999999999996</v>
      </c>
      <c r="O333" s="220">
        <f t="shared" si="321"/>
        <v>4.5199999999999996</v>
      </c>
      <c r="P333" s="220">
        <f t="shared" si="321"/>
        <v>0</v>
      </c>
      <c r="Q333" s="220">
        <f t="shared" si="321"/>
        <v>0</v>
      </c>
      <c r="R333" s="220">
        <f t="shared" si="321"/>
        <v>0</v>
      </c>
      <c r="S333" s="220">
        <f t="shared" si="321"/>
        <v>0</v>
      </c>
      <c r="T333" s="220">
        <f t="shared" si="321"/>
        <v>0</v>
      </c>
      <c r="U333" s="220">
        <f t="shared" si="321"/>
        <v>0</v>
      </c>
      <c r="V333" s="220">
        <f t="shared" si="321"/>
        <v>0</v>
      </c>
      <c r="W333" s="220">
        <f t="shared" si="321"/>
        <v>0</v>
      </c>
      <c r="X333" s="220">
        <f t="shared" si="321"/>
        <v>0</v>
      </c>
      <c r="Y333" s="220">
        <f t="shared" si="321"/>
        <v>0</v>
      </c>
      <c r="Z333" s="220">
        <f t="shared" si="321"/>
        <v>0</v>
      </c>
      <c r="AA333" s="220">
        <f t="shared" si="321"/>
        <v>0</v>
      </c>
      <c r="AB333" s="220">
        <f t="shared" si="321"/>
        <v>0</v>
      </c>
      <c r="AC333" s="220">
        <f t="shared" si="321"/>
        <v>0</v>
      </c>
      <c r="AD333" s="220"/>
      <c r="AE333" s="220"/>
      <c r="AF333" s="220"/>
      <c r="AG333" s="220"/>
      <c r="AH333" s="220"/>
      <c r="AI333" s="220"/>
      <c r="AJ333" s="220"/>
      <c r="AK333" s="220"/>
      <c r="AL333" s="220"/>
      <c r="AM333" s="220"/>
      <c r="AN333" s="220"/>
      <c r="AO333" s="220"/>
      <c r="AP333" s="220"/>
      <c r="AQ333" s="220"/>
      <c r="AR333" s="218"/>
      <c r="AS333" s="218"/>
      <c r="AT333" s="218"/>
      <c r="AU333" s="218"/>
      <c r="AV333" s="218"/>
      <c r="AW333" s="218"/>
      <c r="AX333" s="218"/>
      <c r="AY333" s="218"/>
      <c r="AZ333" s="218"/>
      <c r="BA333" s="218"/>
      <c r="BB333" s="218"/>
      <c r="BC333" s="218"/>
      <c r="BD333" s="218"/>
      <c r="BE333" s="218"/>
      <c r="BF333" s="218"/>
    </row>
    <row r="334" spans="2:58">
      <c r="B334" s="168" t="str">
        <f t="shared" si="310"/>
        <v>Miscelleneous</v>
      </c>
      <c r="C334" s="165" t="str">
        <f t="shared" si="310"/>
        <v>Front End Loader/ 1.7cum</v>
      </c>
      <c r="D334" s="171" t="s">
        <v>134</v>
      </c>
      <c r="E334" s="1687">
        <f>VLOOKUP(C334,Equipment!$C$5:$F$53,Equipment!$F$1,FALSE)/10^7</f>
        <v>0.28999999999999998</v>
      </c>
      <c r="F334" s="221">
        <f t="shared" si="311"/>
        <v>0</v>
      </c>
      <c r="G334" s="220"/>
      <c r="H334" s="220"/>
      <c r="I334" s="220"/>
      <c r="J334" s="220"/>
      <c r="K334" s="220">
        <f>$E334*K193</f>
        <v>0</v>
      </c>
      <c r="L334" s="220">
        <f t="shared" ref="L334:AC334" si="322">$E334*L193</f>
        <v>0</v>
      </c>
      <c r="M334" s="220">
        <f t="shared" si="322"/>
        <v>0</v>
      </c>
      <c r="N334" s="220">
        <f t="shared" si="322"/>
        <v>0</v>
      </c>
      <c r="O334" s="220">
        <f t="shared" si="322"/>
        <v>0</v>
      </c>
      <c r="P334" s="220">
        <f t="shared" si="322"/>
        <v>0</v>
      </c>
      <c r="Q334" s="220">
        <f t="shared" si="322"/>
        <v>0</v>
      </c>
      <c r="R334" s="220">
        <f t="shared" si="322"/>
        <v>0</v>
      </c>
      <c r="S334" s="220">
        <f t="shared" si="322"/>
        <v>0</v>
      </c>
      <c r="T334" s="220">
        <f t="shared" si="322"/>
        <v>0</v>
      </c>
      <c r="U334" s="220">
        <f t="shared" si="322"/>
        <v>0</v>
      </c>
      <c r="V334" s="220">
        <f t="shared" si="322"/>
        <v>0</v>
      </c>
      <c r="W334" s="220">
        <f t="shared" si="322"/>
        <v>0</v>
      </c>
      <c r="X334" s="220">
        <f t="shared" si="322"/>
        <v>0</v>
      </c>
      <c r="Y334" s="220">
        <f t="shared" si="322"/>
        <v>0</v>
      </c>
      <c r="Z334" s="220">
        <f t="shared" si="322"/>
        <v>0</v>
      </c>
      <c r="AA334" s="220">
        <f t="shared" si="322"/>
        <v>0</v>
      </c>
      <c r="AB334" s="220">
        <f t="shared" si="322"/>
        <v>0</v>
      </c>
      <c r="AC334" s="220">
        <f t="shared" si="322"/>
        <v>0</v>
      </c>
      <c r="AD334" s="220"/>
      <c r="AE334" s="220"/>
      <c r="AF334" s="220"/>
      <c r="AG334" s="220"/>
      <c r="AH334" s="220"/>
      <c r="AI334" s="220"/>
      <c r="AJ334" s="220"/>
      <c r="AK334" s="220"/>
      <c r="AL334" s="220"/>
      <c r="AM334" s="220"/>
      <c r="AN334" s="220"/>
      <c r="AO334" s="220"/>
      <c r="AP334" s="220"/>
      <c r="AQ334" s="220"/>
      <c r="AR334" s="218"/>
      <c r="AS334" s="218"/>
      <c r="AT334" s="218"/>
      <c r="AU334" s="218"/>
      <c r="AV334" s="218"/>
      <c r="AW334" s="218"/>
      <c r="AX334" s="218"/>
      <c r="AY334" s="218"/>
      <c r="AZ334" s="218"/>
      <c r="BA334" s="218"/>
      <c r="BB334" s="218"/>
      <c r="BC334" s="218"/>
      <c r="BD334" s="218"/>
      <c r="BE334" s="218"/>
      <c r="BF334" s="218"/>
    </row>
    <row r="335" spans="2:58">
      <c r="B335" s="168" t="str">
        <f t="shared" si="310"/>
        <v>Topsoil</v>
      </c>
      <c r="C335" s="165" t="str">
        <f t="shared" si="310"/>
        <v>Tipper/ 20t</v>
      </c>
      <c r="D335" s="171" t="s">
        <v>134</v>
      </c>
      <c r="E335" s="1687">
        <f>VLOOKUP(C335,Equipment!$C$5:$F$53,Equipment!$F$1,FALSE)/10^7</f>
        <v>0.45</v>
      </c>
      <c r="F335" s="221">
        <f t="shared" si="311"/>
        <v>0</v>
      </c>
      <c r="G335" s="220"/>
      <c r="H335" s="220"/>
      <c r="I335" s="220"/>
      <c r="J335" s="220"/>
      <c r="K335" s="220">
        <f t="shared" ref="K335:AC335" si="323">$E335*K194</f>
        <v>0</v>
      </c>
      <c r="L335" s="220">
        <f t="shared" si="323"/>
        <v>0</v>
      </c>
      <c r="M335" s="220">
        <f t="shared" si="323"/>
        <v>0</v>
      </c>
      <c r="N335" s="220">
        <f t="shared" si="323"/>
        <v>0</v>
      </c>
      <c r="O335" s="220">
        <f t="shared" si="323"/>
        <v>0</v>
      </c>
      <c r="P335" s="220">
        <f t="shared" si="323"/>
        <v>0</v>
      </c>
      <c r="Q335" s="220">
        <f t="shared" si="323"/>
        <v>0</v>
      </c>
      <c r="R335" s="220">
        <f t="shared" si="323"/>
        <v>0</v>
      </c>
      <c r="S335" s="220">
        <f t="shared" si="323"/>
        <v>0</v>
      </c>
      <c r="T335" s="220">
        <f t="shared" si="323"/>
        <v>0</v>
      </c>
      <c r="U335" s="220">
        <f t="shared" si="323"/>
        <v>0</v>
      </c>
      <c r="V335" s="220">
        <f t="shared" si="323"/>
        <v>0</v>
      </c>
      <c r="W335" s="220">
        <f t="shared" si="323"/>
        <v>0</v>
      </c>
      <c r="X335" s="220">
        <f t="shared" si="323"/>
        <v>0</v>
      </c>
      <c r="Y335" s="220">
        <f t="shared" si="323"/>
        <v>0</v>
      </c>
      <c r="Z335" s="220">
        <f t="shared" si="323"/>
        <v>0</v>
      </c>
      <c r="AA335" s="220">
        <f t="shared" si="323"/>
        <v>0</v>
      </c>
      <c r="AB335" s="220">
        <f t="shared" si="323"/>
        <v>0</v>
      </c>
      <c r="AC335" s="220">
        <f t="shared" si="323"/>
        <v>0</v>
      </c>
      <c r="AD335" s="220"/>
      <c r="AE335" s="220"/>
      <c r="AF335" s="220"/>
      <c r="AG335" s="220"/>
      <c r="AH335" s="220"/>
      <c r="AI335" s="220"/>
      <c r="AJ335" s="220"/>
      <c r="AK335" s="220"/>
      <c r="AL335" s="220"/>
      <c r="AM335" s="220"/>
      <c r="AN335" s="220"/>
      <c r="AO335" s="220"/>
      <c r="AP335" s="220"/>
      <c r="AQ335" s="220"/>
      <c r="AR335" s="218"/>
      <c r="AS335" s="218"/>
      <c r="AT335" s="218"/>
      <c r="AU335" s="218"/>
      <c r="AV335" s="218"/>
      <c r="AW335" s="218"/>
      <c r="AX335" s="218"/>
      <c r="AY335" s="218"/>
      <c r="AZ335" s="218"/>
      <c r="BA335" s="218"/>
      <c r="BB335" s="218"/>
      <c r="BC335" s="218"/>
      <c r="BD335" s="218"/>
      <c r="BE335" s="218"/>
      <c r="BF335" s="218"/>
    </row>
    <row r="336" spans="2:58">
      <c r="B336" s="168" t="str">
        <f t="shared" si="310"/>
        <v>Thin  Parting + Rehandling</v>
      </c>
      <c r="C336" s="165" t="str">
        <f t="shared" si="310"/>
        <v>Tipper/ 35t</v>
      </c>
      <c r="D336" s="171" t="s">
        <v>134</v>
      </c>
      <c r="E336" s="1687">
        <f>VLOOKUP(C336,Equipment!$C$5:$F$53,Equipment!$F$1,FALSE)/10^7</f>
        <v>1.35</v>
      </c>
      <c r="F336" s="221">
        <f t="shared" si="311"/>
        <v>31.050000000000004</v>
      </c>
      <c r="G336" s="220"/>
      <c r="H336" s="220"/>
      <c r="I336" s="220"/>
      <c r="J336" s="220"/>
      <c r="K336" s="220">
        <f t="shared" ref="K336:AC336" si="324">$E336*K195</f>
        <v>0</v>
      </c>
      <c r="L336" s="220">
        <f t="shared" si="324"/>
        <v>0</v>
      </c>
      <c r="M336" s="220">
        <f t="shared" si="324"/>
        <v>0</v>
      </c>
      <c r="N336" s="220">
        <f t="shared" si="324"/>
        <v>17.55</v>
      </c>
      <c r="O336" s="220">
        <f t="shared" si="324"/>
        <v>1.35</v>
      </c>
      <c r="P336" s="220">
        <f t="shared" si="324"/>
        <v>12.15</v>
      </c>
      <c r="Q336" s="220">
        <f t="shared" si="324"/>
        <v>0</v>
      </c>
      <c r="R336" s="220">
        <f t="shared" si="324"/>
        <v>0</v>
      </c>
      <c r="S336" s="220">
        <f t="shared" si="324"/>
        <v>0</v>
      </c>
      <c r="T336" s="220">
        <f t="shared" si="324"/>
        <v>0</v>
      </c>
      <c r="U336" s="220">
        <f t="shared" si="324"/>
        <v>0</v>
      </c>
      <c r="V336" s="220">
        <f t="shared" si="324"/>
        <v>0</v>
      </c>
      <c r="W336" s="220">
        <f t="shared" si="324"/>
        <v>0</v>
      </c>
      <c r="X336" s="220">
        <f t="shared" si="324"/>
        <v>0</v>
      </c>
      <c r="Y336" s="220">
        <f t="shared" si="324"/>
        <v>0</v>
      </c>
      <c r="Z336" s="220">
        <f t="shared" si="324"/>
        <v>0</v>
      </c>
      <c r="AA336" s="220">
        <f t="shared" si="324"/>
        <v>0</v>
      </c>
      <c r="AB336" s="220">
        <f t="shared" si="324"/>
        <v>0</v>
      </c>
      <c r="AC336" s="220">
        <f t="shared" si="324"/>
        <v>0</v>
      </c>
      <c r="AD336" s="220"/>
      <c r="AE336" s="220"/>
      <c r="AF336" s="220"/>
      <c r="AG336" s="220"/>
      <c r="AH336" s="220"/>
      <c r="AI336" s="220"/>
      <c r="AJ336" s="220"/>
      <c r="AK336" s="220"/>
      <c r="AL336" s="220"/>
      <c r="AM336" s="220"/>
      <c r="AN336" s="220"/>
      <c r="AO336" s="220"/>
      <c r="AP336" s="220"/>
      <c r="AQ336" s="220"/>
      <c r="AR336" s="218"/>
      <c r="AS336" s="218"/>
      <c r="AT336" s="218"/>
      <c r="AU336" s="218"/>
      <c r="AV336" s="218"/>
      <c r="AW336" s="218"/>
      <c r="AX336" s="218"/>
      <c r="AY336" s="218"/>
      <c r="AZ336" s="218"/>
      <c r="BA336" s="218"/>
      <c r="BB336" s="218"/>
      <c r="BC336" s="218"/>
      <c r="BD336" s="218"/>
      <c r="BE336" s="218"/>
      <c r="BF336" s="218"/>
    </row>
    <row r="337" spans="2:29">
      <c r="B337" s="168" t="str">
        <f t="shared" si="310"/>
        <v>Waste - OB &amp; Thick Parting</v>
      </c>
      <c r="C337" s="165" t="str">
        <f t="shared" si="310"/>
        <v>Dumper/ 100t</v>
      </c>
      <c r="D337" s="171" t="s">
        <v>134</v>
      </c>
      <c r="E337" s="1687">
        <f>VLOOKUP(C337,Equipment!$C$5:$F$53,Equipment!$F$1,FALSE)/10^7</f>
        <v>4.0839679999999996</v>
      </c>
      <c r="F337" s="221">
        <f t="shared" si="311"/>
        <v>142.93887999999998</v>
      </c>
      <c r="G337" s="220"/>
      <c r="H337" s="220"/>
      <c r="I337" s="220"/>
      <c r="J337" s="220"/>
      <c r="K337" s="220">
        <f t="shared" ref="K337:AC337" si="325">$E337*K196</f>
        <v>0</v>
      </c>
      <c r="L337" s="220">
        <f t="shared" si="325"/>
        <v>0</v>
      </c>
      <c r="M337" s="220">
        <f t="shared" si="325"/>
        <v>0</v>
      </c>
      <c r="N337" s="220">
        <f t="shared" si="325"/>
        <v>85.763327999999987</v>
      </c>
      <c r="O337" s="220">
        <f t="shared" si="325"/>
        <v>4.0839679999999996</v>
      </c>
      <c r="P337" s="220">
        <f t="shared" si="325"/>
        <v>53.091583999999997</v>
      </c>
      <c r="Q337" s="220">
        <f t="shared" si="325"/>
        <v>0</v>
      </c>
      <c r="R337" s="220">
        <f t="shared" si="325"/>
        <v>0</v>
      </c>
      <c r="S337" s="220">
        <f t="shared" si="325"/>
        <v>0</v>
      </c>
      <c r="T337" s="220">
        <f t="shared" si="325"/>
        <v>0</v>
      </c>
      <c r="U337" s="220">
        <f t="shared" si="325"/>
        <v>0</v>
      </c>
      <c r="V337" s="220">
        <f t="shared" si="325"/>
        <v>0</v>
      </c>
      <c r="W337" s="220">
        <f t="shared" si="325"/>
        <v>0</v>
      </c>
      <c r="X337" s="220">
        <f t="shared" si="325"/>
        <v>0</v>
      </c>
      <c r="Y337" s="220">
        <f t="shared" si="325"/>
        <v>0</v>
      </c>
      <c r="Z337" s="220">
        <f t="shared" si="325"/>
        <v>0</v>
      </c>
      <c r="AA337" s="220">
        <f t="shared" si="325"/>
        <v>0</v>
      </c>
      <c r="AB337" s="220">
        <f t="shared" si="325"/>
        <v>0</v>
      </c>
      <c r="AC337" s="220">
        <f t="shared" si="325"/>
        <v>0</v>
      </c>
    </row>
    <row r="338" spans="2:29">
      <c r="B338" s="168" t="str">
        <f t="shared" si="310"/>
        <v>Coal/Ore</v>
      </c>
      <c r="C338" s="165" t="str">
        <f>C291</f>
        <v>Dumper/ 40t</v>
      </c>
      <c r="D338" s="171" t="s">
        <v>134</v>
      </c>
      <c r="E338" s="1687">
        <f>VLOOKUP(C338,Equipment!$C$5:$F$53,Equipment!$F$1,FALSE)/10^7</f>
        <v>1.8422000000000001</v>
      </c>
      <c r="F338" s="221">
        <f t="shared" si="311"/>
        <v>73.688000000000002</v>
      </c>
      <c r="G338" s="220"/>
      <c r="H338" s="220"/>
      <c r="I338" s="220"/>
      <c r="J338" s="220"/>
      <c r="K338" s="220">
        <f t="shared" ref="K338:AC338" si="326">$E338*K197</f>
        <v>5.5266000000000002</v>
      </c>
      <c r="L338" s="220">
        <f t="shared" si="326"/>
        <v>5.5266000000000002</v>
      </c>
      <c r="M338" s="220">
        <f t="shared" si="326"/>
        <v>11.0532</v>
      </c>
      <c r="N338" s="220">
        <f t="shared" si="326"/>
        <v>16.579799999999999</v>
      </c>
      <c r="O338" s="220">
        <f t="shared" si="326"/>
        <v>11.0532</v>
      </c>
      <c r="P338" s="220">
        <f t="shared" si="326"/>
        <v>1.8422000000000001</v>
      </c>
      <c r="Q338" s="220">
        <f t="shared" si="326"/>
        <v>3.6844000000000001</v>
      </c>
      <c r="R338" s="220">
        <f t="shared" si="326"/>
        <v>1.8422000000000001</v>
      </c>
      <c r="S338" s="220">
        <f t="shared" si="326"/>
        <v>1.8422000000000001</v>
      </c>
      <c r="T338" s="220">
        <f t="shared" si="326"/>
        <v>1.8422000000000001</v>
      </c>
      <c r="U338" s="220">
        <f t="shared" si="326"/>
        <v>3.6844000000000001</v>
      </c>
      <c r="V338" s="220">
        <f t="shared" si="326"/>
        <v>0</v>
      </c>
      <c r="W338" s="220">
        <f t="shared" si="326"/>
        <v>3.6844000000000001</v>
      </c>
      <c r="X338" s="220">
        <f t="shared" si="326"/>
        <v>1.8422000000000001</v>
      </c>
      <c r="Y338" s="220">
        <f t="shared" si="326"/>
        <v>3.6844000000000001</v>
      </c>
      <c r="Z338" s="220">
        <f t="shared" si="326"/>
        <v>0</v>
      </c>
      <c r="AA338" s="220">
        <f t="shared" si="326"/>
        <v>0</v>
      </c>
      <c r="AB338" s="220">
        <f t="shared" si="326"/>
        <v>0</v>
      </c>
      <c r="AC338" s="220">
        <f t="shared" si="326"/>
        <v>0</v>
      </c>
    </row>
    <row r="339" spans="2:29">
      <c r="B339" s="168" t="str">
        <f t="shared" si="310"/>
        <v/>
      </c>
      <c r="C339" s="165" t="str">
        <f t="shared" si="310"/>
        <v>Track Dozer/ 405 HP</v>
      </c>
      <c r="D339" s="171" t="s">
        <v>134</v>
      </c>
      <c r="E339" s="1687">
        <f>VLOOKUP(C339,Equipment!$C$5:$F$53,Equipment!$F$1,FALSE)/10^7</f>
        <v>5</v>
      </c>
      <c r="F339" s="221">
        <f t="shared" ref="F339:F365" si="327">SUM(K339:AC339)</f>
        <v>30</v>
      </c>
      <c r="G339" s="220"/>
      <c r="H339" s="220"/>
      <c r="I339" s="220"/>
      <c r="J339" s="220"/>
      <c r="K339" s="220">
        <f t="shared" ref="K339:AC339" si="328">$E339*K198</f>
        <v>5</v>
      </c>
      <c r="L339" s="220">
        <f t="shared" si="328"/>
        <v>5</v>
      </c>
      <c r="M339" s="220">
        <f t="shared" si="328"/>
        <v>10</v>
      </c>
      <c r="N339" s="220">
        <f t="shared" si="328"/>
        <v>5</v>
      </c>
      <c r="O339" s="220">
        <f t="shared" si="328"/>
        <v>5</v>
      </c>
      <c r="P339" s="220">
        <f t="shared" si="328"/>
        <v>0</v>
      </c>
      <c r="Q339" s="220">
        <f t="shared" si="328"/>
        <v>0</v>
      </c>
      <c r="R339" s="220">
        <f t="shared" si="328"/>
        <v>0</v>
      </c>
      <c r="S339" s="220">
        <f t="shared" si="328"/>
        <v>0</v>
      </c>
      <c r="T339" s="220">
        <f t="shared" si="328"/>
        <v>0</v>
      </c>
      <c r="U339" s="220">
        <f t="shared" si="328"/>
        <v>0</v>
      </c>
      <c r="V339" s="220">
        <f t="shared" si="328"/>
        <v>0</v>
      </c>
      <c r="W339" s="220">
        <f t="shared" si="328"/>
        <v>0</v>
      </c>
      <c r="X339" s="220">
        <f t="shared" si="328"/>
        <v>0</v>
      </c>
      <c r="Y339" s="220">
        <f t="shared" si="328"/>
        <v>0</v>
      </c>
      <c r="Z339" s="220">
        <f t="shared" si="328"/>
        <v>0</v>
      </c>
      <c r="AA339" s="220">
        <f t="shared" si="328"/>
        <v>0</v>
      </c>
      <c r="AB339" s="220">
        <f t="shared" si="328"/>
        <v>0</v>
      </c>
      <c r="AC339" s="220">
        <f t="shared" si="328"/>
        <v>0</v>
      </c>
    </row>
    <row r="340" spans="2:29">
      <c r="B340" s="168" t="str">
        <f t="shared" si="310"/>
        <v/>
      </c>
      <c r="C340" s="165" t="str">
        <f t="shared" si="310"/>
        <v>Wheel Dozer</v>
      </c>
      <c r="D340" s="171" t="s">
        <v>134</v>
      </c>
      <c r="E340" s="1687">
        <f>VLOOKUP(C340,Equipment!$C$5:$F$53,Equipment!$F$1,FALSE)/10^7</f>
        <v>5.4125954686976003</v>
      </c>
      <c r="F340" s="221">
        <f t="shared" si="327"/>
        <v>10.825190937395201</v>
      </c>
      <c r="G340" s="220"/>
      <c r="H340" s="220"/>
      <c r="I340" s="220"/>
      <c r="J340" s="220"/>
      <c r="K340" s="220">
        <f t="shared" ref="K340:AC340" si="329">$E340*K199</f>
        <v>5.4125954686976003</v>
      </c>
      <c r="L340" s="220">
        <f t="shared" si="329"/>
        <v>0</v>
      </c>
      <c r="M340" s="220">
        <f t="shared" si="329"/>
        <v>5.4125954686976003</v>
      </c>
      <c r="N340" s="220">
        <f t="shared" si="329"/>
        <v>0</v>
      </c>
      <c r="O340" s="220">
        <f t="shared" si="329"/>
        <v>0</v>
      </c>
      <c r="P340" s="220">
        <f t="shared" si="329"/>
        <v>0</v>
      </c>
      <c r="Q340" s="220">
        <f t="shared" si="329"/>
        <v>0</v>
      </c>
      <c r="R340" s="220">
        <f t="shared" si="329"/>
        <v>0</v>
      </c>
      <c r="S340" s="220">
        <f t="shared" si="329"/>
        <v>0</v>
      </c>
      <c r="T340" s="220">
        <f t="shared" si="329"/>
        <v>0</v>
      </c>
      <c r="U340" s="220">
        <f t="shared" si="329"/>
        <v>0</v>
      </c>
      <c r="V340" s="220">
        <f t="shared" si="329"/>
        <v>0</v>
      </c>
      <c r="W340" s="220">
        <f t="shared" si="329"/>
        <v>0</v>
      </c>
      <c r="X340" s="220">
        <f t="shared" si="329"/>
        <v>0</v>
      </c>
      <c r="Y340" s="220">
        <f t="shared" si="329"/>
        <v>0</v>
      </c>
      <c r="Z340" s="220">
        <f t="shared" si="329"/>
        <v>0</v>
      </c>
      <c r="AA340" s="220">
        <f t="shared" si="329"/>
        <v>0</v>
      </c>
      <c r="AB340" s="220">
        <f t="shared" si="329"/>
        <v>0</v>
      </c>
      <c r="AC340" s="220">
        <f t="shared" si="329"/>
        <v>0</v>
      </c>
    </row>
    <row r="341" spans="2:29">
      <c r="B341" s="168" t="str">
        <f t="shared" si="310"/>
        <v/>
      </c>
      <c r="C341" s="165" t="str">
        <f t="shared" si="310"/>
        <v>Ripper Dozer/ 450TPH</v>
      </c>
      <c r="D341" s="171" t="s">
        <v>134</v>
      </c>
      <c r="E341" s="1687">
        <f>VLOOKUP(C341,Equipment!$C$5:$F$53,Equipment!$F$1,FALSE)/10^7</f>
        <v>4.5</v>
      </c>
      <c r="F341" s="221">
        <f t="shared" si="327"/>
        <v>9</v>
      </c>
      <c r="G341" s="220"/>
      <c r="H341" s="220"/>
      <c r="I341" s="220"/>
      <c r="J341" s="220"/>
      <c r="K341" s="220">
        <f t="shared" ref="K341:AC341" si="330">$E341*K200</f>
        <v>4.5</v>
      </c>
      <c r="L341" s="220">
        <f t="shared" si="330"/>
        <v>0</v>
      </c>
      <c r="M341" s="220">
        <f t="shared" si="330"/>
        <v>4.5</v>
      </c>
      <c r="N341" s="220">
        <f t="shared" si="330"/>
        <v>0</v>
      </c>
      <c r="O341" s="220">
        <f t="shared" si="330"/>
        <v>0</v>
      </c>
      <c r="P341" s="220">
        <f t="shared" si="330"/>
        <v>0</v>
      </c>
      <c r="Q341" s="220">
        <f t="shared" si="330"/>
        <v>0</v>
      </c>
      <c r="R341" s="220">
        <f t="shared" si="330"/>
        <v>0</v>
      </c>
      <c r="S341" s="220">
        <f t="shared" si="330"/>
        <v>0</v>
      </c>
      <c r="T341" s="220">
        <f t="shared" si="330"/>
        <v>0</v>
      </c>
      <c r="U341" s="220">
        <f t="shared" si="330"/>
        <v>0</v>
      </c>
      <c r="V341" s="220">
        <f t="shared" si="330"/>
        <v>0</v>
      </c>
      <c r="W341" s="220">
        <f t="shared" si="330"/>
        <v>0</v>
      </c>
      <c r="X341" s="220">
        <f t="shared" si="330"/>
        <v>0</v>
      </c>
      <c r="Y341" s="220">
        <f t="shared" si="330"/>
        <v>0</v>
      </c>
      <c r="Z341" s="220">
        <f t="shared" si="330"/>
        <v>0</v>
      </c>
      <c r="AA341" s="220">
        <f t="shared" si="330"/>
        <v>0</v>
      </c>
      <c r="AB341" s="220">
        <f t="shared" si="330"/>
        <v>0</v>
      </c>
      <c r="AC341" s="220">
        <f t="shared" si="330"/>
        <v>0</v>
      </c>
    </row>
    <row r="342" spans="2:29">
      <c r="B342" s="168" t="str">
        <f t="shared" si="310"/>
        <v/>
      </c>
      <c r="C342" s="165" t="str">
        <f t="shared" si="310"/>
        <v>Track Dozer/ 192 HP</v>
      </c>
      <c r="D342" s="171" t="s">
        <v>134</v>
      </c>
      <c r="E342" s="1687">
        <f>VLOOKUP(C342,Equipment!$C$5:$F$53,Equipment!$F$1,FALSE)/10^7</f>
        <v>1.7390000000000001</v>
      </c>
      <c r="F342" s="221">
        <f t="shared" si="327"/>
        <v>3.4780000000000002</v>
      </c>
      <c r="G342" s="220"/>
      <c r="H342" s="220"/>
      <c r="I342" s="220"/>
      <c r="J342" s="220"/>
      <c r="K342" s="220">
        <f t="shared" ref="K342:AC342" si="331">$E342*K201</f>
        <v>1.7390000000000001</v>
      </c>
      <c r="L342" s="220">
        <f t="shared" si="331"/>
        <v>0</v>
      </c>
      <c r="M342" s="220">
        <f t="shared" si="331"/>
        <v>1.7390000000000001</v>
      </c>
      <c r="N342" s="220">
        <f t="shared" si="331"/>
        <v>0</v>
      </c>
      <c r="O342" s="220">
        <f t="shared" si="331"/>
        <v>0</v>
      </c>
      <c r="P342" s="220">
        <f t="shared" si="331"/>
        <v>0</v>
      </c>
      <c r="Q342" s="220">
        <f t="shared" si="331"/>
        <v>0</v>
      </c>
      <c r="R342" s="220">
        <f t="shared" si="331"/>
        <v>0</v>
      </c>
      <c r="S342" s="220">
        <f t="shared" si="331"/>
        <v>0</v>
      </c>
      <c r="T342" s="220">
        <f t="shared" si="331"/>
        <v>0</v>
      </c>
      <c r="U342" s="220">
        <f t="shared" si="331"/>
        <v>0</v>
      </c>
      <c r="V342" s="220">
        <f t="shared" si="331"/>
        <v>0</v>
      </c>
      <c r="W342" s="220">
        <f t="shared" si="331"/>
        <v>0</v>
      </c>
      <c r="X342" s="220">
        <f t="shared" si="331"/>
        <v>0</v>
      </c>
      <c r="Y342" s="220">
        <f t="shared" si="331"/>
        <v>0</v>
      </c>
      <c r="Z342" s="220">
        <f t="shared" si="331"/>
        <v>0</v>
      </c>
      <c r="AA342" s="220">
        <f t="shared" si="331"/>
        <v>0</v>
      </c>
      <c r="AB342" s="220">
        <f t="shared" si="331"/>
        <v>0</v>
      </c>
      <c r="AC342" s="220">
        <f t="shared" si="331"/>
        <v>0</v>
      </c>
    </row>
    <row r="343" spans="2:29">
      <c r="B343" s="168" t="str">
        <f t="shared" si="310"/>
        <v/>
      </c>
      <c r="C343" s="165" t="str">
        <f t="shared" si="310"/>
        <v>Motor Grader/ 290 - 348 HP</v>
      </c>
      <c r="D343" s="171" t="s">
        <v>134</v>
      </c>
      <c r="E343" s="1687">
        <f>VLOOKUP(C343,Equipment!$C$5:$F$53,Equipment!$F$1,FALSE)/10^7</f>
        <v>5.1444656952627197</v>
      </c>
      <c r="F343" s="221">
        <f t="shared" si="327"/>
        <v>10.288931390525439</v>
      </c>
      <c r="G343" s="220"/>
      <c r="H343" s="220"/>
      <c r="I343" s="220"/>
      <c r="J343" s="220"/>
      <c r="K343" s="220">
        <f t="shared" ref="K343:AC343" si="332">$E343*K202</f>
        <v>5.1444656952627197</v>
      </c>
      <c r="L343" s="220">
        <f t="shared" si="332"/>
        <v>0</v>
      </c>
      <c r="M343" s="220">
        <f t="shared" si="332"/>
        <v>5.1444656952627197</v>
      </c>
      <c r="N343" s="220">
        <f t="shared" si="332"/>
        <v>0</v>
      </c>
      <c r="O343" s="220">
        <f t="shared" si="332"/>
        <v>0</v>
      </c>
      <c r="P343" s="220">
        <f t="shared" si="332"/>
        <v>0</v>
      </c>
      <c r="Q343" s="220">
        <f t="shared" si="332"/>
        <v>0</v>
      </c>
      <c r="R343" s="220">
        <f t="shared" si="332"/>
        <v>0</v>
      </c>
      <c r="S343" s="220">
        <f t="shared" si="332"/>
        <v>0</v>
      </c>
      <c r="T343" s="220">
        <f t="shared" si="332"/>
        <v>0</v>
      </c>
      <c r="U343" s="220">
        <f t="shared" si="332"/>
        <v>0</v>
      </c>
      <c r="V343" s="220">
        <f t="shared" si="332"/>
        <v>0</v>
      </c>
      <c r="W343" s="220">
        <f t="shared" si="332"/>
        <v>0</v>
      </c>
      <c r="X343" s="220">
        <f t="shared" si="332"/>
        <v>0</v>
      </c>
      <c r="Y343" s="220">
        <f t="shared" si="332"/>
        <v>0</v>
      </c>
      <c r="Z343" s="220">
        <f t="shared" si="332"/>
        <v>0</v>
      </c>
      <c r="AA343" s="220">
        <f t="shared" si="332"/>
        <v>0</v>
      </c>
      <c r="AB343" s="220">
        <f t="shared" si="332"/>
        <v>0</v>
      </c>
      <c r="AC343" s="220">
        <f t="shared" si="332"/>
        <v>0</v>
      </c>
    </row>
    <row r="344" spans="2:29">
      <c r="B344" s="168" t="str">
        <f t="shared" si="310"/>
        <v/>
      </c>
      <c r="C344" s="165" t="str">
        <f t="shared" si="310"/>
        <v>Motor Grader/ 145 HP</v>
      </c>
      <c r="D344" s="171" t="s">
        <v>134</v>
      </c>
      <c r="E344" s="1687">
        <f>VLOOKUP(C344,Equipment!$C$5:$F$53,Equipment!$F$1,FALSE)/10^7</f>
        <v>1.506626</v>
      </c>
      <c r="F344" s="221">
        <f t="shared" si="327"/>
        <v>3.013252</v>
      </c>
      <c r="G344" s="220"/>
      <c r="H344" s="220"/>
      <c r="I344" s="220"/>
      <c r="J344" s="220"/>
      <c r="K344" s="220">
        <f t="shared" ref="K344:AC344" si="333">$E344*K203</f>
        <v>1.506626</v>
      </c>
      <c r="L344" s="220">
        <f t="shared" si="333"/>
        <v>0</v>
      </c>
      <c r="M344" s="220">
        <f t="shared" si="333"/>
        <v>1.506626</v>
      </c>
      <c r="N344" s="220">
        <f t="shared" si="333"/>
        <v>0</v>
      </c>
      <c r="O344" s="220">
        <f t="shared" si="333"/>
        <v>0</v>
      </c>
      <c r="P344" s="220">
        <f t="shared" si="333"/>
        <v>0</v>
      </c>
      <c r="Q344" s="220">
        <f t="shared" si="333"/>
        <v>0</v>
      </c>
      <c r="R344" s="220">
        <f t="shared" si="333"/>
        <v>0</v>
      </c>
      <c r="S344" s="220">
        <f t="shared" si="333"/>
        <v>0</v>
      </c>
      <c r="T344" s="220">
        <f t="shared" si="333"/>
        <v>0</v>
      </c>
      <c r="U344" s="220">
        <f t="shared" si="333"/>
        <v>0</v>
      </c>
      <c r="V344" s="220">
        <f t="shared" si="333"/>
        <v>0</v>
      </c>
      <c r="W344" s="220">
        <f t="shared" si="333"/>
        <v>0</v>
      </c>
      <c r="X344" s="220">
        <f t="shared" si="333"/>
        <v>0</v>
      </c>
      <c r="Y344" s="220">
        <f t="shared" si="333"/>
        <v>0</v>
      </c>
      <c r="Z344" s="220">
        <f t="shared" si="333"/>
        <v>0</v>
      </c>
      <c r="AA344" s="220">
        <f t="shared" si="333"/>
        <v>0</v>
      </c>
      <c r="AB344" s="220">
        <f t="shared" si="333"/>
        <v>0</v>
      </c>
      <c r="AC344" s="220">
        <f t="shared" si="333"/>
        <v>0</v>
      </c>
    </row>
    <row r="345" spans="2:29">
      <c r="B345" s="168" t="str">
        <f t="shared" si="310"/>
        <v/>
      </c>
      <c r="C345" s="165" t="str">
        <f t="shared" si="310"/>
        <v>Crane/ 120t</v>
      </c>
      <c r="D345" s="171" t="s">
        <v>134</v>
      </c>
      <c r="E345" s="1687">
        <f>VLOOKUP(C345,Equipment!$C$5:$F$53,Equipment!$F$1,FALSE)/10^7</f>
        <v>6.8639626135164011</v>
      </c>
      <c r="F345" s="221">
        <f t="shared" si="327"/>
        <v>13.727925227032802</v>
      </c>
      <c r="G345" s="220"/>
      <c r="H345" s="220"/>
      <c r="I345" s="220"/>
      <c r="J345" s="220"/>
      <c r="K345" s="220">
        <f t="shared" ref="K345:AC345" si="334">$E345*K204</f>
        <v>6.8639626135164011</v>
      </c>
      <c r="L345" s="220">
        <f t="shared" si="334"/>
        <v>0</v>
      </c>
      <c r="M345" s="220">
        <f t="shared" si="334"/>
        <v>6.8639626135164011</v>
      </c>
      <c r="N345" s="220">
        <f t="shared" si="334"/>
        <v>0</v>
      </c>
      <c r="O345" s="220">
        <f t="shared" si="334"/>
        <v>0</v>
      </c>
      <c r="P345" s="220">
        <f t="shared" si="334"/>
        <v>0</v>
      </c>
      <c r="Q345" s="220">
        <f t="shared" si="334"/>
        <v>0</v>
      </c>
      <c r="R345" s="220">
        <f t="shared" si="334"/>
        <v>0</v>
      </c>
      <c r="S345" s="220">
        <f t="shared" si="334"/>
        <v>0</v>
      </c>
      <c r="T345" s="220">
        <f t="shared" si="334"/>
        <v>0</v>
      </c>
      <c r="U345" s="220">
        <f t="shared" si="334"/>
        <v>0</v>
      </c>
      <c r="V345" s="220">
        <f t="shared" si="334"/>
        <v>0</v>
      </c>
      <c r="W345" s="220">
        <f t="shared" si="334"/>
        <v>0</v>
      </c>
      <c r="X345" s="220">
        <f t="shared" si="334"/>
        <v>0</v>
      </c>
      <c r="Y345" s="220">
        <f t="shared" si="334"/>
        <v>0</v>
      </c>
      <c r="Z345" s="220">
        <f t="shared" si="334"/>
        <v>0</v>
      </c>
      <c r="AA345" s="220">
        <f t="shared" si="334"/>
        <v>0</v>
      </c>
      <c r="AB345" s="220">
        <f t="shared" si="334"/>
        <v>0</v>
      </c>
      <c r="AC345" s="220">
        <f t="shared" si="334"/>
        <v>0</v>
      </c>
    </row>
    <row r="346" spans="2:29">
      <c r="B346" s="168" t="str">
        <f t="shared" si="310"/>
        <v/>
      </c>
      <c r="C346" s="165" t="str">
        <f t="shared" si="310"/>
        <v>Crane/ 60t</v>
      </c>
      <c r="D346" s="171" t="s">
        <v>134</v>
      </c>
      <c r="E346" s="1687">
        <f>VLOOKUP(C346,Equipment!$C$5:$F$53,Equipment!$F$1,FALSE)/10^7</f>
        <v>1.6519999999999999</v>
      </c>
      <c r="F346" s="221">
        <f t="shared" si="327"/>
        <v>3.3039999999999998</v>
      </c>
      <c r="G346" s="220"/>
      <c r="H346" s="220"/>
      <c r="I346" s="220"/>
      <c r="J346" s="220"/>
      <c r="K346" s="220">
        <f t="shared" ref="K346:AC346" si="335">$E346*K205</f>
        <v>1.6519999999999999</v>
      </c>
      <c r="L346" s="220">
        <f t="shared" si="335"/>
        <v>0</v>
      </c>
      <c r="M346" s="220">
        <f t="shared" si="335"/>
        <v>1.6519999999999999</v>
      </c>
      <c r="N346" s="220">
        <f t="shared" si="335"/>
        <v>0</v>
      </c>
      <c r="O346" s="220">
        <f t="shared" si="335"/>
        <v>0</v>
      </c>
      <c r="P346" s="220">
        <f t="shared" si="335"/>
        <v>0</v>
      </c>
      <c r="Q346" s="220">
        <f t="shared" si="335"/>
        <v>0</v>
      </c>
      <c r="R346" s="220">
        <f t="shared" si="335"/>
        <v>0</v>
      </c>
      <c r="S346" s="220">
        <f t="shared" si="335"/>
        <v>0</v>
      </c>
      <c r="T346" s="220">
        <f t="shared" si="335"/>
        <v>0</v>
      </c>
      <c r="U346" s="220">
        <f t="shared" si="335"/>
        <v>0</v>
      </c>
      <c r="V346" s="220">
        <f t="shared" si="335"/>
        <v>0</v>
      </c>
      <c r="W346" s="220">
        <f t="shared" si="335"/>
        <v>0</v>
      </c>
      <c r="X346" s="220">
        <f t="shared" si="335"/>
        <v>0</v>
      </c>
      <c r="Y346" s="220">
        <f t="shared" si="335"/>
        <v>0</v>
      </c>
      <c r="Z346" s="220">
        <f t="shared" si="335"/>
        <v>0</v>
      </c>
      <c r="AA346" s="220">
        <f t="shared" si="335"/>
        <v>0</v>
      </c>
      <c r="AB346" s="220">
        <f t="shared" si="335"/>
        <v>0</v>
      </c>
      <c r="AC346" s="220">
        <f t="shared" si="335"/>
        <v>0</v>
      </c>
    </row>
    <row r="347" spans="2:29">
      <c r="B347" s="168" t="str">
        <f t="shared" si="310"/>
        <v/>
      </c>
      <c r="C347" s="165" t="str">
        <f t="shared" si="310"/>
        <v>Crane/ 12t</v>
      </c>
      <c r="D347" s="171" t="s">
        <v>134</v>
      </c>
      <c r="E347" s="1687">
        <f>VLOOKUP(C347,Equipment!$C$5:$F$53,Equipment!$F$1,FALSE)/10^7</f>
        <v>0.18629999999999999</v>
      </c>
      <c r="F347" s="221">
        <f t="shared" si="327"/>
        <v>0.37259999999999999</v>
      </c>
      <c r="G347" s="220"/>
      <c r="H347" s="220"/>
      <c r="I347" s="220"/>
      <c r="J347" s="220"/>
      <c r="K347" s="220">
        <f t="shared" ref="K347:AC347" si="336">$E347*K206</f>
        <v>0.18629999999999999</v>
      </c>
      <c r="L347" s="220">
        <f t="shared" si="336"/>
        <v>0</v>
      </c>
      <c r="M347" s="220">
        <f t="shared" si="336"/>
        <v>0.18629999999999999</v>
      </c>
      <c r="N347" s="220">
        <f t="shared" si="336"/>
        <v>0</v>
      </c>
      <c r="O347" s="220">
        <f t="shared" si="336"/>
        <v>0</v>
      </c>
      <c r="P347" s="220">
        <f t="shared" si="336"/>
        <v>0</v>
      </c>
      <c r="Q347" s="220">
        <f t="shared" si="336"/>
        <v>0</v>
      </c>
      <c r="R347" s="220">
        <f t="shared" si="336"/>
        <v>0</v>
      </c>
      <c r="S347" s="220">
        <f t="shared" si="336"/>
        <v>0</v>
      </c>
      <c r="T347" s="220">
        <f t="shared" si="336"/>
        <v>0</v>
      </c>
      <c r="U347" s="220">
        <f t="shared" si="336"/>
        <v>0</v>
      </c>
      <c r="V347" s="220">
        <f t="shared" si="336"/>
        <v>0</v>
      </c>
      <c r="W347" s="220">
        <f t="shared" si="336"/>
        <v>0</v>
      </c>
      <c r="X347" s="220">
        <f t="shared" si="336"/>
        <v>0</v>
      </c>
      <c r="Y347" s="220">
        <f t="shared" si="336"/>
        <v>0</v>
      </c>
      <c r="Z347" s="220">
        <f t="shared" si="336"/>
        <v>0</v>
      </c>
      <c r="AA347" s="220">
        <f t="shared" si="336"/>
        <v>0</v>
      </c>
      <c r="AB347" s="220">
        <f t="shared" si="336"/>
        <v>0</v>
      </c>
      <c r="AC347" s="220">
        <f t="shared" si="336"/>
        <v>0</v>
      </c>
    </row>
    <row r="348" spans="2:29">
      <c r="B348" s="168" t="str">
        <f t="shared" si="310"/>
        <v/>
      </c>
      <c r="C348" s="165" t="str">
        <f t="shared" si="310"/>
        <v>Crane/ 8t</v>
      </c>
      <c r="D348" s="171" t="s">
        <v>134</v>
      </c>
      <c r="E348" s="1687">
        <f>VLOOKUP(C348,Equipment!$C$5:$F$53,Equipment!$F$1,FALSE)/10^7</f>
        <v>0.11799999999999999</v>
      </c>
      <c r="F348" s="221">
        <f t="shared" si="327"/>
        <v>0.23599999999999999</v>
      </c>
      <c r="G348" s="220"/>
      <c r="H348" s="220"/>
      <c r="I348" s="220"/>
      <c r="J348" s="220"/>
      <c r="K348" s="220">
        <f t="shared" ref="K348:AC348" si="337">$E348*K207</f>
        <v>0.11799999999999999</v>
      </c>
      <c r="L348" s="220">
        <f t="shared" si="337"/>
        <v>0</v>
      </c>
      <c r="M348" s="220">
        <f t="shared" si="337"/>
        <v>0.11799999999999999</v>
      </c>
      <c r="N348" s="220">
        <f t="shared" si="337"/>
        <v>0</v>
      </c>
      <c r="O348" s="220">
        <f t="shared" si="337"/>
        <v>0</v>
      </c>
      <c r="P348" s="220">
        <f t="shared" si="337"/>
        <v>0</v>
      </c>
      <c r="Q348" s="220">
        <f t="shared" si="337"/>
        <v>0</v>
      </c>
      <c r="R348" s="220">
        <f t="shared" si="337"/>
        <v>0</v>
      </c>
      <c r="S348" s="220">
        <f t="shared" si="337"/>
        <v>0</v>
      </c>
      <c r="T348" s="220">
        <f t="shared" si="337"/>
        <v>0</v>
      </c>
      <c r="U348" s="220">
        <f t="shared" si="337"/>
        <v>0</v>
      </c>
      <c r="V348" s="220">
        <f t="shared" si="337"/>
        <v>0</v>
      </c>
      <c r="W348" s="220">
        <f t="shared" si="337"/>
        <v>0</v>
      </c>
      <c r="X348" s="220">
        <f t="shared" si="337"/>
        <v>0</v>
      </c>
      <c r="Y348" s="220">
        <f t="shared" si="337"/>
        <v>0</v>
      </c>
      <c r="Z348" s="220">
        <f t="shared" si="337"/>
        <v>0</v>
      </c>
      <c r="AA348" s="220">
        <f t="shared" si="337"/>
        <v>0</v>
      </c>
      <c r="AB348" s="220">
        <f t="shared" si="337"/>
        <v>0</v>
      </c>
      <c r="AC348" s="220">
        <f t="shared" si="337"/>
        <v>0</v>
      </c>
    </row>
    <row r="349" spans="2:29">
      <c r="B349" s="168" t="str">
        <f t="shared" si="310"/>
        <v/>
      </c>
      <c r="C349" s="165" t="str">
        <f t="shared" si="310"/>
        <v>Water Sprinkler/ 28KL</v>
      </c>
      <c r="D349" s="171" t="s">
        <v>134</v>
      </c>
      <c r="E349" s="1687">
        <f>VLOOKUP(C349,Equipment!$C$5:$F$53,Equipment!$F$1,FALSE)/10^7</f>
        <v>1.85</v>
      </c>
      <c r="F349" s="221">
        <f t="shared" si="327"/>
        <v>3.7</v>
      </c>
      <c r="G349" s="220"/>
      <c r="H349" s="220"/>
      <c r="I349" s="220"/>
      <c r="J349" s="220"/>
      <c r="K349" s="220">
        <f t="shared" ref="K349:AC349" si="338">$E349*K208</f>
        <v>1.85</v>
      </c>
      <c r="L349" s="220">
        <f t="shared" si="338"/>
        <v>0</v>
      </c>
      <c r="M349" s="220">
        <f t="shared" si="338"/>
        <v>1.85</v>
      </c>
      <c r="N349" s="220">
        <f t="shared" si="338"/>
        <v>0</v>
      </c>
      <c r="O349" s="220">
        <f t="shared" si="338"/>
        <v>0</v>
      </c>
      <c r="P349" s="220">
        <f t="shared" si="338"/>
        <v>0</v>
      </c>
      <c r="Q349" s="220">
        <f t="shared" si="338"/>
        <v>0</v>
      </c>
      <c r="R349" s="220">
        <f t="shared" si="338"/>
        <v>0</v>
      </c>
      <c r="S349" s="220">
        <f t="shared" si="338"/>
        <v>0</v>
      </c>
      <c r="T349" s="220">
        <f t="shared" si="338"/>
        <v>0</v>
      </c>
      <c r="U349" s="220">
        <f t="shared" si="338"/>
        <v>0</v>
      </c>
      <c r="V349" s="220">
        <f t="shared" si="338"/>
        <v>0</v>
      </c>
      <c r="W349" s="220">
        <f t="shared" si="338"/>
        <v>0</v>
      </c>
      <c r="X349" s="220">
        <f t="shared" si="338"/>
        <v>0</v>
      </c>
      <c r="Y349" s="220">
        <f t="shared" si="338"/>
        <v>0</v>
      </c>
      <c r="Z349" s="220">
        <f t="shared" si="338"/>
        <v>0</v>
      </c>
      <c r="AA349" s="220">
        <f t="shared" si="338"/>
        <v>0</v>
      </c>
      <c r="AB349" s="220">
        <f t="shared" si="338"/>
        <v>0</v>
      </c>
      <c r="AC349" s="220">
        <f t="shared" si="338"/>
        <v>0</v>
      </c>
    </row>
    <row r="350" spans="2:29">
      <c r="B350" s="168" t="str">
        <f t="shared" si="310"/>
        <v/>
      </c>
      <c r="C350" s="165" t="str">
        <f t="shared" si="310"/>
        <v>Diesel Bowser/ 9KL</v>
      </c>
      <c r="D350" s="171" t="s">
        <v>134</v>
      </c>
      <c r="E350" s="1687">
        <f>VLOOKUP(C350,Equipment!$C$5:$F$53,Equipment!$F$1,FALSE)/10^7</f>
        <v>0.30680000000000002</v>
      </c>
      <c r="F350" s="221">
        <f t="shared" si="327"/>
        <v>0.61360000000000003</v>
      </c>
      <c r="G350" s="220"/>
      <c r="H350" s="220"/>
      <c r="I350" s="220"/>
      <c r="J350" s="220"/>
      <c r="K350" s="220">
        <f t="shared" ref="K350:AC350" si="339">$E350*K209</f>
        <v>0.30680000000000002</v>
      </c>
      <c r="L350" s="220">
        <f t="shared" si="339"/>
        <v>0</v>
      </c>
      <c r="M350" s="220">
        <f t="shared" si="339"/>
        <v>0.30680000000000002</v>
      </c>
      <c r="N350" s="220">
        <f t="shared" si="339"/>
        <v>0</v>
      </c>
      <c r="O350" s="220">
        <f t="shared" si="339"/>
        <v>0</v>
      </c>
      <c r="P350" s="220">
        <f t="shared" si="339"/>
        <v>0</v>
      </c>
      <c r="Q350" s="220">
        <f t="shared" si="339"/>
        <v>0</v>
      </c>
      <c r="R350" s="220">
        <f t="shared" si="339"/>
        <v>0</v>
      </c>
      <c r="S350" s="220">
        <f t="shared" si="339"/>
        <v>0</v>
      </c>
      <c r="T350" s="220">
        <f t="shared" si="339"/>
        <v>0</v>
      </c>
      <c r="U350" s="220">
        <f t="shared" si="339"/>
        <v>0</v>
      </c>
      <c r="V350" s="220">
        <f t="shared" si="339"/>
        <v>0</v>
      </c>
      <c r="W350" s="220">
        <f t="shared" si="339"/>
        <v>0</v>
      </c>
      <c r="X350" s="220">
        <f t="shared" si="339"/>
        <v>0</v>
      </c>
      <c r="Y350" s="220">
        <f t="shared" si="339"/>
        <v>0</v>
      </c>
      <c r="Z350" s="220">
        <f t="shared" si="339"/>
        <v>0</v>
      </c>
      <c r="AA350" s="220">
        <f t="shared" si="339"/>
        <v>0</v>
      </c>
      <c r="AB350" s="220">
        <f t="shared" si="339"/>
        <v>0</v>
      </c>
      <c r="AC350" s="220">
        <f t="shared" si="339"/>
        <v>0</v>
      </c>
    </row>
    <row r="351" spans="2:29">
      <c r="B351" s="168" t="str">
        <f t="shared" si="310"/>
        <v/>
      </c>
      <c r="C351" s="165" t="str">
        <f t="shared" si="310"/>
        <v xml:space="preserve">Explosive Van </v>
      </c>
      <c r="D351" s="171" t="s">
        <v>134</v>
      </c>
      <c r="E351" s="1687">
        <f>VLOOKUP(C351,Equipment!$C$5:$F$53,Equipment!$F$1,FALSE)/10^7</f>
        <v>0.25</v>
      </c>
      <c r="F351" s="221">
        <f t="shared" si="327"/>
        <v>0.5</v>
      </c>
      <c r="G351" s="220"/>
      <c r="H351" s="220"/>
      <c r="I351" s="220"/>
      <c r="J351" s="220"/>
      <c r="K351" s="220">
        <f t="shared" ref="K351:AC351" si="340">$E351*K210</f>
        <v>0.25</v>
      </c>
      <c r="L351" s="220">
        <f t="shared" si="340"/>
        <v>0</v>
      </c>
      <c r="M351" s="220">
        <f t="shared" si="340"/>
        <v>0.25</v>
      </c>
      <c r="N351" s="220">
        <f t="shared" si="340"/>
        <v>0</v>
      </c>
      <c r="O351" s="220">
        <f t="shared" si="340"/>
        <v>0</v>
      </c>
      <c r="P351" s="220">
        <f t="shared" si="340"/>
        <v>0</v>
      </c>
      <c r="Q351" s="220">
        <f t="shared" si="340"/>
        <v>0</v>
      </c>
      <c r="R351" s="220">
        <f t="shared" si="340"/>
        <v>0</v>
      </c>
      <c r="S351" s="220">
        <f t="shared" si="340"/>
        <v>0</v>
      </c>
      <c r="T351" s="220">
        <f t="shared" si="340"/>
        <v>0</v>
      </c>
      <c r="U351" s="220">
        <f t="shared" si="340"/>
        <v>0</v>
      </c>
      <c r="V351" s="220">
        <f t="shared" si="340"/>
        <v>0</v>
      </c>
      <c r="W351" s="220">
        <f t="shared" si="340"/>
        <v>0</v>
      </c>
      <c r="X351" s="220">
        <f t="shared" si="340"/>
        <v>0</v>
      </c>
      <c r="Y351" s="220">
        <f t="shared" si="340"/>
        <v>0</v>
      </c>
      <c r="Z351" s="220">
        <f t="shared" si="340"/>
        <v>0</v>
      </c>
      <c r="AA351" s="220">
        <f t="shared" si="340"/>
        <v>0</v>
      </c>
      <c r="AB351" s="220">
        <f t="shared" si="340"/>
        <v>0</v>
      </c>
      <c r="AC351" s="220">
        <f t="shared" si="340"/>
        <v>0</v>
      </c>
    </row>
    <row r="352" spans="2:29">
      <c r="B352" s="168" t="str">
        <f t="shared" ref="B352" si="341">B305</f>
        <v/>
      </c>
      <c r="C352" s="165" t="str">
        <f>C305</f>
        <v>Maintenance Van</v>
      </c>
      <c r="D352" s="171" t="s">
        <v>134</v>
      </c>
      <c r="E352" s="1687">
        <f>VLOOKUP(C352,Equipment!$C$5:$F$53,Equipment!$F$1,FALSE)/10^7</f>
        <v>0.15</v>
      </c>
      <c r="F352" s="221">
        <f t="shared" si="327"/>
        <v>0.3</v>
      </c>
      <c r="G352" s="220"/>
      <c r="H352" s="220"/>
      <c r="I352" s="220"/>
      <c r="J352" s="220"/>
      <c r="K352" s="220">
        <f t="shared" ref="K352:AC352" si="342">$E352*K211</f>
        <v>0.15</v>
      </c>
      <c r="L352" s="220">
        <f t="shared" si="342"/>
        <v>0</v>
      </c>
      <c r="M352" s="220">
        <f t="shared" si="342"/>
        <v>0.15</v>
      </c>
      <c r="N352" s="220">
        <f t="shared" si="342"/>
        <v>0</v>
      </c>
      <c r="O352" s="220">
        <f t="shared" si="342"/>
        <v>0</v>
      </c>
      <c r="P352" s="220">
        <f t="shared" si="342"/>
        <v>0</v>
      </c>
      <c r="Q352" s="220">
        <f t="shared" si="342"/>
        <v>0</v>
      </c>
      <c r="R352" s="220">
        <f t="shared" si="342"/>
        <v>0</v>
      </c>
      <c r="S352" s="220">
        <f t="shared" si="342"/>
        <v>0</v>
      </c>
      <c r="T352" s="220">
        <f t="shared" si="342"/>
        <v>0</v>
      </c>
      <c r="U352" s="220">
        <f t="shared" si="342"/>
        <v>0</v>
      </c>
      <c r="V352" s="220">
        <f t="shared" si="342"/>
        <v>0</v>
      </c>
      <c r="W352" s="220">
        <f t="shared" si="342"/>
        <v>0</v>
      </c>
      <c r="X352" s="220">
        <f t="shared" si="342"/>
        <v>0</v>
      </c>
      <c r="Y352" s="220">
        <f t="shared" si="342"/>
        <v>0</v>
      </c>
      <c r="Z352" s="220">
        <f t="shared" si="342"/>
        <v>0</v>
      </c>
      <c r="AA352" s="220">
        <f t="shared" si="342"/>
        <v>0</v>
      </c>
      <c r="AB352" s="220">
        <f t="shared" si="342"/>
        <v>0</v>
      </c>
      <c r="AC352" s="220">
        <f t="shared" si="342"/>
        <v>0</v>
      </c>
    </row>
    <row r="353" spans="2:29">
      <c r="B353" s="168" t="str">
        <f t="shared" ref="B353:C353" si="343">B306</f>
        <v/>
      </c>
      <c r="C353" s="165" t="str">
        <f t="shared" si="343"/>
        <v>Diesel Hydraulic backhoe/ 1.5cum (Komatsu)</v>
      </c>
      <c r="D353" s="171" t="s">
        <v>134</v>
      </c>
      <c r="E353" s="1687">
        <f>VLOOKUP(C353,Equipment!$C$5:$F$53,Equipment!$F$1,FALSE)/10^7</f>
        <v>0.51002879999999995</v>
      </c>
      <c r="F353" s="221">
        <f t="shared" si="327"/>
        <v>1.0200575999999999</v>
      </c>
      <c r="G353" s="220"/>
      <c r="H353" s="220"/>
      <c r="I353" s="220"/>
      <c r="J353" s="220"/>
      <c r="K353" s="220">
        <f t="shared" ref="K353:AC353" si="344">$E353*K212</f>
        <v>0.51002879999999995</v>
      </c>
      <c r="L353" s="220">
        <f t="shared" si="344"/>
        <v>0</v>
      </c>
      <c r="M353" s="220">
        <f t="shared" si="344"/>
        <v>0.51002879999999995</v>
      </c>
      <c r="N353" s="220">
        <f t="shared" si="344"/>
        <v>0</v>
      </c>
      <c r="O353" s="220">
        <f t="shared" si="344"/>
        <v>0</v>
      </c>
      <c r="P353" s="220">
        <f t="shared" si="344"/>
        <v>0</v>
      </c>
      <c r="Q353" s="220">
        <f t="shared" si="344"/>
        <v>0</v>
      </c>
      <c r="R353" s="220">
        <f t="shared" si="344"/>
        <v>0</v>
      </c>
      <c r="S353" s="220">
        <f t="shared" si="344"/>
        <v>0</v>
      </c>
      <c r="T353" s="220">
        <f t="shared" si="344"/>
        <v>0</v>
      </c>
      <c r="U353" s="220">
        <f t="shared" si="344"/>
        <v>0</v>
      </c>
      <c r="V353" s="220">
        <f t="shared" si="344"/>
        <v>0</v>
      </c>
      <c r="W353" s="220">
        <f t="shared" si="344"/>
        <v>0</v>
      </c>
      <c r="X353" s="220">
        <f t="shared" si="344"/>
        <v>0</v>
      </c>
      <c r="Y353" s="220">
        <f t="shared" si="344"/>
        <v>0</v>
      </c>
      <c r="Z353" s="220">
        <f t="shared" si="344"/>
        <v>0</v>
      </c>
      <c r="AA353" s="220">
        <f t="shared" si="344"/>
        <v>0</v>
      </c>
      <c r="AB353" s="220">
        <f t="shared" si="344"/>
        <v>0</v>
      </c>
      <c r="AC353" s="220">
        <f t="shared" si="344"/>
        <v>0</v>
      </c>
    </row>
    <row r="354" spans="2:29">
      <c r="B354" s="168" t="str">
        <f t="shared" ref="B354:C354" si="345">B307</f>
        <v/>
      </c>
      <c r="C354" s="165" t="str">
        <f t="shared" si="345"/>
        <v xml:space="preserve">Boom Truck </v>
      </c>
      <c r="D354" s="171" t="s">
        <v>134</v>
      </c>
      <c r="E354" s="1687">
        <f>VLOOKUP(C354,Equipment!$C$5:$F$53,Equipment!$F$1,FALSE)/10^7</f>
        <v>0.15</v>
      </c>
      <c r="F354" s="221">
        <f t="shared" si="327"/>
        <v>0.3</v>
      </c>
      <c r="G354" s="220"/>
      <c r="H354" s="220"/>
      <c r="I354" s="220"/>
      <c r="J354" s="220"/>
      <c r="K354" s="220">
        <f t="shared" ref="K354:AC354" si="346">$E354*K213</f>
        <v>0.15</v>
      </c>
      <c r="L354" s="220">
        <f t="shared" si="346"/>
        <v>0</v>
      </c>
      <c r="M354" s="220">
        <f t="shared" si="346"/>
        <v>0.15</v>
      </c>
      <c r="N354" s="220">
        <f t="shared" si="346"/>
        <v>0</v>
      </c>
      <c r="O354" s="220">
        <f t="shared" si="346"/>
        <v>0</v>
      </c>
      <c r="P354" s="220">
        <f t="shared" si="346"/>
        <v>0</v>
      </c>
      <c r="Q354" s="220">
        <f t="shared" si="346"/>
        <v>0</v>
      </c>
      <c r="R354" s="220">
        <f t="shared" si="346"/>
        <v>0</v>
      </c>
      <c r="S354" s="220">
        <f t="shared" si="346"/>
        <v>0</v>
      </c>
      <c r="T354" s="220">
        <f t="shared" si="346"/>
        <v>0</v>
      </c>
      <c r="U354" s="220">
        <f t="shared" si="346"/>
        <v>0</v>
      </c>
      <c r="V354" s="220">
        <f t="shared" si="346"/>
        <v>0</v>
      </c>
      <c r="W354" s="220">
        <f t="shared" si="346"/>
        <v>0</v>
      </c>
      <c r="X354" s="220">
        <f t="shared" si="346"/>
        <v>0</v>
      </c>
      <c r="Y354" s="220">
        <f t="shared" si="346"/>
        <v>0</v>
      </c>
      <c r="Z354" s="220">
        <f t="shared" si="346"/>
        <v>0</v>
      </c>
      <c r="AA354" s="220">
        <f t="shared" si="346"/>
        <v>0</v>
      </c>
      <c r="AB354" s="220">
        <f t="shared" si="346"/>
        <v>0</v>
      </c>
      <c r="AC354" s="220">
        <f t="shared" si="346"/>
        <v>0</v>
      </c>
    </row>
    <row r="355" spans="2:29">
      <c r="B355" s="168" t="str">
        <f t="shared" ref="B355:C355" si="347">B308</f>
        <v/>
      </c>
      <c r="C355" s="165" t="str">
        <f t="shared" si="347"/>
        <v xml:space="preserve">Heavy duty tow truck </v>
      </c>
      <c r="D355" s="171" t="s">
        <v>134</v>
      </c>
      <c r="E355" s="1687">
        <f>VLOOKUP(C355,Equipment!$C$5:$F$53,Equipment!$F$1,FALSE)/10^7</f>
        <v>0.15</v>
      </c>
      <c r="F355" s="221">
        <f t="shared" si="327"/>
        <v>0.3</v>
      </c>
      <c r="G355" s="220"/>
      <c r="H355" s="220"/>
      <c r="I355" s="220"/>
      <c r="J355" s="220"/>
      <c r="K355" s="220">
        <f t="shared" ref="K355:AC355" si="348">$E355*K214</f>
        <v>0.15</v>
      </c>
      <c r="L355" s="220">
        <f t="shared" si="348"/>
        <v>0</v>
      </c>
      <c r="M355" s="220">
        <f t="shared" si="348"/>
        <v>0.15</v>
      </c>
      <c r="N355" s="220">
        <f t="shared" si="348"/>
        <v>0</v>
      </c>
      <c r="O355" s="220">
        <f t="shared" si="348"/>
        <v>0</v>
      </c>
      <c r="P355" s="220">
        <f t="shared" si="348"/>
        <v>0</v>
      </c>
      <c r="Q355" s="220">
        <f t="shared" si="348"/>
        <v>0</v>
      </c>
      <c r="R355" s="220">
        <f t="shared" si="348"/>
        <v>0</v>
      </c>
      <c r="S355" s="220">
        <f t="shared" si="348"/>
        <v>0</v>
      </c>
      <c r="T355" s="220">
        <f t="shared" si="348"/>
        <v>0</v>
      </c>
      <c r="U355" s="220">
        <f t="shared" si="348"/>
        <v>0</v>
      </c>
      <c r="V355" s="220">
        <f t="shared" si="348"/>
        <v>0</v>
      </c>
      <c r="W355" s="220">
        <f t="shared" si="348"/>
        <v>0</v>
      </c>
      <c r="X355" s="220">
        <f t="shared" si="348"/>
        <v>0</v>
      </c>
      <c r="Y355" s="220">
        <f t="shared" si="348"/>
        <v>0</v>
      </c>
      <c r="Z355" s="220">
        <f t="shared" si="348"/>
        <v>0</v>
      </c>
      <c r="AA355" s="220">
        <f t="shared" si="348"/>
        <v>0</v>
      </c>
      <c r="AB355" s="220">
        <f t="shared" si="348"/>
        <v>0</v>
      </c>
      <c r="AC355" s="220">
        <f t="shared" si="348"/>
        <v>0</v>
      </c>
    </row>
    <row r="356" spans="2:29">
      <c r="B356" s="168" t="str">
        <f t="shared" ref="B356:C356" si="349">B309</f>
        <v/>
      </c>
      <c r="C356" s="165" t="str">
        <f t="shared" si="349"/>
        <v>Tipping Truck/ 8t</v>
      </c>
      <c r="D356" s="171" t="s">
        <v>134</v>
      </c>
      <c r="E356" s="1687">
        <f>VLOOKUP(C356,Equipment!$C$5:$F$53,Equipment!$F$1,FALSE)/10^7</f>
        <v>0.2</v>
      </c>
      <c r="F356" s="221">
        <f t="shared" si="327"/>
        <v>0.4</v>
      </c>
      <c r="G356" s="220"/>
      <c r="H356" s="220"/>
      <c r="I356" s="220"/>
      <c r="J356" s="220"/>
      <c r="K356" s="220">
        <f t="shared" ref="K356:AC356" si="350">$E356*K215</f>
        <v>0.2</v>
      </c>
      <c r="L356" s="220">
        <f t="shared" si="350"/>
        <v>0</v>
      </c>
      <c r="M356" s="220">
        <f t="shared" si="350"/>
        <v>0.2</v>
      </c>
      <c r="N356" s="220">
        <f t="shared" si="350"/>
        <v>0</v>
      </c>
      <c r="O356" s="220">
        <f t="shared" si="350"/>
        <v>0</v>
      </c>
      <c r="P356" s="220">
        <f t="shared" si="350"/>
        <v>0</v>
      </c>
      <c r="Q356" s="220">
        <f t="shared" si="350"/>
        <v>0</v>
      </c>
      <c r="R356" s="220">
        <f t="shared" si="350"/>
        <v>0</v>
      </c>
      <c r="S356" s="220">
        <f t="shared" si="350"/>
        <v>0</v>
      </c>
      <c r="T356" s="220">
        <f t="shared" si="350"/>
        <v>0</v>
      </c>
      <c r="U356" s="220">
        <f t="shared" si="350"/>
        <v>0</v>
      </c>
      <c r="V356" s="220">
        <f t="shared" si="350"/>
        <v>0</v>
      </c>
      <c r="W356" s="220">
        <f t="shared" si="350"/>
        <v>0</v>
      </c>
      <c r="X356" s="220">
        <f t="shared" si="350"/>
        <v>0</v>
      </c>
      <c r="Y356" s="220">
        <f t="shared" si="350"/>
        <v>0</v>
      </c>
      <c r="Z356" s="220">
        <f t="shared" si="350"/>
        <v>0</v>
      </c>
      <c r="AA356" s="220">
        <f t="shared" si="350"/>
        <v>0</v>
      </c>
      <c r="AB356" s="220">
        <f t="shared" si="350"/>
        <v>0</v>
      </c>
      <c r="AC356" s="220">
        <f t="shared" si="350"/>
        <v>0</v>
      </c>
    </row>
    <row r="357" spans="2:29">
      <c r="B357" s="168" t="str">
        <f t="shared" ref="B357:C357" si="351">B310</f>
        <v/>
      </c>
      <c r="C357" s="165" t="str">
        <f t="shared" si="351"/>
        <v>Fork lift/ 8t</v>
      </c>
      <c r="D357" s="171" t="s">
        <v>134</v>
      </c>
      <c r="E357" s="1687">
        <f>VLOOKUP(C357,Equipment!$C$5:$F$53,Equipment!$F$1,FALSE)/10^7</f>
        <v>0.13</v>
      </c>
      <c r="F357" s="221">
        <f t="shared" si="327"/>
        <v>0.26</v>
      </c>
      <c r="G357" s="220"/>
      <c r="H357" s="220"/>
      <c r="I357" s="220"/>
      <c r="J357" s="220"/>
      <c r="K357" s="220">
        <f t="shared" ref="K357:AC357" si="352">$E357*K216</f>
        <v>0.13</v>
      </c>
      <c r="L357" s="220">
        <f t="shared" si="352"/>
        <v>0</v>
      </c>
      <c r="M357" s="220">
        <f t="shared" si="352"/>
        <v>0.13</v>
      </c>
      <c r="N357" s="220">
        <f t="shared" si="352"/>
        <v>0</v>
      </c>
      <c r="O357" s="220">
        <f t="shared" si="352"/>
        <v>0</v>
      </c>
      <c r="P357" s="220">
        <f t="shared" si="352"/>
        <v>0</v>
      </c>
      <c r="Q357" s="220">
        <f t="shared" si="352"/>
        <v>0</v>
      </c>
      <c r="R357" s="220">
        <f t="shared" si="352"/>
        <v>0</v>
      </c>
      <c r="S357" s="220">
        <f t="shared" si="352"/>
        <v>0</v>
      </c>
      <c r="T357" s="220">
        <f t="shared" si="352"/>
        <v>0</v>
      </c>
      <c r="U357" s="220">
        <f t="shared" si="352"/>
        <v>0</v>
      </c>
      <c r="V357" s="220">
        <f t="shared" si="352"/>
        <v>0</v>
      </c>
      <c r="W357" s="220">
        <f t="shared" si="352"/>
        <v>0</v>
      </c>
      <c r="X357" s="220">
        <f t="shared" si="352"/>
        <v>0</v>
      </c>
      <c r="Y357" s="220">
        <f t="shared" si="352"/>
        <v>0</v>
      </c>
      <c r="Z357" s="220">
        <f t="shared" si="352"/>
        <v>0</v>
      </c>
      <c r="AA357" s="220">
        <f t="shared" si="352"/>
        <v>0</v>
      </c>
      <c r="AB357" s="220">
        <f t="shared" si="352"/>
        <v>0</v>
      </c>
      <c r="AC357" s="220">
        <f t="shared" si="352"/>
        <v>0</v>
      </c>
    </row>
    <row r="358" spans="2:29">
      <c r="B358" s="168" t="str">
        <f t="shared" ref="B358:C358" si="353">B311</f>
        <v/>
      </c>
      <c r="C358" s="165" t="str">
        <f t="shared" si="353"/>
        <v>Tyre handler/ 20t</v>
      </c>
      <c r="D358" s="171" t="s">
        <v>134</v>
      </c>
      <c r="E358" s="1687">
        <f>VLOOKUP(C358,Equipment!$C$5:$F$53,Equipment!$F$1,FALSE)/10^7</f>
        <v>6.9797000000000002</v>
      </c>
      <c r="F358" s="221">
        <f t="shared" si="327"/>
        <v>13.9594</v>
      </c>
      <c r="G358" s="220"/>
      <c r="H358" s="220"/>
      <c r="I358" s="220"/>
      <c r="J358" s="220"/>
      <c r="K358" s="220">
        <f t="shared" ref="K358:AC358" si="354">$E358*K217</f>
        <v>6.9797000000000002</v>
      </c>
      <c r="L358" s="220">
        <f t="shared" si="354"/>
        <v>0</v>
      </c>
      <c r="M358" s="220">
        <f t="shared" si="354"/>
        <v>6.9797000000000002</v>
      </c>
      <c r="N358" s="220">
        <f t="shared" si="354"/>
        <v>0</v>
      </c>
      <c r="O358" s="220">
        <f t="shared" si="354"/>
        <v>0</v>
      </c>
      <c r="P358" s="220">
        <f t="shared" si="354"/>
        <v>0</v>
      </c>
      <c r="Q358" s="220">
        <f t="shared" si="354"/>
        <v>0</v>
      </c>
      <c r="R358" s="220">
        <f t="shared" si="354"/>
        <v>0</v>
      </c>
      <c r="S358" s="220">
        <f t="shared" si="354"/>
        <v>0</v>
      </c>
      <c r="T358" s="220">
        <f t="shared" si="354"/>
        <v>0</v>
      </c>
      <c r="U358" s="220">
        <f t="shared" si="354"/>
        <v>0</v>
      </c>
      <c r="V358" s="220">
        <f t="shared" si="354"/>
        <v>0</v>
      </c>
      <c r="W358" s="220">
        <f t="shared" si="354"/>
        <v>0</v>
      </c>
      <c r="X358" s="220">
        <f t="shared" si="354"/>
        <v>0</v>
      </c>
      <c r="Y358" s="220">
        <f t="shared" si="354"/>
        <v>0</v>
      </c>
      <c r="Z358" s="220">
        <f t="shared" si="354"/>
        <v>0</v>
      </c>
      <c r="AA358" s="220">
        <f t="shared" si="354"/>
        <v>0</v>
      </c>
      <c r="AB358" s="220">
        <f t="shared" si="354"/>
        <v>0</v>
      </c>
      <c r="AC358" s="220">
        <f t="shared" si="354"/>
        <v>0</v>
      </c>
    </row>
    <row r="359" spans="2:29">
      <c r="B359" s="168" t="str">
        <f t="shared" ref="B359:C359" si="355">B312</f>
        <v/>
      </c>
      <c r="C359" s="165" t="str">
        <f t="shared" si="355"/>
        <v xml:space="preserve">Farm tractor </v>
      </c>
      <c r="D359" s="171" t="s">
        <v>134</v>
      </c>
      <c r="E359" s="1687">
        <f>VLOOKUP(C359,Equipment!$C$5:$F$53,Equipment!$F$1,FALSE)/10^7</f>
        <v>0.12</v>
      </c>
      <c r="F359" s="221">
        <f t="shared" si="327"/>
        <v>0.24</v>
      </c>
      <c r="G359" s="220"/>
      <c r="H359" s="220"/>
      <c r="I359" s="220"/>
      <c r="J359" s="220"/>
      <c r="K359" s="220">
        <f t="shared" ref="K359:AC359" si="356">$E359*K218</f>
        <v>0.12</v>
      </c>
      <c r="L359" s="220">
        <f t="shared" si="356"/>
        <v>0</v>
      </c>
      <c r="M359" s="220">
        <f t="shared" si="356"/>
        <v>0.12</v>
      </c>
      <c r="N359" s="220">
        <f t="shared" si="356"/>
        <v>0</v>
      </c>
      <c r="O359" s="220">
        <f t="shared" si="356"/>
        <v>0</v>
      </c>
      <c r="P359" s="220">
        <f t="shared" si="356"/>
        <v>0</v>
      </c>
      <c r="Q359" s="220">
        <f t="shared" si="356"/>
        <v>0</v>
      </c>
      <c r="R359" s="220">
        <f t="shared" si="356"/>
        <v>0</v>
      </c>
      <c r="S359" s="220">
        <f t="shared" si="356"/>
        <v>0</v>
      </c>
      <c r="T359" s="220">
        <f t="shared" si="356"/>
        <v>0</v>
      </c>
      <c r="U359" s="220">
        <f t="shared" si="356"/>
        <v>0</v>
      </c>
      <c r="V359" s="220">
        <f t="shared" si="356"/>
        <v>0</v>
      </c>
      <c r="W359" s="220">
        <f t="shared" si="356"/>
        <v>0</v>
      </c>
      <c r="X359" s="220">
        <f t="shared" si="356"/>
        <v>0</v>
      </c>
      <c r="Y359" s="220">
        <f t="shared" si="356"/>
        <v>0</v>
      </c>
      <c r="Z359" s="220">
        <f t="shared" si="356"/>
        <v>0</v>
      </c>
      <c r="AA359" s="220">
        <f t="shared" si="356"/>
        <v>0</v>
      </c>
      <c r="AB359" s="220">
        <f t="shared" si="356"/>
        <v>0</v>
      </c>
      <c r="AC359" s="220">
        <f t="shared" si="356"/>
        <v>0</v>
      </c>
    </row>
    <row r="360" spans="2:29">
      <c r="B360" s="168" t="str">
        <f t="shared" ref="B360:C360" si="357">B313</f>
        <v/>
      </c>
      <c r="C360" s="165" t="str">
        <f t="shared" si="357"/>
        <v>Fire Tender</v>
      </c>
      <c r="D360" s="171" t="s">
        <v>134</v>
      </c>
      <c r="E360" s="1687">
        <f>VLOOKUP(C360,Equipment!$C$5:$F$53,Equipment!$F$1,FALSE)/10^7</f>
        <v>0.3</v>
      </c>
      <c r="F360" s="221">
        <f t="shared" si="327"/>
        <v>0.6</v>
      </c>
      <c r="G360" s="220"/>
      <c r="H360" s="220"/>
      <c r="I360" s="220"/>
      <c r="J360" s="220"/>
      <c r="K360" s="220">
        <f t="shared" ref="K360:AC360" si="358">$E360*K219</f>
        <v>0.3</v>
      </c>
      <c r="L360" s="220">
        <f t="shared" si="358"/>
        <v>0</v>
      </c>
      <c r="M360" s="220">
        <f t="shared" si="358"/>
        <v>0.3</v>
      </c>
      <c r="N360" s="220">
        <f t="shared" si="358"/>
        <v>0</v>
      </c>
      <c r="O360" s="220">
        <f t="shared" si="358"/>
        <v>0</v>
      </c>
      <c r="P360" s="220">
        <f t="shared" si="358"/>
        <v>0</v>
      </c>
      <c r="Q360" s="220">
        <f t="shared" si="358"/>
        <v>0</v>
      </c>
      <c r="R360" s="220">
        <f t="shared" si="358"/>
        <v>0</v>
      </c>
      <c r="S360" s="220">
        <f t="shared" si="358"/>
        <v>0</v>
      </c>
      <c r="T360" s="220">
        <f t="shared" si="358"/>
        <v>0</v>
      </c>
      <c r="U360" s="220">
        <f t="shared" si="358"/>
        <v>0</v>
      </c>
      <c r="V360" s="220">
        <f t="shared" si="358"/>
        <v>0</v>
      </c>
      <c r="W360" s="220">
        <f t="shared" si="358"/>
        <v>0</v>
      </c>
      <c r="X360" s="220">
        <f t="shared" si="358"/>
        <v>0</v>
      </c>
      <c r="Y360" s="220">
        <f t="shared" si="358"/>
        <v>0</v>
      </c>
      <c r="Z360" s="220">
        <f t="shared" si="358"/>
        <v>0</v>
      </c>
      <c r="AA360" s="220">
        <f t="shared" si="358"/>
        <v>0</v>
      </c>
      <c r="AB360" s="220">
        <f t="shared" si="358"/>
        <v>0</v>
      </c>
      <c r="AC360" s="220">
        <f t="shared" si="358"/>
        <v>0</v>
      </c>
    </row>
    <row r="361" spans="2:29">
      <c r="B361" s="168" t="str">
        <f t="shared" ref="B361:C361" si="359">B314</f>
        <v/>
      </c>
      <c r="C361" s="165" t="str">
        <f t="shared" si="359"/>
        <v xml:space="preserve">Ambulance </v>
      </c>
      <c r="D361" s="171" t="s">
        <v>134</v>
      </c>
      <c r="E361" s="1687">
        <f>VLOOKUP(C361,Equipment!$C$5:$F$53,Equipment!$F$1,FALSE)/10^7</f>
        <v>0.15</v>
      </c>
      <c r="F361" s="221">
        <f t="shared" si="327"/>
        <v>0.3</v>
      </c>
      <c r="G361" s="220"/>
      <c r="H361" s="220"/>
      <c r="I361" s="220"/>
      <c r="J361" s="220"/>
      <c r="K361" s="220">
        <f t="shared" ref="K361:AC361" si="360">$E361*K220</f>
        <v>0.15</v>
      </c>
      <c r="L361" s="220">
        <f t="shared" si="360"/>
        <v>0</v>
      </c>
      <c r="M361" s="220">
        <f t="shared" si="360"/>
        <v>0.15</v>
      </c>
      <c r="N361" s="220">
        <f t="shared" si="360"/>
        <v>0</v>
      </c>
      <c r="O361" s="220">
        <f t="shared" si="360"/>
        <v>0</v>
      </c>
      <c r="P361" s="220">
        <f t="shared" si="360"/>
        <v>0</v>
      </c>
      <c r="Q361" s="220">
        <f t="shared" si="360"/>
        <v>0</v>
      </c>
      <c r="R361" s="220">
        <f t="shared" si="360"/>
        <v>0</v>
      </c>
      <c r="S361" s="220">
        <f t="shared" si="360"/>
        <v>0</v>
      </c>
      <c r="T361" s="220">
        <f t="shared" si="360"/>
        <v>0</v>
      </c>
      <c r="U361" s="220">
        <f t="shared" si="360"/>
        <v>0</v>
      </c>
      <c r="V361" s="220">
        <f t="shared" si="360"/>
        <v>0</v>
      </c>
      <c r="W361" s="220">
        <f t="shared" si="360"/>
        <v>0</v>
      </c>
      <c r="X361" s="220">
        <f t="shared" si="360"/>
        <v>0</v>
      </c>
      <c r="Y361" s="220">
        <f t="shared" si="360"/>
        <v>0</v>
      </c>
      <c r="Z361" s="220">
        <f t="shared" si="360"/>
        <v>0</v>
      </c>
      <c r="AA361" s="220">
        <f t="shared" si="360"/>
        <v>0</v>
      </c>
      <c r="AB361" s="220">
        <f t="shared" si="360"/>
        <v>0</v>
      </c>
      <c r="AC361" s="220">
        <f t="shared" si="360"/>
        <v>0</v>
      </c>
    </row>
    <row r="362" spans="2:29">
      <c r="B362" s="168" t="str">
        <f t="shared" ref="B362:C362" si="361">B315</f>
        <v/>
      </c>
      <c r="C362" s="165" t="str">
        <f t="shared" si="361"/>
        <v>Worker Transportation bus</v>
      </c>
      <c r="D362" s="171" t="s">
        <v>134</v>
      </c>
      <c r="E362" s="1687">
        <f>VLOOKUP(C362,Equipment!$C$5:$F$53,Equipment!$F$1,FALSE)/10^7</f>
        <v>0.2</v>
      </c>
      <c r="F362" s="221">
        <f t="shared" si="327"/>
        <v>0.4</v>
      </c>
      <c r="G362" s="220"/>
      <c r="H362" s="220"/>
      <c r="I362" s="220"/>
      <c r="J362" s="220"/>
      <c r="K362" s="220">
        <f t="shared" ref="K362:AC362" si="362">$E362*K221</f>
        <v>0.2</v>
      </c>
      <c r="L362" s="220">
        <f t="shared" si="362"/>
        <v>0</v>
      </c>
      <c r="M362" s="220">
        <f t="shared" si="362"/>
        <v>0.2</v>
      </c>
      <c r="N362" s="220">
        <f t="shared" si="362"/>
        <v>0</v>
      </c>
      <c r="O362" s="220">
        <f t="shared" si="362"/>
        <v>0</v>
      </c>
      <c r="P362" s="220">
        <f t="shared" si="362"/>
        <v>0</v>
      </c>
      <c r="Q362" s="220">
        <f t="shared" si="362"/>
        <v>0</v>
      </c>
      <c r="R362" s="220">
        <f t="shared" si="362"/>
        <v>0</v>
      </c>
      <c r="S362" s="220">
        <f t="shared" si="362"/>
        <v>0</v>
      </c>
      <c r="T362" s="220">
        <f t="shared" si="362"/>
        <v>0</v>
      </c>
      <c r="U362" s="220">
        <f t="shared" si="362"/>
        <v>0</v>
      </c>
      <c r="V362" s="220">
        <f t="shared" si="362"/>
        <v>0</v>
      </c>
      <c r="W362" s="220">
        <f t="shared" si="362"/>
        <v>0</v>
      </c>
      <c r="X362" s="220">
        <f t="shared" si="362"/>
        <v>0</v>
      </c>
      <c r="Y362" s="220">
        <f t="shared" si="362"/>
        <v>0</v>
      </c>
      <c r="Z362" s="220">
        <f t="shared" si="362"/>
        <v>0</v>
      </c>
      <c r="AA362" s="220">
        <f t="shared" si="362"/>
        <v>0</v>
      </c>
      <c r="AB362" s="220">
        <f t="shared" si="362"/>
        <v>0</v>
      </c>
      <c r="AC362" s="220">
        <f t="shared" si="362"/>
        <v>0</v>
      </c>
    </row>
    <row r="363" spans="2:29">
      <c r="B363" s="168" t="str">
        <f t="shared" ref="B363:C363" si="363">B316</f>
        <v/>
      </c>
      <c r="C363" s="165" t="str">
        <f t="shared" si="363"/>
        <v>School bus</v>
      </c>
      <c r="D363" s="171" t="s">
        <v>134</v>
      </c>
      <c r="E363" s="1687">
        <f>VLOOKUP(C363,Equipment!$C$5:$F$53,Equipment!$F$1,FALSE)/10^7</f>
        <v>0.2</v>
      </c>
      <c r="F363" s="221">
        <f t="shared" si="327"/>
        <v>0.4</v>
      </c>
      <c r="G363" s="220"/>
      <c r="H363" s="220"/>
      <c r="I363" s="220"/>
      <c r="J363" s="220"/>
      <c r="K363" s="220">
        <f t="shared" ref="K363:AC363" si="364">$E363*K222</f>
        <v>0.2</v>
      </c>
      <c r="L363" s="220">
        <f t="shared" si="364"/>
        <v>0</v>
      </c>
      <c r="M363" s="220">
        <f t="shared" si="364"/>
        <v>0.2</v>
      </c>
      <c r="N363" s="220">
        <f t="shared" si="364"/>
        <v>0</v>
      </c>
      <c r="O363" s="220">
        <f t="shared" si="364"/>
        <v>0</v>
      </c>
      <c r="P363" s="220">
        <f t="shared" si="364"/>
        <v>0</v>
      </c>
      <c r="Q363" s="220">
        <f t="shared" si="364"/>
        <v>0</v>
      </c>
      <c r="R363" s="220">
        <f t="shared" si="364"/>
        <v>0</v>
      </c>
      <c r="S363" s="220">
        <f t="shared" si="364"/>
        <v>0</v>
      </c>
      <c r="T363" s="220">
        <f t="shared" si="364"/>
        <v>0</v>
      </c>
      <c r="U363" s="220">
        <f t="shared" si="364"/>
        <v>0</v>
      </c>
      <c r="V363" s="220">
        <f t="shared" si="364"/>
        <v>0</v>
      </c>
      <c r="W363" s="220">
        <f t="shared" si="364"/>
        <v>0</v>
      </c>
      <c r="X363" s="220">
        <f t="shared" si="364"/>
        <v>0</v>
      </c>
      <c r="Y363" s="220">
        <f t="shared" si="364"/>
        <v>0</v>
      </c>
      <c r="Z363" s="220">
        <f t="shared" si="364"/>
        <v>0</v>
      </c>
      <c r="AA363" s="220">
        <f t="shared" si="364"/>
        <v>0</v>
      </c>
      <c r="AB363" s="220">
        <f t="shared" si="364"/>
        <v>0</v>
      </c>
      <c r="AC363" s="220">
        <f t="shared" si="364"/>
        <v>0</v>
      </c>
    </row>
    <row r="364" spans="2:29">
      <c r="B364" s="168" t="str">
        <f t="shared" ref="B364:C364" si="365">B317</f>
        <v/>
      </c>
      <c r="C364" s="165" t="str">
        <f t="shared" si="365"/>
        <v xml:space="preserve">Pickup Van </v>
      </c>
      <c r="D364" s="171" t="s">
        <v>134</v>
      </c>
      <c r="E364" s="1687">
        <f>VLOOKUP(C364,Equipment!$C$5:$F$53,Equipment!$F$1,FALSE)/10^7</f>
        <v>0.1</v>
      </c>
      <c r="F364" s="221">
        <f t="shared" si="327"/>
        <v>0.2</v>
      </c>
      <c r="G364" s="220"/>
      <c r="H364" s="220"/>
      <c r="I364" s="220"/>
      <c r="J364" s="220"/>
      <c r="K364" s="220">
        <f t="shared" ref="K364:AC364" si="366">$E364*K223</f>
        <v>0.1</v>
      </c>
      <c r="L364" s="220">
        <f t="shared" si="366"/>
        <v>0</v>
      </c>
      <c r="M364" s="220">
        <f t="shared" si="366"/>
        <v>0.1</v>
      </c>
      <c r="N364" s="220">
        <f t="shared" si="366"/>
        <v>0</v>
      </c>
      <c r="O364" s="220">
        <f t="shared" si="366"/>
        <v>0</v>
      </c>
      <c r="P364" s="220">
        <f t="shared" si="366"/>
        <v>0</v>
      </c>
      <c r="Q364" s="220">
        <f t="shared" si="366"/>
        <v>0</v>
      </c>
      <c r="R364" s="220">
        <f t="shared" si="366"/>
        <v>0</v>
      </c>
      <c r="S364" s="220">
        <f t="shared" si="366"/>
        <v>0</v>
      </c>
      <c r="T364" s="220">
        <f t="shared" si="366"/>
        <v>0</v>
      </c>
      <c r="U364" s="220">
        <f t="shared" si="366"/>
        <v>0</v>
      </c>
      <c r="V364" s="220">
        <f t="shared" si="366"/>
        <v>0</v>
      </c>
      <c r="W364" s="220">
        <f t="shared" si="366"/>
        <v>0</v>
      </c>
      <c r="X364" s="220">
        <f t="shared" si="366"/>
        <v>0</v>
      </c>
      <c r="Y364" s="220">
        <f t="shared" si="366"/>
        <v>0</v>
      </c>
      <c r="Z364" s="220">
        <f t="shared" si="366"/>
        <v>0</v>
      </c>
      <c r="AA364" s="220">
        <f t="shared" si="366"/>
        <v>0</v>
      </c>
      <c r="AB364" s="220">
        <f t="shared" si="366"/>
        <v>0</v>
      </c>
      <c r="AC364" s="220">
        <f t="shared" si="366"/>
        <v>0</v>
      </c>
    </row>
    <row r="365" spans="2:29">
      <c r="B365" s="168" t="str">
        <f t="shared" ref="B365:C365" si="367">B318</f>
        <v/>
      </c>
      <c r="C365" s="165" t="str">
        <f t="shared" si="367"/>
        <v>Cars</v>
      </c>
      <c r="D365" s="171" t="s">
        <v>134</v>
      </c>
      <c r="E365" s="1687">
        <f>VLOOKUP(C365,Equipment!$C$5:$F$53,Equipment!$F$1,FALSE)/10^7</f>
        <v>0.1</v>
      </c>
      <c r="F365" s="221">
        <f t="shared" si="327"/>
        <v>0.2</v>
      </c>
      <c r="G365" s="220"/>
      <c r="H365" s="220"/>
      <c r="I365" s="220"/>
      <c r="J365" s="220"/>
      <c r="K365" s="220">
        <f t="shared" ref="K365:AC365" si="368">$E365*K224</f>
        <v>0.1</v>
      </c>
      <c r="L365" s="220">
        <f t="shared" si="368"/>
        <v>0</v>
      </c>
      <c r="M365" s="220">
        <f t="shared" si="368"/>
        <v>0.1</v>
      </c>
      <c r="N365" s="220">
        <f t="shared" si="368"/>
        <v>0</v>
      </c>
      <c r="O365" s="220">
        <f t="shared" si="368"/>
        <v>0</v>
      </c>
      <c r="P365" s="220">
        <f t="shared" si="368"/>
        <v>0</v>
      </c>
      <c r="Q365" s="220">
        <f t="shared" si="368"/>
        <v>0</v>
      </c>
      <c r="R365" s="220">
        <f t="shared" si="368"/>
        <v>0</v>
      </c>
      <c r="S365" s="220">
        <f t="shared" si="368"/>
        <v>0</v>
      </c>
      <c r="T365" s="220">
        <f t="shared" si="368"/>
        <v>0</v>
      </c>
      <c r="U365" s="220">
        <f t="shared" si="368"/>
        <v>0</v>
      </c>
      <c r="V365" s="220">
        <f t="shared" si="368"/>
        <v>0</v>
      </c>
      <c r="W365" s="220">
        <f t="shared" si="368"/>
        <v>0</v>
      </c>
      <c r="X365" s="220">
        <f t="shared" si="368"/>
        <v>0</v>
      </c>
      <c r="Y365" s="220">
        <f t="shared" si="368"/>
        <v>0</v>
      </c>
      <c r="Z365" s="220">
        <f t="shared" si="368"/>
        <v>0</v>
      </c>
      <c r="AA365" s="220">
        <f t="shared" si="368"/>
        <v>0</v>
      </c>
      <c r="AB365" s="220">
        <f t="shared" si="368"/>
        <v>0</v>
      </c>
      <c r="AC365" s="220">
        <f t="shared" si="368"/>
        <v>0</v>
      </c>
    </row>
    <row r="366" spans="2:29" ht="14" thickBot="1">
      <c r="B366" s="251"/>
      <c r="C366" s="252" t="s">
        <v>979</v>
      </c>
      <c r="D366" s="245" t="s">
        <v>134</v>
      </c>
      <c r="E366" s="1688"/>
      <c r="F366" s="256">
        <f t="shared" ref="F366:AC366" si="369">SUM(F324:F365)</f>
        <v>701.51583715495315</v>
      </c>
      <c r="G366" s="247">
        <f t="shared" si="369"/>
        <v>0</v>
      </c>
      <c r="H366" s="247">
        <f t="shared" si="369"/>
        <v>0</v>
      </c>
      <c r="I366" s="247">
        <f t="shared" si="369"/>
        <v>0</v>
      </c>
      <c r="J366" s="247">
        <f t="shared" si="369"/>
        <v>0</v>
      </c>
      <c r="K366" s="247">
        <f t="shared" si="369"/>
        <v>134.12607857747673</v>
      </c>
      <c r="L366" s="247">
        <f t="shared" si="369"/>
        <v>14.8766</v>
      </c>
      <c r="M366" s="247">
        <f t="shared" si="369"/>
        <v>108.86267857747673</v>
      </c>
      <c r="N366" s="247">
        <f t="shared" si="369"/>
        <v>272.02312799999999</v>
      </c>
      <c r="O366" s="247">
        <f t="shared" si="369"/>
        <v>26.007168</v>
      </c>
      <c r="P366" s="247">
        <f t="shared" si="369"/>
        <v>123.513784</v>
      </c>
      <c r="Q366" s="247">
        <f t="shared" si="369"/>
        <v>3.6844000000000001</v>
      </c>
      <c r="R366" s="247">
        <f t="shared" si="369"/>
        <v>1.8422000000000001</v>
      </c>
      <c r="S366" s="247">
        <f t="shared" si="369"/>
        <v>1.8422000000000001</v>
      </c>
      <c r="T366" s="247">
        <f t="shared" si="369"/>
        <v>1.8422000000000001</v>
      </c>
      <c r="U366" s="247">
        <f t="shared" si="369"/>
        <v>3.6844000000000001</v>
      </c>
      <c r="V366" s="247">
        <f t="shared" si="369"/>
        <v>0</v>
      </c>
      <c r="W366" s="247">
        <f t="shared" si="369"/>
        <v>3.6844000000000001</v>
      </c>
      <c r="X366" s="247">
        <f t="shared" si="369"/>
        <v>1.8422000000000001</v>
      </c>
      <c r="Y366" s="247">
        <f t="shared" si="369"/>
        <v>3.6844000000000001</v>
      </c>
      <c r="Z366" s="247">
        <f t="shared" si="369"/>
        <v>0</v>
      </c>
      <c r="AA366" s="247">
        <f t="shared" si="369"/>
        <v>0</v>
      </c>
      <c r="AB366" s="247">
        <f t="shared" si="369"/>
        <v>0</v>
      </c>
      <c r="AC366" s="247">
        <f t="shared" si="369"/>
        <v>0</v>
      </c>
    </row>
    <row r="369" spans="2:58">
      <c r="B369" s="191" t="s">
        <v>980</v>
      </c>
    </row>
    <row r="370" spans="2:58" ht="14">
      <c r="B370" s="1141" t="s">
        <v>971</v>
      </c>
      <c r="C370" s="1141" t="s">
        <v>972</v>
      </c>
      <c r="D370" s="789"/>
      <c r="E370" s="1141" t="s">
        <v>978</v>
      </c>
      <c r="F370" s="1141" t="s">
        <v>267</v>
      </c>
      <c r="G370" s="789">
        <f t="shared" ref="G370:AC370" si="370">G323</f>
        <v>-4</v>
      </c>
      <c r="H370" s="789">
        <f t="shared" si="370"/>
        <v>-3</v>
      </c>
      <c r="I370" s="789">
        <f t="shared" si="370"/>
        <v>-2</v>
      </c>
      <c r="J370" s="789">
        <f t="shared" si="370"/>
        <v>-1</v>
      </c>
      <c r="K370" s="789">
        <f t="shared" si="370"/>
        <v>1</v>
      </c>
      <c r="L370" s="789">
        <f t="shared" si="370"/>
        <v>2</v>
      </c>
      <c r="M370" s="789">
        <f t="shared" si="370"/>
        <v>3</v>
      </c>
      <c r="N370" s="789">
        <f t="shared" si="370"/>
        <v>4</v>
      </c>
      <c r="O370" s="789">
        <f t="shared" si="370"/>
        <v>5</v>
      </c>
      <c r="P370" s="789">
        <f t="shared" si="370"/>
        <v>6</v>
      </c>
      <c r="Q370" s="789">
        <f t="shared" si="370"/>
        <v>7</v>
      </c>
      <c r="R370" s="789">
        <f t="shared" si="370"/>
        <v>8</v>
      </c>
      <c r="S370" s="789">
        <f t="shared" si="370"/>
        <v>9</v>
      </c>
      <c r="T370" s="789">
        <f t="shared" si="370"/>
        <v>10</v>
      </c>
      <c r="U370" s="789">
        <f t="shared" si="370"/>
        <v>11</v>
      </c>
      <c r="V370" s="789">
        <f t="shared" si="370"/>
        <v>12</v>
      </c>
      <c r="W370" s="789">
        <f t="shared" si="370"/>
        <v>13</v>
      </c>
      <c r="X370" s="789">
        <f t="shared" si="370"/>
        <v>14</v>
      </c>
      <c r="Y370" s="789">
        <f t="shared" si="370"/>
        <v>15</v>
      </c>
      <c r="Z370" s="789">
        <f t="shared" si="370"/>
        <v>16</v>
      </c>
      <c r="AA370" s="789">
        <f t="shared" si="370"/>
        <v>17</v>
      </c>
      <c r="AB370" s="789">
        <f t="shared" si="370"/>
        <v>18</v>
      </c>
      <c r="AC370" s="789">
        <f t="shared" si="370"/>
        <v>19</v>
      </c>
      <c r="AD370" s="789"/>
      <c r="AE370" s="789"/>
      <c r="AF370" s="789"/>
      <c r="AG370" s="789"/>
      <c r="AH370" s="789"/>
      <c r="AI370" s="789"/>
      <c r="AJ370" s="789"/>
      <c r="AK370" s="789"/>
      <c r="AL370" s="789"/>
      <c r="AM370" s="789"/>
      <c r="AN370" s="789"/>
      <c r="AO370" s="789"/>
      <c r="AP370" s="789"/>
      <c r="AQ370" s="789"/>
      <c r="AR370" s="789">
        <f t="shared" ref="AR370:BF370" si="371">AR240</f>
        <v>0</v>
      </c>
      <c r="AS370" s="789">
        <f t="shared" si="371"/>
        <v>0</v>
      </c>
      <c r="AT370" s="789">
        <f t="shared" si="371"/>
        <v>0</v>
      </c>
      <c r="AU370" s="789">
        <f t="shared" si="371"/>
        <v>0</v>
      </c>
      <c r="AV370" s="789">
        <f t="shared" si="371"/>
        <v>0</v>
      </c>
      <c r="AW370" s="789">
        <f t="shared" si="371"/>
        <v>0</v>
      </c>
      <c r="AX370" s="789">
        <f t="shared" si="371"/>
        <v>0</v>
      </c>
      <c r="AY370" s="789">
        <f t="shared" si="371"/>
        <v>0</v>
      </c>
      <c r="AZ370" s="789">
        <f t="shared" si="371"/>
        <v>0</v>
      </c>
      <c r="BA370" s="789">
        <f t="shared" si="371"/>
        <v>0</v>
      </c>
      <c r="BB370" s="789">
        <f t="shared" si="371"/>
        <v>0</v>
      </c>
      <c r="BC370" s="789">
        <f t="shared" si="371"/>
        <v>0</v>
      </c>
      <c r="BD370" s="789">
        <f t="shared" si="371"/>
        <v>0</v>
      </c>
      <c r="BE370" s="789">
        <f t="shared" si="371"/>
        <v>0</v>
      </c>
      <c r="BF370" s="789">
        <f t="shared" si="371"/>
        <v>0</v>
      </c>
    </row>
    <row r="371" spans="2:58">
      <c r="B371" s="168" t="str">
        <f t="shared" ref="B371:C390" si="372">B324</f>
        <v>Coal/Ore</v>
      </c>
      <c r="C371" s="165" t="str">
        <f t="shared" si="372"/>
        <v>Drill Machine/ 115mm diameter</v>
      </c>
      <c r="D371" s="171" t="s">
        <v>134</v>
      </c>
      <c r="E371" s="244">
        <f>VLOOKUP(C371,Equipment!$C$5:$F$53,Equipment!$F$1,FALSE)/10^7</f>
        <v>0.57999999999999996</v>
      </c>
      <c r="F371" s="221">
        <f t="shared" ref="F371:F412" si="373">SUM(K371:AQ371)</f>
        <v>1.7399999999999998</v>
      </c>
      <c r="G371" s="145"/>
      <c r="H371" s="145"/>
      <c r="I371" s="145"/>
      <c r="J371" s="145"/>
      <c r="K371" s="145">
        <f t="shared" ref="K371:AC371" si="374">$E371*K277</f>
        <v>0</v>
      </c>
      <c r="L371" s="145">
        <f t="shared" si="374"/>
        <v>0</v>
      </c>
      <c r="M371" s="145">
        <f t="shared" si="374"/>
        <v>0</v>
      </c>
      <c r="N371" s="145">
        <f t="shared" si="374"/>
        <v>0</v>
      </c>
      <c r="O371" s="145">
        <f t="shared" si="374"/>
        <v>0</v>
      </c>
      <c r="P371" s="145">
        <f t="shared" si="374"/>
        <v>0.57999999999999996</v>
      </c>
      <c r="Q371" s="145">
        <f t="shared" si="374"/>
        <v>0</v>
      </c>
      <c r="R371" s="145">
        <f t="shared" si="374"/>
        <v>0</v>
      </c>
      <c r="S371" s="145">
        <f t="shared" si="374"/>
        <v>0</v>
      </c>
      <c r="T371" s="145">
        <f t="shared" si="374"/>
        <v>0</v>
      </c>
      <c r="U371" s="145">
        <f t="shared" si="374"/>
        <v>0.57999999999999996</v>
      </c>
      <c r="V371" s="145">
        <f t="shared" si="374"/>
        <v>0</v>
      </c>
      <c r="W371" s="145">
        <f t="shared" si="374"/>
        <v>0</v>
      </c>
      <c r="X371" s="145">
        <f t="shared" si="374"/>
        <v>0</v>
      </c>
      <c r="Y371" s="145">
        <f t="shared" si="374"/>
        <v>0</v>
      </c>
      <c r="Z371" s="145">
        <f t="shared" si="374"/>
        <v>0.57999999999999996</v>
      </c>
      <c r="AA371" s="145">
        <f t="shared" si="374"/>
        <v>0</v>
      </c>
      <c r="AB371" s="145">
        <f t="shared" si="374"/>
        <v>0</v>
      </c>
      <c r="AC371" s="145">
        <f t="shared" si="374"/>
        <v>0</v>
      </c>
      <c r="AD371" s="145"/>
      <c r="AE371" s="145"/>
      <c r="AF371" s="145"/>
      <c r="AG371" s="145"/>
      <c r="AH371" s="145"/>
      <c r="AI371" s="145"/>
      <c r="AJ371" s="145"/>
      <c r="AK371" s="145"/>
      <c r="AL371" s="145"/>
      <c r="AM371" s="145"/>
      <c r="AN371" s="145"/>
      <c r="AO371" s="145"/>
      <c r="AP371" s="145"/>
      <c r="AQ371" s="145"/>
      <c r="AR371" s="179"/>
      <c r="AS371" s="179"/>
      <c r="AT371" s="179"/>
      <c r="AU371" s="179"/>
      <c r="AV371" s="179"/>
      <c r="AW371" s="179"/>
      <c r="AX371" s="179"/>
      <c r="AY371" s="179"/>
      <c r="AZ371" s="179"/>
      <c r="BA371" s="179"/>
      <c r="BB371" s="179"/>
      <c r="BC371" s="179"/>
      <c r="BD371" s="179"/>
      <c r="BE371" s="179"/>
      <c r="BF371" s="179"/>
    </row>
    <row r="372" spans="2:58">
      <c r="B372" s="168" t="str">
        <f t="shared" si="372"/>
        <v xml:space="preserve">Waste (IB Thin Parting) </v>
      </c>
      <c r="C372" s="165" t="str">
        <f t="shared" si="372"/>
        <v>Drill Machine/ 160mm diameter</v>
      </c>
      <c r="D372" s="171" t="s">
        <v>134</v>
      </c>
      <c r="E372" s="244">
        <f>VLOOKUP(C372,Equipment!$C$5:$F$53,Equipment!$F$1,FALSE)/10^7</f>
        <v>1.19</v>
      </c>
      <c r="F372" s="221">
        <f t="shared" si="373"/>
        <v>10.709999999999997</v>
      </c>
      <c r="G372" s="145"/>
      <c r="H372" s="145"/>
      <c r="I372" s="145"/>
      <c r="J372" s="145"/>
      <c r="K372" s="145">
        <f t="shared" ref="K372:AC372" si="375">$E372*K278</f>
        <v>0</v>
      </c>
      <c r="L372" s="145">
        <f t="shared" si="375"/>
        <v>0</v>
      </c>
      <c r="M372" s="145">
        <f t="shared" si="375"/>
        <v>0</v>
      </c>
      <c r="N372" s="145">
        <f t="shared" si="375"/>
        <v>0</v>
      </c>
      <c r="O372" s="145">
        <f t="shared" si="375"/>
        <v>0</v>
      </c>
      <c r="P372" s="145">
        <f t="shared" si="375"/>
        <v>1.19</v>
      </c>
      <c r="Q372" s="145">
        <f t="shared" si="375"/>
        <v>0</v>
      </c>
      <c r="R372" s="145">
        <f t="shared" si="375"/>
        <v>1.19</v>
      </c>
      <c r="S372" s="145">
        <f t="shared" si="375"/>
        <v>1.19</v>
      </c>
      <c r="T372" s="145">
        <f t="shared" si="375"/>
        <v>0</v>
      </c>
      <c r="U372" s="145">
        <f t="shared" si="375"/>
        <v>1.19</v>
      </c>
      <c r="V372" s="145">
        <f t="shared" si="375"/>
        <v>0</v>
      </c>
      <c r="W372" s="145">
        <f t="shared" si="375"/>
        <v>1.19</v>
      </c>
      <c r="X372" s="145">
        <f t="shared" si="375"/>
        <v>1.19</v>
      </c>
      <c r="Y372" s="145">
        <f t="shared" si="375"/>
        <v>0</v>
      </c>
      <c r="Z372" s="145">
        <f t="shared" si="375"/>
        <v>1.19</v>
      </c>
      <c r="AA372" s="145">
        <f t="shared" si="375"/>
        <v>0</v>
      </c>
      <c r="AB372" s="145">
        <f t="shared" si="375"/>
        <v>1.19</v>
      </c>
      <c r="AC372" s="145">
        <f t="shared" si="375"/>
        <v>1.19</v>
      </c>
      <c r="AD372" s="145"/>
      <c r="AE372" s="145"/>
      <c r="AF372" s="145"/>
      <c r="AG372" s="145"/>
      <c r="AH372" s="145"/>
      <c r="AI372" s="145"/>
      <c r="AJ372" s="145"/>
      <c r="AK372" s="145"/>
      <c r="AL372" s="145"/>
      <c r="AM372" s="145"/>
      <c r="AN372" s="145"/>
      <c r="AO372" s="145"/>
      <c r="AP372" s="145"/>
      <c r="AQ372" s="145"/>
      <c r="AR372" s="179"/>
      <c r="AS372" s="179"/>
      <c r="AT372" s="179"/>
      <c r="AU372" s="179"/>
      <c r="AV372" s="179"/>
      <c r="AW372" s="179"/>
      <c r="AX372" s="179"/>
      <c r="AY372" s="179"/>
      <c r="AZ372" s="179"/>
      <c r="BA372" s="179"/>
      <c r="BB372" s="179"/>
      <c r="BC372" s="179"/>
      <c r="BD372" s="179"/>
      <c r="BE372" s="179"/>
      <c r="BF372" s="179"/>
    </row>
    <row r="373" spans="2:58">
      <c r="B373" s="168" t="str">
        <f t="shared" si="372"/>
        <v>Waste Thick Parting (Ob/IB)</v>
      </c>
      <c r="C373" s="165" t="str">
        <f t="shared" si="372"/>
        <v>Drill Machine/ 250mm diameter</v>
      </c>
      <c r="D373" s="171" t="s">
        <v>134</v>
      </c>
      <c r="E373" s="244">
        <f>VLOOKUP(C373,Equipment!$C$5:$F$53,Equipment!$F$1,FALSE)/10^7</f>
        <v>4.72</v>
      </c>
      <c r="F373" s="221">
        <f t="shared" si="373"/>
        <v>127.43999999999998</v>
      </c>
      <c r="G373" s="145"/>
      <c r="H373" s="145"/>
      <c r="I373" s="145"/>
      <c r="J373" s="145"/>
      <c r="K373" s="145">
        <f t="shared" ref="K373:AC373" si="376">$E373*K279</f>
        <v>0</v>
      </c>
      <c r="L373" s="145">
        <f t="shared" si="376"/>
        <v>0</v>
      </c>
      <c r="M373" s="145">
        <f t="shared" si="376"/>
        <v>0</v>
      </c>
      <c r="N373" s="145">
        <f t="shared" si="376"/>
        <v>0</v>
      </c>
      <c r="O373" s="145">
        <f t="shared" si="376"/>
        <v>0</v>
      </c>
      <c r="P373" s="145">
        <f t="shared" si="376"/>
        <v>14.16</v>
      </c>
      <c r="Q373" s="145">
        <f t="shared" si="376"/>
        <v>0</v>
      </c>
      <c r="R373" s="145">
        <f t="shared" si="376"/>
        <v>4.72</v>
      </c>
      <c r="S373" s="145">
        <f t="shared" si="376"/>
        <v>23.599999999999998</v>
      </c>
      <c r="T373" s="145">
        <f t="shared" si="376"/>
        <v>0</v>
      </c>
      <c r="U373" s="145">
        <f t="shared" si="376"/>
        <v>14.16</v>
      </c>
      <c r="V373" s="145">
        <f t="shared" si="376"/>
        <v>0</v>
      </c>
      <c r="W373" s="145">
        <f t="shared" si="376"/>
        <v>4.72</v>
      </c>
      <c r="X373" s="145">
        <f t="shared" si="376"/>
        <v>23.599999999999998</v>
      </c>
      <c r="Y373" s="145">
        <f t="shared" si="376"/>
        <v>0</v>
      </c>
      <c r="Z373" s="145">
        <f t="shared" si="376"/>
        <v>14.16</v>
      </c>
      <c r="AA373" s="145">
        <f t="shared" si="376"/>
        <v>0</v>
      </c>
      <c r="AB373" s="145">
        <f t="shared" si="376"/>
        <v>4.72</v>
      </c>
      <c r="AC373" s="145">
        <f t="shared" si="376"/>
        <v>23.599999999999998</v>
      </c>
      <c r="AD373" s="145"/>
      <c r="AE373" s="145"/>
      <c r="AF373" s="145"/>
      <c r="AG373" s="145"/>
      <c r="AH373" s="145"/>
      <c r="AI373" s="145"/>
      <c r="AJ373" s="145"/>
      <c r="AK373" s="145"/>
      <c r="AL373" s="145"/>
      <c r="AM373" s="145"/>
      <c r="AN373" s="145"/>
      <c r="AO373" s="145"/>
      <c r="AP373" s="145"/>
      <c r="AQ373" s="145"/>
      <c r="AR373" s="179"/>
      <c r="AS373" s="179"/>
      <c r="AT373" s="179"/>
      <c r="AU373" s="179"/>
      <c r="AV373" s="179"/>
      <c r="AW373" s="179"/>
      <c r="AX373" s="179"/>
      <c r="AY373" s="179"/>
      <c r="AZ373" s="179"/>
      <c r="BA373" s="179"/>
      <c r="BB373" s="179"/>
      <c r="BC373" s="179"/>
      <c r="BD373" s="179"/>
      <c r="BE373" s="179"/>
      <c r="BF373" s="179"/>
    </row>
    <row r="374" spans="2:58">
      <c r="B374" s="168" t="str">
        <f t="shared" si="372"/>
        <v>Top Soil</v>
      </c>
      <c r="C374" s="165" t="str">
        <f t="shared" si="372"/>
        <v>Diesel hydraulic Shovel/ 1.0 cum</v>
      </c>
      <c r="D374" s="171" t="s">
        <v>134</v>
      </c>
      <c r="E374" s="244">
        <f>VLOOKUP(C374,Equipment!$C$5:$F$53,Equipment!$F$1,FALSE)/10^7</f>
        <v>0.86399999999999999</v>
      </c>
      <c r="F374" s="221">
        <f t="shared" si="373"/>
        <v>0</v>
      </c>
      <c r="G374" s="145"/>
      <c r="H374" s="145"/>
      <c r="I374" s="145"/>
      <c r="J374" s="145"/>
      <c r="K374" s="145">
        <f t="shared" ref="K374:AC374" si="377">$E374*K280</f>
        <v>0</v>
      </c>
      <c r="L374" s="145">
        <f t="shared" si="377"/>
        <v>0</v>
      </c>
      <c r="M374" s="145">
        <f t="shared" si="377"/>
        <v>0</v>
      </c>
      <c r="N374" s="145">
        <f t="shared" si="377"/>
        <v>0</v>
      </c>
      <c r="O374" s="145">
        <f t="shared" si="377"/>
        <v>0</v>
      </c>
      <c r="P374" s="145">
        <f t="shared" si="377"/>
        <v>0</v>
      </c>
      <c r="Q374" s="145">
        <f t="shared" si="377"/>
        <v>0</v>
      </c>
      <c r="R374" s="145">
        <f t="shared" si="377"/>
        <v>0</v>
      </c>
      <c r="S374" s="145">
        <f t="shared" si="377"/>
        <v>0</v>
      </c>
      <c r="T374" s="145">
        <f t="shared" si="377"/>
        <v>0</v>
      </c>
      <c r="U374" s="145">
        <f t="shared" si="377"/>
        <v>0</v>
      </c>
      <c r="V374" s="145">
        <f t="shared" si="377"/>
        <v>0</v>
      </c>
      <c r="W374" s="145">
        <f t="shared" si="377"/>
        <v>0</v>
      </c>
      <c r="X374" s="145">
        <f t="shared" si="377"/>
        <v>0</v>
      </c>
      <c r="Y374" s="145">
        <f t="shared" si="377"/>
        <v>0</v>
      </c>
      <c r="Z374" s="145">
        <f t="shared" si="377"/>
        <v>0</v>
      </c>
      <c r="AA374" s="145">
        <f t="shared" si="377"/>
        <v>0</v>
      </c>
      <c r="AB374" s="145">
        <f t="shared" si="377"/>
        <v>0</v>
      </c>
      <c r="AC374" s="145">
        <f t="shared" si="377"/>
        <v>0</v>
      </c>
      <c r="AD374" s="145"/>
      <c r="AE374" s="145"/>
      <c r="AF374" s="145"/>
      <c r="AG374" s="145"/>
      <c r="AH374" s="145"/>
      <c r="AI374" s="145"/>
      <c r="AJ374" s="145"/>
      <c r="AK374" s="145"/>
      <c r="AL374" s="145"/>
      <c r="AM374" s="145"/>
      <c r="AN374" s="145"/>
      <c r="AO374" s="145"/>
      <c r="AP374" s="145"/>
      <c r="AQ374" s="145"/>
      <c r="AR374" s="179"/>
      <c r="AS374" s="179"/>
      <c r="AT374" s="179"/>
      <c r="AU374" s="179"/>
      <c r="AV374" s="179"/>
      <c r="AW374" s="179"/>
      <c r="AX374" s="179"/>
      <c r="AY374" s="179"/>
      <c r="AZ374" s="179"/>
      <c r="BA374" s="179"/>
      <c r="BB374" s="179"/>
      <c r="BC374" s="179"/>
      <c r="BD374" s="179"/>
      <c r="BE374" s="179"/>
      <c r="BF374" s="179"/>
    </row>
    <row r="375" spans="2:58">
      <c r="B375" s="168" t="str">
        <f t="shared" si="372"/>
        <v>Thin Parting, Topsoil &amp; Coal (From Drill &amp; Blast)</v>
      </c>
      <c r="C375" s="165" t="str">
        <f t="shared" si="372"/>
        <v>Diesel hydraulic Shovel/ 4.6 cum</v>
      </c>
      <c r="D375" s="171" t="s">
        <v>134</v>
      </c>
      <c r="E375" s="244">
        <f>VLOOKUP(C375,Equipment!$C$5:$F$53,Equipment!$F$1,FALSE)/10^7</f>
        <v>4.3499999999999996</v>
      </c>
      <c r="F375" s="221">
        <f t="shared" si="373"/>
        <v>100.05</v>
      </c>
      <c r="G375" s="145"/>
      <c r="H375" s="145"/>
      <c r="I375" s="145"/>
      <c r="J375" s="145"/>
      <c r="K375" s="145">
        <f t="shared" ref="K375:AC375" si="378">$E375*K281</f>
        <v>0</v>
      </c>
      <c r="L375" s="145">
        <f t="shared" si="378"/>
        <v>0</v>
      </c>
      <c r="M375" s="145">
        <f t="shared" si="378"/>
        <v>0</v>
      </c>
      <c r="N375" s="145">
        <f t="shared" si="378"/>
        <v>0</v>
      </c>
      <c r="O375" s="145">
        <f t="shared" si="378"/>
        <v>0</v>
      </c>
      <c r="P375" s="145">
        <f t="shared" si="378"/>
        <v>0</v>
      </c>
      <c r="Q375" s="145">
        <f t="shared" si="378"/>
        <v>13.049999999999999</v>
      </c>
      <c r="R375" s="145">
        <f t="shared" si="378"/>
        <v>4.3499999999999996</v>
      </c>
      <c r="S375" s="145">
        <f t="shared" si="378"/>
        <v>0</v>
      </c>
      <c r="T375" s="145">
        <f t="shared" si="378"/>
        <v>17.399999999999999</v>
      </c>
      <c r="U375" s="145">
        <f t="shared" si="378"/>
        <v>0</v>
      </c>
      <c r="V375" s="145">
        <f t="shared" si="378"/>
        <v>8.6999999999999993</v>
      </c>
      <c r="W375" s="145">
        <f t="shared" si="378"/>
        <v>13.049999999999999</v>
      </c>
      <c r="X375" s="145">
        <f t="shared" si="378"/>
        <v>4.3499999999999996</v>
      </c>
      <c r="Y375" s="145">
        <f t="shared" si="378"/>
        <v>0</v>
      </c>
      <c r="Z375" s="145">
        <f t="shared" si="378"/>
        <v>17.399999999999999</v>
      </c>
      <c r="AA375" s="145">
        <f t="shared" si="378"/>
        <v>0</v>
      </c>
      <c r="AB375" s="145">
        <f t="shared" si="378"/>
        <v>8.6999999999999993</v>
      </c>
      <c r="AC375" s="145">
        <f t="shared" si="378"/>
        <v>13.049999999999999</v>
      </c>
      <c r="AD375" s="145"/>
      <c r="AE375" s="145"/>
      <c r="AF375" s="145"/>
      <c r="AG375" s="145"/>
      <c r="AH375" s="145"/>
      <c r="AI375" s="145"/>
      <c r="AJ375" s="145"/>
      <c r="AK375" s="145"/>
      <c r="AL375" s="145"/>
      <c r="AM375" s="145"/>
      <c r="AN375" s="145"/>
      <c r="AO375" s="145"/>
      <c r="AP375" s="145"/>
      <c r="AQ375" s="145"/>
      <c r="AR375" s="179"/>
      <c r="AS375" s="179"/>
      <c r="AT375" s="179"/>
      <c r="AU375" s="179"/>
      <c r="AV375" s="179"/>
      <c r="AW375" s="179"/>
      <c r="AX375" s="179"/>
      <c r="AY375" s="179"/>
      <c r="AZ375" s="179"/>
      <c r="BA375" s="179"/>
      <c r="BB375" s="179"/>
      <c r="BC375" s="179"/>
      <c r="BD375" s="179"/>
      <c r="BE375" s="179"/>
      <c r="BF375" s="179"/>
    </row>
    <row r="376" spans="2:58">
      <c r="B376" s="168" t="str">
        <f t="shared" si="372"/>
        <v>Waste - OB &amp; Thick Parting</v>
      </c>
      <c r="C376" s="165" t="str">
        <f t="shared" si="372"/>
        <v>Diesel hydraulic shovel/ 10 cum</v>
      </c>
      <c r="D376" s="171" t="s">
        <v>134</v>
      </c>
      <c r="E376" s="244">
        <f>VLOOKUP(C376,Equipment!$C$5:$F$53,Equipment!$F$1,FALSE)/10^7</f>
        <v>18.55</v>
      </c>
      <c r="F376" s="221">
        <f t="shared" si="373"/>
        <v>500.84999999999997</v>
      </c>
      <c r="G376" s="145"/>
      <c r="H376" s="145"/>
      <c r="I376" s="145"/>
      <c r="J376" s="145"/>
      <c r="K376" s="145">
        <f t="shared" ref="K376:AC376" si="379">$E376*K282</f>
        <v>0</v>
      </c>
      <c r="L376" s="145">
        <f t="shared" si="379"/>
        <v>0</v>
      </c>
      <c r="M376" s="145">
        <f t="shared" si="379"/>
        <v>0</v>
      </c>
      <c r="N376" s="145">
        <f t="shared" si="379"/>
        <v>0</v>
      </c>
      <c r="O376" s="145">
        <f t="shared" si="379"/>
        <v>0</v>
      </c>
      <c r="P376" s="145">
        <f t="shared" si="379"/>
        <v>55.650000000000006</v>
      </c>
      <c r="Q376" s="145">
        <f t="shared" si="379"/>
        <v>0</v>
      </c>
      <c r="R376" s="145">
        <f t="shared" si="379"/>
        <v>18.55</v>
      </c>
      <c r="S376" s="145">
        <f t="shared" si="379"/>
        <v>92.75</v>
      </c>
      <c r="T376" s="145">
        <f t="shared" si="379"/>
        <v>0</v>
      </c>
      <c r="U376" s="145">
        <f t="shared" si="379"/>
        <v>55.650000000000006</v>
      </c>
      <c r="V376" s="145">
        <f t="shared" si="379"/>
        <v>0</v>
      </c>
      <c r="W376" s="145">
        <f t="shared" si="379"/>
        <v>18.55</v>
      </c>
      <c r="X376" s="145">
        <f t="shared" si="379"/>
        <v>92.75</v>
      </c>
      <c r="Y376" s="145">
        <f t="shared" si="379"/>
        <v>0</v>
      </c>
      <c r="Z376" s="145">
        <f t="shared" si="379"/>
        <v>55.650000000000006</v>
      </c>
      <c r="AA376" s="145">
        <f t="shared" si="379"/>
        <v>0</v>
      </c>
      <c r="AB376" s="145">
        <f t="shared" si="379"/>
        <v>18.55</v>
      </c>
      <c r="AC376" s="145">
        <f t="shared" si="379"/>
        <v>92.75</v>
      </c>
      <c r="AD376" s="145"/>
      <c r="AE376" s="145"/>
      <c r="AF376" s="145"/>
      <c r="AG376" s="145"/>
      <c r="AH376" s="145"/>
      <c r="AI376" s="145"/>
      <c r="AJ376" s="145"/>
      <c r="AK376" s="145"/>
      <c r="AL376" s="145"/>
      <c r="AM376" s="145"/>
      <c r="AN376" s="145"/>
      <c r="AO376" s="145"/>
      <c r="AP376" s="145"/>
      <c r="AQ376" s="145"/>
      <c r="AR376" s="179"/>
      <c r="AS376" s="179"/>
      <c r="AT376" s="179"/>
      <c r="AU376" s="179"/>
      <c r="AV376" s="179"/>
      <c r="AW376" s="179"/>
      <c r="AX376" s="179"/>
      <c r="AY376" s="179"/>
      <c r="AZ376" s="179"/>
      <c r="BA376" s="179"/>
      <c r="BB376" s="179"/>
      <c r="BC376" s="179"/>
      <c r="BD376" s="179"/>
      <c r="BE376" s="179"/>
      <c r="BF376" s="179"/>
    </row>
    <row r="377" spans="2:58">
      <c r="B377" s="168" t="str">
        <f t="shared" si="372"/>
        <v>Rehandling by Own Trucks and Excavators</v>
      </c>
      <c r="C377" s="165" t="str">
        <f t="shared" si="372"/>
        <v>Diesel hydraulic Shovel/ 3.4 cum</v>
      </c>
      <c r="D377" s="171" t="s">
        <v>134</v>
      </c>
      <c r="E377" s="244">
        <f>VLOOKUP(C377,Equipment!$C$5:$F$53,Equipment!$F$1,FALSE)/10^7</f>
        <v>2.25</v>
      </c>
      <c r="F377" s="221">
        <f t="shared" si="373"/>
        <v>0</v>
      </c>
      <c r="G377" s="145"/>
      <c r="H377" s="145"/>
      <c r="I377" s="145"/>
      <c r="J377" s="145"/>
      <c r="K377" s="145">
        <f t="shared" ref="K377:AC377" si="380">$E377*K283</f>
        <v>0</v>
      </c>
      <c r="L377" s="145">
        <f t="shared" si="380"/>
        <v>0</v>
      </c>
      <c r="M377" s="145">
        <f t="shared" si="380"/>
        <v>0</v>
      </c>
      <c r="N377" s="145">
        <f t="shared" si="380"/>
        <v>0</v>
      </c>
      <c r="O377" s="145">
        <f t="shared" si="380"/>
        <v>0</v>
      </c>
      <c r="P377" s="145">
        <f t="shared" si="380"/>
        <v>0</v>
      </c>
      <c r="Q377" s="145">
        <f t="shared" si="380"/>
        <v>0</v>
      </c>
      <c r="R377" s="145">
        <f t="shared" si="380"/>
        <v>0</v>
      </c>
      <c r="S377" s="145">
        <f t="shared" si="380"/>
        <v>0</v>
      </c>
      <c r="T377" s="145">
        <f t="shared" si="380"/>
        <v>0</v>
      </c>
      <c r="U377" s="145">
        <f t="shared" si="380"/>
        <v>0</v>
      </c>
      <c r="V377" s="145">
        <f t="shared" si="380"/>
        <v>0</v>
      </c>
      <c r="W377" s="145">
        <f t="shared" si="380"/>
        <v>0</v>
      </c>
      <c r="X377" s="145">
        <f t="shared" si="380"/>
        <v>0</v>
      </c>
      <c r="Y377" s="145">
        <f t="shared" si="380"/>
        <v>0</v>
      </c>
      <c r="Z377" s="145">
        <f t="shared" si="380"/>
        <v>0</v>
      </c>
      <c r="AA377" s="145">
        <f t="shared" si="380"/>
        <v>0</v>
      </c>
      <c r="AB377" s="145">
        <f t="shared" si="380"/>
        <v>0</v>
      </c>
      <c r="AC377" s="145">
        <f t="shared" si="380"/>
        <v>0</v>
      </c>
      <c r="AD377" s="145"/>
      <c r="AE377" s="145"/>
      <c r="AF377" s="145"/>
      <c r="AG377" s="145"/>
      <c r="AH377" s="145"/>
      <c r="AI377" s="145"/>
      <c r="AJ377" s="145"/>
      <c r="AK377" s="145"/>
      <c r="AL377" s="145"/>
      <c r="AM377" s="145"/>
      <c r="AN377" s="145"/>
      <c r="AO377" s="145"/>
      <c r="AP377" s="145"/>
      <c r="AQ377" s="145"/>
      <c r="AR377" s="179"/>
      <c r="AS377" s="179"/>
      <c r="AT377" s="179"/>
      <c r="AU377" s="179"/>
      <c r="AV377" s="179"/>
      <c r="AW377" s="179"/>
      <c r="AX377" s="179"/>
      <c r="AY377" s="179"/>
      <c r="AZ377" s="179"/>
      <c r="BA377" s="179"/>
      <c r="BB377" s="179"/>
      <c r="BC377" s="179"/>
      <c r="BD377" s="179"/>
      <c r="BE377" s="179"/>
      <c r="BF377" s="179"/>
    </row>
    <row r="378" spans="2:58">
      <c r="B378" s="168" t="str">
        <f t="shared" si="372"/>
        <v>Miscelleneous</v>
      </c>
      <c r="C378" s="165" t="str">
        <f t="shared" si="372"/>
        <v>Diesel hydraulic Shovel/ 3.4 cum</v>
      </c>
      <c r="D378" s="171" t="s">
        <v>134</v>
      </c>
      <c r="E378" s="244">
        <f>VLOOKUP(C378,Equipment!$C$5:$F$53,Equipment!$F$1,FALSE)/10^7</f>
        <v>2.25</v>
      </c>
      <c r="F378" s="221">
        <f t="shared" si="373"/>
        <v>0</v>
      </c>
      <c r="G378" s="145"/>
      <c r="H378" s="145"/>
      <c r="I378" s="145"/>
      <c r="J378" s="145"/>
      <c r="K378" s="145">
        <f t="shared" ref="K378:AC378" si="381">$E378*K284</f>
        <v>0</v>
      </c>
      <c r="L378" s="145">
        <f t="shared" si="381"/>
        <v>0</v>
      </c>
      <c r="M378" s="145">
        <f t="shared" si="381"/>
        <v>0</v>
      </c>
      <c r="N378" s="145">
        <f t="shared" si="381"/>
        <v>0</v>
      </c>
      <c r="O378" s="145">
        <f t="shared" si="381"/>
        <v>0</v>
      </c>
      <c r="P378" s="145">
        <f t="shared" si="381"/>
        <v>0</v>
      </c>
      <c r="Q378" s="145">
        <f t="shared" si="381"/>
        <v>0</v>
      </c>
      <c r="R378" s="145">
        <f t="shared" si="381"/>
        <v>0</v>
      </c>
      <c r="S378" s="145">
        <f t="shared" si="381"/>
        <v>0</v>
      </c>
      <c r="T378" s="145">
        <f t="shared" si="381"/>
        <v>0</v>
      </c>
      <c r="U378" s="145">
        <f t="shared" si="381"/>
        <v>0</v>
      </c>
      <c r="V378" s="145">
        <f t="shared" si="381"/>
        <v>0</v>
      </c>
      <c r="W378" s="145">
        <f t="shared" si="381"/>
        <v>0</v>
      </c>
      <c r="X378" s="145">
        <f t="shared" si="381"/>
        <v>0</v>
      </c>
      <c r="Y378" s="145">
        <f t="shared" si="381"/>
        <v>0</v>
      </c>
      <c r="Z378" s="145">
        <f t="shared" si="381"/>
        <v>0</v>
      </c>
      <c r="AA378" s="145">
        <f t="shared" si="381"/>
        <v>0</v>
      </c>
      <c r="AB378" s="145">
        <f t="shared" si="381"/>
        <v>0</v>
      </c>
      <c r="AC378" s="145">
        <f t="shared" si="381"/>
        <v>0</v>
      </c>
      <c r="AD378" s="145"/>
      <c r="AE378" s="145"/>
      <c r="AF378" s="145"/>
      <c r="AG378" s="145"/>
      <c r="AH378" s="145"/>
      <c r="AI378" s="145"/>
      <c r="AJ378" s="145"/>
      <c r="AK378" s="145"/>
      <c r="AL378" s="145"/>
      <c r="AM378" s="145"/>
      <c r="AN378" s="145"/>
      <c r="AO378" s="145"/>
      <c r="AP378" s="145"/>
      <c r="AQ378" s="145"/>
      <c r="AR378" s="179"/>
      <c r="AS378" s="179"/>
      <c r="AT378" s="179"/>
      <c r="AU378" s="179"/>
      <c r="AV378" s="179"/>
      <c r="AW378" s="179"/>
      <c r="AX378" s="179"/>
      <c r="AY378" s="179"/>
      <c r="AZ378" s="179"/>
      <c r="BA378" s="179"/>
      <c r="BB378" s="179"/>
      <c r="BC378" s="179"/>
      <c r="BD378" s="179"/>
      <c r="BE378" s="179"/>
      <c r="BF378" s="179"/>
    </row>
    <row r="379" spans="2:58">
      <c r="B379" s="168" t="str">
        <f t="shared" si="372"/>
        <v>Coal/Ore</v>
      </c>
      <c r="C379" s="165" t="str">
        <f t="shared" si="372"/>
        <v>Surface Miner/ 2200 SM</v>
      </c>
      <c r="D379" s="171" t="s">
        <v>134</v>
      </c>
      <c r="E379" s="244">
        <f>VLOOKUP(C379,Equipment!$C$5:$F$53,Equipment!$F$1,FALSE)/10^7</f>
        <v>7.67</v>
      </c>
      <c r="F379" s="221">
        <f t="shared" si="373"/>
        <v>69.03</v>
      </c>
      <c r="G379" s="145"/>
      <c r="H379" s="145"/>
      <c r="I379" s="145"/>
      <c r="J379" s="145"/>
      <c r="K379" s="145">
        <f t="shared" ref="K379:AC379" si="382">$E379*K285</f>
        <v>0</v>
      </c>
      <c r="L379" s="145">
        <f t="shared" si="382"/>
        <v>0</v>
      </c>
      <c r="M379" s="145">
        <f t="shared" si="382"/>
        <v>0</v>
      </c>
      <c r="N379" s="145">
        <f t="shared" si="382"/>
        <v>0</v>
      </c>
      <c r="O379" s="145">
        <f t="shared" si="382"/>
        <v>0</v>
      </c>
      <c r="P379" s="145">
        <f t="shared" si="382"/>
        <v>0</v>
      </c>
      <c r="Q379" s="145">
        <f t="shared" si="382"/>
        <v>0</v>
      </c>
      <c r="R379" s="145">
        <f t="shared" si="382"/>
        <v>15.34</v>
      </c>
      <c r="S379" s="145">
        <f t="shared" si="382"/>
        <v>7.67</v>
      </c>
      <c r="T379" s="145">
        <f t="shared" si="382"/>
        <v>0</v>
      </c>
      <c r="U379" s="145">
        <f t="shared" si="382"/>
        <v>0</v>
      </c>
      <c r="V379" s="145">
        <f t="shared" si="382"/>
        <v>0</v>
      </c>
      <c r="W379" s="145">
        <f t="shared" si="382"/>
        <v>15.34</v>
      </c>
      <c r="X379" s="145">
        <f t="shared" si="382"/>
        <v>7.67</v>
      </c>
      <c r="Y379" s="145">
        <f t="shared" si="382"/>
        <v>0</v>
      </c>
      <c r="Z379" s="145">
        <f t="shared" si="382"/>
        <v>0</v>
      </c>
      <c r="AA379" s="145">
        <f t="shared" si="382"/>
        <v>0</v>
      </c>
      <c r="AB379" s="145">
        <f t="shared" si="382"/>
        <v>15.34</v>
      </c>
      <c r="AC379" s="145">
        <f t="shared" si="382"/>
        <v>7.67</v>
      </c>
      <c r="AD379" s="145"/>
      <c r="AE379" s="145"/>
      <c r="AF379" s="145"/>
      <c r="AG379" s="145"/>
      <c r="AH379" s="145"/>
      <c r="AI379" s="145"/>
      <c r="AJ379" s="145"/>
      <c r="AK379" s="145"/>
      <c r="AL379" s="145"/>
      <c r="AM379" s="145"/>
      <c r="AN379" s="145"/>
      <c r="AO379" s="145"/>
      <c r="AP379" s="145"/>
      <c r="AQ379" s="145"/>
      <c r="AR379" s="179"/>
      <c r="AS379" s="179"/>
      <c r="AT379" s="179"/>
      <c r="AU379" s="179"/>
      <c r="AV379" s="179"/>
      <c r="AW379" s="179"/>
      <c r="AX379" s="179"/>
      <c r="AY379" s="179"/>
      <c r="AZ379" s="179"/>
      <c r="BA379" s="179"/>
      <c r="BB379" s="179"/>
      <c r="BC379" s="179"/>
      <c r="BD379" s="179"/>
      <c r="BE379" s="179"/>
      <c r="BF379" s="179"/>
    </row>
    <row r="380" spans="2:58">
      <c r="B380" s="168" t="str">
        <f t="shared" si="372"/>
        <v>With SM/Ripper</v>
      </c>
      <c r="C380" s="165" t="str">
        <f t="shared" si="372"/>
        <v>Front End Loader/ 6.4 cum</v>
      </c>
      <c r="D380" s="171" t="s">
        <v>134</v>
      </c>
      <c r="E380" s="244">
        <f>VLOOKUP(C380,Equipment!$C$5:$F$53,Equipment!$F$1,FALSE)/10^7</f>
        <v>4.5199999999999996</v>
      </c>
      <c r="F380" s="221">
        <f t="shared" si="373"/>
        <v>49.72</v>
      </c>
      <c r="G380" s="145"/>
      <c r="H380" s="145"/>
      <c r="I380" s="145"/>
      <c r="J380" s="145"/>
      <c r="K380" s="145">
        <f t="shared" ref="K380:AC380" si="383">$E380*K286</f>
        <v>0</v>
      </c>
      <c r="L380" s="145">
        <f t="shared" si="383"/>
        <v>0</v>
      </c>
      <c r="M380" s="145">
        <f t="shared" si="383"/>
        <v>0</v>
      </c>
      <c r="N380" s="145">
        <f t="shared" si="383"/>
        <v>0</v>
      </c>
      <c r="O380" s="145">
        <f t="shared" si="383"/>
        <v>0</v>
      </c>
      <c r="P380" s="145">
        <f t="shared" si="383"/>
        <v>0</v>
      </c>
      <c r="Q380" s="145">
        <f t="shared" si="383"/>
        <v>0</v>
      </c>
      <c r="R380" s="145">
        <f t="shared" si="383"/>
        <v>9.0399999999999991</v>
      </c>
      <c r="S380" s="145">
        <f t="shared" si="383"/>
        <v>4.5199999999999996</v>
      </c>
      <c r="T380" s="145">
        <f t="shared" si="383"/>
        <v>4.5199999999999996</v>
      </c>
      <c r="U380" s="145">
        <f t="shared" si="383"/>
        <v>0</v>
      </c>
      <c r="V380" s="145">
        <f t="shared" si="383"/>
        <v>0</v>
      </c>
      <c r="W380" s="145">
        <f t="shared" si="383"/>
        <v>9.0399999999999991</v>
      </c>
      <c r="X380" s="145">
        <f t="shared" si="383"/>
        <v>4.5199999999999996</v>
      </c>
      <c r="Y380" s="145">
        <f t="shared" si="383"/>
        <v>4.5199999999999996</v>
      </c>
      <c r="Z380" s="145">
        <f t="shared" si="383"/>
        <v>0</v>
      </c>
      <c r="AA380" s="145">
        <f t="shared" si="383"/>
        <v>0</v>
      </c>
      <c r="AB380" s="145">
        <f t="shared" si="383"/>
        <v>9.0399999999999991</v>
      </c>
      <c r="AC380" s="145">
        <f t="shared" si="383"/>
        <v>4.5199999999999996</v>
      </c>
      <c r="AD380" s="145"/>
      <c r="AE380" s="145"/>
      <c r="AF380" s="145"/>
      <c r="AG380" s="145"/>
      <c r="AH380" s="145"/>
      <c r="AI380" s="145"/>
      <c r="AJ380" s="145"/>
      <c r="AK380" s="145"/>
      <c r="AL380" s="145"/>
      <c r="AM380" s="145"/>
      <c r="AN380" s="145"/>
      <c r="AO380" s="145"/>
      <c r="AP380" s="145"/>
      <c r="AQ380" s="145"/>
      <c r="AR380" s="179"/>
      <c r="AS380" s="179"/>
      <c r="AT380" s="179"/>
      <c r="AU380" s="179"/>
      <c r="AV380" s="179"/>
      <c r="AW380" s="179"/>
      <c r="AX380" s="179"/>
      <c r="AY380" s="179"/>
      <c r="AZ380" s="179"/>
      <c r="BA380" s="179"/>
      <c r="BB380" s="179"/>
      <c r="BC380" s="179"/>
      <c r="BD380" s="179"/>
      <c r="BE380" s="179"/>
      <c r="BF380" s="179"/>
    </row>
    <row r="381" spans="2:58">
      <c r="B381" s="168" t="str">
        <f t="shared" si="372"/>
        <v>Miscelleneous</v>
      </c>
      <c r="C381" s="165" t="str">
        <f t="shared" si="372"/>
        <v>Front End Loader/ 1.7cum</v>
      </c>
      <c r="D381" s="171" t="s">
        <v>134</v>
      </c>
      <c r="E381" s="244">
        <f>VLOOKUP(C381,Equipment!$C$5:$F$53,Equipment!$F$1,FALSE)/10^7</f>
        <v>0.28999999999999998</v>
      </c>
      <c r="F381" s="221">
        <f t="shared" si="373"/>
        <v>0</v>
      </c>
      <c r="G381" s="145"/>
      <c r="H381" s="145"/>
      <c r="I381" s="145"/>
      <c r="J381" s="145"/>
      <c r="K381" s="145">
        <f t="shared" ref="K381:AC381" si="384">$E381*K287</f>
        <v>0</v>
      </c>
      <c r="L381" s="145">
        <f t="shared" si="384"/>
        <v>0</v>
      </c>
      <c r="M381" s="145">
        <f t="shared" si="384"/>
        <v>0</v>
      </c>
      <c r="N381" s="145">
        <f t="shared" si="384"/>
        <v>0</v>
      </c>
      <c r="O381" s="145">
        <f t="shared" si="384"/>
        <v>0</v>
      </c>
      <c r="P381" s="145">
        <f t="shared" si="384"/>
        <v>0</v>
      </c>
      <c r="Q381" s="145">
        <f t="shared" si="384"/>
        <v>0</v>
      </c>
      <c r="R381" s="145">
        <f t="shared" si="384"/>
        <v>0</v>
      </c>
      <c r="S381" s="145">
        <f t="shared" si="384"/>
        <v>0</v>
      </c>
      <c r="T381" s="145">
        <f t="shared" si="384"/>
        <v>0</v>
      </c>
      <c r="U381" s="145">
        <f t="shared" si="384"/>
        <v>0</v>
      </c>
      <c r="V381" s="145">
        <f t="shared" si="384"/>
        <v>0</v>
      </c>
      <c r="W381" s="145">
        <f t="shared" si="384"/>
        <v>0</v>
      </c>
      <c r="X381" s="145">
        <f t="shared" si="384"/>
        <v>0</v>
      </c>
      <c r="Y381" s="145">
        <f t="shared" si="384"/>
        <v>0</v>
      </c>
      <c r="Z381" s="145">
        <f t="shared" si="384"/>
        <v>0</v>
      </c>
      <c r="AA381" s="145">
        <f t="shared" si="384"/>
        <v>0</v>
      </c>
      <c r="AB381" s="145">
        <f t="shared" si="384"/>
        <v>0</v>
      </c>
      <c r="AC381" s="145">
        <f t="shared" si="384"/>
        <v>0</v>
      </c>
      <c r="AD381" s="145"/>
      <c r="AE381" s="145"/>
      <c r="AF381" s="145"/>
      <c r="AG381" s="145"/>
      <c r="AH381" s="145"/>
      <c r="AI381" s="145"/>
      <c r="AJ381" s="145"/>
      <c r="AK381" s="145"/>
      <c r="AL381" s="145"/>
      <c r="AM381" s="145"/>
      <c r="AN381" s="145"/>
      <c r="AO381" s="145"/>
      <c r="AP381" s="145"/>
      <c r="AQ381" s="145"/>
      <c r="AR381" s="179"/>
      <c r="AS381" s="179"/>
      <c r="AT381" s="179"/>
      <c r="AU381" s="179"/>
      <c r="AV381" s="179"/>
      <c r="AW381" s="179"/>
      <c r="AX381" s="179"/>
      <c r="AY381" s="179"/>
      <c r="AZ381" s="179"/>
      <c r="BA381" s="179"/>
      <c r="BB381" s="179"/>
      <c r="BC381" s="179"/>
      <c r="BD381" s="179"/>
      <c r="BE381" s="179"/>
      <c r="BF381" s="179"/>
    </row>
    <row r="382" spans="2:58">
      <c r="B382" s="168" t="str">
        <f t="shared" si="372"/>
        <v>Topsoil</v>
      </c>
      <c r="C382" s="165" t="str">
        <f t="shared" si="372"/>
        <v>Tipper/ 20t</v>
      </c>
      <c r="D382" s="171" t="s">
        <v>134</v>
      </c>
      <c r="E382" s="244">
        <f>VLOOKUP(C382,Equipment!$C$5:$F$53,Equipment!$F$1,FALSE)/10^7</f>
        <v>0.45</v>
      </c>
      <c r="F382" s="221">
        <f t="shared" si="373"/>
        <v>0</v>
      </c>
      <c r="G382" s="145"/>
      <c r="H382" s="145"/>
      <c r="I382" s="145"/>
      <c r="J382" s="145"/>
      <c r="K382" s="145">
        <f t="shared" ref="K382:AC382" si="385">$E382*K288</f>
        <v>0</v>
      </c>
      <c r="L382" s="145">
        <f t="shared" si="385"/>
        <v>0</v>
      </c>
      <c r="M382" s="145">
        <f t="shared" si="385"/>
        <v>0</v>
      </c>
      <c r="N382" s="145">
        <f t="shared" si="385"/>
        <v>0</v>
      </c>
      <c r="O382" s="145">
        <f t="shared" si="385"/>
        <v>0</v>
      </c>
      <c r="P382" s="145">
        <f t="shared" si="385"/>
        <v>0</v>
      </c>
      <c r="Q382" s="145">
        <f t="shared" si="385"/>
        <v>0</v>
      </c>
      <c r="R382" s="145">
        <f t="shared" si="385"/>
        <v>0</v>
      </c>
      <c r="S382" s="145">
        <f t="shared" si="385"/>
        <v>0</v>
      </c>
      <c r="T382" s="145">
        <f t="shared" si="385"/>
        <v>0</v>
      </c>
      <c r="U382" s="145">
        <f t="shared" si="385"/>
        <v>0</v>
      </c>
      <c r="V382" s="145">
        <f t="shared" si="385"/>
        <v>0</v>
      </c>
      <c r="W382" s="145">
        <f t="shared" si="385"/>
        <v>0</v>
      </c>
      <c r="X382" s="145">
        <f t="shared" si="385"/>
        <v>0</v>
      </c>
      <c r="Y382" s="145">
        <f t="shared" si="385"/>
        <v>0</v>
      </c>
      <c r="Z382" s="145">
        <f t="shared" si="385"/>
        <v>0</v>
      </c>
      <c r="AA382" s="145">
        <f t="shared" si="385"/>
        <v>0</v>
      </c>
      <c r="AB382" s="145">
        <f t="shared" si="385"/>
        <v>0</v>
      </c>
      <c r="AC382" s="145">
        <f t="shared" si="385"/>
        <v>0</v>
      </c>
      <c r="AD382" s="145"/>
      <c r="AE382" s="145"/>
      <c r="AF382" s="145"/>
      <c r="AG382" s="145"/>
      <c r="AH382" s="145"/>
      <c r="AI382" s="145"/>
      <c r="AJ382" s="145"/>
      <c r="AK382" s="145"/>
      <c r="AL382" s="145"/>
      <c r="AM382" s="145"/>
      <c r="AN382" s="145"/>
      <c r="AO382" s="145"/>
      <c r="AP382" s="145"/>
      <c r="AQ382" s="145"/>
      <c r="AR382" s="179"/>
      <c r="AS382" s="179"/>
      <c r="AT382" s="179"/>
      <c r="AU382" s="179"/>
      <c r="AV382" s="179"/>
      <c r="AW382" s="179"/>
      <c r="AX382" s="179"/>
      <c r="AY382" s="179"/>
      <c r="AZ382" s="179"/>
      <c r="BA382" s="179"/>
      <c r="BB382" s="179"/>
      <c r="BC382" s="179"/>
      <c r="BD382" s="179"/>
      <c r="BE382" s="179"/>
      <c r="BF382" s="179"/>
    </row>
    <row r="383" spans="2:58">
      <c r="B383" s="168" t="str">
        <f t="shared" si="372"/>
        <v>Thin  Parting + Rehandling</v>
      </c>
      <c r="C383" s="165" t="str">
        <f t="shared" si="372"/>
        <v>Tipper/ 35t</v>
      </c>
      <c r="D383" s="171" t="s">
        <v>134</v>
      </c>
      <c r="E383" s="244">
        <f>VLOOKUP(C383,Equipment!$C$5:$F$53,Equipment!$F$1,FALSE)/10^7</f>
        <v>1.35</v>
      </c>
      <c r="F383" s="221">
        <f t="shared" si="373"/>
        <v>62.100000000000009</v>
      </c>
      <c r="G383" s="145"/>
      <c r="H383" s="145"/>
      <c r="I383" s="145"/>
      <c r="J383" s="145"/>
      <c r="K383" s="145">
        <f t="shared" ref="K383:AC383" si="386">$E383*K289</f>
        <v>0</v>
      </c>
      <c r="L383" s="145">
        <f t="shared" si="386"/>
        <v>0</v>
      </c>
      <c r="M383" s="145">
        <f t="shared" si="386"/>
        <v>0</v>
      </c>
      <c r="N383" s="145">
        <f t="shared" si="386"/>
        <v>0</v>
      </c>
      <c r="O383" s="145">
        <f t="shared" si="386"/>
        <v>0</v>
      </c>
      <c r="P383" s="145">
        <f t="shared" si="386"/>
        <v>0</v>
      </c>
      <c r="Q383" s="145">
        <f t="shared" si="386"/>
        <v>0</v>
      </c>
      <c r="R383" s="145">
        <f t="shared" si="386"/>
        <v>0</v>
      </c>
      <c r="S383" s="145">
        <f t="shared" si="386"/>
        <v>0</v>
      </c>
      <c r="T383" s="145">
        <f t="shared" si="386"/>
        <v>17.55</v>
      </c>
      <c r="U383" s="145">
        <f t="shared" si="386"/>
        <v>1.35</v>
      </c>
      <c r="V383" s="145">
        <f t="shared" si="386"/>
        <v>12.15</v>
      </c>
      <c r="W383" s="145">
        <f t="shared" si="386"/>
        <v>0</v>
      </c>
      <c r="X383" s="145">
        <f t="shared" si="386"/>
        <v>0</v>
      </c>
      <c r="Y383" s="145">
        <f t="shared" si="386"/>
        <v>0</v>
      </c>
      <c r="Z383" s="145">
        <f t="shared" si="386"/>
        <v>17.55</v>
      </c>
      <c r="AA383" s="145">
        <f t="shared" si="386"/>
        <v>1.35</v>
      </c>
      <c r="AB383" s="145">
        <f t="shared" si="386"/>
        <v>12.15</v>
      </c>
      <c r="AC383" s="145">
        <f t="shared" si="386"/>
        <v>0</v>
      </c>
      <c r="AD383" s="145"/>
      <c r="AE383" s="145"/>
      <c r="AF383" s="145"/>
      <c r="AG383" s="145"/>
      <c r="AH383" s="145"/>
      <c r="AI383" s="145"/>
      <c r="AJ383" s="145"/>
      <c r="AK383" s="145"/>
      <c r="AL383" s="145"/>
      <c r="AM383" s="145"/>
      <c r="AN383" s="145"/>
      <c r="AO383" s="145"/>
      <c r="AP383" s="145"/>
      <c r="AQ383" s="145"/>
      <c r="AR383" s="179"/>
      <c r="AS383" s="179"/>
      <c r="AT383" s="179"/>
      <c r="AU383" s="179"/>
      <c r="AV383" s="179"/>
      <c r="AW383" s="179"/>
      <c r="AX383" s="179"/>
      <c r="AY383" s="179"/>
      <c r="AZ383" s="179"/>
      <c r="BA383" s="179"/>
      <c r="BB383" s="179"/>
      <c r="BC383" s="179"/>
      <c r="BD383" s="179"/>
      <c r="BE383" s="179"/>
      <c r="BF383" s="179"/>
    </row>
    <row r="384" spans="2:58">
      <c r="B384" s="168" t="str">
        <f t="shared" si="372"/>
        <v>Waste - OB &amp; Thick Parting</v>
      </c>
      <c r="C384" s="165" t="str">
        <f t="shared" si="372"/>
        <v>Dumper/ 100t</v>
      </c>
      <c r="D384" s="171" t="s">
        <v>134</v>
      </c>
      <c r="E384" s="244">
        <f>VLOOKUP(C384,Equipment!$C$5:$F$53,Equipment!$F$1,FALSE)/10^7</f>
        <v>4.0839679999999996</v>
      </c>
      <c r="F384" s="221">
        <f t="shared" si="373"/>
        <v>142.93887999999998</v>
      </c>
      <c r="G384" s="145"/>
      <c r="H384" s="145"/>
      <c r="I384" s="145"/>
      <c r="J384" s="145"/>
      <c r="K384" s="145">
        <f t="shared" ref="K384:AC384" si="387">$E384*K290</f>
        <v>0</v>
      </c>
      <c r="L384" s="145">
        <f t="shared" si="387"/>
        <v>0</v>
      </c>
      <c r="M384" s="145">
        <f t="shared" si="387"/>
        <v>0</v>
      </c>
      <c r="N384" s="145">
        <f t="shared" si="387"/>
        <v>0</v>
      </c>
      <c r="O384" s="145">
        <f t="shared" si="387"/>
        <v>0</v>
      </c>
      <c r="P384" s="145">
        <f t="shared" si="387"/>
        <v>0</v>
      </c>
      <c r="Q384" s="145">
        <f t="shared" si="387"/>
        <v>0</v>
      </c>
      <c r="R384" s="145">
        <f t="shared" si="387"/>
        <v>0</v>
      </c>
      <c r="S384" s="145">
        <f t="shared" si="387"/>
        <v>0</v>
      </c>
      <c r="T384" s="145">
        <f t="shared" si="387"/>
        <v>0</v>
      </c>
      <c r="U384" s="145">
        <f t="shared" si="387"/>
        <v>0</v>
      </c>
      <c r="V384" s="145">
        <f t="shared" si="387"/>
        <v>0</v>
      </c>
      <c r="W384" s="145">
        <f t="shared" si="387"/>
        <v>0</v>
      </c>
      <c r="X384" s="145">
        <f t="shared" si="387"/>
        <v>85.763327999999987</v>
      </c>
      <c r="Y384" s="145">
        <f t="shared" si="387"/>
        <v>4.0839679999999996</v>
      </c>
      <c r="Z384" s="145">
        <f t="shared" si="387"/>
        <v>53.091583999999997</v>
      </c>
      <c r="AA384" s="145">
        <f t="shared" si="387"/>
        <v>0</v>
      </c>
      <c r="AB384" s="145">
        <f t="shared" si="387"/>
        <v>0</v>
      </c>
      <c r="AC384" s="145">
        <f t="shared" si="387"/>
        <v>0</v>
      </c>
      <c r="AD384" s="145"/>
      <c r="AE384" s="145"/>
      <c r="AF384" s="145"/>
      <c r="AG384" s="145"/>
      <c r="AH384" s="145"/>
      <c r="AI384" s="145"/>
      <c r="AJ384" s="145"/>
      <c r="AK384" s="145"/>
      <c r="AL384" s="145"/>
      <c r="AM384" s="145"/>
      <c r="AN384" s="145"/>
      <c r="AO384" s="145"/>
      <c r="AP384" s="145"/>
      <c r="AQ384" s="145"/>
      <c r="AR384" s="179"/>
      <c r="AS384" s="179"/>
      <c r="AT384" s="179"/>
      <c r="AU384" s="179"/>
      <c r="AV384" s="179"/>
      <c r="AW384" s="179"/>
      <c r="AX384" s="179"/>
      <c r="AY384" s="179"/>
      <c r="AZ384" s="179"/>
      <c r="BA384" s="179"/>
      <c r="BB384" s="179"/>
      <c r="BC384" s="179"/>
      <c r="BD384" s="179"/>
      <c r="BE384" s="179"/>
      <c r="BF384" s="179"/>
    </row>
    <row r="385" spans="2:29">
      <c r="B385" s="168" t="str">
        <f t="shared" si="372"/>
        <v>Coal/Ore</v>
      </c>
      <c r="C385" s="165" t="str">
        <f t="shared" si="372"/>
        <v>Dumper/ 40t</v>
      </c>
      <c r="D385" s="171" t="s">
        <v>134</v>
      </c>
      <c r="E385" s="244">
        <f>VLOOKUP(C385,Equipment!$C$5:$F$53,Equipment!$F$1,FALSE)/10^7</f>
        <v>1.8422000000000001</v>
      </c>
      <c r="F385" s="221">
        <f t="shared" si="373"/>
        <v>108.68980000000001</v>
      </c>
      <c r="G385" s="145"/>
      <c r="H385" s="145"/>
      <c r="I385" s="145"/>
      <c r="J385" s="145"/>
      <c r="K385" s="145">
        <f t="shared" ref="K385:AC385" si="388">$E385*K291</f>
        <v>0</v>
      </c>
      <c r="L385" s="145">
        <f t="shared" si="388"/>
        <v>0</v>
      </c>
      <c r="M385" s="145">
        <f t="shared" si="388"/>
        <v>0</v>
      </c>
      <c r="N385" s="145">
        <f t="shared" si="388"/>
        <v>0</v>
      </c>
      <c r="O385" s="145">
        <f t="shared" si="388"/>
        <v>0</v>
      </c>
      <c r="P385" s="145">
        <f t="shared" si="388"/>
        <v>0</v>
      </c>
      <c r="Q385" s="145">
        <f t="shared" si="388"/>
        <v>5.5266000000000002</v>
      </c>
      <c r="R385" s="145">
        <f t="shared" si="388"/>
        <v>5.5266000000000002</v>
      </c>
      <c r="S385" s="145">
        <f t="shared" si="388"/>
        <v>11.0532</v>
      </c>
      <c r="T385" s="145">
        <f t="shared" si="388"/>
        <v>16.579799999999999</v>
      </c>
      <c r="U385" s="145">
        <f t="shared" si="388"/>
        <v>11.0532</v>
      </c>
      <c r="V385" s="145">
        <f t="shared" si="388"/>
        <v>1.8422000000000001</v>
      </c>
      <c r="W385" s="145">
        <f t="shared" si="388"/>
        <v>5.5266000000000002</v>
      </c>
      <c r="X385" s="145">
        <f t="shared" si="388"/>
        <v>5.5266000000000002</v>
      </c>
      <c r="Y385" s="145">
        <f t="shared" si="388"/>
        <v>11.0532</v>
      </c>
      <c r="Z385" s="145">
        <f t="shared" si="388"/>
        <v>16.579799999999999</v>
      </c>
      <c r="AA385" s="145">
        <f t="shared" si="388"/>
        <v>11.0532</v>
      </c>
      <c r="AB385" s="145">
        <f t="shared" si="388"/>
        <v>1.8422000000000001</v>
      </c>
      <c r="AC385" s="145">
        <f t="shared" si="388"/>
        <v>5.5266000000000002</v>
      </c>
    </row>
    <row r="386" spans="2:29">
      <c r="B386" s="168" t="str">
        <f t="shared" si="372"/>
        <v/>
      </c>
      <c r="C386" s="165" t="str">
        <f t="shared" si="372"/>
        <v>Track Dozer/ 405 HP</v>
      </c>
      <c r="D386" s="171" t="s">
        <v>134</v>
      </c>
      <c r="E386" s="244">
        <f>VLOOKUP(C386,Equipment!$C$5:$F$53,Equipment!$F$1,FALSE)/10^7</f>
        <v>5</v>
      </c>
      <c r="F386" s="221">
        <f t="shared" si="373"/>
        <v>65</v>
      </c>
      <c r="G386" s="145"/>
      <c r="H386" s="145"/>
      <c r="I386" s="145"/>
      <c r="J386" s="145"/>
      <c r="K386" s="145">
        <f t="shared" ref="K386:AC386" si="389">$E386*K292</f>
        <v>0</v>
      </c>
      <c r="L386" s="145">
        <f t="shared" si="389"/>
        <v>0</v>
      </c>
      <c r="M386" s="145">
        <f t="shared" si="389"/>
        <v>0</v>
      </c>
      <c r="N386" s="145">
        <f t="shared" si="389"/>
        <v>0</v>
      </c>
      <c r="O386" s="145">
        <f t="shared" si="389"/>
        <v>0</v>
      </c>
      <c r="P386" s="145">
        <f t="shared" si="389"/>
        <v>0</v>
      </c>
      <c r="Q386" s="145">
        <f t="shared" si="389"/>
        <v>5</v>
      </c>
      <c r="R386" s="145">
        <f t="shared" si="389"/>
        <v>5</v>
      </c>
      <c r="S386" s="145">
        <f t="shared" si="389"/>
        <v>10</v>
      </c>
      <c r="T386" s="145">
        <f t="shared" si="389"/>
        <v>5</v>
      </c>
      <c r="U386" s="145">
        <f t="shared" si="389"/>
        <v>5</v>
      </c>
      <c r="V386" s="145">
        <f t="shared" si="389"/>
        <v>0</v>
      </c>
      <c r="W386" s="145">
        <f t="shared" si="389"/>
        <v>5</v>
      </c>
      <c r="X386" s="145">
        <f t="shared" si="389"/>
        <v>5</v>
      </c>
      <c r="Y386" s="145">
        <f t="shared" si="389"/>
        <v>10</v>
      </c>
      <c r="Z386" s="145">
        <f t="shared" si="389"/>
        <v>5</v>
      </c>
      <c r="AA386" s="145">
        <f t="shared" si="389"/>
        <v>5</v>
      </c>
      <c r="AB386" s="145">
        <f t="shared" si="389"/>
        <v>0</v>
      </c>
      <c r="AC386" s="145">
        <f t="shared" si="389"/>
        <v>5</v>
      </c>
    </row>
    <row r="387" spans="2:29">
      <c r="B387" s="168" t="str">
        <f t="shared" si="372"/>
        <v/>
      </c>
      <c r="C387" s="165" t="str">
        <f t="shared" si="372"/>
        <v>Wheel Dozer</v>
      </c>
      <c r="D387" s="171" t="s">
        <v>134</v>
      </c>
      <c r="E387" s="244">
        <f>VLOOKUP(C387,Equipment!$C$5:$F$53,Equipment!$F$1,FALSE)/10^7</f>
        <v>5.4125954686976003</v>
      </c>
      <c r="F387" s="221">
        <f t="shared" si="373"/>
        <v>21.650381874790401</v>
      </c>
      <c r="G387" s="145"/>
      <c r="H387" s="145"/>
      <c r="I387" s="145"/>
      <c r="J387" s="145"/>
      <c r="K387" s="145">
        <f t="shared" ref="K387:AC387" si="390">$E387*K293</f>
        <v>0</v>
      </c>
      <c r="L387" s="145">
        <f t="shared" si="390"/>
        <v>0</v>
      </c>
      <c r="M387" s="145">
        <f t="shared" si="390"/>
        <v>0</v>
      </c>
      <c r="N387" s="145">
        <f t="shared" si="390"/>
        <v>0</v>
      </c>
      <c r="O387" s="145">
        <f t="shared" si="390"/>
        <v>0</v>
      </c>
      <c r="P387" s="145">
        <f t="shared" si="390"/>
        <v>0</v>
      </c>
      <c r="Q387" s="145">
        <f t="shared" si="390"/>
        <v>0</v>
      </c>
      <c r="R387" s="145">
        <f t="shared" si="390"/>
        <v>5.4125954686976003</v>
      </c>
      <c r="S387" s="145">
        <f t="shared" si="390"/>
        <v>0</v>
      </c>
      <c r="T387" s="145">
        <f t="shared" si="390"/>
        <v>5.4125954686976003</v>
      </c>
      <c r="U387" s="145">
        <f t="shared" si="390"/>
        <v>0</v>
      </c>
      <c r="V387" s="145">
        <f t="shared" si="390"/>
        <v>0</v>
      </c>
      <c r="W387" s="145">
        <f t="shared" si="390"/>
        <v>0</v>
      </c>
      <c r="X387" s="145">
        <f t="shared" si="390"/>
        <v>0</v>
      </c>
      <c r="Y387" s="145">
        <f t="shared" si="390"/>
        <v>5.4125954686976003</v>
      </c>
      <c r="Z387" s="145">
        <f t="shared" si="390"/>
        <v>0</v>
      </c>
      <c r="AA387" s="145">
        <f t="shared" si="390"/>
        <v>5.4125954686976003</v>
      </c>
      <c r="AB387" s="145">
        <f t="shared" si="390"/>
        <v>0</v>
      </c>
      <c r="AC387" s="145">
        <f t="shared" si="390"/>
        <v>0</v>
      </c>
    </row>
    <row r="388" spans="2:29">
      <c r="B388" s="168" t="str">
        <f t="shared" si="372"/>
        <v/>
      </c>
      <c r="C388" s="165" t="str">
        <f t="shared" si="372"/>
        <v>Ripper Dozer/ 450TPH</v>
      </c>
      <c r="D388" s="171" t="s">
        <v>134</v>
      </c>
      <c r="E388" s="244">
        <f>VLOOKUP(C388,Equipment!$C$5:$F$53,Equipment!$F$1,FALSE)/10^7</f>
        <v>4.5</v>
      </c>
      <c r="F388" s="221">
        <f t="shared" si="373"/>
        <v>27</v>
      </c>
      <c r="G388" s="145"/>
      <c r="H388" s="145"/>
      <c r="I388" s="145"/>
      <c r="J388" s="145"/>
      <c r="K388" s="145">
        <f t="shared" ref="K388:AC388" si="391">$E388*K294</f>
        <v>0</v>
      </c>
      <c r="L388" s="145">
        <f t="shared" si="391"/>
        <v>0</v>
      </c>
      <c r="M388" s="145">
        <f t="shared" si="391"/>
        <v>0</v>
      </c>
      <c r="N388" s="145">
        <f t="shared" si="391"/>
        <v>0</v>
      </c>
      <c r="O388" s="145">
        <f t="shared" si="391"/>
        <v>0</v>
      </c>
      <c r="P388" s="145">
        <f t="shared" si="391"/>
        <v>4.5</v>
      </c>
      <c r="Q388" s="145">
        <f t="shared" si="391"/>
        <v>0</v>
      </c>
      <c r="R388" s="145">
        <f t="shared" si="391"/>
        <v>4.5</v>
      </c>
      <c r="S388" s="145">
        <f t="shared" si="391"/>
        <v>0</v>
      </c>
      <c r="T388" s="145">
        <f t="shared" si="391"/>
        <v>0</v>
      </c>
      <c r="U388" s="145">
        <f t="shared" si="391"/>
        <v>4.5</v>
      </c>
      <c r="V388" s="145">
        <f t="shared" si="391"/>
        <v>0</v>
      </c>
      <c r="W388" s="145">
        <f t="shared" si="391"/>
        <v>4.5</v>
      </c>
      <c r="X388" s="145">
        <f t="shared" si="391"/>
        <v>0</v>
      </c>
      <c r="Y388" s="145">
        <f t="shared" si="391"/>
        <v>0</v>
      </c>
      <c r="Z388" s="145">
        <f t="shared" si="391"/>
        <v>4.5</v>
      </c>
      <c r="AA388" s="145">
        <f t="shared" si="391"/>
        <v>0</v>
      </c>
      <c r="AB388" s="145">
        <f t="shared" si="391"/>
        <v>4.5</v>
      </c>
      <c r="AC388" s="145">
        <f t="shared" si="391"/>
        <v>0</v>
      </c>
    </row>
    <row r="389" spans="2:29">
      <c r="B389" s="168" t="str">
        <f t="shared" si="372"/>
        <v/>
      </c>
      <c r="C389" s="165" t="str">
        <f t="shared" si="372"/>
        <v>Track Dozer/ 192 HP</v>
      </c>
      <c r="D389" s="171" t="s">
        <v>134</v>
      </c>
      <c r="E389" s="244">
        <f>VLOOKUP(C389,Equipment!$C$5:$F$53,Equipment!$F$1,FALSE)/10^7</f>
        <v>1.7390000000000001</v>
      </c>
      <c r="F389" s="221">
        <f t="shared" si="373"/>
        <v>8.6950000000000003</v>
      </c>
      <c r="G389" s="145"/>
      <c r="H389" s="145"/>
      <c r="I389" s="145"/>
      <c r="J389" s="145"/>
      <c r="K389" s="145">
        <f t="shared" ref="K389:AC389" si="392">$E389*K295</f>
        <v>0</v>
      </c>
      <c r="L389" s="145">
        <f t="shared" si="392"/>
        <v>0</v>
      </c>
      <c r="M389" s="145">
        <f t="shared" si="392"/>
        <v>0</v>
      </c>
      <c r="N389" s="145">
        <f t="shared" si="392"/>
        <v>0</v>
      </c>
      <c r="O389" s="145">
        <f t="shared" si="392"/>
        <v>0</v>
      </c>
      <c r="P389" s="145">
        <f t="shared" si="392"/>
        <v>0</v>
      </c>
      <c r="Q389" s="145">
        <f t="shared" si="392"/>
        <v>1.7390000000000001</v>
      </c>
      <c r="R389" s="145">
        <f t="shared" si="392"/>
        <v>0</v>
      </c>
      <c r="S389" s="145">
        <f t="shared" si="392"/>
        <v>1.7390000000000001</v>
      </c>
      <c r="T389" s="145">
        <f t="shared" si="392"/>
        <v>0</v>
      </c>
      <c r="U389" s="145">
        <f t="shared" si="392"/>
        <v>0</v>
      </c>
      <c r="V389" s="145">
        <f t="shared" si="392"/>
        <v>0</v>
      </c>
      <c r="W389" s="145">
        <f t="shared" si="392"/>
        <v>1.7390000000000001</v>
      </c>
      <c r="X389" s="145">
        <f t="shared" si="392"/>
        <v>0</v>
      </c>
      <c r="Y389" s="145">
        <f t="shared" si="392"/>
        <v>1.7390000000000001</v>
      </c>
      <c r="Z389" s="145">
        <f t="shared" si="392"/>
        <v>0</v>
      </c>
      <c r="AA389" s="145">
        <f t="shared" si="392"/>
        <v>0</v>
      </c>
      <c r="AB389" s="145">
        <f t="shared" si="392"/>
        <v>0</v>
      </c>
      <c r="AC389" s="145">
        <f t="shared" si="392"/>
        <v>1.7390000000000001</v>
      </c>
    </row>
    <row r="390" spans="2:29">
      <c r="B390" s="168" t="str">
        <f t="shared" si="372"/>
        <v/>
      </c>
      <c r="C390" s="165" t="str">
        <f t="shared" si="372"/>
        <v>Motor Grader/ 290 - 348 HP</v>
      </c>
      <c r="D390" s="171" t="s">
        <v>134</v>
      </c>
      <c r="E390" s="244">
        <f>VLOOKUP(C390,Equipment!$C$5:$F$53,Equipment!$F$1,FALSE)/10^7</f>
        <v>5.1444656952627197</v>
      </c>
      <c r="F390" s="221">
        <f t="shared" si="373"/>
        <v>20.577862781050879</v>
      </c>
      <c r="G390" s="145"/>
      <c r="H390" s="145"/>
      <c r="I390" s="145"/>
      <c r="J390" s="145"/>
      <c r="K390" s="145">
        <f t="shared" ref="K390:AC390" si="393">$E390*K296</f>
        <v>0</v>
      </c>
      <c r="L390" s="145">
        <f t="shared" si="393"/>
        <v>0</v>
      </c>
      <c r="M390" s="145">
        <f t="shared" si="393"/>
        <v>0</v>
      </c>
      <c r="N390" s="145">
        <f t="shared" si="393"/>
        <v>0</v>
      </c>
      <c r="O390" s="145">
        <f t="shared" si="393"/>
        <v>0</v>
      </c>
      <c r="P390" s="145">
        <f t="shared" si="393"/>
        <v>0</v>
      </c>
      <c r="Q390" s="145">
        <f t="shared" si="393"/>
        <v>0</v>
      </c>
      <c r="R390" s="145">
        <f t="shared" si="393"/>
        <v>5.1444656952627197</v>
      </c>
      <c r="S390" s="145">
        <f t="shared" si="393"/>
        <v>0</v>
      </c>
      <c r="T390" s="145">
        <f t="shared" si="393"/>
        <v>5.1444656952627197</v>
      </c>
      <c r="U390" s="145">
        <f t="shared" si="393"/>
        <v>0</v>
      </c>
      <c r="V390" s="145">
        <f t="shared" si="393"/>
        <v>0</v>
      </c>
      <c r="W390" s="145">
        <f t="shared" si="393"/>
        <v>0</v>
      </c>
      <c r="X390" s="145">
        <f t="shared" si="393"/>
        <v>0</v>
      </c>
      <c r="Y390" s="145">
        <f t="shared" si="393"/>
        <v>5.1444656952627197</v>
      </c>
      <c r="Z390" s="145">
        <f t="shared" si="393"/>
        <v>0</v>
      </c>
      <c r="AA390" s="145">
        <f t="shared" si="393"/>
        <v>5.1444656952627197</v>
      </c>
      <c r="AB390" s="145">
        <f t="shared" si="393"/>
        <v>0</v>
      </c>
      <c r="AC390" s="145">
        <f t="shared" si="393"/>
        <v>0</v>
      </c>
    </row>
    <row r="391" spans="2:29">
      <c r="B391" s="168" t="str">
        <f t="shared" ref="B391:C410" si="394">B344</f>
        <v/>
      </c>
      <c r="C391" s="165" t="str">
        <f t="shared" si="394"/>
        <v>Motor Grader/ 145 HP</v>
      </c>
      <c r="D391" s="171" t="s">
        <v>134</v>
      </c>
      <c r="E391" s="244">
        <f>VLOOKUP(C391,Equipment!$C$5:$F$53,Equipment!$F$1,FALSE)/10^7</f>
        <v>1.506626</v>
      </c>
      <c r="F391" s="221">
        <f t="shared" si="373"/>
        <v>3.013252</v>
      </c>
      <c r="G391" s="145"/>
      <c r="H391" s="145"/>
      <c r="I391" s="145"/>
      <c r="J391" s="145"/>
      <c r="K391" s="145">
        <f t="shared" ref="K391:AC391" si="395">$E391*K297</f>
        <v>0</v>
      </c>
      <c r="L391" s="145">
        <f t="shared" si="395"/>
        <v>0</v>
      </c>
      <c r="M391" s="145">
        <f t="shared" si="395"/>
        <v>0</v>
      </c>
      <c r="N391" s="145">
        <f t="shared" si="395"/>
        <v>0</v>
      </c>
      <c r="O391" s="145">
        <f t="shared" si="395"/>
        <v>0</v>
      </c>
      <c r="P391" s="145">
        <f t="shared" si="395"/>
        <v>0</v>
      </c>
      <c r="Q391" s="145">
        <f t="shared" si="395"/>
        <v>0</v>
      </c>
      <c r="R391" s="145">
        <f t="shared" si="395"/>
        <v>0</v>
      </c>
      <c r="S391" s="145">
        <f t="shared" si="395"/>
        <v>0</v>
      </c>
      <c r="T391" s="145">
        <f t="shared" si="395"/>
        <v>0</v>
      </c>
      <c r="U391" s="145">
        <f t="shared" si="395"/>
        <v>0</v>
      </c>
      <c r="V391" s="145">
        <f t="shared" si="395"/>
        <v>1.506626</v>
      </c>
      <c r="W391" s="145">
        <f t="shared" si="395"/>
        <v>0</v>
      </c>
      <c r="X391" s="145">
        <f t="shared" si="395"/>
        <v>1.506626</v>
      </c>
      <c r="Y391" s="145">
        <f t="shared" si="395"/>
        <v>0</v>
      </c>
      <c r="Z391" s="145">
        <f t="shared" si="395"/>
        <v>0</v>
      </c>
      <c r="AA391" s="145">
        <f t="shared" si="395"/>
        <v>0</v>
      </c>
      <c r="AB391" s="145">
        <f t="shared" si="395"/>
        <v>0</v>
      </c>
      <c r="AC391" s="145">
        <f t="shared" si="395"/>
        <v>0</v>
      </c>
    </row>
    <row r="392" spans="2:29">
      <c r="B392" s="168" t="str">
        <f t="shared" si="394"/>
        <v/>
      </c>
      <c r="C392" s="165" t="str">
        <f t="shared" si="394"/>
        <v>Crane/ 120t</v>
      </c>
      <c r="D392" s="171" t="s">
        <v>134</v>
      </c>
      <c r="E392" s="244">
        <f>VLOOKUP(C392,Equipment!$C$5:$F$53,Equipment!$F$1,FALSE)/10^7</f>
        <v>6.8639626135164011</v>
      </c>
      <c r="F392" s="221">
        <f t="shared" si="373"/>
        <v>13.727925227032802</v>
      </c>
      <c r="G392" s="145"/>
      <c r="H392" s="145"/>
      <c r="I392" s="145"/>
      <c r="J392" s="145"/>
      <c r="K392" s="145">
        <f t="shared" ref="K392:AC392" si="396">$E392*K298</f>
        <v>0</v>
      </c>
      <c r="L392" s="145">
        <f t="shared" si="396"/>
        <v>0</v>
      </c>
      <c r="M392" s="145">
        <f t="shared" si="396"/>
        <v>0</v>
      </c>
      <c r="N392" s="145">
        <f t="shared" si="396"/>
        <v>0</v>
      </c>
      <c r="O392" s="145">
        <f t="shared" si="396"/>
        <v>0</v>
      </c>
      <c r="P392" s="145">
        <f t="shared" si="396"/>
        <v>0</v>
      </c>
      <c r="Q392" s="145">
        <f t="shared" si="396"/>
        <v>0</v>
      </c>
      <c r="R392" s="145">
        <f t="shared" si="396"/>
        <v>0</v>
      </c>
      <c r="S392" s="145">
        <f t="shared" si="396"/>
        <v>0</v>
      </c>
      <c r="T392" s="145">
        <f t="shared" si="396"/>
        <v>0</v>
      </c>
      <c r="U392" s="145">
        <f t="shared" si="396"/>
        <v>0</v>
      </c>
      <c r="V392" s="145">
        <f t="shared" si="396"/>
        <v>0</v>
      </c>
      <c r="W392" s="145">
        <f t="shared" si="396"/>
        <v>0</v>
      </c>
      <c r="X392" s="145">
        <f t="shared" si="396"/>
        <v>0</v>
      </c>
      <c r="Y392" s="145">
        <f t="shared" si="396"/>
        <v>0</v>
      </c>
      <c r="Z392" s="145">
        <f t="shared" si="396"/>
        <v>6.8639626135164011</v>
      </c>
      <c r="AA392" s="145">
        <f t="shared" si="396"/>
        <v>0</v>
      </c>
      <c r="AB392" s="145">
        <f t="shared" si="396"/>
        <v>6.8639626135164011</v>
      </c>
      <c r="AC392" s="145">
        <f t="shared" si="396"/>
        <v>0</v>
      </c>
    </row>
    <row r="393" spans="2:29">
      <c r="B393" s="168" t="str">
        <f t="shared" si="394"/>
        <v/>
      </c>
      <c r="C393" s="165" t="str">
        <f t="shared" si="394"/>
        <v>Crane/ 60t</v>
      </c>
      <c r="D393" s="171" t="s">
        <v>134</v>
      </c>
      <c r="E393" s="244">
        <f>VLOOKUP(C393,Equipment!$C$5:$F$53,Equipment!$F$1,FALSE)/10^7</f>
        <v>1.6519999999999999</v>
      </c>
      <c r="F393" s="221">
        <f t="shared" si="373"/>
        <v>3.3039999999999998</v>
      </c>
      <c r="G393" s="145"/>
      <c r="H393" s="145"/>
      <c r="I393" s="145"/>
      <c r="J393" s="145"/>
      <c r="K393" s="145">
        <f t="shared" ref="K393:AC393" si="397">$E393*K299</f>
        <v>0</v>
      </c>
      <c r="L393" s="145">
        <f t="shared" si="397"/>
        <v>0</v>
      </c>
      <c r="M393" s="145">
        <f t="shared" si="397"/>
        <v>0</v>
      </c>
      <c r="N393" s="145">
        <f t="shared" si="397"/>
        <v>0</v>
      </c>
      <c r="O393" s="145">
        <f t="shared" si="397"/>
        <v>0</v>
      </c>
      <c r="P393" s="145">
        <f t="shared" si="397"/>
        <v>0</v>
      </c>
      <c r="Q393" s="145">
        <f t="shared" si="397"/>
        <v>0</v>
      </c>
      <c r="R393" s="145">
        <f t="shared" si="397"/>
        <v>0</v>
      </c>
      <c r="S393" s="145">
        <f t="shared" si="397"/>
        <v>0</v>
      </c>
      <c r="T393" s="145">
        <f t="shared" si="397"/>
        <v>0</v>
      </c>
      <c r="U393" s="145">
        <f t="shared" si="397"/>
        <v>0</v>
      </c>
      <c r="V393" s="145">
        <f t="shared" si="397"/>
        <v>0</v>
      </c>
      <c r="W393" s="145">
        <f t="shared" si="397"/>
        <v>0</v>
      </c>
      <c r="X393" s="145">
        <f t="shared" si="397"/>
        <v>0</v>
      </c>
      <c r="Y393" s="145">
        <f t="shared" si="397"/>
        <v>0</v>
      </c>
      <c r="Z393" s="145">
        <f t="shared" si="397"/>
        <v>1.6519999999999999</v>
      </c>
      <c r="AA393" s="145">
        <f t="shared" si="397"/>
        <v>0</v>
      </c>
      <c r="AB393" s="145">
        <f t="shared" si="397"/>
        <v>1.6519999999999999</v>
      </c>
      <c r="AC393" s="145">
        <f t="shared" si="397"/>
        <v>0</v>
      </c>
    </row>
    <row r="394" spans="2:29">
      <c r="B394" s="168" t="str">
        <f t="shared" si="394"/>
        <v/>
      </c>
      <c r="C394" s="165" t="str">
        <f t="shared" si="394"/>
        <v>Crane/ 12t</v>
      </c>
      <c r="D394" s="171" t="s">
        <v>134</v>
      </c>
      <c r="E394" s="244">
        <f>VLOOKUP(C394,Equipment!$C$5:$F$53,Equipment!$F$1,FALSE)/10^7</f>
        <v>0.18629999999999999</v>
      </c>
      <c r="F394" s="221">
        <f t="shared" si="373"/>
        <v>0.37259999999999999</v>
      </c>
      <c r="G394" s="145"/>
      <c r="H394" s="145"/>
      <c r="I394" s="145"/>
      <c r="J394" s="145"/>
      <c r="K394" s="145">
        <f t="shared" ref="K394:AC394" si="398">$E394*K300</f>
        <v>0</v>
      </c>
      <c r="L394" s="145">
        <f t="shared" si="398"/>
        <v>0</v>
      </c>
      <c r="M394" s="145">
        <f t="shared" si="398"/>
        <v>0</v>
      </c>
      <c r="N394" s="145">
        <f t="shared" si="398"/>
        <v>0</v>
      </c>
      <c r="O394" s="145">
        <f t="shared" si="398"/>
        <v>0</v>
      </c>
      <c r="P394" s="145">
        <f t="shared" si="398"/>
        <v>0</v>
      </c>
      <c r="Q394" s="145">
        <f t="shared" si="398"/>
        <v>0</v>
      </c>
      <c r="R394" s="145">
        <f t="shared" si="398"/>
        <v>0</v>
      </c>
      <c r="S394" s="145">
        <f t="shared" si="398"/>
        <v>0</v>
      </c>
      <c r="T394" s="145">
        <f t="shared" si="398"/>
        <v>0</v>
      </c>
      <c r="U394" s="145">
        <f t="shared" si="398"/>
        <v>0</v>
      </c>
      <c r="V394" s="145">
        <f t="shared" si="398"/>
        <v>0</v>
      </c>
      <c r="W394" s="145">
        <f t="shared" si="398"/>
        <v>0</v>
      </c>
      <c r="X394" s="145">
        <f t="shared" si="398"/>
        <v>0</v>
      </c>
      <c r="Y394" s="145">
        <f t="shared" si="398"/>
        <v>0</v>
      </c>
      <c r="Z394" s="145">
        <f t="shared" si="398"/>
        <v>0.18629999999999999</v>
      </c>
      <c r="AA394" s="145">
        <f t="shared" si="398"/>
        <v>0</v>
      </c>
      <c r="AB394" s="145">
        <f t="shared" si="398"/>
        <v>0.18629999999999999</v>
      </c>
      <c r="AC394" s="145">
        <f t="shared" si="398"/>
        <v>0</v>
      </c>
    </row>
    <row r="395" spans="2:29">
      <c r="B395" s="168" t="str">
        <f t="shared" si="394"/>
        <v/>
      </c>
      <c r="C395" s="165" t="str">
        <f t="shared" si="394"/>
        <v>Crane/ 8t</v>
      </c>
      <c r="D395" s="171" t="s">
        <v>134</v>
      </c>
      <c r="E395" s="244">
        <f>VLOOKUP(C395,Equipment!$C$5:$F$53,Equipment!$F$1,FALSE)/10^7</f>
        <v>0.11799999999999999</v>
      </c>
      <c r="F395" s="221">
        <f t="shared" si="373"/>
        <v>0.23599999999999999</v>
      </c>
      <c r="G395" s="145"/>
      <c r="H395" s="145"/>
      <c r="I395" s="145"/>
      <c r="J395" s="145"/>
      <c r="K395" s="145">
        <f t="shared" ref="K395:AC395" si="399">$E395*K301</f>
        <v>0</v>
      </c>
      <c r="L395" s="145">
        <f t="shared" si="399"/>
        <v>0</v>
      </c>
      <c r="M395" s="145">
        <f t="shared" si="399"/>
        <v>0</v>
      </c>
      <c r="N395" s="145">
        <f t="shared" si="399"/>
        <v>0</v>
      </c>
      <c r="O395" s="145">
        <f t="shared" si="399"/>
        <v>0</v>
      </c>
      <c r="P395" s="145">
        <f t="shared" si="399"/>
        <v>0</v>
      </c>
      <c r="Q395" s="145">
        <f t="shared" si="399"/>
        <v>0</v>
      </c>
      <c r="R395" s="145">
        <f t="shared" si="399"/>
        <v>0</v>
      </c>
      <c r="S395" s="145">
        <f t="shared" si="399"/>
        <v>0</v>
      </c>
      <c r="T395" s="145">
        <f t="shared" si="399"/>
        <v>0</v>
      </c>
      <c r="U395" s="145">
        <f t="shared" si="399"/>
        <v>0</v>
      </c>
      <c r="V395" s="145">
        <f t="shared" si="399"/>
        <v>0</v>
      </c>
      <c r="W395" s="145">
        <f t="shared" si="399"/>
        <v>0</v>
      </c>
      <c r="X395" s="145">
        <f t="shared" si="399"/>
        <v>0</v>
      </c>
      <c r="Y395" s="145">
        <f t="shared" si="399"/>
        <v>0</v>
      </c>
      <c r="Z395" s="145">
        <f t="shared" si="399"/>
        <v>0.11799999999999999</v>
      </c>
      <c r="AA395" s="145">
        <f t="shared" si="399"/>
        <v>0</v>
      </c>
      <c r="AB395" s="145">
        <f t="shared" si="399"/>
        <v>0.11799999999999999</v>
      </c>
      <c r="AC395" s="145">
        <f t="shared" si="399"/>
        <v>0</v>
      </c>
    </row>
    <row r="396" spans="2:29">
      <c r="B396" s="168" t="str">
        <f t="shared" si="394"/>
        <v/>
      </c>
      <c r="C396" s="165" t="str">
        <f t="shared" si="394"/>
        <v>Water Sprinkler/ 28KL</v>
      </c>
      <c r="D396" s="171" t="s">
        <v>134</v>
      </c>
      <c r="E396" s="244">
        <f>VLOOKUP(C396,Equipment!$C$5:$F$53,Equipment!$F$1,FALSE)/10^7</f>
        <v>1.85</v>
      </c>
      <c r="F396" s="221">
        <f t="shared" si="373"/>
        <v>5.5500000000000007</v>
      </c>
      <c r="G396" s="145"/>
      <c r="H396" s="145"/>
      <c r="I396" s="145"/>
      <c r="J396" s="145"/>
      <c r="K396" s="145">
        <f t="shared" ref="K396:AC396" si="400">$E396*K302</f>
        <v>0</v>
      </c>
      <c r="L396" s="145">
        <f t="shared" si="400"/>
        <v>0</v>
      </c>
      <c r="M396" s="145">
        <f t="shared" si="400"/>
        <v>0</v>
      </c>
      <c r="N396" s="145">
        <f t="shared" si="400"/>
        <v>0</v>
      </c>
      <c r="O396" s="145">
        <f t="shared" si="400"/>
        <v>0</v>
      </c>
      <c r="P396" s="145">
        <f t="shared" si="400"/>
        <v>0</v>
      </c>
      <c r="Q396" s="145">
        <f t="shared" si="400"/>
        <v>0</v>
      </c>
      <c r="R396" s="145">
        <f t="shared" si="400"/>
        <v>0</v>
      </c>
      <c r="S396" s="145">
        <f t="shared" si="400"/>
        <v>0</v>
      </c>
      <c r="T396" s="145">
        <f t="shared" si="400"/>
        <v>1.85</v>
      </c>
      <c r="U396" s="145">
        <f t="shared" si="400"/>
        <v>0</v>
      </c>
      <c r="V396" s="145">
        <f t="shared" si="400"/>
        <v>1.85</v>
      </c>
      <c r="W396" s="145">
        <f t="shared" si="400"/>
        <v>0</v>
      </c>
      <c r="X396" s="145">
        <f t="shared" si="400"/>
        <v>0</v>
      </c>
      <c r="Y396" s="145">
        <f t="shared" si="400"/>
        <v>0</v>
      </c>
      <c r="Z396" s="145">
        <f t="shared" si="400"/>
        <v>0</v>
      </c>
      <c r="AA396" s="145">
        <f t="shared" si="400"/>
        <v>0</v>
      </c>
      <c r="AB396" s="145">
        <f t="shared" si="400"/>
        <v>0</v>
      </c>
      <c r="AC396" s="145">
        <f t="shared" si="400"/>
        <v>1.85</v>
      </c>
    </row>
    <row r="397" spans="2:29">
      <c r="B397" s="168" t="str">
        <f t="shared" si="394"/>
        <v/>
      </c>
      <c r="C397" s="165" t="str">
        <f t="shared" si="394"/>
        <v>Diesel Bowser/ 9KL</v>
      </c>
      <c r="D397" s="171" t="s">
        <v>134</v>
      </c>
      <c r="E397" s="244">
        <f>VLOOKUP(C397,Equipment!$C$5:$F$53,Equipment!$F$1,FALSE)/10^7</f>
        <v>0.30680000000000002</v>
      </c>
      <c r="F397" s="221">
        <f t="shared" si="373"/>
        <v>0.61360000000000003</v>
      </c>
      <c r="G397" s="145"/>
      <c r="H397" s="145"/>
      <c r="I397" s="145"/>
      <c r="J397" s="145"/>
      <c r="K397" s="145">
        <f t="shared" ref="K397:AC397" si="401">$E397*K303</f>
        <v>0</v>
      </c>
      <c r="L397" s="145">
        <f t="shared" si="401"/>
        <v>0</v>
      </c>
      <c r="M397" s="145">
        <f t="shared" si="401"/>
        <v>0</v>
      </c>
      <c r="N397" s="145">
        <f t="shared" si="401"/>
        <v>0</v>
      </c>
      <c r="O397" s="145">
        <f t="shared" si="401"/>
        <v>0</v>
      </c>
      <c r="P397" s="145">
        <f t="shared" si="401"/>
        <v>0</v>
      </c>
      <c r="Q397" s="145">
        <f t="shared" si="401"/>
        <v>0</v>
      </c>
      <c r="R397" s="145">
        <f t="shared" si="401"/>
        <v>0</v>
      </c>
      <c r="S397" s="145">
        <f t="shared" si="401"/>
        <v>0</v>
      </c>
      <c r="T397" s="145">
        <f t="shared" si="401"/>
        <v>0</v>
      </c>
      <c r="U397" s="145">
        <f t="shared" si="401"/>
        <v>0</v>
      </c>
      <c r="V397" s="145">
        <f t="shared" si="401"/>
        <v>0</v>
      </c>
      <c r="W397" s="145">
        <f t="shared" si="401"/>
        <v>0.30680000000000002</v>
      </c>
      <c r="X397" s="145">
        <f t="shared" si="401"/>
        <v>0</v>
      </c>
      <c r="Y397" s="145">
        <f t="shared" si="401"/>
        <v>0.30680000000000002</v>
      </c>
      <c r="Z397" s="145">
        <f t="shared" si="401"/>
        <v>0</v>
      </c>
      <c r="AA397" s="145">
        <f t="shared" si="401"/>
        <v>0</v>
      </c>
      <c r="AB397" s="145">
        <f t="shared" si="401"/>
        <v>0</v>
      </c>
      <c r="AC397" s="145">
        <f t="shared" si="401"/>
        <v>0</v>
      </c>
    </row>
    <row r="398" spans="2:29">
      <c r="B398" s="168" t="str">
        <f t="shared" si="394"/>
        <v/>
      </c>
      <c r="C398" s="165" t="str">
        <f t="shared" si="394"/>
        <v xml:space="preserve">Explosive Van </v>
      </c>
      <c r="D398" s="171" t="s">
        <v>134</v>
      </c>
      <c r="E398" s="244">
        <f>VLOOKUP(C398,Equipment!$C$5:$F$53,Equipment!$F$1,FALSE)/10^7</f>
        <v>0.25</v>
      </c>
      <c r="F398" s="221">
        <f t="shared" si="373"/>
        <v>0.5</v>
      </c>
      <c r="G398" s="145"/>
      <c r="H398" s="145"/>
      <c r="I398" s="145"/>
      <c r="J398" s="145"/>
      <c r="K398" s="145">
        <f t="shared" ref="K398:AC398" si="402">$E398*K304</f>
        <v>0</v>
      </c>
      <c r="L398" s="145">
        <f t="shared" si="402"/>
        <v>0</v>
      </c>
      <c r="M398" s="145">
        <f t="shared" si="402"/>
        <v>0</v>
      </c>
      <c r="N398" s="145">
        <f t="shared" si="402"/>
        <v>0</v>
      </c>
      <c r="O398" s="145">
        <f t="shared" si="402"/>
        <v>0</v>
      </c>
      <c r="P398" s="145">
        <f t="shared" si="402"/>
        <v>0</v>
      </c>
      <c r="Q398" s="145">
        <f t="shared" si="402"/>
        <v>0</v>
      </c>
      <c r="R398" s="145">
        <f t="shared" si="402"/>
        <v>0</v>
      </c>
      <c r="S398" s="145">
        <f t="shared" si="402"/>
        <v>0</v>
      </c>
      <c r="T398" s="145">
        <f t="shared" si="402"/>
        <v>0</v>
      </c>
      <c r="U398" s="145">
        <f t="shared" si="402"/>
        <v>0</v>
      </c>
      <c r="V398" s="145">
        <f t="shared" si="402"/>
        <v>0</v>
      </c>
      <c r="W398" s="145">
        <f t="shared" si="402"/>
        <v>0.25</v>
      </c>
      <c r="X398" s="145">
        <f t="shared" si="402"/>
        <v>0</v>
      </c>
      <c r="Y398" s="145">
        <f t="shared" si="402"/>
        <v>0.25</v>
      </c>
      <c r="Z398" s="145">
        <f t="shared" si="402"/>
        <v>0</v>
      </c>
      <c r="AA398" s="145">
        <f t="shared" si="402"/>
        <v>0</v>
      </c>
      <c r="AB398" s="145">
        <f t="shared" si="402"/>
        <v>0</v>
      </c>
      <c r="AC398" s="145">
        <f t="shared" si="402"/>
        <v>0</v>
      </c>
    </row>
    <row r="399" spans="2:29">
      <c r="B399" s="168" t="str">
        <f t="shared" si="394"/>
        <v/>
      </c>
      <c r="C399" s="165" t="str">
        <f t="shared" si="394"/>
        <v>Maintenance Van</v>
      </c>
      <c r="D399" s="171" t="s">
        <v>134</v>
      </c>
      <c r="E399" s="244">
        <f>VLOOKUP(C399,Equipment!$C$5:$F$53,Equipment!$F$1,FALSE)/10^7</f>
        <v>0.15</v>
      </c>
      <c r="F399" s="221">
        <f t="shared" si="373"/>
        <v>0.3</v>
      </c>
      <c r="G399" s="145"/>
      <c r="H399" s="145"/>
      <c r="I399" s="145"/>
      <c r="J399" s="145"/>
      <c r="K399" s="145">
        <f t="shared" ref="K399:AC399" si="403">$E399*K305</f>
        <v>0</v>
      </c>
      <c r="L399" s="145">
        <f t="shared" si="403"/>
        <v>0</v>
      </c>
      <c r="M399" s="145">
        <f t="shared" si="403"/>
        <v>0</v>
      </c>
      <c r="N399" s="145">
        <f t="shared" si="403"/>
        <v>0</v>
      </c>
      <c r="O399" s="145">
        <f t="shared" si="403"/>
        <v>0</v>
      </c>
      <c r="P399" s="145">
        <f t="shared" si="403"/>
        <v>0</v>
      </c>
      <c r="Q399" s="145">
        <f t="shared" si="403"/>
        <v>0</v>
      </c>
      <c r="R399" s="145">
        <f t="shared" si="403"/>
        <v>0</v>
      </c>
      <c r="S399" s="145">
        <f t="shared" si="403"/>
        <v>0</v>
      </c>
      <c r="T399" s="145">
        <f t="shared" si="403"/>
        <v>0</v>
      </c>
      <c r="U399" s="145">
        <f t="shared" si="403"/>
        <v>0</v>
      </c>
      <c r="V399" s="145">
        <f t="shared" si="403"/>
        <v>0</v>
      </c>
      <c r="W399" s="145">
        <f t="shared" si="403"/>
        <v>0.15</v>
      </c>
      <c r="X399" s="145">
        <f t="shared" si="403"/>
        <v>0</v>
      </c>
      <c r="Y399" s="145">
        <f t="shared" si="403"/>
        <v>0.15</v>
      </c>
      <c r="Z399" s="145">
        <f t="shared" si="403"/>
        <v>0</v>
      </c>
      <c r="AA399" s="145">
        <f t="shared" si="403"/>
        <v>0</v>
      </c>
      <c r="AB399" s="145">
        <f t="shared" si="403"/>
        <v>0</v>
      </c>
      <c r="AC399" s="145">
        <f t="shared" si="403"/>
        <v>0</v>
      </c>
    </row>
    <row r="400" spans="2:29">
      <c r="B400" s="168" t="str">
        <f t="shared" si="394"/>
        <v/>
      </c>
      <c r="C400" s="165" t="str">
        <f t="shared" si="394"/>
        <v>Diesel Hydraulic backhoe/ 1.5cum (Komatsu)</v>
      </c>
      <c r="D400" s="171" t="s">
        <v>134</v>
      </c>
      <c r="E400" s="244">
        <f>VLOOKUP(C400,Equipment!$C$5:$F$53,Equipment!$F$1,FALSE)/10^7</f>
        <v>0.51002879999999995</v>
      </c>
      <c r="F400" s="221">
        <f t="shared" si="373"/>
        <v>1.0200575999999999</v>
      </c>
      <c r="G400" s="145"/>
      <c r="H400" s="145"/>
      <c r="I400" s="145"/>
      <c r="J400" s="145"/>
      <c r="K400" s="145">
        <f t="shared" ref="K400:AC400" si="404">$E400*K306</f>
        <v>0</v>
      </c>
      <c r="L400" s="145">
        <f t="shared" si="404"/>
        <v>0</v>
      </c>
      <c r="M400" s="145">
        <f t="shared" si="404"/>
        <v>0</v>
      </c>
      <c r="N400" s="145">
        <f t="shared" si="404"/>
        <v>0</v>
      </c>
      <c r="O400" s="145">
        <f t="shared" si="404"/>
        <v>0</v>
      </c>
      <c r="P400" s="145">
        <f t="shared" si="404"/>
        <v>0</v>
      </c>
      <c r="Q400" s="145">
        <f t="shared" si="404"/>
        <v>0</v>
      </c>
      <c r="R400" s="145">
        <f t="shared" si="404"/>
        <v>0</v>
      </c>
      <c r="S400" s="145">
        <f t="shared" si="404"/>
        <v>0</v>
      </c>
      <c r="T400" s="145">
        <f t="shared" si="404"/>
        <v>0</v>
      </c>
      <c r="U400" s="145">
        <f t="shared" si="404"/>
        <v>0</v>
      </c>
      <c r="V400" s="145">
        <f t="shared" si="404"/>
        <v>0.51002879999999995</v>
      </c>
      <c r="W400" s="145">
        <f t="shared" si="404"/>
        <v>0</v>
      </c>
      <c r="X400" s="145">
        <f t="shared" si="404"/>
        <v>0.51002879999999995</v>
      </c>
      <c r="Y400" s="145">
        <f t="shared" si="404"/>
        <v>0</v>
      </c>
      <c r="Z400" s="145">
        <f t="shared" si="404"/>
        <v>0</v>
      </c>
      <c r="AA400" s="145">
        <f t="shared" si="404"/>
        <v>0</v>
      </c>
      <c r="AB400" s="145">
        <f t="shared" si="404"/>
        <v>0</v>
      </c>
      <c r="AC400" s="145">
        <f t="shared" si="404"/>
        <v>0</v>
      </c>
    </row>
    <row r="401" spans="2:29">
      <c r="B401" s="168" t="str">
        <f t="shared" si="394"/>
        <v/>
      </c>
      <c r="C401" s="165" t="str">
        <f t="shared" si="394"/>
        <v xml:space="preserve">Boom Truck </v>
      </c>
      <c r="D401" s="171" t="s">
        <v>134</v>
      </c>
      <c r="E401" s="244">
        <f>VLOOKUP(C401,Equipment!$C$5:$F$53,Equipment!$F$1,FALSE)/10^7</f>
        <v>0.15</v>
      </c>
      <c r="F401" s="221">
        <f t="shared" si="373"/>
        <v>0.3</v>
      </c>
      <c r="G401" s="145"/>
      <c r="H401" s="145"/>
      <c r="I401" s="145"/>
      <c r="J401" s="145"/>
      <c r="K401" s="145">
        <f t="shared" ref="K401:AC401" si="405">$E401*K307</f>
        <v>0</v>
      </c>
      <c r="L401" s="145">
        <f t="shared" si="405"/>
        <v>0</v>
      </c>
      <c r="M401" s="145">
        <f t="shared" si="405"/>
        <v>0</v>
      </c>
      <c r="N401" s="145">
        <f t="shared" si="405"/>
        <v>0</v>
      </c>
      <c r="O401" s="145">
        <f t="shared" si="405"/>
        <v>0</v>
      </c>
      <c r="P401" s="145">
        <f t="shared" si="405"/>
        <v>0</v>
      </c>
      <c r="Q401" s="145">
        <f t="shared" si="405"/>
        <v>0</v>
      </c>
      <c r="R401" s="145">
        <f t="shared" si="405"/>
        <v>0</v>
      </c>
      <c r="S401" s="145">
        <f t="shared" si="405"/>
        <v>0</v>
      </c>
      <c r="T401" s="145">
        <f t="shared" si="405"/>
        <v>0</v>
      </c>
      <c r="U401" s="145">
        <f t="shared" si="405"/>
        <v>0</v>
      </c>
      <c r="V401" s="145">
        <f t="shared" si="405"/>
        <v>0</v>
      </c>
      <c r="W401" s="145">
        <f t="shared" si="405"/>
        <v>0</v>
      </c>
      <c r="X401" s="145">
        <f t="shared" si="405"/>
        <v>0</v>
      </c>
      <c r="Y401" s="145">
        <f t="shared" si="405"/>
        <v>0</v>
      </c>
      <c r="Z401" s="145">
        <f t="shared" si="405"/>
        <v>0.15</v>
      </c>
      <c r="AA401" s="145">
        <f t="shared" si="405"/>
        <v>0</v>
      </c>
      <c r="AB401" s="145">
        <f t="shared" si="405"/>
        <v>0.15</v>
      </c>
      <c r="AC401" s="145">
        <f t="shared" si="405"/>
        <v>0</v>
      </c>
    </row>
    <row r="402" spans="2:29">
      <c r="B402" s="168" t="str">
        <f t="shared" si="394"/>
        <v/>
      </c>
      <c r="C402" s="165" t="str">
        <f t="shared" si="394"/>
        <v xml:space="preserve">Heavy duty tow truck </v>
      </c>
      <c r="D402" s="171" t="s">
        <v>134</v>
      </c>
      <c r="E402" s="244">
        <f>VLOOKUP(C402,Equipment!$C$5:$F$53,Equipment!$F$1,FALSE)/10^7</f>
        <v>0.15</v>
      </c>
      <c r="F402" s="221">
        <f t="shared" si="373"/>
        <v>0.3</v>
      </c>
      <c r="G402" s="145"/>
      <c r="H402" s="145"/>
      <c r="I402" s="145"/>
      <c r="J402" s="145"/>
      <c r="K402" s="145">
        <f t="shared" ref="K402:AC402" si="406">$E402*K308</f>
        <v>0</v>
      </c>
      <c r="L402" s="145">
        <f t="shared" si="406"/>
        <v>0</v>
      </c>
      <c r="M402" s="145">
        <f t="shared" si="406"/>
        <v>0</v>
      </c>
      <c r="N402" s="145">
        <f t="shared" si="406"/>
        <v>0</v>
      </c>
      <c r="O402" s="145">
        <f t="shared" si="406"/>
        <v>0</v>
      </c>
      <c r="P402" s="145">
        <f t="shared" si="406"/>
        <v>0</v>
      </c>
      <c r="Q402" s="145">
        <f t="shared" si="406"/>
        <v>0</v>
      </c>
      <c r="R402" s="145">
        <f t="shared" si="406"/>
        <v>0</v>
      </c>
      <c r="S402" s="145">
        <f t="shared" si="406"/>
        <v>0</v>
      </c>
      <c r="T402" s="145">
        <f t="shared" si="406"/>
        <v>0</v>
      </c>
      <c r="U402" s="145">
        <f t="shared" si="406"/>
        <v>0</v>
      </c>
      <c r="V402" s="145">
        <f t="shared" si="406"/>
        <v>0</v>
      </c>
      <c r="W402" s="145">
        <f t="shared" si="406"/>
        <v>0</v>
      </c>
      <c r="X402" s="145">
        <f t="shared" si="406"/>
        <v>0</v>
      </c>
      <c r="Y402" s="145">
        <f t="shared" si="406"/>
        <v>0</v>
      </c>
      <c r="Z402" s="145">
        <f t="shared" si="406"/>
        <v>0.15</v>
      </c>
      <c r="AA402" s="145">
        <f t="shared" si="406"/>
        <v>0</v>
      </c>
      <c r="AB402" s="145">
        <f t="shared" si="406"/>
        <v>0.15</v>
      </c>
      <c r="AC402" s="145">
        <f t="shared" si="406"/>
        <v>0</v>
      </c>
    </row>
    <row r="403" spans="2:29">
      <c r="B403" s="168" t="str">
        <f t="shared" si="394"/>
        <v/>
      </c>
      <c r="C403" s="165" t="str">
        <f t="shared" si="394"/>
        <v>Tipping Truck/ 8t</v>
      </c>
      <c r="D403" s="171" t="s">
        <v>134</v>
      </c>
      <c r="E403" s="244">
        <f>VLOOKUP(C403,Equipment!$C$5:$F$53,Equipment!$F$1,FALSE)/10^7</f>
        <v>0.2</v>
      </c>
      <c r="F403" s="221">
        <f t="shared" si="373"/>
        <v>0.4</v>
      </c>
      <c r="G403" s="145"/>
      <c r="H403" s="145"/>
      <c r="I403" s="145"/>
      <c r="J403" s="145"/>
      <c r="K403" s="145">
        <f t="shared" ref="K403:AC403" si="407">$E403*K309</f>
        <v>0</v>
      </c>
      <c r="L403" s="145">
        <f t="shared" si="407"/>
        <v>0</v>
      </c>
      <c r="M403" s="145">
        <f t="shared" si="407"/>
        <v>0</v>
      </c>
      <c r="N403" s="145">
        <f t="shared" si="407"/>
        <v>0</v>
      </c>
      <c r="O403" s="145">
        <f t="shared" si="407"/>
        <v>0</v>
      </c>
      <c r="P403" s="145">
        <f t="shared" si="407"/>
        <v>0</v>
      </c>
      <c r="Q403" s="145">
        <f t="shared" si="407"/>
        <v>0</v>
      </c>
      <c r="R403" s="145">
        <f t="shared" si="407"/>
        <v>0</v>
      </c>
      <c r="S403" s="145">
        <f t="shared" si="407"/>
        <v>0</v>
      </c>
      <c r="T403" s="145">
        <f t="shared" si="407"/>
        <v>0</v>
      </c>
      <c r="U403" s="145">
        <f t="shared" si="407"/>
        <v>0</v>
      </c>
      <c r="V403" s="145">
        <f t="shared" si="407"/>
        <v>0</v>
      </c>
      <c r="W403" s="145">
        <f t="shared" si="407"/>
        <v>0</v>
      </c>
      <c r="X403" s="145">
        <f t="shared" si="407"/>
        <v>0</v>
      </c>
      <c r="Y403" s="145">
        <f t="shared" si="407"/>
        <v>0</v>
      </c>
      <c r="Z403" s="145">
        <f t="shared" si="407"/>
        <v>0.2</v>
      </c>
      <c r="AA403" s="145">
        <f t="shared" si="407"/>
        <v>0</v>
      </c>
      <c r="AB403" s="145">
        <f t="shared" si="407"/>
        <v>0.2</v>
      </c>
      <c r="AC403" s="145">
        <f t="shared" si="407"/>
        <v>0</v>
      </c>
    </row>
    <row r="404" spans="2:29">
      <c r="B404" s="168" t="str">
        <f t="shared" si="394"/>
        <v/>
      </c>
      <c r="C404" s="165" t="str">
        <f t="shared" si="394"/>
        <v>Fork lift/ 8t</v>
      </c>
      <c r="D404" s="171" t="s">
        <v>134</v>
      </c>
      <c r="E404" s="244">
        <f>VLOOKUP(C404,Equipment!$C$5:$F$53,Equipment!$F$1,FALSE)/10^7</f>
        <v>0.13</v>
      </c>
      <c r="F404" s="221">
        <f t="shared" si="373"/>
        <v>0.52</v>
      </c>
      <c r="G404" s="145"/>
      <c r="H404" s="145"/>
      <c r="I404" s="145"/>
      <c r="J404" s="145"/>
      <c r="K404" s="145">
        <f t="shared" ref="K404:AC404" si="408">$E404*K310</f>
        <v>0</v>
      </c>
      <c r="L404" s="145">
        <f t="shared" si="408"/>
        <v>0</v>
      </c>
      <c r="M404" s="145">
        <f t="shared" si="408"/>
        <v>0</v>
      </c>
      <c r="N404" s="145">
        <f t="shared" si="408"/>
        <v>0</v>
      </c>
      <c r="O404" s="145">
        <f t="shared" si="408"/>
        <v>0</v>
      </c>
      <c r="P404" s="145">
        <f t="shared" si="408"/>
        <v>0</v>
      </c>
      <c r="Q404" s="145">
        <f t="shared" si="408"/>
        <v>0</v>
      </c>
      <c r="R404" s="145">
        <f t="shared" si="408"/>
        <v>0</v>
      </c>
      <c r="S404" s="145">
        <f t="shared" si="408"/>
        <v>0.13</v>
      </c>
      <c r="T404" s="145">
        <f t="shared" si="408"/>
        <v>0</v>
      </c>
      <c r="U404" s="145">
        <f t="shared" si="408"/>
        <v>0.13</v>
      </c>
      <c r="V404" s="145">
        <f t="shared" si="408"/>
        <v>0</v>
      </c>
      <c r="W404" s="145">
        <f t="shared" si="408"/>
        <v>0</v>
      </c>
      <c r="X404" s="145">
        <f t="shared" si="408"/>
        <v>0</v>
      </c>
      <c r="Y404" s="145">
        <f t="shared" si="408"/>
        <v>0</v>
      </c>
      <c r="Z404" s="145">
        <f t="shared" si="408"/>
        <v>0</v>
      </c>
      <c r="AA404" s="145">
        <f t="shared" si="408"/>
        <v>0.13</v>
      </c>
      <c r="AB404" s="145">
        <f t="shared" si="408"/>
        <v>0</v>
      </c>
      <c r="AC404" s="145">
        <f t="shared" si="408"/>
        <v>0.13</v>
      </c>
    </row>
    <row r="405" spans="2:29">
      <c r="B405" s="168" t="str">
        <f t="shared" si="394"/>
        <v/>
      </c>
      <c r="C405" s="165" t="str">
        <f t="shared" si="394"/>
        <v>Tyre handler/ 20t</v>
      </c>
      <c r="D405" s="171" t="s">
        <v>134</v>
      </c>
      <c r="E405" s="244">
        <f>VLOOKUP(C405,Equipment!$C$5:$F$53,Equipment!$F$1,FALSE)/10^7</f>
        <v>6.9797000000000002</v>
      </c>
      <c r="F405" s="221">
        <f t="shared" si="373"/>
        <v>13.9594</v>
      </c>
      <c r="G405" s="145"/>
      <c r="H405" s="145"/>
      <c r="I405" s="145"/>
      <c r="J405" s="145"/>
      <c r="K405" s="145">
        <f t="shared" ref="K405:AC405" si="409">$E405*K311</f>
        <v>0</v>
      </c>
      <c r="L405" s="145">
        <f t="shared" si="409"/>
        <v>0</v>
      </c>
      <c r="M405" s="145">
        <f t="shared" si="409"/>
        <v>0</v>
      </c>
      <c r="N405" s="145">
        <f t="shared" si="409"/>
        <v>0</v>
      </c>
      <c r="O405" s="145">
        <f t="shared" si="409"/>
        <v>0</v>
      </c>
      <c r="P405" s="145">
        <f t="shared" si="409"/>
        <v>0</v>
      </c>
      <c r="Q405" s="145">
        <f t="shared" si="409"/>
        <v>0</v>
      </c>
      <c r="R405" s="145">
        <f t="shared" si="409"/>
        <v>0</v>
      </c>
      <c r="S405" s="145">
        <f t="shared" si="409"/>
        <v>0</v>
      </c>
      <c r="T405" s="145">
        <f t="shared" si="409"/>
        <v>0</v>
      </c>
      <c r="U405" s="145">
        <f t="shared" si="409"/>
        <v>0</v>
      </c>
      <c r="V405" s="145">
        <f t="shared" si="409"/>
        <v>0</v>
      </c>
      <c r="W405" s="145">
        <f t="shared" si="409"/>
        <v>0</v>
      </c>
      <c r="X405" s="145">
        <f t="shared" si="409"/>
        <v>0</v>
      </c>
      <c r="Y405" s="145">
        <f t="shared" si="409"/>
        <v>0</v>
      </c>
      <c r="Z405" s="145">
        <f t="shared" si="409"/>
        <v>6.9797000000000002</v>
      </c>
      <c r="AA405" s="145">
        <f t="shared" si="409"/>
        <v>0</v>
      </c>
      <c r="AB405" s="145">
        <f t="shared" si="409"/>
        <v>6.9797000000000002</v>
      </c>
      <c r="AC405" s="145">
        <f t="shared" si="409"/>
        <v>0</v>
      </c>
    </row>
    <row r="406" spans="2:29">
      <c r="B406" s="168" t="str">
        <f t="shared" si="394"/>
        <v/>
      </c>
      <c r="C406" s="165" t="str">
        <f t="shared" si="394"/>
        <v xml:space="preserve">Farm tractor </v>
      </c>
      <c r="D406" s="171" t="s">
        <v>134</v>
      </c>
      <c r="E406" s="244">
        <f>VLOOKUP(C406,Equipment!$C$5:$F$53,Equipment!$F$1,FALSE)/10^7</f>
        <v>0.12</v>
      </c>
      <c r="F406" s="221">
        <f t="shared" si="373"/>
        <v>0.24</v>
      </c>
      <c r="G406" s="145"/>
      <c r="H406" s="145"/>
      <c r="I406" s="145"/>
      <c r="J406" s="145"/>
      <c r="K406" s="145">
        <f t="shared" ref="K406:AC406" si="410">$E406*K312</f>
        <v>0</v>
      </c>
      <c r="L406" s="145">
        <f t="shared" si="410"/>
        <v>0</v>
      </c>
      <c r="M406" s="145">
        <f t="shared" si="410"/>
        <v>0</v>
      </c>
      <c r="N406" s="145">
        <f t="shared" si="410"/>
        <v>0</v>
      </c>
      <c r="O406" s="145">
        <f t="shared" si="410"/>
        <v>0</v>
      </c>
      <c r="P406" s="145">
        <f t="shared" si="410"/>
        <v>0</v>
      </c>
      <c r="Q406" s="145">
        <f t="shared" si="410"/>
        <v>0</v>
      </c>
      <c r="R406" s="145">
        <f t="shared" si="410"/>
        <v>0</v>
      </c>
      <c r="S406" s="145">
        <f t="shared" si="410"/>
        <v>0</v>
      </c>
      <c r="T406" s="145">
        <f t="shared" si="410"/>
        <v>0</v>
      </c>
      <c r="U406" s="145">
        <f t="shared" si="410"/>
        <v>0</v>
      </c>
      <c r="V406" s="145">
        <f t="shared" si="410"/>
        <v>0</v>
      </c>
      <c r="W406" s="145">
        <f t="shared" si="410"/>
        <v>0</v>
      </c>
      <c r="X406" s="145">
        <f t="shared" si="410"/>
        <v>0</v>
      </c>
      <c r="Y406" s="145">
        <f t="shared" si="410"/>
        <v>0</v>
      </c>
      <c r="Z406" s="145">
        <f t="shared" si="410"/>
        <v>0.12</v>
      </c>
      <c r="AA406" s="145">
        <f t="shared" si="410"/>
        <v>0</v>
      </c>
      <c r="AB406" s="145">
        <f t="shared" si="410"/>
        <v>0.12</v>
      </c>
      <c r="AC406" s="145">
        <f t="shared" si="410"/>
        <v>0</v>
      </c>
    </row>
    <row r="407" spans="2:29">
      <c r="B407" s="168" t="str">
        <f t="shared" si="394"/>
        <v/>
      </c>
      <c r="C407" s="165" t="str">
        <f t="shared" si="394"/>
        <v>Fire Tender</v>
      </c>
      <c r="D407" s="171" t="s">
        <v>134</v>
      </c>
      <c r="E407" s="244">
        <f>VLOOKUP(C407,Equipment!$C$5:$F$53,Equipment!$F$1,FALSE)/10^7</f>
        <v>0.3</v>
      </c>
      <c r="F407" s="221">
        <f t="shared" si="373"/>
        <v>0.6</v>
      </c>
      <c r="G407" s="145"/>
      <c r="H407" s="145"/>
      <c r="I407" s="145"/>
      <c r="J407" s="145"/>
      <c r="K407" s="145">
        <f t="shared" ref="K407:AC407" si="411">$E407*K313</f>
        <v>0</v>
      </c>
      <c r="L407" s="145">
        <f t="shared" si="411"/>
        <v>0</v>
      </c>
      <c r="M407" s="145">
        <f t="shared" si="411"/>
        <v>0</v>
      </c>
      <c r="N407" s="145">
        <f t="shared" si="411"/>
        <v>0</v>
      </c>
      <c r="O407" s="145">
        <f t="shared" si="411"/>
        <v>0</v>
      </c>
      <c r="P407" s="145">
        <f t="shared" si="411"/>
        <v>0</v>
      </c>
      <c r="Q407" s="145">
        <f t="shared" si="411"/>
        <v>0</v>
      </c>
      <c r="R407" s="145">
        <f t="shared" si="411"/>
        <v>0</v>
      </c>
      <c r="S407" s="145">
        <f t="shared" si="411"/>
        <v>0</v>
      </c>
      <c r="T407" s="145">
        <f t="shared" si="411"/>
        <v>0</v>
      </c>
      <c r="U407" s="145">
        <f t="shared" si="411"/>
        <v>0</v>
      </c>
      <c r="V407" s="145">
        <f t="shared" si="411"/>
        <v>0</v>
      </c>
      <c r="W407" s="145">
        <f t="shared" si="411"/>
        <v>0</v>
      </c>
      <c r="X407" s="145">
        <f t="shared" si="411"/>
        <v>0</v>
      </c>
      <c r="Y407" s="145">
        <f t="shared" si="411"/>
        <v>0</v>
      </c>
      <c r="Z407" s="145">
        <f t="shared" si="411"/>
        <v>0.3</v>
      </c>
      <c r="AA407" s="145">
        <f t="shared" si="411"/>
        <v>0</v>
      </c>
      <c r="AB407" s="145">
        <f t="shared" si="411"/>
        <v>0.3</v>
      </c>
      <c r="AC407" s="145">
        <f t="shared" si="411"/>
        <v>0</v>
      </c>
    </row>
    <row r="408" spans="2:29">
      <c r="B408" s="168" t="str">
        <f t="shared" si="394"/>
        <v/>
      </c>
      <c r="C408" s="165" t="str">
        <f t="shared" si="394"/>
        <v xml:space="preserve">Ambulance </v>
      </c>
      <c r="D408" s="171" t="s">
        <v>134</v>
      </c>
      <c r="E408" s="244">
        <f>VLOOKUP(C408,Equipment!$C$5:$F$53,Equipment!$F$1,FALSE)/10^7</f>
        <v>0.15</v>
      </c>
      <c r="F408" s="221">
        <f t="shared" si="373"/>
        <v>0.3</v>
      </c>
      <c r="G408" s="145"/>
      <c r="H408" s="145"/>
      <c r="I408" s="145"/>
      <c r="J408" s="145"/>
      <c r="K408" s="145">
        <f t="shared" ref="K408:AC408" si="412">$E408*K314</f>
        <v>0</v>
      </c>
      <c r="L408" s="145">
        <f t="shared" si="412"/>
        <v>0</v>
      </c>
      <c r="M408" s="145">
        <f t="shared" si="412"/>
        <v>0</v>
      </c>
      <c r="N408" s="145">
        <f t="shared" si="412"/>
        <v>0</v>
      </c>
      <c r="O408" s="145">
        <f t="shared" si="412"/>
        <v>0</v>
      </c>
      <c r="P408" s="145">
        <f t="shared" si="412"/>
        <v>0</v>
      </c>
      <c r="Q408" s="145">
        <f t="shared" si="412"/>
        <v>0</v>
      </c>
      <c r="R408" s="145">
        <f t="shared" si="412"/>
        <v>0</v>
      </c>
      <c r="S408" s="145">
        <f t="shared" si="412"/>
        <v>0</v>
      </c>
      <c r="T408" s="145">
        <f t="shared" si="412"/>
        <v>0</v>
      </c>
      <c r="U408" s="145">
        <f t="shared" si="412"/>
        <v>0.15</v>
      </c>
      <c r="V408" s="145">
        <f t="shared" si="412"/>
        <v>0</v>
      </c>
      <c r="W408" s="145">
        <f t="shared" si="412"/>
        <v>0.15</v>
      </c>
      <c r="X408" s="145">
        <f t="shared" si="412"/>
        <v>0</v>
      </c>
      <c r="Y408" s="145">
        <f t="shared" si="412"/>
        <v>0</v>
      </c>
      <c r="Z408" s="145">
        <f t="shared" si="412"/>
        <v>0</v>
      </c>
      <c r="AA408" s="145">
        <f t="shared" si="412"/>
        <v>0</v>
      </c>
      <c r="AB408" s="145">
        <f t="shared" si="412"/>
        <v>0</v>
      </c>
      <c r="AC408" s="145">
        <f t="shared" si="412"/>
        <v>0</v>
      </c>
    </row>
    <row r="409" spans="2:29">
      <c r="B409" s="168" t="str">
        <f t="shared" si="394"/>
        <v/>
      </c>
      <c r="C409" s="165" t="str">
        <f t="shared" si="394"/>
        <v>Worker Transportation bus</v>
      </c>
      <c r="D409" s="171" t="s">
        <v>134</v>
      </c>
      <c r="E409" s="244">
        <f>VLOOKUP(C409,Equipment!$C$5:$F$53,Equipment!$F$1,FALSE)/10^7</f>
        <v>0.2</v>
      </c>
      <c r="F409" s="221">
        <f t="shared" si="373"/>
        <v>1.2</v>
      </c>
      <c r="G409" s="145"/>
      <c r="H409" s="145"/>
      <c r="I409" s="145"/>
      <c r="J409" s="145"/>
      <c r="K409" s="145">
        <f t="shared" ref="K409:AC409" si="413">$E409*K315</f>
        <v>0</v>
      </c>
      <c r="L409" s="145">
        <f t="shared" si="413"/>
        <v>0</v>
      </c>
      <c r="M409" s="145">
        <f t="shared" si="413"/>
        <v>0</v>
      </c>
      <c r="N409" s="145">
        <f t="shared" si="413"/>
        <v>0</v>
      </c>
      <c r="O409" s="145">
        <f t="shared" si="413"/>
        <v>0</v>
      </c>
      <c r="P409" s="145">
        <f t="shared" si="413"/>
        <v>0.2</v>
      </c>
      <c r="Q409" s="145">
        <f t="shared" si="413"/>
        <v>0</v>
      </c>
      <c r="R409" s="145">
        <f t="shared" si="413"/>
        <v>0.2</v>
      </c>
      <c r="S409" s="145">
        <f t="shared" si="413"/>
        <v>0</v>
      </c>
      <c r="T409" s="145">
        <f t="shared" si="413"/>
        <v>0</v>
      </c>
      <c r="U409" s="145">
        <f t="shared" si="413"/>
        <v>0.2</v>
      </c>
      <c r="V409" s="145">
        <f t="shared" si="413"/>
        <v>0</v>
      </c>
      <c r="W409" s="145">
        <f t="shared" si="413"/>
        <v>0.2</v>
      </c>
      <c r="X409" s="145">
        <f t="shared" si="413"/>
        <v>0</v>
      </c>
      <c r="Y409" s="145">
        <f t="shared" si="413"/>
        <v>0</v>
      </c>
      <c r="Z409" s="145">
        <f t="shared" si="413"/>
        <v>0.2</v>
      </c>
      <c r="AA409" s="145">
        <f t="shared" si="413"/>
        <v>0</v>
      </c>
      <c r="AB409" s="145">
        <f t="shared" si="413"/>
        <v>0.2</v>
      </c>
      <c r="AC409" s="145">
        <f t="shared" si="413"/>
        <v>0</v>
      </c>
    </row>
    <row r="410" spans="2:29">
      <c r="B410" s="168" t="str">
        <f t="shared" si="394"/>
        <v/>
      </c>
      <c r="C410" s="165" t="str">
        <f t="shared" si="394"/>
        <v>School bus</v>
      </c>
      <c r="D410" s="171" t="s">
        <v>134</v>
      </c>
      <c r="E410" s="244">
        <f>VLOOKUP(C410,Equipment!$C$5:$F$53,Equipment!$F$1,FALSE)/10^7</f>
        <v>0.2</v>
      </c>
      <c r="F410" s="221">
        <f t="shared" si="373"/>
        <v>1.2</v>
      </c>
      <c r="G410" s="145"/>
      <c r="H410" s="145"/>
      <c r="I410" s="145"/>
      <c r="J410" s="145"/>
      <c r="K410" s="145">
        <f t="shared" ref="K410:AC410" si="414">$E410*K316</f>
        <v>0</v>
      </c>
      <c r="L410" s="145">
        <f t="shared" si="414"/>
        <v>0</v>
      </c>
      <c r="M410" s="145">
        <f t="shared" si="414"/>
        <v>0</v>
      </c>
      <c r="N410" s="145">
        <f t="shared" si="414"/>
        <v>0</v>
      </c>
      <c r="O410" s="145">
        <f t="shared" si="414"/>
        <v>0</v>
      </c>
      <c r="P410" s="145">
        <f t="shared" si="414"/>
        <v>0.2</v>
      </c>
      <c r="Q410" s="145">
        <f t="shared" si="414"/>
        <v>0</v>
      </c>
      <c r="R410" s="145">
        <f t="shared" si="414"/>
        <v>0.2</v>
      </c>
      <c r="S410" s="145">
        <f t="shared" si="414"/>
        <v>0</v>
      </c>
      <c r="T410" s="145">
        <f t="shared" si="414"/>
        <v>0</v>
      </c>
      <c r="U410" s="145">
        <f t="shared" si="414"/>
        <v>0.2</v>
      </c>
      <c r="V410" s="145">
        <f t="shared" si="414"/>
        <v>0</v>
      </c>
      <c r="W410" s="145">
        <f t="shared" si="414"/>
        <v>0.2</v>
      </c>
      <c r="X410" s="145">
        <f t="shared" si="414"/>
        <v>0</v>
      </c>
      <c r="Y410" s="145">
        <f t="shared" si="414"/>
        <v>0</v>
      </c>
      <c r="Z410" s="145">
        <f t="shared" si="414"/>
        <v>0.2</v>
      </c>
      <c r="AA410" s="145">
        <f t="shared" si="414"/>
        <v>0</v>
      </c>
      <c r="AB410" s="145">
        <f t="shared" si="414"/>
        <v>0.2</v>
      </c>
      <c r="AC410" s="145">
        <f t="shared" si="414"/>
        <v>0</v>
      </c>
    </row>
    <row r="411" spans="2:29">
      <c r="B411" s="168" t="str">
        <f t="shared" ref="B411:C412" si="415">B364</f>
        <v/>
      </c>
      <c r="C411" s="165" t="str">
        <f t="shared" si="415"/>
        <v xml:space="preserve">Pickup Van </v>
      </c>
      <c r="D411" s="171" t="s">
        <v>134</v>
      </c>
      <c r="E411" s="244">
        <f>VLOOKUP(C411,Equipment!$C$5:$F$53,Equipment!$F$1,FALSE)/10^7</f>
        <v>0.1</v>
      </c>
      <c r="F411" s="221">
        <f t="shared" si="373"/>
        <v>0.6</v>
      </c>
      <c r="G411" s="145"/>
      <c r="H411" s="145"/>
      <c r="I411" s="145"/>
      <c r="J411" s="145"/>
      <c r="K411" s="145">
        <f t="shared" ref="K411:AC411" si="416">$E411*K317</f>
        <v>0</v>
      </c>
      <c r="L411" s="145">
        <f t="shared" si="416"/>
        <v>0</v>
      </c>
      <c r="M411" s="145">
        <f t="shared" si="416"/>
        <v>0</v>
      </c>
      <c r="N411" s="145">
        <f t="shared" si="416"/>
        <v>0</v>
      </c>
      <c r="O411" s="145">
        <f t="shared" si="416"/>
        <v>0</v>
      </c>
      <c r="P411" s="145">
        <f t="shared" si="416"/>
        <v>0.1</v>
      </c>
      <c r="Q411" s="145">
        <f t="shared" si="416"/>
        <v>0</v>
      </c>
      <c r="R411" s="145">
        <f t="shared" si="416"/>
        <v>0.1</v>
      </c>
      <c r="S411" s="145">
        <f t="shared" si="416"/>
        <v>0</v>
      </c>
      <c r="T411" s="145">
        <f t="shared" si="416"/>
        <v>0</v>
      </c>
      <c r="U411" s="145">
        <f t="shared" si="416"/>
        <v>0.1</v>
      </c>
      <c r="V411" s="145">
        <f t="shared" si="416"/>
        <v>0</v>
      </c>
      <c r="W411" s="145">
        <f t="shared" si="416"/>
        <v>0.1</v>
      </c>
      <c r="X411" s="145">
        <f t="shared" si="416"/>
        <v>0</v>
      </c>
      <c r="Y411" s="145">
        <f t="shared" si="416"/>
        <v>0</v>
      </c>
      <c r="Z411" s="145">
        <f t="shared" si="416"/>
        <v>0.1</v>
      </c>
      <c r="AA411" s="145">
        <f t="shared" si="416"/>
        <v>0</v>
      </c>
      <c r="AB411" s="145">
        <f t="shared" si="416"/>
        <v>0.1</v>
      </c>
      <c r="AC411" s="145">
        <f t="shared" si="416"/>
        <v>0</v>
      </c>
    </row>
    <row r="412" spans="2:29">
      <c r="B412" s="168" t="str">
        <f t="shared" si="415"/>
        <v/>
      </c>
      <c r="C412" s="165" t="str">
        <f t="shared" si="415"/>
        <v>Cars</v>
      </c>
      <c r="D412" s="171" t="s">
        <v>134</v>
      </c>
      <c r="E412" s="244">
        <f>VLOOKUP(C412,Equipment!$C$5:$F$53,Equipment!$F$1,FALSE)/10^7</f>
        <v>0.1</v>
      </c>
      <c r="F412" s="221">
        <f t="shared" si="373"/>
        <v>0.6</v>
      </c>
      <c r="G412" s="145"/>
      <c r="H412" s="145"/>
      <c r="I412" s="145"/>
      <c r="J412" s="145"/>
      <c r="K412" s="145">
        <f t="shared" ref="K412:AC412" si="417">$E412*K318</f>
        <v>0</v>
      </c>
      <c r="L412" s="145">
        <f t="shared" si="417"/>
        <v>0</v>
      </c>
      <c r="M412" s="145">
        <f t="shared" si="417"/>
        <v>0</v>
      </c>
      <c r="N412" s="145">
        <f t="shared" si="417"/>
        <v>0</v>
      </c>
      <c r="O412" s="145">
        <f t="shared" si="417"/>
        <v>0</v>
      </c>
      <c r="P412" s="145">
        <f t="shared" si="417"/>
        <v>0.1</v>
      </c>
      <c r="Q412" s="145">
        <f t="shared" si="417"/>
        <v>0</v>
      </c>
      <c r="R412" s="145">
        <f t="shared" si="417"/>
        <v>0.1</v>
      </c>
      <c r="S412" s="145">
        <f t="shared" si="417"/>
        <v>0</v>
      </c>
      <c r="T412" s="145">
        <f t="shared" si="417"/>
        <v>0</v>
      </c>
      <c r="U412" s="145">
        <f t="shared" si="417"/>
        <v>0.1</v>
      </c>
      <c r="V412" s="145">
        <f t="shared" si="417"/>
        <v>0</v>
      </c>
      <c r="W412" s="145">
        <f t="shared" si="417"/>
        <v>0.1</v>
      </c>
      <c r="X412" s="145">
        <f t="shared" si="417"/>
        <v>0</v>
      </c>
      <c r="Y412" s="145">
        <f t="shared" si="417"/>
        <v>0</v>
      </c>
      <c r="Z412" s="145">
        <f t="shared" si="417"/>
        <v>0.1</v>
      </c>
      <c r="AA412" s="145">
        <f t="shared" si="417"/>
        <v>0</v>
      </c>
      <c r="AB412" s="145">
        <f t="shared" si="417"/>
        <v>0.1</v>
      </c>
      <c r="AC412" s="145">
        <f t="shared" si="417"/>
        <v>0</v>
      </c>
    </row>
    <row r="413" spans="2:29" ht="14" thickBot="1">
      <c r="B413" s="251"/>
      <c r="C413" s="252" t="s">
        <v>981</v>
      </c>
      <c r="D413" s="253" t="s">
        <v>134</v>
      </c>
      <c r="E413" s="245"/>
      <c r="F413" s="246">
        <f t="shared" ref="F413:AC413" si="418">SUM(F371:F412)</f>
        <v>1365.0487594828737</v>
      </c>
      <c r="G413" s="247">
        <f t="shared" si="418"/>
        <v>0</v>
      </c>
      <c r="H413" s="247">
        <f t="shared" si="418"/>
        <v>0</v>
      </c>
      <c r="I413" s="247">
        <f t="shared" si="418"/>
        <v>0</v>
      </c>
      <c r="J413" s="247">
        <f t="shared" si="418"/>
        <v>0</v>
      </c>
      <c r="K413" s="247">
        <f t="shared" si="418"/>
        <v>0</v>
      </c>
      <c r="L413" s="247">
        <f t="shared" si="418"/>
        <v>0</v>
      </c>
      <c r="M413" s="247">
        <f t="shared" si="418"/>
        <v>0</v>
      </c>
      <c r="N413" s="247">
        <f t="shared" si="418"/>
        <v>0</v>
      </c>
      <c r="O413" s="247">
        <f t="shared" si="418"/>
        <v>0</v>
      </c>
      <c r="P413" s="247">
        <f t="shared" si="418"/>
        <v>76.680000000000007</v>
      </c>
      <c r="Q413" s="247">
        <f t="shared" si="418"/>
        <v>25.3156</v>
      </c>
      <c r="R413" s="247">
        <f t="shared" si="418"/>
        <v>79.373661163960321</v>
      </c>
      <c r="S413" s="247">
        <f t="shared" si="418"/>
        <v>152.65219999999999</v>
      </c>
      <c r="T413" s="247">
        <f t="shared" si="418"/>
        <v>73.456861163960312</v>
      </c>
      <c r="U413" s="247">
        <f t="shared" si="418"/>
        <v>94.363200000000006</v>
      </c>
      <c r="V413" s="247">
        <f t="shared" si="418"/>
        <v>26.558854800000002</v>
      </c>
      <c r="W413" s="247">
        <f t="shared" si="418"/>
        <v>80.112400000000008</v>
      </c>
      <c r="X413" s="247">
        <f t="shared" si="418"/>
        <v>232.38658279999999</v>
      </c>
      <c r="Y413" s="247">
        <f t="shared" si="418"/>
        <v>42.660029163960317</v>
      </c>
      <c r="Z413" s="247">
        <f t="shared" si="418"/>
        <v>203.02134661351636</v>
      </c>
      <c r="AA413" s="247">
        <f t="shared" si="418"/>
        <v>28.090261163960317</v>
      </c>
      <c r="AB413" s="247">
        <f t="shared" si="418"/>
        <v>93.352162613516413</v>
      </c>
      <c r="AC413" s="247">
        <f t="shared" si="418"/>
        <v>157.0256</v>
      </c>
    </row>
  </sheetData>
  <dataValidations count="10">
    <dataValidation type="list" allowBlank="1" showInputMessage="1" showErrorMessage="1" sqref="C24 C29 C33 C38 C43" xr:uid="{9CB95D8B-B40C-4014-8E2F-0C75C8D5A0EC}">
      <formula1>$CI$4:$CI$23</formula1>
    </dataValidation>
    <dataValidation type="list" allowBlank="1" showInputMessage="1" showErrorMessage="1" sqref="C11 C19 C15" xr:uid="{CEDB39F4-CB1E-4926-BE54-C84AC924CFB4}">
      <formula1>$CH$4:$CH$7</formula1>
    </dataValidation>
    <dataValidation type="list" allowBlank="1" showInputMessage="1" showErrorMessage="1" sqref="C49" xr:uid="{435C5E9C-9BC9-42FA-96E8-C596EDD10D4C}">
      <formula1>$CJ$4:$CJ$7</formula1>
    </dataValidation>
    <dataValidation type="list" allowBlank="1" showInputMessage="1" showErrorMessage="1" sqref="C54 C59" xr:uid="{5FDFB9EA-180A-44AE-A241-F5F7059FD49A}">
      <formula1>$CK$4:$CK$12</formula1>
    </dataValidation>
    <dataValidation type="list" allowBlank="1" showInputMessage="1" showErrorMessage="1" sqref="C65 C75 C80 C70" xr:uid="{DDE79684-D26E-4F1C-8064-9E6E814A6502}">
      <formula1>$CL$4:$CL$23</formula1>
    </dataValidation>
    <dataValidation type="list" allowBlank="1" showInputMessage="1" showErrorMessage="1" sqref="C86 C88 C90 C92" xr:uid="{E8CA5CFB-7131-45B1-9F49-9F0B8CA1613F}">
      <formula1>$CM$4:$CM$18</formula1>
    </dataValidation>
    <dataValidation type="list" allowBlank="1" showInputMessage="1" showErrorMessage="1" sqref="C96 C98" xr:uid="{F616CD39-C8D0-4C05-9DDC-F1FF42F82660}">
      <formula1>$CN$4:$CN$8</formula1>
    </dataValidation>
    <dataValidation type="list" allowBlank="1" showInputMessage="1" showErrorMessage="1" sqref="C102 C104 C106 C108" xr:uid="{584EDDAA-E7DB-47E3-A5D4-4ADEF502741D}">
      <formula1>$CO$4:$CO$13</formula1>
    </dataValidation>
    <dataValidation type="list" allowBlank="1" showInputMessage="1" showErrorMessage="1" sqref="C112:C131" xr:uid="{7150FFE0-25E8-410D-A9FE-500A838A9A98}">
      <formula1>$CP$4:$CP$43</formula1>
    </dataValidation>
    <dataValidation type="list" allowBlank="1" showInputMessage="1" showErrorMessage="1" sqref="A38" xr:uid="{C40E24DD-8A0D-4722-B5DF-0E13B0CD265C}">
      <formula1>"Yes,No"</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F84DD-C02B-4460-B87E-43041832B21C}">
  <sheetPr codeName="Sheet20">
    <tabColor rgb="FF00B050"/>
  </sheetPr>
  <dimension ref="B1:V53"/>
  <sheetViews>
    <sheetView showGridLines="0" workbookViewId="0">
      <selection activeCell="C8" sqref="C8"/>
    </sheetView>
  </sheetViews>
  <sheetFormatPr baseColWidth="10" defaultColWidth="9.33203125" defaultRowHeight="11"/>
  <cols>
    <col min="1" max="1" width="4.83203125" style="109" customWidth="1"/>
    <col min="2" max="2" width="14.33203125" style="109" customWidth="1"/>
    <col min="3" max="3" width="38.6640625" style="109" bestFit="1" customWidth="1"/>
    <col min="4" max="4" width="14.33203125" style="115" customWidth="1"/>
    <col min="5" max="5" width="11.1640625" style="115" bestFit="1" customWidth="1"/>
    <col min="6" max="6" width="12.5" style="116" bestFit="1" customWidth="1"/>
    <col min="7" max="7" width="8" style="116" bestFit="1" customWidth="1"/>
    <col min="8" max="8" width="9" style="116" bestFit="1" customWidth="1"/>
    <col min="9" max="9" width="9.83203125" style="116" bestFit="1" customWidth="1"/>
    <col min="10" max="10" width="9.6640625" style="109" bestFit="1" customWidth="1"/>
    <col min="11" max="11" width="9" style="109" bestFit="1" customWidth="1"/>
    <col min="12" max="12" width="10" style="109" bestFit="1" customWidth="1"/>
    <col min="13" max="13" width="9.33203125" style="109" bestFit="1"/>
    <col min="14" max="14" width="7.6640625" style="109" bestFit="1" customWidth="1"/>
    <col min="15" max="15" width="4.83203125" style="109" bestFit="1" customWidth="1"/>
    <col min="16" max="16" width="6.5" style="109" bestFit="1" customWidth="1"/>
    <col min="17" max="17" width="6.83203125" style="109" bestFit="1" customWidth="1"/>
    <col min="18" max="19" width="6.5" style="109" bestFit="1" customWidth="1"/>
    <col min="20" max="20" width="6.5" style="109" customWidth="1"/>
    <col min="21" max="21" width="9.83203125" style="109" customWidth="1"/>
    <col min="22" max="22" width="9.1640625" style="109" customWidth="1"/>
    <col min="23" max="23" width="4.5" style="109" bestFit="1" customWidth="1"/>
    <col min="24" max="24" width="5.1640625" style="109" bestFit="1" customWidth="1"/>
    <col min="25" max="25" width="12.33203125" style="109" bestFit="1" customWidth="1"/>
    <col min="26" max="26" width="12.5" style="109" bestFit="1" customWidth="1"/>
    <col min="27" max="16384" width="9.33203125" style="109"/>
  </cols>
  <sheetData>
    <row r="1" spans="2:22">
      <c r="C1" s="108">
        <v>1</v>
      </c>
      <c r="D1" s="108">
        <f>C1+1</f>
        <v>2</v>
      </c>
      <c r="E1" s="108">
        <f t="shared" ref="E1:R1" si="0">D1+1</f>
        <v>3</v>
      </c>
      <c r="F1" s="108">
        <f t="shared" si="0"/>
        <v>4</v>
      </c>
      <c r="G1" s="108">
        <f t="shared" si="0"/>
        <v>5</v>
      </c>
      <c r="H1" s="108">
        <f t="shared" si="0"/>
        <v>6</v>
      </c>
      <c r="I1" s="108">
        <f t="shared" si="0"/>
        <v>7</v>
      </c>
      <c r="J1" s="108">
        <f t="shared" si="0"/>
        <v>8</v>
      </c>
      <c r="K1" s="108">
        <f t="shared" si="0"/>
        <v>9</v>
      </c>
      <c r="L1" s="108">
        <f t="shared" si="0"/>
        <v>10</v>
      </c>
      <c r="M1" s="108">
        <f t="shared" si="0"/>
        <v>11</v>
      </c>
      <c r="N1" s="108">
        <f t="shared" si="0"/>
        <v>12</v>
      </c>
      <c r="O1" s="108">
        <f t="shared" si="0"/>
        <v>13</v>
      </c>
      <c r="P1" s="108">
        <f t="shared" si="0"/>
        <v>14</v>
      </c>
      <c r="Q1" s="108">
        <f t="shared" si="0"/>
        <v>15</v>
      </c>
      <c r="R1" s="108">
        <f t="shared" si="0"/>
        <v>16</v>
      </c>
      <c r="S1" s="108">
        <f>R1+1</f>
        <v>17</v>
      </c>
      <c r="T1" s="108">
        <f>S1+1</f>
        <v>18</v>
      </c>
      <c r="U1" s="108">
        <f>T1+1</f>
        <v>19</v>
      </c>
      <c r="V1" s="108">
        <f>U1+1</f>
        <v>20</v>
      </c>
    </row>
    <row r="2" spans="2:22" ht="12" thickBot="1">
      <c r="C2" s="110" t="s">
        <v>1034</v>
      </c>
      <c r="D2" s="111"/>
      <c r="E2" s="111"/>
      <c r="F2" s="112"/>
      <c r="G2" s="113"/>
      <c r="H2" s="112"/>
      <c r="I2" s="112"/>
      <c r="J2" s="114"/>
      <c r="K2" s="114"/>
      <c r="L2" s="114"/>
      <c r="M2" s="114"/>
      <c r="N2" s="114"/>
      <c r="O2" s="114"/>
      <c r="P2" s="114"/>
      <c r="Q2" s="1745" t="s">
        <v>1035</v>
      </c>
      <c r="R2" s="1746"/>
      <c r="S2" s="1747"/>
      <c r="T2" s="133"/>
      <c r="U2" s="114"/>
      <c r="V2" s="114"/>
    </row>
    <row r="3" spans="2:22">
      <c r="B3" s="137"/>
      <c r="C3" s="134" t="s">
        <v>94</v>
      </c>
      <c r="D3" s="134" t="s">
        <v>1036</v>
      </c>
      <c r="E3" s="134" t="s">
        <v>1037</v>
      </c>
      <c r="F3" s="134" t="s">
        <v>1038</v>
      </c>
      <c r="G3" s="134" t="s">
        <v>1039</v>
      </c>
      <c r="H3" s="134" t="s">
        <v>1040</v>
      </c>
      <c r="I3" s="134" t="s">
        <v>1041</v>
      </c>
      <c r="J3" s="134" t="s">
        <v>1042</v>
      </c>
      <c r="K3" s="134" t="s">
        <v>1043</v>
      </c>
      <c r="L3" s="1748" t="s">
        <v>1044</v>
      </c>
      <c r="M3" s="1748"/>
      <c r="N3" s="1748" t="s">
        <v>1045</v>
      </c>
      <c r="O3" s="1748"/>
      <c r="P3" s="134" t="s">
        <v>1046</v>
      </c>
      <c r="Q3" s="134"/>
      <c r="R3" s="134"/>
      <c r="S3" s="134" t="s">
        <v>1035</v>
      </c>
      <c r="T3" s="134" t="s">
        <v>670</v>
      </c>
      <c r="U3" s="1749" t="s">
        <v>1047</v>
      </c>
      <c r="V3" s="1750"/>
    </row>
    <row r="4" spans="2:22" ht="12" thickBot="1">
      <c r="B4" s="138"/>
      <c r="C4" s="139"/>
      <c r="D4" s="139"/>
      <c r="E4" s="139"/>
      <c r="F4" s="135" t="s">
        <v>1048</v>
      </c>
      <c r="G4" s="135" t="s">
        <v>1049</v>
      </c>
      <c r="H4" s="135" t="s">
        <v>1050</v>
      </c>
      <c r="I4" s="135" t="s">
        <v>1051</v>
      </c>
      <c r="J4" s="135" t="s">
        <v>131</v>
      </c>
      <c r="K4" s="135" t="s">
        <v>131</v>
      </c>
      <c r="L4" s="135" t="s">
        <v>1052</v>
      </c>
      <c r="M4" s="135" t="s">
        <v>1053</v>
      </c>
      <c r="N4" s="135" t="s">
        <v>1054</v>
      </c>
      <c r="O4" s="135" t="s">
        <v>125</v>
      </c>
      <c r="P4" s="135" t="s">
        <v>131</v>
      </c>
      <c r="Q4" s="135" t="s">
        <v>1055</v>
      </c>
      <c r="R4" s="135" t="s">
        <v>1055</v>
      </c>
      <c r="S4" s="135" t="s">
        <v>1055</v>
      </c>
      <c r="T4" s="135" t="s">
        <v>1056</v>
      </c>
      <c r="U4" s="135" t="s">
        <v>1057</v>
      </c>
      <c r="V4" s="136" t="s">
        <v>292</v>
      </c>
    </row>
    <row r="5" spans="2:22">
      <c r="B5" s="149" t="s">
        <v>834</v>
      </c>
      <c r="C5" s="147" t="str">
        <f>Fleet!C11</f>
        <v>Drill Machine/ 115mm diameter</v>
      </c>
      <c r="D5" s="675" t="str">
        <f>_xlfn.IFNA(VLOOKUP($C5,'Equipment Master Data'!$B$5:$W$100,4,FALSE),"")</f>
        <v>Atlas</v>
      </c>
      <c r="E5" s="675" t="str">
        <f>_xlfn.IFNA(VLOOKUP($C5,'Equipment Master Data'!$B$5:$W$100,5,FALSE),"")</f>
        <v>ICM260</v>
      </c>
      <c r="F5" s="676">
        <f>_xlfn.IFNA(VLOOKUP($C5,'Equipment Master Data'!$B$5:$W$100,6,FALSE),"")</f>
        <v>5800000</v>
      </c>
      <c r="G5" s="676">
        <f>_xlfn.IFNA(VLOOKUP($C5,'Equipment Master Data'!$B$5:$W$100,7,FALSE),"")</f>
        <v>295</v>
      </c>
      <c r="H5" s="676">
        <f>_xlfn.IFNA(VLOOKUP($C5,'Equipment Master Data'!$B$5:$W$100,8,FALSE),"")</f>
        <v>115</v>
      </c>
      <c r="I5" s="676">
        <f>_xlfn.IFNA(VLOOKUP($C5,'Equipment Master Data'!$B$5:$W$100,9,FALSE),"")</f>
        <v>0</v>
      </c>
      <c r="J5" s="677">
        <f>_xlfn.IFNA(VLOOKUP($C5,'Equipment Master Data'!$B$5:$W$100,10,FALSE),"")</f>
        <v>0.8</v>
      </c>
      <c r="K5" s="677">
        <f>_xlfn.IFNA(VLOOKUP($C5,'Equipment Master Data'!$B$5:$W$100,11,FALSE),"")</f>
        <v>0.7</v>
      </c>
      <c r="L5" s="678">
        <f>_xlfn.IFNA(VLOOKUP($C5,'Equipment Master Data'!$B$5:$W$100,12,FALSE),"")</f>
        <v>4435.2</v>
      </c>
      <c r="M5" s="679">
        <f>_xlfn.IFNA(VLOOKUP($C5,'Equipment Master Data'!$B$5:$W$100,13,FALSE),"")</f>
        <v>13.44</v>
      </c>
      <c r="N5" s="680">
        <f>_xlfn.IFNA(VLOOKUP($C5,'Equipment Master Data'!$B$5:$W$100,14,FALSE),"")</f>
        <v>24000</v>
      </c>
      <c r="O5" s="678">
        <f>_xlfn.IFNA(VLOOKUP($C5,'Equipment Master Data'!$B$5:$W$100,15,FALSE),"")</f>
        <v>5</v>
      </c>
      <c r="P5" s="681">
        <f>_xlfn.IFNA(VLOOKUP($C5,'Equipment Master Data'!$B$5:$W$100,16,FALSE),"")</f>
        <v>0.1</v>
      </c>
      <c r="Q5" s="680">
        <f>_xlfn.IFNA(VLOOKUP($C5,'Equipment Master Data'!$B$5:$W$100,17,FALSE),"")</f>
        <v>28</v>
      </c>
      <c r="R5" s="680">
        <f>_xlfn.IFNA(VLOOKUP($C5,'Equipment Master Data'!$B$5:$W$100,18,FALSE),"")</f>
        <v>30</v>
      </c>
      <c r="S5" s="680">
        <f>_xlfn.IFNA(VLOOKUP($C5,'Equipment Master Data'!$B$5:$W$100,19,FALSE),"")</f>
        <v>28</v>
      </c>
      <c r="T5" s="680">
        <f>_xlfn.IFNA(VLOOKUP($C5,'Equipment Master Data'!$B$5:$W$100,20,FALSE),"")</f>
        <v>0</v>
      </c>
      <c r="U5" s="680">
        <f>_xlfn.IFNA(VLOOKUP($C5,'Equipment Master Data'!$B$5:$W$100,21,FALSE),"")</f>
        <v>0</v>
      </c>
      <c r="V5" s="682">
        <f>_xlfn.IFNA(VLOOKUP($C5,'Equipment Master Data'!$B$5:$W$100,22,FALSE),"")</f>
        <v>0</v>
      </c>
    </row>
    <row r="6" spans="2:22">
      <c r="B6" s="149"/>
      <c r="C6" s="147" t="str">
        <f>Fleet!C15</f>
        <v>Drill Machine/ 160mm diameter</v>
      </c>
      <c r="D6" s="675" t="str">
        <f>_xlfn.IFNA(VLOOKUP(C6,'Equipment Master Data'!$B$5:$W$100,4,FALSE),"")</f>
        <v>Atlas</v>
      </c>
      <c r="E6" s="675" t="str">
        <f>_xlfn.IFNA(VLOOKUP($C6,'Equipment Master Data'!$B$5:$W$100,5,FALSE),"")</f>
        <v>IDM30</v>
      </c>
      <c r="F6" s="676">
        <f>_xlfn.IFNA(VLOOKUP($C6,'Equipment Master Data'!$B$5:$W$100,6,FALSE),"")</f>
        <v>11900000</v>
      </c>
      <c r="G6" s="676">
        <f>_xlfn.IFNA(VLOOKUP($C6,'Equipment Master Data'!$B$5:$W$100,7,FALSE),"")</f>
        <v>425</v>
      </c>
      <c r="H6" s="676">
        <f>_xlfn.IFNA(VLOOKUP($C6,'Equipment Master Data'!$B$5:$W$100,8,FALSE),"")</f>
        <v>160</v>
      </c>
      <c r="I6" s="676">
        <f>_xlfn.IFNA(VLOOKUP($C6,'Equipment Master Data'!$B$5:$W$100,9,FALSE),"")</f>
        <v>0</v>
      </c>
      <c r="J6" s="677">
        <f>_xlfn.IFNA(VLOOKUP($C6,'Equipment Master Data'!$B$5:$W$100,10,FALSE),"")</f>
        <v>0.8</v>
      </c>
      <c r="K6" s="677">
        <f>_xlfn.IFNA(VLOOKUP($C6,'Equipment Master Data'!$B$5:$W$100,11,FALSE),"")</f>
        <v>0.7</v>
      </c>
      <c r="L6" s="678">
        <f>_xlfn.IFNA(VLOOKUP($C6,'Equipment Master Data'!$B$5:$W$100,12,FALSE),"")</f>
        <v>4435.2</v>
      </c>
      <c r="M6" s="679">
        <f>_xlfn.IFNA(VLOOKUP($C6,'Equipment Master Data'!$B$5:$W$100,13,FALSE),"")</f>
        <v>13.44</v>
      </c>
      <c r="N6" s="680">
        <f>_xlfn.IFNA(VLOOKUP($C6,'Equipment Master Data'!$B$5:$W$100,14,FALSE),"")</f>
        <v>24000</v>
      </c>
      <c r="O6" s="678">
        <f>_xlfn.IFNA(VLOOKUP($C6,'Equipment Master Data'!$B$5:$W$100,15,FALSE),"")</f>
        <v>5</v>
      </c>
      <c r="P6" s="681">
        <f>_xlfn.IFNA(VLOOKUP($C6,'Equipment Master Data'!$B$5:$W$100,16,FALSE),"")</f>
        <v>0.1</v>
      </c>
      <c r="Q6" s="680">
        <f>_xlfn.IFNA(VLOOKUP($C6,'Equipment Master Data'!$B$5:$W$100,17,FALSE),"")</f>
        <v>38</v>
      </c>
      <c r="R6" s="680">
        <f>_xlfn.IFNA(VLOOKUP($C6,'Equipment Master Data'!$B$5:$W$100,18,FALSE),"")</f>
        <v>43</v>
      </c>
      <c r="S6" s="680">
        <f>_xlfn.IFNA(VLOOKUP($C6,'Equipment Master Data'!$B$5:$W$100,19,FALSE),"")</f>
        <v>38</v>
      </c>
      <c r="T6" s="680">
        <f>_xlfn.IFNA(VLOOKUP($C6,'Equipment Master Data'!$B$5:$W$100,20,FALSE),"")</f>
        <v>0</v>
      </c>
      <c r="U6" s="680">
        <f>_xlfn.IFNA(VLOOKUP($C6,'Equipment Master Data'!$B$5:$W$100,21,FALSE),"")</f>
        <v>0</v>
      </c>
      <c r="V6" s="682">
        <f>_xlfn.IFNA(VLOOKUP($C6,'Equipment Master Data'!$B$5:$W$100,22,FALSE),"")</f>
        <v>0</v>
      </c>
    </row>
    <row r="7" spans="2:22">
      <c r="B7" s="149"/>
      <c r="C7" s="147" t="str">
        <f>Fleet!C19</f>
        <v>Drill Machine/ 250mm diameter</v>
      </c>
      <c r="D7" s="675" t="str">
        <f>_xlfn.IFNA(VLOOKUP(C7,'Equipment Master Data'!$B$5:$W$100,4,FALSE),"")</f>
        <v>Revathi</v>
      </c>
      <c r="E7" s="675" t="str">
        <f>_xlfn.IFNA(VLOOKUP($C7,'Equipment Master Data'!$B$5:$W$100,5,FALSE),"")</f>
        <v>C750E</v>
      </c>
      <c r="F7" s="676">
        <f>_xlfn.IFNA(VLOOKUP($C7,'Equipment Master Data'!$B$5:$W$100,6,FALSE),"")</f>
        <v>47200000</v>
      </c>
      <c r="G7" s="676">
        <f>_xlfn.IFNA(VLOOKUP($C7,'Equipment Master Data'!$B$5:$W$100,7,FALSE),"")</f>
        <v>500</v>
      </c>
      <c r="H7" s="676">
        <f>_xlfn.IFNA(VLOOKUP($C7,'Equipment Master Data'!$B$5:$W$100,8,FALSE),"")</f>
        <v>250</v>
      </c>
      <c r="I7" s="676">
        <f>_xlfn.IFNA(VLOOKUP($C7,'Equipment Master Data'!$B$5:$W$100,9,FALSE),"")</f>
        <v>0</v>
      </c>
      <c r="J7" s="677">
        <f>_xlfn.IFNA(VLOOKUP($C7,'Equipment Master Data'!$B$5:$W$100,10,FALSE),"")</f>
        <v>0.8</v>
      </c>
      <c r="K7" s="677">
        <f>_xlfn.IFNA(VLOOKUP($C7,'Equipment Master Data'!$B$5:$W$100,11,FALSE),"")</f>
        <v>0.75</v>
      </c>
      <c r="L7" s="678">
        <f>_xlfn.IFNA(VLOOKUP($C7,'Equipment Master Data'!$B$5:$W$100,12,FALSE),"")</f>
        <v>4752</v>
      </c>
      <c r="M7" s="679">
        <f>_xlfn.IFNA(VLOOKUP($C7,'Equipment Master Data'!$B$5:$W$100,13,FALSE),"")</f>
        <v>14.4</v>
      </c>
      <c r="N7" s="680">
        <f>_xlfn.IFNA(VLOOKUP($C7,'Equipment Master Data'!$B$5:$W$100,14,FALSE),"")</f>
        <v>24000</v>
      </c>
      <c r="O7" s="678">
        <f>_xlfn.IFNA(VLOOKUP($C7,'Equipment Master Data'!$B$5:$W$100,15,FALSE),"")</f>
        <v>5</v>
      </c>
      <c r="P7" s="681">
        <f>_xlfn.IFNA(VLOOKUP($C7,'Equipment Master Data'!$B$5:$W$100,16,FALSE),"")</f>
        <v>0.1</v>
      </c>
      <c r="Q7" s="680">
        <f>_xlfn.IFNA(VLOOKUP($C7,'Equipment Master Data'!$B$5:$W$100,17,FALSE),"")</f>
        <v>60</v>
      </c>
      <c r="R7" s="680">
        <f>_xlfn.IFNA(VLOOKUP($C7,'Equipment Master Data'!$B$5:$W$100,18,FALSE),"")</f>
        <v>50</v>
      </c>
      <c r="S7" s="680">
        <f>_xlfn.IFNA(VLOOKUP($C7,'Equipment Master Data'!$B$5:$W$100,19,FALSE),"")</f>
        <v>50</v>
      </c>
      <c r="T7" s="680">
        <f>_xlfn.IFNA(VLOOKUP($C7,'Equipment Master Data'!$B$5:$W$100,20,FALSE),"")</f>
        <v>0</v>
      </c>
      <c r="U7" s="680">
        <f>_xlfn.IFNA(VLOOKUP($C7,'Equipment Master Data'!$B$5:$W$100,21,FALSE),"")</f>
        <v>0</v>
      </c>
      <c r="V7" s="682">
        <f>_xlfn.IFNA(VLOOKUP($C7,'Equipment Master Data'!$B$5:$W$100,22,FALSE),"")</f>
        <v>0</v>
      </c>
    </row>
    <row r="8" spans="2:22">
      <c r="B8" s="149" t="s">
        <v>835</v>
      </c>
      <c r="C8" s="147" t="str">
        <f>Fleet!C24</f>
        <v>Diesel hydraulic Shovel/ 1.0 cum</v>
      </c>
      <c r="D8" s="675" t="str">
        <f>_xlfn.IFNA(VLOOKUP(C8,'Equipment Master Data'!$B$5:$W$100,4,FALSE),"")</f>
        <v>CAT</v>
      </c>
      <c r="E8" s="675" t="str">
        <f>_xlfn.IFNA(VLOOKUP($C8,'Equipment Master Data'!$B$5:$W$100,5,FALSE),"")</f>
        <v>320D2L</v>
      </c>
      <c r="F8" s="676">
        <f>_xlfn.IFNA(VLOOKUP($C8,'Equipment Master Data'!$B$5:$W$100,6,FALSE),"")</f>
        <v>8640000</v>
      </c>
      <c r="G8" s="676">
        <f>_xlfn.IFNA(VLOOKUP($C8,'Equipment Master Data'!$B$5:$W$100,7,FALSE),"")</f>
        <v>146</v>
      </c>
      <c r="H8" s="676">
        <f>_xlfn.IFNA(VLOOKUP($C8,'Equipment Master Data'!$B$5:$W$100,8,FALSE),"")</f>
        <v>1</v>
      </c>
      <c r="I8" s="676">
        <f>_xlfn.IFNA(VLOOKUP($C8,'Equipment Master Data'!$B$5:$W$100,9,FALSE),"")</f>
        <v>0</v>
      </c>
      <c r="J8" s="677">
        <f>_xlfn.IFNA(VLOOKUP($C8,'Equipment Master Data'!$B$5:$W$100,10,FALSE),"")</f>
        <v>0.8</v>
      </c>
      <c r="K8" s="677">
        <f>_xlfn.IFNA(VLOOKUP($C8,'Equipment Master Data'!$B$5:$W$100,11,FALSE),"")</f>
        <v>0.75</v>
      </c>
      <c r="L8" s="678">
        <f>_xlfn.IFNA(VLOOKUP($C8,'Equipment Master Data'!$B$5:$W$100,12,FALSE),"")</f>
        <v>4752</v>
      </c>
      <c r="M8" s="679">
        <f>_xlfn.IFNA(VLOOKUP($C8,'Equipment Master Data'!$B$5:$W$100,13,FALSE),"")</f>
        <v>14.4</v>
      </c>
      <c r="N8" s="680">
        <f>_xlfn.IFNA(VLOOKUP($C8,'Equipment Master Data'!$B$5:$W$100,14,FALSE),"")</f>
        <v>30000</v>
      </c>
      <c r="O8" s="678">
        <f>_xlfn.IFNA(VLOOKUP($C8,'Equipment Master Data'!$B$5:$W$100,15,FALSE),"")</f>
        <v>6</v>
      </c>
      <c r="P8" s="681">
        <f>_xlfn.IFNA(VLOOKUP($C8,'Equipment Master Data'!$B$5:$W$100,16,FALSE),"")</f>
        <v>0.125</v>
      </c>
      <c r="Q8" s="680">
        <f>_xlfn.IFNA(VLOOKUP($C8,'Equipment Master Data'!$B$5:$W$100,17,FALSE),"")</f>
        <v>20</v>
      </c>
      <c r="R8" s="680">
        <f>_xlfn.IFNA(VLOOKUP($C8,'Equipment Master Data'!$B$5:$W$100,18,FALSE),"")</f>
        <v>15</v>
      </c>
      <c r="S8" s="680">
        <f>_xlfn.IFNA(VLOOKUP($C8,'Equipment Master Data'!$B$5:$W$100,19,FALSE),"")</f>
        <v>15</v>
      </c>
      <c r="T8" s="680">
        <f>_xlfn.IFNA(VLOOKUP($C8,'Equipment Master Data'!$B$5:$W$100,20,FALSE),"")</f>
        <v>0</v>
      </c>
      <c r="U8" s="680">
        <f>_xlfn.IFNA(VLOOKUP($C8,'Equipment Master Data'!$B$5:$W$100,21,FALSE),"")</f>
        <v>0</v>
      </c>
      <c r="V8" s="682">
        <f>_xlfn.IFNA(VLOOKUP($C8,'Equipment Master Data'!$B$5:$W$100,22,FALSE),"")</f>
        <v>0</v>
      </c>
    </row>
    <row r="9" spans="2:22">
      <c r="B9" s="149"/>
      <c r="C9" s="147" t="str">
        <f>Fleet!C29</f>
        <v>Diesel hydraulic Shovel/ 4.6 cum</v>
      </c>
      <c r="D9" s="675" t="str">
        <f>_xlfn.IFNA(VLOOKUP(C9,'Equipment Master Data'!$B$5:$W$100,4,FALSE),"")</f>
        <v>CAT</v>
      </c>
      <c r="E9" s="675" t="str">
        <f>_xlfn.IFNA(VLOOKUP($C9,'Equipment Master Data'!$B$5:$W$100,5,FALSE),"")</f>
        <v>374FL</v>
      </c>
      <c r="F9" s="676">
        <f>_xlfn.IFNA(VLOOKUP($C9,'Equipment Master Data'!$B$5:$W$100,6,FALSE),"")</f>
        <v>43500000</v>
      </c>
      <c r="G9" s="676">
        <f>_xlfn.IFNA(VLOOKUP($C9,'Equipment Master Data'!$B$5:$W$100,7,FALSE),"")</f>
        <v>472.03904000000006</v>
      </c>
      <c r="H9" s="676">
        <f>_xlfn.IFNA(VLOOKUP($C9,'Equipment Master Data'!$B$5:$W$100,8,FALSE),"")</f>
        <v>4.5999999999999996</v>
      </c>
      <c r="I9" s="676">
        <f>_xlfn.IFNA(VLOOKUP($C9,'Equipment Master Data'!$B$5:$W$100,9,FALSE),"")</f>
        <v>0</v>
      </c>
      <c r="J9" s="677">
        <f>_xlfn.IFNA(VLOOKUP($C9,'Equipment Master Data'!$B$5:$W$100,10,FALSE),"")</f>
        <v>0.8</v>
      </c>
      <c r="K9" s="677">
        <f>_xlfn.IFNA(VLOOKUP($C9,'Equipment Master Data'!$B$5:$W$100,11,FALSE),"")</f>
        <v>0.75</v>
      </c>
      <c r="L9" s="678">
        <f>_xlfn.IFNA(VLOOKUP($C9,'Equipment Master Data'!$B$5:$W$100,12,FALSE),"")</f>
        <v>4752</v>
      </c>
      <c r="M9" s="679">
        <f>_xlfn.IFNA(VLOOKUP($C9,'Equipment Master Data'!$B$5:$W$100,13,FALSE),"")</f>
        <v>14.4</v>
      </c>
      <c r="N9" s="680">
        <f>_xlfn.IFNA(VLOOKUP($C9,'Equipment Master Data'!$B$5:$W$100,14,FALSE),"")</f>
        <v>30000</v>
      </c>
      <c r="O9" s="678">
        <f>_xlfn.IFNA(VLOOKUP($C9,'Equipment Master Data'!$B$5:$W$100,15,FALSE),"")</f>
        <v>6</v>
      </c>
      <c r="P9" s="681">
        <f>_xlfn.IFNA(VLOOKUP($C9,'Equipment Master Data'!$B$5:$W$100,16,FALSE),"")</f>
        <v>0.125</v>
      </c>
      <c r="Q9" s="680">
        <f>_xlfn.IFNA(VLOOKUP($C9,'Equipment Master Data'!$B$5:$W$100,17,FALSE),"")</f>
        <v>50</v>
      </c>
      <c r="R9" s="680">
        <f>_xlfn.IFNA(VLOOKUP($C9,'Equipment Master Data'!$B$5:$W$100,18,FALSE),"")</f>
        <v>48</v>
      </c>
      <c r="S9" s="680">
        <f>_xlfn.IFNA(VLOOKUP($C9,'Equipment Master Data'!$B$5:$W$100,19,FALSE),"")</f>
        <v>48</v>
      </c>
      <c r="T9" s="680">
        <f>_xlfn.IFNA(VLOOKUP($C9,'Equipment Master Data'!$B$5:$W$100,20,FALSE),"")</f>
        <v>0</v>
      </c>
      <c r="U9" s="680">
        <f>_xlfn.IFNA(VLOOKUP($C9,'Equipment Master Data'!$B$5:$W$100,21,FALSE),"")</f>
        <v>0</v>
      </c>
      <c r="V9" s="682">
        <f>_xlfn.IFNA(VLOOKUP($C9,'Equipment Master Data'!$B$5:$W$100,22,FALSE),"")</f>
        <v>0</v>
      </c>
    </row>
    <row r="10" spans="2:22">
      <c r="B10" s="149"/>
      <c r="C10" s="147" t="str">
        <f>Fleet!C33</f>
        <v>Diesel hydraulic shovel/ 10 cum</v>
      </c>
      <c r="D10" s="675" t="str">
        <f>_xlfn.IFNA(VLOOKUP(C10,'Equipment Master Data'!$B$5:$W$100,4,FALSE),"")</f>
        <v>CAT</v>
      </c>
      <c r="E10" s="675" t="str">
        <f>_xlfn.IFNA(VLOOKUP($C10,'Equipment Master Data'!$B$5:$W$100,5,FALSE),"")</f>
        <v>6018 AC FS</v>
      </c>
      <c r="F10" s="676">
        <f>_xlfn.IFNA(VLOOKUP($C10,'Equipment Master Data'!$B$5:$W$100,6,FALSE),"")</f>
        <v>185500000</v>
      </c>
      <c r="G10" s="676">
        <f>_xlfn.IFNA(VLOOKUP($C10,'Equipment Master Data'!$B$5:$W$100,7,FALSE),"")</f>
        <v>1150</v>
      </c>
      <c r="H10" s="676">
        <f>_xlfn.IFNA(VLOOKUP($C10,'Equipment Master Data'!$B$5:$W$100,8,FALSE),"")</f>
        <v>10</v>
      </c>
      <c r="I10" s="676">
        <f>_xlfn.IFNA(VLOOKUP($C10,'Equipment Master Data'!$B$5:$W$100,9,FALSE),"")</f>
        <v>0</v>
      </c>
      <c r="J10" s="677">
        <f>_xlfn.IFNA(VLOOKUP($C10,'Equipment Master Data'!$B$5:$W$100,10,FALSE),"")</f>
        <v>0.8</v>
      </c>
      <c r="K10" s="677">
        <f>_xlfn.IFNA(VLOOKUP($C10,'Equipment Master Data'!$B$5:$W$100,11,FALSE),"")</f>
        <v>0.8</v>
      </c>
      <c r="L10" s="678">
        <f>_xlfn.IFNA(VLOOKUP($C10,'Equipment Master Data'!$B$5:$W$100,12,FALSE),"")</f>
        <v>5068.8</v>
      </c>
      <c r="M10" s="679">
        <f>_xlfn.IFNA(VLOOKUP($C10,'Equipment Master Data'!$B$5:$W$100,13,FALSE),"")</f>
        <v>15.360000000000001</v>
      </c>
      <c r="N10" s="680">
        <f>_xlfn.IFNA(VLOOKUP($C10,'Equipment Master Data'!$B$5:$W$100,14,FALSE),"")</f>
        <v>30000</v>
      </c>
      <c r="O10" s="678">
        <f>_xlfn.IFNA(VLOOKUP($C10,'Equipment Master Data'!$B$5:$W$100,15,FALSE),"")</f>
        <v>5</v>
      </c>
      <c r="P10" s="681">
        <f>_xlfn.IFNA(VLOOKUP($C10,'Equipment Master Data'!$B$5:$W$100,16,FALSE),"")</f>
        <v>0.125</v>
      </c>
      <c r="Q10" s="680">
        <f>_xlfn.IFNA(VLOOKUP($C10,'Equipment Master Data'!$B$5:$W$100,17,FALSE),"")</f>
        <v>0</v>
      </c>
      <c r="R10" s="680">
        <f>_xlfn.IFNA(VLOOKUP($C10,'Equipment Master Data'!$B$5:$W$100,18,FALSE),"")</f>
        <v>115</v>
      </c>
      <c r="S10" s="680">
        <f>_xlfn.IFNA(VLOOKUP($C10,'Equipment Master Data'!$B$5:$W$100,19,FALSE),"")</f>
        <v>0</v>
      </c>
      <c r="T10" s="680">
        <f>_xlfn.IFNA(VLOOKUP($C10,'Equipment Master Data'!$B$5:$W$100,20,FALSE),"")</f>
        <v>857.55618857287732</v>
      </c>
      <c r="U10" s="680">
        <f>_xlfn.IFNA(VLOOKUP($C10,'Equipment Master Data'!$B$5:$W$100,21,FALSE),"")</f>
        <v>0</v>
      </c>
      <c r="V10" s="682">
        <f>_xlfn.IFNA(VLOOKUP($C10,'Equipment Master Data'!$B$5:$W$100,22,FALSE),"")</f>
        <v>0</v>
      </c>
    </row>
    <row r="11" spans="2:22">
      <c r="B11" s="149"/>
      <c r="C11" s="147" t="str">
        <f>Fleet!C38</f>
        <v>Diesel hydraulic Shovel/ 3.4 cum</v>
      </c>
      <c r="D11" s="675" t="str">
        <f>_xlfn.IFNA(VLOOKUP(C11,'Equipment Master Data'!$B$5:$W$100,4,FALSE),"")</f>
        <v>CAT</v>
      </c>
      <c r="E11" s="675" t="str">
        <f>_xlfn.IFNA(VLOOKUP($C11,'Equipment Master Data'!$B$5:$W$100,5,FALSE),"")</f>
        <v>349D2L</v>
      </c>
      <c r="F11" s="676">
        <f>_xlfn.IFNA(VLOOKUP($C11,'Equipment Master Data'!$B$5:$W$100,6,FALSE),"")</f>
        <v>22500000</v>
      </c>
      <c r="G11" s="676">
        <f>_xlfn.IFNA(VLOOKUP($C11,'Equipment Master Data'!$B$5:$W$100,7,FALSE),"")</f>
        <v>295</v>
      </c>
      <c r="H11" s="676">
        <f>_xlfn.IFNA(VLOOKUP($C11,'Equipment Master Data'!$B$5:$W$100,8,FALSE),"")</f>
        <v>3.4</v>
      </c>
      <c r="I11" s="676">
        <f>_xlfn.IFNA(VLOOKUP($C11,'Equipment Master Data'!$B$5:$W$100,9,FALSE),"")</f>
        <v>0</v>
      </c>
      <c r="J11" s="677">
        <f>_xlfn.IFNA(VLOOKUP($C11,'Equipment Master Data'!$B$5:$W$100,10,FALSE),"")</f>
        <v>0.8</v>
      </c>
      <c r="K11" s="677">
        <f>_xlfn.IFNA(VLOOKUP($C11,'Equipment Master Data'!$B$5:$W$100,11,FALSE),"")</f>
        <v>0.75</v>
      </c>
      <c r="L11" s="678">
        <f>_xlfn.IFNA(VLOOKUP($C11,'Equipment Master Data'!$B$5:$W$100,12,FALSE),"")</f>
        <v>4752</v>
      </c>
      <c r="M11" s="679">
        <f>_xlfn.IFNA(VLOOKUP($C11,'Equipment Master Data'!$B$5:$W$100,13,FALSE),"")</f>
        <v>14.4</v>
      </c>
      <c r="N11" s="680">
        <f>_xlfn.IFNA(VLOOKUP($C11,'Equipment Master Data'!$B$5:$W$100,14,FALSE),"")</f>
        <v>30000</v>
      </c>
      <c r="O11" s="678">
        <f>_xlfn.IFNA(VLOOKUP($C11,'Equipment Master Data'!$B$5:$W$100,15,FALSE),"")</f>
        <v>6</v>
      </c>
      <c r="P11" s="681">
        <f>_xlfn.IFNA(VLOOKUP($C11,'Equipment Master Data'!$B$5:$W$100,16,FALSE),"")</f>
        <v>0.125</v>
      </c>
      <c r="Q11" s="680">
        <f>_xlfn.IFNA(VLOOKUP($C11,'Equipment Master Data'!$B$5:$W$100,17,FALSE),"")</f>
        <v>30</v>
      </c>
      <c r="R11" s="680">
        <f>_xlfn.IFNA(VLOOKUP($C11,'Equipment Master Data'!$B$5:$W$100,18,FALSE),"")</f>
        <v>30</v>
      </c>
      <c r="S11" s="680">
        <f>_xlfn.IFNA(VLOOKUP($C11,'Equipment Master Data'!$B$5:$W$100,19,FALSE),"")</f>
        <v>30</v>
      </c>
      <c r="T11" s="680">
        <f>_xlfn.IFNA(VLOOKUP($C11,'Equipment Master Data'!$B$5:$W$100,20,FALSE),"")</f>
        <v>0</v>
      </c>
      <c r="U11" s="680">
        <f>_xlfn.IFNA(VLOOKUP($C11,'Equipment Master Data'!$B$5:$W$100,21,FALSE),"")</f>
        <v>0</v>
      </c>
      <c r="V11" s="682">
        <f>_xlfn.IFNA(VLOOKUP($C11,'Equipment Master Data'!$B$5:$W$100,22,FALSE),"")</f>
        <v>0</v>
      </c>
    </row>
    <row r="12" spans="2:22">
      <c r="B12" s="149"/>
      <c r="C12" s="147" t="str">
        <f>Fleet!C43</f>
        <v>Diesel hydraulic Shovel/ 3.4 cum</v>
      </c>
      <c r="D12" s="675" t="str">
        <f>_xlfn.IFNA(VLOOKUP(C12,'Equipment Master Data'!$B$5:$W$100,4,FALSE),"")</f>
        <v>CAT</v>
      </c>
      <c r="E12" s="675" t="str">
        <f>_xlfn.IFNA(VLOOKUP($C12,'Equipment Master Data'!$B$5:$W$100,5,FALSE),"")</f>
        <v>349D2L</v>
      </c>
      <c r="F12" s="676">
        <f>_xlfn.IFNA(VLOOKUP($C12,'Equipment Master Data'!$B$5:$W$100,6,FALSE),"")</f>
        <v>22500000</v>
      </c>
      <c r="G12" s="676">
        <f>_xlfn.IFNA(VLOOKUP($C12,'Equipment Master Data'!$B$5:$W$100,7,FALSE),"")</f>
        <v>295</v>
      </c>
      <c r="H12" s="676">
        <f>_xlfn.IFNA(VLOOKUP($C12,'Equipment Master Data'!$B$5:$W$100,8,FALSE),"")</f>
        <v>3.4</v>
      </c>
      <c r="I12" s="676">
        <f>_xlfn.IFNA(VLOOKUP($C12,'Equipment Master Data'!$B$5:$W$100,9,FALSE),"")</f>
        <v>0</v>
      </c>
      <c r="J12" s="677">
        <f>_xlfn.IFNA(VLOOKUP($C12,'Equipment Master Data'!$B$5:$W$100,10,FALSE),"")</f>
        <v>0.8</v>
      </c>
      <c r="K12" s="677">
        <f>_xlfn.IFNA(VLOOKUP($C12,'Equipment Master Data'!$B$5:$W$100,11,FALSE),"")</f>
        <v>0.75</v>
      </c>
      <c r="L12" s="678">
        <f>_xlfn.IFNA(VLOOKUP($C12,'Equipment Master Data'!$B$5:$W$100,12,FALSE),"")</f>
        <v>4752</v>
      </c>
      <c r="M12" s="679">
        <f>_xlfn.IFNA(VLOOKUP($C12,'Equipment Master Data'!$B$5:$W$100,13,FALSE),"")</f>
        <v>14.4</v>
      </c>
      <c r="N12" s="680">
        <f>_xlfn.IFNA(VLOOKUP($C12,'Equipment Master Data'!$B$5:$W$100,14,FALSE),"")</f>
        <v>30000</v>
      </c>
      <c r="O12" s="678">
        <f>_xlfn.IFNA(VLOOKUP($C12,'Equipment Master Data'!$B$5:$W$100,15,FALSE),"")</f>
        <v>6</v>
      </c>
      <c r="P12" s="681">
        <f>_xlfn.IFNA(VLOOKUP($C12,'Equipment Master Data'!$B$5:$W$100,16,FALSE),"")</f>
        <v>0.125</v>
      </c>
      <c r="Q12" s="680">
        <f>_xlfn.IFNA(VLOOKUP($C12,'Equipment Master Data'!$B$5:$W$100,17,FALSE),"")</f>
        <v>30</v>
      </c>
      <c r="R12" s="680">
        <f>_xlfn.IFNA(VLOOKUP($C12,'Equipment Master Data'!$B$5:$W$100,18,FALSE),"")</f>
        <v>30</v>
      </c>
      <c r="S12" s="680">
        <f>_xlfn.IFNA(VLOOKUP($C12,'Equipment Master Data'!$B$5:$W$100,19,FALSE),"")</f>
        <v>30</v>
      </c>
      <c r="T12" s="680">
        <f>_xlfn.IFNA(VLOOKUP($C12,'Equipment Master Data'!$B$5:$W$100,20,FALSE),"")</f>
        <v>0</v>
      </c>
      <c r="U12" s="680">
        <f>_xlfn.IFNA(VLOOKUP($C12,'Equipment Master Data'!$B$5:$W$100,21,FALSE),"")</f>
        <v>0</v>
      </c>
      <c r="V12" s="682">
        <f>_xlfn.IFNA(VLOOKUP($C12,'Equipment Master Data'!$B$5:$W$100,22,FALSE),"")</f>
        <v>0</v>
      </c>
    </row>
    <row r="13" spans="2:22">
      <c r="B13" s="149" t="s">
        <v>85</v>
      </c>
      <c r="C13" s="147" t="str">
        <f>Fleet!C49</f>
        <v>Surface Miner/ 2200 SM</v>
      </c>
      <c r="D13" s="675" t="str">
        <f>_xlfn.IFNA(VLOOKUP(C13,'Equipment Master Data'!$B$5:$W$100,4,FALSE),"")</f>
        <v xml:space="preserve">Writgen </v>
      </c>
      <c r="E13" s="675" t="str">
        <f>_xlfn.IFNA(VLOOKUP($C13,'Equipment Master Data'!$B$5:$W$100,5,FALSE),"")</f>
        <v>2200SM</v>
      </c>
      <c r="F13" s="676">
        <f>_xlfn.IFNA(VLOOKUP($C13,'Equipment Master Data'!$B$5:$W$100,6,FALSE),"")</f>
        <v>76700000</v>
      </c>
      <c r="G13" s="676">
        <f>_xlfn.IFNA(VLOOKUP($C13,'Equipment Master Data'!$B$5:$W$100,7,FALSE),"")</f>
        <v>950</v>
      </c>
      <c r="H13" s="676">
        <f>_xlfn.IFNA(VLOOKUP($C13,'Equipment Master Data'!$B$5:$W$100,8,FALSE),"")</f>
        <v>0</v>
      </c>
      <c r="I13" s="676">
        <f>_xlfn.IFNA(VLOOKUP($C13,'Equipment Master Data'!$B$5:$W$100,9,FALSE),"")</f>
        <v>0</v>
      </c>
      <c r="J13" s="677">
        <f>_xlfn.IFNA(VLOOKUP($C13,'Equipment Master Data'!$B$5:$W$100,10,FALSE),"")</f>
        <v>0.85</v>
      </c>
      <c r="K13" s="677">
        <f>_xlfn.IFNA(VLOOKUP($C13,'Equipment Master Data'!$B$5:$W$100,11,FALSE),"")</f>
        <v>0.8</v>
      </c>
      <c r="L13" s="678">
        <f>_xlfn.IFNA(VLOOKUP($C13,'Equipment Master Data'!$B$5:$W$100,12,FALSE),"")</f>
        <v>5385.6</v>
      </c>
      <c r="M13" s="679">
        <f>_xlfn.IFNA(VLOOKUP($C13,'Equipment Master Data'!$B$5:$W$100,13,FALSE),"")</f>
        <v>16.32</v>
      </c>
      <c r="N13" s="680">
        <f>_xlfn.IFNA(VLOOKUP($C13,'Equipment Master Data'!$B$5:$W$100,14,FALSE),"")</f>
        <v>30000</v>
      </c>
      <c r="O13" s="678">
        <f>_xlfn.IFNA(VLOOKUP($C13,'Equipment Master Data'!$B$5:$W$100,15,FALSE),"")</f>
        <v>5</v>
      </c>
      <c r="P13" s="681">
        <f>_xlfn.IFNA(VLOOKUP($C13,'Equipment Master Data'!$B$5:$W$100,16,FALSE),"")</f>
        <v>0.16666666666666666</v>
      </c>
      <c r="Q13" s="680">
        <f>_xlfn.IFNA(VLOOKUP($C13,'Equipment Master Data'!$B$5:$W$100,17,FALSE),"")</f>
        <v>90</v>
      </c>
      <c r="R13" s="680">
        <f>_xlfn.IFNA(VLOOKUP($C13,'Equipment Master Data'!$B$5:$W$100,18,FALSE),"")</f>
        <v>95</v>
      </c>
      <c r="S13" s="680">
        <f>_xlfn.IFNA(VLOOKUP($C13,'Equipment Master Data'!$B$5:$W$100,19,FALSE),"")</f>
        <v>90</v>
      </c>
      <c r="T13" s="680">
        <f>_xlfn.IFNA(VLOOKUP($C13,'Equipment Master Data'!$B$5:$W$100,20,FALSE),"")</f>
        <v>0</v>
      </c>
      <c r="U13" s="680">
        <f>_xlfn.IFNA(VLOOKUP($C13,'Equipment Master Data'!$B$5:$W$100,21,FALSE),"")</f>
        <v>0</v>
      </c>
      <c r="V13" s="682">
        <f>_xlfn.IFNA(VLOOKUP($C13,'Equipment Master Data'!$B$5:$W$100,22,FALSE),"")</f>
        <v>0</v>
      </c>
    </row>
    <row r="14" spans="2:22">
      <c r="B14" s="149"/>
      <c r="C14" s="147"/>
      <c r="D14" s="675" t="str">
        <f>_xlfn.IFNA(VLOOKUP(C14,'Equipment Master Data'!$B$5:$W$100,4,FALSE),"")</f>
        <v/>
      </c>
      <c r="E14" s="675" t="str">
        <f>_xlfn.IFNA(VLOOKUP($C14,'Equipment Master Data'!$B$5:$W$100,5,FALSE),"")</f>
        <v/>
      </c>
      <c r="F14" s="676" t="str">
        <f>_xlfn.IFNA(VLOOKUP($C14,'Equipment Master Data'!$B$5:$W$100,6,FALSE),"")</f>
        <v/>
      </c>
      <c r="G14" s="676" t="str">
        <f>_xlfn.IFNA(VLOOKUP($C14,'Equipment Master Data'!$B$5:$W$100,7,FALSE),"")</f>
        <v/>
      </c>
      <c r="H14" s="676" t="str">
        <f>_xlfn.IFNA(VLOOKUP($C14,'Equipment Master Data'!$B$5:$W$100,8,FALSE),"")</f>
        <v/>
      </c>
      <c r="I14" s="676" t="str">
        <f>_xlfn.IFNA(VLOOKUP($C14,'Equipment Master Data'!$B$5:$W$100,9,FALSE),"")</f>
        <v/>
      </c>
      <c r="J14" s="677" t="str">
        <f>_xlfn.IFNA(VLOOKUP($C14,'Equipment Master Data'!$B$5:$W$100,10,FALSE),"")</f>
        <v/>
      </c>
      <c r="K14" s="677" t="str">
        <f>_xlfn.IFNA(VLOOKUP($C14,'Equipment Master Data'!$B$5:$W$100,11,FALSE),"")</f>
        <v/>
      </c>
      <c r="L14" s="678" t="str">
        <f>_xlfn.IFNA(VLOOKUP($C14,'Equipment Master Data'!$B$5:$W$100,12,FALSE),"")</f>
        <v/>
      </c>
      <c r="M14" s="679" t="str">
        <f>_xlfn.IFNA(VLOOKUP($C14,'Equipment Master Data'!$B$5:$W$100,13,FALSE),"")</f>
        <v/>
      </c>
      <c r="N14" s="680" t="str">
        <f>_xlfn.IFNA(VLOOKUP($C14,'Equipment Master Data'!$B$5:$W$100,14,FALSE),"")</f>
        <v/>
      </c>
      <c r="O14" s="678" t="str">
        <f>_xlfn.IFNA(VLOOKUP($C14,'Equipment Master Data'!$B$5:$W$100,15,FALSE),"")</f>
        <v/>
      </c>
      <c r="P14" s="681" t="str">
        <f>_xlfn.IFNA(VLOOKUP($C14,'Equipment Master Data'!$B$5:$W$100,16,FALSE),"")</f>
        <v/>
      </c>
      <c r="Q14" s="680" t="str">
        <f>_xlfn.IFNA(VLOOKUP($C14,'Equipment Master Data'!$B$5:$W$100,17,FALSE),"")</f>
        <v/>
      </c>
      <c r="R14" s="680" t="str">
        <f>_xlfn.IFNA(VLOOKUP($C14,'Equipment Master Data'!$B$5:$W$100,18,FALSE),"")</f>
        <v/>
      </c>
      <c r="S14" s="680" t="str">
        <f>_xlfn.IFNA(VLOOKUP($C14,'Equipment Master Data'!$B$5:$W$100,19,FALSE),"")</f>
        <v/>
      </c>
      <c r="T14" s="680" t="str">
        <f>_xlfn.IFNA(VLOOKUP($C14,'Equipment Master Data'!$B$5:$W$100,20,FALSE),"")</f>
        <v/>
      </c>
      <c r="U14" s="680" t="str">
        <f>_xlfn.IFNA(VLOOKUP($C14,'Equipment Master Data'!$B$5:$W$100,21,FALSE),"")</f>
        <v/>
      </c>
      <c r="V14" s="682" t="str">
        <f>_xlfn.IFNA(VLOOKUP($C14,'Equipment Master Data'!$B$5:$W$100,22,FALSE),"")</f>
        <v/>
      </c>
    </row>
    <row r="15" spans="2:22">
      <c r="B15" s="149" t="s">
        <v>836</v>
      </c>
      <c r="C15" s="147" t="str">
        <f>Fleet!C54</f>
        <v>Front End Loader/ 6.4 cum</v>
      </c>
      <c r="D15" s="675" t="str">
        <f>_xlfn.IFNA(VLOOKUP(C15,'Equipment Master Data'!$B$5:$W$100,4,FALSE),"")</f>
        <v>CAT</v>
      </c>
      <c r="E15" s="675" t="str">
        <f>_xlfn.IFNA(VLOOKUP($C15,'Equipment Master Data'!$B$5:$W$100,5,FALSE),"")</f>
        <v>988K</v>
      </c>
      <c r="F15" s="676">
        <f>_xlfn.IFNA(VLOOKUP($C15,'Equipment Master Data'!$B$5:$W$100,6,FALSE),"")</f>
        <v>45200000</v>
      </c>
      <c r="G15" s="676">
        <f>_xlfn.IFNA(VLOOKUP($C15,'Equipment Master Data'!$B$5:$W$100,7,FALSE),"")</f>
        <v>541</v>
      </c>
      <c r="H15" s="676">
        <f>_xlfn.IFNA(VLOOKUP($C15,'Equipment Master Data'!$B$5:$W$100,8,FALSE),"")</f>
        <v>6.4</v>
      </c>
      <c r="I15" s="676">
        <f>_xlfn.IFNA(VLOOKUP($C15,'Equipment Master Data'!$B$5:$W$100,9,FALSE),"")</f>
        <v>0</v>
      </c>
      <c r="J15" s="677">
        <f>_xlfn.IFNA(VLOOKUP($C15,'Equipment Master Data'!$B$5:$W$100,10,FALSE),"")</f>
        <v>0.85</v>
      </c>
      <c r="K15" s="677">
        <f>_xlfn.IFNA(VLOOKUP($C15,'Equipment Master Data'!$B$5:$W$100,11,FALSE),"")</f>
        <v>0.85</v>
      </c>
      <c r="L15" s="678">
        <f>_xlfn.IFNA(VLOOKUP($C15,'Equipment Master Data'!$B$5:$W$100,12,FALSE),"")</f>
        <v>5722.2</v>
      </c>
      <c r="M15" s="679">
        <f>_xlfn.IFNA(VLOOKUP($C15,'Equipment Master Data'!$B$5:$W$100,13,FALSE),"")</f>
        <v>17.34</v>
      </c>
      <c r="N15" s="680">
        <f>_xlfn.IFNA(VLOOKUP($C15,'Equipment Master Data'!$B$5:$W$100,14,FALSE),"")</f>
        <v>30000</v>
      </c>
      <c r="O15" s="678">
        <f>_xlfn.IFNA(VLOOKUP($C15,'Equipment Master Data'!$B$5:$W$100,15,FALSE),"")</f>
        <v>5</v>
      </c>
      <c r="P15" s="681">
        <f>_xlfn.IFNA(VLOOKUP($C15,'Equipment Master Data'!$B$5:$W$100,16,FALSE),"")</f>
        <v>0.16666666666666666</v>
      </c>
      <c r="Q15" s="680">
        <f>_xlfn.IFNA(VLOOKUP($C15,'Equipment Master Data'!$B$5:$W$100,17,FALSE),"")</f>
        <v>60</v>
      </c>
      <c r="R15" s="680">
        <f>_xlfn.IFNA(VLOOKUP($C15,'Equipment Master Data'!$B$5:$W$100,18,FALSE),"")</f>
        <v>55</v>
      </c>
      <c r="S15" s="680">
        <f>_xlfn.IFNA(VLOOKUP($C15,'Equipment Master Data'!$B$5:$W$100,19,FALSE),"")</f>
        <v>55</v>
      </c>
      <c r="T15" s="680">
        <f>_xlfn.IFNA(VLOOKUP($C15,'Equipment Master Data'!$B$5:$W$100,20,FALSE),"")</f>
        <v>0</v>
      </c>
      <c r="U15" s="680">
        <f>_xlfn.IFNA(VLOOKUP($C15,'Equipment Master Data'!$B$5:$W$100,21,FALSE),"")</f>
        <v>4</v>
      </c>
      <c r="V15" s="682">
        <f>_xlfn.IFNA(VLOOKUP($C15,'Equipment Master Data'!$B$5:$W$100,22,FALSE),"")</f>
        <v>150000</v>
      </c>
    </row>
    <row r="16" spans="2:22">
      <c r="B16" s="149"/>
      <c r="C16" s="147" t="str">
        <f>Fleet!C59</f>
        <v>Front End Loader/ 1.7cum</v>
      </c>
      <c r="D16" s="675" t="str">
        <f>_xlfn.IFNA(VLOOKUP(C16,'Equipment Master Data'!$B$5:$W$100,4,FALSE),"")</f>
        <v xml:space="preserve">Komatsu </v>
      </c>
      <c r="E16" s="675">
        <f>_xlfn.IFNA(VLOOKUP($C16,'Equipment Master Data'!$B$5:$W$100,5,FALSE),"")</f>
        <v>0</v>
      </c>
      <c r="F16" s="676">
        <f>_xlfn.IFNA(VLOOKUP($C16,'Equipment Master Data'!$B$5:$W$100,6,FALSE),"")</f>
        <v>2900000</v>
      </c>
      <c r="G16" s="676">
        <f>_xlfn.IFNA(VLOOKUP($C16,'Equipment Master Data'!$B$5:$W$100,7,FALSE),"")</f>
        <v>128</v>
      </c>
      <c r="H16" s="676">
        <f>_xlfn.IFNA(VLOOKUP($C16,'Equipment Master Data'!$B$5:$W$100,8,FALSE),"")</f>
        <v>1.7</v>
      </c>
      <c r="I16" s="676">
        <f>_xlfn.IFNA(VLOOKUP($C16,'Equipment Master Data'!$B$5:$W$100,9,FALSE),"")</f>
        <v>0</v>
      </c>
      <c r="J16" s="677">
        <f>_xlfn.IFNA(VLOOKUP($C16,'Equipment Master Data'!$B$5:$W$100,10,FALSE),"")</f>
        <v>0.8</v>
      </c>
      <c r="K16" s="677">
        <f>_xlfn.IFNA(VLOOKUP($C16,'Equipment Master Data'!$B$5:$W$100,11,FALSE),"")</f>
        <v>0.5</v>
      </c>
      <c r="L16" s="678">
        <f>_xlfn.IFNA(VLOOKUP($C16,'Equipment Master Data'!$B$5:$W$100,12,FALSE),"")</f>
        <v>3168</v>
      </c>
      <c r="M16" s="679">
        <f>_xlfn.IFNA(VLOOKUP($C16,'Equipment Master Data'!$B$5:$W$100,13,FALSE),"")</f>
        <v>9.6</v>
      </c>
      <c r="N16" s="680">
        <f>_xlfn.IFNA(VLOOKUP($C16,'Equipment Master Data'!$B$5:$W$100,14,FALSE),"")</f>
        <v>30000</v>
      </c>
      <c r="O16" s="678">
        <f>_xlfn.IFNA(VLOOKUP($C16,'Equipment Master Data'!$B$5:$W$100,15,FALSE),"")</f>
        <v>9</v>
      </c>
      <c r="P16" s="681">
        <f>_xlfn.IFNA(VLOOKUP($C16,'Equipment Master Data'!$B$5:$W$100,16,FALSE),"")</f>
        <v>0.16666666666666666</v>
      </c>
      <c r="Q16" s="680">
        <f>_xlfn.IFNA(VLOOKUP($C16,'Equipment Master Data'!$B$5:$W$100,17,FALSE),"")</f>
        <v>12</v>
      </c>
      <c r="R16" s="680">
        <f>_xlfn.IFNA(VLOOKUP($C16,'Equipment Master Data'!$B$5:$W$100,18,FALSE),"")</f>
        <v>13</v>
      </c>
      <c r="S16" s="680">
        <f>_xlfn.IFNA(VLOOKUP($C16,'Equipment Master Data'!$B$5:$W$100,19,FALSE),"")</f>
        <v>12</v>
      </c>
      <c r="T16" s="680">
        <f>_xlfn.IFNA(VLOOKUP($C16,'Equipment Master Data'!$B$5:$W$100,20,FALSE),"")</f>
        <v>0</v>
      </c>
      <c r="U16" s="680">
        <f>_xlfn.IFNA(VLOOKUP($C16,'Equipment Master Data'!$B$5:$W$100,21,FALSE),"")</f>
        <v>4</v>
      </c>
      <c r="V16" s="682">
        <f>_xlfn.IFNA(VLOOKUP($C16,'Equipment Master Data'!$B$5:$W$100,22,FALSE),"")</f>
        <v>76800</v>
      </c>
    </row>
    <row r="17" spans="2:22">
      <c r="B17" s="149" t="s">
        <v>837</v>
      </c>
      <c r="C17" s="147" t="str">
        <f>Fleet!C65</f>
        <v>Tipper/ 20t</v>
      </c>
      <c r="D17" s="675" t="str">
        <f>_xlfn.IFNA(VLOOKUP(C17,'Equipment Master Data'!$B$5:$W$100,4,FALSE),"")</f>
        <v>HINO</v>
      </c>
      <c r="E17" s="675" t="str">
        <f>_xlfn.IFNA(VLOOKUP($C17,'Equipment Master Data'!$B$5:$W$100,5,FALSE),"")</f>
        <v>500FM8J</v>
      </c>
      <c r="F17" s="676">
        <f>_xlfn.IFNA(VLOOKUP($C17,'Equipment Master Data'!$B$5:$W$100,6,FALSE),"")</f>
        <v>4500000</v>
      </c>
      <c r="G17" s="676">
        <f>_xlfn.IFNA(VLOOKUP($C17,'Equipment Master Data'!$B$5:$W$100,7,FALSE),"")</f>
        <v>183</v>
      </c>
      <c r="H17" s="676">
        <f>_xlfn.IFNA(VLOOKUP($C17,'Equipment Master Data'!$B$5:$W$100,8,FALSE),"")</f>
        <v>20</v>
      </c>
      <c r="I17" s="676">
        <f>_xlfn.IFNA(VLOOKUP($C17,'Equipment Master Data'!$B$5:$W$100,9,FALSE),"")</f>
        <v>14</v>
      </c>
      <c r="J17" s="677">
        <f>_xlfn.IFNA(VLOOKUP($C17,'Equipment Master Data'!$B$5:$W$100,10,FALSE),"")</f>
        <v>0.8</v>
      </c>
      <c r="K17" s="677">
        <f>_xlfn.IFNA(VLOOKUP($C17,'Equipment Master Data'!$B$5:$W$100,11,FALSE),"")</f>
        <v>0.75</v>
      </c>
      <c r="L17" s="678">
        <f>_xlfn.IFNA(VLOOKUP($C17,'Equipment Master Data'!$B$5:$W$100,12,FALSE),"")</f>
        <v>4752</v>
      </c>
      <c r="M17" s="679">
        <f>_xlfn.IFNA(VLOOKUP($C17,'Equipment Master Data'!$B$5:$W$100,13,FALSE),"")</f>
        <v>14.4</v>
      </c>
      <c r="N17" s="680">
        <f>_xlfn.IFNA(VLOOKUP($C17,'Equipment Master Data'!$B$5:$W$100,14,FALSE),"")</f>
        <v>30000</v>
      </c>
      <c r="O17" s="678">
        <f>_xlfn.IFNA(VLOOKUP($C17,'Equipment Master Data'!$B$5:$W$100,15,FALSE),"")</f>
        <v>6</v>
      </c>
      <c r="P17" s="681">
        <f>_xlfn.IFNA(VLOOKUP($C17,'Equipment Master Data'!$B$5:$W$100,16,FALSE),"")</f>
        <v>0.125</v>
      </c>
      <c r="Q17" s="680">
        <f>_xlfn.IFNA(VLOOKUP($C17,'Equipment Master Data'!$B$5:$W$100,17,FALSE),"")</f>
        <v>11</v>
      </c>
      <c r="R17" s="680">
        <f>_xlfn.IFNA(VLOOKUP($C17,'Equipment Master Data'!$B$5:$W$100,18,FALSE),"")</f>
        <v>19</v>
      </c>
      <c r="S17" s="680">
        <f>_xlfn.IFNA(VLOOKUP($C17,'Equipment Master Data'!$B$5:$W$100,19,FALSE),"")</f>
        <v>11</v>
      </c>
      <c r="T17" s="680">
        <f>_xlfn.IFNA(VLOOKUP($C17,'Equipment Master Data'!$B$5:$W$100,20,FALSE),"")</f>
        <v>0</v>
      </c>
      <c r="U17" s="680">
        <f>_xlfn.IFNA(VLOOKUP($C17,'Equipment Master Data'!$B$5:$W$100,21,FALSE),"")</f>
        <v>6</v>
      </c>
      <c r="V17" s="682">
        <f>_xlfn.IFNA(VLOOKUP($C17,'Equipment Master Data'!$B$5:$W$100,22,FALSE),"")</f>
        <v>50000</v>
      </c>
    </row>
    <row r="18" spans="2:22">
      <c r="B18" s="149"/>
      <c r="C18" s="147" t="str">
        <f>Fleet!C70</f>
        <v>Tipper/ 35t</v>
      </c>
      <c r="D18" s="675" t="str">
        <f>_xlfn.IFNA(VLOOKUP(C18,'Equipment Master Data'!$B$5:$W$100,4,FALSE),"")</f>
        <v>VOLVO</v>
      </c>
      <c r="E18" s="675" t="str">
        <f>_xlfn.IFNA(VLOOKUP($C18,'Equipment Master Data'!$B$5:$W$100,5,FALSE),"")</f>
        <v>FM400</v>
      </c>
      <c r="F18" s="676">
        <f>_xlfn.IFNA(VLOOKUP($C18,'Equipment Master Data'!$B$5:$W$100,6,FALSE),"")</f>
        <v>13500000</v>
      </c>
      <c r="G18" s="676">
        <f>_xlfn.IFNA(VLOOKUP($C18,'Equipment Master Data'!$B$5:$W$100,7,FALSE),"")</f>
        <v>460</v>
      </c>
      <c r="H18" s="676">
        <f>_xlfn.IFNA(VLOOKUP($C18,'Equipment Master Data'!$B$5:$W$100,8,FALSE),"")</f>
        <v>35</v>
      </c>
      <c r="I18" s="676">
        <f>_xlfn.IFNA(VLOOKUP($C18,'Equipment Master Data'!$B$5:$W$100,9,FALSE),"")</f>
        <v>18</v>
      </c>
      <c r="J18" s="677">
        <f>_xlfn.IFNA(VLOOKUP($C18,'Equipment Master Data'!$B$5:$W$100,10,FALSE),"")</f>
        <v>0.8</v>
      </c>
      <c r="K18" s="677">
        <f>_xlfn.IFNA(VLOOKUP($C18,'Equipment Master Data'!$B$5:$W$100,11,FALSE),"")</f>
        <v>0.75</v>
      </c>
      <c r="L18" s="678">
        <f>_xlfn.IFNA(VLOOKUP($C18,'Equipment Master Data'!$B$5:$W$100,12,FALSE),"")</f>
        <v>4752</v>
      </c>
      <c r="M18" s="679">
        <f>_xlfn.IFNA(VLOOKUP($C18,'Equipment Master Data'!$B$5:$W$100,13,FALSE),"")</f>
        <v>14.4</v>
      </c>
      <c r="N18" s="680">
        <f>_xlfn.IFNA(VLOOKUP($C18,'Equipment Master Data'!$B$5:$W$100,14,FALSE),"")</f>
        <v>30000</v>
      </c>
      <c r="O18" s="678">
        <f>_xlfn.IFNA(VLOOKUP($C18,'Equipment Master Data'!$B$5:$W$100,15,FALSE),"")</f>
        <v>6</v>
      </c>
      <c r="P18" s="681">
        <f>_xlfn.IFNA(VLOOKUP($C18,'Equipment Master Data'!$B$5:$W$100,16,FALSE),"")</f>
        <v>0.125</v>
      </c>
      <c r="Q18" s="680">
        <f>_xlfn.IFNA(VLOOKUP($C18,'Equipment Master Data'!$B$5:$W$100,17,FALSE),"")</f>
        <v>19</v>
      </c>
      <c r="R18" s="680">
        <f>_xlfn.IFNA(VLOOKUP($C18,'Equipment Master Data'!$B$5:$W$100,18,FALSE),"")</f>
        <v>46</v>
      </c>
      <c r="S18" s="680">
        <f>_xlfn.IFNA(VLOOKUP($C18,'Equipment Master Data'!$B$5:$W$100,19,FALSE),"")</f>
        <v>19</v>
      </c>
      <c r="T18" s="680">
        <f>_xlfn.IFNA(VLOOKUP($C18,'Equipment Master Data'!$B$5:$W$100,20,FALSE),"")</f>
        <v>0</v>
      </c>
      <c r="U18" s="680">
        <f>_xlfn.IFNA(VLOOKUP($C18,'Equipment Master Data'!$B$5:$W$100,21,FALSE),"")</f>
        <v>12</v>
      </c>
      <c r="V18" s="682">
        <f>_xlfn.IFNA(VLOOKUP($C18,'Equipment Master Data'!$B$5:$W$100,22,FALSE),"")</f>
        <v>75000</v>
      </c>
    </row>
    <row r="19" spans="2:22">
      <c r="B19" s="149"/>
      <c r="C19" s="147" t="str">
        <f>Fleet!C75</f>
        <v>Dumper/ 100t</v>
      </c>
      <c r="D19" s="675" t="str">
        <f>_xlfn.IFNA(VLOOKUP(C19,'Equipment Master Data'!$B$5:$W$100,4,FALSE),"")</f>
        <v>CAT</v>
      </c>
      <c r="E19" s="675" t="str">
        <f>_xlfn.IFNA(VLOOKUP($C19,'Equipment Master Data'!$B$5:$W$100,5,FALSE),"")</f>
        <v>777D</v>
      </c>
      <c r="F19" s="676">
        <f>_xlfn.IFNA(VLOOKUP($C19,'Equipment Master Data'!$B$5:$W$100,6,FALSE),"")</f>
        <v>40839680</v>
      </c>
      <c r="G19" s="676">
        <f>_xlfn.IFNA(VLOOKUP($C19,'Equipment Master Data'!$B$5:$W$100,7,FALSE),"")</f>
        <v>1024</v>
      </c>
      <c r="H19" s="676">
        <f>_xlfn.IFNA(VLOOKUP($C19,'Equipment Master Data'!$B$5:$W$100,8,FALSE),"")</f>
        <v>100</v>
      </c>
      <c r="I19" s="676">
        <f>_xlfn.IFNA(VLOOKUP($C19,'Equipment Master Data'!$B$5:$W$100,9,FALSE),"")</f>
        <v>60.1</v>
      </c>
      <c r="J19" s="677">
        <f>_xlfn.IFNA(VLOOKUP($C19,'Equipment Master Data'!$B$5:$W$100,10,FALSE),"")</f>
        <v>0.8</v>
      </c>
      <c r="K19" s="677">
        <f>_xlfn.IFNA(VLOOKUP($C19,'Equipment Master Data'!$B$5:$W$100,11,FALSE),"")</f>
        <v>0.75</v>
      </c>
      <c r="L19" s="678">
        <f>_xlfn.IFNA(VLOOKUP($C19,'Equipment Master Data'!$B$5:$W$100,12,FALSE),"")</f>
        <v>4752</v>
      </c>
      <c r="M19" s="679">
        <f>_xlfn.IFNA(VLOOKUP($C19,'Equipment Master Data'!$B$5:$W$100,13,FALSE),"")</f>
        <v>14.4</v>
      </c>
      <c r="N19" s="680">
        <f>_xlfn.IFNA(VLOOKUP($C19,'Equipment Master Data'!$B$5:$W$100,14,FALSE),"")</f>
        <v>50000</v>
      </c>
      <c r="O19" s="678">
        <f>_xlfn.IFNA(VLOOKUP($C19,'Equipment Master Data'!$B$5:$W$100,15,FALSE),"")</f>
        <v>10</v>
      </c>
      <c r="P19" s="681">
        <f>_xlfn.IFNA(VLOOKUP($C19,'Equipment Master Data'!$B$5:$W$100,16,FALSE),"")</f>
        <v>0.125</v>
      </c>
      <c r="Q19" s="680">
        <f>_xlfn.IFNA(VLOOKUP($C19,'Equipment Master Data'!$B$5:$W$100,17,FALSE),"")</f>
        <v>50</v>
      </c>
      <c r="R19" s="680">
        <f>_xlfn.IFNA(VLOOKUP($C19,'Equipment Master Data'!$B$5:$W$100,18,FALSE),"")</f>
        <v>103</v>
      </c>
      <c r="S19" s="680">
        <f>_xlfn.IFNA(VLOOKUP($C19,'Equipment Master Data'!$B$5:$W$100,19,FALSE),"")</f>
        <v>50</v>
      </c>
      <c r="T19" s="680">
        <f>_xlfn.IFNA(VLOOKUP($C19,'Equipment Master Data'!$B$5:$W$100,20,FALSE),"")</f>
        <v>0</v>
      </c>
      <c r="U19" s="680">
        <f>_xlfn.IFNA(VLOOKUP($C19,'Equipment Master Data'!$B$5:$W$100,21,FALSE),"")</f>
        <v>6</v>
      </c>
      <c r="V19" s="682">
        <f>_xlfn.IFNA(VLOOKUP($C19,'Equipment Master Data'!$B$5:$W$100,22,FALSE),"")</f>
        <v>800000</v>
      </c>
    </row>
    <row r="20" spans="2:22">
      <c r="B20" s="149"/>
      <c r="C20" s="147" t="str">
        <f>Fleet!C80</f>
        <v>Dumper/ 40t</v>
      </c>
      <c r="D20" s="675" t="str">
        <f>_xlfn.IFNA(VLOOKUP(C20,'Equipment Master Data'!$B$5:$W$100,4,FALSE),"")</f>
        <v>CAT</v>
      </c>
      <c r="E20" s="675" t="str">
        <f>_xlfn.IFNA(VLOOKUP($C20,'Equipment Master Data'!$B$5:$W$100,5,FALSE),"")</f>
        <v>770G</v>
      </c>
      <c r="F20" s="676">
        <f>_xlfn.IFNA(VLOOKUP($C20,'Equipment Master Data'!$B$5:$W$100,6,FALSE),"")</f>
        <v>18422000</v>
      </c>
      <c r="G20" s="676">
        <f>_xlfn.IFNA(VLOOKUP($C20,'Equipment Master Data'!$B$5:$W$100,7,FALSE),"")</f>
        <v>515</v>
      </c>
      <c r="H20" s="676">
        <f>_xlfn.IFNA(VLOOKUP($C20,'Equipment Master Data'!$B$5:$W$100,8,FALSE),"")</f>
        <v>38.6</v>
      </c>
      <c r="I20" s="676">
        <f>_xlfn.IFNA(VLOOKUP($C20,'Equipment Master Data'!$B$5:$W$100,9,FALSE),"")</f>
        <v>25.2</v>
      </c>
      <c r="J20" s="677">
        <f>_xlfn.IFNA(VLOOKUP($C20,'Equipment Master Data'!$B$5:$W$100,10,FALSE),"")</f>
        <v>0.8</v>
      </c>
      <c r="K20" s="677">
        <f>_xlfn.IFNA(VLOOKUP($C20,'Equipment Master Data'!$B$5:$W$100,11,FALSE),"")</f>
        <v>0.75</v>
      </c>
      <c r="L20" s="678">
        <f>_xlfn.IFNA(VLOOKUP($C20,'Equipment Master Data'!$B$5:$W$100,12,FALSE),"")</f>
        <v>4752</v>
      </c>
      <c r="M20" s="679">
        <f>_xlfn.IFNA(VLOOKUP($C20,'Equipment Master Data'!$B$5:$W$100,13,FALSE),"")</f>
        <v>14.4</v>
      </c>
      <c r="N20" s="680">
        <f>_xlfn.IFNA(VLOOKUP($C20,'Equipment Master Data'!$B$5:$W$100,14,FALSE),"")</f>
        <v>30000</v>
      </c>
      <c r="O20" s="678">
        <f>_xlfn.IFNA(VLOOKUP($C20,'Equipment Master Data'!$B$5:$W$100,15,FALSE),"")</f>
        <v>6</v>
      </c>
      <c r="P20" s="681">
        <f>_xlfn.IFNA(VLOOKUP($C20,'Equipment Master Data'!$B$5:$W$100,16,FALSE),"")</f>
        <v>0.125</v>
      </c>
      <c r="Q20" s="680">
        <f>_xlfn.IFNA(VLOOKUP($C20,'Equipment Master Data'!$B$5:$W$100,17,FALSE),"")</f>
        <v>20</v>
      </c>
      <c r="R20" s="680">
        <f>_xlfn.IFNA(VLOOKUP($C20,'Equipment Master Data'!$B$5:$W$100,18,FALSE),"")</f>
        <v>52</v>
      </c>
      <c r="S20" s="680">
        <f>_xlfn.IFNA(VLOOKUP($C20,'Equipment Master Data'!$B$5:$W$100,19,FALSE),"")</f>
        <v>20</v>
      </c>
      <c r="T20" s="680">
        <f>_xlfn.IFNA(VLOOKUP($C20,'Equipment Master Data'!$B$5:$W$100,20,FALSE),"")</f>
        <v>0</v>
      </c>
      <c r="U20" s="680">
        <f>_xlfn.IFNA(VLOOKUP($C20,'Equipment Master Data'!$B$5:$W$100,21,FALSE),"")</f>
        <v>6</v>
      </c>
      <c r="V20" s="682">
        <f>_xlfn.IFNA(VLOOKUP($C20,'Equipment Master Data'!$B$5:$W$100,22,FALSE),"")</f>
        <v>153600</v>
      </c>
    </row>
    <row r="21" spans="2:22">
      <c r="B21" s="149" t="s">
        <v>838</v>
      </c>
      <c r="C21" s="147" t="str">
        <f>Fleet!C86</f>
        <v>Track Dozer/ 405 HP</v>
      </c>
      <c r="D21" s="675" t="str">
        <f>_xlfn.IFNA(VLOOKUP(C21,'Equipment Master Data'!$B$5:$W$100,4,FALSE),"")</f>
        <v>CAT</v>
      </c>
      <c r="E21" s="675" t="str">
        <f>_xlfn.IFNA(VLOOKUP($C21,'Equipment Master Data'!$B$5:$W$100,5,FALSE),"")</f>
        <v>D9R</v>
      </c>
      <c r="F21" s="676">
        <f>_xlfn.IFNA(VLOOKUP($C21,'Equipment Master Data'!$B$5:$W$100,6,FALSE),"")</f>
        <v>50000000</v>
      </c>
      <c r="G21" s="676">
        <f>_xlfn.IFNA(VLOOKUP($C21,'Equipment Master Data'!$B$5:$W$100,7,FALSE),"")</f>
        <v>405</v>
      </c>
      <c r="H21" s="676">
        <f>_xlfn.IFNA(VLOOKUP($C21,'Equipment Master Data'!$B$5:$W$100,8,FALSE),"")</f>
        <v>0</v>
      </c>
      <c r="I21" s="676">
        <f>_xlfn.IFNA(VLOOKUP($C21,'Equipment Master Data'!$B$5:$W$100,9,FALSE),"")</f>
        <v>0</v>
      </c>
      <c r="J21" s="677">
        <f>_xlfn.IFNA(VLOOKUP($C21,'Equipment Master Data'!$B$5:$W$100,10,FALSE),"")</f>
        <v>0.8</v>
      </c>
      <c r="K21" s="677">
        <f>_xlfn.IFNA(VLOOKUP($C21,'Equipment Master Data'!$B$5:$W$100,11,FALSE),"")</f>
        <v>0.6</v>
      </c>
      <c r="L21" s="678">
        <f>_xlfn.IFNA(VLOOKUP($C21,'Equipment Master Data'!$B$5:$W$100,12,FALSE),"")</f>
        <v>3801.6</v>
      </c>
      <c r="M21" s="679">
        <f>_xlfn.IFNA(VLOOKUP($C21,'Equipment Master Data'!$B$5:$W$100,13,FALSE),"")</f>
        <v>11.52</v>
      </c>
      <c r="N21" s="680">
        <f>_xlfn.IFNA(VLOOKUP($C21,'Equipment Master Data'!$B$5:$W$100,14,FALSE),"")</f>
        <v>24000</v>
      </c>
      <c r="O21" s="678">
        <f>_xlfn.IFNA(VLOOKUP($C21,'Equipment Master Data'!$B$5:$W$100,15,FALSE),"")</f>
        <v>6</v>
      </c>
      <c r="P21" s="681">
        <f>_xlfn.IFNA(VLOOKUP($C21,'Equipment Master Data'!$B$5:$W$100,16,FALSE),"")</f>
        <v>0.16666666666666666</v>
      </c>
      <c r="Q21" s="680">
        <f>_xlfn.IFNA(VLOOKUP($C21,'Equipment Master Data'!$B$5:$W$100,17,FALSE),"")</f>
        <v>50</v>
      </c>
      <c r="R21" s="680">
        <f>_xlfn.IFNA(VLOOKUP($C21,'Equipment Master Data'!$B$5:$W$100,18,FALSE),"")</f>
        <v>41</v>
      </c>
      <c r="S21" s="680">
        <f>_xlfn.IFNA(VLOOKUP($C21,'Equipment Master Data'!$B$5:$W$100,19,FALSE),"")</f>
        <v>41</v>
      </c>
      <c r="T21" s="680">
        <f>_xlfn.IFNA(VLOOKUP($C21,'Equipment Master Data'!$B$5:$W$100,20,FALSE),"")</f>
        <v>0</v>
      </c>
      <c r="U21" s="680">
        <f>_xlfn.IFNA(VLOOKUP($C21,'Equipment Master Data'!$B$5:$W$100,21,FALSE),"")</f>
        <v>0</v>
      </c>
      <c r="V21" s="682">
        <f>_xlfn.IFNA(VLOOKUP($C21,'Equipment Master Data'!$B$5:$W$100,22,FALSE),"")</f>
        <v>0</v>
      </c>
    </row>
    <row r="22" spans="2:22">
      <c r="B22" s="149"/>
      <c r="C22" s="147" t="str">
        <f>Fleet!C88</f>
        <v>Wheel Dozer</v>
      </c>
      <c r="D22" s="675" t="str">
        <f>_xlfn.IFNA(VLOOKUP(C22,'Equipment Master Data'!$B$5:$W$100,4,FALSE),"")</f>
        <v>CAT</v>
      </c>
      <c r="E22" s="675" t="str">
        <f>_xlfn.IFNA(VLOOKUP($C22,'Equipment Master Data'!$B$5:$W$100,5,FALSE),"")</f>
        <v>834K</v>
      </c>
      <c r="F22" s="676">
        <f>_xlfn.IFNA(VLOOKUP($C22,'Equipment Master Data'!$B$5:$W$100,6,FALSE),"")</f>
        <v>54125954.686976001</v>
      </c>
      <c r="G22" s="676">
        <f>_xlfn.IFNA(VLOOKUP($C22,'Equipment Master Data'!$B$5:$W$100,7,FALSE),"")</f>
        <v>496</v>
      </c>
      <c r="H22" s="676">
        <f>_xlfn.IFNA(VLOOKUP($C22,'Equipment Master Data'!$B$5:$W$100,8,FALSE),"")</f>
        <v>0</v>
      </c>
      <c r="I22" s="676">
        <f>_xlfn.IFNA(VLOOKUP($C22,'Equipment Master Data'!$B$5:$W$100,9,FALSE),"")</f>
        <v>0</v>
      </c>
      <c r="J22" s="677">
        <f>_xlfn.IFNA(VLOOKUP($C22,'Equipment Master Data'!$B$5:$W$100,10,FALSE),"")</f>
        <v>0.8</v>
      </c>
      <c r="K22" s="677">
        <f>_xlfn.IFNA(VLOOKUP($C22,'Equipment Master Data'!$B$5:$W$100,11,FALSE),"")</f>
        <v>0.6</v>
      </c>
      <c r="L22" s="678">
        <f>_xlfn.IFNA(VLOOKUP($C22,'Equipment Master Data'!$B$5:$W$100,12,FALSE),"")</f>
        <v>3801.6</v>
      </c>
      <c r="M22" s="679">
        <f>_xlfn.IFNA(VLOOKUP($C22,'Equipment Master Data'!$B$5:$W$100,13,FALSE),"")</f>
        <v>11.52</v>
      </c>
      <c r="N22" s="680">
        <f>_xlfn.IFNA(VLOOKUP($C22,'Equipment Master Data'!$B$5:$W$100,14,FALSE),"")</f>
        <v>30000</v>
      </c>
      <c r="O22" s="678">
        <f>_xlfn.IFNA(VLOOKUP($C22,'Equipment Master Data'!$B$5:$W$100,15,FALSE),"")</f>
        <v>7</v>
      </c>
      <c r="P22" s="681">
        <f>_xlfn.IFNA(VLOOKUP($C22,'Equipment Master Data'!$B$5:$W$100,16,FALSE),"")</f>
        <v>0.125</v>
      </c>
      <c r="Q22" s="680">
        <f>_xlfn.IFNA(VLOOKUP($C22,'Equipment Master Data'!$B$5:$W$100,17,FALSE),"")</f>
        <v>50</v>
      </c>
      <c r="R22" s="680">
        <f>_xlfn.IFNA(VLOOKUP($C22,'Equipment Master Data'!$B$5:$W$100,18,FALSE),"")</f>
        <v>50</v>
      </c>
      <c r="S22" s="680">
        <f>_xlfn.IFNA(VLOOKUP($C22,'Equipment Master Data'!$B$5:$W$100,19,FALSE),"")</f>
        <v>50</v>
      </c>
      <c r="T22" s="680">
        <f>_xlfn.IFNA(VLOOKUP($C22,'Equipment Master Data'!$B$5:$W$100,20,FALSE),"")</f>
        <v>0</v>
      </c>
      <c r="U22" s="680">
        <f>_xlfn.IFNA(VLOOKUP($C22,'Equipment Master Data'!$B$5:$W$100,21,FALSE),"")</f>
        <v>4</v>
      </c>
      <c r="V22" s="682">
        <f>_xlfn.IFNA(VLOOKUP($C22,'Equipment Master Data'!$B$5:$W$100,22,FALSE),"")</f>
        <v>320000</v>
      </c>
    </row>
    <row r="23" spans="2:22">
      <c r="B23" s="149"/>
      <c r="C23" s="147" t="str">
        <f>Fleet!C90</f>
        <v>Ripper Dozer/ 450TPH</v>
      </c>
      <c r="D23" s="675" t="str">
        <f>_xlfn.IFNA(VLOOKUP(C23,'Equipment Master Data'!$B$5:$W$100,4,FALSE),"")</f>
        <v xml:space="preserve">Komatsu </v>
      </c>
      <c r="E23" s="675" t="str">
        <f>_xlfn.IFNA(VLOOKUP($C23,'Equipment Master Data'!$B$5:$W$100,5,FALSE),"")</f>
        <v>475A (510 HP)</v>
      </c>
      <c r="F23" s="676">
        <f>_xlfn.IFNA(VLOOKUP($C23,'Equipment Master Data'!$B$5:$W$100,6,FALSE),"")</f>
        <v>45000000</v>
      </c>
      <c r="G23" s="676">
        <f>_xlfn.IFNA(VLOOKUP($C23,'Equipment Master Data'!$B$5:$W$100,7,FALSE),"")</f>
        <v>510</v>
      </c>
      <c r="H23" s="676">
        <f>_xlfn.IFNA(VLOOKUP($C23,'Equipment Master Data'!$B$5:$W$100,8,FALSE),"")</f>
        <v>450</v>
      </c>
      <c r="I23" s="676">
        <f>_xlfn.IFNA(VLOOKUP($C23,'Equipment Master Data'!$B$5:$W$100,9,FALSE),"")</f>
        <v>12</v>
      </c>
      <c r="J23" s="677">
        <f>_xlfn.IFNA(VLOOKUP($C23,'Equipment Master Data'!$B$5:$W$100,10,FALSE),"")</f>
        <v>0.85</v>
      </c>
      <c r="K23" s="677">
        <f>_xlfn.IFNA(VLOOKUP($C23,'Equipment Master Data'!$B$5:$W$100,11,FALSE),"")</f>
        <v>0.8</v>
      </c>
      <c r="L23" s="678">
        <f>_xlfn.IFNA(VLOOKUP($C23,'Equipment Master Data'!$B$5:$W$100,12,FALSE),"")</f>
        <v>5385.6</v>
      </c>
      <c r="M23" s="679">
        <f>_xlfn.IFNA(VLOOKUP($C23,'Equipment Master Data'!$B$5:$W$100,13,FALSE),"")</f>
        <v>16.32</v>
      </c>
      <c r="N23" s="680">
        <f>_xlfn.IFNA(VLOOKUP($C23,'Equipment Master Data'!$B$5:$W$100,14,FALSE),"")</f>
        <v>30000</v>
      </c>
      <c r="O23" s="678">
        <f>_xlfn.IFNA(VLOOKUP($C23,'Equipment Master Data'!$B$5:$W$100,15,FALSE),"")</f>
        <v>5</v>
      </c>
      <c r="P23" s="681">
        <f>_xlfn.IFNA(VLOOKUP($C23,'Equipment Master Data'!$B$5:$W$100,16,FALSE),"")</f>
        <v>0.125</v>
      </c>
      <c r="Q23" s="680">
        <f>_xlfn.IFNA(VLOOKUP($C23,'Equipment Master Data'!$B$5:$W$100,17,FALSE),"")</f>
        <v>60</v>
      </c>
      <c r="R23" s="680">
        <f>_xlfn.IFNA(VLOOKUP($C23,'Equipment Master Data'!$B$5:$W$100,18,FALSE),"")</f>
        <v>51</v>
      </c>
      <c r="S23" s="680">
        <f>_xlfn.IFNA(VLOOKUP($C23,'Equipment Master Data'!$B$5:$W$100,19,FALSE),"")</f>
        <v>51</v>
      </c>
      <c r="T23" s="680">
        <f>_xlfn.IFNA(VLOOKUP($C23,'Equipment Master Data'!$B$5:$W$100,20,FALSE),"")</f>
        <v>0</v>
      </c>
      <c r="U23" s="680">
        <f>_xlfn.IFNA(VLOOKUP($C23,'Equipment Master Data'!$B$5:$W$100,21,FALSE),"")</f>
        <v>0</v>
      </c>
      <c r="V23" s="682">
        <f>_xlfn.IFNA(VLOOKUP($C23,'Equipment Master Data'!$B$5:$W$100,22,FALSE),"")</f>
        <v>0</v>
      </c>
    </row>
    <row r="24" spans="2:22">
      <c r="B24" s="149"/>
      <c r="C24" s="147" t="str">
        <f>Fleet!C92</f>
        <v>Track Dozer/ 192 HP</v>
      </c>
      <c r="D24" s="675" t="str">
        <f>_xlfn.IFNA(VLOOKUP(C24,'Equipment Master Data'!$B$5:$W$100,4,FALSE),"")</f>
        <v>CAT</v>
      </c>
      <c r="E24" s="675" t="str">
        <f>_xlfn.IFNA(VLOOKUP($C24,'Equipment Master Data'!$B$5:$W$100,5,FALSE),"")</f>
        <v>D6R</v>
      </c>
      <c r="F24" s="676">
        <f>_xlfn.IFNA(VLOOKUP($C24,'Equipment Master Data'!$B$5:$W$100,6,FALSE),"")</f>
        <v>17390000</v>
      </c>
      <c r="G24" s="676">
        <f>_xlfn.IFNA(VLOOKUP($C24,'Equipment Master Data'!$B$5:$W$100,7,FALSE),"")</f>
        <v>192</v>
      </c>
      <c r="H24" s="676">
        <f>_xlfn.IFNA(VLOOKUP($C24,'Equipment Master Data'!$B$5:$W$100,8,FALSE),"")</f>
        <v>0</v>
      </c>
      <c r="I24" s="676">
        <f>_xlfn.IFNA(VLOOKUP($C24,'Equipment Master Data'!$B$5:$W$100,9,FALSE),"")</f>
        <v>0</v>
      </c>
      <c r="J24" s="677">
        <f>_xlfn.IFNA(VLOOKUP($C24,'Equipment Master Data'!$B$5:$W$100,10,FALSE),"")</f>
        <v>0.8</v>
      </c>
      <c r="K24" s="677">
        <f>_xlfn.IFNA(VLOOKUP($C24,'Equipment Master Data'!$B$5:$W$100,11,FALSE),"")</f>
        <v>0.6</v>
      </c>
      <c r="L24" s="678">
        <f>_xlfn.IFNA(VLOOKUP($C24,'Equipment Master Data'!$B$5:$W$100,12,FALSE),"")</f>
        <v>3801.6</v>
      </c>
      <c r="M24" s="679">
        <f>_xlfn.IFNA(VLOOKUP($C24,'Equipment Master Data'!$B$5:$W$100,13,FALSE),"")</f>
        <v>11.52</v>
      </c>
      <c r="N24" s="680">
        <f>_xlfn.IFNA(VLOOKUP($C24,'Equipment Master Data'!$B$5:$W$100,14,FALSE),"")</f>
        <v>24000</v>
      </c>
      <c r="O24" s="678">
        <f>_xlfn.IFNA(VLOOKUP($C24,'Equipment Master Data'!$B$5:$W$100,15,FALSE),"")</f>
        <v>6</v>
      </c>
      <c r="P24" s="681">
        <f>_xlfn.IFNA(VLOOKUP($C24,'Equipment Master Data'!$B$5:$W$100,16,FALSE),"")</f>
        <v>0.16666666666666666</v>
      </c>
      <c r="Q24" s="680">
        <f>_xlfn.IFNA(VLOOKUP($C24,'Equipment Master Data'!$B$5:$W$100,17,FALSE),"")</f>
        <v>20</v>
      </c>
      <c r="R24" s="680">
        <f>_xlfn.IFNA(VLOOKUP($C24,'Equipment Master Data'!$B$5:$W$100,18,FALSE),"")</f>
        <v>20</v>
      </c>
      <c r="S24" s="680">
        <f>_xlfn.IFNA(VLOOKUP($C24,'Equipment Master Data'!$B$5:$W$100,19,FALSE),"")</f>
        <v>20</v>
      </c>
      <c r="T24" s="680">
        <f>_xlfn.IFNA(VLOOKUP($C24,'Equipment Master Data'!$B$5:$W$100,20,FALSE),"")</f>
        <v>0</v>
      </c>
      <c r="U24" s="680">
        <f>_xlfn.IFNA(VLOOKUP($C24,'Equipment Master Data'!$B$5:$W$100,21,FALSE),"")</f>
        <v>0</v>
      </c>
      <c r="V24" s="682">
        <f>_xlfn.IFNA(VLOOKUP($C24,'Equipment Master Data'!$B$5:$W$100,22,FALSE),"")</f>
        <v>0</v>
      </c>
    </row>
    <row r="25" spans="2:22">
      <c r="B25" s="149" t="s">
        <v>839</v>
      </c>
      <c r="C25" s="147" t="str">
        <f>Fleet!C96</f>
        <v>Motor Grader/ 290 - 348 HP</v>
      </c>
      <c r="D25" s="675" t="str">
        <f>_xlfn.IFNA(VLOOKUP(C25,'Equipment Master Data'!$B$5:$W$100,4,FALSE),"")</f>
        <v>CAT</v>
      </c>
      <c r="E25" s="675" t="str">
        <f>_xlfn.IFNA(VLOOKUP($C25,'Equipment Master Data'!$B$5:$W$100,5,FALSE),"")</f>
        <v>16M3</v>
      </c>
      <c r="F25" s="676">
        <f>_xlfn.IFNA(VLOOKUP($C25,'Equipment Master Data'!$B$5:$W$100,6,FALSE),"")</f>
        <v>51444656.952627197</v>
      </c>
      <c r="G25" s="676">
        <f>_xlfn.IFNA(VLOOKUP($C25,'Equipment Master Data'!$B$5:$W$100,7,FALSE),"")</f>
        <v>300</v>
      </c>
      <c r="H25" s="676">
        <f>_xlfn.IFNA(VLOOKUP($C25,'Equipment Master Data'!$B$5:$W$100,8,FALSE),"")</f>
        <v>0</v>
      </c>
      <c r="I25" s="676">
        <f>_xlfn.IFNA(VLOOKUP($C25,'Equipment Master Data'!$B$5:$W$100,9,FALSE),"")</f>
        <v>0</v>
      </c>
      <c r="J25" s="677">
        <f>_xlfn.IFNA(VLOOKUP($C25,'Equipment Master Data'!$B$5:$W$100,10,FALSE),"")</f>
        <v>0.8</v>
      </c>
      <c r="K25" s="677">
        <f>_xlfn.IFNA(VLOOKUP($C25,'Equipment Master Data'!$B$5:$W$100,11,FALSE),"")</f>
        <v>0.6</v>
      </c>
      <c r="L25" s="678">
        <f>_xlfn.IFNA(VLOOKUP($C25,'Equipment Master Data'!$B$5:$W$100,12,FALSE),"")</f>
        <v>3801.6</v>
      </c>
      <c r="M25" s="679">
        <f>_xlfn.IFNA(VLOOKUP($C25,'Equipment Master Data'!$B$5:$W$100,13,FALSE),"")</f>
        <v>11.52</v>
      </c>
      <c r="N25" s="680">
        <f>_xlfn.IFNA(VLOOKUP($C25,'Equipment Master Data'!$B$5:$W$100,14,FALSE),"")</f>
        <v>30000</v>
      </c>
      <c r="O25" s="678">
        <f>_xlfn.IFNA(VLOOKUP($C25,'Equipment Master Data'!$B$5:$W$100,15,FALSE),"")</f>
        <v>7</v>
      </c>
      <c r="P25" s="681">
        <f>_xlfn.IFNA(VLOOKUP($C25,'Equipment Master Data'!$B$5:$W$100,16,FALSE),"")</f>
        <v>0.125</v>
      </c>
      <c r="Q25" s="680">
        <f>_xlfn.IFNA(VLOOKUP($C25,'Equipment Master Data'!$B$5:$W$100,17,FALSE),"")</f>
        <v>60</v>
      </c>
      <c r="R25" s="680">
        <f>_xlfn.IFNA(VLOOKUP($C25,'Equipment Master Data'!$B$5:$W$100,18,FALSE),"")</f>
        <v>0</v>
      </c>
      <c r="S25" s="680">
        <f>_xlfn.IFNA(VLOOKUP($C25,'Equipment Master Data'!$B$5:$W$100,19,FALSE),"")</f>
        <v>0</v>
      </c>
      <c r="T25" s="680">
        <f>_xlfn.IFNA(VLOOKUP($C25,'Equipment Master Data'!$B$5:$W$100,20,FALSE),"")</f>
        <v>0</v>
      </c>
      <c r="U25" s="680">
        <f>_xlfn.IFNA(VLOOKUP($C25,'Equipment Master Data'!$B$5:$W$100,21,FALSE),"")</f>
        <v>4</v>
      </c>
      <c r="V25" s="682">
        <f>_xlfn.IFNA(VLOOKUP($C25,'Equipment Master Data'!$B$5:$W$100,22,FALSE),"")</f>
        <v>256000</v>
      </c>
    </row>
    <row r="26" spans="2:22">
      <c r="B26" s="149"/>
      <c r="C26" s="147" t="str">
        <f>Fleet!C98</f>
        <v>Motor Grader/ 145 HP</v>
      </c>
      <c r="D26" s="675" t="str">
        <f>_xlfn.IFNA(VLOOKUP(C26,'Equipment Master Data'!$B$5:$W$100,4,FALSE),"")</f>
        <v xml:space="preserve">Komatsu </v>
      </c>
      <c r="E26" s="675" t="str">
        <f>_xlfn.IFNA(VLOOKUP($C26,'Equipment Master Data'!$B$5:$W$100,5,FALSE),"")</f>
        <v>120K2</v>
      </c>
      <c r="F26" s="676">
        <f>_xlfn.IFNA(VLOOKUP($C26,'Equipment Master Data'!$B$5:$W$100,6,FALSE),"")</f>
        <v>15066260</v>
      </c>
      <c r="G26" s="676">
        <f>_xlfn.IFNA(VLOOKUP($C26,'Equipment Master Data'!$B$5:$W$100,7,FALSE),"")</f>
        <v>145</v>
      </c>
      <c r="H26" s="676">
        <f>_xlfn.IFNA(VLOOKUP($C26,'Equipment Master Data'!$B$5:$W$100,8,FALSE),"")</f>
        <v>0</v>
      </c>
      <c r="I26" s="676">
        <f>_xlfn.IFNA(VLOOKUP($C26,'Equipment Master Data'!$B$5:$W$100,9,FALSE),"")</f>
        <v>0</v>
      </c>
      <c r="J26" s="677">
        <f>_xlfn.IFNA(VLOOKUP($C26,'Equipment Master Data'!$B$5:$W$100,10,FALSE),"")</f>
        <v>0.8</v>
      </c>
      <c r="K26" s="677">
        <f>_xlfn.IFNA(VLOOKUP($C26,'Equipment Master Data'!$B$5:$W$100,11,FALSE),"")</f>
        <v>0.4</v>
      </c>
      <c r="L26" s="678">
        <f>_xlfn.IFNA(VLOOKUP($C26,'Equipment Master Data'!$B$5:$W$100,12,FALSE),"")</f>
        <v>2534.4</v>
      </c>
      <c r="M26" s="679">
        <f>_xlfn.IFNA(VLOOKUP($C26,'Equipment Master Data'!$B$5:$W$100,13,FALSE),"")</f>
        <v>7.6800000000000006</v>
      </c>
      <c r="N26" s="680">
        <f>_xlfn.IFNA(VLOOKUP($C26,'Equipment Master Data'!$B$5:$W$100,14,FALSE),"")</f>
        <v>30000</v>
      </c>
      <c r="O26" s="678">
        <f>_xlfn.IFNA(VLOOKUP($C26,'Equipment Master Data'!$B$5:$W$100,15,FALSE),"")</f>
        <v>11</v>
      </c>
      <c r="P26" s="681">
        <f>_xlfn.IFNA(VLOOKUP($C26,'Equipment Master Data'!$B$5:$W$100,16,FALSE),"")</f>
        <v>0.125</v>
      </c>
      <c r="Q26" s="680">
        <f>_xlfn.IFNA(VLOOKUP($C26,'Equipment Master Data'!$B$5:$W$100,17,FALSE),"")</f>
        <v>20</v>
      </c>
      <c r="R26" s="680">
        <f>_xlfn.IFNA(VLOOKUP($C26,'Equipment Master Data'!$B$5:$W$100,18,FALSE),"")</f>
        <v>15</v>
      </c>
      <c r="S26" s="680">
        <f>_xlfn.IFNA(VLOOKUP($C26,'Equipment Master Data'!$B$5:$W$100,19,FALSE),"")</f>
        <v>15</v>
      </c>
      <c r="T26" s="680">
        <f>_xlfn.IFNA(VLOOKUP($C26,'Equipment Master Data'!$B$5:$W$100,20,FALSE),"")</f>
        <v>0</v>
      </c>
      <c r="U26" s="680">
        <f>_xlfn.IFNA(VLOOKUP($C26,'Equipment Master Data'!$B$5:$W$100,21,FALSE),"")</f>
        <v>4</v>
      </c>
      <c r="V26" s="682">
        <f>_xlfn.IFNA(VLOOKUP($C26,'Equipment Master Data'!$B$5:$W$100,22,FALSE),"")</f>
        <v>192000</v>
      </c>
    </row>
    <row r="27" spans="2:22">
      <c r="B27" s="149" t="s">
        <v>840</v>
      </c>
      <c r="C27" s="147" t="str">
        <f>Fleet!C102</f>
        <v>Crane/ 120t</v>
      </c>
      <c r="D27" s="675" t="str">
        <f>_xlfn.IFNA(VLOOKUP(C27,'Equipment Master Data'!$B$5:$W$100,4,FALSE),"")</f>
        <v>Manitowoc (USA)</v>
      </c>
      <c r="E27" s="675">
        <f>_xlfn.IFNA(VLOOKUP($C27,'Equipment Master Data'!$B$5:$W$100,5,FALSE),"")</f>
        <v>0</v>
      </c>
      <c r="F27" s="676">
        <f>_xlfn.IFNA(VLOOKUP($C27,'Equipment Master Data'!$B$5:$W$100,6,FALSE),"")</f>
        <v>68639626.135164008</v>
      </c>
      <c r="G27" s="676">
        <f>_xlfn.IFNA(VLOOKUP($C27,'Equipment Master Data'!$B$5:$W$100,7,FALSE),"")</f>
        <v>0</v>
      </c>
      <c r="H27" s="676">
        <f>_xlfn.IFNA(VLOOKUP($C27,'Equipment Master Data'!$B$5:$W$100,8,FALSE),"")</f>
        <v>0</v>
      </c>
      <c r="I27" s="676">
        <f>_xlfn.IFNA(VLOOKUP($C27,'Equipment Master Data'!$B$5:$W$100,9,FALSE),"")</f>
        <v>0</v>
      </c>
      <c r="J27" s="677">
        <f>_xlfn.IFNA(VLOOKUP($C27,'Equipment Master Data'!$B$5:$W$100,10,FALSE),"")</f>
        <v>0.8</v>
      </c>
      <c r="K27" s="677">
        <f>_xlfn.IFNA(VLOOKUP($C27,'Equipment Master Data'!$B$5:$W$100,11,FALSE),"")</f>
        <v>0.25</v>
      </c>
      <c r="L27" s="678">
        <f>_xlfn.IFNA(VLOOKUP($C27,'Equipment Master Data'!$B$5:$W$100,12,FALSE),"")</f>
        <v>1584</v>
      </c>
      <c r="M27" s="679">
        <f>_xlfn.IFNA(VLOOKUP($C27,'Equipment Master Data'!$B$5:$W$100,13,FALSE),"")</f>
        <v>4.8</v>
      </c>
      <c r="N27" s="680">
        <f>_xlfn.IFNA(VLOOKUP($C27,'Equipment Master Data'!$B$5:$W$100,14,FALSE),"")</f>
        <v>24000</v>
      </c>
      <c r="O27" s="678">
        <f>_xlfn.IFNA(VLOOKUP($C27,'Equipment Master Data'!$B$5:$W$100,15,FALSE),"")</f>
        <v>15</v>
      </c>
      <c r="P27" s="681">
        <f>_xlfn.IFNA(VLOOKUP($C27,'Equipment Master Data'!$B$5:$W$100,16,FALSE),"")</f>
        <v>0.05</v>
      </c>
      <c r="Q27" s="680">
        <f>_xlfn.IFNA(VLOOKUP($C27,'Equipment Master Data'!$B$5:$W$100,17,FALSE),"")</f>
        <v>18</v>
      </c>
      <c r="R27" s="680">
        <f>_xlfn.IFNA(VLOOKUP($C27,'Equipment Master Data'!$B$5:$W$100,18,FALSE),"")</f>
        <v>0</v>
      </c>
      <c r="S27" s="680">
        <f>_xlfn.IFNA(VLOOKUP($C27,'Equipment Master Data'!$B$5:$W$100,19,FALSE),"")</f>
        <v>0</v>
      </c>
      <c r="T27" s="680">
        <f>_xlfn.IFNA(VLOOKUP($C27,'Equipment Master Data'!$B$5:$W$100,20,FALSE),"")</f>
        <v>0</v>
      </c>
      <c r="U27" s="680">
        <f>_xlfn.IFNA(VLOOKUP($C27,'Equipment Master Data'!$B$5:$W$100,21,FALSE),"")</f>
        <v>6</v>
      </c>
      <c r="V27" s="682">
        <f>_xlfn.IFNA(VLOOKUP($C27,'Equipment Master Data'!$B$5:$W$100,22,FALSE),"")</f>
        <v>51200</v>
      </c>
    </row>
    <row r="28" spans="2:22">
      <c r="B28" s="149"/>
      <c r="C28" s="147" t="str">
        <f>Fleet!C104</f>
        <v>Crane/ 60t</v>
      </c>
      <c r="D28" s="675">
        <f>_xlfn.IFNA(VLOOKUP(C28,'Equipment Master Data'!$B$5:$W$100,4,FALSE),"")</f>
        <v>0</v>
      </c>
      <c r="E28" s="675">
        <f>_xlfn.IFNA(VLOOKUP($C28,'Equipment Master Data'!$B$5:$W$100,5,FALSE),"")</f>
        <v>0</v>
      </c>
      <c r="F28" s="676">
        <f>_xlfn.IFNA(VLOOKUP($C28,'Equipment Master Data'!$B$5:$W$100,6,FALSE),"")</f>
        <v>16520000</v>
      </c>
      <c r="G28" s="676">
        <f>_xlfn.IFNA(VLOOKUP($C28,'Equipment Master Data'!$B$5:$W$100,7,FALSE),"")</f>
        <v>0</v>
      </c>
      <c r="H28" s="676">
        <f>_xlfn.IFNA(VLOOKUP($C28,'Equipment Master Data'!$B$5:$W$100,8,FALSE),"")</f>
        <v>0</v>
      </c>
      <c r="I28" s="676">
        <f>_xlfn.IFNA(VLOOKUP($C28,'Equipment Master Data'!$B$5:$W$100,9,FALSE),"")</f>
        <v>0</v>
      </c>
      <c r="J28" s="677">
        <f>_xlfn.IFNA(VLOOKUP($C28,'Equipment Master Data'!$B$5:$W$100,10,FALSE),"")</f>
        <v>0.8</v>
      </c>
      <c r="K28" s="677">
        <f>_xlfn.IFNA(VLOOKUP($C28,'Equipment Master Data'!$B$5:$W$100,11,FALSE),"")</f>
        <v>0.25</v>
      </c>
      <c r="L28" s="678">
        <f>_xlfn.IFNA(VLOOKUP($C28,'Equipment Master Data'!$B$5:$W$100,12,FALSE),"")</f>
        <v>1584</v>
      </c>
      <c r="M28" s="679">
        <f>_xlfn.IFNA(VLOOKUP($C28,'Equipment Master Data'!$B$5:$W$100,13,FALSE),"")</f>
        <v>4.8</v>
      </c>
      <c r="N28" s="680">
        <f>_xlfn.IFNA(VLOOKUP($C28,'Equipment Master Data'!$B$5:$W$100,14,FALSE),"")</f>
        <v>24000</v>
      </c>
      <c r="O28" s="678">
        <f>_xlfn.IFNA(VLOOKUP($C28,'Equipment Master Data'!$B$5:$W$100,15,FALSE),"")</f>
        <v>15</v>
      </c>
      <c r="P28" s="681">
        <f>_xlfn.IFNA(VLOOKUP($C28,'Equipment Master Data'!$B$5:$W$100,16,FALSE),"")</f>
        <v>0.05</v>
      </c>
      <c r="Q28" s="680">
        <f>_xlfn.IFNA(VLOOKUP($C28,'Equipment Master Data'!$B$5:$W$100,17,FALSE),"")</f>
        <v>18</v>
      </c>
      <c r="R28" s="680">
        <f>_xlfn.IFNA(VLOOKUP($C28,'Equipment Master Data'!$B$5:$W$100,18,FALSE),"")</f>
        <v>0</v>
      </c>
      <c r="S28" s="680">
        <f>_xlfn.IFNA(VLOOKUP($C28,'Equipment Master Data'!$B$5:$W$100,19,FALSE),"")</f>
        <v>0</v>
      </c>
      <c r="T28" s="680">
        <f>_xlfn.IFNA(VLOOKUP($C28,'Equipment Master Data'!$B$5:$W$100,20,FALSE),"")</f>
        <v>0</v>
      </c>
      <c r="U28" s="680">
        <f>_xlfn.IFNA(VLOOKUP($C28,'Equipment Master Data'!$B$5:$W$100,21,FALSE),"")</f>
        <v>6</v>
      </c>
      <c r="V28" s="682">
        <f>_xlfn.IFNA(VLOOKUP($C28,'Equipment Master Data'!$B$5:$W$100,22,FALSE),"")</f>
        <v>51200</v>
      </c>
    </row>
    <row r="29" spans="2:22">
      <c r="B29" s="149"/>
      <c r="C29" s="147" t="str">
        <f>Fleet!C106</f>
        <v>Crane/ 12t</v>
      </c>
      <c r="D29" s="675" t="str">
        <f>_xlfn.IFNA(VLOOKUP(C29,'Equipment Master Data'!$B$5:$W$100,4,FALSE),"")</f>
        <v>A1 HED</v>
      </c>
      <c r="E29" s="675" t="str">
        <f>_xlfn.IFNA(VLOOKUP($C29,'Equipment Master Data'!$B$5:$W$100,5,FALSE),"")</f>
        <v>VH12C</v>
      </c>
      <c r="F29" s="676">
        <f>_xlfn.IFNA(VLOOKUP($C29,'Equipment Master Data'!$B$5:$W$100,6,FALSE),"")</f>
        <v>1863000</v>
      </c>
      <c r="G29" s="676">
        <f>_xlfn.IFNA(VLOOKUP($C29,'Equipment Master Data'!$B$5:$W$100,7,FALSE),"")</f>
        <v>0</v>
      </c>
      <c r="H29" s="676">
        <f>_xlfn.IFNA(VLOOKUP($C29,'Equipment Master Data'!$B$5:$W$100,8,FALSE),"")</f>
        <v>12</v>
      </c>
      <c r="I29" s="676">
        <f>_xlfn.IFNA(VLOOKUP($C29,'Equipment Master Data'!$B$5:$W$100,9,FALSE),"")</f>
        <v>0</v>
      </c>
      <c r="J29" s="677">
        <f>_xlfn.IFNA(VLOOKUP($C29,'Equipment Master Data'!$B$5:$W$100,10,FALSE),"")</f>
        <v>0.8</v>
      </c>
      <c r="K29" s="677">
        <f>_xlfn.IFNA(VLOOKUP($C29,'Equipment Master Data'!$B$5:$W$100,11,FALSE),"")</f>
        <v>0.25</v>
      </c>
      <c r="L29" s="678">
        <f>_xlfn.IFNA(VLOOKUP($C29,'Equipment Master Data'!$B$5:$W$100,12,FALSE),"")</f>
        <v>1584</v>
      </c>
      <c r="M29" s="679">
        <f>_xlfn.IFNA(VLOOKUP($C29,'Equipment Master Data'!$B$5:$W$100,13,FALSE),"")</f>
        <v>4.8</v>
      </c>
      <c r="N29" s="680">
        <f>_xlfn.IFNA(VLOOKUP($C29,'Equipment Master Data'!$B$5:$W$100,14,FALSE),"")</f>
        <v>24000</v>
      </c>
      <c r="O29" s="678">
        <f>_xlfn.IFNA(VLOOKUP($C29,'Equipment Master Data'!$B$5:$W$100,15,FALSE),"")</f>
        <v>15</v>
      </c>
      <c r="P29" s="681">
        <f>_xlfn.IFNA(VLOOKUP($C29,'Equipment Master Data'!$B$5:$W$100,16,FALSE),"")</f>
        <v>0.05</v>
      </c>
      <c r="Q29" s="680">
        <f>_xlfn.IFNA(VLOOKUP($C29,'Equipment Master Data'!$B$5:$W$100,17,FALSE),"")</f>
        <v>50</v>
      </c>
      <c r="R29" s="680">
        <f>_xlfn.IFNA(VLOOKUP($C29,'Equipment Master Data'!$B$5:$W$100,18,FALSE),"")</f>
        <v>0</v>
      </c>
      <c r="S29" s="680">
        <f>_xlfn.IFNA(VLOOKUP($C29,'Equipment Master Data'!$B$5:$W$100,19,FALSE),"")</f>
        <v>0</v>
      </c>
      <c r="T29" s="680">
        <f>_xlfn.IFNA(VLOOKUP($C29,'Equipment Master Data'!$B$5:$W$100,20,FALSE),"")</f>
        <v>36.409999999999997</v>
      </c>
      <c r="U29" s="680">
        <f>_xlfn.IFNA(VLOOKUP($C29,'Equipment Master Data'!$B$5:$W$100,21,FALSE),"")</f>
        <v>6</v>
      </c>
      <c r="V29" s="682">
        <f>_xlfn.IFNA(VLOOKUP($C29,'Equipment Master Data'!$B$5:$W$100,22,FALSE),"")</f>
        <v>51200</v>
      </c>
    </row>
    <row r="30" spans="2:22">
      <c r="B30" s="149"/>
      <c r="C30" s="147" t="str">
        <f>Fleet!C108</f>
        <v>Crane/ 8t</v>
      </c>
      <c r="D30" s="675" t="str">
        <f>_xlfn.IFNA(VLOOKUP(C30,'Equipment Master Data'!$B$5:$W$100,4,FALSE),"")</f>
        <v>Escorts</v>
      </c>
      <c r="E30" s="675" t="str">
        <f>_xlfn.IFNA(VLOOKUP($C30,'Equipment Master Data'!$B$5:$W$100,5,FALSE),"")</f>
        <v>Hydra8</v>
      </c>
      <c r="F30" s="676">
        <f>_xlfn.IFNA(VLOOKUP($C30,'Equipment Master Data'!$B$5:$W$100,6,FALSE),"")</f>
        <v>1180000</v>
      </c>
      <c r="G30" s="676">
        <f>_xlfn.IFNA(VLOOKUP($C30,'Equipment Master Data'!$B$5:$W$100,7,FALSE),"")</f>
        <v>50</v>
      </c>
      <c r="H30" s="676">
        <f>_xlfn.IFNA(VLOOKUP($C30,'Equipment Master Data'!$B$5:$W$100,8,FALSE),"")</f>
        <v>0</v>
      </c>
      <c r="I30" s="676">
        <f>_xlfn.IFNA(VLOOKUP($C30,'Equipment Master Data'!$B$5:$W$100,9,FALSE),"")</f>
        <v>0</v>
      </c>
      <c r="J30" s="677">
        <f>_xlfn.IFNA(VLOOKUP($C30,'Equipment Master Data'!$B$5:$W$100,10,FALSE),"")</f>
        <v>0.8</v>
      </c>
      <c r="K30" s="677">
        <f>_xlfn.IFNA(VLOOKUP($C30,'Equipment Master Data'!$B$5:$W$100,11,FALSE),"")</f>
        <v>0.25</v>
      </c>
      <c r="L30" s="678">
        <f>_xlfn.IFNA(VLOOKUP($C30,'Equipment Master Data'!$B$5:$W$100,12,FALSE),"")</f>
        <v>1584</v>
      </c>
      <c r="M30" s="679">
        <f>_xlfn.IFNA(VLOOKUP($C30,'Equipment Master Data'!$B$5:$W$100,13,FALSE),"")</f>
        <v>4.8</v>
      </c>
      <c r="N30" s="680">
        <f>_xlfn.IFNA(VLOOKUP($C30,'Equipment Master Data'!$B$5:$W$100,14,FALSE),"")</f>
        <v>24000</v>
      </c>
      <c r="O30" s="678">
        <f>_xlfn.IFNA(VLOOKUP($C30,'Equipment Master Data'!$B$5:$W$100,15,FALSE),"")</f>
        <v>15</v>
      </c>
      <c r="P30" s="681">
        <f>_xlfn.IFNA(VLOOKUP($C30,'Equipment Master Data'!$B$5:$W$100,16,FALSE),"")</f>
        <v>0.05</v>
      </c>
      <c r="Q30" s="680">
        <f>_xlfn.IFNA(VLOOKUP($C30,'Equipment Master Data'!$B$5:$W$100,17,FALSE),"")</f>
        <v>8</v>
      </c>
      <c r="R30" s="680">
        <f>_xlfn.IFNA(VLOOKUP($C30,'Equipment Master Data'!$B$5:$W$100,18,FALSE),"")</f>
        <v>5</v>
      </c>
      <c r="S30" s="680">
        <f>_xlfn.IFNA(VLOOKUP($C30,'Equipment Master Data'!$B$5:$W$100,19,FALSE),"")</f>
        <v>5</v>
      </c>
      <c r="T30" s="680">
        <f>_xlfn.IFNA(VLOOKUP($C30,'Equipment Master Data'!$B$5:$W$100,20,FALSE),"")</f>
        <v>0</v>
      </c>
      <c r="U30" s="680">
        <f>_xlfn.IFNA(VLOOKUP($C30,'Equipment Master Data'!$B$5:$W$100,21,FALSE),"")</f>
        <v>6</v>
      </c>
      <c r="V30" s="682">
        <f>_xlfn.IFNA(VLOOKUP($C30,'Equipment Master Data'!$B$5:$W$100,22,FALSE),"")</f>
        <v>38400</v>
      </c>
    </row>
    <row r="31" spans="2:22">
      <c r="B31" s="149" t="s">
        <v>841</v>
      </c>
      <c r="C31" s="147" t="str">
        <f>Fleet!C112</f>
        <v>Water Sprinkler/ 28KL</v>
      </c>
      <c r="D31" s="675" t="str">
        <f>_xlfn.IFNA(VLOOKUP(C31,'Equipment Master Data'!$B$5:$W$100,4,FALSE),"")</f>
        <v>BEML</v>
      </c>
      <c r="E31" s="675" t="str">
        <f>_xlfn.IFNA(VLOOKUP($C31,'Equipment Master Data'!$B$5:$W$100,5,FALSE),"")</f>
        <v>WS 28-2</v>
      </c>
      <c r="F31" s="676">
        <f>_xlfn.IFNA(VLOOKUP($C31,'Equipment Master Data'!$B$5:$W$100,6,FALSE),"")</f>
        <v>18500000</v>
      </c>
      <c r="G31" s="676">
        <f>_xlfn.IFNA(VLOOKUP($C31,'Equipment Master Data'!$B$5:$W$100,7,FALSE),"")</f>
        <v>385</v>
      </c>
      <c r="H31" s="676">
        <f>_xlfn.IFNA(VLOOKUP($C31,'Equipment Master Data'!$B$5:$W$100,8,FALSE),"")</f>
        <v>0</v>
      </c>
      <c r="I31" s="676">
        <f>_xlfn.IFNA(VLOOKUP($C31,'Equipment Master Data'!$B$5:$W$100,9,FALSE),"")</f>
        <v>0</v>
      </c>
      <c r="J31" s="677">
        <f>_xlfn.IFNA(VLOOKUP($C31,'Equipment Master Data'!$B$5:$W$100,10,FALSE),"")</f>
        <v>0.8</v>
      </c>
      <c r="K31" s="677">
        <f>_xlfn.IFNA(VLOOKUP($C31,'Equipment Master Data'!$B$5:$W$100,11,FALSE),"")</f>
        <v>0.5</v>
      </c>
      <c r="L31" s="678">
        <f>_xlfn.IFNA(VLOOKUP($C31,'Equipment Master Data'!$B$5:$W$100,12,FALSE),"")</f>
        <v>3168</v>
      </c>
      <c r="M31" s="679">
        <f>_xlfn.IFNA(VLOOKUP($C31,'Equipment Master Data'!$B$5:$W$100,13,FALSE),"")</f>
        <v>9.6</v>
      </c>
      <c r="N31" s="680">
        <f>_xlfn.IFNA(VLOOKUP($C31,'Equipment Master Data'!$B$5:$W$100,14,FALSE),"")</f>
        <v>30000</v>
      </c>
      <c r="O31" s="678">
        <f>_xlfn.IFNA(VLOOKUP($C31,'Equipment Master Data'!$B$5:$W$100,15,FALSE),"")</f>
        <v>9</v>
      </c>
      <c r="P31" s="681">
        <f>_xlfn.IFNA(VLOOKUP($C31,'Equipment Master Data'!$B$5:$W$100,16,FALSE),"")</f>
        <v>0.125</v>
      </c>
      <c r="Q31" s="680">
        <f>_xlfn.IFNA(VLOOKUP($C31,'Equipment Master Data'!$B$5:$W$100,17,FALSE),"")</f>
        <v>22</v>
      </c>
      <c r="R31" s="680">
        <f>_xlfn.IFNA(VLOOKUP($C31,'Equipment Master Data'!$B$5:$W$100,18,FALSE),"")</f>
        <v>39</v>
      </c>
      <c r="S31" s="680">
        <f>_xlfn.IFNA(VLOOKUP($C31,'Equipment Master Data'!$B$5:$W$100,19,FALSE),"")</f>
        <v>22</v>
      </c>
      <c r="T31" s="680">
        <f>_xlfn.IFNA(VLOOKUP($C31,'Equipment Master Data'!$B$5:$W$100,20,FALSE),"")</f>
        <v>0</v>
      </c>
      <c r="U31" s="680">
        <f>_xlfn.IFNA(VLOOKUP($C31,'Equipment Master Data'!$B$5:$W$100,21,FALSE),"")</f>
        <v>6</v>
      </c>
      <c r="V31" s="682">
        <f>_xlfn.IFNA(VLOOKUP($C31,'Equipment Master Data'!$B$5:$W$100,22,FALSE),"")</f>
        <v>230400</v>
      </c>
    </row>
    <row r="32" spans="2:22">
      <c r="B32" s="149"/>
      <c r="C32" s="147" t="str">
        <f>Fleet!C113</f>
        <v>Diesel Bowser/ 9KL</v>
      </c>
      <c r="D32" s="675">
        <f>_xlfn.IFNA(VLOOKUP(C32,'Equipment Master Data'!$B$5:$W$100,4,FALSE),"")</f>
        <v>0</v>
      </c>
      <c r="E32" s="675">
        <f>_xlfn.IFNA(VLOOKUP($C32,'Equipment Master Data'!$B$5:$W$100,5,FALSE),"")</f>
        <v>0</v>
      </c>
      <c r="F32" s="676">
        <f>_xlfn.IFNA(VLOOKUP($C32,'Equipment Master Data'!$B$5:$W$100,6,FALSE),"")</f>
        <v>3068000</v>
      </c>
      <c r="G32" s="676">
        <f>_xlfn.IFNA(VLOOKUP($C32,'Equipment Master Data'!$B$5:$W$100,7,FALSE),"")</f>
        <v>250</v>
      </c>
      <c r="H32" s="676">
        <f>_xlfn.IFNA(VLOOKUP($C32,'Equipment Master Data'!$B$5:$W$100,8,FALSE),"")</f>
        <v>0</v>
      </c>
      <c r="I32" s="676">
        <f>_xlfn.IFNA(VLOOKUP($C32,'Equipment Master Data'!$B$5:$W$100,9,FALSE),"")</f>
        <v>0</v>
      </c>
      <c r="J32" s="677">
        <f>_xlfn.IFNA(VLOOKUP($C32,'Equipment Master Data'!$B$5:$W$100,10,FALSE),"")</f>
        <v>0.8</v>
      </c>
      <c r="K32" s="677">
        <f>_xlfn.IFNA(VLOOKUP($C32,'Equipment Master Data'!$B$5:$W$100,11,FALSE),"")</f>
        <v>0.3</v>
      </c>
      <c r="L32" s="678">
        <f>_xlfn.IFNA(VLOOKUP($C32,'Equipment Master Data'!$B$5:$W$100,12,FALSE),"")</f>
        <v>1900.8</v>
      </c>
      <c r="M32" s="679">
        <f>_xlfn.IFNA(VLOOKUP($C32,'Equipment Master Data'!$B$5:$W$100,13,FALSE),"")</f>
        <v>5.76</v>
      </c>
      <c r="N32" s="680">
        <f>_xlfn.IFNA(VLOOKUP($C32,'Equipment Master Data'!$B$5:$W$100,14,FALSE),"")</f>
        <v>24000</v>
      </c>
      <c r="O32" s="678">
        <f>_xlfn.IFNA(VLOOKUP($C32,'Equipment Master Data'!$B$5:$W$100,15,FALSE),"")</f>
        <v>12</v>
      </c>
      <c r="P32" s="681">
        <f>_xlfn.IFNA(VLOOKUP($C32,'Equipment Master Data'!$B$5:$W$100,16,FALSE),"")</f>
        <v>0.05</v>
      </c>
      <c r="Q32" s="680">
        <f>_xlfn.IFNA(VLOOKUP($C32,'Equipment Master Data'!$B$5:$W$100,17,FALSE),"")</f>
        <v>10</v>
      </c>
      <c r="R32" s="680">
        <f>_xlfn.IFNA(VLOOKUP($C32,'Equipment Master Data'!$B$5:$W$100,18,FALSE),"")</f>
        <v>25</v>
      </c>
      <c r="S32" s="680">
        <f>_xlfn.IFNA(VLOOKUP($C32,'Equipment Master Data'!$B$5:$W$100,19,FALSE),"")</f>
        <v>10</v>
      </c>
      <c r="T32" s="680">
        <f>_xlfn.IFNA(VLOOKUP($C32,'Equipment Master Data'!$B$5:$W$100,20,FALSE),"")</f>
        <v>0</v>
      </c>
      <c r="U32" s="680">
        <f>_xlfn.IFNA(VLOOKUP($C32,'Equipment Master Data'!$B$5:$W$100,21,FALSE),"")</f>
        <v>6</v>
      </c>
      <c r="V32" s="682">
        <f>_xlfn.IFNA(VLOOKUP($C32,'Equipment Master Data'!$B$5:$W$100,22,FALSE),"")</f>
        <v>25600</v>
      </c>
    </row>
    <row r="33" spans="2:22">
      <c r="B33" s="149"/>
      <c r="C33" s="147" t="str">
        <f>Fleet!C114</f>
        <v xml:space="preserve">Explosive Van </v>
      </c>
      <c r="D33" s="675">
        <f>_xlfn.IFNA(VLOOKUP(C33,'Equipment Master Data'!$B$5:$W$100,4,FALSE),"")</f>
        <v>0</v>
      </c>
      <c r="E33" s="675">
        <f>_xlfn.IFNA(VLOOKUP($C33,'Equipment Master Data'!$B$5:$W$100,5,FALSE),"")</f>
        <v>0</v>
      </c>
      <c r="F33" s="676">
        <f>_xlfn.IFNA(VLOOKUP($C33,'Equipment Master Data'!$B$5:$W$100,6,FALSE),"")</f>
        <v>2500000</v>
      </c>
      <c r="G33" s="676">
        <f>_xlfn.IFNA(VLOOKUP($C33,'Equipment Master Data'!$B$5:$W$100,7,FALSE),"")</f>
        <v>80</v>
      </c>
      <c r="H33" s="676">
        <f>_xlfn.IFNA(VLOOKUP($C33,'Equipment Master Data'!$B$5:$W$100,8,FALSE),"")</f>
        <v>0</v>
      </c>
      <c r="I33" s="676">
        <f>_xlfn.IFNA(VLOOKUP($C33,'Equipment Master Data'!$B$5:$W$100,9,FALSE),"")</f>
        <v>0</v>
      </c>
      <c r="J33" s="677">
        <f>_xlfn.IFNA(VLOOKUP($C33,'Equipment Master Data'!$B$5:$W$100,10,FALSE),"")</f>
        <v>0.8</v>
      </c>
      <c r="K33" s="677">
        <f>_xlfn.IFNA(VLOOKUP($C33,'Equipment Master Data'!$B$5:$W$100,11,FALSE),"")</f>
        <v>0.3</v>
      </c>
      <c r="L33" s="678">
        <f>_xlfn.IFNA(VLOOKUP($C33,'Equipment Master Data'!$B$5:$W$100,12,FALSE),"")</f>
        <v>1900.8</v>
      </c>
      <c r="M33" s="679">
        <f>_xlfn.IFNA(VLOOKUP($C33,'Equipment Master Data'!$B$5:$W$100,13,FALSE),"")</f>
        <v>5.76</v>
      </c>
      <c r="N33" s="680">
        <f>_xlfn.IFNA(VLOOKUP($C33,'Equipment Master Data'!$B$5:$W$100,14,FALSE),"")</f>
        <v>24000</v>
      </c>
      <c r="O33" s="678">
        <f>_xlfn.IFNA(VLOOKUP($C33,'Equipment Master Data'!$B$5:$W$100,15,FALSE),"")</f>
        <v>12</v>
      </c>
      <c r="P33" s="681">
        <f>_xlfn.IFNA(VLOOKUP($C33,'Equipment Master Data'!$B$5:$W$100,16,FALSE),"")</f>
        <v>0.125</v>
      </c>
      <c r="Q33" s="680">
        <f>_xlfn.IFNA(VLOOKUP($C33,'Equipment Master Data'!$B$5:$W$100,17,FALSE),"")</f>
        <v>7.5</v>
      </c>
      <c r="R33" s="680">
        <f>_xlfn.IFNA(VLOOKUP($C33,'Equipment Master Data'!$B$5:$W$100,18,FALSE),"")</f>
        <v>8</v>
      </c>
      <c r="S33" s="680">
        <f>_xlfn.IFNA(VLOOKUP($C33,'Equipment Master Data'!$B$5:$W$100,19,FALSE),"")</f>
        <v>7.5</v>
      </c>
      <c r="T33" s="680">
        <f>_xlfn.IFNA(VLOOKUP($C33,'Equipment Master Data'!$B$5:$W$100,20,FALSE),"")</f>
        <v>0</v>
      </c>
      <c r="U33" s="680">
        <f>_xlfn.IFNA(VLOOKUP($C33,'Equipment Master Data'!$B$5:$W$100,21,FALSE),"")</f>
        <v>6</v>
      </c>
      <c r="V33" s="682">
        <f>_xlfn.IFNA(VLOOKUP($C33,'Equipment Master Data'!$B$5:$W$100,22,FALSE),"")</f>
        <v>19200</v>
      </c>
    </row>
    <row r="34" spans="2:22">
      <c r="B34" s="149"/>
      <c r="C34" s="147" t="str">
        <f>Fleet!C115</f>
        <v>Maintenance Van</v>
      </c>
      <c r="D34" s="675">
        <f>_xlfn.IFNA(VLOOKUP(C34,'Equipment Master Data'!$B$5:$W$100,4,FALSE),"")</f>
        <v>0</v>
      </c>
      <c r="E34" s="675">
        <f>_xlfn.IFNA(VLOOKUP($C34,'Equipment Master Data'!$B$5:$W$100,5,FALSE),"")</f>
        <v>0</v>
      </c>
      <c r="F34" s="676">
        <f>_xlfn.IFNA(VLOOKUP($C34,'Equipment Master Data'!$B$5:$W$100,6,FALSE),"")</f>
        <v>1500000</v>
      </c>
      <c r="G34" s="676">
        <f>_xlfn.IFNA(VLOOKUP($C34,'Equipment Master Data'!$B$5:$W$100,7,FALSE),"")</f>
        <v>80</v>
      </c>
      <c r="H34" s="676">
        <f>_xlfn.IFNA(VLOOKUP($C34,'Equipment Master Data'!$B$5:$W$100,8,FALSE),"")</f>
        <v>0</v>
      </c>
      <c r="I34" s="676">
        <f>_xlfn.IFNA(VLOOKUP($C34,'Equipment Master Data'!$B$5:$W$100,9,FALSE),"")</f>
        <v>0</v>
      </c>
      <c r="J34" s="677">
        <f>_xlfn.IFNA(VLOOKUP($C34,'Equipment Master Data'!$B$5:$W$100,10,FALSE),"")</f>
        <v>0.8</v>
      </c>
      <c r="K34" s="677">
        <f>_xlfn.IFNA(VLOOKUP($C34,'Equipment Master Data'!$B$5:$W$100,11,FALSE),"")</f>
        <v>0.3</v>
      </c>
      <c r="L34" s="678">
        <f>_xlfn.IFNA(VLOOKUP($C34,'Equipment Master Data'!$B$5:$W$100,12,FALSE),"")</f>
        <v>1900.8</v>
      </c>
      <c r="M34" s="679">
        <f>_xlfn.IFNA(VLOOKUP($C34,'Equipment Master Data'!$B$5:$W$100,13,FALSE),"")</f>
        <v>5.76</v>
      </c>
      <c r="N34" s="680">
        <f>_xlfn.IFNA(VLOOKUP($C34,'Equipment Master Data'!$B$5:$W$100,14,FALSE),"")</f>
        <v>24000</v>
      </c>
      <c r="O34" s="678">
        <f>_xlfn.IFNA(VLOOKUP($C34,'Equipment Master Data'!$B$5:$W$100,15,FALSE),"")</f>
        <v>12</v>
      </c>
      <c r="P34" s="681">
        <f>_xlfn.IFNA(VLOOKUP($C34,'Equipment Master Data'!$B$5:$W$100,16,FALSE),"")</f>
        <v>0.125</v>
      </c>
      <c r="Q34" s="680">
        <f>_xlfn.IFNA(VLOOKUP($C34,'Equipment Master Data'!$B$5:$W$100,17,FALSE),"")</f>
        <v>7.5</v>
      </c>
      <c r="R34" s="680">
        <f>_xlfn.IFNA(VLOOKUP($C34,'Equipment Master Data'!$B$5:$W$100,18,FALSE),"")</f>
        <v>8</v>
      </c>
      <c r="S34" s="680">
        <f>_xlfn.IFNA(VLOOKUP($C34,'Equipment Master Data'!$B$5:$W$100,19,FALSE),"")</f>
        <v>7.5</v>
      </c>
      <c r="T34" s="680">
        <f>_xlfn.IFNA(VLOOKUP($C34,'Equipment Master Data'!$B$5:$W$100,20,FALSE),"")</f>
        <v>0</v>
      </c>
      <c r="U34" s="680">
        <f>_xlfn.IFNA(VLOOKUP($C34,'Equipment Master Data'!$B$5:$W$100,21,FALSE),"")</f>
        <v>8</v>
      </c>
      <c r="V34" s="682">
        <f>_xlfn.IFNA(VLOOKUP($C34,'Equipment Master Data'!$B$5:$W$100,22,FALSE),"")</f>
        <v>19200</v>
      </c>
    </row>
    <row r="35" spans="2:22">
      <c r="B35" s="149"/>
      <c r="C35" s="147" t="str">
        <f>Fleet!C116</f>
        <v>Diesel Hydraulic backhoe/ 1.5cum (Komatsu)</v>
      </c>
      <c r="D35" s="675" t="str">
        <f>_xlfn.IFNA(VLOOKUP(C35,'Equipment Master Data'!$B$5:$W$100,4,FALSE),"")</f>
        <v xml:space="preserve">Komatsu </v>
      </c>
      <c r="E35" s="675" t="str">
        <f>_xlfn.IFNA(VLOOKUP($C35,'Equipment Master Data'!$B$5:$W$100,5,FALSE),"")</f>
        <v>PC 210-8MO</v>
      </c>
      <c r="F35" s="676">
        <f>_xlfn.IFNA(VLOOKUP($C35,'Equipment Master Data'!$B$5:$W$100,6,FALSE),"")</f>
        <v>5100288</v>
      </c>
      <c r="G35" s="676">
        <f>_xlfn.IFNA(VLOOKUP($C35,'Equipment Master Data'!$B$5:$W$100,7,FALSE),"")</f>
        <v>147</v>
      </c>
      <c r="H35" s="676">
        <f>_xlfn.IFNA(VLOOKUP($C35,'Equipment Master Data'!$B$5:$W$100,8,FALSE),"")</f>
        <v>0</v>
      </c>
      <c r="I35" s="676">
        <f>_xlfn.IFNA(VLOOKUP($C35,'Equipment Master Data'!$B$5:$W$100,9,FALSE),"")</f>
        <v>0</v>
      </c>
      <c r="J35" s="677">
        <f>_xlfn.IFNA(VLOOKUP($C35,'Equipment Master Data'!$B$5:$W$100,10,FALSE),"")</f>
        <v>0.8</v>
      </c>
      <c r="K35" s="677">
        <f>_xlfn.IFNA(VLOOKUP($C35,'Equipment Master Data'!$B$5:$W$100,11,FALSE),"")</f>
        <v>0.4</v>
      </c>
      <c r="L35" s="678">
        <f>_xlfn.IFNA(VLOOKUP($C35,'Equipment Master Data'!$B$5:$W$100,12,FALSE),"")</f>
        <v>2534.4</v>
      </c>
      <c r="M35" s="679">
        <f>_xlfn.IFNA(VLOOKUP($C35,'Equipment Master Data'!$B$5:$W$100,13,FALSE),"")</f>
        <v>7.6800000000000006</v>
      </c>
      <c r="N35" s="680">
        <f>_xlfn.IFNA(VLOOKUP($C35,'Equipment Master Data'!$B$5:$W$100,14,FALSE),"")</f>
        <v>30000</v>
      </c>
      <c r="O35" s="678">
        <f>_xlfn.IFNA(VLOOKUP($C35,'Equipment Master Data'!$B$5:$W$100,15,FALSE),"")</f>
        <v>11</v>
      </c>
      <c r="P35" s="681">
        <f>_xlfn.IFNA(VLOOKUP($C35,'Equipment Master Data'!$B$5:$W$100,16,FALSE),"")</f>
        <v>0.125</v>
      </c>
      <c r="Q35" s="680">
        <f>_xlfn.IFNA(VLOOKUP($C35,'Equipment Master Data'!$B$5:$W$100,17,FALSE),"")</f>
        <v>15</v>
      </c>
      <c r="R35" s="680">
        <f>_xlfn.IFNA(VLOOKUP($C35,'Equipment Master Data'!$B$5:$W$100,18,FALSE),"")</f>
        <v>15</v>
      </c>
      <c r="S35" s="680">
        <f>_xlfn.IFNA(VLOOKUP($C35,'Equipment Master Data'!$B$5:$W$100,19,FALSE),"")</f>
        <v>15</v>
      </c>
      <c r="T35" s="680">
        <f>_xlfn.IFNA(VLOOKUP($C35,'Equipment Master Data'!$B$5:$W$100,20,FALSE),"")</f>
        <v>0</v>
      </c>
      <c r="U35" s="680">
        <f>_xlfn.IFNA(VLOOKUP($C35,'Equipment Master Data'!$B$5:$W$100,21,FALSE),"")</f>
        <v>0</v>
      </c>
      <c r="V35" s="682">
        <f>_xlfn.IFNA(VLOOKUP($C35,'Equipment Master Data'!$B$5:$W$100,22,FALSE),"")</f>
        <v>0</v>
      </c>
    </row>
    <row r="36" spans="2:22">
      <c r="B36" s="149"/>
      <c r="C36" s="147" t="str">
        <f>Fleet!C117</f>
        <v xml:space="preserve">Boom Truck </v>
      </c>
      <c r="D36" s="675">
        <f>_xlfn.IFNA(VLOOKUP(C36,'Equipment Master Data'!$B$5:$W$100,4,FALSE),"")</f>
        <v>0</v>
      </c>
      <c r="E36" s="675">
        <f>_xlfn.IFNA(VLOOKUP($C36,'Equipment Master Data'!$B$5:$W$100,5,FALSE),"")</f>
        <v>0</v>
      </c>
      <c r="F36" s="676">
        <f>_xlfn.IFNA(VLOOKUP($C36,'Equipment Master Data'!$B$5:$W$100,6,FALSE),"")</f>
        <v>1500000</v>
      </c>
      <c r="G36" s="676">
        <f>_xlfn.IFNA(VLOOKUP($C36,'Equipment Master Data'!$B$5:$W$100,7,FALSE),"")</f>
        <v>75</v>
      </c>
      <c r="H36" s="676">
        <f>_xlfn.IFNA(VLOOKUP($C36,'Equipment Master Data'!$B$5:$W$100,8,FALSE),"")</f>
        <v>0</v>
      </c>
      <c r="I36" s="676">
        <f>_xlfn.IFNA(VLOOKUP($C36,'Equipment Master Data'!$B$5:$W$100,9,FALSE),"")</f>
        <v>0</v>
      </c>
      <c r="J36" s="677">
        <f>_xlfn.IFNA(VLOOKUP($C36,'Equipment Master Data'!$B$5:$W$100,10,FALSE),"")</f>
        <v>0.8</v>
      </c>
      <c r="K36" s="677">
        <f>_xlfn.IFNA(VLOOKUP($C36,'Equipment Master Data'!$B$5:$W$100,11,FALSE),"")</f>
        <v>0.3</v>
      </c>
      <c r="L36" s="678">
        <f>_xlfn.IFNA(VLOOKUP($C36,'Equipment Master Data'!$B$5:$W$100,12,FALSE),"")</f>
        <v>1900.8</v>
      </c>
      <c r="M36" s="679">
        <f>_xlfn.IFNA(VLOOKUP($C36,'Equipment Master Data'!$B$5:$W$100,13,FALSE),"")</f>
        <v>5.76</v>
      </c>
      <c r="N36" s="680">
        <f>_xlfn.IFNA(VLOOKUP($C36,'Equipment Master Data'!$B$5:$W$100,14,FALSE),"")</f>
        <v>30000</v>
      </c>
      <c r="O36" s="678">
        <f>_xlfn.IFNA(VLOOKUP($C36,'Equipment Master Data'!$B$5:$W$100,15,FALSE),"")</f>
        <v>15</v>
      </c>
      <c r="P36" s="681">
        <f>_xlfn.IFNA(VLOOKUP($C36,'Equipment Master Data'!$B$5:$W$100,16,FALSE),"")</f>
        <v>0.1</v>
      </c>
      <c r="Q36" s="680">
        <f>_xlfn.IFNA(VLOOKUP($C36,'Equipment Master Data'!$B$5:$W$100,17,FALSE),"")</f>
        <v>7</v>
      </c>
      <c r="R36" s="680">
        <f>_xlfn.IFNA(VLOOKUP($C36,'Equipment Master Data'!$B$5:$W$100,18,FALSE),"")</f>
        <v>8</v>
      </c>
      <c r="S36" s="680">
        <f>_xlfn.IFNA(VLOOKUP($C36,'Equipment Master Data'!$B$5:$W$100,19,FALSE),"")</f>
        <v>7</v>
      </c>
      <c r="T36" s="680">
        <f>_xlfn.IFNA(VLOOKUP($C36,'Equipment Master Data'!$B$5:$W$100,20,FALSE),"")</f>
        <v>0</v>
      </c>
      <c r="U36" s="680">
        <f>_xlfn.IFNA(VLOOKUP($C36,'Equipment Master Data'!$B$5:$W$100,21,FALSE),"")</f>
        <v>6</v>
      </c>
      <c r="V36" s="682">
        <f>_xlfn.IFNA(VLOOKUP($C36,'Equipment Master Data'!$B$5:$W$100,22,FALSE),"")</f>
        <v>25600</v>
      </c>
    </row>
    <row r="37" spans="2:22">
      <c r="B37" s="149"/>
      <c r="C37" s="147" t="str">
        <f>Fleet!C118</f>
        <v xml:space="preserve">Heavy duty tow truck </v>
      </c>
      <c r="D37" s="675">
        <f>_xlfn.IFNA(VLOOKUP(C37,'Equipment Master Data'!$B$5:$W$100,4,FALSE),"")</f>
        <v>0</v>
      </c>
      <c r="E37" s="675">
        <f>_xlfn.IFNA(VLOOKUP($C37,'Equipment Master Data'!$B$5:$W$100,5,FALSE),"")</f>
        <v>0</v>
      </c>
      <c r="F37" s="676">
        <f>_xlfn.IFNA(VLOOKUP($C37,'Equipment Master Data'!$B$5:$W$100,6,FALSE),"")</f>
        <v>1500000</v>
      </c>
      <c r="G37" s="676">
        <f>_xlfn.IFNA(VLOOKUP($C37,'Equipment Master Data'!$B$5:$W$100,7,FALSE),"")</f>
        <v>75</v>
      </c>
      <c r="H37" s="676">
        <f>_xlfn.IFNA(VLOOKUP($C37,'Equipment Master Data'!$B$5:$W$100,8,FALSE),"")</f>
        <v>0</v>
      </c>
      <c r="I37" s="676">
        <f>_xlfn.IFNA(VLOOKUP($C37,'Equipment Master Data'!$B$5:$W$100,9,FALSE),"")</f>
        <v>0</v>
      </c>
      <c r="J37" s="677">
        <f>_xlfn.IFNA(VLOOKUP($C37,'Equipment Master Data'!$B$5:$W$100,10,FALSE),"")</f>
        <v>0.8</v>
      </c>
      <c r="K37" s="677">
        <f>_xlfn.IFNA(VLOOKUP($C37,'Equipment Master Data'!$B$5:$W$100,11,FALSE),"")</f>
        <v>0.3</v>
      </c>
      <c r="L37" s="678">
        <f>_xlfn.IFNA(VLOOKUP($C37,'Equipment Master Data'!$B$5:$W$100,12,FALSE),"")</f>
        <v>1900.8</v>
      </c>
      <c r="M37" s="679">
        <f>_xlfn.IFNA(VLOOKUP($C37,'Equipment Master Data'!$B$5:$W$100,13,FALSE),"")</f>
        <v>5.76</v>
      </c>
      <c r="N37" s="680">
        <f>_xlfn.IFNA(VLOOKUP($C37,'Equipment Master Data'!$B$5:$W$100,14,FALSE),"")</f>
        <v>30000</v>
      </c>
      <c r="O37" s="678">
        <f>_xlfn.IFNA(VLOOKUP($C37,'Equipment Master Data'!$B$5:$W$100,15,FALSE),"")</f>
        <v>15</v>
      </c>
      <c r="P37" s="681">
        <f>_xlfn.IFNA(VLOOKUP($C37,'Equipment Master Data'!$B$5:$W$100,16,FALSE),"")</f>
        <v>0.1</v>
      </c>
      <c r="Q37" s="680">
        <f>_xlfn.IFNA(VLOOKUP($C37,'Equipment Master Data'!$B$5:$W$100,17,FALSE),"")</f>
        <v>7</v>
      </c>
      <c r="R37" s="680">
        <f>_xlfn.IFNA(VLOOKUP($C37,'Equipment Master Data'!$B$5:$W$100,18,FALSE),"")</f>
        <v>8</v>
      </c>
      <c r="S37" s="680">
        <f>_xlfn.IFNA(VLOOKUP($C37,'Equipment Master Data'!$B$5:$W$100,19,FALSE),"")</f>
        <v>7</v>
      </c>
      <c r="T37" s="680">
        <f>_xlfn.IFNA(VLOOKUP($C37,'Equipment Master Data'!$B$5:$W$100,20,FALSE),"")</f>
        <v>0</v>
      </c>
      <c r="U37" s="680">
        <f>_xlfn.IFNA(VLOOKUP($C37,'Equipment Master Data'!$B$5:$W$100,21,FALSE),"")</f>
        <v>6</v>
      </c>
      <c r="V37" s="682">
        <f>_xlfn.IFNA(VLOOKUP($C37,'Equipment Master Data'!$B$5:$W$100,22,FALSE),"")</f>
        <v>25600</v>
      </c>
    </row>
    <row r="38" spans="2:22">
      <c r="B38" s="149"/>
      <c r="C38" s="147" t="str">
        <f>Fleet!C119</f>
        <v>Tipping Truck/ 8t</v>
      </c>
      <c r="D38" s="675">
        <f>_xlfn.IFNA(VLOOKUP(C38,'Equipment Master Data'!$B$5:$W$100,4,FALSE),"")</f>
        <v>0</v>
      </c>
      <c r="E38" s="675">
        <f>_xlfn.IFNA(VLOOKUP($C38,'Equipment Master Data'!$B$5:$W$100,5,FALSE),"")</f>
        <v>0</v>
      </c>
      <c r="F38" s="676">
        <f>_xlfn.IFNA(VLOOKUP($C38,'Equipment Master Data'!$B$5:$W$100,6,FALSE),"")</f>
        <v>2000000</v>
      </c>
      <c r="G38" s="676">
        <f>_xlfn.IFNA(VLOOKUP($C38,'Equipment Master Data'!$B$5:$W$100,7,FALSE),"")</f>
        <v>125</v>
      </c>
      <c r="H38" s="676">
        <f>_xlfn.IFNA(VLOOKUP($C38,'Equipment Master Data'!$B$5:$W$100,8,FALSE),"")</f>
        <v>0</v>
      </c>
      <c r="I38" s="676">
        <f>_xlfn.IFNA(VLOOKUP($C38,'Equipment Master Data'!$B$5:$W$100,9,FALSE),"")</f>
        <v>0</v>
      </c>
      <c r="J38" s="677">
        <f>_xlfn.IFNA(VLOOKUP($C38,'Equipment Master Data'!$B$5:$W$100,10,FALSE),"")</f>
        <v>0.8</v>
      </c>
      <c r="K38" s="677">
        <f>_xlfn.IFNA(VLOOKUP($C38,'Equipment Master Data'!$B$5:$W$100,11,FALSE),"")</f>
        <v>0.3</v>
      </c>
      <c r="L38" s="678">
        <f>_xlfn.IFNA(VLOOKUP($C38,'Equipment Master Data'!$B$5:$W$100,12,FALSE),"")</f>
        <v>1900.8</v>
      </c>
      <c r="M38" s="679">
        <f>_xlfn.IFNA(VLOOKUP($C38,'Equipment Master Data'!$B$5:$W$100,13,FALSE),"")</f>
        <v>5.76</v>
      </c>
      <c r="N38" s="680">
        <f>_xlfn.IFNA(VLOOKUP($C38,'Equipment Master Data'!$B$5:$W$100,14,FALSE),"")</f>
        <v>30000</v>
      </c>
      <c r="O38" s="678">
        <f>_xlfn.IFNA(VLOOKUP($C38,'Equipment Master Data'!$B$5:$W$100,15,FALSE),"")</f>
        <v>15</v>
      </c>
      <c r="P38" s="681">
        <f>_xlfn.IFNA(VLOOKUP($C38,'Equipment Master Data'!$B$5:$W$100,16,FALSE),"")</f>
        <v>0.1</v>
      </c>
      <c r="Q38" s="680">
        <f>_xlfn.IFNA(VLOOKUP($C38,'Equipment Master Data'!$B$5:$W$100,17,FALSE),"")</f>
        <v>11</v>
      </c>
      <c r="R38" s="680">
        <f>_xlfn.IFNA(VLOOKUP($C38,'Equipment Master Data'!$B$5:$W$100,18,FALSE),"")</f>
        <v>13</v>
      </c>
      <c r="S38" s="680">
        <f>_xlfn.IFNA(VLOOKUP($C38,'Equipment Master Data'!$B$5:$W$100,19,FALSE),"")</f>
        <v>11</v>
      </c>
      <c r="T38" s="680">
        <f>_xlfn.IFNA(VLOOKUP($C38,'Equipment Master Data'!$B$5:$W$100,20,FALSE),"")</f>
        <v>0</v>
      </c>
      <c r="U38" s="680">
        <f>_xlfn.IFNA(VLOOKUP($C38,'Equipment Master Data'!$B$5:$W$100,21,FALSE),"")</f>
        <v>6</v>
      </c>
      <c r="V38" s="682">
        <f>_xlfn.IFNA(VLOOKUP($C38,'Equipment Master Data'!$B$5:$W$100,22,FALSE),"")</f>
        <v>25600</v>
      </c>
    </row>
    <row r="39" spans="2:22">
      <c r="B39" s="149"/>
      <c r="C39" s="147" t="str">
        <f>Fleet!C120</f>
        <v>Fork lift/ 8t</v>
      </c>
      <c r="D39" s="675" t="str">
        <f>_xlfn.IFNA(VLOOKUP(C39,'Equipment Master Data'!$B$5:$W$100,4,FALSE),"")</f>
        <v>ACE</v>
      </c>
      <c r="E39" s="675" t="str">
        <f>_xlfn.IFNA(VLOOKUP($C39,'Equipment Master Data'!$B$5:$W$100,5,FALSE),"")</f>
        <v>AF50D</v>
      </c>
      <c r="F39" s="676">
        <f>_xlfn.IFNA(VLOOKUP($C39,'Equipment Master Data'!$B$5:$W$100,6,FALSE),"")</f>
        <v>1300000</v>
      </c>
      <c r="G39" s="676">
        <f>_xlfn.IFNA(VLOOKUP($C39,'Equipment Master Data'!$B$5:$W$100,7,FALSE),"")</f>
        <v>80</v>
      </c>
      <c r="H39" s="676">
        <f>_xlfn.IFNA(VLOOKUP($C39,'Equipment Master Data'!$B$5:$W$100,8,FALSE),"")</f>
        <v>0</v>
      </c>
      <c r="I39" s="676">
        <f>_xlfn.IFNA(VLOOKUP($C39,'Equipment Master Data'!$B$5:$W$100,9,FALSE),"")</f>
        <v>0</v>
      </c>
      <c r="J39" s="677">
        <f>_xlfn.IFNA(VLOOKUP($C39,'Equipment Master Data'!$B$5:$W$100,10,FALSE),"")</f>
        <v>0.8</v>
      </c>
      <c r="K39" s="677">
        <f>_xlfn.IFNA(VLOOKUP($C39,'Equipment Master Data'!$B$5:$W$100,11,FALSE),"")</f>
        <v>0.55000000000000004</v>
      </c>
      <c r="L39" s="678">
        <f>_xlfn.IFNA(VLOOKUP($C39,'Equipment Master Data'!$B$5:$W$100,12,FALSE),"")</f>
        <v>3484.8</v>
      </c>
      <c r="M39" s="679">
        <f>_xlfn.IFNA(VLOOKUP($C39,'Equipment Master Data'!$B$5:$W$100,13,FALSE),"")</f>
        <v>10.56</v>
      </c>
      <c r="N39" s="680">
        <f>_xlfn.IFNA(VLOOKUP($C39,'Equipment Master Data'!$B$5:$W$100,14,FALSE),"")</f>
        <v>30000</v>
      </c>
      <c r="O39" s="678">
        <f>_xlfn.IFNA(VLOOKUP($C39,'Equipment Master Data'!$B$5:$W$100,15,FALSE),"")</f>
        <v>8</v>
      </c>
      <c r="P39" s="681">
        <f>_xlfn.IFNA(VLOOKUP($C39,'Equipment Master Data'!$B$5:$W$100,16,FALSE),"")</f>
        <v>0.1</v>
      </c>
      <c r="Q39" s="680">
        <f>_xlfn.IFNA(VLOOKUP($C39,'Equipment Master Data'!$B$5:$W$100,17,FALSE),"")</f>
        <v>7.5</v>
      </c>
      <c r="R39" s="680">
        <f>_xlfn.IFNA(VLOOKUP($C39,'Equipment Master Data'!$B$5:$W$100,18,FALSE),"")</f>
        <v>8</v>
      </c>
      <c r="S39" s="680">
        <f>_xlfn.IFNA(VLOOKUP($C39,'Equipment Master Data'!$B$5:$W$100,19,FALSE),"")</f>
        <v>7.5</v>
      </c>
      <c r="T39" s="680">
        <f>_xlfn.IFNA(VLOOKUP($C39,'Equipment Master Data'!$B$5:$W$100,20,FALSE),"")</f>
        <v>0</v>
      </c>
      <c r="U39" s="680">
        <f>_xlfn.IFNA(VLOOKUP($C39,'Equipment Master Data'!$B$5:$W$100,21,FALSE),"")</f>
        <v>4</v>
      </c>
      <c r="V39" s="682">
        <f>_xlfn.IFNA(VLOOKUP($C39,'Equipment Master Data'!$B$5:$W$100,22,FALSE),"")</f>
        <v>19200</v>
      </c>
    </row>
    <row r="40" spans="2:22">
      <c r="B40" s="149"/>
      <c r="C40" s="147" t="str">
        <f>Fleet!C121</f>
        <v>Tyre handler/ 20t</v>
      </c>
      <c r="D40" s="675" t="str">
        <f>_xlfn.IFNA(VLOOKUP(C40,'Equipment Master Data'!$B$5:$W$100,4,FALSE),"")</f>
        <v>MANITOU</v>
      </c>
      <c r="E40" s="675" t="str">
        <f>_xlfn.IFNA(VLOOKUP($C40,'Equipment Master Data'!$B$5:$W$100,5,FALSE),"")</f>
        <v>ST3A</v>
      </c>
      <c r="F40" s="676">
        <f>_xlfn.IFNA(VLOOKUP($C40,'Equipment Master Data'!$B$5:$W$100,6,FALSE),"")</f>
        <v>69797000</v>
      </c>
      <c r="G40" s="676">
        <f>_xlfn.IFNA(VLOOKUP($C40,'Equipment Master Data'!$B$5:$W$100,7,FALSE),"")</f>
        <v>211</v>
      </c>
      <c r="H40" s="676" t="str">
        <f>_xlfn.IFNA(VLOOKUP($C40,'Equipment Master Data'!$B$5:$W$100,8,FALSE),"")</f>
        <v>20t</v>
      </c>
      <c r="I40" s="676">
        <f>_xlfn.IFNA(VLOOKUP($C40,'Equipment Master Data'!$B$5:$W$100,9,FALSE),"")</f>
        <v>0</v>
      </c>
      <c r="J40" s="677">
        <f>_xlfn.IFNA(VLOOKUP($C40,'Equipment Master Data'!$B$5:$W$100,10,FALSE),"")</f>
        <v>0.8</v>
      </c>
      <c r="K40" s="677">
        <f>_xlfn.IFNA(VLOOKUP($C40,'Equipment Master Data'!$B$5:$W$100,11,FALSE),"")</f>
        <v>0.25</v>
      </c>
      <c r="L40" s="678">
        <f>_xlfn.IFNA(VLOOKUP($C40,'Equipment Master Data'!$B$5:$W$100,12,FALSE),"")</f>
        <v>1584</v>
      </c>
      <c r="M40" s="679">
        <f>_xlfn.IFNA(VLOOKUP($C40,'Equipment Master Data'!$B$5:$W$100,13,FALSE),"")</f>
        <v>4.8</v>
      </c>
      <c r="N40" s="680">
        <f>_xlfn.IFNA(VLOOKUP($C40,'Equipment Master Data'!$B$5:$W$100,14,FALSE),"")</f>
        <v>25000</v>
      </c>
      <c r="O40" s="678">
        <f>_xlfn.IFNA(VLOOKUP($C40,'Equipment Master Data'!$B$5:$W$100,15,FALSE),"")</f>
        <v>15</v>
      </c>
      <c r="P40" s="681">
        <f>_xlfn.IFNA(VLOOKUP($C40,'Equipment Master Data'!$B$5:$W$100,16,FALSE),"")</f>
        <v>0.1</v>
      </c>
      <c r="Q40" s="680">
        <f>_xlfn.IFNA(VLOOKUP($C40,'Equipment Master Data'!$B$5:$W$100,17,FALSE),"")</f>
        <v>15</v>
      </c>
      <c r="R40" s="680">
        <f>_xlfn.IFNA(VLOOKUP($C40,'Equipment Master Data'!$B$5:$W$100,18,FALSE),"")</f>
        <v>22</v>
      </c>
      <c r="S40" s="680">
        <f>_xlfn.IFNA(VLOOKUP($C40,'Equipment Master Data'!$B$5:$W$100,19,FALSE),"")</f>
        <v>15</v>
      </c>
      <c r="T40" s="680">
        <f>_xlfn.IFNA(VLOOKUP($C40,'Equipment Master Data'!$B$5:$W$100,20,FALSE),"")</f>
        <v>155</v>
      </c>
      <c r="U40" s="680">
        <f>_xlfn.IFNA(VLOOKUP($C40,'Equipment Master Data'!$B$5:$W$100,21,FALSE),"")</f>
        <v>4</v>
      </c>
      <c r="V40" s="682">
        <f>_xlfn.IFNA(VLOOKUP($C40,'Equipment Master Data'!$B$5:$W$100,22,FALSE),"")</f>
        <v>38400</v>
      </c>
    </row>
    <row r="41" spans="2:22">
      <c r="B41" s="149"/>
      <c r="C41" s="147" t="str">
        <f>Fleet!C122</f>
        <v xml:space="preserve">Farm tractor </v>
      </c>
      <c r="D41" s="675">
        <f>_xlfn.IFNA(VLOOKUP(C41,'Equipment Master Data'!$B$5:$W$100,4,FALSE),"")</f>
        <v>0</v>
      </c>
      <c r="E41" s="675">
        <f>_xlfn.IFNA(VLOOKUP($C41,'Equipment Master Data'!$B$5:$W$100,5,FALSE),"")</f>
        <v>0</v>
      </c>
      <c r="F41" s="676">
        <f>_xlfn.IFNA(VLOOKUP($C41,'Equipment Master Data'!$B$5:$W$100,6,FALSE),"")</f>
        <v>1200000</v>
      </c>
      <c r="G41" s="676">
        <f>_xlfn.IFNA(VLOOKUP($C41,'Equipment Master Data'!$B$5:$W$100,7,FALSE),"")</f>
        <v>125</v>
      </c>
      <c r="H41" s="676">
        <f>_xlfn.IFNA(VLOOKUP($C41,'Equipment Master Data'!$B$5:$W$100,8,FALSE),"")</f>
        <v>0</v>
      </c>
      <c r="I41" s="676">
        <f>_xlfn.IFNA(VLOOKUP($C41,'Equipment Master Data'!$B$5:$W$100,9,FALSE),"")</f>
        <v>0</v>
      </c>
      <c r="J41" s="677">
        <f>_xlfn.IFNA(VLOOKUP($C41,'Equipment Master Data'!$B$5:$W$100,10,FALSE),"")</f>
        <v>0.8</v>
      </c>
      <c r="K41" s="677">
        <f>_xlfn.IFNA(VLOOKUP($C41,'Equipment Master Data'!$B$5:$W$100,11,FALSE),"")</f>
        <v>0.25</v>
      </c>
      <c r="L41" s="678">
        <f>_xlfn.IFNA(VLOOKUP($C41,'Equipment Master Data'!$B$5:$W$100,12,FALSE),"")</f>
        <v>1584</v>
      </c>
      <c r="M41" s="679">
        <f>_xlfn.IFNA(VLOOKUP($C41,'Equipment Master Data'!$B$5:$W$100,13,FALSE),"")</f>
        <v>4.8</v>
      </c>
      <c r="N41" s="680">
        <f>_xlfn.IFNA(VLOOKUP($C41,'Equipment Master Data'!$B$5:$W$100,14,FALSE),"")</f>
        <v>25000</v>
      </c>
      <c r="O41" s="678">
        <f>_xlfn.IFNA(VLOOKUP($C41,'Equipment Master Data'!$B$5:$W$100,15,FALSE),"")</f>
        <v>15</v>
      </c>
      <c r="P41" s="681">
        <f>_xlfn.IFNA(VLOOKUP($C41,'Equipment Master Data'!$B$5:$W$100,16,FALSE),"")</f>
        <v>0.1</v>
      </c>
      <c r="Q41" s="680">
        <f>_xlfn.IFNA(VLOOKUP($C41,'Equipment Master Data'!$B$5:$W$100,17,FALSE),"")</f>
        <v>13</v>
      </c>
      <c r="R41" s="680">
        <f>_xlfn.IFNA(VLOOKUP($C41,'Equipment Master Data'!$B$5:$W$100,18,FALSE),"")</f>
        <v>13</v>
      </c>
      <c r="S41" s="680">
        <f>_xlfn.IFNA(VLOOKUP($C41,'Equipment Master Data'!$B$5:$W$100,19,FALSE),"")</f>
        <v>13</v>
      </c>
      <c r="T41" s="680">
        <f>_xlfn.IFNA(VLOOKUP($C41,'Equipment Master Data'!$B$5:$W$100,20,FALSE),"")</f>
        <v>0</v>
      </c>
      <c r="U41" s="680">
        <f>_xlfn.IFNA(VLOOKUP($C41,'Equipment Master Data'!$B$5:$W$100,21,FALSE),"")</f>
        <v>4</v>
      </c>
      <c r="V41" s="682">
        <f>_xlfn.IFNA(VLOOKUP($C41,'Equipment Master Data'!$B$5:$W$100,22,FALSE),"")</f>
        <v>19200</v>
      </c>
    </row>
    <row r="42" spans="2:22">
      <c r="B42" s="149"/>
      <c r="C42" s="147" t="str">
        <f>Fleet!C123</f>
        <v>Fire Tender</v>
      </c>
      <c r="D42" s="675">
        <f>_xlfn.IFNA(VLOOKUP(C42,'Equipment Master Data'!$B$5:$W$100,4,FALSE),"")</f>
        <v>0</v>
      </c>
      <c r="E42" s="675">
        <f>_xlfn.IFNA(VLOOKUP($C42,'Equipment Master Data'!$B$5:$W$100,5,FALSE),"")</f>
        <v>0</v>
      </c>
      <c r="F42" s="676">
        <f>_xlfn.IFNA(VLOOKUP($C42,'Equipment Master Data'!$B$5:$W$100,6,FALSE),"")</f>
        <v>3000000</v>
      </c>
      <c r="G42" s="676">
        <f>_xlfn.IFNA(VLOOKUP($C42,'Equipment Master Data'!$B$5:$W$100,7,FALSE),"")</f>
        <v>80</v>
      </c>
      <c r="H42" s="676">
        <f>_xlfn.IFNA(VLOOKUP($C42,'Equipment Master Data'!$B$5:$W$100,8,FALSE),"")</f>
        <v>0</v>
      </c>
      <c r="I42" s="676">
        <f>_xlfn.IFNA(VLOOKUP($C42,'Equipment Master Data'!$B$5:$W$100,9,FALSE),"")</f>
        <v>0</v>
      </c>
      <c r="J42" s="677">
        <f>_xlfn.IFNA(VLOOKUP($C42,'Equipment Master Data'!$B$5:$W$100,10,FALSE),"")</f>
        <v>0.8</v>
      </c>
      <c r="K42" s="677">
        <f>_xlfn.IFNA(VLOOKUP($C42,'Equipment Master Data'!$B$5:$W$100,11,FALSE),"")</f>
        <v>0.25</v>
      </c>
      <c r="L42" s="678">
        <f>_xlfn.IFNA(VLOOKUP($C42,'Equipment Master Data'!$B$5:$W$100,12,FALSE),"")</f>
        <v>1584</v>
      </c>
      <c r="M42" s="679">
        <f>_xlfn.IFNA(VLOOKUP($C42,'Equipment Master Data'!$B$5:$W$100,13,FALSE),"")</f>
        <v>4.8</v>
      </c>
      <c r="N42" s="680">
        <f>_xlfn.IFNA(VLOOKUP($C42,'Equipment Master Data'!$B$5:$W$100,14,FALSE),"")</f>
        <v>25000</v>
      </c>
      <c r="O42" s="678">
        <f>_xlfn.IFNA(VLOOKUP($C42,'Equipment Master Data'!$B$5:$W$100,15,FALSE),"")</f>
        <v>15</v>
      </c>
      <c r="P42" s="681">
        <f>_xlfn.IFNA(VLOOKUP($C42,'Equipment Master Data'!$B$5:$W$100,16,FALSE),"")</f>
        <v>0.05</v>
      </c>
      <c r="Q42" s="680">
        <f>_xlfn.IFNA(VLOOKUP($C42,'Equipment Master Data'!$B$5:$W$100,17,FALSE),"")</f>
        <v>7.5</v>
      </c>
      <c r="R42" s="680">
        <f>_xlfn.IFNA(VLOOKUP($C42,'Equipment Master Data'!$B$5:$W$100,18,FALSE),"")</f>
        <v>8</v>
      </c>
      <c r="S42" s="680">
        <f>_xlfn.IFNA(VLOOKUP($C42,'Equipment Master Data'!$B$5:$W$100,19,FALSE),"")</f>
        <v>7.5</v>
      </c>
      <c r="T42" s="680">
        <f>_xlfn.IFNA(VLOOKUP($C42,'Equipment Master Data'!$B$5:$W$100,20,FALSE),"")</f>
        <v>0</v>
      </c>
      <c r="U42" s="680">
        <f>_xlfn.IFNA(VLOOKUP($C42,'Equipment Master Data'!$B$5:$W$100,21,FALSE),"")</f>
        <v>6</v>
      </c>
      <c r="V42" s="682">
        <f>_xlfn.IFNA(VLOOKUP($C42,'Equipment Master Data'!$B$5:$W$100,22,FALSE),"")</f>
        <v>19200</v>
      </c>
    </row>
    <row r="43" spans="2:22">
      <c r="B43" s="149"/>
      <c r="C43" s="147" t="str">
        <f>Fleet!C124</f>
        <v xml:space="preserve">Ambulance </v>
      </c>
      <c r="D43" s="675">
        <f>_xlfn.IFNA(VLOOKUP(C43,'Equipment Master Data'!$B$5:$W$100,4,FALSE),"")</f>
        <v>0</v>
      </c>
      <c r="E43" s="675">
        <f>_xlfn.IFNA(VLOOKUP($C43,'Equipment Master Data'!$B$5:$W$100,5,FALSE),"")</f>
        <v>0</v>
      </c>
      <c r="F43" s="676">
        <f>_xlfn.IFNA(VLOOKUP($C43,'Equipment Master Data'!$B$5:$W$100,6,FALSE),"")</f>
        <v>1500000</v>
      </c>
      <c r="G43" s="676">
        <f>_xlfn.IFNA(VLOOKUP($C43,'Equipment Master Data'!$B$5:$W$100,7,FALSE),"")</f>
        <v>50</v>
      </c>
      <c r="H43" s="676">
        <f>_xlfn.IFNA(VLOOKUP($C43,'Equipment Master Data'!$B$5:$W$100,8,FALSE),"")</f>
        <v>0</v>
      </c>
      <c r="I43" s="676">
        <f>_xlfn.IFNA(VLOOKUP($C43,'Equipment Master Data'!$B$5:$W$100,9,FALSE),"")</f>
        <v>0</v>
      </c>
      <c r="J43" s="677">
        <f>_xlfn.IFNA(VLOOKUP($C43,'Equipment Master Data'!$B$5:$W$100,10,FALSE),"")</f>
        <v>0.8</v>
      </c>
      <c r="K43" s="677">
        <f>_xlfn.IFNA(VLOOKUP($C43,'Equipment Master Data'!$B$5:$W$100,11,FALSE),"")</f>
        <v>0.3</v>
      </c>
      <c r="L43" s="678">
        <f>_xlfn.IFNA(VLOOKUP($C43,'Equipment Master Data'!$B$5:$W$100,12,FALSE),"")</f>
        <v>1900.8</v>
      </c>
      <c r="M43" s="679">
        <f>_xlfn.IFNA(VLOOKUP($C43,'Equipment Master Data'!$B$5:$W$100,13,FALSE),"")</f>
        <v>5.76</v>
      </c>
      <c r="N43" s="680">
        <f>_xlfn.IFNA(VLOOKUP($C43,'Equipment Master Data'!$B$5:$W$100,14,FALSE),"")</f>
        <v>20000</v>
      </c>
      <c r="O43" s="678">
        <f>_xlfn.IFNA(VLOOKUP($C43,'Equipment Master Data'!$B$5:$W$100,15,FALSE),"")</f>
        <v>10</v>
      </c>
      <c r="P43" s="681">
        <f>_xlfn.IFNA(VLOOKUP($C43,'Equipment Master Data'!$B$5:$W$100,16,FALSE),"")</f>
        <v>0.05</v>
      </c>
      <c r="Q43" s="680">
        <f>_xlfn.IFNA(VLOOKUP($C43,'Equipment Master Data'!$B$5:$W$100,17,FALSE),"")</f>
        <v>5</v>
      </c>
      <c r="R43" s="680">
        <f>_xlfn.IFNA(VLOOKUP($C43,'Equipment Master Data'!$B$5:$W$100,18,FALSE),"")</f>
        <v>5</v>
      </c>
      <c r="S43" s="680">
        <f>_xlfn.IFNA(VLOOKUP($C43,'Equipment Master Data'!$B$5:$W$100,19,FALSE),"")</f>
        <v>5</v>
      </c>
      <c r="T43" s="680">
        <f>_xlfn.IFNA(VLOOKUP($C43,'Equipment Master Data'!$B$5:$W$100,20,FALSE),"")</f>
        <v>0</v>
      </c>
      <c r="U43" s="680">
        <f>_xlfn.IFNA(VLOOKUP($C43,'Equipment Master Data'!$B$5:$W$100,21,FALSE),"")</f>
        <v>4</v>
      </c>
      <c r="V43" s="682">
        <f>_xlfn.IFNA(VLOOKUP($C43,'Equipment Master Data'!$B$5:$W$100,22,FALSE),"")</f>
        <v>12800</v>
      </c>
    </row>
    <row r="44" spans="2:22">
      <c r="B44" s="149"/>
      <c r="C44" s="147" t="str">
        <f>Fleet!C125</f>
        <v>Worker Transportation bus</v>
      </c>
      <c r="D44" s="675">
        <f>_xlfn.IFNA(VLOOKUP(C44,'Equipment Master Data'!$B$5:$W$100,4,FALSE),"")</f>
        <v>0</v>
      </c>
      <c r="E44" s="675">
        <f>_xlfn.IFNA(VLOOKUP($C44,'Equipment Master Data'!$B$5:$W$100,5,FALSE),"")</f>
        <v>0</v>
      </c>
      <c r="F44" s="676">
        <f>_xlfn.IFNA(VLOOKUP($C44,'Equipment Master Data'!$B$5:$W$100,6,FALSE),"")</f>
        <v>2000000</v>
      </c>
      <c r="G44" s="676">
        <f>_xlfn.IFNA(VLOOKUP($C44,'Equipment Master Data'!$B$5:$W$100,7,FALSE),"")</f>
        <v>80</v>
      </c>
      <c r="H44" s="676">
        <f>_xlfn.IFNA(VLOOKUP($C44,'Equipment Master Data'!$B$5:$W$100,8,FALSE),"")</f>
        <v>0</v>
      </c>
      <c r="I44" s="676">
        <f>_xlfn.IFNA(VLOOKUP($C44,'Equipment Master Data'!$B$5:$W$100,9,FALSE),"")</f>
        <v>0</v>
      </c>
      <c r="J44" s="677">
        <f>_xlfn.IFNA(VLOOKUP($C44,'Equipment Master Data'!$B$5:$W$100,10,FALSE),"")</f>
        <v>0.8</v>
      </c>
      <c r="K44" s="677">
        <f>_xlfn.IFNA(VLOOKUP($C44,'Equipment Master Data'!$B$5:$W$100,11,FALSE),"")</f>
        <v>0.7</v>
      </c>
      <c r="L44" s="678">
        <f>_xlfn.IFNA(VLOOKUP($C44,'Equipment Master Data'!$B$5:$W$100,12,FALSE),"")</f>
        <v>4435.2</v>
      </c>
      <c r="M44" s="679">
        <f>_xlfn.IFNA(VLOOKUP($C44,'Equipment Master Data'!$B$5:$W$100,13,FALSE),"")</f>
        <v>13.44</v>
      </c>
      <c r="N44" s="680">
        <f>_xlfn.IFNA(VLOOKUP($C44,'Equipment Master Data'!$B$5:$W$100,14,FALSE),"")</f>
        <v>25000</v>
      </c>
      <c r="O44" s="678">
        <f>_xlfn.IFNA(VLOOKUP($C44,'Equipment Master Data'!$B$5:$W$100,15,FALSE),"")</f>
        <v>5</v>
      </c>
      <c r="P44" s="681">
        <f>_xlfn.IFNA(VLOOKUP($C44,'Equipment Master Data'!$B$5:$W$100,16,FALSE),"")</f>
        <v>0.2</v>
      </c>
      <c r="Q44" s="680">
        <f>_xlfn.IFNA(VLOOKUP($C44,'Equipment Master Data'!$B$5:$W$100,17,FALSE),"")</f>
        <v>7.5</v>
      </c>
      <c r="R44" s="680">
        <f>_xlfn.IFNA(VLOOKUP($C44,'Equipment Master Data'!$B$5:$W$100,18,FALSE),"")</f>
        <v>8</v>
      </c>
      <c r="S44" s="680">
        <f>_xlfn.IFNA(VLOOKUP($C44,'Equipment Master Data'!$B$5:$W$100,19,FALSE),"")</f>
        <v>7.5</v>
      </c>
      <c r="T44" s="680">
        <f>_xlfn.IFNA(VLOOKUP($C44,'Equipment Master Data'!$B$5:$W$100,20,FALSE),"")</f>
        <v>0</v>
      </c>
      <c r="U44" s="680">
        <f>_xlfn.IFNA(VLOOKUP($C44,'Equipment Master Data'!$B$5:$W$100,21,FALSE),"")</f>
        <v>6</v>
      </c>
      <c r="V44" s="682">
        <f>_xlfn.IFNA(VLOOKUP($C44,'Equipment Master Data'!$B$5:$W$100,22,FALSE),"")</f>
        <v>25600</v>
      </c>
    </row>
    <row r="45" spans="2:22">
      <c r="B45" s="149"/>
      <c r="C45" s="147" t="str">
        <f>Fleet!C126</f>
        <v>School bus</v>
      </c>
      <c r="D45" s="675">
        <f>_xlfn.IFNA(VLOOKUP(C45,'Equipment Master Data'!$B$5:$W$100,4,FALSE),"")</f>
        <v>0</v>
      </c>
      <c r="E45" s="675">
        <f>_xlfn.IFNA(VLOOKUP($C45,'Equipment Master Data'!$B$5:$W$100,5,FALSE),"")</f>
        <v>0</v>
      </c>
      <c r="F45" s="676">
        <f>_xlfn.IFNA(VLOOKUP($C45,'Equipment Master Data'!$B$5:$W$100,6,FALSE),"")</f>
        <v>2000000</v>
      </c>
      <c r="G45" s="676">
        <f>_xlfn.IFNA(VLOOKUP($C45,'Equipment Master Data'!$B$5:$W$100,7,FALSE),"")</f>
        <v>80</v>
      </c>
      <c r="H45" s="676">
        <f>_xlfn.IFNA(VLOOKUP($C45,'Equipment Master Data'!$B$5:$W$100,8,FALSE),"")</f>
        <v>0</v>
      </c>
      <c r="I45" s="676">
        <f>_xlfn.IFNA(VLOOKUP($C45,'Equipment Master Data'!$B$5:$W$100,9,FALSE),"")</f>
        <v>0</v>
      </c>
      <c r="J45" s="677">
        <f>_xlfn.IFNA(VLOOKUP($C45,'Equipment Master Data'!$B$5:$W$100,10,FALSE),"")</f>
        <v>0.8</v>
      </c>
      <c r="K45" s="677">
        <f>_xlfn.IFNA(VLOOKUP($C45,'Equipment Master Data'!$B$5:$W$100,11,FALSE),"")</f>
        <v>0.7</v>
      </c>
      <c r="L45" s="678">
        <f>_xlfn.IFNA(VLOOKUP($C45,'Equipment Master Data'!$B$5:$W$100,12,FALSE),"")</f>
        <v>4435.2</v>
      </c>
      <c r="M45" s="679">
        <f>_xlfn.IFNA(VLOOKUP($C45,'Equipment Master Data'!$B$5:$W$100,13,FALSE),"")</f>
        <v>13.44</v>
      </c>
      <c r="N45" s="680">
        <f>_xlfn.IFNA(VLOOKUP($C45,'Equipment Master Data'!$B$5:$W$100,14,FALSE),"")</f>
        <v>25000</v>
      </c>
      <c r="O45" s="678">
        <f>_xlfn.IFNA(VLOOKUP($C45,'Equipment Master Data'!$B$5:$W$100,15,FALSE),"")</f>
        <v>5</v>
      </c>
      <c r="P45" s="681">
        <f>_xlfn.IFNA(VLOOKUP($C45,'Equipment Master Data'!$B$5:$W$100,16,FALSE),"")</f>
        <v>0.2</v>
      </c>
      <c r="Q45" s="680">
        <f>_xlfn.IFNA(VLOOKUP($C45,'Equipment Master Data'!$B$5:$W$100,17,FALSE),"")</f>
        <v>7.5</v>
      </c>
      <c r="R45" s="680">
        <f>_xlfn.IFNA(VLOOKUP($C45,'Equipment Master Data'!$B$5:$W$100,18,FALSE),"")</f>
        <v>8</v>
      </c>
      <c r="S45" s="680">
        <f>_xlfn.IFNA(VLOOKUP($C45,'Equipment Master Data'!$B$5:$W$100,19,FALSE),"")</f>
        <v>7.5</v>
      </c>
      <c r="T45" s="680">
        <f>_xlfn.IFNA(VLOOKUP($C45,'Equipment Master Data'!$B$5:$W$100,20,FALSE),"")</f>
        <v>0</v>
      </c>
      <c r="U45" s="680">
        <f>_xlfn.IFNA(VLOOKUP($C45,'Equipment Master Data'!$B$5:$W$100,21,FALSE),"")</f>
        <v>6</v>
      </c>
      <c r="V45" s="682">
        <f>_xlfn.IFNA(VLOOKUP($C45,'Equipment Master Data'!$B$5:$W$100,22,FALSE),"")</f>
        <v>25600</v>
      </c>
    </row>
    <row r="46" spans="2:22">
      <c r="B46" s="149"/>
      <c r="C46" s="147" t="str">
        <f>Fleet!C127</f>
        <v xml:space="preserve">Pickup Van </v>
      </c>
      <c r="D46" s="675">
        <f>_xlfn.IFNA(VLOOKUP(C46,'Equipment Master Data'!$B$5:$W$100,4,FALSE),"")</f>
        <v>0</v>
      </c>
      <c r="E46" s="675">
        <f>_xlfn.IFNA(VLOOKUP($C46,'Equipment Master Data'!$B$5:$W$100,5,FALSE),"")</f>
        <v>0</v>
      </c>
      <c r="F46" s="676">
        <f>_xlfn.IFNA(VLOOKUP($C46,'Equipment Master Data'!$B$5:$W$100,6,FALSE),"")</f>
        <v>1000000</v>
      </c>
      <c r="G46" s="676">
        <f>_xlfn.IFNA(VLOOKUP($C46,'Equipment Master Data'!$B$5:$W$100,7,FALSE),"")</f>
        <v>50</v>
      </c>
      <c r="H46" s="676">
        <f>_xlfn.IFNA(VLOOKUP($C46,'Equipment Master Data'!$B$5:$W$100,8,FALSE),"")</f>
        <v>0</v>
      </c>
      <c r="I46" s="676">
        <f>_xlfn.IFNA(VLOOKUP($C46,'Equipment Master Data'!$B$5:$W$100,9,FALSE),"")</f>
        <v>0</v>
      </c>
      <c r="J46" s="677">
        <f>_xlfn.IFNA(VLOOKUP($C46,'Equipment Master Data'!$B$5:$W$100,10,FALSE),"")</f>
        <v>0.8</v>
      </c>
      <c r="K46" s="677">
        <f>_xlfn.IFNA(VLOOKUP($C46,'Equipment Master Data'!$B$5:$W$100,11,FALSE),"")</f>
        <v>0.8</v>
      </c>
      <c r="L46" s="678">
        <f>_xlfn.IFNA(VLOOKUP($C46,'Equipment Master Data'!$B$5:$W$100,12,FALSE),"")</f>
        <v>5068.8</v>
      </c>
      <c r="M46" s="679">
        <f>_xlfn.IFNA(VLOOKUP($C46,'Equipment Master Data'!$B$5:$W$100,13,FALSE),"")</f>
        <v>15.360000000000001</v>
      </c>
      <c r="N46" s="680">
        <f>_xlfn.IFNA(VLOOKUP($C46,'Equipment Master Data'!$B$5:$W$100,14,FALSE),"")</f>
        <v>30000</v>
      </c>
      <c r="O46" s="678">
        <f>_xlfn.IFNA(VLOOKUP($C46,'Equipment Master Data'!$B$5:$W$100,15,FALSE),"")</f>
        <v>5</v>
      </c>
      <c r="P46" s="681">
        <f>_xlfn.IFNA(VLOOKUP($C46,'Equipment Master Data'!$B$5:$W$100,16,FALSE),"")</f>
        <v>0.2</v>
      </c>
      <c r="Q46" s="680">
        <f>_xlfn.IFNA(VLOOKUP($C46,'Equipment Master Data'!$B$5:$W$100,17,FALSE),"")</f>
        <v>5</v>
      </c>
      <c r="R46" s="680">
        <f>_xlfn.IFNA(VLOOKUP($C46,'Equipment Master Data'!$B$5:$W$100,18,FALSE),"")</f>
        <v>5</v>
      </c>
      <c r="S46" s="680">
        <f>_xlfn.IFNA(VLOOKUP($C46,'Equipment Master Data'!$B$5:$W$100,19,FALSE),"")</f>
        <v>5</v>
      </c>
      <c r="T46" s="680">
        <f>_xlfn.IFNA(VLOOKUP($C46,'Equipment Master Data'!$B$5:$W$100,20,FALSE),"")</f>
        <v>0</v>
      </c>
      <c r="U46" s="680">
        <f>_xlfn.IFNA(VLOOKUP($C46,'Equipment Master Data'!$B$5:$W$100,21,FALSE),"")</f>
        <v>4</v>
      </c>
      <c r="V46" s="682">
        <f>_xlfn.IFNA(VLOOKUP($C46,'Equipment Master Data'!$B$5:$W$100,22,FALSE),"")</f>
        <v>12800</v>
      </c>
    </row>
    <row r="47" spans="2:22">
      <c r="B47" s="149"/>
      <c r="C47" s="147" t="str">
        <f>Fleet!C128</f>
        <v>Cars</v>
      </c>
      <c r="D47" s="675">
        <f>_xlfn.IFNA(VLOOKUP(C47,'Equipment Master Data'!$B$5:$W$100,4,FALSE),"")</f>
        <v>0</v>
      </c>
      <c r="E47" s="675">
        <f>_xlfn.IFNA(VLOOKUP($C47,'Equipment Master Data'!$B$5:$W$100,5,FALSE),"")</f>
        <v>0</v>
      </c>
      <c r="F47" s="676">
        <f>_xlfn.IFNA(VLOOKUP($C47,'Equipment Master Data'!$B$5:$W$100,6,FALSE),"")</f>
        <v>1000000</v>
      </c>
      <c r="G47" s="676">
        <f>_xlfn.IFNA(VLOOKUP($C47,'Equipment Master Data'!$B$5:$W$100,7,FALSE),"")</f>
        <v>50</v>
      </c>
      <c r="H47" s="676">
        <f>_xlfn.IFNA(VLOOKUP($C47,'Equipment Master Data'!$B$5:$W$100,8,FALSE),"")</f>
        <v>0</v>
      </c>
      <c r="I47" s="676">
        <f>_xlfn.IFNA(VLOOKUP($C47,'Equipment Master Data'!$B$5:$W$100,9,FALSE),"")</f>
        <v>0</v>
      </c>
      <c r="J47" s="677">
        <f>_xlfn.IFNA(VLOOKUP($C47,'Equipment Master Data'!$B$5:$W$100,10,FALSE),"")</f>
        <v>0.8</v>
      </c>
      <c r="K47" s="677">
        <f>_xlfn.IFNA(VLOOKUP($C47,'Equipment Master Data'!$B$5:$W$100,11,FALSE),"")</f>
        <v>0.8</v>
      </c>
      <c r="L47" s="678">
        <f>_xlfn.IFNA(VLOOKUP($C47,'Equipment Master Data'!$B$5:$W$100,12,FALSE),"")</f>
        <v>5068.8</v>
      </c>
      <c r="M47" s="679">
        <f>_xlfn.IFNA(VLOOKUP($C47,'Equipment Master Data'!$B$5:$W$100,13,FALSE),"")</f>
        <v>15.360000000000001</v>
      </c>
      <c r="N47" s="680">
        <f>_xlfn.IFNA(VLOOKUP($C47,'Equipment Master Data'!$B$5:$W$100,14,FALSE),"")</f>
        <v>30000</v>
      </c>
      <c r="O47" s="678">
        <f>_xlfn.IFNA(VLOOKUP($C47,'Equipment Master Data'!$B$5:$W$100,15,FALSE),"")</f>
        <v>5</v>
      </c>
      <c r="P47" s="681">
        <f>_xlfn.IFNA(VLOOKUP($C47,'Equipment Master Data'!$B$5:$W$100,16,FALSE),"")</f>
        <v>0.2</v>
      </c>
      <c r="Q47" s="680">
        <f>_xlfn.IFNA(VLOOKUP($C47,'Equipment Master Data'!$B$5:$W$100,17,FALSE),"")</f>
        <v>5</v>
      </c>
      <c r="R47" s="680">
        <f>_xlfn.IFNA(VLOOKUP($C47,'Equipment Master Data'!$B$5:$W$100,18,FALSE),"")</f>
        <v>5</v>
      </c>
      <c r="S47" s="680">
        <f>_xlfn.IFNA(VLOOKUP($C47,'Equipment Master Data'!$B$5:$W$100,19,FALSE),"")</f>
        <v>5</v>
      </c>
      <c r="T47" s="680">
        <f>_xlfn.IFNA(VLOOKUP($C47,'Equipment Master Data'!$B$5:$W$100,20,FALSE),"")</f>
        <v>0</v>
      </c>
      <c r="U47" s="680">
        <f>_xlfn.IFNA(VLOOKUP($C47,'Equipment Master Data'!$B$5:$W$100,21,FALSE),"")</f>
        <v>4</v>
      </c>
      <c r="V47" s="682">
        <f>_xlfn.IFNA(VLOOKUP($C47,'Equipment Master Data'!$B$5:$W$100,22,FALSE),"")</f>
        <v>12800</v>
      </c>
    </row>
    <row r="48" spans="2:22">
      <c r="B48" s="149"/>
      <c r="C48" s="147">
        <f>Fleet!C129</f>
        <v>0</v>
      </c>
      <c r="D48" s="675" t="str">
        <f>_xlfn.IFNA(VLOOKUP(C48,'Equipment Master Data'!$B$5:$W$100,4,FALSE),"")</f>
        <v/>
      </c>
      <c r="E48" s="675" t="str">
        <f>_xlfn.IFNA(VLOOKUP($C48,'Equipment Master Data'!$B$5:$W$100,5,FALSE),"")</f>
        <v/>
      </c>
      <c r="F48" s="676" t="str">
        <f>_xlfn.IFNA(VLOOKUP($C48,'Equipment Master Data'!$B$5:$W$100,6,FALSE),"")</f>
        <v/>
      </c>
      <c r="G48" s="676" t="str">
        <f>_xlfn.IFNA(VLOOKUP($C48,'Equipment Master Data'!$B$5:$W$100,7,FALSE),"")</f>
        <v/>
      </c>
      <c r="H48" s="676" t="str">
        <f>_xlfn.IFNA(VLOOKUP($C48,'Equipment Master Data'!$B$5:$W$100,8,FALSE),"")</f>
        <v/>
      </c>
      <c r="I48" s="676" t="str">
        <f>_xlfn.IFNA(VLOOKUP($C48,'Equipment Master Data'!$B$5:$W$100,9,FALSE),"")</f>
        <v/>
      </c>
      <c r="J48" s="677" t="str">
        <f>_xlfn.IFNA(VLOOKUP($C48,'Equipment Master Data'!$B$5:$W$100,10,FALSE),"")</f>
        <v/>
      </c>
      <c r="K48" s="677" t="str">
        <f>_xlfn.IFNA(VLOOKUP($C48,'Equipment Master Data'!$B$5:$W$100,11,FALSE),"")</f>
        <v/>
      </c>
      <c r="L48" s="678" t="str">
        <f>_xlfn.IFNA(VLOOKUP($C48,'Equipment Master Data'!$B$5:$W$100,12,FALSE),"")</f>
        <v/>
      </c>
      <c r="M48" s="678" t="str">
        <f>_xlfn.IFNA(VLOOKUP($C48,'Equipment Master Data'!$B$5:$W$100,13,FALSE),"")</f>
        <v/>
      </c>
      <c r="N48" s="680" t="str">
        <f>_xlfn.IFNA(VLOOKUP($C48,'Equipment Master Data'!$B$5:$W$100,14,FALSE),"")</f>
        <v/>
      </c>
      <c r="O48" s="678" t="str">
        <f>_xlfn.IFNA(VLOOKUP($C48,'Equipment Master Data'!$B$5:$W$100,15,FALSE),"")</f>
        <v/>
      </c>
      <c r="P48" s="681" t="str">
        <f>_xlfn.IFNA(VLOOKUP($C48,'Equipment Master Data'!$B$5:$W$100,16,FALSE),"")</f>
        <v/>
      </c>
      <c r="Q48" s="680" t="str">
        <f>_xlfn.IFNA(VLOOKUP($C48,'Equipment Master Data'!$B$5:$W$100,17,FALSE),"")</f>
        <v/>
      </c>
      <c r="R48" s="680" t="str">
        <f>_xlfn.IFNA(VLOOKUP($C48,'Equipment Master Data'!$B$5:$W$100,18,FALSE),"")</f>
        <v/>
      </c>
      <c r="S48" s="680" t="str">
        <f>_xlfn.IFNA(VLOOKUP($C48,'Equipment Master Data'!$B$5:$W$100,19,FALSE),"")</f>
        <v/>
      </c>
      <c r="T48" s="680" t="str">
        <f>_xlfn.IFNA(VLOOKUP($C48,'Equipment Master Data'!$B$5:$W$100,20,FALSE),"")</f>
        <v/>
      </c>
      <c r="U48" s="680" t="str">
        <f>_xlfn.IFNA(VLOOKUP($C48,'Equipment Master Data'!$B$5:$W$100,21,FALSE),"")</f>
        <v/>
      </c>
      <c r="V48" s="682" t="str">
        <f>_xlfn.IFNA(VLOOKUP($C48,'Equipment Master Data'!$B$5:$W$100,22,FALSE),"")</f>
        <v/>
      </c>
    </row>
    <row r="49" spans="2:22">
      <c r="B49" s="149"/>
      <c r="C49" s="147">
        <f>Fleet!C130</f>
        <v>0</v>
      </c>
      <c r="D49" s="675" t="str">
        <f>_xlfn.IFNA(VLOOKUP(C49,'Equipment Master Data'!$B$5:$W$100,4,FALSE),"")</f>
        <v/>
      </c>
      <c r="E49" s="675" t="str">
        <f>_xlfn.IFNA(VLOOKUP($C49,'Equipment Master Data'!$B$5:$W$100,5,FALSE),"")</f>
        <v/>
      </c>
      <c r="F49" s="676" t="str">
        <f>_xlfn.IFNA(VLOOKUP($C49,'Equipment Master Data'!$B$5:$W$100,6,FALSE),"")</f>
        <v/>
      </c>
      <c r="G49" s="676" t="str">
        <f>_xlfn.IFNA(VLOOKUP($C49,'Equipment Master Data'!$B$5:$W$100,7,FALSE),"")</f>
        <v/>
      </c>
      <c r="H49" s="676" t="str">
        <f>_xlfn.IFNA(VLOOKUP($C49,'Equipment Master Data'!$B$5:$W$100,8,FALSE),"")</f>
        <v/>
      </c>
      <c r="I49" s="676" t="str">
        <f>_xlfn.IFNA(VLOOKUP($C49,'Equipment Master Data'!$B$5:$W$100,9,FALSE),"")</f>
        <v/>
      </c>
      <c r="J49" s="677" t="str">
        <f>_xlfn.IFNA(VLOOKUP($C49,'Equipment Master Data'!$B$5:$W$100,10,FALSE),"")</f>
        <v/>
      </c>
      <c r="K49" s="677" t="str">
        <f>_xlfn.IFNA(VLOOKUP($C49,'Equipment Master Data'!$B$5:$W$100,11,FALSE),"")</f>
        <v/>
      </c>
      <c r="L49" s="678" t="str">
        <f>_xlfn.IFNA(VLOOKUP($C49,'Equipment Master Data'!$B$5:$W$100,12,FALSE),"")</f>
        <v/>
      </c>
      <c r="M49" s="678" t="str">
        <f>_xlfn.IFNA(VLOOKUP($C49,'Equipment Master Data'!$B$5:$W$100,13,FALSE),"")</f>
        <v/>
      </c>
      <c r="N49" s="680" t="str">
        <f>_xlfn.IFNA(VLOOKUP($C49,'Equipment Master Data'!$B$5:$W$100,14,FALSE),"")</f>
        <v/>
      </c>
      <c r="O49" s="678" t="str">
        <f>_xlfn.IFNA(VLOOKUP($C49,'Equipment Master Data'!$B$5:$W$100,15,FALSE),"")</f>
        <v/>
      </c>
      <c r="P49" s="681" t="str">
        <f>_xlfn.IFNA(VLOOKUP($C49,'Equipment Master Data'!$B$5:$W$100,16,FALSE),"")</f>
        <v/>
      </c>
      <c r="Q49" s="680" t="str">
        <f>_xlfn.IFNA(VLOOKUP($C49,'Equipment Master Data'!$B$5:$W$100,17,FALSE),"")</f>
        <v/>
      </c>
      <c r="R49" s="680" t="str">
        <f>_xlfn.IFNA(VLOOKUP($C49,'Equipment Master Data'!$B$5:$W$100,18,FALSE),"")</f>
        <v/>
      </c>
      <c r="S49" s="680" t="str">
        <f>_xlfn.IFNA(VLOOKUP($C49,'Equipment Master Data'!$B$5:$W$100,19,FALSE),"")</f>
        <v/>
      </c>
      <c r="T49" s="680" t="str">
        <f>_xlfn.IFNA(VLOOKUP($C49,'Equipment Master Data'!$B$5:$W$100,20,FALSE),"")</f>
        <v/>
      </c>
      <c r="U49" s="680" t="str">
        <f>_xlfn.IFNA(VLOOKUP($C49,'Equipment Master Data'!$B$5:$W$100,21,FALSE),"")</f>
        <v/>
      </c>
      <c r="V49" s="682" t="str">
        <f>_xlfn.IFNA(VLOOKUP($C49,'Equipment Master Data'!$B$5:$W$100,22,FALSE),"")</f>
        <v/>
      </c>
    </row>
    <row r="50" spans="2:22">
      <c r="B50" s="149"/>
      <c r="C50" s="147">
        <f>Fleet!C131</f>
        <v>0</v>
      </c>
      <c r="D50" s="675" t="str">
        <f>_xlfn.IFNA(VLOOKUP(C50,'Equipment Master Data'!$B$5:$W$100,4,FALSE),"")</f>
        <v/>
      </c>
      <c r="E50" s="675" t="str">
        <f>_xlfn.IFNA(VLOOKUP($C50,'Equipment Master Data'!$B$5:$W$100,5,FALSE),"")</f>
        <v/>
      </c>
      <c r="F50" s="676" t="str">
        <f>_xlfn.IFNA(VLOOKUP($C50,'Equipment Master Data'!$B$5:$W$100,6,FALSE),"")</f>
        <v/>
      </c>
      <c r="G50" s="676" t="str">
        <f>_xlfn.IFNA(VLOOKUP($C50,'Equipment Master Data'!$B$5:$W$100,7,FALSE),"")</f>
        <v/>
      </c>
      <c r="H50" s="676" t="str">
        <f>_xlfn.IFNA(VLOOKUP($C50,'Equipment Master Data'!$B$5:$W$100,8,FALSE),"")</f>
        <v/>
      </c>
      <c r="I50" s="676" t="str">
        <f>_xlfn.IFNA(VLOOKUP($C50,'Equipment Master Data'!$B$5:$W$100,9,FALSE),"")</f>
        <v/>
      </c>
      <c r="J50" s="677" t="str">
        <f>_xlfn.IFNA(VLOOKUP($C50,'Equipment Master Data'!$B$5:$W$100,10,FALSE),"")</f>
        <v/>
      </c>
      <c r="K50" s="677" t="str">
        <f>_xlfn.IFNA(VLOOKUP($C50,'Equipment Master Data'!$B$5:$W$100,11,FALSE),"")</f>
        <v/>
      </c>
      <c r="L50" s="678" t="str">
        <f>_xlfn.IFNA(VLOOKUP($C50,'Equipment Master Data'!$B$5:$W$100,12,FALSE),"")</f>
        <v/>
      </c>
      <c r="M50" s="678" t="str">
        <f>_xlfn.IFNA(VLOOKUP($C50,'Equipment Master Data'!$B$5:$W$100,13,FALSE),"")</f>
        <v/>
      </c>
      <c r="N50" s="680" t="str">
        <f>_xlfn.IFNA(VLOOKUP($C50,'Equipment Master Data'!$B$5:$W$100,14,FALSE),"")</f>
        <v/>
      </c>
      <c r="O50" s="678" t="str">
        <f>_xlfn.IFNA(VLOOKUP($C50,'Equipment Master Data'!$B$5:$W$100,15,FALSE),"")</f>
        <v/>
      </c>
      <c r="P50" s="681" t="str">
        <f>_xlfn.IFNA(VLOOKUP($C50,'Equipment Master Data'!$B$5:$W$100,16,FALSE),"")</f>
        <v/>
      </c>
      <c r="Q50" s="680" t="str">
        <f>_xlfn.IFNA(VLOOKUP($C50,'Equipment Master Data'!$B$5:$W$100,17,FALSE),"")</f>
        <v/>
      </c>
      <c r="R50" s="680" t="str">
        <f>_xlfn.IFNA(VLOOKUP($C50,'Equipment Master Data'!$B$5:$W$100,18,FALSE),"")</f>
        <v/>
      </c>
      <c r="S50" s="680" t="str">
        <f>_xlfn.IFNA(VLOOKUP($C50,'Equipment Master Data'!$B$5:$W$100,19,FALSE),"")</f>
        <v/>
      </c>
      <c r="T50" s="680" t="str">
        <f>_xlfn.IFNA(VLOOKUP($C50,'Equipment Master Data'!$B$5:$W$100,20,FALSE),"")</f>
        <v/>
      </c>
      <c r="U50" s="680" t="str">
        <f>_xlfn.IFNA(VLOOKUP($C50,'Equipment Master Data'!$B$5:$W$100,21,FALSE),"")</f>
        <v/>
      </c>
      <c r="V50" s="682" t="str">
        <f>_xlfn.IFNA(VLOOKUP($C50,'Equipment Master Data'!$B$5:$W$100,22,FALSE),"")</f>
        <v/>
      </c>
    </row>
    <row r="51" spans="2:22">
      <c r="B51" s="149"/>
      <c r="C51" s="147">
        <f>Fleet!C132</f>
        <v>0</v>
      </c>
      <c r="D51" s="675" t="str">
        <f>_xlfn.IFNA(VLOOKUP(C51,'Equipment Master Data'!$B$5:$W$100,4,FALSE),"")</f>
        <v/>
      </c>
      <c r="E51" s="675" t="str">
        <f>_xlfn.IFNA(VLOOKUP($C51,'Equipment Master Data'!$B$5:$W$100,5,FALSE),"")</f>
        <v/>
      </c>
      <c r="F51" s="676" t="str">
        <f>_xlfn.IFNA(VLOOKUP($C51,'Equipment Master Data'!$B$5:$W$100,6,FALSE),"")</f>
        <v/>
      </c>
      <c r="G51" s="676" t="str">
        <f>_xlfn.IFNA(VLOOKUP($C51,'Equipment Master Data'!$B$5:$W$100,7,FALSE),"")</f>
        <v/>
      </c>
      <c r="H51" s="676" t="str">
        <f>_xlfn.IFNA(VLOOKUP($C51,'Equipment Master Data'!$B$5:$W$100,8,FALSE),"")</f>
        <v/>
      </c>
      <c r="I51" s="676" t="str">
        <f>_xlfn.IFNA(VLOOKUP($C51,'Equipment Master Data'!$B$5:$W$100,9,FALSE),"")</f>
        <v/>
      </c>
      <c r="J51" s="677" t="str">
        <f>_xlfn.IFNA(VLOOKUP($C51,'Equipment Master Data'!$B$5:$W$100,10,FALSE),"")</f>
        <v/>
      </c>
      <c r="K51" s="677" t="str">
        <f>_xlfn.IFNA(VLOOKUP($C51,'Equipment Master Data'!$B$5:$W$100,11,FALSE),"")</f>
        <v/>
      </c>
      <c r="L51" s="678" t="str">
        <f>_xlfn.IFNA(VLOOKUP($C51,'Equipment Master Data'!$B$5:$W$100,12,FALSE),"")</f>
        <v/>
      </c>
      <c r="M51" s="678" t="str">
        <f>_xlfn.IFNA(VLOOKUP($C51,'Equipment Master Data'!$B$5:$W$100,13,FALSE),"")</f>
        <v/>
      </c>
      <c r="N51" s="680" t="str">
        <f>_xlfn.IFNA(VLOOKUP($C51,'Equipment Master Data'!$B$5:$W$100,14,FALSE),"")</f>
        <v/>
      </c>
      <c r="O51" s="678" t="str">
        <f>_xlfn.IFNA(VLOOKUP($C51,'Equipment Master Data'!$B$5:$W$100,15,FALSE),"")</f>
        <v/>
      </c>
      <c r="P51" s="681" t="str">
        <f>_xlfn.IFNA(VLOOKUP($C51,'Equipment Master Data'!$B$5:$W$100,16,FALSE),"")</f>
        <v/>
      </c>
      <c r="Q51" s="680" t="str">
        <f>_xlfn.IFNA(VLOOKUP($C51,'Equipment Master Data'!$B$5:$W$100,17,FALSE),"")</f>
        <v/>
      </c>
      <c r="R51" s="680" t="str">
        <f>_xlfn.IFNA(VLOOKUP($C51,'Equipment Master Data'!$B$5:$W$100,18,FALSE),"")</f>
        <v/>
      </c>
      <c r="S51" s="680" t="str">
        <f>_xlfn.IFNA(VLOOKUP($C51,'Equipment Master Data'!$B$5:$W$100,19,FALSE),"")</f>
        <v/>
      </c>
      <c r="T51" s="680" t="str">
        <f>_xlfn.IFNA(VLOOKUP($C51,'Equipment Master Data'!$B$5:$W$100,20,FALSE),"")</f>
        <v/>
      </c>
      <c r="U51" s="680" t="str">
        <f>_xlfn.IFNA(VLOOKUP($C51,'Equipment Master Data'!$B$5:$W$100,21,FALSE),"")</f>
        <v/>
      </c>
      <c r="V51" s="682" t="str">
        <f>_xlfn.IFNA(VLOOKUP($C51,'Equipment Master Data'!$B$5:$W$100,22,FALSE),"")</f>
        <v/>
      </c>
    </row>
    <row r="52" spans="2:22">
      <c r="B52" s="149"/>
      <c r="C52" s="147">
        <f>Fleet!C133</f>
        <v>0</v>
      </c>
      <c r="D52" s="675" t="str">
        <f>_xlfn.IFNA(VLOOKUP(C52,'Equipment Master Data'!$B$5:$W$100,4,FALSE),"")</f>
        <v/>
      </c>
      <c r="E52" s="675" t="str">
        <f>_xlfn.IFNA(VLOOKUP($C52,'Equipment Master Data'!$B$5:$W$100,5,FALSE),"")</f>
        <v/>
      </c>
      <c r="F52" s="676" t="str">
        <f>_xlfn.IFNA(VLOOKUP($C52,'Equipment Master Data'!$B$5:$W$100,6,FALSE),"")</f>
        <v/>
      </c>
      <c r="G52" s="676" t="str">
        <f>_xlfn.IFNA(VLOOKUP($C52,'Equipment Master Data'!$B$5:$W$100,7,FALSE),"")</f>
        <v/>
      </c>
      <c r="H52" s="676" t="str">
        <f>_xlfn.IFNA(VLOOKUP($C52,'Equipment Master Data'!$B$5:$W$100,8,FALSE),"")</f>
        <v/>
      </c>
      <c r="I52" s="676" t="str">
        <f>_xlfn.IFNA(VLOOKUP($C52,'Equipment Master Data'!$B$5:$W$100,9,FALSE),"")</f>
        <v/>
      </c>
      <c r="J52" s="677" t="str">
        <f>_xlfn.IFNA(VLOOKUP($C52,'Equipment Master Data'!$B$5:$W$100,10,FALSE),"")</f>
        <v/>
      </c>
      <c r="K52" s="677" t="str">
        <f>_xlfn.IFNA(VLOOKUP($C52,'Equipment Master Data'!$B$5:$W$100,11,FALSE),"")</f>
        <v/>
      </c>
      <c r="L52" s="678" t="str">
        <f>_xlfn.IFNA(VLOOKUP($C52,'Equipment Master Data'!$B$5:$W$100,12,FALSE),"")</f>
        <v/>
      </c>
      <c r="M52" s="678" t="str">
        <f>_xlfn.IFNA(VLOOKUP($C52,'Equipment Master Data'!$B$5:$W$100,13,FALSE),"")</f>
        <v/>
      </c>
      <c r="N52" s="680" t="str">
        <f>_xlfn.IFNA(VLOOKUP($C52,'Equipment Master Data'!$B$5:$W$100,14,FALSE),"")</f>
        <v/>
      </c>
      <c r="O52" s="678" t="str">
        <f>_xlfn.IFNA(VLOOKUP($C52,'Equipment Master Data'!$B$5:$W$100,15,FALSE),"")</f>
        <v/>
      </c>
      <c r="P52" s="681" t="str">
        <f>_xlfn.IFNA(VLOOKUP($C52,'Equipment Master Data'!$B$5:$W$100,16,FALSE),"")</f>
        <v/>
      </c>
      <c r="Q52" s="680" t="str">
        <f>_xlfn.IFNA(VLOOKUP($C52,'Equipment Master Data'!$B$5:$W$100,17,FALSE),"")</f>
        <v/>
      </c>
      <c r="R52" s="680" t="str">
        <f>_xlfn.IFNA(VLOOKUP($C52,'Equipment Master Data'!$B$5:$W$100,18,FALSE),"")</f>
        <v/>
      </c>
      <c r="S52" s="680" t="str">
        <f>_xlfn.IFNA(VLOOKUP($C52,'Equipment Master Data'!$B$5:$W$100,19,FALSE),"")</f>
        <v/>
      </c>
      <c r="T52" s="680" t="str">
        <f>_xlfn.IFNA(VLOOKUP($C52,'Equipment Master Data'!$B$5:$W$100,20,FALSE),"")</f>
        <v/>
      </c>
      <c r="U52" s="680" t="str">
        <f>_xlfn.IFNA(VLOOKUP($C52,'Equipment Master Data'!$B$5:$W$100,21,FALSE),"")</f>
        <v/>
      </c>
      <c r="V52" s="682" t="str">
        <f>_xlfn.IFNA(VLOOKUP($C52,'Equipment Master Data'!$B$5:$W$100,22,FALSE),"")</f>
        <v/>
      </c>
    </row>
    <row r="53" spans="2:22" ht="12" thickBot="1">
      <c r="B53" s="150"/>
      <c r="C53" s="148"/>
      <c r="D53" s="683" t="str">
        <f>_xlfn.IFNA(VLOOKUP(C53,'Equipment Master Data'!$B$5:$W$100,4,FALSE),"")</f>
        <v/>
      </c>
      <c r="E53" s="683" t="str">
        <f>_xlfn.IFNA(VLOOKUP($C53,'Equipment Master Data'!$B$5:$W$100,5,FALSE),"")</f>
        <v/>
      </c>
      <c r="F53" s="684" t="str">
        <f>_xlfn.IFNA(VLOOKUP($C53,'Equipment Master Data'!$B$5:$W$100,6,FALSE),"")</f>
        <v/>
      </c>
      <c r="G53" s="684" t="str">
        <f>_xlfn.IFNA(VLOOKUP($C53,'Equipment Master Data'!$B$5:$W$100,7,FALSE),"")</f>
        <v/>
      </c>
      <c r="H53" s="684" t="str">
        <f>_xlfn.IFNA(VLOOKUP($C53,'Equipment Master Data'!$B$5:$W$100,8,FALSE),"")</f>
        <v/>
      </c>
      <c r="I53" s="684" t="str">
        <f>_xlfn.IFNA(VLOOKUP($C53,'Equipment Master Data'!$B$5:$W$100,9,FALSE),"")</f>
        <v/>
      </c>
      <c r="J53" s="685" t="str">
        <f>_xlfn.IFNA(VLOOKUP($C53,'Equipment Master Data'!$B$5:$W$100,10,FALSE),"")</f>
        <v/>
      </c>
      <c r="K53" s="685" t="str">
        <f>_xlfn.IFNA(VLOOKUP($C53,'Equipment Master Data'!$B$5:$W$100,11,FALSE),"")</f>
        <v/>
      </c>
      <c r="L53" s="686" t="str">
        <f>_xlfn.IFNA(VLOOKUP($C53,'Equipment Master Data'!$B$5:$W$100,12,FALSE),"")</f>
        <v/>
      </c>
      <c r="M53" s="686" t="str">
        <f>_xlfn.IFNA(VLOOKUP($C53,'Equipment Master Data'!$B$5:$W$100,13,FALSE),"")</f>
        <v/>
      </c>
      <c r="N53" s="687" t="str">
        <f>_xlfn.IFNA(VLOOKUP($C53,'Equipment Master Data'!$B$5:$W$100,14,FALSE),"")</f>
        <v/>
      </c>
      <c r="O53" s="686" t="str">
        <f>_xlfn.IFNA(VLOOKUP($C53,'Equipment Master Data'!$B$5:$W$100,15,FALSE),"")</f>
        <v/>
      </c>
      <c r="P53" s="688" t="str">
        <f>_xlfn.IFNA(VLOOKUP($C53,'Equipment Master Data'!$B$5:$W$100,16,FALSE),"")</f>
        <v/>
      </c>
      <c r="Q53" s="687" t="str">
        <f>_xlfn.IFNA(VLOOKUP($C53,'Equipment Master Data'!$B$5:$W$100,17,FALSE),"")</f>
        <v/>
      </c>
      <c r="R53" s="687" t="str">
        <f>_xlfn.IFNA(VLOOKUP($C53,'Equipment Master Data'!$B$5:$W$100,18,FALSE),"")</f>
        <v/>
      </c>
      <c r="S53" s="687" t="str">
        <f>_xlfn.IFNA(VLOOKUP($C53,'Equipment Master Data'!$B$5:$W$100,19,FALSE),"")</f>
        <v/>
      </c>
      <c r="T53" s="687" t="str">
        <f>_xlfn.IFNA(VLOOKUP($C53,'Equipment Master Data'!$B$5:$W$100,20,FALSE),"")</f>
        <v/>
      </c>
      <c r="U53" s="687" t="str">
        <f>_xlfn.IFNA(VLOOKUP($C53,'Equipment Master Data'!$B$5:$W$100,21,FALSE),"")</f>
        <v/>
      </c>
      <c r="V53" s="689" t="str">
        <f>_xlfn.IFNA(VLOOKUP($C53,'Equipment Master Data'!$B$5:$W$100,22,FALSE),"")</f>
        <v/>
      </c>
    </row>
  </sheetData>
  <sheetProtection selectLockedCells="1"/>
  <mergeCells count="4">
    <mergeCell ref="Q2:S2"/>
    <mergeCell ref="L3:M3"/>
    <mergeCell ref="N3:O3"/>
    <mergeCell ref="U3:V3"/>
  </mergeCells>
  <conditionalFormatting sqref="C5:C53">
    <cfRule type="cellIs" dxfId="3" priority="1" operator="equal">
      <formula>0</formula>
    </cfRule>
  </conditionalFormatting>
  <pageMargins left="0.7" right="0.7" top="0.75" bottom="0.75" header="0.3" footer="0.3"/>
  <ignoredErrors>
    <ignoredError sqref="D6:V8 D53:V53 D14:V14 D34:V44 D10:V11 E9:V9 D16:V21 D15 F15:I15 K15:V15 D23:V27 D22:F22 H22:V22 D5:E5 G5:V5 D13:L13 N13:V13" unlocked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2782-EFFC-4B37-A046-375A7C0C6696}">
  <sheetPr codeName="Sheet21">
    <tabColor rgb="FF0070C0"/>
  </sheetPr>
  <dimension ref="A2:BD194"/>
  <sheetViews>
    <sheetView showGridLines="0" workbookViewId="0"/>
  </sheetViews>
  <sheetFormatPr baseColWidth="10" defaultColWidth="8.83203125" defaultRowHeight="13"/>
  <cols>
    <col min="1" max="1" width="27.1640625" bestFit="1" customWidth="1"/>
    <col min="2" max="2" width="38.5" bestFit="1" customWidth="1"/>
    <col min="4" max="4" width="25.1640625" customWidth="1"/>
    <col min="9" max="9" width="13.1640625" bestFit="1" customWidth="1"/>
    <col min="10" max="36" width="14.1640625" bestFit="1" customWidth="1"/>
    <col min="37" max="39" width="13.1640625" bestFit="1" customWidth="1"/>
    <col min="41" max="41" width="5.83203125" bestFit="1" customWidth="1"/>
  </cols>
  <sheetData>
    <row r="2" spans="1:56">
      <c r="A2" s="254" t="s">
        <v>1058</v>
      </c>
    </row>
    <row r="4" spans="1:56">
      <c r="A4" s="191" t="s">
        <v>1059</v>
      </c>
    </row>
    <row r="5" spans="1:56" ht="14">
      <c r="A5" s="1141" t="s">
        <v>971</v>
      </c>
      <c r="B5" s="1141" t="s">
        <v>972</v>
      </c>
      <c r="C5" s="1141" t="s">
        <v>88</v>
      </c>
      <c r="D5" s="1141" t="s">
        <v>1060</v>
      </c>
      <c r="E5" s="789">
        <f>Fleet!G3</f>
        <v>-4</v>
      </c>
      <c r="F5" s="789">
        <f>Fleet!H3</f>
        <v>-3</v>
      </c>
      <c r="G5" s="789">
        <f>Fleet!I3</f>
        <v>-2</v>
      </c>
      <c r="H5" s="789">
        <f>Fleet!J3</f>
        <v>-1</v>
      </c>
      <c r="I5" s="789">
        <f>Fleet!K3</f>
        <v>1</v>
      </c>
      <c r="J5" s="789">
        <f>Fleet!L3</f>
        <v>2</v>
      </c>
      <c r="K5" s="789">
        <f>Fleet!M3</f>
        <v>3</v>
      </c>
      <c r="L5" s="789">
        <f>Fleet!N3</f>
        <v>4</v>
      </c>
      <c r="M5" s="789">
        <f>Fleet!O3</f>
        <v>5</v>
      </c>
      <c r="N5" s="789">
        <f>Fleet!P3</f>
        <v>6</v>
      </c>
      <c r="O5" s="789">
        <f>Fleet!Q3</f>
        <v>7</v>
      </c>
      <c r="P5" s="789">
        <f>Fleet!R3</f>
        <v>8</v>
      </c>
      <c r="Q5" s="789">
        <f>Fleet!S3</f>
        <v>9</v>
      </c>
      <c r="R5" s="789">
        <f>Fleet!T3</f>
        <v>10</v>
      </c>
      <c r="S5" s="789">
        <f>Fleet!U3</f>
        <v>11</v>
      </c>
      <c r="T5" s="789">
        <f>Fleet!V3</f>
        <v>12</v>
      </c>
      <c r="U5" s="789">
        <f>Fleet!W3</f>
        <v>13</v>
      </c>
      <c r="V5" s="789">
        <f>Fleet!X3</f>
        <v>14</v>
      </c>
      <c r="W5" s="789">
        <f>Fleet!Y3</f>
        <v>15</v>
      </c>
      <c r="X5" s="789">
        <f>Fleet!Z3</f>
        <v>16</v>
      </c>
      <c r="Y5" s="789">
        <f>Fleet!AA3</f>
        <v>17</v>
      </c>
      <c r="Z5" s="789">
        <f>Fleet!AB3</f>
        <v>18</v>
      </c>
      <c r="AA5" s="789">
        <f>Fleet!AC3</f>
        <v>19</v>
      </c>
      <c r="AB5" s="789">
        <f>Fleet!AD3</f>
        <v>0</v>
      </c>
      <c r="AC5" s="789">
        <f>Fleet!AE3</f>
        <v>0</v>
      </c>
      <c r="AD5" s="789">
        <f>Fleet!AF3</f>
        <v>0</v>
      </c>
      <c r="AE5" s="789">
        <f>Fleet!AG3</f>
        <v>0</v>
      </c>
      <c r="AF5" s="789">
        <f>Fleet!AH3</f>
        <v>0</v>
      </c>
      <c r="AG5" s="789">
        <f>Fleet!AI3</f>
        <v>0</v>
      </c>
      <c r="AH5" s="789">
        <f>Fleet!AJ3</f>
        <v>0</v>
      </c>
      <c r="AI5" s="789">
        <f>Fleet!AK3</f>
        <v>0</v>
      </c>
      <c r="AJ5" s="789">
        <f>Fleet!AL3</f>
        <v>0</v>
      </c>
      <c r="AK5" s="789">
        <f>Fleet!AM3</f>
        <v>0</v>
      </c>
      <c r="AL5" s="789">
        <f>Fleet!AN3</f>
        <v>0</v>
      </c>
      <c r="AM5" s="789">
        <f>Fleet!AO3</f>
        <v>0</v>
      </c>
      <c r="AN5" s="789">
        <f>Fleet!AP3</f>
        <v>0</v>
      </c>
      <c r="AO5" s="789">
        <f>Fleet!AQ3</f>
        <v>0</v>
      </c>
      <c r="AP5" s="789">
        <f>Fleet!AR3</f>
        <v>0</v>
      </c>
      <c r="AQ5" s="789">
        <f>Fleet!AS3</f>
        <v>0</v>
      </c>
      <c r="AR5" s="789">
        <f>Fleet!AT3</f>
        <v>0</v>
      </c>
      <c r="AS5" s="789">
        <f>Fleet!AU3</f>
        <v>0</v>
      </c>
      <c r="AT5" s="789">
        <f>Fleet!AV3</f>
        <v>0</v>
      </c>
      <c r="AU5" s="789">
        <f>Fleet!AW3</f>
        <v>0</v>
      </c>
      <c r="AV5" s="789">
        <f>Fleet!AX3</f>
        <v>0</v>
      </c>
      <c r="AW5" s="789">
        <f>Fleet!AY3</f>
        <v>0</v>
      </c>
      <c r="AX5" s="789">
        <f>Fleet!AZ3</f>
        <v>0</v>
      </c>
      <c r="AY5" s="789">
        <f>Fleet!BA3</f>
        <v>0</v>
      </c>
      <c r="AZ5" s="789">
        <f>Fleet!BB3</f>
        <v>0</v>
      </c>
      <c r="BA5" s="789">
        <f>Fleet!BC3</f>
        <v>0</v>
      </c>
      <c r="BB5" s="789">
        <f>Fleet!BD3</f>
        <v>0</v>
      </c>
      <c r="BC5" s="789">
        <f>Fleet!BE3</f>
        <v>0</v>
      </c>
      <c r="BD5" s="789">
        <f>Fleet!BF3</f>
        <v>0</v>
      </c>
    </row>
    <row r="6" spans="1:56">
      <c r="A6" s="168" t="str">
        <f>Fleet!B324</f>
        <v>Coal/Ore</v>
      </c>
      <c r="B6" s="165" t="str">
        <f>Fleet!C324</f>
        <v>Drill Machine/ 115mm diameter</v>
      </c>
      <c r="C6" s="171" t="s">
        <v>134</v>
      </c>
      <c r="D6" s="174">
        <f>VLOOKUP(B6,Equipment!$C$5:$S$53,Equipment!S$1,FALSE)*VLOOKUP(B6,Equipment!$C$5:$S$53,Equipment!L$1,FALSE)*Assumptions_Dashboard!$D$101</f>
        <v>11797632</v>
      </c>
      <c r="E6" s="145">
        <f>$D6*Fleet!G230/10^7</f>
        <v>0</v>
      </c>
      <c r="F6" s="145">
        <f>$D6*Fleet!H230/10^7</f>
        <v>0</v>
      </c>
      <c r="G6" s="145">
        <f>$D6*Fleet!I230/10^7</f>
        <v>0</v>
      </c>
      <c r="H6" s="145">
        <f>$D6*Fleet!J230/10^7</f>
        <v>0</v>
      </c>
      <c r="I6" s="145">
        <f>$D6*Fleet!K230/10^7</f>
        <v>0.48604645208720926</v>
      </c>
      <c r="J6" s="145">
        <f>$D6*Fleet!L230/10^7</f>
        <v>0.97209269638953466</v>
      </c>
      <c r="K6" s="145">
        <f>$D6*Fleet!M230/10^7</f>
        <v>0.2916279335877906</v>
      </c>
      <c r="L6" s="145">
        <f>$D6*Fleet!N230/10^7</f>
        <v>0.43744180687848822</v>
      </c>
      <c r="M6" s="145">
        <f>$D6*Fleet!O230/10^7</f>
        <v>0.54680214951104644</v>
      </c>
      <c r="N6" s="145">
        <f>$D6*Fleet!P230/10^7</f>
        <v>0.5468025858593023</v>
      </c>
      <c r="O6" s="145">
        <f>$D6*Fleet!Q230/10^7</f>
        <v>0.54680227418197658</v>
      </c>
      <c r="P6" s="145">
        <f>$D6*Fleet!R230/10^7</f>
        <v>0.54680221184651157</v>
      </c>
      <c r="Q6" s="145">
        <f>$D6*Fleet!S230/10^7</f>
        <v>0.54680246118837184</v>
      </c>
      <c r="R6" s="145">
        <f>$D6*Fleet!T230/10^7</f>
        <v>0.54680214951104644</v>
      </c>
      <c r="S6" s="145">
        <f>$D6*Fleet!U230/10^7</f>
        <v>0.54680221184651157</v>
      </c>
      <c r="T6" s="145">
        <f>$D6*Fleet!V230/10^7</f>
        <v>0.54680239885290671</v>
      </c>
      <c r="U6" s="145">
        <f>$D6*Fleet!W230/10^7</f>
        <v>0.54680289753662781</v>
      </c>
      <c r="V6" s="145">
        <f>$D6*Fleet!X230/10^7</f>
        <v>0.54680239885290671</v>
      </c>
      <c r="W6" s="145">
        <f>$D6*Fleet!Y230/10^7</f>
        <v>0.54680239885290671</v>
      </c>
      <c r="X6" s="145">
        <f>$D6*Fleet!Z230/10^7</f>
        <v>0.5468023365174417</v>
      </c>
      <c r="Y6" s="145">
        <f>$D6*Fleet!AA230/10^7</f>
        <v>0.36453487023313946</v>
      </c>
      <c r="Z6" s="145">
        <f>$D6*Fleet!AB230/10^7</f>
        <v>0.27340126176191859</v>
      </c>
      <c r="AA6" s="145">
        <f>$D6*Fleet!AC230/10^7</f>
        <v>8.0357738952034866E-2</v>
      </c>
      <c r="AB6" s="145">
        <f>$D6*Fleet!AD230/10^7</f>
        <v>0</v>
      </c>
      <c r="AC6" s="145">
        <f>$D6*Fleet!AE230/10^7</f>
        <v>0</v>
      </c>
      <c r="AD6" s="145">
        <f>$D6*Fleet!AF230/10^7</f>
        <v>0</v>
      </c>
      <c r="AE6" s="145">
        <f>$D6*Fleet!AG230/10^7</f>
        <v>0</v>
      </c>
      <c r="AF6" s="145">
        <f>$D6*Fleet!AH230/10^7</f>
        <v>0</v>
      </c>
      <c r="AG6" s="145">
        <f>$D6*Fleet!AI230/10^7</f>
        <v>0</v>
      </c>
      <c r="AH6" s="145">
        <f>$D6*Fleet!AJ230/10^7</f>
        <v>0</v>
      </c>
      <c r="AI6" s="145">
        <f>$D6*Fleet!AK230/10^7</f>
        <v>0</v>
      </c>
      <c r="AJ6" s="145">
        <f>$D6*Fleet!AL230/10^7</f>
        <v>0</v>
      </c>
      <c r="AK6" s="145">
        <f>$D6*Fleet!AM230/10^7</f>
        <v>0</v>
      </c>
      <c r="AL6" s="145">
        <f>$D6*Fleet!AN230/10^7</f>
        <v>0</v>
      </c>
      <c r="AM6" s="145">
        <f>$D6*Fleet!AO230/10^7</f>
        <v>0</v>
      </c>
      <c r="AN6" s="145">
        <f>$D6*Fleet!AP230/10^7</f>
        <v>0</v>
      </c>
      <c r="AO6" s="145">
        <f>$D6*Fleet!AQ230/10^7</f>
        <v>0</v>
      </c>
      <c r="AP6" s="179"/>
      <c r="AQ6" s="179"/>
      <c r="AR6" s="179"/>
      <c r="AS6" s="179"/>
      <c r="AT6" s="179"/>
      <c r="AU6" s="179"/>
      <c r="AV6" s="179"/>
      <c r="AW6" s="179"/>
      <c r="AX6" s="179"/>
      <c r="AY6" s="179"/>
      <c r="AZ6" s="179"/>
      <c r="BA6" s="179"/>
      <c r="BB6" s="179"/>
      <c r="BC6" s="179"/>
      <c r="BD6" s="179"/>
    </row>
    <row r="7" spans="1:56">
      <c r="A7" s="168" t="str">
        <f>Fleet!B325</f>
        <v xml:space="preserve">Waste (IB Thin Parting) </v>
      </c>
      <c r="B7" s="165" t="str">
        <f>Fleet!C325</f>
        <v>Drill Machine/ 160mm diameter</v>
      </c>
      <c r="C7" s="171" t="s">
        <v>134</v>
      </c>
      <c r="D7" s="174">
        <f>VLOOKUP(B7,Equipment!$C$5:$S$53,Equipment!S$1,FALSE)*VLOOKUP(B7,Equipment!$C$5:$S$53,Equipment!L$1,FALSE)*Assumptions_Dashboard!$D$101</f>
        <v>16011072</v>
      </c>
      <c r="E7" s="145">
        <f>$D7*Fleet!G231/10^7</f>
        <v>0</v>
      </c>
      <c r="F7" s="145">
        <f>$D7*Fleet!H231/10^7</f>
        <v>0</v>
      </c>
      <c r="G7" s="145">
        <f>$D7*Fleet!I231/10^7</f>
        <v>0</v>
      </c>
      <c r="H7" s="145">
        <f>$D7*Fleet!J231/10^7</f>
        <v>0</v>
      </c>
      <c r="I7" s="145">
        <f>$D7*Fleet!K231/10^7</f>
        <v>1.2984957053461172</v>
      </c>
      <c r="J7" s="145">
        <f>$D7*Fleet!L231/10^7</f>
        <v>1.0778647810960762</v>
      </c>
      <c r="K7" s="145">
        <f>$D7*Fleet!M231/10^7</f>
        <v>1.9524372376142214</v>
      </c>
      <c r="L7" s="145">
        <f>$D7*Fleet!N231/10^7</f>
        <v>4.1694383759989071</v>
      </c>
      <c r="M7" s="145">
        <f>$D7*Fleet!O231/10^7</f>
        <v>4.0112751582025945</v>
      </c>
      <c r="N7" s="145">
        <f>$D7*Fleet!P231/10^7</f>
        <v>5.3751133488904239</v>
      </c>
      <c r="O7" s="145">
        <f>$D7*Fleet!Q231/10^7</f>
        <v>4.9202969303096031</v>
      </c>
      <c r="P7" s="145">
        <f>$D7*Fleet!R231/10^7</f>
        <v>4.1151113847072098</v>
      </c>
      <c r="Q7" s="145">
        <f>$D7*Fleet!S231/10^7</f>
        <v>4.2881207681227087</v>
      </c>
      <c r="R7" s="145">
        <f>$D7*Fleet!T231/10^7</f>
        <v>3.8253657961060932</v>
      </c>
      <c r="S7" s="145">
        <f>$D7*Fleet!U231/10^7</f>
        <v>4.3094441246674542</v>
      </c>
      <c r="T7" s="145">
        <f>$D7*Fleet!V231/10^7</f>
        <v>3.2822575412256048</v>
      </c>
      <c r="U7" s="145">
        <f>$D7*Fleet!W231/10^7</f>
        <v>2.8821235174994411</v>
      </c>
      <c r="V7" s="145">
        <f>$D7*Fleet!X231/10^7</f>
        <v>3.5803674560633829</v>
      </c>
      <c r="W7" s="145">
        <f>$D7*Fleet!Y231/10^7</f>
        <v>3.5690114954346082</v>
      </c>
      <c r="X7" s="145">
        <f>$D7*Fleet!Z231/10^7</f>
        <v>4.5438523905264709</v>
      </c>
      <c r="Y7" s="145">
        <f>$D7*Fleet!AA231/10^7</f>
        <v>2.8002136415184835</v>
      </c>
      <c r="Z7" s="145">
        <f>$D7*Fleet!AB231/10^7</f>
        <v>0.4865138759544097</v>
      </c>
      <c r="AA7" s="145">
        <f>$D7*Fleet!AC231/10^7</f>
        <v>0.14455688035311817</v>
      </c>
      <c r="AB7" s="145">
        <f>$D7*Fleet!AD231/10^7</f>
        <v>0</v>
      </c>
      <c r="AC7" s="145">
        <f>$D7*Fleet!AE231/10^7</f>
        <v>0</v>
      </c>
      <c r="AD7" s="145">
        <f>$D7*Fleet!AF231/10^7</f>
        <v>0</v>
      </c>
      <c r="AE7" s="145">
        <f>$D7*Fleet!AG231/10^7</f>
        <v>0</v>
      </c>
      <c r="AF7" s="145">
        <f>$D7*Fleet!AH231/10^7</f>
        <v>0</v>
      </c>
      <c r="AG7" s="145">
        <f>$D7*Fleet!AI231/10^7</f>
        <v>0</v>
      </c>
      <c r="AH7" s="145">
        <f>$D7*Fleet!AJ231/10^7</f>
        <v>0</v>
      </c>
      <c r="AI7" s="145">
        <f>$D7*Fleet!AK231/10^7</f>
        <v>0</v>
      </c>
      <c r="AJ7" s="145">
        <f>$D7*Fleet!AL231/10^7</f>
        <v>0</v>
      </c>
      <c r="AK7" s="145">
        <f>$D7*Fleet!AM231/10^7</f>
        <v>0</v>
      </c>
      <c r="AL7" s="145">
        <f>$D7*Fleet!AN231/10^7</f>
        <v>0</v>
      </c>
      <c r="AM7" s="145">
        <f>$D7*Fleet!AO231/10^7</f>
        <v>0</v>
      </c>
      <c r="AN7" s="145">
        <f>$D7*Fleet!AP231/10^7</f>
        <v>0</v>
      </c>
      <c r="AO7" s="145">
        <f>$D7*Fleet!AQ231/10^7</f>
        <v>0</v>
      </c>
      <c r="AP7" s="179"/>
      <c r="AQ7" s="179"/>
      <c r="AR7" s="179"/>
      <c r="AS7" s="179"/>
      <c r="AT7" s="179"/>
      <c r="AU7" s="179"/>
      <c r="AV7" s="179"/>
      <c r="AW7" s="179"/>
      <c r="AX7" s="179"/>
      <c r="AY7" s="179"/>
      <c r="AZ7" s="179"/>
      <c r="BA7" s="179"/>
      <c r="BB7" s="179"/>
      <c r="BC7" s="179"/>
      <c r="BD7" s="179"/>
    </row>
    <row r="8" spans="1:56">
      <c r="A8" s="168" t="str">
        <f>Fleet!B326</f>
        <v>Waste Thick Parting (Ob/IB)</v>
      </c>
      <c r="B8" s="165" t="str">
        <f>Fleet!C326</f>
        <v>Drill Machine/ 250mm diameter</v>
      </c>
      <c r="C8" s="171" t="s">
        <v>134</v>
      </c>
      <c r="D8" s="174">
        <f>VLOOKUP(B8,Equipment!$C$5:$S$53,Equipment!S$1,FALSE)*VLOOKUP(B8,Equipment!$C$5:$S$53,Equipment!L$1,FALSE)*Assumptions_Dashboard!$D$101</f>
        <v>22572000</v>
      </c>
      <c r="E8" s="145">
        <f>$D8*Fleet!G232/10^7</f>
        <v>0</v>
      </c>
      <c r="F8" s="145">
        <f>$D8*Fleet!H232/10^7</f>
        <v>0</v>
      </c>
      <c r="G8" s="145">
        <f>$D8*Fleet!I232/10^7</f>
        <v>0</v>
      </c>
      <c r="H8" s="145">
        <f>$D8*Fleet!J232/10^7</f>
        <v>0</v>
      </c>
      <c r="I8" s="145">
        <f>$D8*Fleet!K232/10^7</f>
        <v>5.648314031832375</v>
      </c>
      <c r="J8" s="145">
        <f>$D8*Fleet!L232/10^7</f>
        <v>4.6655829703185736</v>
      </c>
      <c r="K8" s="145">
        <f>$D8*Fleet!M232/10^7</f>
        <v>8.4367970556487464</v>
      </c>
      <c r="L8" s="145">
        <f>$D8*Fleet!N232/10^7</f>
        <v>18.128544159395524</v>
      </c>
      <c r="M8" s="145">
        <f>$D8*Fleet!O232/10^7</f>
        <v>17.466142583459241</v>
      </c>
      <c r="N8" s="145">
        <f>$D8*Fleet!P232/10^7</f>
        <v>23.483564432426892</v>
      </c>
      <c r="O8" s="145">
        <f>$D8*Fleet!Q232/10^7</f>
        <v>21.491346239850841</v>
      </c>
      <c r="P8" s="145">
        <f>$D8*Fleet!R232/10^7</f>
        <v>17.964417072795474</v>
      </c>
      <c r="Q8" s="145">
        <f>$D8*Fleet!S232/10^7</f>
        <v>18.722244686412004</v>
      </c>
      <c r="R8" s="145">
        <f>$D8*Fleet!T232/10^7</f>
        <v>16.695253495475704</v>
      </c>
      <c r="S8" s="145">
        <f>$D8*Fleet!U232/10^7</f>
        <v>18.838939097502241</v>
      </c>
      <c r="T8" s="145">
        <f>$D8*Fleet!V232/10^7</f>
        <v>14.339585698853455</v>
      </c>
      <c r="U8" s="145">
        <f>$D8*Fleet!W232/10^7</f>
        <v>12.586891097318823</v>
      </c>
      <c r="V8" s="145">
        <f>$D8*Fleet!X232/10^7</f>
        <v>15.645387273871973</v>
      </c>
      <c r="W8" s="145">
        <f>$D8*Fleet!Y232/10^7</f>
        <v>15.595645113223041</v>
      </c>
      <c r="X8" s="145">
        <f>$D8*Fleet!Z232/10^7</f>
        <v>19.869948372981117</v>
      </c>
      <c r="Y8" s="145">
        <f>$D8*Fleet!AA232/10^7</f>
        <v>12.232341868155743</v>
      </c>
      <c r="Z8" s="145">
        <f>$D8*Fleet!AB232/10^7</f>
        <v>2.0977148476569258</v>
      </c>
      <c r="AA8" s="145">
        <f>$D8*Fleet!AC232/10^7</f>
        <v>0.59985127043322273</v>
      </c>
      <c r="AB8" s="145">
        <f>$D8*Fleet!AD232/10^7</f>
        <v>0</v>
      </c>
      <c r="AC8" s="145">
        <f>$D8*Fleet!AE232/10^7</f>
        <v>0</v>
      </c>
      <c r="AD8" s="145">
        <f>$D8*Fleet!AF232/10^7</f>
        <v>0</v>
      </c>
      <c r="AE8" s="145">
        <f>$D8*Fleet!AG232/10^7</f>
        <v>0</v>
      </c>
      <c r="AF8" s="145">
        <f>$D8*Fleet!AH232/10^7</f>
        <v>0</v>
      </c>
      <c r="AG8" s="145">
        <f>$D8*Fleet!AI232/10^7</f>
        <v>0</v>
      </c>
      <c r="AH8" s="145">
        <f>$D8*Fleet!AJ232/10^7</f>
        <v>0</v>
      </c>
      <c r="AI8" s="145">
        <f>$D8*Fleet!AK232/10^7</f>
        <v>0</v>
      </c>
      <c r="AJ8" s="145">
        <f>$D8*Fleet!AL232/10^7</f>
        <v>0</v>
      </c>
      <c r="AK8" s="145">
        <f>$D8*Fleet!AM232/10^7</f>
        <v>0</v>
      </c>
      <c r="AL8" s="145">
        <f>$D8*Fleet!AN232/10^7</f>
        <v>0</v>
      </c>
      <c r="AM8" s="145">
        <f>$D8*Fleet!AO232/10^7</f>
        <v>0</v>
      </c>
      <c r="AN8" s="145">
        <f>$D8*Fleet!AP232/10^7</f>
        <v>0</v>
      </c>
      <c r="AO8" s="145">
        <f>$D8*Fleet!AQ232/10^7</f>
        <v>0</v>
      </c>
      <c r="AP8" s="179"/>
      <c r="AQ8" s="179"/>
      <c r="AR8" s="179"/>
      <c r="AS8" s="179"/>
      <c r="AT8" s="179"/>
      <c r="AU8" s="179"/>
      <c r="AV8" s="179"/>
      <c r="AW8" s="179"/>
      <c r="AX8" s="179"/>
      <c r="AY8" s="179"/>
      <c r="AZ8" s="179"/>
      <c r="BA8" s="179"/>
      <c r="BB8" s="179"/>
      <c r="BC8" s="179"/>
      <c r="BD8" s="179"/>
    </row>
    <row r="9" spans="1:56">
      <c r="A9" s="168" t="str">
        <f>Fleet!B327</f>
        <v>Top Soil</v>
      </c>
      <c r="B9" s="165" t="str">
        <f>Fleet!C327</f>
        <v>Diesel hydraulic Shovel/ 1.0 cum</v>
      </c>
      <c r="C9" s="171" t="s">
        <v>134</v>
      </c>
      <c r="D9" s="174">
        <f>VLOOKUP(B9,Equipment!$C$5:$S$53,Equipment!S$1,FALSE)*VLOOKUP(B9,Equipment!$C$5:$S$53,Equipment!L$1,FALSE)*Assumptions_Dashboard!$D$101</f>
        <v>6771600</v>
      </c>
      <c r="E9" s="145">
        <f>$D9*Fleet!G233/10^7</f>
        <v>0</v>
      </c>
      <c r="F9" s="145">
        <f>$D9*Fleet!H233/10^7</f>
        <v>0</v>
      </c>
      <c r="G9" s="145">
        <f>$D9*Fleet!I233/10^7</f>
        <v>0</v>
      </c>
      <c r="H9" s="145">
        <f>$D9*Fleet!J233/10^7</f>
        <v>0</v>
      </c>
      <c r="I9" s="145">
        <f>$D9*Fleet!K233/10^7</f>
        <v>0</v>
      </c>
      <c r="J9" s="145">
        <f>$D9*Fleet!L233/10^7</f>
        <v>0</v>
      </c>
      <c r="K9" s="145">
        <f>$D9*Fleet!M233/10^7</f>
        <v>0</v>
      </c>
      <c r="L9" s="145">
        <f>$D9*Fleet!N233/10^7</f>
        <v>0</v>
      </c>
      <c r="M9" s="145">
        <f>$D9*Fleet!O233/10^7</f>
        <v>0</v>
      </c>
      <c r="N9" s="145">
        <f>$D9*Fleet!P233/10^7</f>
        <v>0</v>
      </c>
      <c r="O9" s="145">
        <f>$D9*Fleet!Q233/10^7</f>
        <v>0</v>
      </c>
      <c r="P9" s="145">
        <f>$D9*Fleet!R233/10^7</f>
        <v>0</v>
      </c>
      <c r="Q9" s="145">
        <f>$D9*Fleet!S233/10^7</f>
        <v>0</v>
      </c>
      <c r="R9" s="145">
        <f>$D9*Fleet!T233/10^7</f>
        <v>0</v>
      </c>
      <c r="S9" s="145">
        <f>$D9*Fleet!U233/10^7</f>
        <v>0</v>
      </c>
      <c r="T9" s="145">
        <f>$D9*Fleet!V233/10^7</f>
        <v>0</v>
      </c>
      <c r="U9" s="145">
        <f>$D9*Fleet!W233/10^7</f>
        <v>0</v>
      </c>
      <c r="V9" s="145">
        <f>$D9*Fleet!X233/10^7</f>
        <v>0</v>
      </c>
      <c r="W9" s="145">
        <f>$D9*Fleet!Y233/10^7</f>
        <v>0</v>
      </c>
      <c r="X9" s="145">
        <f>$D9*Fleet!Z233/10^7</f>
        <v>0</v>
      </c>
      <c r="Y9" s="145">
        <f>$D9*Fleet!AA233/10^7</f>
        <v>0</v>
      </c>
      <c r="Z9" s="145">
        <f>$D9*Fleet!AB233/10^7</f>
        <v>0</v>
      </c>
      <c r="AA9" s="145">
        <f>$D9*Fleet!AC233/10^7</f>
        <v>0</v>
      </c>
      <c r="AB9" s="145">
        <f>$D9*Fleet!AD233/10^7</f>
        <v>0</v>
      </c>
      <c r="AC9" s="145">
        <f>$D9*Fleet!AE233/10^7</f>
        <v>0</v>
      </c>
      <c r="AD9" s="145">
        <f>$D9*Fleet!AF233/10^7</f>
        <v>0</v>
      </c>
      <c r="AE9" s="145">
        <f>$D9*Fleet!AG233/10^7</f>
        <v>0</v>
      </c>
      <c r="AF9" s="145">
        <f>$D9*Fleet!AH233/10^7</f>
        <v>0</v>
      </c>
      <c r="AG9" s="145">
        <f>$D9*Fleet!AI233/10^7</f>
        <v>0</v>
      </c>
      <c r="AH9" s="145">
        <f>$D9*Fleet!AJ233/10^7</f>
        <v>0</v>
      </c>
      <c r="AI9" s="145">
        <f>$D9*Fleet!AK233/10^7</f>
        <v>0</v>
      </c>
      <c r="AJ9" s="145">
        <f>$D9*Fleet!AL233/10^7</f>
        <v>0</v>
      </c>
      <c r="AK9" s="145">
        <f>$D9*Fleet!AM233/10^7</f>
        <v>0</v>
      </c>
      <c r="AL9" s="145">
        <f>$D9*Fleet!AN233/10^7</f>
        <v>0</v>
      </c>
      <c r="AM9" s="145">
        <f>$D9*Fleet!AO233/10^7</f>
        <v>0</v>
      </c>
      <c r="AN9" s="145">
        <f>$D9*Fleet!AP233/10^7</f>
        <v>0</v>
      </c>
      <c r="AO9" s="145">
        <f>$D9*Fleet!AQ233/10^7</f>
        <v>0</v>
      </c>
      <c r="AP9" s="179"/>
      <c r="AQ9" s="179"/>
      <c r="AR9" s="179"/>
      <c r="AS9" s="179"/>
      <c r="AT9" s="179"/>
      <c r="AU9" s="179"/>
      <c r="AV9" s="179"/>
      <c r="AW9" s="179"/>
      <c r="AX9" s="179"/>
      <c r="AY9" s="179"/>
      <c r="AZ9" s="179"/>
      <c r="BA9" s="179"/>
      <c r="BB9" s="179"/>
      <c r="BC9" s="179"/>
      <c r="BD9" s="179"/>
    </row>
    <row r="10" spans="1:56">
      <c r="A10" s="168" t="str">
        <f>Fleet!B328</f>
        <v>Thin Parting, Topsoil &amp; Coal (From Drill &amp; Blast)</v>
      </c>
      <c r="B10" s="165" t="str">
        <f>Fleet!C328</f>
        <v>Diesel hydraulic Shovel/ 4.6 cum</v>
      </c>
      <c r="C10" s="171" t="s">
        <v>134</v>
      </c>
      <c r="D10" s="174">
        <f>VLOOKUP(B10,Equipment!$C$5:$S$53,Equipment!S$1,FALSE)*VLOOKUP(B10,Equipment!$C$5:$S$53,Equipment!L$1,FALSE)*Assumptions_Dashboard!$D$101</f>
        <v>21669120</v>
      </c>
      <c r="E10" s="145">
        <f>$D10*Fleet!G234/10^7</f>
        <v>0</v>
      </c>
      <c r="F10" s="145">
        <f>$D10*Fleet!H234/10^7</f>
        <v>0</v>
      </c>
      <c r="G10" s="145">
        <f>$D10*Fleet!I234/10^7</f>
        <v>0</v>
      </c>
      <c r="H10" s="145">
        <f>$D10*Fleet!J234/10^7</f>
        <v>0</v>
      </c>
      <c r="I10" s="145">
        <f>$D10*Fleet!K234/10^7</f>
        <v>6.157236311469938</v>
      </c>
      <c r="J10" s="145">
        <f>$D10*Fleet!L234/10^7</f>
        <v>7.3086540930907891</v>
      </c>
      <c r="K10" s="145">
        <f>$D10*Fleet!M234/10^7</f>
        <v>7.5607249402529195</v>
      </c>
      <c r="L10" s="145">
        <f>$D10*Fleet!N234/10^7</f>
        <v>15.429706793160147</v>
      </c>
      <c r="M10" s="145">
        <f>$D10*Fleet!O234/10^7</f>
        <v>15.331176893687648</v>
      </c>
      <c r="N10" s="145">
        <f>$D10*Fleet!P234/10^7</f>
        <v>19.825290695825398</v>
      </c>
      <c r="O10" s="145">
        <f>$D10*Fleet!Q234/10^7</f>
        <v>18.326580926615435</v>
      </c>
      <c r="P10" s="145">
        <f>$D10*Fleet!R234/10^7</f>
        <v>15.673337697908064</v>
      </c>
      <c r="Q10" s="145">
        <f>$D10*Fleet!S234/10^7</f>
        <v>16.243438231612902</v>
      </c>
      <c r="R10" s="145">
        <f>$D10*Fleet!T234/10^7</f>
        <v>14.718569384719776</v>
      </c>
      <c r="S10" s="145">
        <f>$D10*Fleet!U234/10^7</f>
        <v>16.31370187535143</v>
      </c>
      <c r="T10" s="145">
        <f>$D10*Fleet!V234/10^7</f>
        <v>12.928923009623194</v>
      </c>
      <c r="U10" s="145">
        <f>$D10*Fleet!W234/10^7</f>
        <v>11.610405499453215</v>
      </c>
      <c r="V10" s="145">
        <f>$D10*Fleet!X234/10^7</f>
        <v>13.911253163779715</v>
      </c>
      <c r="W10" s="145">
        <f>$D10*Fleet!Y234/10^7</f>
        <v>13.873833064682612</v>
      </c>
      <c r="X10" s="145">
        <f>$D10*Fleet!Z234/10^7</f>
        <v>17.086123187462036</v>
      </c>
      <c r="Y10" s="145">
        <f>$D10*Fleet!AA234/10^7</f>
        <v>10.636079029143975</v>
      </c>
      <c r="Z10" s="145">
        <f>$D10*Fleet!AB234/10^7</f>
        <v>2.6597810859777047</v>
      </c>
      <c r="AA10" s="145">
        <f>$D10*Fleet!AC234/10^7</f>
        <v>0.78690434819408639</v>
      </c>
      <c r="AB10" s="145">
        <f>$D10*Fleet!AD234/10^7</f>
        <v>0</v>
      </c>
      <c r="AC10" s="145">
        <f>$D10*Fleet!AE234/10^7</f>
        <v>0</v>
      </c>
      <c r="AD10" s="145">
        <f>$D10*Fleet!AF234/10^7</f>
        <v>0</v>
      </c>
      <c r="AE10" s="145">
        <f>$D10*Fleet!AG234/10^7</f>
        <v>0</v>
      </c>
      <c r="AF10" s="145">
        <f>$D10*Fleet!AH234/10^7</f>
        <v>0</v>
      </c>
      <c r="AG10" s="145">
        <f>$D10*Fleet!AI234/10^7</f>
        <v>0</v>
      </c>
      <c r="AH10" s="145">
        <f>$D10*Fleet!AJ234/10^7</f>
        <v>0</v>
      </c>
      <c r="AI10" s="145">
        <f>$D10*Fleet!AK234/10^7</f>
        <v>0</v>
      </c>
      <c r="AJ10" s="145">
        <f>$D10*Fleet!AL234/10^7</f>
        <v>0</v>
      </c>
      <c r="AK10" s="145">
        <f>$D10*Fleet!AM234/10^7</f>
        <v>0</v>
      </c>
      <c r="AL10" s="145">
        <f>$D10*Fleet!AN234/10^7</f>
        <v>0</v>
      </c>
      <c r="AM10" s="145">
        <f>$D10*Fleet!AO234/10^7</f>
        <v>0</v>
      </c>
      <c r="AN10" s="145">
        <f>$D10*Fleet!AP234/10^7</f>
        <v>0</v>
      </c>
      <c r="AO10" s="145">
        <f>$D10*Fleet!AQ234/10^7</f>
        <v>0</v>
      </c>
      <c r="AP10" s="179"/>
      <c r="AQ10" s="179"/>
      <c r="AR10" s="179"/>
      <c r="AS10" s="179"/>
      <c r="AT10" s="179"/>
      <c r="AU10" s="179"/>
      <c r="AV10" s="179"/>
      <c r="AW10" s="179"/>
      <c r="AX10" s="179"/>
      <c r="AY10" s="179"/>
      <c r="AZ10" s="179"/>
      <c r="BA10" s="179"/>
      <c r="BB10" s="179"/>
      <c r="BC10" s="179"/>
      <c r="BD10" s="179"/>
    </row>
    <row r="11" spans="1:56">
      <c r="A11" s="168" t="str">
        <f>Fleet!B329</f>
        <v>Waste - OB &amp; Thick Parting</v>
      </c>
      <c r="B11" s="165" t="str">
        <f>Fleet!C329</f>
        <v>Diesel hydraulic shovel/ 10 cum</v>
      </c>
      <c r="C11" s="171" t="s">
        <v>134</v>
      </c>
      <c r="D11" s="174">
        <f>VLOOKUP(B11,Equipment!$C$5:$S$53,Equipment!S$1,FALSE)*VLOOKUP(B11,Equipment!$C$5:$S$53,Equipment!L$1,FALSE)*Assumptions_Dashboard!$D$101</f>
        <v>0</v>
      </c>
      <c r="E11" s="145">
        <f>$D11*Fleet!G235/10^7</f>
        <v>0</v>
      </c>
      <c r="F11" s="145">
        <f>$D11*Fleet!H235/10^7</f>
        <v>0</v>
      </c>
      <c r="G11" s="145">
        <f>$D11*Fleet!I235/10^7</f>
        <v>0</v>
      </c>
      <c r="H11" s="145">
        <f>$D11*Fleet!J235/10^7</f>
        <v>0</v>
      </c>
      <c r="I11" s="145">
        <f>$D11*Fleet!K235/10^7</f>
        <v>0</v>
      </c>
      <c r="J11" s="145">
        <f>$D11*Fleet!L235/10^7</f>
        <v>0</v>
      </c>
      <c r="K11" s="145">
        <f>$D11*Fleet!M235/10^7</f>
        <v>0</v>
      </c>
      <c r="L11" s="145">
        <f>$D11*Fleet!N235/10^7</f>
        <v>0</v>
      </c>
      <c r="M11" s="145">
        <f>$D11*Fleet!O235/10^7</f>
        <v>0</v>
      </c>
      <c r="N11" s="145">
        <f>$D11*Fleet!P235/10^7</f>
        <v>0</v>
      </c>
      <c r="O11" s="145">
        <f>$D11*Fleet!Q235/10^7</f>
        <v>0</v>
      </c>
      <c r="P11" s="145">
        <f>$D11*Fleet!R235/10^7</f>
        <v>0</v>
      </c>
      <c r="Q11" s="145">
        <f>$D11*Fleet!S235/10^7</f>
        <v>0</v>
      </c>
      <c r="R11" s="145">
        <f>$D11*Fleet!T235/10^7</f>
        <v>0</v>
      </c>
      <c r="S11" s="145">
        <f>$D11*Fleet!U235/10^7</f>
        <v>0</v>
      </c>
      <c r="T11" s="145">
        <f>$D11*Fleet!V235/10^7</f>
        <v>0</v>
      </c>
      <c r="U11" s="145">
        <f>$D11*Fleet!W235/10^7</f>
        <v>0</v>
      </c>
      <c r="V11" s="145">
        <f>$D11*Fleet!X235/10^7</f>
        <v>0</v>
      </c>
      <c r="W11" s="145">
        <f>$D11*Fleet!Y235/10^7</f>
        <v>0</v>
      </c>
      <c r="X11" s="145">
        <f>$D11*Fleet!Z235/10^7</f>
        <v>0</v>
      </c>
      <c r="Y11" s="145">
        <f>$D11*Fleet!AA235/10^7</f>
        <v>0</v>
      </c>
      <c r="Z11" s="145">
        <f>$D11*Fleet!AB235/10^7</f>
        <v>0</v>
      </c>
      <c r="AA11" s="145">
        <f>$D11*Fleet!AC235/10^7</f>
        <v>0</v>
      </c>
      <c r="AB11" s="145">
        <f>$D11*Fleet!AD235/10^7</f>
        <v>0</v>
      </c>
      <c r="AC11" s="145">
        <f>$D11*Fleet!AE235/10^7</f>
        <v>0</v>
      </c>
      <c r="AD11" s="145">
        <f>$D11*Fleet!AF235/10^7</f>
        <v>0</v>
      </c>
      <c r="AE11" s="145">
        <f>$D11*Fleet!AG235/10^7</f>
        <v>0</v>
      </c>
      <c r="AF11" s="145">
        <f>$D11*Fleet!AH235/10^7</f>
        <v>0</v>
      </c>
      <c r="AG11" s="145">
        <f>$D11*Fleet!AI235/10^7</f>
        <v>0</v>
      </c>
      <c r="AH11" s="145">
        <f>$D11*Fleet!AJ235/10^7</f>
        <v>0</v>
      </c>
      <c r="AI11" s="145">
        <f>$D11*Fleet!AK235/10^7</f>
        <v>0</v>
      </c>
      <c r="AJ11" s="145">
        <f>$D11*Fleet!AL235/10^7</f>
        <v>0</v>
      </c>
      <c r="AK11" s="145">
        <f>$D11*Fleet!AM235/10^7</f>
        <v>0</v>
      </c>
      <c r="AL11" s="145">
        <f>$D11*Fleet!AN235/10^7</f>
        <v>0</v>
      </c>
      <c r="AM11" s="145">
        <f>$D11*Fleet!AO235/10^7</f>
        <v>0</v>
      </c>
      <c r="AN11" s="145">
        <f>$D11*Fleet!AP235/10^7</f>
        <v>0</v>
      </c>
      <c r="AO11" s="145">
        <f>$D11*Fleet!AQ235/10^7</f>
        <v>0</v>
      </c>
      <c r="AP11" s="179"/>
      <c r="AQ11" s="179"/>
      <c r="AR11" s="179"/>
      <c r="AS11" s="179"/>
      <c r="AT11" s="179"/>
      <c r="AU11" s="179"/>
      <c r="AV11" s="179"/>
      <c r="AW11" s="179"/>
      <c r="AX11" s="179"/>
      <c r="AY11" s="179"/>
      <c r="AZ11" s="179"/>
      <c r="BA11" s="179"/>
      <c r="BB11" s="179"/>
      <c r="BC11" s="179"/>
      <c r="BD11" s="179"/>
    </row>
    <row r="12" spans="1:56">
      <c r="A12" s="168" t="str">
        <f>Fleet!B330</f>
        <v>Rehandling by Own Trucks and Excavators</v>
      </c>
      <c r="B12" s="165" t="str">
        <f>Fleet!C330</f>
        <v>Diesel hydraulic Shovel/ 3.4 cum</v>
      </c>
      <c r="C12" s="171" t="s">
        <v>134</v>
      </c>
      <c r="D12" s="174">
        <f>VLOOKUP(B12,Equipment!$C$5:$S$53,Equipment!S$1,FALSE)*VLOOKUP(B12,Equipment!$C$5:$S$53,Equipment!L$1,FALSE)*Assumptions_Dashboard!$D$101</f>
        <v>13543200</v>
      </c>
      <c r="E12" s="145">
        <f>$D12*Fleet!G236/10^7</f>
        <v>0</v>
      </c>
      <c r="F12" s="145">
        <f>$D12*Fleet!H236/10^7</f>
        <v>0</v>
      </c>
      <c r="G12" s="145">
        <f>$D12*Fleet!I236/10^7</f>
        <v>0</v>
      </c>
      <c r="H12" s="145">
        <f>$D12*Fleet!J236/10^7</f>
        <v>0</v>
      </c>
      <c r="I12" s="145">
        <f>$D12*Fleet!K236/10^7</f>
        <v>0</v>
      </c>
      <c r="J12" s="145">
        <f>$D12*Fleet!L236/10^7</f>
        <v>0</v>
      </c>
      <c r="K12" s="145">
        <f>$D12*Fleet!M236/10^7</f>
        <v>0</v>
      </c>
      <c r="L12" s="145">
        <f>$D12*Fleet!N236/10^7</f>
        <v>0</v>
      </c>
      <c r="M12" s="145">
        <f>$D12*Fleet!O236/10^7</f>
        <v>0</v>
      </c>
      <c r="N12" s="145">
        <f>$D12*Fleet!P236/10^7</f>
        <v>0</v>
      </c>
      <c r="O12" s="145">
        <f>$D12*Fleet!Q236/10^7</f>
        <v>0</v>
      </c>
      <c r="P12" s="145">
        <f>$D12*Fleet!R236/10^7</f>
        <v>0</v>
      </c>
      <c r="Q12" s="145">
        <f>$D12*Fleet!S236/10^7</f>
        <v>0</v>
      </c>
      <c r="R12" s="145">
        <f>$D12*Fleet!T236/10^7</f>
        <v>0</v>
      </c>
      <c r="S12" s="145">
        <f>$D12*Fleet!U236/10^7</f>
        <v>0</v>
      </c>
      <c r="T12" s="145">
        <f>$D12*Fleet!V236/10^7</f>
        <v>0</v>
      </c>
      <c r="U12" s="145">
        <f>$D12*Fleet!W236/10^7</f>
        <v>0</v>
      </c>
      <c r="V12" s="145">
        <f>$D12*Fleet!X236/10^7</f>
        <v>0</v>
      </c>
      <c r="W12" s="145">
        <f>$D12*Fleet!Y236/10^7</f>
        <v>0</v>
      </c>
      <c r="X12" s="145">
        <f>$D12*Fleet!Z236/10^7</f>
        <v>0</v>
      </c>
      <c r="Y12" s="145">
        <f>$D12*Fleet!AA236/10^7</f>
        <v>0</v>
      </c>
      <c r="Z12" s="145">
        <f>$D12*Fleet!AB236/10^7</f>
        <v>0</v>
      </c>
      <c r="AA12" s="145">
        <f>$D12*Fleet!AC236/10^7</f>
        <v>0</v>
      </c>
      <c r="AB12" s="145">
        <f>$D12*Fleet!AD236/10^7</f>
        <v>0</v>
      </c>
      <c r="AC12" s="145">
        <f>$D12*Fleet!AE236/10^7</f>
        <v>0</v>
      </c>
      <c r="AD12" s="145">
        <f>$D12*Fleet!AF236/10^7</f>
        <v>0</v>
      </c>
      <c r="AE12" s="145">
        <f>$D12*Fleet!AG236/10^7</f>
        <v>0</v>
      </c>
      <c r="AF12" s="145">
        <f>$D12*Fleet!AH236/10^7</f>
        <v>0</v>
      </c>
      <c r="AG12" s="145">
        <f>$D12*Fleet!AI236/10^7</f>
        <v>0</v>
      </c>
      <c r="AH12" s="145">
        <f>$D12*Fleet!AJ236/10^7</f>
        <v>0</v>
      </c>
      <c r="AI12" s="145">
        <f>$D12*Fleet!AK236/10^7</f>
        <v>0</v>
      </c>
      <c r="AJ12" s="145">
        <f>$D12*Fleet!AL236/10^7</f>
        <v>0</v>
      </c>
      <c r="AK12" s="145">
        <f>$D12*Fleet!AM236/10^7</f>
        <v>0</v>
      </c>
      <c r="AL12" s="145">
        <f>$D12*Fleet!AN236/10^7</f>
        <v>0</v>
      </c>
      <c r="AM12" s="145">
        <f>$D12*Fleet!AO236/10^7</f>
        <v>0</v>
      </c>
      <c r="AN12" s="145">
        <f>$D12*Fleet!AP236/10^7</f>
        <v>0</v>
      </c>
      <c r="AO12" s="145">
        <f>$D12*Fleet!AQ236/10^7</f>
        <v>0</v>
      </c>
      <c r="AP12" s="179"/>
      <c r="AQ12" s="179"/>
      <c r="AR12" s="179"/>
      <c r="AS12" s="179"/>
      <c r="AT12" s="179"/>
      <c r="AU12" s="179"/>
      <c r="AV12" s="179"/>
      <c r="AW12" s="179"/>
      <c r="AX12" s="179"/>
      <c r="AY12" s="179"/>
      <c r="AZ12" s="179"/>
      <c r="BA12" s="179"/>
      <c r="BB12" s="179"/>
      <c r="BC12" s="179"/>
      <c r="BD12" s="179"/>
    </row>
    <row r="13" spans="1:56">
      <c r="A13" s="168" t="str">
        <f>Fleet!B331</f>
        <v>Miscelleneous</v>
      </c>
      <c r="B13" s="165" t="str">
        <f>Fleet!C331</f>
        <v>Diesel hydraulic Shovel/ 3.4 cum</v>
      </c>
      <c r="C13" s="171" t="s">
        <v>134</v>
      </c>
      <c r="D13" s="174">
        <f>VLOOKUP(B13,Equipment!$C$5:$S$53,Equipment!S$1,FALSE)*VLOOKUP(B13,Equipment!$C$5:$S$53,Equipment!L$1,FALSE)*Assumptions_Dashboard!$D$101</f>
        <v>13543200</v>
      </c>
      <c r="E13" s="145">
        <f>$D13*Fleet!G237/10^7</f>
        <v>0</v>
      </c>
      <c r="F13" s="145">
        <f>$D13*Fleet!H237/10^7</f>
        <v>0</v>
      </c>
      <c r="G13" s="145">
        <f>$D13*Fleet!I237/10^7</f>
        <v>0</v>
      </c>
      <c r="H13" s="145">
        <f>$D13*Fleet!J237/10^7</f>
        <v>0</v>
      </c>
      <c r="I13" s="145">
        <f>$D13*Fleet!K237/10^7</f>
        <v>0</v>
      </c>
      <c r="J13" s="145">
        <f>$D13*Fleet!L237/10^7</f>
        <v>0</v>
      </c>
      <c r="K13" s="145">
        <f>$D13*Fleet!M237/10^7</f>
        <v>0</v>
      </c>
      <c r="L13" s="145">
        <f>$D13*Fleet!N237/10^7</f>
        <v>0</v>
      </c>
      <c r="M13" s="145">
        <f>$D13*Fleet!O237/10^7</f>
        <v>0</v>
      </c>
      <c r="N13" s="145">
        <f>$D13*Fleet!P237/10^7</f>
        <v>0</v>
      </c>
      <c r="O13" s="145">
        <f>$D13*Fleet!Q237/10^7</f>
        <v>0</v>
      </c>
      <c r="P13" s="145">
        <f>$D13*Fleet!R237/10^7</f>
        <v>0</v>
      </c>
      <c r="Q13" s="145">
        <f>$D13*Fleet!S237/10^7</f>
        <v>0</v>
      </c>
      <c r="R13" s="145">
        <f>$D13*Fleet!T237/10^7</f>
        <v>0</v>
      </c>
      <c r="S13" s="145">
        <f>$D13*Fleet!U237/10^7</f>
        <v>0</v>
      </c>
      <c r="T13" s="145">
        <f>$D13*Fleet!V237/10^7</f>
        <v>0</v>
      </c>
      <c r="U13" s="145">
        <f>$D13*Fleet!W237/10^7</f>
        <v>0</v>
      </c>
      <c r="V13" s="145">
        <f>$D13*Fleet!X237/10^7</f>
        <v>0</v>
      </c>
      <c r="W13" s="145">
        <f>$D13*Fleet!Y237/10^7</f>
        <v>0</v>
      </c>
      <c r="X13" s="145">
        <f>$D13*Fleet!Z237/10^7</f>
        <v>0</v>
      </c>
      <c r="Y13" s="145">
        <f>$D13*Fleet!AA237/10^7</f>
        <v>0</v>
      </c>
      <c r="Z13" s="145">
        <f>$D13*Fleet!AB237/10^7</f>
        <v>0</v>
      </c>
      <c r="AA13" s="145">
        <f>$D13*Fleet!AC237/10^7</f>
        <v>0</v>
      </c>
      <c r="AB13" s="145">
        <f>$D13*Fleet!AD237/10^7</f>
        <v>0</v>
      </c>
      <c r="AC13" s="145">
        <f>$D13*Fleet!AE237/10^7</f>
        <v>0</v>
      </c>
      <c r="AD13" s="145">
        <f>$D13*Fleet!AF237/10^7</f>
        <v>0</v>
      </c>
      <c r="AE13" s="145">
        <f>$D13*Fleet!AG237/10^7</f>
        <v>0</v>
      </c>
      <c r="AF13" s="145">
        <f>$D13*Fleet!AH237/10^7</f>
        <v>0</v>
      </c>
      <c r="AG13" s="145">
        <f>$D13*Fleet!AI237/10^7</f>
        <v>0</v>
      </c>
      <c r="AH13" s="145">
        <f>$D13*Fleet!AJ237/10^7</f>
        <v>0</v>
      </c>
      <c r="AI13" s="145">
        <f>$D13*Fleet!AK237/10^7</f>
        <v>0</v>
      </c>
      <c r="AJ13" s="145">
        <f>$D13*Fleet!AL237/10^7</f>
        <v>0</v>
      </c>
      <c r="AK13" s="145">
        <f>$D13*Fleet!AM237/10^7</f>
        <v>0</v>
      </c>
      <c r="AL13" s="145">
        <f>$D13*Fleet!AN237/10^7</f>
        <v>0</v>
      </c>
      <c r="AM13" s="145">
        <f>$D13*Fleet!AO237/10^7</f>
        <v>0</v>
      </c>
      <c r="AN13" s="145">
        <f>$D13*Fleet!AP237/10^7</f>
        <v>0</v>
      </c>
      <c r="AO13" s="145">
        <f>$D13*Fleet!AQ237/10^7</f>
        <v>0</v>
      </c>
      <c r="AP13" s="179"/>
      <c r="AQ13" s="179"/>
      <c r="AR13" s="179"/>
      <c r="AS13" s="179"/>
      <c r="AT13" s="179"/>
      <c r="AU13" s="179"/>
      <c r="AV13" s="179"/>
      <c r="AW13" s="179"/>
      <c r="AX13" s="179"/>
      <c r="AY13" s="179"/>
      <c r="AZ13" s="179"/>
      <c r="BA13" s="179"/>
      <c r="BB13" s="179"/>
      <c r="BC13" s="179"/>
      <c r="BD13" s="179"/>
    </row>
    <row r="14" spans="1:56">
      <c r="A14" s="168" t="str">
        <f>Fleet!B332</f>
        <v>Coal/Ore</v>
      </c>
      <c r="B14" s="165" t="str">
        <f>Fleet!C332</f>
        <v>Surface Miner/ 2200 SM</v>
      </c>
      <c r="C14" s="171" t="s">
        <v>134</v>
      </c>
      <c r="D14" s="174">
        <f>VLOOKUP(B14,Equipment!$C$5:$S$53,Equipment!S$1,FALSE)*VLOOKUP(B14,Equipment!$C$5:$S$53,Equipment!L$1,FALSE)*Assumptions_Dashboard!$D$101</f>
        <v>46046880.000000007</v>
      </c>
      <c r="E14" s="145">
        <f>$D14*Fleet!G238/10^7</f>
        <v>0</v>
      </c>
      <c r="F14" s="145">
        <f>$D14*Fleet!H238/10^7</f>
        <v>0</v>
      </c>
      <c r="G14" s="145">
        <f>$D14*Fleet!I238/10^7</f>
        <v>0</v>
      </c>
      <c r="H14" s="145">
        <f>$D14*Fleet!J238/10^7</f>
        <v>0</v>
      </c>
      <c r="I14" s="145">
        <f>$D14*Fleet!K238/10^7</f>
        <v>0</v>
      </c>
      <c r="J14" s="145">
        <f>$D14*Fleet!L238/10^7</f>
        <v>0</v>
      </c>
      <c r="K14" s="145">
        <f>$D14*Fleet!M238/10^7</f>
        <v>6.2596904936773274</v>
      </c>
      <c r="L14" s="145">
        <f>$D14*Fleet!N238/10^7</f>
        <v>9.3895337335029083</v>
      </c>
      <c r="M14" s="145">
        <f>$D14*Fleet!O238/10^7</f>
        <v>11.736914825363375</v>
      </c>
      <c r="N14" s="145">
        <f>$D14*Fleet!P238/10^7</f>
        <v>11.736924191424421</v>
      </c>
      <c r="O14" s="145">
        <f>$D14*Fleet!Q238/10^7</f>
        <v>11.736917501380814</v>
      </c>
      <c r="P14" s="145">
        <f>$D14*Fleet!R238/10^7</f>
        <v>11.736916163372094</v>
      </c>
      <c r="Q14" s="145">
        <f>$D14*Fleet!S238/10^7</f>
        <v>11.736921515406976</v>
      </c>
      <c r="R14" s="145">
        <f>$D14*Fleet!T238/10^7</f>
        <v>11.736914825363375</v>
      </c>
      <c r="S14" s="145">
        <f>$D14*Fleet!U238/10^7</f>
        <v>11.736916163372094</v>
      </c>
      <c r="T14" s="145">
        <f>$D14*Fleet!V238/10^7</f>
        <v>11.736920177398257</v>
      </c>
      <c r="U14" s="145">
        <f>$D14*Fleet!W238/10^7</f>
        <v>11.736930881468023</v>
      </c>
      <c r="V14" s="145">
        <f>$D14*Fleet!X238/10^7</f>
        <v>11.736920177398257</v>
      </c>
      <c r="W14" s="145">
        <f>$D14*Fleet!Y238/10^7</f>
        <v>11.736920177398257</v>
      </c>
      <c r="X14" s="145">
        <f>$D14*Fleet!Z238/10^7</f>
        <v>11.736918839389533</v>
      </c>
      <c r="Y14" s="145">
        <f>$D14*Fleet!AA238/10^7</f>
        <v>7.8246121135901179</v>
      </c>
      <c r="Z14" s="145">
        <f>$D14*Fleet!AB238/10^7</f>
        <v>5.8684614267078485</v>
      </c>
      <c r="AA14" s="145">
        <f>$D14*Fleet!AC238/10^7</f>
        <v>1.7248504573037793</v>
      </c>
      <c r="AB14" s="145">
        <f>$D14*Fleet!AD238/10^7</f>
        <v>0</v>
      </c>
      <c r="AC14" s="145">
        <f>$D14*Fleet!AE238/10^7</f>
        <v>0</v>
      </c>
      <c r="AD14" s="145">
        <f>$D14*Fleet!AF238/10^7</f>
        <v>0</v>
      </c>
      <c r="AE14" s="145">
        <f>$D14*Fleet!AG238/10^7</f>
        <v>0</v>
      </c>
      <c r="AF14" s="145">
        <f>$D14*Fleet!AH238/10^7</f>
        <v>0</v>
      </c>
      <c r="AG14" s="145">
        <f>$D14*Fleet!AI238/10^7</f>
        <v>0</v>
      </c>
      <c r="AH14" s="145">
        <f>$D14*Fleet!AJ238/10^7</f>
        <v>0</v>
      </c>
      <c r="AI14" s="145">
        <f>$D14*Fleet!AK238/10^7</f>
        <v>0</v>
      </c>
      <c r="AJ14" s="145">
        <f>$D14*Fleet!AL238/10^7</f>
        <v>0</v>
      </c>
      <c r="AK14" s="145">
        <f>$D14*Fleet!AM238/10^7</f>
        <v>0</v>
      </c>
      <c r="AL14" s="145">
        <f>$D14*Fleet!AN238/10^7</f>
        <v>0</v>
      </c>
      <c r="AM14" s="145">
        <f>$D14*Fleet!AO238/10^7</f>
        <v>0</v>
      </c>
      <c r="AN14" s="145">
        <f>$D14*Fleet!AP238/10^7</f>
        <v>0</v>
      </c>
      <c r="AO14" s="145">
        <f>$D14*Fleet!AQ238/10^7</f>
        <v>0</v>
      </c>
      <c r="AP14" s="179"/>
      <c r="AQ14" s="179"/>
      <c r="AR14" s="179"/>
      <c r="AS14" s="179"/>
      <c r="AT14" s="179"/>
      <c r="AU14" s="179"/>
      <c r="AV14" s="179"/>
      <c r="AW14" s="179"/>
      <c r="AX14" s="179"/>
      <c r="AY14" s="179"/>
      <c r="AZ14" s="179"/>
      <c r="BA14" s="179"/>
      <c r="BB14" s="179"/>
      <c r="BC14" s="179"/>
      <c r="BD14" s="179"/>
    </row>
    <row r="15" spans="1:56">
      <c r="A15" s="168" t="str">
        <f>Fleet!B333</f>
        <v>With SM/Ripper</v>
      </c>
      <c r="B15" s="165" t="str">
        <f>Fleet!C333</f>
        <v>Front End Loader/ 6.4 cum</v>
      </c>
      <c r="C15" s="171" t="s">
        <v>134</v>
      </c>
      <c r="D15" s="174">
        <f>VLOOKUP(B15,Equipment!$C$5:$S$53,Equipment!S$1,FALSE)*VLOOKUP(B15,Equipment!$C$5:$S$53,Equipment!L$1,FALSE)*Assumptions_Dashboard!$D$101</f>
        <v>29898495</v>
      </c>
      <c r="E15" s="145">
        <f>$D15*Fleet!G239/10^7</f>
        <v>0</v>
      </c>
      <c r="F15" s="145">
        <f>$D15*Fleet!H239/10^7</f>
        <v>0</v>
      </c>
      <c r="G15" s="145">
        <f>$D15*Fleet!I239/10^7</f>
        <v>0</v>
      </c>
      <c r="H15" s="145">
        <f>$D15*Fleet!J239/10^7</f>
        <v>0</v>
      </c>
      <c r="I15" s="145">
        <f>$D15*Fleet!K239/10^7</f>
        <v>0</v>
      </c>
      <c r="J15" s="145">
        <f>$D15*Fleet!L239/10^7</f>
        <v>0</v>
      </c>
      <c r="K15" s="145">
        <f>$D15*Fleet!M239/10^7</f>
        <v>5.5288498935040602</v>
      </c>
      <c r="L15" s="145">
        <f>$D15*Fleet!N239/10^7</f>
        <v>8.2932730675687534</v>
      </c>
      <c r="M15" s="145">
        <f>$D15*Fleet!O239/10^7</f>
        <v>10.366589266325718</v>
      </c>
      <c r="N15" s="145">
        <f>$D15*Fleet!P239/10^7</f>
        <v>10.366597538866618</v>
      </c>
      <c r="O15" s="145">
        <f>$D15*Fleet!Q239/10^7</f>
        <v>10.366591629908832</v>
      </c>
      <c r="P15" s="145">
        <f>$D15*Fleet!R239/10^7</f>
        <v>10.366590448117273</v>
      </c>
      <c r="Q15" s="145">
        <f>$D15*Fleet!S239/10^7</f>
        <v>10.366595175283502</v>
      </c>
      <c r="R15" s="145">
        <f>$D15*Fleet!T239/10^7</f>
        <v>10.366589266325718</v>
      </c>
      <c r="S15" s="145">
        <f>$D15*Fleet!U239/10^7</f>
        <v>10.366590448117273</v>
      </c>
      <c r="T15" s="145">
        <f>$D15*Fleet!V239/10^7</f>
        <v>10.366593993491945</v>
      </c>
      <c r="U15" s="145">
        <f>$D15*Fleet!W239/10^7</f>
        <v>10.366603447824401</v>
      </c>
      <c r="V15" s="145">
        <f>$D15*Fleet!X239/10^7</f>
        <v>10.366593993491945</v>
      </c>
      <c r="W15" s="145">
        <f>$D15*Fleet!Y239/10^7</f>
        <v>10.366593993491945</v>
      </c>
      <c r="X15" s="145">
        <f>$D15*Fleet!Z239/10^7</f>
        <v>10.366592811700389</v>
      </c>
      <c r="Y15" s="145">
        <f>$D15*Fleet!AA239/10^7</f>
        <v>6.9110614805364072</v>
      </c>
      <c r="Z15" s="145">
        <f>$D15*Fleet!AB239/10^7</f>
        <v>5.1832981785375303</v>
      </c>
      <c r="AA15" s="145">
        <f>$D15*Fleet!AC239/10^7</f>
        <v>1.5234681773494743</v>
      </c>
      <c r="AB15" s="145">
        <f>$D15*Fleet!AD239/10^7</f>
        <v>0</v>
      </c>
      <c r="AC15" s="145">
        <f>$D15*Fleet!AE239/10^7</f>
        <v>0</v>
      </c>
      <c r="AD15" s="145">
        <f>$D15*Fleet!AF239/10^7</f>
        <v>0</v>
      </c>
      <c r="AE15" s="145">
        <f>$D15*Fleet!AG239/10^7</f>
        <v>0</v>
      </c>
      <c r="AF15" s="145">
        <f>$D15*Fleet!AH239/10^7</f>
        <v>0</v>
      </c>
      <c r="AG15" s="145">
        <f>$D15*Fleet!AI239/10^7</f>
        <v>0</v>
      </c>
      <c r="AH15" s="145">
        <f>$D15*Fleet!AJ239/10^7</f>
        <v>0</v>
      </c>
      <c r="AI15" s="145">
        <f>$D15*Fleet!AK239/10^7</f>
        <v>0</v>
      </c>
      <c r="AJ15" s="145">
        <f>$D15*Fleet!AL239/10^7</f>
        <v>0</v>
      </c>
      <c r="AK15" s="145">
        <f>$D15*Fleet!AM239/10^7</f>
        <v>0</v>
      </c>
      <c r="AL15" s="145">
        <f>$D15*Fleet!AN239/10^7</f>
        <v>0</v>
      </c>
      <c r="AM15" s="145">
        <f>$D15*Fleet!AO239/10^7</f>
        <v>0</v>
      </c>
      <c r="AN15" s="145">
        <f>$D15*Fleet!AP239/10^7</f>
        <v>0</v>
      </c>
      <c r="AO15" s="145">
        <f>$D15*Fleet!AQ239/10^7</f>
        <v>0</v>
      </c>
      <c r="AP15" s="179"/>
      <c r="AQ15" s="179"/>
      <c r="AR15" s="179"/>
      <c r="AS15" s="179"/>
      <c r="AT15" s="179"/>
      <c r="AU15" s="179"/>
      <c r="AV15" s="179"/>
      <c r="AW15" s="179"/>
      <c r="AX15" s="179"/>
      <c r="AY15" s="179"/>
      <c r="AZ15" s="179"/>
      <c r="BA15" s="179"/>
      <c r="BB15" s="179"/>
      <c r="BC15" s="179"/>
      <c r="BD15" s="179"/>
    </row>
    <row r="16" spans="1:56">
      <c r="A16" s="168" t="str">
        <f>Fleet!B334</f>
        <v>Miscelleneous</v>
      </c>
      <c r="B16" s="165" t="str">
        <f>Fleet!C334</f>
        <v>Front End Loader/ 1.7cum</v>
      </c>
      <c r="C16" s="171" t="s">
        <v>134</v>
      </c>
      <c r="D16" s="174">
        <f>VLOOKUP(B16,Equipment!$C$5:$S$53,Equipment!S$1,FALSE)*VLOOKUP(B16,Equipment!$C$5:$S$53,Equipment!L$1,FALSE)*Assumptions_Dashboard!$D$101</f>
        <v>3611520</v>
      </c>
      <c r="E16" s="145">
        <f>$D16*Fleet!G240/10^7</f>
        <v>3.1902066456828811E-2</v>
      </c>
      <c r="F16" s="145">
        <f>$D16*Fleet!H240/10^7</f>
        <v>6.3804119275522556E-2</v>
      </c>
      <c r="G16" s="145">
        <f>$D16*Fleet!I240/10^7</f>
        <v>0.1276082931035854</v>
      </c>
      <c r="H16" s="145">
        <f>$D16*Fleet!J240/10^7</f>
        <v>0.19141239874097282</v>
      </c>
      <c r="I16" s="145">
        <f>$D16*Fleet!K240/10^7</f>
        <v>0.23926545069274335</v>
      </c>
      <c r="J16" s="145">
        <f>$D16*Fleet!L240/10^7</f>
        <v>0.2392656416266345</v>
      </c>
      <c r="K16" s="145">
        <f>$D16*Fleet!M240/10^7</f>
        <v>0.23926550524528367</v>
      </c>
      <c r="L16" s="145">
        <f>$D16*Fleet!N240/10^7</f>
        <v>0.23926547796901348</v>
      </c>
      <c r="M16" s="145">
        <f>$D16*Fleet!O240/10^7</f>
        <v>0.23926558707409407</v>
      </c>
      <c r="N16" s="145">
        <f>$D16*Fleet!P240/10^7</f>
        <v>0.23926545069274335</v>
      </c>
      <c r="O16" s="145">
        <f>$D16*Fleet!Q240/10^7</f>
        <v>0.23926547796901348</v>
      </c>
      <c r="P16" s="145">
        <f>$D16*Fleet!R240/10^7</f>
        <v>0.23926555979782393</v>
      </c>
      <c r="Q16" s="145">
        <f>$D16*Fleet!S240/10^7</f>
        <v>0.23926577800798529</v>
      </c>
      <c r="R16" s="145">
        <f>$D16*Fleet!T240/10^7</f>
        <v>0.23926555979782393</v>
      </c>
      <c r="S16" s="145">
        <f>$D16*Fleet!U240/10^7</f>
        <v>0.23926555979782393</v>
      </c>
      <c r="T16" s="145">
        <f>$D16*Fleet!V240/10^7</f>
        <v>0.2392655325215538</v>
      </c>
      <c r="U16" s="145">
        <f>$D16*Fleet!W240/10^7</f>
        <v>0.15951034592227914</v>
      </c>
      <c r="V16" s="145">
        <f>$D16*Fleet!X240/10^7</f>
        <v>0.11963280717518215</v>
      </c>
      <c r="W16" s="145">
        <f>$D16*Fleet!Y240/10^7</f>
        <v>3.5162317200474018E-2</v>
      </c>
      <c r="X16" s="145">
        <f>$D16*Fleet!Z240/10^7</f>
        <v>0</v>
      </c>
      <c r="Y16" s="145">
        <f>$D16*Fleet!AA240/10^7</f>
        <v>0</v>
      </c>
      <c r="Z16" s="145">
        <f>$D16*Fleet!AB240/10^7</f>
        <v>0</v>
      </c>
      <c r="AA16" s="145">
        <f>$D16*Fleet!AC240/10^7</f>
        <v>0</v>
      </c>
      <c r="AB16" s="145">
        <f>$D16*Fleet!AD240/10^7</f>
        <v>0</v>
      </c>
      <c r="AC16" s="145">
        <f>$D16*Fleet!AE240/10^7</f>
        <v>0</v>
      </c>
      <c r="AD16" s="145">
        <f>$D16*Fleet!AF240/10^7</f>
        <v>0</v>
      </c>
      <c r="AE16" s="145">
        <f>$D16*Fleet!AG240/10^7</f>
        <v>0</v>
      </c>
      <c r="AF16" s="145">
        <f>$D16*Fleet!AH240/10^7</f>
        <v>0</v>
      </c>
      <c r="AG16" s="145">
        <f>$D16*Fleet!AI240/10^7</f>
        <v>0</v>
      </c>
      <c r="AH16" s="145">
        <f>$D16*Fleet!AJ240/10^7</f>
        <v>0</v>
      </c>
      <c r="AI16" s="145">
        <f>$D16*Fleet!AK240/10^7</f>
        <v>0</v>
      </c>
      <c r="AJ16" s="145">
        <f>$D16*Fleet!AL240/10^7</f>
        <v>0</v>
      </c>
      <c r="AK16" s="145">
        <f>$D16*Fleet!AM240/10^7</f>
        <v>0</v>
      </c>
      <c r="AL16" s="145">
        <f>$D16*Fleet!AN240/10^7</f>
        <v>0</v>
      </c>
      <c r="AM16" s="145">
        <f>$D16*Fleet!AO240/10^7</f>
        <v>0</v>
      </c>
      <c r="AN16" s="145">
        <f>$D16*Fleet!AP240/10^7</f>
        <v>0</v>
      </c>
      <c r="AO16" s="145">
        <f>$D16*Fleet!AQ240/10^7</f>
        <v>0</v>
      </c>
      <c r="AP16" s="179"/>
      <c r="AQ16" s="179"/>
      <c r="AR16" s="179"/>
      <c r="AS16" s="179"/>
      <c r="AT16" s="179"/>
      <c r="AU16" s="179"/>
      <c r="AV16" s="179"/>
      <c r="AW16" s="179"/>
      <c r="AX16" s="179"/>
      <c r="AY16" s="179"/>
      <c r="AZ16" s="179"/>
      <c r="BA16" s="179"/>
      <c r="BB16" s="179"/>
      <c r="BC16" s="179"/>
      <c r="BD16" s="179"/>
    </row>
    <row r="17" spans="1:56">
      <c r="A17" s="168" t="str">
        <f>Fleet!B335</f>
        <v>Topsoil</v>
      </c>
      <c r="B17" s="165" t="str">
        <f>Fleet!C335</f>
        <v>Tipper/ 20t</v>
      </c>
      <c r="C17" s="171" t="s">
        <v>134</v>
      </c>
      <c r="D17" s="174">
        <f>VLOOKUP(B17,Equipment!$C$5:$S$53,Equipment!S$1,FALSE)*VLOOKUP(B17,Equipment!$C$5:$S$53,Equipment!L$1,FALSE)*Assumptions_Dashboard!$D$101</f>
        <v>4965840</v>
      </c>
      <c r="E17" s="145">
        <f>$D17*Fleet!G241/10^7</f>
        <v>0</v>
      </c>
      <c r="F17" s="145">
        <f>$D17*Fleet!H241/10^7</f>
        <v>0</v>
      </c>
      <c r="G17" s="145">
        <f>$D17*Fleet!I241/10^7</f>
        <v>0</v>
      </c>
      <c r="H17" s="145">
        <f>$D17*Fleet!J241/10^7</f>
        <v>0</v>
      </c>
      <c r="I17" s="145">
        <f>$D17*Fleet!K241/10^7</f>
        <v>0</v>
      </c>
      <c r="J17" s="145">
        <f>$D17*Fleet!L241/10^7</f>
        <v>0</v>
      </c>
      <c r="K17" s="145">
        <f>$D17*Fleet!M241/10^7</f>
        <v>0</v>
      </c>
      <c r="L17" s="145">
        <f>$D17*Fleet!N241/10^7</f>
        <v>0</v>
      </c>
      <c r="M17" s="145">
        <f>$D17*Fleet!O241/10^7</f>
        <v>0</v>
      </c>
      <c r="N17" s="145">
        <f>$D17*Fleet!P241/10^7</f>
        <v>0</v>
      </c>
      <c r="O17" s="145">
        <f>$D17*Fleet!Q241/10^7</f>
        <v>0</v>
      </c>
      <c r="P17" s="145">
        <f>$D17*Fleet!R241/10^7</f>
        <v>0</v>
      </c>
      <c r="Q17" s="145">
        <f>$D17*Fleet!S241/10^7</f>
        <v>0</v>
      </c>
      <c r="R17" s="145">
        <f>$D17*Fleet!T241/10^7</f>
        <v>0</v>
      </c>
      <c r="S17" s="145">
        <f>$D17*Fleet!U241/10^7</f>
        <v>0</v>
      </c>
      <c r="T17" s="145">
        <f>$D17*Fleet!V241/10^7</f>
        <v>0</v>
      </c>
      <c r="U17" s="145">
        <f>$D17*Fleet!W241/10^7</f>
        <v>0</v>
      </c>
      <c r="V17" s="145">
        <f>$D17*Fleet!X241/10^7</f>
        <v>0</v>
      </c>
      <c r="W17" s="145">
        <f>$D17*Fleet!Y241/10^7</f>
        <v>0</v>
      </c>
      <c r="X17" s="145">
        <f>$D17*Fleet!Z241/10^7</f>
        <v>0</v>
      </c>
      <c r="Y17" s="145">
        <f>$D17*Fleet!AA241/10^7</f>
        <v>0</v>
      </c>
      <c r="Z17" s="145">
        <f>$D17*Fleet!AB241/10^7</f>
        <v>0</v>
      </c>
      <c r="AA17" s="145">
        <f>$D17*Fleet!AC241/10^7</f>
        <v>0</v>
      </c>
      <c r="AB17" s="145">
        <f>$D17*Fleet!AD241/10^7</f>
        <v>0</v>
      </c>
      <c r="AC17" s="145">
        <f>$D17*Fleet!AE241/10^7</f>
        <v>0</v>
      </c>
      <c r="AD17" s="145">
        <f>$D17*Fleet!AF241/10^7</f>
        <v>0</v>
      </c>
      <c r="AE17" s="145">
        <f>$D17*Fleet!AG241/10^7</f>
        <v>0</v>
      </c>
      <c r="AF17" s="145">
        <f>$D17*Fleet!AH241/10^7</f>
        <v>0</v>
      </c>
      <c r="AG17" s="145">
        <f>$D17*Fleet!AI241/10^7</f>
        <v>0</v>
      </c>
      <c r="AH17" s="145">
        <f>$D17*Fleet!AJ241/10^7</f>
        <v>0</v>
      </c>
      <c r="AI17" s="145">
        <f>$D17*Fleet!AK241/10^7</f>
        <v>0</v>
      </c>
      <c r="AJ17" s="145">
        <f>$D17*Fleet!AL241/10^7</f>
        <v>0</v>
      </c>
      <c r="AK17" s="145">
        <f>$D17*Fleet!AM241/10^7</f>
        <v>0</v>
      </c>
      <c r="AL17" s="145">
        <f>$D17*Fleet!AN241/10^7</f>
        <v>0</v>
      </c>
      <c r="AM17" s="145">
        <f>$D17*Fleet!AO241/10^7</f>
        <v>0</v>
      </c>
      <c r="AN17" s="145">
        <f>$D17*Fleet!AP241/10^7</f>
        <v>0</v>
      </c>
      <c r="AO17" s="145">
        <f>$D17*Fleet!AQ241/10^7</f>
        <v>0</v>
      </c>
      <c r="AP17" s="179"/>
      <c r="AQ17" s="179"/>
      <c r="AR17" s="179"/>
      <c r="AS17" s="179"/>
      <c r="AT17" s="179"/>
      <c r="AU17" s="179"/>
      <c r="AV17" s="179"/>
      <c r="AW17" s="179"/>
      <c r="AX17" s="179"/>
      <c r="AY17" s="179"/>
      <c r="AZ17" s="179"/>
      <c r="BA17" s="179"/>
      <c r="BB17" s="179"/>
      <c r="BC17" s="179"/>
      <c r="BD17" s="179"/>
    </row>
    <row r="18" spans="1:56">
      <c r="A18" s="168" t="str">
        <f>Fleet!B336</f>
        <v>Thin  Parting + Rehandling</v>
      </c>
      <c r="B18" s="165" t="str">
        <f>Fleet!C336</f>
        <v>Tipper/ 35t</v>
      </c>
      <c r="C18" s="171" t="s">
        <v>134</v>
      </c>
      <c r="D18" s="174">
        <f>VLOOKUP(B18,Equipment!$C$5:$S$53,Equipment!S$1,FALSE)*VLOOKUP(B18,Equipment!$C$5:$S$53,Equipment!L$1,FALSE)*Assumptions_Dashboard!$D$101</f>
        <v>8577360</v>
      </c>
      <c r="E18" s="145">
        <f>$D18*Fleet!G242/10^7</f>
        <v>0</v>
      </c>
      <c r="F18" s="145">
        <f>$D18*Fleet!H242/10^7</f>
        <v>0</v>
      </c>
      <c r="G18" s="145">
        <f>$D18*Fleet!I242/10^7</f>
        <v>0</v>
      </c>
      <c r="H18" s="145">
        <f>$D18*Fleet!J242/10^7</f>
        <v>0</v>
      </c>
      <c r="I18" s="145">
        <f>$D18*Fleet!K242/10^7</f>
        <v>0</v>
      </c>
      <c r="J18" s="145">
        <f>$D18*Fleet!L242/10^7</f>
        <v>0</v>
      </c>
      <c r="K18" s="145">
        <f>$D18*Fleet!M242/10^7</f>
        <v>0</v>
      </c>
      <c r="L18" s="145">
        <f>$D18*Fleet!N242/10^7</f>
        <v>11.13913035517333</v>
      </c>
      <c r="M18" s="145">
        <f>$D18*Fleet!O242/10^7</f>
        <v>11.844640248417777</v>
      </c>
      <c r="N18" s="145">
        <f>$D18*Fleet!P242/10^7</f>
        <v>19.331076979026495</v>
      </c>
      <c r="O18" s="145">
        <f>$D18*Fleet!Q242/10^7</f>
        <v>18.6518802552979</v>
      </c>
      <c r="P18" s="145">
        <f>$D18*Fleet!R242/10^7</f>
        <v>16.490984398826662</v>
      </c>
      <c r="Q18" s="145">
        <f>$D18*Fleet!S242/10^7</f>
        <v>17.953752392217577</v>
      </c>
      <c r="R18" s="145">
        <f>$D18*Fleet!T242/10^7</f>
        <v>16.767025405010472</v>
      </c>
      <c r="S18" s="145">
        <f>$D18*Fleet!U242/10^7</f>
        <v>18.59820041814525</v>
      </c>
      <c r="T18" s="145">
        <f>$D18*Fleet!V242/10^7</f>
        <v>14.165187390703911</v>
      </c>
      <c r="U18" s="145">
        <f>$D18*Fleet!W242/10^7</f>
        <v>12.24987563518062</v>
      </c>
      <c r="V18" s="145">
        <f>$D18*Fleet!X242/10^7</f>
        <v>14.990489833488864</v>
      </c>
      <c r="W18" s="145">
        <f>$D18*Fleet!Y242/10^7</f>
        <v>14.723194862755454</v>
      </c>
      <c r="X18" s="145">
        <f>$D18*Fleet!Z242/10^7</f>
        <v>18.209130173538359</v>
      </c>
      <c r="Y18" s="145">
        <f>$D18*Fleet!AA242/10^7</f>
        <v>11.063584169891939</v>
      </c>
      <c r="Z18" s="145">
        <f>$D18*Fleet!AB242/10^7</f>
        <v>1.8695427362773973</v>
      </c>
      <c r="AA18" s="145">
        <f>$D18*Fleet!AC242/10^7</f>
        <v>0.53356606555491326</v>
      </c>
      <c r="AB18" s="145">
        <f>$D18*Fleet!AD242/10^7</f>
        <v>0</v>
      </c>
      <c r="AC18" s="145">
        <f>$D18*Fleet!AE242/10^7</f>
        <v>0</v>
      </c>
      <c r="AD18" s="145">
        <f>$D18*Fleet!AF242/10^7</f>
        <v>0</v>
      </c>
      <c r="AE18" s="145">
        <f>$D18*Fleet!AG242/10^7</f>
        <v>0</v>
      </c>
      <c r="AF18" s="145">
        <f>$D18*Fleet!AH242/10^7</f>
        <v>0</v>
      </c>
      <c r="AG18" s="145">
        <f>$D18*Fleet!AI242/10^7</f>
        <v>0</v>
      </c>
      <c r="AH18" s="145">
        <f>$D18*Fleet!AJ242/10^7</f>
        <v>0</v>
      </c>
      <c r="AI18" s="145">
        <f>$D18*Fleet!AK242/10^7</f>
        <v>0</v>
      </c>
      <c r="AJ18" s="145">
        <f>$D18*Fleet!AL242/10^7</f>
        <v>0</v>
      </c>
      <c r="AK18" s="145">
        <f>$D18*Fleet!AM242/10^7</f>
        <v>0</v>
      </c>
      <c r="AL18" s="145">
        <f>$D18*Fleet!AN242/10^7</f>
        <v>0</v>
      </c>
      <c r="AM18" s="145">
        <f>$D18*Fleet!AO242/10^7</f>
        <v>0</v>
      </c>
      <c r="AN18" s="145">
        <f>$D18*Fleet!AP242/10^7</f>
        <v>0</v>
      </c>
      <c r="AO18" s="145">
        <f>$D18*Fleet!AQ242/10^7</f>
        <v>0</v>
      </c>
      <c r="AP18" s="179"/>
      <c r="AQ18" s="179"/>
      <c r="AR18" s="179"/>
      <c r="AS18" s="179"/>
      <c r="AT18" s="179"/>
      <c r="AU18" s="179"/>
      <c r="AV18" s="179"/>
      <c r="AW18" s="179"/>
      <c r="AX18" s="179"/>
      <c r="AY18" s="179"/>
      <c r="AZ18" s="179"/>
      <c r="BA18" s="179"/>
      <c r="BB18" s="179"/>
      <c r="BC18" s="179"/>
      <c r="BD18" s="179"/>
    </row>
    <row r="19" spans="1:56">
      <c r="A19" s="168" t="str">
        <f>Fleet!B337</f>
        <v>Waste - OB &amp; Thick Parting</v>
      </c>
      <c r="B19" s="165" t="str">
        <f>Fleet!C337</f>
        <v>Dumper/ 100t</v>
      </c>
      <c r="C19" s="171" t="s">
        <v>134</v>
      </c>
      <c r="D19" s="174">
        <f>VLOOKUP(B19,Equipment!$C$5:$S$53,Equipment!S$1,FALSE)*VLOOKUP(B19,Equipment!$C$5:$S$53,Equipment!L$1,FALSE)*Assumptions_Dashboard!$D$101</f>
        <v>22572000</v>
      </c>
      <c r="E19" s="145">
        <f>$D19*Fleet!G243/10^7</f>
        <v>0</v>
      </c>
      <c r="F19" s="145">
        <f>$D19*Fleet!H243/10^7</f>
        <v>0</v>
      </c>
      <c r="G19" s="145">
        <f>$D19*Fleet!I243/10^7</f>
        <v>0</v>
      </c>
      <c r="H19" s="145">
        <f>$D19*Fleet!J243/10^7</f>
        <v>0</v>
      </c>
      <c r="I19" s="145">
        <f>$D19*Fleet!K243/10^7</f>
        <v>0</v>
      </c>
      <c r="J19" s="145">
        <f>$D19*Fleet!L243/10^7</f>
        <v>0</v>
      </c>
      <c r="K19" s="145">
        <f>$D19*Fleet!M243/10^7</f>
        <v>0</v>
      </c>
      <c r="L19" s="145">
        <f>$D19*Fleet!N243/10^7</f>
        <v>45.768688111512866</v>
      </c>
      <c r="M19" s="145">
        <f>$D19*Fleet!O243/10^7</f>
        <v>48.555519566029282</v>
      </c>
      <c r="N19" s="145">
        <f>$D19*Fleet!P243/10^7</f>
        <v>78.517038033529516</v>
      </c>
      <c r="O19" s="145">
        <f>$D19*Fleet!Q243/10^7</f>
        <v>74.892250866041053</v>
      </c>
      <c r="P19" s="145">
        <f>$D19*Fleet!R243/10^7</f>
        <v>66.339155366784496</v>
      </c>
      <c r="Q19" s="145">
        <f>$D19*Fleet!S243/10^7</f>
        <v>72.378495935424596</v>
      </c>
      <c r="R19" s="145">
        <f>$D19*Fleet!T243/10^7</f>
        <v>67.716545325315465</v>
      </c>
      <c r="S19" s="145">
        <f>$D19*Fleet!U243/10^7</f>
        <v>75.178968691733289</v>
      </c>
      <c r="T19" s="145">
        <f>$D19*Fleet!V243/10^7</f>
        <v>56.315463835497198</v>
      </c>
      <c r="U19" s="145">
        <f>$D19*Fleet!W243/10^7</f>
        <v>49.432154127652105</v>
      </c>
      <c r="V19" s="145">
        <f>$D19*Fleet!X243/10^7</f>
        <v>60.483644892855075</v>
      </c>
      <c r="W19" s="145">
        <f>$D19*Fleet!Y243/10^7</f>
        <v>59.3637870491578</v>
      </c>
      <c r="X19" s="145">
        <f>$D19*Fleet!Z243/10^7</f>
        <v>74.487674231274667</v>
      </c>
      <c r="Y19" s="145">
        <f>$D19*Fleet!AA243/10^7</f>
        <v>44.507408594081113</v>
      </c>
      <c r="Z19" s="145">
        <f>$D19*Fleet!AB243/10^7</f>
        <v>7.5219245446417524</v>
      </c>
      <c r="AA19" s="145">
        <f>$D19*Fleet!AC243/10^7</f>
        <v>2.0613070929432569</v>
      </c>
      <c r="AB19" s="145">
        <f>$D19*Fleet!AD243/10^7</f>
        <v>0</v>
      </c>
      <c r="AC19" s="145">
        <f>$D19*Fleet!AE243/10^7</f>
        <v>0</v>
      </c>
      <c r="AD19" s="145">
        <f>$D19*Fleet!AF243/10^7</f>
        <v>0</v>
      </c>
      <c r="AE19" s="145">
        <f>$D19*Fleet!AG243/10^7</f>
        <v>0</v>
      </c>
      <c r="AF19" s="145">
        <f>$D19*Fleet!AH243/10^7</f>
        <v>0</v>
      </c>
      <c r="AG19" s="145">
        <f>$D19*Fleet!AI243/10^7</f>
        <v>0</v>
      </c>
      <c r="AH19" s="145">
        <f>$D19*Fleet!AJ243/10^7</f>
        <v>0</v>
      </c>
      <c r="AI19" s="145">
        <f>$D19*Fleet!AK243/10^7</f>
        <v>0</v>
      </c>
      <c r="AJ19" s="145">
        <f>$D19*Fleet!AL243/10^7</f>
        <v>0</v>
      </c>
      <c r="AK19" s="145">
        <f>$D19*Fleet!AM243/10^7</f>
        <v>0</v>
      </c>
      <c r="AL19" s="145">
        <f>$D19*Fleet!AN243/10^7</f>
        <v>0</v>
      </c>
      <c r="AM19" s="145">
        <f>$D19*Fleet!AO243/10^7</f>
        <v>0</v>
      </c>
      <c r="AN19" s="145">
        <f>$D19*Fleet!AP243/10^7</f>
        <v>0</v>
      </c>
      <c r="AO19" s="145">
        <f>$D19*Fleet!AQ243/10^7</f>
        <v>0</v>
      </c>
      <c r="AP19" s="179"/>
      <c r="AQ19" s="179"/>
      <c r="AR19" s="179"/>
      <c r="AS19" s="179"/>
      <c r="AT19" s="179"/>
      <c r="AU19" s="179"/>
      <c r="AV19" s="179"/>
      <c r="AW19" s="179"/>
      <c r="AX19" s="179"/>
      <c r="AY19" s="179"/>
      <c r="AZ19" s="179"/>
      <c r="BA19" s="179"/>
      <c r="BB19" s="179"/>
      <c r="BC19" s="179"/>
      <c r="BD19" s="179"/>
    </row>
    <row r="20" spans="1:56">
      <c r="A20" s="168" t="str">
        <f>Fleet!B338</f>
        <v>Coal/Ore</v>
      </c>
      <c r="B20" s="165" t="str">
        <f>Fleet!C338</f>
        <v>Dumper/ 40t</v>
      </c>
      <c r="C20" s="171" t="s">
        <v>134</v>
      </c>
      <c r="D20" s="174">
        <f>VLOOKUP(B20,Equipment!$C$5:$S$53,Equipment!S$1,FALSE)*VLOOKUP(B20,Equipment!$C$5:$S$53,Equipment!L$1,FALSE)*Assumptions_Dashboard!$D$101</f>
        <v>9028800</v>
      </c>
      <c r="E20" s="145">
        <f>$D20*Fleet!G244/10^7</f>
        <v>0</v>
      </c>
      <c r="F20" s="145">
        <f>$D20*Fleet!H244/10^7</f>
        <v>0</v>
      </c>
      <c r="G20" s="145">
        <f>$D20*Fleet!I244/10^7</f>
        <v>0</v>
      </c>
      <c r="H20" s="145">
        <f>$D20*Fleet!J244/10^7</f>
        <v>0</v>
      </c>
      <c r="I20" s="145">
        <f>$D20*Fleet!K244/10^7</f>
        <v>2.3058599399262736</v>
      </c>
      <c r="J20" s="145">
        <f>$D20*Fleet!L244/10^7</f>
        <v>4.6117188940973017</v>
      </c>
      <c r="K20" s="145">
        <f>$D20*Fleet!M244/10^7</f>
        <v>10.520488224667773</v>
      </c>
      <c r="L20" s="145">
        <f>$D20*Fleet!N244/10^7</f>
        <v>18.363030067049227</v>
      </c>
      <c r="M20" s="145">
        <f>$D20*Fleet!O244/10^7</f>
        <v>23.819963495267341</v>
      </c>
      <c r="N20" s="145">
        <f>$D20*Fleet!P244/10^7</f>
        <v>25.249181453820594</v>
      </c>
      <c r="O20" s="145">
        <f>$D20*Fleet!Q244/10^7</f>
        <v>26.301215689368767</v>
      </c>
      <c r="P20" s="145">
        <f>$D20*Fleet!R244/10^7</f>
        <v>27.444743677596406</v>
      </c>
      <c r="Q20" s="145">
        <f>$D20*Fleet!S244/10^7</f>
        <v>28.692245110238588</v>
      </c>
      <c r="R20" s="145">
        <f>$D20*Fleet!T244/10^7</f>
        <v>29.359489889515565</v>
      </c>
      <c r="S20" s="145">
        <f>$D20*Fleet!U244/10^7</f>
        <v>30.791663638278902</v>
      </c>
      <c r="T20" s="145">
        <f>$D20*Fleet!V244/10^7</f>
        <v>31.561466023255807</v>
      </c>
      <c r="U20" s="145">
        <f>$D20*Fleet!W244/10^7</f>
        <v>33.22262611295681</v>
      </c>
      <c r="V20" s="145">
        <f>$D20*Fleet!X244/10^7</f>
        <v>34.1205038089252</v>
      </c>
      <c r="W20" s="145">
        <f>$D20*Fleet!Y244/10^7</f>
        <v>36.07024688372092</v>
      </c>
      <c r="X20" s="145">
        <f>$D20*Fleet!Z244/10^7</f>
        <v>36.070242771713325</v>
      </c>
      <c r="Y20" s="145">
        <f>$D20*Fleet!AA244/10^7</f>
        <v>24.046827143806357</v>
      </c>
      <c r="Z20" s="145">
        <f>$D20*Fleet!AB244/10^7</f>
        <v>18.035127553868055</v>
      </c>
      <c r="AA20" s="145">
        <f>$D20*Fleet!AC244/10^7</f>
        <v>5.3008609492168945</v>
      </c>
      <c r="AB20" s="145">
        <f>$D20*Fleet!AD244/10^7</f>
        <v>0</v>
      </c>
      <c r="AC20" s="145">
        <f>$D20*Fleet!AE244/10^7</f>
        <v>0</v>
      </c>
      <c r="AD20" s="145">
        <f>$D20*Fleet!AF244/10^7</f>
        <v>0</v>
      </c>
      <c r="AE20" s="145">
        <f>$D20*Fleet!AG244/10^7</f>
        <v>0</v>
      </c>
      <c r="AF20" s="145">
        <f>$D20*Fleet!AH244/10^7</f>
        <v>0</v>
      </c>
      <c r="AG20" s="145">
        <f>$D20*Fleet!AI244/10^7</f>
        <v>0</v>
      </c>
      <c r="AH20" s="145">
        <f>$D20*Fleet!AJ244/10^7</f>
        <v>0</v>
      </c>
      <c r="AI20" s="145">
        <f>$D20*Fleet!AK244/10^7</f>
        <v>0</v>
      </c>
      <c r="AJ20" s="145">
        <f>$D20*Fleet!AL244/10^7</f>
        <v>0</v>
      </c>
      <c r="AK20" s="145">
        <f>$D20*Fleet!AM244/10^7</f>
        <v>0</v>
      </c>
      <c r="AL20" s="145">
        <f>$D20*Fleet!AN244/10^7</f>
        <v>0</v>
      </c>
      <c r="AM20" s="145">
        <f>$D20*Fleet!AO244/10^7</f>
        <v>0</v>
      </c>
      <c r="AN20" s="145">
        <f>$D20*Fleet!AP244/10^7</f>
        <v>0</v>
      </c>
      <c r="AO20" s="145">
        <f>$D20*Fleet!AQ244/10^7</f>
        <v>0</v>
      </c>
      <c r="AP20" s="179"/>
      <c r="AQ20" s="179"/>
      <c r="AR20" s="179"/>
      <c r="AS20" s="179"/>
      <c r="AT20" s="179"/>
      <c r="AU20" s="179"/>
      <c r="AV20" s="179"/>
      <c r="AW20" s="179"/>
      <c r="AX20" s="179"/>
      <c r="AY20" s="179"/>
      <c r="AZ20" s="179"/>
      <c r="BA20" s="179"/>
      <c r="BB20" s="179"/>
      <c r="BC20" s="179"/>
      <c r="BD20" s="179"/>
    </row>
    <row r="21" spans="1:56">
      <c r="A21" s="168" t="str">
        <f>Fleet!B339</f>
        <v/>
      </c>
      <c r="B21" s="165" t="str">
        <f>Fleet!C339</f>
        <v>Track Dozer/ 405 HP</v>
      </c>
      <c r="C21" s="171" t="s">
        <v>134</v>
      </c>
      <c r="D21" s="174">
        <f>VLOOKUP(B21,Equipment!$C$5:$S$53,Equipment!S$1,FALSE)*VLOOKUP(B21,Equipment!$C$5:$S$53,Equipment!L$1,FALSE)*Assumptions_Dashboard!$D$101</f>
        <v>14807232</v>
      </c>
      <c r="E21" s="145">
        <f>$D21*Fleet!G245/10^7</f>
        <v>0</v>
      </c>
      <c r="F21" s="145">
        <f>$D21*Fleet!H245/10^7</f>
        <v>0</v>
      </c>
      <c r="G21" s="145">
        <f>$D21*Fleet!I245/10^7</f>
        <v>0</v>
      </c>
      <c r="H21" s="145">
        <f>$D21*Fleet!J245/10^7</f>
        <v>0</v>
      </c>
      <c r="I21" s="145">
        <f>$D21*Fleet!K245/10^7</f>
        <v>1.4807231999999999</v>
      </c>
      <c r="J21" s="145">
        <f>$D21*Fleet!L245/10^7</f>
        <v>2.9614463999999998</v>
      </c>
      <c r="K21" s="145">
        <f>$D21*Fleet!M245/10^7</f>
        <v>5.9228927999999996</v>
      </c>
      <c r="L21" s="145">
        <f>$D21*Fleet!N245/10^7</f>
        <v>7.4036160000000004</v>
      </c>
      <c r="M21" s="145">
        <f>$D21*Fleet!O245/10^7</f>
        <v>8.8843391999999994</v>
      </c>
      <c r="N21" s="145">
        <f>$D21*Fleet!P245/10^7</f>
        <v>8.8843391999999994</v>
      </c>
      <c r="O21" s="145">
        <f>$D21*Fleet!Q245/10^7</f>
        <v>8.8843391999999994</v>
      </c>
      <c r="P21" s="145">
        <f>$D21*Fleet!R245/10^7</f>
        <v>8.8843391999999994</v>
      </c>
      <c r="Q21" s="145">
        <f>$D21*Fleet!S245/10^7</f>
        <v>8.8843391999999994</v>
      </c>
      <c r="R21" s="145">
        <f>$D21*Fleet!T245/10^7</f>
        <v>8.8843391999999994</v>
      </c>
      <c r="S21" s="145">
        <f>$D21*Fleet!U245/10^7</f>
        <v>8.8843391999999994</v>
      </c>
      <c r="T21" s="145">
        <f>$D21*Fleet!V245/10^7</f>
        <v>8.8843391999999994</v>
      </c>
      <c r="U21" s="145">
        <f>$D21*Fleet!W245/10^7</f>
        <v>8.8843391999999994</v>
      </c>
      <c r="V21" s="145">
        <f>$D21*Fleet!X245/10^7</f>
        <v>8.8843391999999994</v>
      </c>
      <c r="W21" s="145">
        <f>$D21*Fleet!Y245/10^7</f>
        <v>8.8843391999999994</v>
      </c>
      <c r="X21" s="145">
        <f>$D21*Fleet!Z245/10^7</f>
        <v>8.8843391999999994</v>
      </c>
      <c r="Y21" s="145">
        <f>$D21*Fleet!AA245/10^7</f>
        <v>5.9228927999999996</v>
      </c>
      <c r="Z21" s="145">
        <f>$D21*Fleet!AB245/10^7</f>
        <v>4.4421695999999997</v>
      </c>
      <c r="AA21" s="145">
        <f>$D21*Fleet!AC245/10^7</f>
        <v>1.4807231999999999</v>
      </c>
      <c r="AB21" s="145">
        <f>$D21*Fleet!AD245/10^7</f>
        <v>0</v>
      </c>
      <c r="AC21" s="145">
        <f>$D21*Fleet!AE245/10^7</f>
        <v>0</v>
      </c>
      <c r="AD21" s="145">
        <f>$D21*Fleet!AF245/10^7</f>
        <v>0</v>
      </c>
      <c r="AE21" s="145">
        <f>$D21*Fleet!AG245/10^7</f>
        <v>0</v>
      </c>
      <c r="AF21" s="145">
        <f>$D21*Fleet!AH245/10^7</f>
        <v>0</v>
      </c>
      <c r="AG21" s="145">
        <f>$D21*Fleet!AI245/10^7</f>
        <v>0</v>
      </c>
      <c r="AH21" s="145">
        <f>$D21*Fleet!AJ245/10^7</f>
        <v>0</v>
      </c>
      <c r="AI21" s="145">
        <f>$D21*Fleet!AK245/10^7</f>
        <v>0</v>
      </c>
      <c r="AJ21" s="145">
        <f>$D21*Fleet!AL245/10^7</f>
        <v>0</v>
      </c>
      <c r="AK21" s="145">
        <f>$D21*Fleet!AM245/10^7</f>
        <v>0</v>
      </c>
      <c r="AL21" s="145">
        <f>$D21*Fleet!AN245/10^7</f>
        <v>0</v>
      </c>
      <c r="AM21" s="145">
        <f>$D21*Fleet!AO245/10^7</f>
        <v>0</v>
      </c>
      <c r="AN21" s="145">
        <f>$D21*Fleet!AP245/10^7</f>
        <v>0</v>
      </c>
      <c r="AO21" s="145">
        <f>$D21*Fleet!AQ245/10^7</f>
        <v>0</v>
      </c>
      <c r="AP21" s="179"/>
      <c r="AQ21" s="179"/>
      <c r="AR21" s="179"/>
      <c r="AS21" s="179"/>
      <c r="AT21" s="179"/>
      <c r="AU21" s="179"/>
      <c r="AV21" s="179"/>
      <c r="AW21" s="179"/>
      <c r="AX21" s="179"/>
      <c r="AY21" s="179"/>
      <c r="AZ21" s="179"/>
      <c r="BA21" s="179"/>
      <c r="BB21" s="179"/>
      <c r="BC21" s="179"/>
      <c r="BD21" s="179"/>
    </row>
    <row r="22" spans="1:56">
      <c r="A22" s="168" t="str">
        <f>Fleet!B340</f>
        <v/>
      </c>
      <c r="B22" s="165" t="str">
        <f>Fleet!C340</f>
        <v>Wheel Dozer</v>
      </c>
      <c r="C22" s="171" t="s">
        <v>134</v>
      </c>
      <c r="D22" s="174">
        <f>VLOOKUP(B22,Equipment!$C$5:$S$53,Equipment!S$1,FALSE)*VLOOKUP(B22,Equipment!$C$5:$S$53,Equipment!L$1,FALSE)*Assumptions_Dashboard!$D$101</f>
        <v>18057600</v>
      </c>
      <c r="E22" s="145">
        <f>$D22*Fleet!G246/10^7</f>
        <v>0</v>
      </c>
      <c r="F22" s="145">
        <f>$D22*Fleet!H246/10^7</f>
        <v>0</v>
      </c>
      <c r="G22" s="145">
        <f>$D22*Fleet!I246/10^7</f>
        <v>0</v>
      </c>
      <c r="H22" s="145">
        <f>$D22*Fleet!J246/10^7</f>
        <v>0</v>
      </c>
      <c r="I22" s="145">
        <f>$D22*Fleet!K246/10^7</f>
        <v>1.80576</v>
      </c>
      <c r="J22" s="145">
        <f>$D22*Fleet!L246/10^7</f>
        <v>1.80576</v>
      </c>
      <c r="K22" s="145">
        <f>$D22*Fleet!M246/10^7</f>
        <v>3.6115200000000001</v>
      </c>
      <c r="L22" s="145">
        <f>$D22*Fleet!N246/10^7</f>
        <v>3.6115200000000001</v>
      </c>
      <c r="M22" s="145">
        <f>$D22*Fleet!O246/10^7</f>
        <v>3.6115200000000001</v>
      </c>
      <c r="N22" s="145">
        <f>$D22*Fleet!P246/10^7</f>
        <v>3.6115200000000001</v>
      </c>
      <c r="O22" s="145">
        <f>$D22*Fleet!Q246/10^7</f>
        <v>3.6115200000000001</v>
      </c>
      <c r="P22" s="145">
        <f>$D22*Fleet!R246/10^7</f>
        <v>3.6115200000000001</v>
      </c>
      <c r="Q22" s="145">
        <f>$D22*Fleet!S246/10^7</f>
        <v>3.6115200000000001</v>
      </c>
      <c r="R22" s="145">
        <f>$D22*Fleet!T246/10^7</f>
        <v>3.6115200000000001</v>
      </c>
      <c r="S22" s="145">
        <f>$D22*Fleet!U246/10^7</f>
        <v>3.6115200000000001</v>
      </c>
      <c r="T22" s="145">
        <f>$D22*Fleet!V246/10^7</f>
        <v>3.6115200000000001</v>
      </c>
      <c r="U22" s="145">
        <f>$D22*Fleet!W246/10^7</f>
        <v>3.6115200000000001</v>
      </c>
      <c r="V22" s="145">
        <f>$D22*Fleet!X246/10^7</f>
        <v>3.6115200000000001</v>
      </c>
      <c r="W22" s="145">
        <f>$D22*Fleet!Y246/10^7</f>
        <v>3.6115200000000001</v>
      </c>
      <c r="X22" s="145">
        <f>$D22*Fleet!Z246/10^7</f>
        <v>3.6115200000000001</v>
      </c>
      <c r="Y22" s="145">
        <f>$D22*Fleet!AA246/10^7</f>
        <v>3.6115200000000001</v>
      </c>
      <c r="Z22" s="145">
        <f>$D22*Fleet!AB246/10^7</f>
        <v>1.80576</v>
      </c>
      <c r="AA22" s="145">
        <f>$D22*Fleet!AC246/10^7</f>
        <v>1.80576</v>
      </c>
      <c r="AB22" s="145">
        <f>$D22*Fleet!AD246/10^7</f>
        <v>0</v>
      </c>
      <c r="AC22" s="145">
        <f>$D22*Fleet!AE246/10^7</f>
        <v>0</v>
      </c>
      <c r="AD22" s="145">
        <f>$D22*Fleet!AF246/10^7</f>
        <v>0</v>
      </c>
      <c r="AE22" s="145">
        <f>$D22*Fleet!AG246/10^7</f>
        <v>0</v>
      </c>
      <c r="AF22" s="145">
        <f>$D22*Fleet!AH246/10^7</f>
        <v>0</v>
      </c>
      <c r="AG22" s="145">
        <f>$D22*Fleet!AI246/10^7</f>
        <v>0</v>
      </c>
      <c r="AH22" s="145">
        <f>$D22*Fleet!AJ246/10^7</f>
        <v>0</v>
      </c>
      <c r="AI22" s="145">
        <f>$D22*Fleet!AK246/10^7</f>
        <v>0</v>
      </c>
      <c r="AJ22" s="145">
        <f>$D22*Fleet!AL246/10^7</f>
        <v>0</v>
      </c>
      <c r="AK22" s="145">
        <f>$D22*Fleet!AM246/10^7</f>
        <v>0</v>
      </c>
      <c r="AL22" s="145">
        <f>$D22*Fleet!AN246/10^7</f>
        <v>0</v>
      </c>
      <c r="AM22" s="145">
        <f>$D22*Fleet!AO246/10^7</f>
        <v>0</v>
      </c>
      <c r="AN22" s="145">
        <f>$D22*Fleet!AP246/10^7</f>
        <v>0</v>
      </c>
      <c r="AO22" s="145">
        <f>$D22*Fleet!AQ246/10^7</f>
        <v>0</v>
      </c>
      <c r="AP22" s="179"/>
      <c r="AQ22" s="179"/>
      <c r="AR22" s="179"/>
      <c r="AS22" s="179"/>
      <c r="AT22" s="179"/>
      <c r="AU22" s="179"/>
      <c r="AV22" s="179"/>
      <c r="AW22" s="179"/>
      <c r="AX22" s="179"/>
      <c r="AY22" s="179"/>
      <c r="AZ22" s="179"/>
      <c r="BA22" s="179"/>
      <c r="BB22" s="179"/>
      <c r="BC22" s="179"/>
      <c r="BD22" s="179"/>
    </row>
    <row r="23" spans="1:56">
      <c r="A23" s="168" t="str">
        <f>Fleet!B341</f>
        <v/>
      </c>
      <c r="B23" s="165" t="str">
        <f>Fleet!C341</f>
        <v>Ripper Dozer/ 450TPH</v>
      </c>
      <c r="C23" s="171" t="s">
        <v>134</v>
      </c>
      <c r="D23" s="174">
        <f>VLOOKUP(B23,Equipment!$C$5:$S$53,Equipment!S$1,FALSE)*VLOOKUP(B23,Equipment!$C$5:$S$53,Equipment!L$1,FALSE)*Assumptions_Dashboard!$D$101</f>
        <v>26093232.000000004</v>
      </c>
      <c r="E23" s="145">
        <f>$D23*Fleet!G247/10^7</f>
        <v>0</v>
      </c>
      <c r="F23" s="145">
        <f>$D23*Fleet!H247/10^7</f>
        <v>0</v>
      </c>
      <c r="G23" s="145">
        <f>$D23*Fleet!I247/10^7</f>
        <v>0</v>
      </c>
      <c r="H23" s="145">
        <f>$D23*Fleet!J247/10^7</f>
        <v>0</v>
      </c>
      <c r="I23" s="145">
        <f>$D23*Fleet!K247/10^7</f>
        <v>2.6093232000000004</v>
      </c>
      <c r="J23" s="145">
        <f>$D23*Fleet!L247/10^7</f>
        <v>2.6093232000000004</v>
      </c>
      <c r="K23" s="145">
        <f>$D23*Fleet!M247/10^7</f>
        <v>5.2186464000000008</v>
      </c>
      <c r="L23" s="145">
        <f>$D23*Fleet!N247/10^7</f>
        <v>5.2186464000000008</v>
      </c>
      <c r="M23" s="145">
        <f>$D23*Fleet!O247/10^7</f>
        <v>5.2186464000000008</v>
      </c>
      <c r="N23" s="145">
        <f>$D23*Fleet!P247/10^7</f>
        <v>5.2186464000000008</v>
      </c>
      <c r="O23" s="145">
        <f>$D23*Fleet!Q247/10^7</f>
        <v>5.2186464000000008</v>
      </c>
      <c r="P23" s="145">
        <f>$D23*Fleet!R247/10^7</f>
        <v>5.2186464000000008</v>
      </c>
      <c r="Q23" s="145">
        <f>$D23*Fleet!S247/10^7</f>
        <v>5.2186464000000008</v>
      </c>
      <c r="R23" s="145">
        <f>$D23*Fleet!T247/10^7</f>
        <v>5.2186464000000008</v>
      </c>
      <c r="S23" s="145">
        <f>$D23*Fleet!U247/10^7</f>
        <v>5.2186464000000008</v>
      </c>
      <c r="T23" s="145">
        <f>$D23*Fleet!V247/10^7</f>
        <v>5.2186464000000008</v>
      </c>
      <c r="U23" s="145">
        <f>$D23*Fleet!W247/10^7</f>
        <v>5.2186464000000008</v>
      </c>
      <c r="V23" s="145">
        <f>$D23*Fleet!X247/10^7</f>
        <v>5.2186464000000008</v>
      </c>
      <c r="W23" s="145">
        <f>$D23*Fleet!Y247/10^7</f>
        <v>5.2186464000000008</v>
      </c>
      <c r="X23" s="145">
        <f>$D23*Fleet!Z247/10^7</f>
        <v>5.2186464000000008</v>
      </c>
      <c r="Y23" s="145">
        <f>$D23*Fleet!AA247/10^7</f>
        <v>5.2186464000000008</v>
      </c>
      <c r="Z23" s="145">
        <f>$D23*Fleet!AB247/10^7</f>
        <v>2.6093232000000004</v>
      </c>
      <c r="AA23" s="145">
        <f>$D23*Fleet!AC247/10^7</f>
        <v>2.6093232000000004</v>
      </c>
      <c r="AB23" s="145">
        <f>$D23*Fleet!AD247/10^7</f>
        <v>0</v>
      </c>
      <c r="AC23" s="145">
        <f>$D23*Fleet!AE247/10^7</f>
        <v>0</v>
      </c>
      <c r="AD23" s="145">
        <f>$D23*Fleet!AF247/10^7</f>
        <v>0</v>
      </c>
      <c r="AE23" s="145">
        <f>$D23*Fleet!AG247/10^7</f>
        <v>0</v>
      </c>
      <c r="AF23" s="145">
        <f>$D23*Fleet!AH247/10^7</f>
        <v>0</v>
      </c>
      <c r="AG23" s="145">
        <f>$D23*Fleet!AI247/10^7</f>
        <v>0</v>
      </c>
      <c r="AH23" s="145">
        <f>$D23*Fleet!AJ247/10^7</f>
        <v>0</v>
      </c>
      <c r="AI23" s="145">
        <f>$D23*Fleet!AK247/10^7</f>
        <v>0</v>
      </c>
      <c r="AJ23" s="145">
        <f>$D23*Fleet!AL247/10^7</f>
        <v>0</v>
      </c>
      <c r="AK23" s="145">
        <f>$D23*Fleet!AM247/10^7</f>
        <v>0</v>
      </c>
      <c r="AL23" s="145">
        <f>$D23*Fleet!AN247/10^7</f>
        <v>0</v>
      </c>
      <c r="AM23" s="145">
        <f>$D23*Fleet!AO247/10^7</f>
        <v>0</v>
      </c>
      <c r="AN23" s="145">
        <f>$D23*Fleet!AP247/10^7</f>
        <v>0</v>
      </c>
      <c r="AO23" s="145">
        <f>$D23*Fleet!AQ247/10^7</f>
        <v>0</v>
      </c>
      <c r="AP23" s="179"/>
      <c r="AQ23" s="179"/>
      <c r="AR23" s="179"/>
      <c r="AS23" s="179"/>
      <c r="AT23" s="179"/>
      <c r="AU23" s="179"/>
      <c r="AV23" s="179"/>
      <c r="AW23" s="179"/>
      <c r="AX23" s="179"/>
      <c r="AY23" s="179"/>
      <c r="AZ23" s="179"/>
      <c r="BA23" s="179"/>
      <c r="BB23" s="179"/>
      <c r="BC23" s="179"/>
      <c r="BD23" s="179"/>
    </row>
    <row r="24" spans="1:56">
      <c r="A24" s="168" t="str">
        <f>Fleet!B342</f>
        <v/>
      </c>
      <c r="B24" s="165" t="str">
        <f>Fleet!C342</f>
        <v>Track Dozer/ 192 HP</v>
      </c>
      <c r="C24" s="171" t="s">
        <v>134</v>
      </c>
      <c r="D24" s="174">
        <f>VLOOKUP(B24,Equipment!$C$5:$S$53,Equipment!S$1,FALSE)*VLOOKUP(B24,Equipment!$C$5:$S$53,Equipment!L$1,FALSE)*Assumptions_Dashboard!$D$101</f>
        <v>7223040</v>
      </c>
      <c r="E24" s="145">
        <f>$D24*Fleet!G248/10^7</f>
        <v>0</v>
      </c>
      <c r="F24" s="145">
        <f>$D24*Fleet!H248/10^7</f>
        <v>0</v>
      </c>
      <c r="G24" s="145">
        <f>$D24*Fleet!I248/10^7</f>
        <v>0</v>
      </c>
      <c r="H24" s="145">
        <f>$D24*Fleet!J248/10^7</f>
        <v>0</v>
      </c>
      <c r="I24" s="145">
        <f>$D24*Fleet!K248/10^7</f>
        <v>0.72230399999999995</v>
      </c>
      <c r="J24" s="145">
        <f>$D24*Fleet!L248/10^7</f>
        <v>0.72230399999999995</v>
      </c>
      <c r="K24" s="145">
        <f>$D24*Fleet!M248/10^7</f>
        <v>1.4446079999999999</v>
      </c>
      <c r="L24" s="145">
        <f>$D24*Fleet!N248/10^7</f>
        <v>1.4446079999999999</v>
      </c>
      <c r="M24" s="145">
        <f>$D24*Fleet!O248/10^7</f>
        <v>1.4446079999999999</v>
      </c>
      <c r="N24" s="145">
        <f>$D24*Fleet!P248/10^7</f>
        <v>1.4446079999999999</v>
      </c>
      <c r="O24" s="145">
        <f>$D24*Fleet!Q248/10^7</f>
        <v>1.4446079999999999</v>
      </c>
      <c r="P24" s="145">
        <f>$D24*Fleet!R248/10^7</f>
        <v>1.4446079999999999</v>
      </c>
      <c r="Q24" s="145">
        <f>$D24*Fleet!S248/10^7</f>
        <v>1.4446079999999999</v>
      </c>
      <c r="R24" s="145">
        <f>$D24*Fleet!T248/10^7</f>
        <v>1.4446079999999999</v>
      </c>
      <c r="S24" s="145">
        <f>$D24*Fleet!U248/10^7</f>
        <v>1.4446079999999999</v>
      </c>
      <c r="T24" s="145">
        <f>$D24*Fleet!V248/10^7</f>
        <v>1.4446079999999999</v>
      </c>
      <c r="U24" s="145">
        <f>$D24*Fleet!W248/10^7</f>
        <v>1.4446079999999999</v>
      </c>
      <c r="V24" s="145">
        <f>$D24*Fleet!X248/10^7</f>
        <v>1.4446079999999999</v>
      </c>
      <c r="W24" s="145">
        <f>$D24*Fleet!Y248/10^7</f>
        <v>1.4446079999999999</v>
      </c>
      <c r="X24" s="145">
        <f>$D24*Fleet!Z248/10^7</f>
        <v>1.4446079999999999</v>
      </c>
      <c r="Y24" s="145">
        <f>$D24*Fleet!AA248/10^7</f>
        <v>1.4446079999999999</v>
      </c>
      <c r="Z24" s="145">
        <f>$D24*Fleet!AB248/10^7</f>
        <v>0.72230399999999995</v>
      </c>
      <c r="AA24" s="145">
        <f>$D24*Fleet!AC248/10^7</f>
        <v>0.72230399999999995</v>
      </c>
      <c r="AB24" s="145">
        <f>$D24*Fleet!AD248/10^7</f>
        <v>0</v>
      </c>
      <c r="AC24" s="145">
        <f>$D24*Fleet!AE248/10^7</f>
        <v>0</v>
      </c>
      <c r="AD24" s="145">
        <f>$D24*Fleet!AF248/10^7</f>
        <v>0</v>
      </c>
      <c r="AE24" s="145">
        <f>$D24*Fleet!AG248/10^7</f>
        <v>0</v>
      </c>
      <c r="AF24" s="145">
        <f>$D24*Fleet!AH248/10^7</f>
        <v>0</v>
      </c>
      <c r="AG24" s="145">
        <f>$D24*Fleet!AI248/10^7</f>
        <v>0</v>
      </c>
      <c r="AH24" s="145">
        <f>$D24*Fleet!AJ248/10^7</f>
        <v>0</v>
      </c>
      <c r="AI24" s="145">
        <f>$D24*Fleet!AK248/10^7</f>
        <v>0</v>
      </c>
      <c r="AJ24" s="145">
        <f>$D24*Fleet!AL248/10^7</f>
        <v>0</v>
      </c>
      <c r="AK24" s="145">
        <f>$D24*Fleet!AM248/10^7</f>
        <v>0</v>
      </c>
      <c r="AL24" s="145">
        <f>$D24*Fleet!AN248/10^7</f>
        <v>0</v>
      </c>
      <c r="AM24" s="145">
        <f>$D24*Fleet!AO248/10^7</f>
        <v>0</v>
      </c>
      <c r="AN24" s="145">
        <f>$D24*Fleet!AP248/10^7</f>
        <v>0</v>
      </c>
      <c r="AO24" s="145">
        <f>$D24*Fleet!AQ248/10^7</f>
        <v>0</v>
      </c>
      <c r="AP24" s="179"/>
      <c r="AQ24" s="179"/>
      <c r="AR24" s="179"/>
      <c r="AS24" s="179"/>
      <c r="AT24" s="179"/>
      <c r="AU24" s="179"/>
      <c r="AV24" s="179"/>
      <c r="AW24" s="179"/>
      <c r="AX24" s="179"/>
      <c r="AY24" s="179"/>
      <c r="AZ24" s="179"/>
      <c r="BA24" s="179"/>
      <c r="BB24" s="179"/>
      <c r="BC24" s="179"/>
      <c r="BD24" s="179"/>
    </row>
    <row r="25" spans="1:56">
      <c r="A25" s="168" t="str">
        <f>Fleet!B343</f>
        <v/>
      </c>
      <c r="B25" s="165" t="str">
        <f>Fleet!C343</f>
        <v>Motor Grader/ 290 - 348 HP</v>
      </c>
      <c r="C25" s="171" t="s">
        <v>134</v>
      </c>
      <c r="D25" s="174">
        <f>VLOOKUP(B25,Equipment!$C$5:$S$53,Equipment!S$1,FALSE)*VLOOKUP(B25,Equipment!$C$5:$S$53,Equipment!L$1,FALSE)*Assumptions_Dashboard!$D$101</f>
        <v>0</v>
      </c>
      <c r="E25" s="145">
        <f>$D25*Fleet!G249/10^7</f>
        <v>0</v>
      </c>
      <c r="F25" s="145">
        <f>$D25*Fleet!H249/10^7</f>
        <v>0</v>
      </c>
      <c r="G25" s="145">
        <f>$D25*Fleet!I249/10^7</f>
        <v>0</v>
      </c>
      <c r="H25" s="145">
        <f>$D25*Fleet!J249/10^7</f>
        <v>0</v>
      </c>
      <c r="I25" s="145">
        <f>$D25*Fleet!K249/10^7</f>
        <v>0</v>
      </c>
      <c r="J25" s="145">
        <f>$D25*Fleet!L249/10^7</f>
        <v>0</v>
      </c>
      <c r="K25" s="145">
        <f>$D25*Fleet!M249/10^7</f>
        <v>0</v>
      </c>
      <c r="L25" s="145">
        <f>$D25*Fleet!N249/10^7</f>
        <v>0</v>
      </c>
      <c r="M25" s="145">
        <f>$D25*Fleet!O249/10^7</f>
        <v>0</v>
      </c>
      <c r="N25" s="145">
        <f>$D25*Fleet!P249/10^7</f>
        <v>0</v>
      </c>
      <c r="O25" s="145">
        <f>$D25*Fleet!Q249/10^7</f>
        <v>0</v>
      </c>
      <c r="P25" s="145">
        <f>$D25*Fleet!R249/10^7</f>
        <v>0</v>
      </c>
      <c r="Q25" s="145">
        <f>$D25*Fleet!S249/10^7</f>
        <v>0</v>
      </c>
      <c r="R25" s="145">
        <f>$D25*Fleet!T249/10^7</f>
        <v>0</v>
      </c>
      <c r="S25" s="145">
        <f>$D25*Fleet!U249/10^7</f>
        <v>0</v>
      </c>
      <c r="T25" s="145">
        <f>$D25*Fleet!V249/10^7</f>
        <v>0</v>
      </c>
      <c r="U25" s="145">
        <f>$D25*Fleet!W249/10^7</f>
        <v>0</v>
      </c>
      <c r="V25" s="145">
        <f>$D25*Fleet!X249/10^7</f>
        <v>0</v>
      </c>
      <c r="W25" s="145">
        <f>$D25*Fleet!Y249/10^7</f>
        <v>0</v>
      </c>
      <c r="X25" s="145">
        <f>$D25*Fleet!Z249/10^7</f>
        <v>0</v>
      </c>
      <c r="Y25" s="145">
        <f>$D25*Fleet!AA249/10^7</f>
        <v>0</v>
      </c>
      <c r="Z25" s="145">
        <f>$D25*Fleet!AB249/10^7</f>
        <v>0</v>
      </c>
      <c r="AA25" s="145">
        <f>$D25*Fleet!AC249/10^7</f>
        <v>0</v>
      </c>
      <c r="AB25" s="145">
        <f>$D25*Fleet!AD249/10^7</f>
        <v>0</v>
      </c>
      <c r="AC25" s="145">
        <f>$D25*Fleet!AE249/10^7</f>
        <v>0</v>
      </c>
      <c r="AD25" s="145">
        <f>$D25*Fleet!AF249/10^7</f>
        <v>0</v>
      </c>
      <c r="AE25" s="145">
        <f>$D25*Fleet!AG249/10^7</f>
        <v>0</v>
      </c>
      <c r="AF25" s="145">
        <f>$D25*Fleet!AH249/10^7</f>
        <v>0</v>
      </c>
      <c r="AG25" s="145">
        <f>$D25*Fleet!AI249/10^7</f>
        <v>0</v>
      </c>
      <c r="AH25" s="145">
        <f>$D25*Fleet!AJ249/10^7</f>
        <v>0</v>
      </c>
      <c r="AI25" s="145">
        <f>$D25*Fleet!AK249/10^7</f>
        <v>0</v>
      </c>
      <c r="AJ25" s="145">
        <f>$D25*Fleet!AL249/10^7</f>
        <v>0</v>
      </c>
      <c r="AK25" s="145">
        <f>$D25*Fleet!AM249/10^7</f>
        <v>0</v>
      </c>
      <c r="AL25" s="145">
        <f>$D25*Fleet!AN249/10^7</f>
        <v>0</v>
      </c>
      <c r="AM25" s="145">
        <f>$D25*Fleet!AO249/10^7</f>
        <v>0</v>
      </c>
      <c r="AN25" s="145">
        <f>$D25*Fleet!AP249/10^7</f>
        <v>0</v>
      </c>
      <c r="AO25" s="145">
        <f>$D25*Fleet!AQ249/10^7</f>
        <v>0</v>
      </c>
      <c r="AP25" s="179"/>
      <c r="AQ25" s="179"/>
      <c r="AR25" s="179"/>
      <c r="AS25" s="179"/>
      <c r="AT25" s="179"/>
      <c r="AU25" s="179"/>
      <c r="AV25" s="179"/>
      <c r="AW25" s="179"/>
      <c r="AX25" s="179"/>
      <c r="AY25" s="179"/>
      <c r="AZ25" s="179"/>
      <c r="BA25" s="179"/>
      <c r="BB25" s="179"/>
      <c r="BC25" s="179"/>
      <c r="BD25" s="179"/>
    </row>
    <row r="26" spans="1:56">
      <c r="A26" s="168" t="str">
        <f>Fleet!B344</f>
        <v/>
      </c>
      <c r="B26" s="165" t="str">
        <f>Fleet!C344</f>
        <v>Motor Grader/ 145 HP</v>
      </c>
      <c r="C26" s="171" t="s">
        <v>134</v>
      </c>
      <c r="D26" s="174">
        <f>VLOOKUP(B26,Equipment!$C$5:$S$53,Equipment!S$1,FALSE)*VLOOKUP(B26,Equipment!$C$5:$S$53,Equipment!L$1,FALSE)*Assumptions_Dashboard!$D$101</f>
        <v>3611520</v>
      </c>
      <c r="E26" s="145">
        <f>$D26*Fleet!G250/10^7</f>
        <v>0</v>
      </c>
      <c r="F26" s="145">
        <f>$D26*Fleet!H250/10^7</f>
        <v>0</v>
      </c>
      <c r="G26" s="145">
        <f>$D26*Fleet!I250/10^7</f>
        <v>0</v>
      </c>
      <c r="H26" s="145">
        <f>$D26*Fleet!J250/10^7</f>
        <v>0</v>
      </c>
      <c r="I26" s="145">
        <f>$D26*Fleet!K250/10^7</f>
        <v>0.36115199999999997</v>
      </c>
      <c r="J26" s="145">
        <f>$D26*Fleet!L250/10^7</f>
        <v>0.36115199999999997</v>
      </c>
      <c r="K26" s="145">
        <f>$D26*Fleet!M250/10^7</f>
        <v>0.72230399999999995</v>
      </c>
      <c r="L26" s="145">
        <f>$D26*Fleet!N250/10^7</f>
        <v>0.72230399999999995</v>
      </c>
      <c r="M26" s="145">
        <f>$D26*Fleet!O250/10^7</f>
        <v>0.72230399999999995</v>
      </c>
      <c r="N26" s="145">
        <f>$D26*Fleet!P250/10^7</f>
        <v>0.72230399999999995</v>
      </c>
      <c r="O26" s="145">
        <f>$D26*Fleet!Q250/10^7</f>
        <v>0.72230399999999995</v>
      </c>
      <c r="P26" s="145">
        <f>$D26*Fleet!R250/10^7</f>
        <v>0.72230399999999995</v>
      </c>
      <c r="Q26" s="145">
        <f>$D26*Fleet!S250/10^7</f>
        <v>0.72230399999999995</v>
      </c>
      <c r="R26" s="145">
        <f>$D26*Fleet!T250/10^7</f>
        <v>0.72230399999999995</v>
      </c>
      <c r="S26" s="145">
        <f>$D26*Fleet!U250/10^7</f>
        <v>0.72230399999999995</v>
      </c>
      <c r="T26" s="145">
        <f>$D26*Fleet!V250/10^7</f>
        <v>0.72230399999999995</v>
      </c>
      <c r="U26" s="145">
        <f>$D26*Fleet!W250/10^7</f>
        <v>0.72230399999999995</v>
      </c>
      <c r="V26" s="145">
        <f>$D26*Fleet!X250/10^7</f>
        <v>0.72230399999999995</v>
      </c>
      <c r="W26" s="145">
        <f>$D26*Fleet!Y250/10^7</f>
        <v>0.72230399999999995</v>
      </c>
      <c r="X26" s="145">
        <f>$D26*Fleet!Z250/10^7</f>
        <v>0.72230399999999995</v>
      </c>
      <c r="Y26" s="145">
        <f>$D26*Fleet!AA250/10^7</f>
        <v>0.72230399999999995</v>
      </c>
      <c r="Z26" s="145">
        <f>$D26*Fleet!AB250/10^7</f>
        <v>0.36115199999999997</v>
      </c>
      <c r="AA26" s="145">
        <f>$D26*Fleet!AC250/10^7</f>
        <v>0.36115199999999997</v>
      </c>
      <c r="AB26" s="145">
        <f>$D26*Fleet!AD250/10^7</f>
        <v>0</v>
      </c>
      <c r="AC26" s="145">
        <f>$D26*Fleet!AE250/10^7</f>
        <v>0</v>
      </c>
      <c r="AD26" s="145">
        <f>$D26*Fleet!AF250/10^7</f>
        <v>0</v>
      </c>
      <c r="AE26" s="145">
        <f>$D26*Fleet!AG250/10^7</f>
        <v>0</v>
      </c>
      <c r="AF26" s="145">
        <f>$D26*Fleet!AH250/10^7</f>
        <v>0</v>
      </c>
      <c r="AG26" s="145">
        <f>$D26*Fleet!AI250/10^7</f>
        <v>0</v>
      </c>
      <c r="AH26" s="145">
        <f>$D26*Fleet!AJ250/10^7</f>
        <v>0</v>
      </c>
      <c r="AI26" s="145">
        <f>$D26*Fleet!AK250/10^7</f>
        <v>0</v>
      </c>
      <c r="AJ26" s="145">
        <f>$D26*Fleet!AL250/10^7</f>
        <v>0</v>
      </c>
      <c r="AK26" s="145">
        <f>$D26*Fleet!AM250/10^7</f>
        <v>0</v>
      </c>
      <c r="AL26" s="145">
        <f>$D26*Fleet!AN250/10^7</f>
        <v>0</v>
      </c>
      <c r="AM26" s="145">
        <f>$D26*Fleet!AO250/10^7</f>
        <v>0</v>
      </c>
      <c r="AN26" s="145">
        <f>$D26*Fleet!AP250/10^7</f>
        <v>0</v>
      </c>
      <c r="AO26" s="145">
        <f>$D26*Fleet!AQ250/10^7</f>
        <v>0</v>
      </c>
      <c r="AP26" s="179"/>
      <c r="AQ26" s="179"/>
      <c r="AR26" s="179"/>
      <c r="AS26" s="179"/>
      <c r="AT26" s="179"/>
      <c r="AU26" s="179"/>
      <c r="AV26" s="179"/>
      <c r="AW26" s="179"/>
      <c r="AX26" s="179"/>
      <c r="AY26" s="179"/>
      <c r="AZ26" s="179"/>
      <c r="BA26" s="179"/>
      <c r="BB26" s="179"/>
      <c r="BC26" s="179"/>
      <c r="BD26" s="179"/>
    </row>
    <row r="27" spans="1:56">
      <c r="A27" s="168" t="str">
        <f>Fleet!B345</f>
        <v/>
      </c>
      <c r="B27" s="165" t="str">
        <f>Fleet!C345</f>
        <v>Crane/ 120t</v>
      </c>
      <c r="C27" s="171" t="s">
        <v>134</v>
      </c>
      <c r="D27" s="174">
        <f>VLOOKUP(B27,Equipment!$C$5:$S$53,Equipment!S$1,FALSE)*VLOOKUP(B27,Equipment!$C$5:$S$53,Equipment!L$1,FALSE)*Assumptions_Dashboard!$D$101</f>
        <v>0</v>
      </c>
      <c r="E27" s="145">
        <f>$D27*Fleet!G251/10^7</f>
        <v>0</v>
      </c>
      <c r="F27" s="145">
        <f>$D27*Fleet!H251/10^7</f>
        <v>0</v>
      </c>
      <c r="G27" s="145">
        <f>$D27*Fleet!I251/10^7</f>
        <v>0</v>
      </c>
      <c r="H27" s="145">
        <f>$D27*Fleet!J251/10^7</f>
        <v>0</v>
      </c>
      <c r="I27" s="145">
        <f>$D27*Fleet!K251/10^7</f>
        <v>0</v>
      </c>
      <c r="J27" s="145">
        <f>$D27*Fleet!L251/10^7</f>
        <v>0</v>
      </c>
      <c r="K27" s="145">
        <f>$D27*Fleet!M251/10^7</f>
        <v>0</v>
      </c>
      <c r="L27" s="145">
        <f>$D27*Fleet!N251/10^7</f>
        <v>0</v>
      </c>
      <c r="M27" s="145">
        <f>$D27*Fleet!O251/10^7</f>
        <v>0</v>
      </c>
      <c r="N27" s="145">
        <f>$D27*Fleet!P251/10^7</f>
        <v>0</v>
      </c>
      <c r="O27" s="145">
        <f>$D27*Fleet!Q251/10^7</f>
        <v>0</v>
      </c>
      <c r="P27" s="145">
        <f>$D27*Fleet!R251/10^7</f>
        <v>0</v>
      </c>
      <c r="Q27" s="145">
        <f>$D27*Fleet!S251/10^7</f>
        <v>0</v>
      </c>
      <c r="R27" s="145">
        <f>$D27*Fleet!T251/10^7</f>
        <v>0</v>
      </c>
      <c r="S27" s="145">
        <f>$D27*Fleet!U251/10^7</f>
        <v>0</v>
      </c>
      <c r="T27" s="145">
        <f>$D27*Fleet!V251/10^7</f>
        <v>0</v>
      </c>
      <c r="U27" s="145">
        <f>$D27*Fleet!W251/10^7</f>
        <v>0</v>
      </c>
      <c r="V27" s="145">
        <f>$D27*Fleet!X251/10^7</f>
        <v>0</v>
      </c>
      <c r="W27" s="145">
        <f>$D27*Fleet!Y251/10^7</f>
        <v>0</v>
      </c>
      <c r="X27" s="145">
        <f>$D27*Fleet!Z251/10^7</f>
        <v>0</v>
      </c>
      <c r="Y27" s="145">
        <f>$D27*Fleet!AA251/10^7</f>
        <v>0</v>
      </c>
      <c r="Z27" s="145">
        <f>$D27*Fleet!AB251/10^7</f>
        <v>0</v>
      </c>
      <c r="AA27" s="145">
        <f>$D27*Fleet!AC251/10^7</f>
        <v>0</v>
      </c>
      <c r="AB27" s="145">
        <f>$D27*Fleet!AD251/10^7</f>
        <v>0</v>
      </c>
      <c r="AC27" s="145">
        <f>$D27*Fleet!AE251/10^7</f>
        <v>0</v>
      </c>
      <c r="AD27" s="145">
        <f>$D27*Fleet!AF251/10^7</f>
        <v>0</v>
      </c>
      <c r="AE27" s="145">
        <f>$D27*Fleet!AG251/10^7</f>
        <v>0</v>
      </c>
      <c r="AF27" s="145">
        <f>$D27*Fleet!AH251/10^7</f>
        <v>0</v>
      </c>
      <c r="AG27" s="145">
        <f>$D27*Fleet!AI251/10^7</f>
        <v>0</v>
      </c>
      <c r="AH27" s="145">
        <f>$D27*Fleet!AJ251/10^7</f>
        <v>0</v>
      </c>
      <c r="AI27" s="145">
        <f>$D27*Fleet!AK251/10^7</f>
        <v>0</v>
      </c>
      <c r="AJ27" s="145">
        <f>$D27*Fleet!AL251/10^7</f>
        <v>0</v>
      </c>
      <c r="AK27" s="145">
        <f>$D27*Fleet!AM251/10^7</f>
        <v>0</v>
      </c>
      <c r="AL27" s="145">
        <f>$D27*Fleet!AN251/10^7</f>
        <v>0</v>
      </c>
      <c r="AM27" s="145">
        <f>$D27*Fleet!AO251/10^7</f>
        <v>0</v>
      </c>
      <c r="AN27" s="145">
        <f>$D27*Fleet!AP251/10^7</f>
        <v>0</v>
      </c>
      <c r="AO27" s="145">
        <f>$D27*Fleet!AQ251/10^7</f>
        <v>0</v>
      </c>
      <c r="AP27" s="179"/>
      <c r="AQ27" s="179"/>
      <c r="AR27" s="179"/>
      <c r="AS27" s="179"/>
      <c r="AT27" s="179"/>
      <c r="AU27" s="179"/>
      <c r="AV27" s="179"/>
      <c r="AW27" s="179"/>
      <c r="AX27" s="179"/>
      <c r="AY27" s="179"/>
      <c r="AZ27" s="179"/>
      <c r="BA27" s="179"/>
      <c r="BB27" s="179"/>
      <c r="BC27" s="179"/>
      <c r="BD27" s="179"/>
    </row>
    <row r="28" spans="1:56">
      <c r="A28" s="168" t="str">
        <f>Fleet!B346</f>
        <v/>
      </c>
      <c r="B28" s="165" t="str">
        <f>Fleet!C346</f>
        <v>Crane/ 60t</v>
      </c>
      <c r="C28" s="171" t="s">
        <v>134</v>
      </c>
      <c r="D28" s="174">
        <f>VLOOKUP(B28,Equipment!$C$5:$S$53,Equipment!S$1,FALSE)*VLOOKUP(B28,Equipment!$C$5:$S$53,Equipment!L$1,FALSE)*Assumptions_Dashboard!$D$101</f>
        <v>0</v>
      </c>
      <c r="E28" s="145">
        <f>$D28*Fleet!G252/10^7</f>
        <v>0</v>
      </c>
      <c r="F28" s="145">
        <f>$D28*Fleet!H252/10^7</f>
        <v>0</v>
      </c>
      <c r="G28" s="145">
        <f>$D28*Fleet!I252/10^7</f>
        <v>0</v>
      </c>
      <c r="H28" s="145">
        <f>$D28*Fleet!J252/10^7</f>
        <v>0</v>
      </c>
      <c r="I28" s="145">
        <f>$D28*Fleet!K252/10^7</f>
        <v>0</v>
      </c>
      <c r="J28" s="145">
        <f>$D28*Fleet!L252/10^7</f>
        <v>0</v>
      </c>
      <c r="K28" s="145">
        <f>$D28*Fleet!M252/10^7</f>
        <v>0</v>
      </c>
      <c r="L28" s="145">
        <f>$D28*Fleet!N252/10^7</f>
        <v>0</v>
      </c>
      <c r="M28" s="145">
        <f>$D28*Fleet!O252/10^7</f>
        <v>0</v>
      </c>
      <c r="N28" s="145">
        <f>$D28*Fleet!P252/10^7</f>
        <v>0</v>
      </c>
      <c r="O28" s="145">
        <f>$D28*Fleet!Q252/10^7</f>
        <v>0</v>
      </c>
      <c r="P28" s="145">
        <f>$D28*Fleet!R252/10^7</f>
        <v>0</v>
      </c>
      <c r="Q28" s="145">
        <f>$D28*Fleet!S252/10^7</f>
        <v>0</v>
      </c>
      <c r="R28" s="145">
        <f>$D28*Fleet!T252/10^7</f>
        <v>0</v>
      </c>
      <c r="S28" s="145">
        <f>$D28*Fleet!U252/10^7</f>
        <v>0</v>
      </c>
      <c r="T28" s="145">
        <f>$D28*Fleet!V252/10^7</f>
        <v>0</v>
      </c>
      <c r="U28" s="145">
        <f>$D28*Fleet!W252/10^7</f>
        <v>0</v>
      </c>
      <c r="V28" s="145">
        <f>$D28*Fleet!X252/10^7</f>
        <v>0</v>
      </c>
      <c r="W28" s="145">
        <f>$D28*Fleet!Y252/10^7</f>
        <v>0</v>
      </c>
      <c r="X28" s="145">
        <f>$D28*Fleet!Z252/10^7</f>
        <v>0</v>
      </c>
      <c r="Y28" s="145">
        <f>$D28*Fleet!AA252/10^7</f>
        <v>0</v>
      </c>
      <c r="Z28" s="145">
        <f>$D28*Fleet!AB252/10^7</f>
        <v>0</v>
      </c>
      <c r="AA28" s="145">
        <f>$D28*Fleet!AC252/10^7</f>
        <v>0</v>
      </c>
      <c r="AB28" s="145">
        <f>$D28*Fleet!AD252/10^7</f>
        <v>0</v>
      </c>
      <c r="AC28" s="145">
        <f>$D28*Fleet!AE252/10^7</f>
        <v>0</v>
      </c>
      <c r="AD28" s="145">
        <f>$D28*Fleet!AF252/10^7</f>
        <v>0</v>
      </c>
      <c r="AE28" s="145">
        <f>$D28*Fleet!AG252/10^7</f>
        <v>0</v>
      </c>
      <c r="AF28" s="145">
        <f>$D28*Fleet!AH252/10^7</f>
        <v>0</v>
      </c>
      <c r="AG28" s="145">
        <f>$D28*Fleet!AI252/10^7</f>
        <v>0</v>
      </c>
      <c r="AH28" s="145">
        <f>$D28*Fleet!AJ252/10^7</f>
        <v>0</v>
      </c>
      <c r="AI28" s="145">
        <f>$D28*Fleet!AK252/10^7</f>
        <v>0</v>
      </c>
      <c r="AJ28" s="145">
        <f>$D28*Fleet!AL252/10^7</f>
        <v>0</v>
      </c>
      <c r="AK28" s="145">
        <f>$D28*Fleet!AM252/10^7</f>
        <v>0</v>
      </c>
      <c r="AL28" s="145">
        <f>$D28*Fleet!AN252/10^7</f>
        <v>0</v>
      </c>
      <c r="AM28" s="145">
        <f>$D28*Fleet!AO252/10^7</f>
        <v>0</v>
      </c>
      <c r="AN28" s="145">
        <f>$D28*Fleet!AP252/10^7</f>
        <v>0</v>
      </c>
      <c r="AO28" s="145">
        <f>$D28*Fleet!AQ252/10^7</f>
        <v>0</v>
      </c>
      <c r="AP28" s="179"/>
      <c r="AQ28" s="179"/>
      <c r="AR28" s="179"/>
      <c r="AS28" s="179"/>
      <c r="AT28" s="179"/>
      <c r="AU28" s="179"/>
      <c r="AV28" s="179"/>
      <c r="AW28" s="179"/>
      <c r="AX28" s="179"/>
      <c r="AY28" s="179"/>
      <c r="AZ28" s="179"/>
      <c r="BA28" s="179"/>
      <c r="BB28" s="179"/>
      <c r="BC28" s="179"/>
      <c r="BD28" s="179"/>
    </row>
    <row r="29" spans="1:56">
      <c r="A29" s="168" t="str">
        <f>Fleet!B347</f>
        <v/>
      </c>
      <c r="B29" s="165" t="str">
        <f>Fleet!C347</f>
        <v>Crane/ 12t</v>
      </c>
      <c r="C29" s="171" t="s">
        <v>134</v>
      </c>
      <c r="D29" s="174">
        <f>VLOOKUP(B29,Equipment!$C$5:$S$53,Equipment!S$1,FALSE)*VLOOKUP(B29,Equipment!$C$5:$S$53,Equipment!L$1,FALSE)*Assumptions_Dashboard!$D$101</f>
        <v>0</v>
      </c>
      <c r="E29" s="145">
        <f>$D29*Fleet!G253/10^7</f>
        <v>0</v>
      </c>
      <c r="F29" s="145">
        <f>$D29*Fleet!H253/10^7</f>
        <v>0</v>
      </c>
      <c r="G29" s="145">
        <f>$D29*Fleet!I253/10^7</f>
        <v>0</v>
      </c>
      <c r="H29" s="145">
        <f>$D29*Fleet!J253/10^7</f>
        <v>0</v>
      </c>
      <c r="I29" s="145">
        <f>$D29*Fleet!K253/10^7</f>
        <v>0</v>
      </c>
      <c r="J29" s="145">
        <f>$D29*Fleet!L253/10^7</f>
        <v>0</v>
      </c>
      <c r="K29" s="145">
        <f>$D29*Fleet!M253/10^7</f>
        <v>0</v>
      </c>
      <c r="L29" s="145">
        <f>$D29*Fleet!N253/10^7</f>
        <v>0</v>
      </c>
      <c r="M29" s="145">
        <f>$D29*Fleet!O253/10^7</f>
        <v>0</v>
      </c>
      <c r="N29" s="145">
        <f>$D29*Fleet!P253/10^7</f>
        <v>0</v>
      </c>
      <c r="O29" s="145">
        <f>$D29*Fleet!Q253/10^7</f>
        <v>0</v>
      </c>
      <c r="P29" s="145">
        <f>$D29*Fleet!R253/10^7</f>
        <v>0</v>
      </c>
      <c r="Q29" s="145">
        <f>$D29*Fleet!S253/10^7</f>
        <v>0</v>
      </c>
      <c r="R29" s="145">
        <f>$D29*Fleet!T253/10^7</f>
        <v>0</v>
      </c>
      <c r="S29" s="145">
        <f>$D29*Fleet!U253/10^7</f>
        <v>0</v>
      </c>
      <c r="T29" s="145">
        <f>$D29*Fleet!V253/10^7</f>
        <v>0</v>
      </c>
      <c r="U29" s="145">
        <f>$D29*Fleet!W253/10^7</f>
        <v>0</v>
      </c>
      <c r="V29" s="145">
        <f>$D29*Fleet!X253/10^7</f>
        <v>0</v>
      </c>
      <c r="W29" s="145">
        <f>$D29*Fleet!Y253/10^7</f>
        <v>0</v>
      </c>
      <c r="X29" s="145">
        <f>$D29*Fleet!Z253/10^7</f>
        <v>0</v>
      </c>
      <c r="Y29" s="145">
        <f>$D29*Fleet!AA253/10^7</f>
        <v>0</v>
      </c>
      <c r="Z29" s="145">
        <f>$D29*Fleet!AB253/10^7</f>
        <v>0</v>
      </c>
      <c r="AA29" s="145">
        <f>$D29*Fleet!AC253/10^7</f>
        <v>0</v>
      </c>
      <c r="AB29" s="145">
        <f>$D29*Fleet!AD253/10^7</f>
        <v>0</v>
      </c>
      <c r="AC29" s="145">
        <f>$D29*Fleet!AE253/10^7</f>
        <v>0</v>
      </c>
      <c r="AD29" s="145">
        <f>$D29*Fleet!AF253/10^7</f>
        <v>0</v>
      </c>
      <c r="AE29" s="145">
        <f>$D29*Fleet!AG253/10^7</f>
        <v>0</v>
      </c>
      <c r="AF29" s="145">
        <f>$D29*Fleet!AH253/10^7</f>
        <v>0</v>
      </c>
      <c r="AG29" s="145">
        <f>$D29*Fleet!AI253/10^7</f>
        <v>0</v>
      </c>
      <c r="AH29" s="145">
        <f>$D29*Fleet!AJ253/10^7</f>
        <v>0</v>
      </c>
      <c r="AI29" s="145">
        <f>$D29*Fleet!AK253/10^7</f>
        <v>0</v>
      </c>
      <c r="AJ29" s="145">
        <f>$D29*Fleet!AL253/10^7</f>
        <v>0</v>
      </c>
      <c r="AK29" s="145">
        <f>$D29*Fleet!AM253/10^7</f>
        <v>0</v>
      </c>
      <c r="AL29" s="145">
        <f>$D29*Fleet!AN253/10^7</f>
        <v>0</v>
      </c>
      <c r="AM29" s="145">
        <f>$D29*Fleet!AO253/10^7</f>
        <v>0</v>
      </c>
      <c r="AN29" s="145">
        <f>$D29*Fleet!AP253/10^7</f>
        <v>0</v>
      </c>
      <c r="AO29" s="145">
        <f>$D29*Fleet!AQ253/10^7</f>
        <v>0</v>
      </c>
      <c r="AP29" s="179"/>
      <c r="AQ29" s="179"/>
      <c r="AR29" s="179"/>
      <c r="AS29" s="179"/>
      <c r="AT29" s="179"/>
      <c r="AU29" s="179"/>
      <c r="AV29" s="179"/>
      <c r="AW29" s="179"/>
      <c r="AX29" s="179"/>
      <c r="AY29" s="179"/>
      <c r="AZ29" s="179"/>
      <c r="BA29" s="179"/>
      <c r="BB29" s="179"/>
      <c r="BC29" s="179"/>
      <c r="BD29" s="179"/>
    </row>
    <row r="30" spans="1:56">
      <c r="A30" s="168" t="str">
        <f>Fleet!B348</f>
        <v/>
      </c>
      <c r="B30" s="165" t="str">
        <f>Fleet!C348</f>
        <v>Crane/ 8t</v>
      </c>
      <c r="C30" s="171" t="s">
        <v>134</v>
      </c>
      <c r="D30" s="174">
        <f>VLOOKUP(B30,Equipment!$C$5:$S$53,Equipment!S$1,FALSE)*VLOOKUP(B30,Equipment!$C$5:$S$53,Equipment!L$1,FALSE)*Assumptions_Dashboard!$D$101</f>
        <v>752400</v>
      </c>
      <c r="E30" s="145">
        <f>$D30*Fleet!G254/10^7</f>
        <v>0</v>
      </c>
      <c r="F30" s="145">
        <f>$D30*Fleet!H254/10^7</f>
        <v>0</v>
      </c>
      <c r="G30" s="145">
        <f>$D30*Fleet!I254/10^7</f>
        <v>0</v>
      </c>
      <c r="H30" s="145">
        <f>$D30*Fleet!J254/10^7</f>
        <v>0</v>
      </c>
      <c r="I30" s="145">
        <f>$D30*Fleet!K254/10^7</f>
        <v>7.5240000000000001E-2</v>
      </c>
      <c r="J30" s="145">
        <f>$D30*Fleet!L254/10^7</f>
        <v>7.5240000000000001E-2</v>
      </c>
      <c r="K30" s="145">
        <f>$D30*Fleet!M254/10^7</f>
        <v>0.15048</v>
      </c>
      <c r="L30" s="145">
        <f>$D30*Fleet!N254/10^7</f>
        <v>0.15048</v>
      </c>
      <c r="M30" s="145">
        <f>$D30*Fleet!O254/10^7</f>
        <v>0.15048</v>
      </c>
      <c r="N30" s="145">
        <f>$D30*Fleet!P254/10^7</f>
        <v>0.15048</v>
      </c>
      <c r="O30" s="145">
        <f>$D30*Fleet!Q254/10^7</f>
        <v>0.15048</v>
      </c>
      <c r="P30" s="145">
        <f>$D30*Fleet!R254/10^7</f>
        <v>0.15048</v>
      </c>
      <c r="Q30" s="145">
        <f>$D30*Fleet!S254/10^7</f>
        <v>0.15048</v>
      </c>
      <c r="R30" s="145">
        <f>$D30*Fleet!T254/10^7</f>
        <v>0.15048</v>
      </c>
      <c r="S30" s="145">
        <f>$D30*Fleet!U254/10^7</f>
        <v>0.15048</v>
      </c>
      <c r="T30" s="145">
        <f>$D30*Fleet!V254/10^7</f>
        <v>0.15048</v>
      </c>
      <c r="U30" s="145">
        <f>$D30*Fleet!W254/10^7</f>
        <v>0.15048</v>
      </c>
      <c r="V30" s="145">
        <f>$D30*Fleet!X254/10^7</f>
        <v>0.15048</v>
      </c>
      <c r="W30" s="145">
        <f>$D30*Fleet!Y254/10^7</f>
        <v>0.15048</v>
      </c>
      <c r="X30" s="145">
        <f>$D30*Fleet!Z254/10^7</f>
        <v>0.15048</v>
      </c>
      <c r="Y30" s="145">
        <f>$D30*Fleet!AA254/10^7</f>
        <v>0.15048</v>
      </c>
      <c r="Z30" s="145">
        <f>$D30*Fleet!AB254/10^7</f>
        <v>7.5240000000000001E-2</v>
      </c>
      <c r="AA30" s="145">
        <f>$D30*Fleet!AC254/10^7</f>
        <v>7.5240000000000001E-2</v>
      </c>
      <c r="AB30" s="145">
        <f>$D30*Fleet!AD254/10^7</f>
        <v>0</v>
      </c>
      <c r="AC30" s="145">
        <f>$D30*Fleet!AE254/10^7</f>
        <v>0</v>
      </c>
      <c r="AD30" s="145">
        <f>$D30*Fleet!AF254/10^7</f>
        <v>0</v>
      </c>
      <c r="AE30" s="145">
        <f>$D30*Fleet!AG254/10^7</f>
        <v>0</v>
      </c>
      <c r="AF30" s="145">
        <f>$D30*Fleet!AH254/10^7</f>
        <v>0</v>
      </c>
      <c r="AG30" s="145">
        <f>$D30*Fleet!AI254/10^7</f>
        <v>0</v>
      </c>
      <c r="AH30" s="145">
        <f>$D30*Fleet!AJ254/10^7</f>
        <v>0</v>
      </c>
      <c r="AI30" s="145">
        <f>$D30*Fleet!AK254/10^7</f>
        <v>0</v>
      </c>
      <c r="AJ30" s="145">
        <f>$D30*Fleet!AL254/10^7</f>
        <v>0</v>
      </c>
      <c r="AK30" s="145">
        <f>$D30*Fleet!AM254/10^7</f>
        <v>0</v>
      </c>
      <c r="AL30" s="145">
        <f>$D30*Fleet!AN254/10^7</f>
        <v>0</v>
      </c>
      <c r="AM30" s="145">
        <f>$D30*Fleet!AO254/10^7</f>
        <v>0</v>
      </c>
      <c r="AN30" s="145">
        <f>$D30*Fleet!AP254/10^7</f>
        <v>0</v>
      </c>
      <c r="AO30" s="145">
        <f>$D30*Fleet!AQ254/10^7</f>
        <v>0</v>
      </c>
      <c r="AP30" s="179"/>
      <c r="AQ30" s="179"/>
      <c r="AR30" s="179"/>
      <c r="AS30" s="179"/>
      <c r="AT30" s="179"/>
      <c r="AU30" s="179"/>
      <c r="AV30" s="179"/>
      <c r="AW30" s="179"/>
      <c r="AX30" s="179"/>
      <c r="AY30" s="179"/>
      <c r="AZ30" s="179"/>
      <c r="BA30" s="179"/>
      <c r="BB30" s="179"/>
      <c r="BC30" s="179"/>
      <c r="BD30" s="179"/>
    </row>
    <row r="31" spans="1:56">
      <c r="A31" s="168" t="str">
        <f>Fleet!B349</f>
        <v/>
      </c>
      <c r="B31" s="165" t="str">
        <f>Fleet!C349</f>
        <v>Water Sprinkler/ 28KL</v>
      </c>
      <c r="C31" s="171" t="s">
        <v>134</v>
      </c>
      <c r="D31" s="174">
        <f>VLOOKUP(B31,Equipment!$C$5:$S$53,Equipment!S$1,FALSE)*VLOOKUP(B31,Equipment!$C$5:$S$53,Equipment!L$1,FALSE)*Assumptions_Dashboard!$D$101</f>
        <v>6621120</v>
      </c>
      <c r="E31" s="145">
        <f>$D31*Fleet!G255/10^7</f>
        <v>0</v>
      </c>
      <c r="F31" s="145">
        <f>$D31*Fleet!H255/10^7</f>
        <v>0</v>
      </c>
      <c r="G31" s="145">
        <f>$D31*Fleet!I255/10^7</f>
        <v>0</v>
      </c>
      <c r="H31" s="145">
        <f>$D31*Fleet!J255/10^7</f>
        <v>0</v>
      </c>
      <c r="I31" s="145">
        <f>$D31*Fleet!K255/10^7</f>
        <v>0.66211200000000003</v>
      </c>
      <c r="J31" s="145">
        <f>$D31*Fleet!L255/10^7</f>
        <v>0.66211200000000003</v>
      </c>
      <c r="K31" s="145">
        <f>$D31*Fleet!M255/10^7</f>
        <v>1.3242240000000001</v>
      </c>
      <c r="L31" s="145">
        <f>$D31*Fleet!N255/10^7</f>
        <v>1.3242240000000001</v>
      </c>
      <c r="M31" s="145">
        <f>$D31*Fleet!O255/10^7</f>
        <v>1.3242240000000001</v>
      </c>
      <c r="N31" s="145">
        <f>$D31*Fleet!P255/10^7</f>
        <v>1.3242240000000001</v>
      </c>
      <c r="O31" s="145">
        <f>$D31*Fleet!Q255/10^7</f>
        <v>1.3242240000000001</v>
      </c>
      <c r="P31" s="145">
        <f>$D31*Fleet!R255/10^7</f>
        <v>1.3242240000000001</v>
      </c>
      <c r="Q31" s="145">
        <f>$D31*Fleet!S255/10^7</f>
        <v>1.3242240000000001</v>
      </c>
      <c r="R31" s="145">
        <f>$D31*Fleet!T255/10^7</f>
        <v>1.3242240000000001</v>
      </c>
      <c r="S31" s="145">
        <f>$D31*Fleet!U255/10^7</f>
        <v>1.3242240000000001</v>
      </c>
      <c r="T31" s="145">
        <f>$D31*Fleet!V255/10^7</f>
        <v>1.3242240000000001</v>
      </c>
      <c r="U31" s="145">
        <f>$D31*Fleet!W255/10^7</f>
        <v>1.3242240000000001</v>
      </c>
      <c r="V31" s="145">
        <f>$D31*Fleet!X255/10^7</f>
        <v>1.3242240000000001</v>
      </c>
      <c r="W31" s="145">
        <f>$D31*Fleet!Y255/10^7</f>
        <v>1.3242240000000001</v>
      </c>
      <c r="X31" s="145">
        <f>$D31*Fleet!Z255/10^7</f>
        <v>1.3242240000000001</v>
      </c>
      <c r="Y31" s="145">
        <f>$D31*Fleet!AA255/10^7</f>
        <v>1.3242240000000001</v>
      </c>
      <c r="Z31" s="145">
        <f>$D31*Fleet!AB255/10^7</f>
        <v>0.66211200000000003</v>
      </c>
      <c r="AA31" s="145">
        <f>$D31*Fleet!AC255/10^7</f>
        <v>0.66211200000000003</v>
      </c>
      <c r="AB31" s="145">
        <f>$D31*Fleet!AD255/10^7</f>
        <v>0</v>
      </c>
      <c r="AC31" s="145">
        <f>$D31*Fleet!AE255/10^7</f>
        <v>0</v>
      </c>
      <c r="AD31" s="145">
        <f>$D31*Fleet!AF255/10^7</f>
        <v>0</v>
      </c>
      <c r="AE31" s="145">
        <f>$D31*Fleet!AG255/10^7</f>
        <v>0</v>
      </c>
      <c r="AF31" s="145">
        <f>$D31*Fleet!AH255/10^7</f>
        <v>0</v>
      </c>
      <c r="AG31" s="145">
        <f>$D31*Fleet!AI255/10^7</f>
        <v>0</v>
      </c>
      <c r="AH31" s="145">
        <f>$D31*Fleet!AJ255/10^7</f>
        <v>0</v>
      </c>
      <c r="AI31" s="145">
        <f>$D31*Fleet!AK255/10^7</f>
        <v>0</v>
      </c>
      <c r="AJ31" s="145">
        <f>$D31*Fleet!AL255/10^7</f>
        <v>0</v>
      </c>
      <c r="AK31" s="145">
        <f>$D31*Fleet!AM255/10^7</f>
        <v>0</v>
      </c>
      <c r="AL31" s="145">
        <f>$D31*Fleet!AN255/10^7</f>
        <v>0</v>
      </c>
      <c r="AM31" s="145">
        <f>$D31*Fleet!AO255/10^7</f>
        <v>0</v>
      </c>
      <c r="AN31" s="145">
        <f>$D31*Fleet!AP255/10^7</f>
        <v>0</v>
      </c>
      <c r="AO31" s="145">
        <f>$D31*Fleet!AQ255/10^7</f>
        <v>0</v>
      </c>
      <c r="AP31" s="179"/>
      <c r="AQ31" s="179"/>
      <c r="AR31" s="179"/>
      <c r="AS31" s="179"/>
      <c r="AT31" s="179"/>
      <c r="AU31" s="179"/>
      <c r="AV31" s="179"/>
      <c r="AW31" s="179"/>
      <c r="AX31" s="179"/>
      <c r="AY31" s="179"/>
      <c r="AZ31" s="179"/>
      <c r="BA31" s="179"/>
      <c r="BB31" s="179"/>
      <c r="BC31" s="179"/>
      <c r="BD31" s="179"/>
    </row>
    <row r="32" spans="1:56">
      <c r="A32" s="168" t="str">
        <f>Fleet!B350</f>
        <v/>
      </c>
      <c r="B32" s="165" t="str">
        <f>Fleet!C350</f>
        <v>Diesel Bowser/ 9KL</v>
      </c>
      <c r="C32" s="171" t="s">
        <v>134</v>
      </c>
      <c r="D32" s="174">
        <f>VLOOKUP(B32,Equipment!$C$5:$S$53,Equipment!S$1,FALSE)*VLOOKUP(B32,Equipment!$C$5:$S$53,Equipment!L$1,FALSE)*Assumptions_Dashboard!$D$101</f>
        <v>1805760</v>
      </c>
      <c r="E32" s="145">
        <f>$D32*Fleet!G256/10^7</f>
        <v>0</v>
      </c>
      <c r="F32" s="145">
        <f>$D32*Fleet!H256/10^7</f>
        <v>0</v>
      </c>
      <c r="G32" s="145">
        <f>$D32*Fleet!I256/10^7</f>
        <v>0</v>
      </c>
      <c r="H32" s="145">
        <f>$D32*Fleet!J256/10^7</f>
        <v>0</v>
      </c>
      <c r="I32" s="145">
        <f>$D32*Fleet!K256/10^7</f>
        <v>0.18057599999999999</v>
      </c>
      <c r="J32" s="145">
        <f>$D32*Fleet!L256/10^7</f>
        <v>0.18057599999999999</v>
      </c>
      <c r="K32" s="145">
        <f>$D32*Fleet!M256/10^7</f>
        <v>0.36115199999999997</v>
      </c>
      <c r="L32" s="145">
        <f>$D32*Fleet!N256/10^7</f>
        <v>0.36115199999999997</v>
      </c>
      <c r="M32" s="145">
        <f>$D32*Fleet!O256/10^7</f>
        <v>0.36115199999999997</v>
      </c>
      <c r="N32" s="145">
        <f>$D32*Fleet!P256/10^7</f>
        <v>0.36115199999999997</v>
      </c>
      <c r="O32" s="145">
        <f>$D32*Fleet!Q256/10^7</f>
        <v>0.36115199999999997</v>
      </c>
      <c r="P32" s="145">
        <f>$D32*Fleet!R256/10^7</f>
        <v>0.36115199999999997</v>
      </c>
      <c r="Q32" s="145">
        <f>$D32*Fleet!S256/10^7</f>
        <v>0.36115199999999997</v>
      </c>
      <c r="R32" s="145">
        <f>$D32*Fleet!T256/10^7</f>
        <v>0.36115199999999997</v>
      </c>
      <c r="S32" s="145">
        <f>$D32*Fleet!U256/10^7</f>
        <v>0.36115199999999997</v>
      </c>
      <c r="T32" s="145">
        <f>$D32*Fleet!V256/10^7</f>
        <v>0.36115199999999997</v>
      </c>
      <c r="U32" s="145">
        <f>$D32*Fleet!W256/10^7</f>
        <v>0.36115199999999997</v>
      </c>
      <c r="V32" s="145">
        <f>$D32*Fleet!X256/10^7</f>
        <v>0.36115199999999997</v>
      </c>
      <c r="W32" s="145">
        <f>$D32*Fleet!Y256/10^7</f>
        <v>0.36115199999999997</v>
      </c>
      <c r="X32" s="145">
        <f>$D32*Fleet!Z256/10^7</f>
        <v>0.36115199999999997</v>
      </c>
      <c r="Y32" s="145">
        <f>$D32*Fleet!AA256/10^7</f>
        <v>0.36115199999999997</v>
      </c>
      <c r="Z32" s="145">
        <f>$D32*Fleet!AB256/10^7</f>
        <v>0.18057599999999999</v>
      </c>
      <c r="AA32" s="145">
        <f>$D32*Fleet!AC256/10^7</f>
        <v>0.18057599999999999</v>
      </c>
      <c r="AB32" s="145">
        <f>$D32*Fleet!AD256/10^7</f>
        <v>0</v>
      </c>
      <c r="AC32" s="145">
        <f>$D32*Fleet!AE256/10^7</f>
        <v>0</v>
      </c>
      <c r="AD32" s="145">
        <f>$D32*Fleet!AF256/10^7</f>
        <v>0</v>
      </c>
      <c r="AE32" s="145">
        <f>$D32*Fleet!AG256/10^7</f>
        <v>0</v>
      </c>
      <c r="AF32" s="145">
        <f>$D32*Fleet!AH256/10^7</f>
        <v>0</v>
      </c>
      <c r="AG32" s="145">
        <f>$D32*Fleet!AI256/10^7</f>
        <v>0</v>
      </c>
      <c r="AH32" s="145">
        <f>$D32*Fleet!AJ256/10^7</f>
        <v>0</v>
      </c>
      <c r="AI32" s="145">
        <f>$D32*Fleet!AK256/10^7</f>
        <v>0</v>
      </c>
      <c r="AJ32" s="145">
        <f>$D32*Fleet!AL256/10^7</f>
        <v>0</v>
      </c>
      <c r="AK32" s="145">
        <f>$D32*Fleet!AM256/10^7</f>
        <v>0</v>
      </c>
      <c r="AL32" s="145">
        <f>$D32*Fleet!AN256/10^7</f>
        <v>0</v>
      </c>
      <c r="AM32" s="145">
        <f>$D32*Fleet!AO256/10^7</f>
        <v>0</v>
      </c>
      <c r="AN32" s="145">
        <f>$D32*Fleet!AP256/10^7</f>
        <v>0</v>
      </c>
      <c r="AO32" s="145">
        <f>$D32*Fleet!AQ256/10^7</f>
        <v>0</v>
      </c>
      <c r="AP32" s="179"/>
      <c r="AQ32" s="179"/>
      <c r="AR32" s="179"/>
      <c r="AS32" s="179"/>
      <c r="AT32" s="179"/>
      <c r="AU32" s="179"/>
      <c r="AV32" s="179"/>
      <c r="AW32" s="179"/>
      <c r="AX32" s="179"/>
      <c r="AY32" s="179"/>
      <c r="AZ32" s="179"/>
      <c r="BA32" s="179"/>
      <c r="BB32" s="179"/>
      <c r="BC32" s="179"/>
      <c r="BD32" s="179"/>
    </row>
    <row r="33" spans="1:56">
      <c r="A33" s="168" t="str">
        <f>Fleet!B351</f>
        <v/>
      </c>
      <c r="B33" s="165" t="str">
        <f>Fleet!C351</f>
        <v xml:space="preserve">Explosive Van </v>
      </c>
      <c r="C33" s="171" t="s">
        <v>134</v>
      </c>
      <c r="D33" s="174">
        <f>VLOOKUP(B33,Equipment!$C$5:$S$53,Equipment!S$1,FALSE)*VLOOKUP(B33,Equipment!$C$5:$S$53,Equipment!L$1,FALSE)*Assumptions_Dashboard!$D$101</f>
        <v>1354320</v>
      </c>
      <c r="E33" s="145">
        <f>$D33*Fleet!G257/10^7</f>
        <v>0</v>
      </c>
      <c r="F33" s="145">
        <f>$D33*Fleet!H257/10^7</f>
        <v>0</v>
      </c>
      <c r="G33" s="145">
        <f>$D33*Fleet!I257/10^7</f>
        <v>0</v>
      </c>
      <c r="H33" s="145">
        <f>$D33*Fleet!J257/10^7</f>
        <v>0</v>
      </c>
      <c r="I33" s="145">
        <f>$D33*Fleet!K257/10^7</f>
        <v>0.135432</v>
      </c>
      <c r="J33" s="145">
        <f>$D33*Fleet!L257/10^7</f>
        <v>0.135432</v>
      </c>
      <c r="K33" s="145">
        <f>$D33*Fleet!M257/10^7</f>
        <v>0.27086399999999999</v>
      </c>
      <c r="L33" s="145">
        <f>$D33*Fleet!N257/10^7</f>
        <v>0.27086399999999999</v>
      </c>
      <c r="M33" s="145">
        <f>$D33*Fleet!O257/10^7</f>
        <v>0.27086399999999999</v>
      </c>
      <c r="N33" s="145">
        <f>$D33*Fleet!P257/10^7</f>
        <v>0.27086399999999999</v>
      </c>
      <c r="O33" s="145">
        <f>$D33*Fleet!Q257/10^7</f>
        <v>0.27086399999999999</v>
      </c>
      <c r="P33" s="145">
        <f>$D33*Fleet!R257/10^7</f>
        <v>0.27086399999999999</v>
      </c>
      <c r="Q33" s="145">
        <f>$D33*Fleet!S257/10^7</f>
        <v>0.27086399999999999</v>
      </c>
      <c r="R33" s="145">
        <f>$D33*Fleet!T257/10^7</f>
        <v>0.27086399999999999</v>
      </c>
      <c r="S33" s="145">
        <f>$D33*Fleet!U257/10^7</f>
        <v>0.27086399999999999</v>
      </c>
      <c r="T33" s="145">
        <f>$D33*Fleet!V257/10^7</f>
        <v>0.27086399999999999</v>
      </c>
      <c r="U33" s="145">
        <f>$D33*Fleet!W257/10^7</f>
        <v>0.27086399999999999</v>
      </c>
      <c r="V33" s="145">
        <f>$D33*Fleet!X257/10^7</f>
        <v>0.27086399999999999</v>
      </c>
      <c r="W33" s="145">
        <f>$D33*Fleet!Y257/10^7</f>
        <v>0.27086399999999999</v>
      </c>
      <c r="X33" s="145">
        <f>$D33*Fleet!Z257/10^7</f>
        <v>0.27086399999999999</v>
      </c>
      <c r="Y33" s="145">
        <f>$D33*Fleet!AA257/10^7</f>
        <v>0.27086399999999999</v>
      </c>
      <c r="Z33" s="145">
        <f>$D33*Fleet!AB257/10^7</f>
        <v>0.135432</v>
      </c>
      <c r="AA33" s="145">
        <f>$D33*Fleet!AC257/10^7</f>
        <v>0.135432</v>
      </c>
      <c r="AB33" s="145">
        <f>$D33*Fleet!AD257/10^7</f>
        <v>0</v>
      </c>
      <c r="AC33" s="145">
        <f>$D33*Fleet!AE257/10^7</f>
        <v>0</v>
      </c>
      <c r="AD33" s="145">
        <f>$D33*Fleet!AF257/10^7</f>
        <v>0</v>
      </c>
      <c r="AE33" s="145">
        <f>$D33*Fleet!AG257/10^7</f>
        <v>0</v>
      </c>
      <c r="AF33" s="145">
        <f>$D33*Fleet!AH257/10^7</f>
        <v>0</v>
      </c>
      <c r="AG33" s="145">
        <f>$D33*Fleet!AI257/10^7</f>
        <v>0</v>
      </c>
      <c r="AH33" s="145">
        <f>$D33*Fleet!AJ257/10^7</f>
        <v>0</v>
      </c>
      <c r="AI33" s="145">
        <f>$D33*Fleet!AK257/10^7</f>
        <v>0</v>
      </c>
      <c r="AJ33" s="145">
        <f>$D33*Fleet!AL257/10^7</f>
        <v>0</v>
      </c>
      <c r="AK33" s="145">
        <f>$D33*Fleet!AM257/10^7</f>
        <v>0</v>
      </c>
      <c r="AL33" s="145">
        <f>$D33*Fleet!AN257/10^7</f>
        <v>0</v>
      </c>
      <c r="AM33" s="145">
        <f>$D33*Fleet!AO257/10^7</f>
        <v>0</v>
      </c>
      <c r="AN33" s="145">
        <f>$D33*Fleet!AP257/10^7</f>
        <v>0</v>
      </c>
      <c r="AO33" s="145">
        <f>$D33*Fleet!AQ257/10^7</f>
        <v>0</v>
      </c>
      <c r="AP33" s="179"/>
      <c r="AQ33" s="179"/>
      <c r="AR33" s="179"/>
      <c r="AS33" s="179"/>
      <c r="AT33" s="179"/>
      <c r="AU33" s="179"/>
      <c r="AV33" s="179"/>
      <c r="AW33" s="179"/>
      <c r="AX33" s="179"/>
      <c r="AY33" s="179"/>
      <c r="AZ33" s="179"/>
      <c r="BA33" s="179"/>
      <c r="BB33" s="179"/>
      <c r="BC33" s="179"/>
      <c r="BD33" s="179"/>
    </row>
    <row r="34" spans="1:56">
      <c r="A34" s="168" t="str">
        <f>Fleet!B352</f>
        <v/>
      </c>
      <c r="B34" s="165" t="str">
        <f>Fleet!C352</f>
        <v>Maintenance Van</v>
      </c>
      <c r="C34" s="171" t="s">
        <v>134</v>
      </c>
      <c r="D34" s="174">
        <f>VLOOKUP(B34,Equipment!$C$5:$S$53,Equipment!S$1,FALSE)*VLOOKUP(B34,Equipment!$C$5:$S$53,Equipment!L$1,FALSE)*Assumptions_Dashboard!$D$101</f>
        <v>1354320</v>
      </c>
      <c r="E34" s="145">
        <f>$D34*Fleet!G258/10^7</f>
        <v>0</v>
      </c>
      <c r="F34" s="145">
        <f>$D34*Fleet!H258/10^7</f>
        <v>0</v>
      </c>
      <c r="G34" s="145">
        <f>$D34*Fleet!I258/10^7</f>
        <v>0</v>
      </c>
      <c r="H34" s="145">
        <f>$D34*Fleet!J258/10^7</f>
        <v>0</v>
      </c>
      <c r="I34" s="145">
        <f>$D34*Fleet!K258/10^7</f>
        <v>0.135432</v>
      </c>
      <c r="J34" s="145">
        <f>$D34*Fleet!L258/10^7</f>
        <v>0.135432</v>
      </c>
      <c r="K34" s="145">
        <f>$D34*Fleet!M258/10^7</f>
        <v>0.27086399999999999</v>
      </c>
      <c r="L34" s="145">
        <f>$D34*Fleet!N258/10^7</f>
        <v>0.27086399999999999</v>
      </c>
      <c r="M34" s="145">
        <f>$D34*Fleet!O258/10^7</f>
        <v>0.27086399999999999</v>
      </c>
      <c r="N34" s="145">
        <f>$D34*Fleet!P258/10^7</f>
        <v>0.27086399999999999</v>
      </c>
      <c r="O34" s="145">
        <f>$D34*Fleet!Q258/10^7</f>
        <v>0.27086399999999999</v>
      </c>
      <c r="P34" s="145">
        <f>$D34*Fleet!R258/10^7</f>
        <v>0.27086399999999999</v>
      </c>
      <c r="Q34" s="145">
        <f>$D34*Fleet!S258/10^7</f>
        <v>0.27086399999999999</v>
      </c>
      <c r="R34" s="145">
        <f>$D34*Fleet!T258/10^7</f>
        <v>0.27086399999999999</v>
      </c>
      <c r="S34" s="145">
        <f>$D34*Fleet!U258/10^7</f>
        <v>0.27086399999999999</v>
      </c>
      <c r="T34" s="145">
        <f>$D34*Fleet!V258/10^7</f>
        <v>0.27086399999999999</v>
      </c>
      <c r="U34" s="145">
        <f>$D34*Fleet!W258/10^7</f>
        <v>0.27086399999999999</v>
      </c>
      <c r="V34" s="145">
        <f>$D34*Fleet!X258/10^7</f>
        <v>0.27086399999999999</v>
      </c>
      <c r="W34" s="145">
        <f>$D34*Fleet!Y258/10^7</f>
        <v>0.27086399999999999</v>
      </c>
      <c r="X34" s="145">
        <f>$D34*Fleet!Z258/10^7</f>
        <v>0.27086399999999999</v>
      </c>
      <c r="Y34" s="145">
        <f>$D34*Fleet!AA258/10^7</f>
        <v>0.27086399999999999</v>
      </c>
      <c r="Z34" s="145">
        <f>$D34*Fleet!AB258/10^7</f>
        <v>0.135432</v>
      </c>
      <c r="AA34" s="145">
        <f>$D34*Fleet!AC258/10^7</f>
        <v>0.135432</v>
      </c>
      <c r="AB34" s="145">
        <f>$D34*Fleet!AD258/10^7</f>
        <v>0</v>
      </c>
      <c r="AC34" s="145">
        <f>$D34*Fleet!AE258/10^7</f>
        <v>0</v>
      </c>
      <c r="AD34" s="145">
        <f>$D34*Fleet!AF258/10^7</f>
        <v>0</v>
      </c>
      <c r="AE34" s="145">
        <f>$D34*Fleet!AG258/10^7</f>
        <v>0</v>
      </c>
      <c r="AF34" s="145">
        <f>$D34*Fleet!AH258/10^7</f>
        <v>0</v>
      </c>
      <c r="AG34" s="145">
        <f>$D34*Fleet!AI258/10^7</f>
        <v>0</v>
      </c>
      <c r="AH34" s="145">
        <f>$D34*Fleet!AJ258/10^7</f>
        <v>0</v>
      </c>
      <c r="AI34" s="145">
        <f>$D34*Fleet!AK258/10^7</f>
        <v>0</v>
      </c>
      <c r="AJ34" s="145">
        <f>$D34*Fleet!AL258/10^7</f>
        <v>0</v>
      </c>
      <c r="AK34" s="145">
        <f>$D34*Fleet!AM258/10^7</f>
        <v>0</v>
      </c>
      <c r="AL34" s="145">
        <f>$D34*Fleet!AN258/10^7</f>
        <v>0</v>
      </c>
      <c r="AM34" s="145">
        <f>$D34*Fleet!AO258/10^7</f>
        <v>0</v>
      </c>
      <c r="AN34" s="145">
        <f>$D34*Fleet!AP258/10^7</f>
        <v>0</v>
      </c>
      <c r="AO34" s="145">
        <f>$D34*Fleet!AQ258/10^7</f>
        <v>0</v>
      </c>
      <c r="AP34" s="179"/>
      <c r="AQ34" s="179"/>
      <c r="AR34" s="179"/>
      <c r="AS34" s="179"/>
      <c r="AT34" s="179"/>
      <c r="AU34" s="179"/>
      <c r="AV34" s="179"/>
      <c r="AW34" s="179"/>
      <c r="AX34" s="179"/>
      <c r="AY34" s="179"/>
      <c r="AZ34" s="179"/>
      <c r="BA34" s="179"/>
      <c r="BB34" s="179"/>
      <c r="BC34" s="179"/>
      <c r="BD34" s="179"/>
    </row>
    <row r="35" spans="1:56">
      <c r="A35" s="168" t="str">
        <f>Fleet!B353</f>
        <v/>
      </c>
      <c r="B35" s="165" t="str">
        <f>Fleet!C353</f>
        <v>Diesel Hydraulic backhoe/ 1.5cum (Komatsu)</v>
      </c>
      <c r="C35" s="171" t="s">
        <v>134</v>
      </c>
      <c r="D35" s="174">
        <f>VLOOKUP(B35,Equipment!$C$5:$S$53,Equipment!S$1,FALSE)*VLOOKUP(B35,Equipment!$C$5:$S$53,Equipment!L$1,FALSE)*Assumptions_Dashboard!$D$101</f>
        <v>3611520</v>
      </c>
      <c r="E35" s="145">
        <f>$D35*Fleet!G259/10^7</f>
        <v>0</v>
      </c>
      <c r="F35" s="145">
        <f>$D35*Fleet!H259/10^7</f>
        <v>0</v>
      </c>
      <c r="G35" s="145">
        <f>$D35*Fleet!I259/10^7</f>
        <v>0</v>
      </c>
      <c r="H35" s="145">
        <f>$D35*Fleet!J259/10^7</f>
        <v>0</v>
      </c>
      <c r="I35" s="145">
        <f>$D35*Fleet!K259/10^7</f>
        <v>0.36115199999999997</v>
      </c>
      <c r="J35" s="145">
        <f>$D35*Fleet!L259/10^7</f>
        <v>0.36115199999999997</v>
      </c>
      <c r="K35" s="145">
        <f>$D35*Fleet!M259/10^7</f>
        <v>0.72230399999999995</v>
      </c>
      <c r="L35" s="145">
        <f>$D35*Fleet!N259/10^7</f>
        <v>0.72230399999999995</v>
      </c>
      <c r="M35" s="145">
        <f>$D35*Fleet!O259/10^7</f>
        <v>0.72230399999999995</v>
      </c>
      <c r="N35" s="145">
        <f>$D35*Fleet!P259/10^7</f>
        <v>0.72230399999999995</v>
      </c>
      <c r="O35" s="145">
        <f>$D35*Fleet!Q259/10^7</f>
        <v>0.72230399999999995</v>
      </c>
      <c r="P35" s="145">
        <f>$D35*Fleet!R259/10^7</f>
        <v>0.72230399999999995</v>
      </c>
      <c r="Q35" s="145">
        <f>$D35*Fleet!S259/10^7</f>
        <v>0.72230399999999995</v>
      </c>
      <c r="R35" s="145">
        <f>$D35*Fleet!T259/10^7</f>
        <v>0.72230399999999995</v>
      </c>
      <c r="S35" s="145">
        <f>$D35*Fleet!U259/10^7</f>
        <v>0.72230399999999995</v>
      </c>
      <c r="T35" s="145">
        <f>$D35*Fleet!V259/10^7</f>
        <v>0.72230399999999995</v>
      </c>
      <c r="U35" s="145">
        <f>$D35*Fleet!W259/10^7</f>
        <v>0.72230399999999995</v>
      </c>
      <c r="V35" s="145">
        <f>$D35*Fleet!X259/10^7</f>
        <v>0.72230399999999995</v>
      </c>
      <c r="W35" s="145">
        <f>$D35*Fleet!Y259/10^7</f>
        <v>0.72230399999999995</v>
      </c>
      <c r="X35" s="145">
        <f>$D35*Fleet!Z259/10^7</f>
        <v>0.72230399999999995</v>
      </c>
      <c r="Y35" s="145">
        <f>$D35*Fleet!AA259/10^7</f>
        <v>0.72230399999999995</v>
      </c>
      <c r="Z35" s="145">
        <f>$D35*Fleet!AB259/10^7</f>
        <v>0.36115199999999997</v>
      </c>
      <c r="AA35" s="145">
        <f>$D35*Fleet!AC259/10^7</f>
        <v>0.36115199999999997</v>
      </c>
      <c r="AB35" s="145">
        <f>$D35*Fleet!AD259/10^7</f>
        <v>0</v>
      </c>
      <c r="AC35" s="145">
        <f>$D35*Fleet!AE259/10^7</f>
        <v>0</v>
      </c>
      <c r="AD35" s="145">
        <f>$D35*Fleet!AF259/10^7</f>
        <v>0</v>
      </c>
      <c r="AE35" s="145">
        <f>$D35*Fleet!AG259/10^7</f>
        <v>0</v>
      </c>
      <c r="AF35" s="145">
        <f>$D35*Fleet!AH259/10^7</f>
        <v>0</v>
      </c>
      <c r="AG35" s="145">
        <f>$D35*Fleet!AI259/10^7</f>
        <v>0</v>
      </c>
      <c r="AH35" s="145">
        <f>$D35*Fleet!AJ259/10^7</f>
        <v>0</v>
      </c>
      <c r="AI35" s="145">
        <f>$D35*Fleet!AK259/10^7</f>
        <v>0</v>
      </c>
      <c r="AJ35" s="145">
        <f>$D35*Fleet!AL259/10^7</f>
        <v>0</v>
      </c>
      <c r="AK35" s="145">
        <f>$D35*Fleet!AM259/10^7</f>
        <v>0</v>
      </c>
      <c r="AL35" s="145">
        <f>$D35*Fleet!AN259/10^7</f>
        <v>0</v>
      </c>
      <c r="AM35" s="145">
        <f>$D35*Fleet!AO259/10^7</f>
        <v>0</v>
      </c>
      <c r="AN35" s="145">
        <f>$D35*Fleet!AP259/10^7</f>
        <v>0</v>
      </c>
      <c r="AO35" s="145">
        <f>$D35*Fleet!AQ259/10^7</f>
        <v>0</v>
      </c>
      <c r="AP35" s="179"/>
      <c r="AQ35" s="179"/>
      <c r="AR35" s="179"/>
      <c r="AS35" s="179"/>
      <c r="AT35" s="179"/>
      <c r="AU35" s="179"/>
      <c r="AV35" s="179"/>
      <c r="AW35" s="179"/>
      <c r="AX35" s="179"/>
      <c r="AY35" s="179"/>
      <c r="AZ35" s="179"/>
      <c r="BA35" s="179"/>
      <c r="BB35" s="179"/>
      <c r="BC35" s="179"/>
      <c r="BD35" s="179"/>
    </row>
    <row r="36" spans="1:56">
      <c r="A36" s="168" t="str">
        <f>Fleet!B354</f>
        <v/>
      </c>
      <c r="B36" s="165" t="str">
        <f>Fleet!C354</f>
        <v xml:space="preserve">Boom Truck </v>
      </c>
      <c r="C36" s="171" t="s">
        <v>134</v>
      </c>
      <c r="D36" s="174">
        <f>VLOOKUP(B36,Equipment!$C$5:$S$53,Equipment!S$1,FALSE)*VLOOKUP(B36,Equipment!$C$5:$S$53,Equipment!L$1,FALSE)*Assumptions_Dashboard!$D$101</f>
        <v>1264032</v>
      </c>
      <c r="E36" s="145">
        <f>$D36*Fleet!G260/10^7</f>
        <v>0</v>
      </c>
      <c r="F36" s="145">
        <f>$D36*Fleet!H260/10^7</f>
        <v>0</v>
      </c>
      <c r="G36" s="145">
        <f>$D36*Fleet!I260/10^7</f>
        <v>0</v>
      </c>
      <c r="H36" s="145">
        <f>$D36*Fleet!J260/10^7</f>
        <v>0</v>
      </c>
      <c r="I36" s="145">
        <f>$D36*Fleet!K260/10^7</f>
        <v>0.12640319999999999</v>
      </c>
      <c r="J36" s="145">
        <f>$D36*Fleet!L260/10^7</f>
        <v>0.12640319999999999</v>
      </c>
      <c r="K36" s="145">
        <f>$D36*Fleet!M260/10^7</f>
        <v>0.25280639999999999</v>
      </c>
      <c r="L36" s="145">
        <f>$D36*Fleet!N260/10^7</f>
        <v>0.25280639999999999</v>
      </c>
      <c r="M36" s="145">
        <f>$D36*Fleet!O260/10^7</f>
        <v>0.25280639999999999</v>
      </c>
      <c r="N36" s="145">
        <f>$D36*Fleet!P260/10^7</f>
        <v>0.25280639999999999</v>
      </c>
      <c r="O36" s="145">
        <f>$D36*Fleet!Q260/10^7</f>
        <v>0.25280639999999999</v>
      </c>
      <c r="P36" s="145">
        <f>$D36*Fleet!R260/10^7</f>
        <v>0.25280639999999999</v>
      </c>
      <c r="Q36" s="145">
        <f>$D36*Fleet!S260/10^7</f>
        <v>0.25280639999999999</v>
      </c>
      <c r="R36" s="145">
        <f>$D36*Fleet!T260/10^7</f>
        <v>0.25280639999999999</v>
      </c>
      <c r="S36" s="145">
        <f>$D36*Fleet!U260/10^7</f>
        <v>0.25280639999999999</v>
      </c>
      <c r="T36" s="145">
        <f>$D36*Fleet!V260/10^7</f>
        <v>0.25280639999999999</v>
      </c>
      <c r="U36" s="145">
        <f>$D36*Fleet!W260/10^7</f>
        <v>0.25280639999999999</v>
      </c>
      <c r="V36" s="145">
        <f>$D36*Fleet!X260/10^7</f>
        <v>0.25280639999999999</v>
      </c>
      <c r="W36" s="145">
        <f>$D36*Fleet!Y260/10^7</f>
        <v>0.25280639999999999</v>
      </c>
      <c r="X36" s="145">
        <f>$D36*Fleet!Z260/10^7</f>
        <v>0.25280639999999999</v>
      </c>
      <c r="Y36" s="145">
        <f>$D36*Fleet!AA260/10^7</f>
        <v>0.25280639999999999</v>
      </c>
      <c r="Z36" s="145">
        <f>$D36*Fleet!AB260/10^7</f>
        <v>0.12640319999999999</v>
      </c>
      <c r="AA36" s="145">
        <f>$D36*Fleet!AC260/10^7</f>
        <v>0.12640319999999999</v>
      </c>
      <c r="AB36" s="145">
        <f>$D36*Fleet!AD260/10^7</f>
        <v>0</v>
      </c>
      <c r="AC36" s="145">
        <f>$D36*Fleet!AE260/10^7</f>
        <v>0</v>
      </c>
      <c r="AD36" s="145">
        <f>$D36*Fleet!AF260/10^7</f>
        <v>0</v>
      </c>
      <c r="AE36" s="145">
        <f>$D36*Fleet!AG260/10^7</f>
        <v>0</v>
      </c>
      <c r="AF36" s="145">
        <f>$D36*Fleet!AH260/10^7</f>
        <v>0</v>
      </c>
      <c r="AG36" s="145">
        <f>$D36*Fleet!AI260/10^7</f>
        <v>0</v>
      </c>
      <c r="AH36" s="145">
        <f>$D36*Fleet!AJ260/10^7</f>
        <v>0</v>
      </c>
      <c r="AI36" s="145">
        <f>$D36*Fleet!AK260/10^7</f>
        <v>0</v>
      </c>
      <c r="AJ36" s="145">
        <f>$D36*Fleet!AL260/10^7</f>
        <v>0</v>
      </c>
      <c r="AK36" s="145">
        <f>$D36*Fleet!AM260/10^7</f>
        <v>0</v>
      </c>
      <c r="AL36" s="145">
        <f>$D36*Fleet!AN260/10^7</f>
        <v>0</v>
      </c>
      <c r="AM36" s="145">
        <f>$D36*Fleet!AO260/10^7</f>
        <v>0</v>
      </c>
      <c r="AN36" s="145">
        <f>$D36*Fleet!AP260/10^7</f>
        <v>0</v>
      </c>
      <c r="AO36" s="145">
        <f>$D36*Fleet!AQ260/10^7</f>
        <v>0</v>
      </c>
      <c r="AP36" s="179"/>
      <c r="AQ36" s="179"/>
      <c r="AR36" s="179"/>
      <c r="AS36" s="179"/>
      <c r="AT36" s="179"/>
      <c r="AU36" s="179"/>
      <c r="AV36" s="179"/>
      <c r="AW36" s="179"/>
      <c r="AX36" s="179"/>
      <c r="AY36" s="179"/>
      <c r="AZ36" s="179"/>
      <c r="BA36" s="179"/>
      <c r="BB36" s="179"/>
      <c r="BC36" s="179"/>
      <c r="BD36" s="179"/>
    </row>
    <row r="37" spans="1:56">
      <c r="A37" s="168" t="str">
        <f>Fleet!B355</f>
        <v/>
      </c>
      <c r="B37" s="165" t="str">
        <f>Fleet!C355</f>
        <v xml:space="preserve">Heavy duty tow truck </v>
      </c>
      <c r="C37" s="171" t="s">
        <v>134</v>
      </c>
      <c r="D37" s="174">
        <f>VLOOKUP(B37,Equipment!$C$5:$S$53,Equipment!S$1,FALSE)*VLOOKUP(B37,Equipment!$C$5:$S$53,Equipment!L$1,FALSE)*Assumptions_Dashboard!$D$101</f>
        <v>1264032</v>
      </c>
      <c r="E37" s="145">
        <f>$D37*Fleet!G261/10^7</f>
        <v>0</v>
      </c>
      <c r="F37" s="145">
        <f>$D37*Fleet!H261/10^7</f>
        <v>0</v>
      </c>
      <c r="G37" s="145">
        <f>$D37*Fleet!I261/10^7</f>
        <v>0</v>
      </c>
      <c r="H37" s="145">
        <f>$D37*Fleet!J261/10^7</f>
        <v>0</v>
      </c>
      <c r="I37" s="145">
        <f>$D37*Fleet!K261/10^7</f>
        <v>0.12640319999999999</v>
      </c>
      <c r="J37" s="145">
        <f>$D37*Fleet!L261/10^7</f>
        <v>0.12640319999999999</v>
      </c>
      <c r="K37" s="145">
        <f>$D37*Fleet!M261/10^7</f>
        <v>0.25280639999999999</v>
      </c>
      <c r="L37" s="145">
        <f>$D37*Fleet!N261/10^7</f>
        <v>0.25280639999999999</v>
      </c>
      <c r="M37" s="145">
        <f>$D37*Fleet!O261/10^7</f>
        <v>0.25280639999999999</v>
      </c>
      <c r="N37" s="145">
        <f>$D37*Fleet!P261/10^7</f>
        <v>0.25280639999999999</v>
      </c>
      <c r="O37" s="145">
        <f>$D37*Fleet!Q261/10^7</f>
        <v>0.25280639999999999</v>
      </c>
      <c r="P37" s="145">
        <f>$D37*Fleet!R261/10^7</f>
        <v>0.25280639999999999</v>
      </c>
      <c r="Q37" s="145">
        <f>$D37*Fleet!S261/10^7</f>
        <v>0.25280639999999999</v>
      </c>
      <c r="R37" s="145">
        <f>$D37*Fleet!T261/10^7</f>
        <v>0.25280639999999999</v>
      </c>
      <c r="S37" s="145">
        <f>$D37*Fleet!U261/10^7</f>
        <v>0.25280639999999999</v>
      </c>
      <c r="T37" s="145">
        <f>$D37*Fleet!V261/10^7</f>
        <v>0.25280639999999999</v>
      </c>
      <c r="U37" s="145">
        <f>$D37*Fleet!W261/10^7</f>
        <v>0.25280639999999999</v>
      </c>
      <c r="V37" s="145">
        <f>$D37*Fleet!X261/10^7</f>
        <v>0.25280639999999999</v>
      </c>
      <c r="W37" s="145">
        <f>$D37*Fleet!Y261/10^7</f>
        <v>0.25280639999999999</v>
      </c>
      <c r="X37" s="145">
        <f>$D37*Fleet!Z261/10^7</f>
        <v>0.25280639999999999</v>
      </c>
      <c r="Y37" s="145">
        <f>$D37*Fleet!AA261/10^7</f>
        <v>0.25280639999999999</v>
      </c>
      <c r="Z37" s="145">
        <f>$D37*Fleet!AB261/10^7</f>
        <v>0.12640319999999999</v>
      </c>
      <c r="AA37" s="145">
        <f>$D37*Fleet!AC261/10^7</f>
        <v>0.12640319999999999</v>
      </c>
      <c r="AB37" s="145">
        <f>$D37*Fleet!AD261/10^7</f>
        <v>0</v>
      </c>
      <c r="AC37" s="145">
        <f>$D37*Fleet!AE261/10^7</f>
        <v>0</v>
      </c>
      <c r="AD37" s="145">
        <f>$D37*Fleet!AF261/10^7</f>
        <v>0</v>
      </c>
      <c r="AE37" s="145">
        <f>$D37*Fleet!AG261/10^7</f>
        <v>0</v>
      </c>
      <c r="AF37" s="145">
        <f>$D37*Fleet!AH261/10^7</f>
        <v>0</v>
      </c>
      <c r="AG37" s="145">
        <f>$D37*Fleet!AI261/10^7</f>
        <v>0</v>
      </c>
      <c r="AH37" s="145">
        <f>$D37*Fleet!AJ261/10^7</f>
        <v>0</v>
      </c>
      <c r="AI37" s="145">
        <f>$D37*Fleet!AK261/10^7</f>
        <v>0</v>
      </c>
      <c r="AJ37" s="145">
        <f>$D37*Fleet!AL261/10^7</f>
        <v>0</v>
      </c>
      <c r="AK37" s="145">
        <f>$D37*Fleet!AM261/10^7</f>
        <v>0</v>
      </c>
      <c r="AL37" s="145">
        <f>$D37*Fleet!AN261/10^7</f>
        <v>0</v>
      </c>
      <c r="AM37" s="145">
        <f>$D37*Fleet!AO261/10^7</f>
        <v>0</v>
      </c>
      <c r="AN37" s="145">
        <f>$D37*Fleet!AP261/10^7</f>
        <v>0</v>
      </c>
      <c r="AO37" s="145">
        <f>$D37*Fleet!AQ261/10^7</f>
        <v>0</v>
      </c>
      <c r="AP37" s="179"/>
      <c r="AQ37" s="179"/>
      <c r="AR37" s="179"/>
      <c r="AS37" s="179"/>
      <c r="AT37" s="179"/>
      <c r="AU37" s="179"/>
      <c r="AV37" s="179"/>
      <c r="AW37" s="179"/>
      <c r="AX37" s="179"/>
      <c r="AY37" s="179"/>
      <c r="AZ37" s="179"/>
      <c r="BA37" s="179"/>
      <c r="BB37" s="179"/>
      <c r="BC37" s="179"/>
      <c r="BD37" s="179"/>
    </row>
    <row r="38" spans="1:56">
      <c r="A38" s="168" t="str">
        <f>Fleet!B356</f>
        <v/>
      </c>
      <c r="B38" s="165" t="str">
        <f>Fleet!C356</f>
        <v>Tipping Truck/ 8t</v>
      </c>
      <c r="C38" s="171" t="s">
        <v>134</v>
      </c>
      <c r="D38" s="174">
        <f>VLOOKUP(B38,Equipment!$C$5:$S$53,Equipment!S$1,FALSE)*VLOOKUP(B38,Equipment!$C$5:$S$53,Equipment!L$1,FALSE)*Assumptions_Dashboard!$D$101</f>
        <v>1986336</v>
      </c>
      <c r="E38" s="145">
        <f>$D38*Fleet!G262/10^7</f>
        <v>0</v>
      </c>
      <c r="F38" s="145">
        <f>$D38*Fleet!H262/10^7</f>
        <v>0</v>
      </c>
      <c r="G38" s="145">
        <f>$D38*Fleet!I262/10^7</f>
        <v>0</v>
      </c>
      <c r="H38" s="145">
        <f>$D38*Fleet!J262/10^7</f>
        <v>0</v>
      </c>
      <c r="I38" s="145">
        <f>$D38*Fleet!K262/10^7</f>
        <v>0.19863359999999999</v>
      </c>
      <c r="J38" s="145">
        <f>$D38*Fleet!L262/10^7</f>
        <v>0.19863359999999999</v>
      </c>
      <c r="K38" s="145">
        <f>$D38*Fleet!M262/10^7</f>
        <v>0.39726719999999999</v>
      </c>
      <c r="L38" s="145">
        <f>$D38*Fleet!N262/10^7</f>
        <v>0.39726719999999999</v>
      </c>
      <c r="M38" s="145">
        <f>$D38*Fleet!O262/10^7</f>
        <v>0.39726719999999999</v>
      </c>
      <c r="N38" s="145">
        <f>$D38*Fleet!P262/10^7</f>
        <v>0.39726719999999999</v>
      </c>
      <c r="O38" s="145">
        <f>$D38*Fleet!Q262/10^7</f>
        <v>0.39726719999999999</v>
      </c>
      <c r="P38" s="145">
        <f>$D38*Fleet!R262/10^7</f>
        <v>0.39726719999999999</v>
      </c>
      <c r="Q38" s="145">
        <f>$D38*Fleet!S262/10^7</f>
        <v>0.39726719999999999</v>
      </c>
      <c r="R38" s="145">
        <f>$D38*Fleet!T262/10^7</f>
        <v>0.39726719999999999</v>
      </c>
      <c r="S38" s="145">
        <f>$D38*Fleet!U262/10^7</f>
        <v>0.39726719999999999</v>
      </c>
      <c r="T38" s="145">
        <f>$D38*Fleet!V262/10^7</f>
        <v>0.39726719999999999</v>
      </c>
      <c r="U38" s="145">
        <f>$D38*Fleet!W262/10^7</f>
        <v>0.39726719999999999</v>
      </c>
      <c r="V38" s="145">
        <f>$D38*Fleet!X262/10^7</f>
        <v>0.39726719999999999</v>
      </c>
      <c r="W38" s="145">
        <f>$D38*Fleet!Y262/10^7</f>
        <v>0.39726719999999999</v>
      </c>
      <c r="X38" s="145">
        <f>$D38*Fleet!Z262/10^7</f>
        <v>0.39726719999999999</v>
      </c>
      <c r="Y38" s="145">
        <f>$D38*Fleet!AA262/10^7</f>
        <v>0.39726719999999999</v>
      </c>
      <c r="Z38" s="145">
        <f>$D38*Fleet!AB262/10^7</f>
        <v>0.19863359999999999</v>
      </c>
      <c r="AA38" s="145">
        <f>$D38*Fleet!AC262/10^7</f>
        <v>0.19863359999999999</v>
      </c>
      <c r="AB38" s="145">
        <f>$D38*Fleet!AD262/10^7</f>
        <v>0</v>
      </c>
      <c r="AC38" s="145">
        <f>$D38*Fleet!AE262/10^7</f>
        <v>0</v>
      </c>
      <c r="AD38" s="145">
        <f>$D38*Fleet!AF262/10^7</f>
        <v>0</v>
      </c>
      <c r="AE38" s="145">
        <f>$D38*Fleet!AG262/10^7</f>
        <v>0</v>
      </c>
      <c r="AF38" s="145">
        <f>$D38*Fleet!AH262/10^7</f>
        <v>0</v>
      </c>
      <c r="AG38" s="145">
        <f>$D38*Fleet!AI262/10^7</f>
        <v>0</v>
      </c>
      <c r="AH38" s="145">
        <f>$D38*Fleet!AJ262/10^7</f>
        <v>0</v>
      </c>
      <c r="AI38" s="145">
        <f>$D38*Fleet!AK262/10^7</f>
        <v>0</v>
      </c>
      <c r="AJ38" s="145">
        <f>$D38*Fleet!AL262/10^7</f>
        <v>0</v>
      </c>
      <c r="AK38" s="145">
        <f>$D38*Fleet!AM262/10^7</f>
        <v>0</v>
      </c>
      <c r="AL38" s="145">
        <f>$D38*Fleet!AN262/10^7</f>
        <v>0</v>
      </c>
      <c r="AM38" s="145">
        <f>$D38*Fleet!AO262/10^7</f>
        <v>0</v>
      </c>
      <c r="AN38" s="145">
        <f>$D38*Fleet!AP262/10^7</f>
        <v>0</v>
      </c>
      <c r="AO38" s="145">
        <f>$D38*Fleet!AQ262/10^7</f>
        <v>0</v>
      </c>
      <c r="AP38" s="179"/>
      <c r="AQ38" s="179"/>
      <c r="AR38" s="179"/>
      <c r="AS38" s="179"/>
      <c r="AT38" s="179"/>
      <c r="AU38" s="179"/>
      <c r="AV38" s="179"/>
      <c r="AW38" s="179"/>
      <c r="AX38" s="179"/>
      <c r="AY38" s="179"/>
      <c r="AZ38" s="179"/>
      <c r="BA38" s="179"/>
      <c r="BB38" s="179"/>
      <c r="BC38" s="179"/>
      <c r="BD38" s="179"/>
    </row>
    <row r="39" spans="1:56">
      <c r="A39" s="168" t="str">
        <f>Fleet!B357</f>
        <v/>
      </c>
      <c r="B39" s="165" t="str">
        <f>Fleet!C357</f>
        <v>Fork lift/ 8t</v>
      </c>
      <c r="C39" s="171" t="s">
        <v>134</v>
      </c>
      <c r="D39" s="174">
        <f>VLOOKUP(B39,Equipment!$C$5:$S$53,Equipment!S$1,FALSE)*VLOOKUP(B39,Equipment!$C$5:$S$53,Equipment!L$1,FALSE)*Assumptions_Dashboard!$D$101</f>
        <v>2482920</v>
      </c>
      <c r="E39" s="145">
        <f>$D39*Fleet!G263/10^7</f>
        <v>0</v>
      </c>
      <c r="F39" s="145">
        <f>$D39*Fleet!H263/10^7</f>
        <v>0</v>
      </c>
      <c r="G39" s="145">
        <f>$D39*Fleet!I263/10^7</f>
        <v>0</v>
      </c>
      <c r="H39" s="145">
        <f>$D39*Fleet!J263/10^7</f>
        <v>0</v>
      </c>
      <c r="I39" s="145">
        <f>$D39*Fleet!K263/10^7</f>
        <v>0.24829200000000001</v>
      </c>
      <c r="J39" s="145">
        <f>$D39*Fleet!L263/10^7</f>
        <v>0.24829200000000001</v>
      </c>
      <c r="K39" s="145">
        <f>$D39*Fleet!M263/10^7</f>
        <v>0.49658400000000003</v>
      </c>
      <c r="L39" s="145">
        <f>$D39*Fleet!N263/10^7</f>
        <v>0.49658400000000003</v>
      </c>
      <c r="M39" s="145">
        <f>$D39*Fleet!O263/10^7</f>
        <v>0.49658400000000003</v>
      </c>
      <c r="N39" s="145">
        <f>$D39*Fleet!P263/10^7</f>
        <v>0.49658400000000003</v>
      </c>
      <c r="O39" s="145">
        <f>$D39*Fleet!Q263/10^7</f>
        <v>0.49658400000000003</v>
      </c>
      <c r="P39" s="145">
        <f>$D39*Fleet!R263/10^7</f>
        <v>0.49658400000000003</v>
      </c>
      <c r="Q39" s="145">
        <f>$D39*Fleet!S263/10^7</f>
        <v>0.49658400000000003</v>
      </c>
      <c r="R39" s="145">
        <f>$D39*Fleet!T263/10^7</f>
        <v>0.49658400000000003</v>
      </c>
      <c r="S39" s="145">
        <f>$D39*Fleet!U263/10^7</f>
        <v>0.49658400000000003</v>
      </c>
      <c r="T39" s="145">
        <f>$D39*Fleet!V263/10^7</f>
        <v>0.49658400000000003</v>
      </c>
      <c r="U39" s="145">
        <f>$D39*Fleet!W263/10^7</f>
        <v>0.49658400000000003</v>
      </c>
      <c r="V39" s="145">
        <f>$D39*Fleet!X263/10^7</f>
        <v>0.49658400000000003</v>
      </c>
      <c r="W39" s="145">
        <f>$D39*Fleet!Y263/10^7</f>
        <v>0.49658400000000003</v>
      </c>
      <c r="X39" s="145">
        <f>$D39*Fleet!Z263/10^7</f>
        <v>0.49658400000000003</v>
      </c>
      <c r="Y39" s="145">
        <f>$D39*Fleet!AA263/10^7</f>
        <v>0.49658400000000003</v>
      </c>
      <c r="Z39" s="145">
        <f>$D39*Fleet!AB263/10^7</f>
        <v>0.24829200000000001</v>
      </c>
      <c r="AA39" s="145">
        <f>$D39*Fleet!AC263/10^7</f>
        <v>0.24829200000000001</v>
      </c>
      <c r="AB39" s="145">
        <f>$D39*Fleet!AD263/10^7</f>
        <v>0</v>
      </c>
      <c r="AC39" s="145">
        <f>$D39*Fleet!AE263/10^7</f>
        <v>0</v>
      </c>
      <c r="AD39" s="145">
        <f>$D39*Fleet!AF263/10^7</f>
        <v>0</v>
      </c>
      <c r="AE39" s="145">
        <f>$D39*Fleet!AG263/10^7</f>
        <v>0</v>
      </c>
      <c r="AF39" s="145">
        <f>$D39*Fleet!AH263/10^7</f>
        <v>0</v>
      </c>
      <c r="AG39" s="145">
        <f>$D39*Fleet!AI263/10^7</f>
        <v>0</v>
      </c>
      <c r="AH39" s="145">
        <f>$D39*Fleet!AJ263/10^7</f>
        <v>0</v>
      </c>
      <c r="AI39" s="145">
        <f>$D39*Fleet!AK263/10^7</f>
        <v>0</v>
      </c>
      <c r="AJ39" s="145">
        <f>$D39*Fleet!AL263/10^7</f>
        <v>0</v>
      </c>
      <c r="AK39" s="145">
        <f>$D39*Fleet!AM263/10^7</f>
        <v>0</v>
      </c>
      <c r="AL39" s="145">
        <f>$D39*Fleet!AN263/10^7</f>
        <v>0</v>
      </c>
      <c r="AM39" s="145">
        <f>$D39*Fleet!AO263/10^7</f>
        <v>0</v>
      </c>
      <c r="AN39" s="145">
        <f>$D39*Fleet!AP263/10^7</f>
        <v>0</v>
      </c>
      <c r="AO39" s="145">
        <f>$D39*Fleet!AQ263/10^7</f>
        <v>0</v>
      </c>
      <c r="AP39" s="179"/>
      <c r="AQ39" s="179"/>
      <c r="AR39" s="179"/>
      <c r="AS39" s="179"/>
      <c r="AT39" s="179"/>
      <c r="AU39" s="179"/>
      <c r="AV39" s="179"/>
      <c r="AW39" s="179"/>
      <c r="AX39" s="179"/>
      <c r="AY39" s="179"/>
      <c r="AZ39" s="179"/>
      <c r="BA39" s="179"/>
      <c r="BB39" s="179"/>
      <c r="BC39" s="179"/>
      <c r="BD39" s="179"/>
    </row>
    <row r="40" spans="1:56">
      <c r="A40" s="168" t="str">
        <f>Fleet!B358</f>
        <v/>
      </c>
      <c r="B40" s="165" t="str">
        <f>Fleet!C358</f>
        <v>Tyre handler/ 20t</v>
      </c>
      <c r="C40" s="171" t="s">
        <v>134</v>
      </c>
      <c r="D40" s="174">
        <f>VLOOKUP(B40,Equipment!$C$5:$S$53,Equipment!S$1,FALSE)*VLOOKUP(B40,Equipment!$C$5:$S$53,Equipment!L$1,FALSE)*Assumptions_Dashboard!$D$101</f>
        <v>2257200</v>
      </c>
      <c r="E40" s="145">
        <f>$D40*Fleet!G264/10^7</f>
        <v>0</v>
      </c>
      <c r="F40" s="145">
        <f>$D40*Fleet!H264/10^7</f>
        <v>0</v>
      </c>
      <c r="G40" s="145">
        <f>$D40*Fleet!I264/10^7</f>
        <v>0</v>
      </c>
      <c r="H40" s="145">
        <f>$D40*Fleet!J264/10^7</f>
        <v>0</v>
      </c>
      <c r="I40" s="145">
        <f>$D40*Fleet!K264/10^7</f>
        <v>0.22572</v>
      </c>
      <c r="J40" s="145">
        <f>$D40*Fleet!L264/10^7</f>
        <v>0.22572</v>
      </c>
      <c r="K40" s="145">
        <f>$D40*Fleet!M264/10^7</f>
        <v>0.45144000000000001</v>
      </c>
      <c r="L40" s="145">
        <f>$D40*Fleet!N264/10^7</f>
        <v>0.45144000000000001</v>
      </c>
      <c r="M40" s="145">
        <f>$D40*Fleet!O264/10^7</f>
        <v>0.45144000000000001</v>
      </c>
      <c r="N40" s="145">
        <f>$D40*Fleet!P264/10^7</f>
        <v>0.45144000000000001</v>
      </c>
      <c r="O40" s="145">
        <f>$D40*Fleet!Q264/10^7</f>
        <v>0.45144000000000001</v>
      </c>
      <c r="P40" s="145">
        <f>$D40*Fleet!R264/10^7</f>
        <v>0.45144000000000001</v>
      </c>
      <c r="Q40" s="145">
        <f>$D40*Fleet!S264/10^7</f>
        <v>0.45144000000000001</v>
      </c>
      <c r="R40" s="145">
        <f>$D40*Fleet!T264/10^7</f>
        <v>0.45144000000000001</v>
      </c>
      <c r="S40" s="145">
        <f>$D40*Fleet!U264/10^7</f>
        <v>0.45144000000000001</v>
      </c>
      <c r="T40" s="145">
        <f>$D40*Fleet!V264/10^7</f>
        <v>0.45144000000000001</v>
      </c>
      <c r="U40" s="145">
        <f>$D40*Fleet!W264/10^7</f>
        <v>0.45144000000000001</v>
      </c>
      <c r="V40" s="145">
        <f>$D40*Fleet!X264/10^7</f>
        <v>0.45144000000000001</v>
      </c>
      <c r="W40" s="145">
        <f>$D40*Fleet!Y264/10^7</f>
        <v>0.45144000000000001</v>
      </c>
      <c r="X40" s="145">
        <f>$D40*Fleet!Z264/10^7</f>
        <v>0.45144000000000001</v>
      </c>
      <c r="Y40" s="145">
        <f>$D40*Fleet!AA264/10^7</f>
        <v>0.45144000000000001</v>
      </c>
      <c r="Z40" s="145">
        <f>$D40*Fleet!AB264/10^7</f>
        <v>0.22572</v>
      </c>
      <c r="AA40" s="145">
        <f>$D40*Fleet!AC264/10^7</f>
        <v>0.22572</v>
      </c>
      <c r="AB40" s="145">
        <f>$D40*Fleet!AD264/10^7</f>
        <v>0</v>
      </c>
      <c r="AC40" s="145">
        <f>$D40*Fleet!AE264/10^7</f>
        <v>0</v>
      </c>
      <c r="AD40" s="145">
        <f>$D40*Fleet!AF264/10^7</f>
        <v>0</v>
      </c>
      <c r="AE40" s="145">
        <f>$D40*Fleet!AG264/10^7</f>
        <v>0</v>
      </c>
      <c r="AF40" s="145">
        <f>$D40*Fleet!AH264/10^7</f>
        <v>0</v>
      </c>
      <c r="AG40" s="145">
        <f>$D40*Fleet!AI264/10^7</f>
        <v>0</v>
      </c>
      <c r="AH40" s="145">
        <f>$D40*Fleet!AJ264/10^7</f>
        <v>0</v>
      </c>
      <c r="AI40" s="145">
        <f>$D40*Fleet!AK264/10^7</f>
        <v>0</v>
      </c>
      <c r="AJ40" s="145">
        <f>$D40*Fleet!AL264/10^7</f>
        <v>0</v>
      </c>
      <c r="AK40" s="145">
        <f>$D40*Fleet!AM264/10^7</f>
        <v>0</v>
      </c>
      <c r="AL40" s="145">
        <f>$D40*Fleet!AN264/10^7</f>
        <v>0</v>
      </c>
      <c r="AM40" s="145">
        <f>$D40*Fleet!AO264/10^7</f>
        <v>0</v>
      </c>
      <c r="AN40" s="145">
        <f>$D40*Fleet!AP264/10^7</f>
        <v>0</v>
      </c>
      <c r="AO40" s="145">
        <f>$D40*Fleet!AQ264/10^7</f>
        <v>0</v>
      </c>
      <c r="AP40" s="179"/>
      <c r="AQ40" s="179"/>
      <c r="AR40" s="179"/>
      <c r="AS40" s="179"/>
      <c r="AT40" s="179"/>
      <c r="AU40" s="179"/>
      <c r="AV40" s="179"/>
      <c r="AW40" s="179"/>
      <c r="AX40" s="179"/>
      <c r="AY40" s="179"/>
      <c r="AZ40" s="179"/>
      <c r="BA40" s="179"/>
      <c r="BB40" s="179"/>
      <c r="BC40" s="179"/>
      <c r="BD40" s="179"/>
    </row>
    <row r="41" spans="1:56">
      <c r="A41" s="168" t="str">
        <f>Fleet!B359</f>
        <v/>
      </c>
      <c r="B41" s="165" t="str">
        <f>Fleet!C359</f>
        <v xml:space="preserve">Farm tractor </v>
      </c>
      <c r="C41" s="171" t="s">
        <v>134</v>
      </c>
      <c r="D41" s="174">
        <f>VLOOKUP(B41,Equipment!$C$5:$S$53,Equipment!S$1,FALSE)*VLOOKUP(B41,Equipment!$C$5:$S$53,Equipment!L$1,FALSE)*Assumptions_Dashboard!$D$101</f>
        <v>1956240</v>
      </c>
      <c r="E41" s="145">
        <f>$D41*Fleet!G265/10^7</f>
        <v>0</v>
      </c>
      <c r="F41" s="145">
        <f>$D41*Fleet!H265/10^7</f>
        <v>0</v>
      </c>
      <c r="G41" s="145">
        <f>$D41*Fleet!I265/10^7</f>
        <v>0</v>
      </c>
      <c r="H41" s="145">
        <f>$D41*Fleet!J265/10^7</f>
        <v>0</v>
      </c>
      <c r="I41" s="145">
        <f>$D41*Fleet!K265/10^7</f>
        <v>0.19562399999999999</v>
      </c>
      <c r="J41" s="145">
        <f>$D41*Fleet!L265/10^7</f>
        <v>0.19562399999999999</v>
      </c>
      <c r="K41" s="145">
        <f>$D41*Fleet!M265/10^7</f>
        <v>0.39124799999999998</v>
      </c>
      <c r="L41" s="145">
        <f>$D41*Fleet!N265/10^7</f>
        <v>0.39124799999999998</v>
      </c>
      <c r="M41" s="145">
        <f>$D41*Fleet!O265/10^7</f>
        <v>0.39124799999999998</v>
      </c>
      <c r="N41" s="145">
        <f>$D41*Fleet!P265/10^7</f>
        <v>0.39124799999999998</v>
      </c>
      <c r="O41" s="145">
        <f>$D41*Fleet!Q265/10^7</f>
        <v>0.39124799999999998</v>
      </c>
      <c r="P41" s="145">
        <f>$D41*Fleet!R265/10^7</f>
        <v>0.39124799999999998</v>
      </c>
      <c r="Q41" s="145">
        <f>$D41*Fleet!S265/10^7</f>
        <v>0.39124799999999998</v>
      </c>
      <c r="R41" s="145">
        <f>$D41*Fleet!T265/10^7</f>
        <v>0.39124799999999998</v>
      </c>
      <c r="S41" s="145">
        <f>$D41*Fleet!U265/10^7</f>
        <v>0.39124799999999998</v>
      </c>
      <c r="T41" s="145">
        <f>$D41*Fleet!V265/10^7</f>
        <v>0.39124799999999998</v>
      </c>
      <c r="U41" s="145">
        <f>$D41*Fleet!W265/10^7</f>
        <v>0.39124799999999998</v>
      </c>
      <c r="V41" s="145">
        <f>$D41*Fleet!X265/10^7</f>
        <v>0.39124799999999998</v>
      </c>
      <c r="W41" s="145">
        <f>$D41*Fleet!Y265/10^7</f>
        <v>0.39124799999999998</v>
      </c>
      <c r="X41" s="145">
        <f>$D41*Fleet!Z265/10^7</f>
        <v>0.39124799999999998</v>
      </c>
      <c r="Y41" s="145">
        <f>$D41*Fleet!AA265/10^7</f>
        <v>0.39124799999999998</v>
      </c>
      <c r="Z41" s="145">
        <f>$D41*Fleet!AB265/10^7</f>
        <v>0.19562399999999999</v>
      </c>
      <c r="AA41" s="145">
        <f>$D41*Fleet!AC265/10^7</f>
        <v>0.19562399999999999</v>
      </c>
      <c r="AB41" s="145">
        <f>$D41*Fleet!AD265/10^7</f>
        <v>0</v>
      </c>
      <c r="AC41" s="145">
        <f>$D41*Fleet!AE265/10^7</f>
        <v>0</v>
      </c>
      <c r="AD41" s="145">
        <f>$D41*Fleet!AF265/10^7</f>
        <v>0</v>
      </c>
      <c r="AE41" s="145">
        <f>$D41*Fleet!AG265/10^7</f>
        <v>0</v>
      </c>
      <c r="AF41" s="145">
        <f>$D41*Fleet!AH265/10^7</f>
        <v>0</v>
      </c>
      <c r="AG41" s="145">
        <f>$D41*Fleet!AI265/10^7</f>
        <v>0</v>
      </c>
      <c r="AH41" s="145">
        <f>$D41*Fleet!AJ265/10^7</f>
        <v>0</v>
      </c>
      <c r="AI41" s="145">
        <f>$D41*Fleet!AK265/10^7</f>
        <v>0</v>
      </c>
      <c r="AJ41" s="145">
        <f>$D41*Fleet!AL265/10^7</f>
        <v>0</v>
      </c>
      <c r="AK41" s="145">
        <f>$D41*Fleet!AM265/10^7</f>
        <v>0</v>
      </c>
      <c r="AL41" s="145">
        <f>$D41*Fleet!AN265/10^7</f>
        <v>0</v>
      </c>
      <c r="AM41" s="145">
        <f>$D41*Fleet!AO265/10^7</f>
        <v>0</v>
      </c>
      <c r="AN41" s="145">
        <f>$D41*Fleet!AP265/10^7</f>
        <v>0</v>
      </c>
      <c r="AO41" s="145">
        <f>$D41*Fleet!AQ265/10^7</f>
        <v>0</v>
      </c>
      <c r="AP41" s="179"/>
      <c r="AQ41" s="179"/>
      <c r="AR41" s="179"/>
      <c r="AS41" s="179"/>
      <c r="AT41" s="179"/>
      <c r="AU41" s="179"/>
      <c r="AV41" s="179"/>
      <c r="AW41" s="179"/>
      <c r="AX41" s="179"/>
      <c r="AY41" s="179"/>
      <c r="AZ41" s="179"/>
      <c r="BA41" s="179"/>
      <c r="BB41" s="179"/>
      <c r="BC41" s="179"/>
      <c r="BD41" s="179"/>
    </row>
    <row r="42" spans="1:56">
      <c r="A42" s="168" t="str">
        <f>Fleet!B360</f>
        <v/>
      </c>
      <c r="B42" s="165" t="str">
        <f>Fleet!C360</f>
        <v>Fire Tender</v>
      </c>
      <c r="C42" s="171" t="s">
        <v>134</v>
      </c>
      <c r="D42" s="174">
        <f>VLOOKUP(B42,Equipment!$C$5:$S$53,Equipment!S$1,FALSE)*VLOOKUP(B42,Equipment!$C$5:$S$53,Equipment!L$1,FALSE)*Assumptions_Dashboard!$D$101</f>
        <v>1128600</v>
      </c>
      <c r="E42" s="145">
        <f>$D42*Fleet!G266/10^7</f>
        <v>0</v>
      </c>
      <c r="F42" s="145">
        <f>$D42*Fleet!H266/10^7</f>
        <v>0</v>
      </c>
      <c r="G42" s="145">
        <f>$D42*Fleet!I266/10^7</f>
        <v>0</v>
      </c>
      <c r="H42" s="145">
        <f>$D42*Fleet!J266/10^7</f>
        <v>0</v>
      </c>
      <c r="I42" s="145">
        <f>$D42*Fleet!K266/10^7</f>
        <v>0.11286</v>
      </c>
      <c r="J42" s="145">
        <f>$D42*Fleet!L266/10^7</f>
        <v>0.11286</v>
      </c>
      <c r="K42" s="145">
        <f>$D42*Fleet!M266/10^7</f>
        <v>0.22572</v>
      </c>
      <c r="L42" s="145">
        <f>$D42*Fleet!N266/10^7</f>
        <v>0.22572</v>
      </c>
      <c r="M42" s="145">
        <f>$D42*Fleet!O266/10^7</f>
        <v>0.22572</v>
      </c>
      <c r="N42" s="145">
        <f>$D42*Fleet!P266/10^7</f>
        <v>0.22572</v>
      </c>
      <c r="O42" s="145">
        <f>$D42*Fleet!Q266/10^7</f>
        <v>0.22572</v>
      </c>
      <c r="P42" s="145">
        <f>$D42*Fleet!R266/10^7</f>
        <v>0.22572</v>
      </c>
      <c r="Q42" s="145">
        <f>$D42*Fleet!S266/10^7</f>
        <v>0.22572</v>
      </c>
      <c r="R42" s="145">
        <f>$D42*Fleet!T266/10^7</f>
        <v>0.22572</v>
      </c>
      <c r="S42" s="145">
        <f>$D42*Fleet!U266/10^7</f>
        <v>0.22572</v>
      </c>
      <c r="T42" s="145">
        <f>$D42*Fleet!V266/10^7</f>
        <v>0.22572</v>
      </c>
      <c r="U42" s="145">
        <f>$D42*Fleet!W266/10^7</f>
        <v>0.22572</v>
      </c>
      <c r="V42" s="145">
        <f>$D42*Fleet!X266/10^7</f>
        <v>0.22572</v>
      </c>
      <c r="W42" s="145">
        <f>$D42*Fleet!Y266/10^7</f>
        <v>0.22572</v>
      </c>
      <c r="X42" s="145">
        <f>$D42*Fleet!Z266/10^7</f>
        <v>0.22572</v>
      </c>
      <c r="Y42" s="145">
        <f>$D42*Fleet!AA266/10^7</f>
        <v>0.22572</v>
      </c>
      <c r="Z42" s="145">
        <f>$D42*Fleet!AB266/10^7</f>
        <v>0.11286</v>
      </c>
      <c r="AA42" s="145">
        <f>$D42*Fleet!AC266/10^7</f>
        <v>0.11286</v>
      </c>
      <c r="AB42" s="145">
        <f>$D42*Fleet!AD266/10^7</f>
        <v>0</v>
      </c>
      <c r="AC42" s="145">
        <f>$D42*Fleet!AE266/10^7</f>
        <v>0</v>
      </c>
      <c r="AD42" s="145">
        <f>$D42*Fleet!AF266/10^7</f>
        <v>0</v>
      </c>
      <c r="AE42" s="145">
        <f>$D42*Fleet!AG266/10^7</f>
        <v>0</v>
      </c>
      <c r="AF42" s="145">
        <f>$D42*Fleet!AH266/10^7</f>
        <v>0</v>
      </c>
      <c r="AG42" s="145">
        <f>$D42*Fleet!AI266/10^7</f>
        <v>0</v>
      </c>
      <c r="AH42" s="145">
        <f>$D42*Fleet!AJ266/10^7</f>
        <v>0</v>
      </c>
      <c r="AI42" s="145">
        <f>$D42*Fleet!AK266/10^7</f>
        <v>0</v>
      </c>
      <c r="AJ42" s="145">
        <f>$D42*Fleet!AL266/10^7</f>
        <v>0</v>
      </c>
      <c r="AK42" s="145">
        <f>$D42*Fleet!AM266/10^7</f>
        <v>0</v>
      </c>
      <c r="AL42" s="145">
        <f>$D42*Fleet!AN266/10^7</f>
        <v>0</v>
      </c>
      <c r="AM42" s="145">
        <f>$D42*Fleet!AO266/10^7</f>
        <v>0</v>
      </c>
      <c r="AN42" s="145">
        <f>$D42*Fleet!AP266/10^7</f>
        <v>0</v>
      </c>
      <c r="AO42" s="145">
        <f>$D42*Fleet!AQ266/10^7</f>
        <v>0</v>
      </c>
      <c r="AP42" s="179"/>
      <c r="AQ42" s="179"/>
      <c r="AR42" s="179"/>
      <c r="AS42" s="179"/>
      <c r="AT42" s="179"/>
      <c r="AU42" s="179"/>
      <c r="AV42" s="179"/>
      <c r="AW42" s="179"/>
      <c r="AX42" s="179"/>
      <c r="AY42" s="179"/>
      <c r="AZ42" s="179"/>
      <c r="BA42" s="179"/>
      <c r="BB42" s="179"/>
      <c r="BC42" s="179"/>
      <c r="BD42" s="179"/>
    </row>
    <row r="43" spans="1:56">
      <c r="A43" s="168" t="str">
        <f>Fleet!B361</f>
        <v/>
      </c>
      <c r="B43" s="165" t="str">
        <f>Fleet!C361</f>
        <v xml:space="preserve">Ambulance </v>
      </c>
      <c r="C43" s="171" t="s">
        <v>134</v>
      </c>
      <c r="D43" s="174">
        <f>VLOOKUP(B43,Equipment!$C$5:$S$53,Equipment!S$1,FALSE)*VLOOKUP(B43,Equipment!$C$5:$S$53,Equipment!L$1,FALSE)*Assumptions_Dashboard!$D$101</f>
        <v>902880</v>
      </c>
      <c r="E43" s="145">
        <f>$D43*Fleet!G267/10^7</f>
        <v>0</v>
      </c>
      <c r="F43" s="145">
        <f>$D43*Fleet!H267/10^7</f>
        <v>0</v>
      </c>
      <c r="G43" s="145">
        <f>$D43*Fleet!I267/10^7</f>
        <v>0</v>
      </c>
      <c r="H43" s="145">
        <f>$D43*Fleet!J267/10^7</f>
        <v>0</v>
      </c>
      <c r="I43" s="145">
        <f>$D43*Fleet!K267/10^7</f>
        <v>9.0287999999999993E-2</v>
      </c>
      <c r="J43" s="145">
        <f>$D43*Fleet!L267/10^7</f>
        <v>9.0287999999999993E-2</v>
      </c>
      <c r="K43" s="145">
        <f>$D43*Fleet!M267/10^7</f>
        <v>0.18057599999999999</v>
      </c>
      <c r="L43" s="145">
        <f>$D43*Fleet!N267/10^7</f>
        <v>0.18057599999999999</v>
      </c>
      <c r="M43" s="145">
        <f>$D43*Fleet!O267/10^7</f>
        <v>0.18057599999999999</v>
      </c>
      <c r="N43" s="145">
        <f>$D43*Fleet!P267/10^7</f>
        <v>0.18057599999999999</v>
      </c>
      <c r="O43" s="145">
        <f>$D43*Fleet!Q267/10^7</f>
        <v>0.18057599999999999</v>
      </c>
      <c r="P43" s="145">
        <f>$D43*Fleet!R267/10^7</f>
        <v>0.18057599999999999</v>
      </c>
      <c r="Q43" s="145">
        <f>$D43*Fleet!S267/10^7</f>
        <v>0.18057599999999999</v>
      </c>
      <c r="R43" s="145">
        <f>$D43*Fleet!T267/10^7</f>
        <v>0.18057599999999999</v>
      </c>
      <c r="S43" s="145">
        <f>$D43*Fleet!U267/10^7</f>
        <v>0.18057599999999999</v>
      </c>
      <c r="T43" s="145">
        <f>$D43*Fleet!V267/10^7</f>
        <v>0.18057599999999999</v>
      </c>
      <c r="U43" s="145">
        <f>$D43*Fleet!W267/10^7</f>
        <v>0.18057599999999999</v>
      </c>
      <c r="V43" s="145">
        <f>$D43*Fleet!X267/10^7</f>
        <v>0.18057599999999999</v>
      </c>
      <c r="W43" s="145">
        <f>$D43*Fleet!Y267/10^7</f>
        <v>0.18057599999999999</v>
      </c>
      <c r="X43" s="145">
        <f>$D43*Fleet!Z267/10^7</f>
        <v>0.18057599999999999</v>
      </c>
      <c r="Y43" s="145">
        <f>$D43*Fleet!AA267/10^7</f>
        <v>0.18057599999999999</v>
      </c>
      <c r="Z43" s="145">
        <f>$D43*Fleet!AB267/10^7</f>
        <v>9.0287999999999993E-2</v>
      </c>
      <c r="AA43" s="145">
        <f>$D43*Fleet!AC267/10^7</f>
        <v>9.0287999999999993E-2</v>
      </c>
      <c r="AB43" s="145">
        <f>$D43*Fleet!AD267/10^7</f>
        <v>0</v>
      </c>
      <c r="AC43" s="145">
        <f>$D43*Fleet!AE267/10^7</f>
        <v>0</v>
      </c>
      <c r="AD43" s="145">
        <f>$D43*Fleet!AF267/10^7</f>
        <v>0</v>
      </c>
      <c r="AE43" s="145">
        <f>$D43*Fleet!AG267/10^7</f>
        <v>0</v>
      </c>
      <c r="AF43" s="145">
        <f>$D43*Fleet!AH267/10^7</f>
        <v>0</v>
      </c>
      <c r="AG43" s="145">
        <f>$D43*Fleet!AI267/10^7</f>
        <v>0</v>
      </c>
      <c r="AH43" s="145">
        <f>$D43*Fleet!AJ267/10^7</f>
        <v>0</v>
      </c>
      <c r="AI43" s="145">
        <f>$D43*Fleet!AK267/10^7</f>
        <v>0</v>
      </c>
      <c r="AJ43" s="145">
        <f>$D43*Fleet!AL267/10^7</f>
        <v>0</v>
      </c>
      <c r="AK43" s="145">
        <f>$D43*Fleet!AM267/10^7</f>
        <v>0</v>
      </c>
      <c r="AL43" s="145">
        <f>$D43*Fleet!AN267/10^7</f>
        <v>0</v>
      </c>
      <c r="AM43" s="145">
        <f>$D43*Fleet!AO267/10^7</f>
        <v>0</v>
      </c>
      <c r="AN43" s="145">
        <f>$D43*Fleet!AP267/10^7</f>
        <v>0</v>
      </c>
      <c r="AO43" s="145">
        <f>$D43*Fleet!AQ267/10^7</f>
        <v>0</v>
      </c>
      <c r="AP43" s="179"/>
      <c r="AQ43" s="179"/>
      <c r="AR43" s="179"/>
      <c r="AS43" s="179"/>
      <c r="AT43" s="179"/>
      <c r="AU43" s="179"/>
      <c r="AV43" s="179"/>
      <c r="AW43" s="179"/>
      <c r="AX43" s="179"/>
      <c r="AY43" s="179"/>
      <c r="AZ43" s="179"/>
      <c r="BA43" s="179"/>
      <c r="BB43" s="179"/>
      <c r="BC43" s="179"/>
      <c r="BD43" s="179"/>
    </row>
    <row r="44" spans="1:56">
      <c r="A44" s="168" t="str">
        <f>Fleet!B362</f>
        <v/>
      </c>
      <c r="B44" s="165" t="str">
        <f>Fleet!C362</f>
        <v>Worker Transportation bus</v>
      </c>
      <c r="C44" s="171" t="s">
        <v>134</v>
      </c>
      <c r="D44" s="174">
        <f>VLOOKUP(B44,Equipment!$C$5:$S$53,Equipment!S$1,FALSE)*VLOOKUP(B44,Equipment!$C$5:$S$53,Equipment!L$1,FALSE)*Assumptions_Dashboard!$D$101</f>
        <v>3160080</v>
      </c>
      <c r="E44" s="145">
        <f>$D44*Fleet!G268/10^7</f>
        <v>0</v>
      </c>
      <c r="F44" s="145">
        <f>$D44*Fleet!H268/10^7</f>
        <v>0</v>
      </c>
      <c r="G44" s="145">
        <f>$D44*Fleet!I268/10^7</f>
        <v>0</v>
      </c>
      <c r="H44" s="145">
        <f>$D44*Fleet!J268/10^7</f>
        <v>0</v>
      </c>
      <c r="I44" s="145">
        <f>$D44*Fleet!K268/10^7</f>
        <v>0.31600800000000001</v>
      </c>
      <c r="J44" s="145">
        <f>$D44*Fleet!L268/10^7</f>
        <v>0.31600800000000001</v>
      </c>
      <c r="K44" s="145">
        <f>$D44*Fleet!M268/10^7</f>
        <v>0.63201600000000002</v>
      </c>
      <c r="L44" s="145">
        <f>$D44*Fleet!N268/10^7</f>
        <v>0.63201600000000002</v>
      </c>
      <c r="M44" s="145">
        <f>$D44*Fleet!O268/10^7</f>
        <v>0.63201600000000002</v>
      </c>
      <c r="N44" s="145">
        <f>$D44*Fleet!P268/10^7</f>
        <v>0.63201600000000002</v>
      </c>
      <c r="O44" s="145">
        <f>$D44*Fleet!Q268/10^7</f>
        <v>0.63201600000000002</v>
      </c>
      <c r="P44" s="145">
        <f>$D44*Fleet!R268/10^7</f>
        <v>0.63201600000000002</v>
      </c>
      <c r="Q44" s="145">
        <f>$D44*Fleet!S268/10^7</f>
        <v>0.63201600000000002</v>
      </c>
      <c r="R44" s="145">
        <f>$D44*Fleet!T268/10^7</f>
        <v>0.63201600000000002</v>
      </c>
      <c r="S44" s="145">
        <f>$D44*Fleet!U268/10^7</f>
        <v>0.63201600000000002</v>
      </c>
      <c r="T44" s="145">
        <f>$D44*Fleet!V268/10^7</f>
        <v>0.63201600000000002</v>
      </c>
      <c r="U44" s="145">
        <f>$D44*Fleet!W268/10^7</f>
        <v>0.63201600000000002</v>
      </c>
      <c r="V44" s="145">
        <f>$D44*Fleet!X268/10^7</f>
        <v>0.63201600000000002</v>
      </c>
      <c r="W44" s="145">
        <f>$D44*Fleet!Y268/10^7</f>
        <v>0.63201600000000002</v>
      </c>
      <c r="X44" s="145">
        <f>$D44*Fleet!Z268/10^7</f>
        <v>0.63201600000000002</v>
      </c>
      <c r="Y44" s="145">
        <f>$D44*Fleet!AA268/10^7</f>
        <v>0.63201600000000002</v>
      </c>
      <c r="Z44" s="145">
        <f>$D44*Fleet!AB268/10^7</f>
        <v>0.31600800000000001</v>
      </c>
      <c r="AA44" s="145">
        <f>$D44*Fleet!AC268/10^7</f>
        <v>0.31600800000000001</v>
      </c>
      <c r="AB44" s="145">
        <f>$D44*Fleet!AD268/10^7</f>
        <v>0</v>
      </c>
      <c r="AC44" s="145">
        <f>$D44*Fleet!AE268/10^7</f>
        <v>0</v>
      </c>
      <c r="AD44" s="145">
        <f>$D44*Fleet!AF268/10^7</f>
        <v>0</v>
      </c>
      <c r="AE44" s="145">
        <f>$D44*Fleet!AG268/10^7</f>
        <v>0</v>
      </c>
      <c r="AF44" s="145">
        <f>$D44*Fleet!AH268/10^7</f>
        <v>0</v>
      </c>
      <c r="AG44" s="145">
        <f>$D44*Fleet!AI268/10^7</f>
        <v>0</v>
      </c>
      <c r="AH44" s="145">
        <f>$D44*Fleet!AJ268/10^7</f>
        <v>0</v>
      </c>
      <c r="AI44" s="145">
        <f>$D44*Fleet!AK268/10^7</f>
        <v>0</v>
      </c>
      <c r="AJ44" s="145">
        <f>$D44*Fleet!AL268/10^7</f>
        <v>0</v>
      </c>
      <c r="AK44" s="145">
        <f>$D44*Fleet!AM268/10^7</f>
        <v>0</v>
      </c>
      <c r="AL44" s="145">
        <f>$D44*Fleet!AN268/10^7</f>
        <v>0</v>
      </c>
      <c r="AM44" s="145">
        <f>$D44*Fleet!AO268/10^7</f>
        <v>0</v>
      </c>
      <c r="AN44" s="145">
        <f>$D44*Fleet!AP268/10^7</f>
        <v>0</v>
      </c>
      <c r="AO44" s="145">
        <f>$D44*Fleet!AQ268/10^7</f>
        <v>0</v>
      </c>
      <c r="AP44" s="179"/>
      <c r="AQ44" s="179"/>
      <c r="AR44" s="179"/>
      <c r="AS44" s="179"/>
      <c r="AT44" s="179"/>
      <c r="AU44" s="179"/>
      <c r="AV44" s="179"/>
      <c r="AW44" s="179"/>
      <c r="AX44" s="179"/>
      <c r="AY44" s="179"/>
      <c r="AZ44" s="179"/>
      <c r="BA44" s="179"/>
      <c r="BB44" s="179"/>
      <c r="BC44" s="179"/>
      <c r="BD44" s="179"/>
    </row>
    <row r="45" spans="1:56">
      <c r="A45" s="168" t="str">
        <f>Fleet!B363</f>
        <v/>
      </c>
      <c r="B45" s="165" t="str">
        <f>Fleet!C363</f>
        <v>School bus</v>
      </c>
      <c r="C45" s="171" t="s">
        <v>134</v>
      </c>
      <c r="D45" s="174">
        <f>VLOOKUP(B45,Equipment!$C$5:$S$53,Equipment!S$1,FALSE)*VLOOKUP(B45,Equipment!$C$5:$S$53,Equipment!L$1,FALSE)*Assumptions_Dashboard!$D$101</f>
        <v>3160080</v>
      </c>
      <c r="E45" s="145">
        <f>$D45*Fleet!G269/10^7</f>
        <v>0</v>
      </c>
      <c r="F45" s="145">
        <f>$D45*Fleet!H269/10^7</f>
        <v>0</v>
      </c>
      <c r="G45" s="145">
        <f>$D45*Fleet!I269/10^7</f>
        <v>0</v>
      </c>
      <c r="H45" s="145">
        <f>$D45*Fleet!J269/10^7</f>
        <v>0</v>
      </c>
      <c r="I45" s="145">
        <f>$D45*Fleet!K269/10^7</f>
        <v>0.31600800000000001</v>
      </c>
      <c r="J45" s="145">
        <f>$D45*Fleet!L269/10^7</f>
        <v>0.31600800000000001</v>
      </c>
      <c r="K45" s="145">
        <f>$D45*Fleet!M269/10^7</f>
        <v>0.63201600000000002</v>
      </c>
      <c r="L45" s="145">
        <f>$D45*Fleet!N269/10^7</f>
        <v>0.63201600000000002</v>
      </c>
      <c r="M45" s="145">
        <f>$D45*Fleet!O269/10^7</f>
        <v>0.63201600000000002</v>
      </c>
      <c r="N45" s="145">
        <f>$D45*Fleet!P269/10^7</f>
        <v>0.63201600000000002</v>
      </c>
      <c r="O45" s="145">
        <f>$D45*Fleet!Q269/10^7</f>
        <v>0.63201600000000002</v>
      </c>
      <c r="P45" s="145">
        <f>$D45*Fleet!R269/10^7</f>
        <v>0.63201600000000002</v>
      </c>
      <c r="Q45" s="145">
        <f>$D45*Fleet!S269/10^7</f>
        <v>0.63201600000000002</v>
      </c>
      <c r="R45" s="145">
        <f>$D45*Fleet!T269/10^7</f>
        <v>0.63201600000000002</v>
      </c>
      <c r="S45" s="145">
        <f>$D45*Fleet!U269/10^7</f>
        <v>0.63201600000000002</v>
      </c>
      <c r="T45" s="145">
        <f>$D45*Fleet!V269/10^7</f>
        <v>0.63201600000000002</v>
      </c>
      <c r="U45" s="145">
        <f>$D45*Fleet!W269/10^7</f>
        <v>0.63201600000000002</v>
      </c>
      <c r="V45" s="145">
        <f>$D45*Fleet!X269/10^7</f>
        <v>0.63201600000000002</v>
      </c>
      <c r="W45" s="145">
        <f>$D45*Fleet!Y269/10^7</f>
        <v>0.63201600000000002</v>
      </c>
      <c r="X45" s="145">
        <f>$D45*Fleet!Z269/10^7</f>
        <v>0.63201600000000002</v>
      </c>
      <c r="Y45" s="145">
        <f>$D45*Fleet!AA269/10^7</f>
        <v>0.63201600000000002</v>
      </c>
      <c r="Z45" s="145">
        <f>$D45*Fleet!AB269/10^7</f>
        <v>0.31600800000000001</v>
      </c>
      <c r="AA45" s="145">
        <f>$D45*Fleet!AC269/10^7</f>
        <v>0.31600800000000001</v>
      </c>
      <c r="AB45" s="145">
        <f>$D45*Fleet!AD269/10^7</f>
        <v>0</v>
      </c>
      <c r="AC45" s="145">
        <f>$D45*Fleet!AE269/10^7</f>
        <v>0</v>
      </c>
      <c r="AD45" s="145">
        <f>$D45*Fleet!AF269/10^7</f>
        <v>0</v>
      </c>
      <c r="AE45" s="145">
        <f>$D45*Fleet!AG269/10^7</f>
        <v>0</v>
      </c>
      <c r="AF45" s="145">
        <f>$D45*Fleet!AH269/10^7</f>
        <v>0</v>
      </c>
      <c r="AG45" s="145">
        <f>$D45*Fleet!AI269/10^7</f>
        <v>0</v>
      </c>
      <c r="AH45" s="145">
        <f>$D45*Fleet!AJ269/10^7</f>
        <v>0</v>
      </c>
      <c r="AI45" s="145">
        <f>$D45*Fleet!AK269/10^7</f>
        <v>0</v>
      </c>
      <c r="AJ45" s="145">
        <f>$D45*Fleet!AL269/10^7</f>
        <v>0</v>
      </c>
      <c r="AK45" s="145">
        <f>$D45*Fleet!AM269/10^7</f>
        <v>0</v>
      </c>
      <c r="AL45" s="145">
        <f>$D45*Fleet!AN269/10^7</f>
        <v>0</v>
      </c>
      <c r="AM45" s="145">
        <f>$D45*Fleet!AO269/10^7</f>
        <v>0</v>
      </c>
      <c r="AN45" s="145">
        <f>$D45*Fleet!AP269/10^7</f>
        <v>0</v>
      </c>
      <c r="AO45" s="145">
        <f>$D45*Fleet!AQ269/10^7</f>
        <v>0</v>
      </c>
      <c r="AP45" s="179"/>
      <c r="AQ45" s="179"/>
      <c r="AR45" s="179"/>
      <c r="AS45" s="179"/>
      <c r="AT45" s="179"/>
      <c r="AU45" s="179"/>
      <c r="AV45" s="179"/>
      <c r="AW45" s="179"/>
      <c r="AX45" s="179"/>
      <c r="AY45" s="179"/>
      <c r="AZ45" s="179"/>
      <c r="BA45" s="179"/>
      <c r="BB45" s="179"/>
      <c r="BC45" s="179"/>
      <c r="BD45" s="179"/>
    </row>
    <row r="46" spans="1:56">
      <c r="A46" s="168" t="str">
        <f>Fleet!B364</f>
        <v/>
      </c>
      <c r="B46" s="165" t="str">
        <f>Fleet!C364</f>
        <v xml:space="preserve">Pickup Van </v>
      </c>
      <c r="C46" s="171" t="s">
        <v>134</v>
      </c>
      <c r="D46" s="174">
        <f>VLOOKUP(B46,Equipment!$C$5:$S$53,Equipment!S$1,FALSE)*VLOOKUP(B46,Equipment!$C$5:$S$53,Equipment!L$1,FALSE)*Assumptions_Dashboard!$D$101</f>
        <v>2407680</v>
      </c>
      <c r="E46" s="145">
        <f>$D46*Fleet!G270/10^7</f>
        <v>0</v>
      </c>
      <c r="F46" s="145">
        <f>$D46*Fleet!H270/10^7</f>
        <v>0</v>
      </c>
      <c r="G46" s="145">
        <f>$D46*Fleet!I270/10^7</f>
        <v>0</v>
      </c>
      <c r="H46" s="145">
        <f>$D46*Fleet!J270/10^7</f>
        <v>0</v>
      </c>
      <c r="I46" s="145">
        <f>$D46*Fleet!K270/10^7</f>
        <v>0.24076800000000001</v>
      </c>
      <c r="J46" s="145">
        <f>$D46*Fleet!L270/10^7</f>
        <v>0.24076800000000001</v>
      </c>
      <c r="K46" s="145">
        <f>$D46*Fleet!M270/10^7</f>
        <v>0.48153600000000002</v>
      </c>
      <c r="L46" s="145">
        <f>$D46*Fleet!N270/10^7</f>
        <v>0.48153600000000002</v>
      </c>
      <c r="M46" s="145">
        <f>$D46*Fleet!O270/10^7</f>
        <v>0.48153600000000002</v>
      </c>
      <c r="N46" s="145">
        <f>$D46*Fleet!P270/10^7</f>
        <v>0.48153600000000002</v>
      </c>
      <c r="O46" s="145">
        <f>$D46*Fleet!Q270/10^7</f>
        <v>0.48153600000000002</v>
      </c>
      <c r="P46" s="145">
        <f>$D46*Fleet!R270/10^7</f>
        <v>0.48153600000000002</v>
      </c>
      <c r="Q46" s="145">
        <f>$D46*Fleet!S270/10^7</f>
        <v>0.48153600000000002</v>
      </c>
      <c r="R46" s="145">
        <f>$D46*Fleet!T270/10^7</f>
        <v>0.48153600000000002</v>
      </c>
      <c r="S46" s="145">
        <f>$D46*Fleet!U270/10^7</f>
        <v>0.48153600000000002</v>
      </c>
      <c r="T46" s="145">
        <f>$D46*Fleet!V270/10^7</f>
        <v>0.48153600000000002</v>
      </c>
      <c r="U46" s="145">
        <f>$D46*Fleet!W270/10^7</f>
        <v>0.48153600000000002</v>
      </c>
      <c r="V46" s="145">
        <f>$D46*Fleet!X270/10^7</f>
        <v>0.48153600000000002</v>
      </c>
      <c r="W46" s="145">
        <f>$D46*Fleet!Y270/10^7</f>
        <v>0.48153600000000002</v>
      </c>
      <c r="X46" s="145">
        <f>$D46*Fleet!Z270/10^7</f>
        <v>0.48153600000000002</v>
      </c>
      <c r="Y46" s="145">
        <f>$D46*Fleet!AA270/10^7</f>
        <v>0.48153600000000002</v>
      </c>
      <c r="Z46" s="145">
        <f>$D46*Fleet!AB270/10^7</f>
        <v>0.24076800000000001</v>
      </c>
      <c r="AA46" s="145">
        <f>$D46*Fleet!AC270/10^7</f>
        <v>0.24076800000000001</v>
      </c>
      <c r="AB46" s="145">
        <f>$D46*Fleet!AD270/10^7</f>
        <v>0</v>
      </c>
      <c r="AC46" s="145">
        <f>$D46*Fleet!AE270/10^7</f>
        <v>0</v>
      </c>
      <c r="AD46" s="145">
        <f>$D46*Fleet!AF270/10^7</f>
        <v>0</v>
      </c>
      <c r="AE46" s="145">
        <f>$D46*Fleet!AG270/10^7</f>
        <v>0</v>
      </c>
      <c r="AF46" s="145">
        <f>$D46*Fleet!AH270/10^7</f>
        <v>0</v>
      </c>
      <c r="AG46" s="145">
        <f>$D46*Fleet!AI270/10^7</f>
        <v>0</v>
      </c>
      <c r="AH46" s="145">
        <f>$D46*Fleet!AJ270/10^7</f>
        <v>0</v>
      </c>
      <c r="AI46" s="145">
        <f>$D46*Fleet!AK270/10^7</f>
        <v>0</v>
      </c>
      <c r="AJ46" s="145">
        <f>$D46*Fleet!AL270/10^7</f>
        <v>0</v>
      </c>
      <c r="AK46" s="145">
        <f>$D46*Fleet!AM270/10^7</f>
        <v>0</v>
      </c>
      <c r="AL46" s="145">
        <f>$D46*Fleet!AN270/10^7</f>
        <v>0</v>
      </c>
      <c r="AM46" s="145">
        <f>$D46*Fleet!AO270/10^7</f>
        <v>0</v>
      </c>
      <c r="AN46" s="145">
        <f>$D46*Fleet!AP270/10^7</f>
        <v>0</v>
      </c>
      <c r="AO46" s="145">
        <f>$D46*Fleet!AQ270/10^7</f>
        <v>0</v>
      </c>
      <c r="AP46" s="179"/>
      <c r="AQ46" s="179"/>
      <c r="AR46" s="179"/>
      <c r="AS46" s="179"/>
      <c r="AT46" s="179"/>
      <c r="AU46" s="179"/>
      <c r="AV46" s="179"/>
      <c r="AW46" s="179"/>
      <c r="AX46" s="179"/>
      <c r="AY46" s="179"/>
      <c r="AZ46" s="179"/>
      <c r="BA46" s="179"/>
      <c r="BB46" s="179"/>
      <c r="BC46" s="179"/>
      <c r="BD46" s="179"/>
    </row>
    <row r="47" spans="1:56">
      <c r="A47" s="168" t="str">
        <f>Fleet!B365</f>
        <v/>
      </c>
      <c r="B47" s="165" t="str">
        <f>Fleet!C365</f>
        <v>Cars</v>
      </c>
      <c r="C47" s="171" t="s">
        <v>134</v>
      </c>
      <c r="D47" s="174">
        <f>VLOOKUP(B47,Equipment!$C$5:$S$53,Equipment!S$1,FALSE)*VLOOKUP(B47,Equipment!$C$5:$S$53,Equipment!L$1,FALSE)*Assumptions_Dashboard!$D$101</f>
        <v>2407680</v>
      </c>
      <c r="E47" s="145">
        <f>$D47*Fleet!G271/10^7</f>
        <v>0</v>
      </c>
      <c r="F47" s="145">
        <f>$D47*Fleet!H271/10^7</f>
        <v>0</v>
      </c>
      <c r="G47" s="145">
        <f>$D47*Fleet!I271/10^7</f>
        <v>0</v>
      </c>
      <c r="H47" s="145">
        <f>$D47*Fleet!J271/10^7</f>
        <v>0</v>
      </c>
      <c r="I47" s="145">
        <f>$D47*Fleet!K271/10^7</f>
        <v>0.24076800000000001</v>
      </c>
      <c r="J47" s="145">
        <f>$D47*Fleet!L271/10^7</f>
        <v>0.24076800000000001</v>
      </c>
      <c r="K47" s="145">
        <f>$D47*Fleet!M271/10^7</f>
        <v>0.48153600000000002</v>
      </c>
      <c r="L47" s="145">
        <f>$D47*Fleet!N271/10^7</f>
        <v>0.48153600000000002</v>
      </c>
      <c r="M47" s="145">
        <f>$D47*Fleet!O271/10^7</f>
        <v>0.48153600000000002</v>
      </c>
      <c r="N47" s="145">
        <f>$D47*Fleet!P271/10^7</f>
        <v>0.48153600000000002</v>
      </c>
      <c r="O47" s="145">
        <f>$D47*Fleet!Q271/10^7</f>
        <v>0.48153600000000002</v>
      </c>
      <c r="P47" s="145">
        <f>$D47*Fleet!R271/10^7</f>
        <v>0.48153600000000002</v>
      </c>
      <c r="Q47" s="145">
        <f>$D47*Fleet!S271/10^7</f>
        <v>0.48153600000000002</v>
      </c>
      <c r="R47" s="145">
        <f>$D47*Fleet!T271/10^7</f>
        <v>0.48153600000000002</v>
      </c>
      <c r="S47" s="145">
        <f>$D47*Fleet!U271/10^7</f>
        <v>0.48153600000000002</v>
      </c>
      <c r="T47" s="145">
        <f>$D47*Fleet!V271/10^7</f>
        <v>0.48153600000000002</v>
      </c>
      <c r="U47" s="145">
        <f>$D47*Fleet!W271/10^7</f>
        <v>0.48153600000000002</v>
      </c>
      <c r="V47" s="145">
        <f>$D47*Fleet!X271/10^7</f>
        <v>0.48153600000000002</v>
      </c>
      <c r="W47" s="145">
        <f>$D47*Fleet!Y271/10^7</f>
        <v>0.48153600000000002</v>
      </c>
      <c r="X47" s="145">
        <f>$D47*Fleet!Z271/10^7</f>
        <v>0.48153600000000002</v>
      </c>
      <c r="Y47" s="145">
        <f>$D47*Fleet!AA271/10^7</f>
        <v>0.48153600000000002</v>
      </c>
      <c r="Z47" s="145">
        <f>$D47*Fleet!AB271/10^7</f>
        <v>0.24076800000000001</v>
      </c>
      <c r="AA47" s="145">
        <f>$D47*Fleet!AC271/10^7</f>
        <v>0.24076800000000001</v>
      </c>
      <c r="AB47" s="145">
        <f>$D47*Fleet!AD271/10^7</f>
        <v>0</v>
      </c>
      <c r="AC47" s="145">
        <f>$D47*Fleet!AE271/10^7</f>
        <v>0</v>
      </c>
      <c r="AD47" s="145">
        <f>$D47*Fleet!AF271/10^7</f>
        <v>0</v>
      </c>
      <c r="AE47" s="145">
        <f>$D47*Fleet!AG271/10^7</f>
        <v>0</v>
      </c>
      <c r="AF47" s="145">
        <f>$D47*Fleet!AH271/10^7</f>
        <v>0</v>
      </c>
      <c r="AG47" s="145">
        <f>$D47*Fleet!AI271/10^7</f>
        <v>0</v>
      </c>
      <c r="AH47" s="145">
        <f>$D47*Fleet!AJ271/10^7</f>
        <v>0</v>
      </c>
      <c r="AI47" s="145">
        <f>$D47*Fleet!AK271/10^7</f>
        <v>0</v>
      </c>
      <c r="AJ47" s="145">
        <f>$D47*Fleet!AL271/10^7</f>
        <v>0</v>
      </c>
      <c r="AK47" s="145">
        <f>$D47*Fleet!AM271/10^7</f>
        <v>0</v>
      </c>
      <c r="AL47" s="145">
        <f>$D47*Fleet!AN271/10^7</f>
        <v>0</v>
      </c>
      <c r="AM47" s="145">
        <f>$D47*Fleet!AO271/10^7</f>
        <v>0</v>
      </c>
      <c r="AN47" s="145">
        <f>$D47*Fleet!AP271/10^7</f>
        <v>0</v>
      </c>
      <c r="AO47" s="145">
        <f>$D47*Fleet!AQ271/10^7</f>
        <v>0</v>
      </c>
      <c r="AP47" s="179"/>
      <c r="AQ47" s="179"/>
      <c r="AR47" s="179"/>
      <c r="AS47" s="179"/>
      <c r="AT47" s="179"/>
      <c r="AU47" s="179"/>
      <c r="AV47" s="179"/>
      <c r="AW47" s="179"/>
      <c r="AX47" s="179"/>
      <c r="AY47" s="179"/>
      <c r="AZ47" s="179"/>
      <c r="BA47" s="179"/>
      <c r="BB47" s="179"/>
      <c r="BC47" s="179"/>
      <c r="BD47" s="179"/>
    </row>
    <row r="48" spans="1:56" ht="14" thickBot="1">
      <c r="A48" s="169"/>
      <c r="B48" s="252" t="s">
        <v>691</v>
      </c>
      <c r="C48" s="245"/>
      <c r="D48" s="256">
        <f>SUM(E48:AO48)</f>
        <v>2905.0868347580035</v>
      </c>
      <c r="E48" s="247">
        <f t="shared" ref="E48:AO48" si="0">SUM(E6:E47)</f>
        <v>3.1902066456828811E-2</v>
      </c>
      <c r="F48" s="247">
        <f t="shared" si="0"/>
        <v>6.3804119275522556E-2</v>
      </c>
      <c r="G48" s="247">
        <f t="shared" si="0"/>
        <v>0.1276082931035854</v>
      </c>
      <c r="H48" s="247">
        <f t="shared" si="0"/>
        <v>0.19141239874097282</v>
      </c>
      <c r="I48" s="247">
        <f t="shared" si="0"/>
        <v>27.102200291354656</v>
      </c>
      <c r="J48" s="247">
        <f t="shared" si="0"/>
        <v>31.322884676618912</v>
      </c>
      <c r="K48" s="247">
        <f t="shared" si="0"/>
        <v>65.685292484198129</v>
      </c>
      <c r="L48" s="247">
        <f t="shared" si="0"/>
        <v>157.73418634820914</v>
      </c>
      <c r="M48" s="247">
        <f t="shared" si="0"/>
        <v>171.77514737333806</v>
      </c>
      <c r="N48" s="247">
        <f t="shared" si="0"/>
        <v>222.52771231036235</v>
      </c>
      <c r="O48" s="247">
        <f t="shared" si="0"/>
        <v>215.33000539092419</v>
      </c>
      <c r="P48" s="247">
        <f t="shared" si="0"/>
        <v>198.77418158175198</v>
      </c>
      <c r="Q48" s="247">
        <f t="shared" si="0"/>
        <v>209.02473965391516</v>
      </c>
      <c r="R48" s="247">
        <f t="shared" si="0"/>
        <v>199.82867869714099</v>
      </c>
      <c r="S48" s="247">
        <f t="shared" si="0"/>
        <v>214.77734982881222</v>
      </c>
      <c r="T48" s="247">
        <f t="shared" si="0"/>
        <v>183.33932320142378</v>
      </c>
      <c r="U48" s="247">
        <f t="shared" si="0"/>
        <v>172.65078116281231</v>
      </c>
      <c r="V48" s="247">
        <f t="shared" si="0"/>
        <v>193.35845340590248</v>
      </c>
      <c r="W48" s="247">
        <f t="shared" si="0"/>
        <v>193.73805495591799</v>
      </c>
      <c r="X48" s="247">
        <f t="shared" si="0"/>
        <v>220.77414271510327</v>
      </c>
      <c r="Y48" s="247">
        <f t="shared" si="0"/>
        <v>145.28207411095721</v>
      </c>
      <c r="Z48" s="247">
        <f t="shared" si="0"/>
        <v>57.924194311383538</v>
      </c>
      <c r="AA48" s="247">
        <f t="shared" si="0"/>
        <v>23.722705380300781</v>
      </c>
      <c r="AB48" s="247">
        <f t="shared" si="0"/>
        <v>0</v>
      </c>
      <c r="AC48" s="247">
        <f t="shared" si="0"/>
        <v>0</v>
      </c>
      <c r="AD48" s="247">
        <f t="shared" si="0"/>
        <v>0</v>
      </c>
      <c r="AE48" s="247">
        <f t="shared" si="0"/>
        <v>0</v>
      </c>
      <c r="AF48" s="247">
        <f t="shared" si="0"/>
        <v>0</v>
      </c>
      <c r="AG48" s="247">
        <f t="shared" si="0"/>
        <v>0</v>
      </c>
      <c r="AH48" s="247">
        <f t="shared" si="0"/>
        <v>0</v>
      </c>
      <c r="AI48" s="247">
        <f t="shared" si="0"/>
        <v>0</v>
      </c>
      <c r="AJ48" s="247">
        <f t="shared" si="0"/>
        <v>0</v>
      </c>
      <c r="AK48" s="247">
        <f t="shared" si="0"/>
        <v>0</v>
      </c>
      <c r="AL48" s="247">
        <f t="shared" si="0"/>
        <v>0</v>
      </c>
      <c r="AM48" s="247">
        <f t="shared" si="0"/>
        <v>0</v>
      </c>
      <c r="AN48" s="247">
        <f t="shared" si="0"/>
        <v>0</v>
      </c>
      <c r="AO48" s="247">
        <f t="shared" si="0"/>
        <v>0</v>
      </c>
      <c r="AP48" s="242"/>
      <c r="AQ48" s="242"/>
      <c r="AR48" s="242"/>
      <c r="AS48" s="242"/>
      <c r="AT48" s="242"/>
      <c r="AU48" s="242"/>
      <c r="AV48" s="242"/>
      <c r="AW48" s="242"/>
      <c r="AX48" s="242"/>
      <c r="AY48" s="242"/>
      <c r="AZ48" s="242"/>
      <c r="BA48" s="242"/>
      <c r="BB48" s="242"/>
      <c r="BC48" s="242"/>
      <c r="BD48" s="248"/>
    </row>
    <row r="50" spans="1:56">
      <c r="A50" s="191" t="s">
        <v>1061</v>
      </c>
      <c r="C50" s="96">
        <v>0.04</v>
      </c>
      <c r="D50" s="96">
        <v>0.05</v>
      </c>
      <c r="E50" s="96">
        <v>7.0000000000000007E-2</v>
      </c>
      <c r="F50" s="96">
        <v>0.09</v>
      </c>
      <c r="G50" s="96">
        <v>0.2</v>
      </c>
    </row>
    <row r="51" spans="1:56" ht="14">
      <c r="A51" s="1141" t="s">
        <v>971</v>
      </c>
      <c r="B51" s="1141" t="s">
        <v>972</v>
      </c>
      <c r="C51" s="1141" t="s">
        <v>88</v>
      </c>
      <c r="D51" s="1141" t="s">
        <v>1060</v>
      </c>
      <c r="E51" s="789">
        <f t="shared" ref="E51:AO51" si="1">E5</f>
        <v>-4</v>
      </c>
      <c r="F51" s="789">
        <f t="shared" si="1"/>
        <v>-3</v>
      </c>
      <c r="G51" s="789">
        <f t="shared" si="1"/>
        <v>-2</v>
      </c>
      <c r="H51" s="789">
        <f t="shared" si="1"/>
        <v>-1</v>
      </c>
      <c r="I51" s="789">
        <f t="shared" si="1"/>
        <v>1</v>
      </c>
      <c r="J51" s="789">
        <f t="shared" si="1"/>
        <v>2</v>
      </c>
      <c r="K51" s="789">
        <f t="shared" si="1"/>
        <v>3</v>
      </c>
      <c r="L51" s="789">
        <f t="shared" si="1"/>
        <v>4</v>
      </c>
      <c r="M51" s="789">
        <f t="shared" si="1"/>
        <v>5</v>
      </c>
      <c r="N51" s="789">
        <f t="shared" si="1"/>
        <v>6</v>
      </c>
      <c r="O51" s="789">
        <f t="shared" si="1"/>
        <v>7</v>
      </c>
      <c r="P51" s="789">
        <f t="shared" si="1"/>
        <v>8</v>
      </c>
      <c r="Q51" s="789">
        <f t="shared" si="1"/>
        <v>9</v>
      </c>
      <c r="R51" s="789">
        <f t="shared" si="1"/>
        <v>10</v>
      </c>
      <c r="S51" s="789">
        <f t="shared" si="1"/>
        <v>11</v>
      </c>
      <c r="T51" s="789">
        <f t="shared" si="1"/>
        <v>12</v>
      </c>
      <c r="U51" s="789">
        <f t="shared" si="1"/>
        <v>13</v>
      </c>
      <c r="V51" s="789">
        <f t="shared" si="1"/>
        <v>14</v>
      </c>
      <c r="W51" s="789">
        <f t="shared" si="1"/>
        <v>15</v>
      </c>
      <c r="X51" s="789">
        <f t="shared" si="1"/>
        <v>16</v>
      </c>
      <c r="Y51" s="789">
        <f t="shared" si="1"/>
        <v>17</v>
      </c>
      <c r="Z51" s="789">
        <f t="shared" si="1"/>
        <v>18</v>
      </c>
      <c r="AA51" s="789">
        <f t="shared" si="1"/>
        <v>19</v>
      </c>
      <c r="AB51" s="789">
        <f t="shared" si="1"/>
        <v>0</v>
      </c>
      <c r="AC51" s="789">
        <f t="shared" si="1"/>
        <v>0</v>
      </c>
      <c r="AD51" s="789">
        <f t="shared" si="1"/>
        <v>0</v>
      </c>
      <c r="AE51" s="789">
        <f t="shared" si="1"/>
        <v>0</v>
      </c>
      <c r="AF51" s="789">
        <f t="shared" si="1"/>
        <v>0</v>
      </c>
      <c r="AG51" s="789">
        <f t="shared" si="1"/>
        <v>0</v>
      </c>
      <c r="AH51" s="789">
        <f t="shared" si="1"/>
        <v>0</v>
      </c>
      <c r="AI51" s="789">
        <f t="shared" si="1"/>
        <v>0</v>
      </c>
      <c r="AJ51" s="789">
        <f t="shared" si="1"/>
        <v>0</v>
      </c>
      <c r="AK51" s="789">
        <f t="shared" si="1"/>
        <v>0</v>
      </c>
      <c r="AL51" s="789">
        <f t="shared" si="1"/>
        <v>0</v>
      </c>
      <c r="AM51" s="789">
        <f t="shared" si="1"/>
        <v>0</v>
      </c>
      <c r="AN51" s="789">
        <f t="shared" si="1"/>
        <v>0</v>
      </c>
      <c r="AO51" s="789">
        <f t="shared" si="1"/>
        <v>0</v>
      </c>
      <c r="AP51" s="789">
        <f>Fleet!AR50</f>
        <v>0</v>
      </c>
      <c r="AQ51" s="789">
        <f>Fleet!AS50</f>
        <v>0</v>
      </c>
      <c r="AR51" s="789">
        <f>Fleet!AT50</f>
        <v>0</v>
      </c>
      <c r="AS51" s="789">
        <f>Fleet!AU50</f>
        <v>0</v>
      </c>
      <c r="AT51" s="789">
        <f>Fleet!AV50</f>
        <v>0</v>
      </c>
      <c r="AU51" s="789">
        <f>Fleet!AW50</f>
        <v>0</v>
      </c>
      <c r="AV51" s="789">
        <f>Fleet!AX50</f>
        <v>0</v>
      </c>
      <c r="AW51" s="789">
        <f>Fleet!AY50</f>
        <v>0</v>
      </c>
      <c r="AX51" s="789">
        <f>Fleet!AZ50</f>
        <v>0</v>
      </c>
      <c r="AY51" s="789">
        <f>Fleet!BA50</f>
        <v>0</v>
      </c>
      <c r="AZ51" s="789">
        <f>Fleet!BB50</f>
        <v>0</v>
      </c>
      <c r="BA51" s="789">
        <f>Fleet!BC50</f>
        <v>0</v>
      </c>
      <c r="BB51" s="789">
        <f>Fleet!BD50</f>
        <v>0</v>
      </c>
      <c r="BC51" s="789">
        <f>Fleet!BE50</f>
        <v>0</v>
      </c>
      <c r="BD51" s="789">
        <f>Fleet!BF50</f>
        <v>0</v>
      </c>
    </row>
    <row r="52" spans="1:56">
      <c r="A52" s="168" t="str">
        <f t="shared" ref="A52:B71" si="2">A6</f>
        <v>Coal/Ore</v>
      </c>
      <c r="B52" s="165" t="str">
        <f t="shared" si="2"/>
        <v>Drill Machine/ 115mm diameter</v>
      </c>
      <c r="C52" s="171" t="s">
        <v>134</v>
      </c>
      <c r="D52" s="174">
        <f t="shared" ref="D52:D60" si="3">$D$50*D6</f>
        <v>589881.59999999998</v>
      </c>
      <c r="E52" s="145">
        <f>$D52*Fleet!G230/10^7</f>
        <v>0</v>
      </c>
      <c r="F52" s="145">
        <f>$D52*Fleet!H230/10^7</f>
        <v>0</v>
      </c>
      <c r="G52" s="145">
        <f>$D52*Fleet!I230/10^7</f>
        <v>0</v>
      </c>
      <c r="H52" s="145">
        <f>$D52*Fleet!J230/10^7</f>
        <v>0</v>
      </c>
      <c r="I52" s="145">
        <f>$D52*Fleet!K230/10^7</f>
        <v>2.4302322604360462E-2</v>
      </c>
      <c r="J52" s="145">
        <f>$D52*Fleet!L230/10^7</f>
        <v>4.8604634819476737E-2</v>
      </c>
      <c r="K52" s="145">
        <f>$D52*Fleet!M230/10^7</f>
        <v>1.4581396679389529E-2</v>
      </c>
      <c r="L52" s="145">
        <f>$D52*Fleet!N230/10^7</f>
        <v>2.187209034392441E-2</v>
      </c>
      <c r="M52" s="145">
        <f>$D52*Fleet!O230/10^7</f>
        <v>2.7340107475552322E-2</v>
      </c>
      <c r="N52" s="145">
        <f>$D52*Fleet!P230/10^7</f>
        <v>2.7340129292965115E-2</v>
      </c>
      <c r="O52" s="145">
        <f>$D52*Fleet!Q230/10^7</f>
        <v>2.7340113709098827E-2</v>
      </c>
      <c r="P52" s="145">
        <f>$D52*Fleet!R230/10^7</f>
        <v>2.7340110592325578E-2</v>
      </c>
      <c r="Q52" s="145">
        <f>$D52*Fleet!S230/10^7</f>
        <v>2.7340123059418592E-2</v>
      </c>
      <c r="R52" s="145">
        <f>$D52*Fleet!T230/10^7</f>
        <v>2.7340107475552322E-2</v>
      </c>
      <c r="S52" s="145">
        <f>$D52*Fleet!U230/10^7</f>
        <v>2.7340110592325578E-2</v>
      </c>
      <c r="T52" s="145">
        <f>$D52*Fleet!V230/10^7</f>
        <v>2.734011994264534E-2</v>
      </c>
      <c r="U52" s="145">
        <f>$D52*Fleet!W230/10^7</f>
        <v>2.7340144876831386E-2</v>
      </c>
      <c r="V52" s="145">
        <f>$D52*Fleet!X230/10^7</f>
        <v>2.734011994264534E-2</v>
      </c>
      <c r="W52" s="145">
        <f>$D52*Fleet!Y230/10^7</f>
        <v>2.734011994264534E-2</v>
      </c>
      <c r="X52" s="145">
        <f>$D52*Fleet!Z230/10^7</f>
        <v>2.7340116825872084E-2</v>
      </c>
      <c r="Y52" s="145">
        <f>$D52*Fleet!AA230/10^7</f>
        <v>1.822674351165697E-2</v>
      </c>
      <c r="Z52" s="145">
        <f>$D52*Fleet!AB230/10^7</f>
        <v>1.3670063088095928E-2</v>
      </c>
      <c r="AA52" s="145">
        <f>$D52*Fleet!AC230/10^7</f>
        <v>4.0178869476017436E-3</v>
      </c>
      <c r="AB52" s="145">
        <f>$D52*Fleet!AD230/10^7</f>
        <v>0</v>
      </c>
      <c r="AC52" s="145">
        <f>$D52*Fleet!AE230/10^7</f>
        <v>0</v>
      </c>
      <c r="AD52" s="145">
        <f>$D52*Fleet!AF230/10^7</f>
        <v>0</v>
      </c>
      <c r="AE52" s="145">
        <f>$D52*Fleet!AG230/10^7</f>
        <v>0</v>
      </c>
      <c r="AF52" s="145">
        <f>$D52*Fleet!AH230/10^7</f>
        <v>0</v>
      </c>
      <c r="AG52" s="145">
        <f>$D52*Fleet!AI230/10^7</f>
        <v>0</v>
      </c>
      <c r="AH52" s="145">
        <f>$D52*Fleet!AJ230/10^7</f>
        <v>0</v>
      </c>
      <c r="AI52" s="145">
        <f>$D52*Fleet!AK230/10^7</f>
        <v>0</v>
      </c>
      <c r="AJ52" s="145">
        <f>$D52*Fleet!AL230/10^7</f>
        <v>0</v>
      </c>
      <c r="AK52" s="145">
        <f>$D52*Fleet!AM230/10^7</f>
        <v>0</v>
      </c>
      <c r="AL52" s="145">
        <f>$D52*Fleet!AN230/10^7</f>
        <v>0</v>
      </c>
      <c r="AM52" s="145">
        <f>$D52*Fleet!AO230/10^7</f>
        <v>0</v>
      </c>
      <c r="AN52" s="145">
        <f>$D52*Fleet!AP230/10^7</f>
        <v>0</v>
      </c>
      <c r="AO52" s="145">
        <f>$D52*Fleet!AQ230/10^7</f>
        <v>0</v>
      </c>
      <c r="AP52" s="179"/>
      <c r="AQ52" s="179"/>
      <c r="AR52" s="179"/>
      <c r="AS52" s="179"/>
      <c r="AT52" s="179"/>
      <c r="AU52" s="179"/>
      <c r="AV52" s="179"/>
      <c r="AW52" s="179"/>
      <c r="AX52" s="179"/>
      <c r="AY52" s="179"/>
      <c r="AZ52" s="179"/>
      <c r="BA52" s="179"/>
      <c r="BB52" s="179"/>
      <c r="BC52" s="179"/>
      <c r="BD52" s="179"/>
    </row>
    <row r="53" spans="1:56">
      <c r="A53" s="168" t="str">
        <f t="shared" si="2"/>
        <v xml:space="preserve">Waste (IB Thin Parting) </v>
      </c>
      <c r="B53" s="165" t="str">
        <f t="shared" si="2"/>
        <v>Drill Machine/ 160mm diameter</v>
      </c>
      <c r="C53" s="171" t="s">
        <v>134</v>
      </c>
      <c r="D53" s="174">
        <f t="shared" si="3"/>
        <v>800553.60000000009</v>
      </c>
      <c r="E53" s="145">
        <f>$D53*Fleet!G231/10^7</f>
        <v>0</v>
      </c>
      <c r="F53" s="145">
        <f>$D53*Fleet!H231/10^7</f>
        <v>0</v>
      </c>
      <c r="G53" s="145">
        <f>$D53*Fleet!I231/10^7</f>
        <v>0</v>
      </c>
      <c r="H53" s="145">
        <f>$D53*Fleet!J231/10^7</f>
        <v>0</v>
      </c>
      <c r="I53" s="145">
        <f>$D53*Fleet!K231/10^7</f>
        <v>6.4924785267305871E-2</v>
      </c>
      <c r="J53" s="145">
        <f>$D53*Fleet!L231/10^7</f>
        <v>5.3893239054803817E-2</v>
      </c>
      <c r="K53" s="145">
        <f>$D53*Fleet!M231/10^7</f>
        <v>9.7621861880711078E-2</v>
      </c>
      <c r="L53" s="145">
        <f>$D53*Fleet!N231/10^7</f>
        <v>0.20847191879994534</v>
      </c>
      <c r="M53" s="145">
        <f>$D53*Fleet!O231/10^7</f>
        <v>0.20056375791012976</v>
      </c>
      <c r="N53" s="145">
        <f>$D53*Fleet!P231/10^7</f>
        <v>0.26875566744452123</v>
      </c>
      <c r="O53" s="145">
        <f>$D53*Fleet!Q231/10^7</f>
        <v>0.2460148465154802</v>
      </c>
      <c r="P53" s="145">
        <f>$D53*Fleet!R231/10^7</f>
        <v>0.20575556923536051</v>
      </c>
      <c r="Q53" s="145">
        <f>$D53*Fleet!S231/10^7</f>
        <v>0.21440603840613548</v>
      </c>
      <c r="R53" s="145">
        <f>$D53*Fleet!T231/10^7</f>
        <v>0.19126828980530469</v>
      </c>
      <c r="S53" s="145">
        <f>$D53*Fleet!U231/10^7</f>
        <v>0.21547220623337268</v>
      </c>
      <c r="T53" s="145">
        <f>$D53*Fleet!V231/10^7</f>
        <v>0.16411287706128025</v>
      </c>
      <c r="U53" s="145">
        <f>$D53*Fleet!W231/10^7</f>
        <v>0.14410617587497207</v>
      </c>
      <c r="V53" s="145">
        <f>$D53*Fleet!X231/10^7</f>
        <v>0.17901837280316915</v>
      </c>
      <c r="W53" s="145">
        <f>$D53*Fleet!Y231/10^7</f>
        <v>0.17845057477173043</v>
      </c>
      <c r="X53" s="145">
        <f>$D53*Fleet!Z231/10^7</f>
        <v>0.22719261952632358</v>
      </c>
      <c r="Y53" s="145">
        <f>$D53*Fleet!AA231/10^7</f>
        <v>0.14001068207592418</v>
      </c>
      <c r="Z53" s="145">
        <f>$D53*Fleet!AB231/10^7</f>
        <v>2.4325693797720489E-2</v>
      </c>
      <c r="AA53" s="145">
        <f>$D53*Fleet!AC231/10^7</f>
        <v>7.2278440176559103E-3</v>
      </c>
      <c r="AB53" s="145">
        <f>$D53*Fleet!AD231/10^7</f>
        <v>0</v>
      </c>
      <c r="AC53" s="145">
        <f>$D53*Fleet!AE231/10^7</f>
        <v>0</v>
      </c>
      <c r="AD53" s="145">
        <f>$D53*Fleet!AF231/10^7</f>
        <v>0</v>
      </c>
      <c r="AE53" s="145">
        <f>$D53*Fleet!AG231/10^7</f>
        <v>0</v>
      </c>
      <c r="AF53" s="145">
        <f>$D53*Fleet!AH231/10^7</f>
        <v>0</v>
      </c>
      <c r="AG53" s="145">
        <f>$D53*Fleet!AI231/10^7</f>
        <v>0</v>
      </c>
      <c r="AH53" s="145">
        <f>$D53*Fleet!AJ231/10^7</f>
        <v>0</v>
      </c>
      <c r="AI53" s="145">
        <f>$D53*Fleet!AK231/10^7</f>
        <v>0</v>
      </c>
      <c r="AJ53" s="145">
        <f>$D53*Fleet!AL231/10^7</f>
        <v>0</v>
      </c>
      <c r="AK53" s="145">
        <f>$D53*Fleet!AM231/10^7</f>
        <v>0</v>
      </c>
      <c r="AL53" s="145">
        <f>$D53*Fleet!AN231/10^7</f>
        <v>0</v>
      </c>
      <c r="AM53" s="145">
        <f>$D53*Fleet!AO231/10^7</f>
        <v>0</v>
      </c>
      <c r="AN53" s="145">
        <f>$D53*Fleet!AP231/10^7</f>
        <v>0</v>
      </c>
      <c r="AO53" s="145">
        <f>$D53*Fleet!AQ231/10^7</f>
        <v>0</v>
      </c>
      <c r="AP53" s="179"/>
      <c r="AQ53" s="179"/>
      <c r="AR53" s="179"/>
      <c r="AS53" s="179"/>
      <c r="AT53" s="179"/>
      <c r="AU53" s="179"/>
      <c r="AV53" s="179"/>
      <c r="AW53" s="179"/>
      <c r="AX53" s="179"/>
      <c r="AY53" s="179"/>
      <c r="AZ53" s="179"/>
      <c r="BA53" s="179"/>
      <c r="BB53" s="179"/>
      <c r="BC53" s="179"/>
      <c r="BD53" s="179"/>
    </row>
    <row r="54" spans="1:56">
      <c r="A54" s="168" t="str">
        <f t="shared" si="2"/>
        <v>Waste Thick Parting (Ob/IB)</v>
      </c>
      <c r="B54" s="165" t="str">
        <f t="shared" si="2"/>
        <v>Drill Machine/ 250mm diameter</v>
      </c>
      <c r="C54" s="171" t="s">
        <v>134</v>
      </c>
      <c r="D54" s="174">
        <f t="shared" si="3"/>
        <v>1128600</v>
      </c>
      <c r="E54" s="145">
        <f>$D54*Fleet!G232/10^7</f>
        <v>0</v>
      </c>
      <c r="F54" s="145">
        <f>$D54*Fleet!H232/10^7</f>
        <v>0</v>
      </c>
      <c r="G54" s="145">
        <f>$D54*Fleet!I232/10^7</f>
        <v>0</v>
      </c>
      <c r="H54" s="145">
        <f>$D54*Fleet!J232/10^7</f>
        <v>0</v>
      </c>
      <c r="I54" s="145">
        <f>$D54*Fleet!K232/10^7</f>
        <v>0.28241570159161877</v>
      </c>
      <c r="J54" s="145">
        <f>$D54*Fleet!L232/10^7</f>
        <v>0.23327914851592868</v>
      </c>
      <c r="K54" s="145">
        <f>$D54*Fleet!M232/10^7</f>
        <v>0.4218398527824373</v>
      </c>
      <c r="L54" s="145">
        <f>$D54*Fleet!N232/10^7</f>
        <v>0.90642720796977638</v>
      </c>
      <c r="M54" s="145">
        <f>$D54*Fleet!O232/10^7</f>
        <v>0.87330712917296194</v>
      </c>
      <c r="N54" s="145">
        <f>$D54*Fleet!P232/10^7</f>
        <v>1.1741782216213448</v>
      </c>
      <c r="O54" s="145">
        <f>$D54*Fleet!Q232/10^7</f>
        <v>1.0745673119925421</v>
      </c>
      <c r="P54" s="145">
        <f>$D54*Fleet!R232/10^7</f>
        <v>0.89822085363977366</v>
      </c>
      <c r="Q54" s="145">
        <f>$D54*Fleet!S232/10^7</f>
        <v>0.93611223432060009</v>
      </c>
      <c r="R54" s="145">
        <f>$D54*Fleet!T232/10^7</f>
        <v>0.83476267477378518</v>
      </c>
      <c r="S54" s="145">
        <f>$D54*Fleet!U232/10^7</f>
        <v>0.94194695487511193</v>
      </c>
      <c r="T54" s="145">
        <f>$D54*Fleet!V232/10^7</f>
        <v>0.71697928494267282</v>
      </c>
      <c r="U54" s="145">
        <f>$D54*Fleet!W232/10^7</f>
        <v>0.6293445548659411</v>
      </c>
      <c r="V54" s="145">
        <f>$D54*Fleet!X232/10^7</f>
        <v>0.78226936369359867</v>
      </c>
      <c r="W54" s="145">
        <f>$D54*Fleet!Y232/10^7</f>
        <v>0.77978225566115189</v>
      </c>
      <c r="X54" s="145">
        <f>$D54*Fleet!Z232/10^7</f>
        <v>0.99349741864905583</v>
      </c>
      <c r="Y54" s="145">
        <f>$D54*Fleet!AA232/10^7</f>
        <v>0.61161709340778714</v>
      </c>
      <c r="Z54" s="145">
        <f>$D54*Fleet!AB232/10^7</f>
        <v>0.10488574238284629</v>
      </c>
      <c r="AA54" s="145">
        <f>$D54*Fleet!AC232/10^7</f>
        <v>2.9992563521661138E-2</v>
      </c>
      <c r="AB54" s="145">
        <f>$D54*Fleet!AD232/10^7</f>
        <v>0</v>
      </c>
      <c r="AC54" s="145">
        <f>$D54*Fleet!AE232/10^7</f>
        <v>0</v>
      </c>
      <c r="AD54" s="145">
        <f>$D54*Fleet!AF232/10^7</f>
        <v>0</v>
      </c>
      <c r="AE54" s="145">
        <f>$D54*Fleet!AG232/10^7</f>
        <v>0</v>
      </c>
      <c r="AF54" s="145">
        <f>$D54*Fleet!AH232/10^7</f>
        <v>0</v>
      </c>
      <c r="AG54" s="145">
        <f>$D54*Fleet!AI232/10^7</f>
        <v>0</v>
      </c>
      <c r="AH54" s="145">
        <f>$D54*Fleet!AJ232/10^7</f>
        <v>0</v>
      </c>
      <c r="AI54" s="145">
        <f>$D54*Fleet!AK232/10^7</f>
        <v>0</v>
      </c>
      <c r="AJ54" s="145">
        <f>$D54*Fleet!AL232/10^7</f>
        <v>0</v>
      </c>
      <c r="AK54" s="145">
        <f>$D54*Fleet!AM232/10^7</f>
        <v>0</v>
      </c>
      <c r="AL54" s="145">
        <f>$D54*Fleet!AN232/10^7</f>
        <v>0</v>
      </c>
      <c r="AM54" s="145">
        <f>$D54*Fleet!AO232/10^7</f>
        <v>0</v>
      </c>
      <c r="AN54" s="145">
        <f>$D54*Fleet!AP232/10^7</f>
        <v>0</v>
      </c>
      <c r="AO54" s="145">
        <f>$D54*Fleet!AQ232/10^7</f>
        <v>0</v>
      </c>
      <c r="AP54" s="179"/>
      <c r="AQ54" s="179"/>
      <c r="AR54" s="179"/>
      <c r="AS54" s="179"/>
      <c r="AT54" s="179"/>
      <c r="AU54" s="179"/>
      <c r="AV54" s="179"/>
      <c r="AW54" s="179"/>
      <c r="AX54" s="179"/>
      <c r="AY54" s="179"/>
      <c r="AZ54" s="179"/>
      <c r="BA54" s="179"/>
      <c r="BB54" s="179"/>
      <c r="BC54" s="179"/>
      <c r="BD54" s="179"/>
    </row>
    <row r="55" spans="1:56">
      <c r="A55" s="168" t="str">
        <f t="shared" si="2"/>
        <v>Top Soil</v>
      </c>
      <c r="B55" s="165" t="str">
        <f t="shared" si="2"/>
        <v>Diesel hydraulic Shovel/ 1.0 cum</v>
      </c>
      <c r="C55" s="171" t="s">
        <v>134</v>
      </c>
      <c r="D55" s="174">
        <f t="shared" si="3"/>
        <v>338580</v>
      </c>
      <c r="E55" s="145">
        <f>$D55*Fleet!G233/10^7</f>
        <v>0</v>
      </c>
      <c r="F55" s="145">
        <f>$D55*Fleet!H233/10^7</f>
        <v>0</v>
      </c>
      <c r="G55" s="145">
        <f>$D55*Fleet!I233/10^7</f>
        <v>0</v>
      </c>
      <c r="H55" s="145">
        <f>$D55*Fleet!J233/10^7</f>
        <v>0</v>
      </c>
      <c r="I55" s="145">
        <f>$D55*Fleet!K233/10^7</f>
        <v>0</v>
      </c>
      <c r="J55" s="145">
        <f>$D55*Fleet!L233/10^7</f>
        <v>0</v>
      </c>
      <c r="K55" s="145">
        <f>$D55*Fleet!M233/10^7</f>
        <v>0</v>
      </c>
      <c r="L55" s="145">
        <f>$D55*Fleet!N233/10^7</f>
        <v>0</v>
      </c>
      <c r="M55" s="145">
        <f>$D55*Fleet!O233/10^7</f>
        <v>0</v>
      </c>
      <c r="N55" s="145">
        <f>$D55*Fleet!P233/10^7</f>
        <v>0</v>
      </c>
      <c r="O55" s="145">
        <f>$D55*Fleet!Q233/10^7</f>
        <v>0</v>
      </c>
      <c r="P55" s="145">
        <f>$D55*Fleet!R233/10^7</f>
        <v>0</v>
      </c>
      <c r="Q55" s="145">
        <f>$D55*Fleet!S233/10^7</f>
        <v>0</v>
      </c>
      <c r="R55" s="145">
        <f>$D55*Fleet!T233/10^7</f>
        <v>0</v>
      </c>
      <c r="S55" s="145">
        <f>$D55*Fleet!U233/10^7</f>
        <v>0</v>
      </c>
      <c r="T55" s="145">
        <f>$D55*Fleet!V233/10^7</f>
        <v>0</v>
      </c>
      <c r="U55" s="145">
        <f>$D55*Fleet!W233/10^7</f>
        <v>0</v>
      </c>
      <c r="V55" s="145">
        <f>$D55*Fleet!X233/10^7</f>
        <v>0</v>
      </c>
      <c r="W55" s="145">
        <f>$D55*Fleet!Y233/10^7</f>
        <v>0</v>
      </c>
      <c r="X55" s="145">
        <f>$D55*Fleet!Z233/10^7</f>
        <v>0</v>
      </c>
      <c r="Y55" s="145">
        <f>$D55*Fleet!AA233/10^7</f>
        <v>0</v>
      </c>
      <c r="Z55" s="145">
        <f>$D55*Fleet!AB233/10^7</f>
        <v>0</v>
      </c>
      <c r="AA55" s="145">
        <f>$D55*Fleet!AC233/10^7</f>
        <v>0</v>
      </c>
      <c r="AB55" s="145">
        <f>$D55*Fleet!AD233/10^7</f>
        <v>0</v>
      </c>
      <c r="AC55" s="145">
        <f>$D55*Fleet!AE233/10^7</f>
        <v>0</v>
      </c>
      <c r="AD55" s="145">
        <f>$D55*Fleet!AF233/10^7</f>
        <v>0</v>
      </c>
      <c r="AE55" s="145">
        <f>$D55*Fleet!AG233/10^7</f>
        <v>0</v>
      </c>
      <c r="AF55" s="145">
        <f>$D55*Fleet!AH233/10^7</f>
        <v>0</v>
      </c>
      <c r="AG55" s="145">
        <f>$D55*Fleet!AI233/10^7</f>
        <v>0</v>
      </c>
      <c r="AH55" s="145">
        <f>$D55*Fleet!AJ233/10^7</f>
        <v>0</v>
      </c>
      <c r="AI55" s="145">
        <f>$D55*Fleet!AK233/10^7</f>
        <v>0</v>
      </c>
      <c r="AJ55" s="145">
        <f>$D55*Fleet!AL233/10^7</f>
        <v>0</v>
      </c>
      <c r="AK55" s="145">
        <f>$D55*Fleet!AM233/10^7</f>
        <v>0</v>
      </c>
      <c r="AL55" s="145">
        <f>$D55*Fleet!AN233/10^7</f>
        <v>0</v>
      </c>
      <c r="AM55" s="145">
        <f>$D55*Fleet!AO233/10^7</f>
        <v>0</v>
      </c>
      <c r="AN55" s="145">
        <f>$D55*Fleet!AP233/10^7</f>
        <v>0</v>
      </c>
      <c r="AO55" s="145">
        <f>$D55*Fleet!AQ233/10^7</f>
        <v>0</v>
      </c>
      <c r="AP55" s="179"/>
      <c r="AQ55" s="179"/>
      <c r="AR55" s="179"/>
      <c r="AS55" s="179"/>
      <c r="AT55" s="179"/>
      <c r="AU55" s="179"/>
      <c r="AV55" s="179"/>
      <c r="AW55" s="179"/>
      <c r="AX55" s="179"/>
      <c r="AY55" s="179"/>
      <c r="AZ55" s="179"/>
      <c r="BA55" s="179"/>
      <c r="BB55" s="179"/>
      <c r="BC55" s="179"/>
      <c r="BD55" s="179"/>
    </row>
    <row r="56" spans="1:56">
      <c r="A56" s="168" t="str">
        <f t="shared" si="2"/>
        <v>Thin Parting, Topsoil &amp; Coal (From Drill &amp; Blast)</v>
      </c>
      <c r="B56" s="165" t="str">
        <f t="shared" si="2"/>
        <v>Diesel hydraulic Shovel/ 4.6 cum</v>
      </c>
      <c r="C56" s="171" t="s">
        <v>134</v>
      </c>
      <c r="D56" s="174">
        <f t="shared" si="3"/>
        <v>1083456</v>
      </c>
      <c r="E56" s="145">
        <f>$D56*Fleet!G234/10^7</f>
        <v>0</v>
      </c>
      <c r="F56" s="145">
        <f>$D56*Fleet!H234/10^7</f>
        <v>0</v>
      </c>
      <c r="G56" s="145">
        <f>$D56*Fleet!I234/10^7</f>
        <v>0</v>
      </c>
      <c r="H56" s="145">
        <f>$D56*Fleet!J234/10^7</f>
        <v>0</v>
      </c>
      <c r="I56" s="145">
        <f>$D56*Fleet!K234/10^7</f>
        <v>0.3078618155734969</v>
      </c>
      <c r="J56" s="145">
        <f>$D56*Fleet!L234/10^7</f>
        <v>0.36543270465453948</v>
      </c>
      <c r="K56" s="145">
        <f>$D56*Fleet!M234/10^7</f>
        <v>0.37803624701264593</v>
      </c>
      <c r="L56" s="145">
        <f>$D56*Fleet!N234/10^7</f>
        <v>0.77148533965800725</v>
      </c>
      <c r="M56" s="145">
        <f>$D56*Fleet!O234/10^7</f>
        <v>0.7665588446843824</v>
      </c>
      <c r="N56" s="145">
        <f>$D56*Fleet!P234/10^7</f>
        <v>0.99126453479126986</v>
      </c>
      <c r="O56" s="145">
        <f>$D56*Fleet!Q234/10^7</f>
        <v>0.91632904633077183</v>
      </c>
      <c r="P56" s="145">
        <f>$D56*Fleet!R234/10^7</f>
        <v>0.78366688489540326</v>
      </c>
      <c r="Q56" s="145">
        <f>$D56*Fleet!S234/10^7</f>
        <v>0.81217191158064517</v>
      </c>
      <c r="R56" s="145">
        <f>$D56*Fleet!T234/10^7</f>
        <v>0.73592846923598876</v>
      </c>
      <c r="S56" s="145">
        <f>$D56*Fleet!U234/10^7</f>
        <v>0.81568509376757137</v>
      </c>
      <c r="T56" s="145">
        <f>$D56*Fleet!V234/10^7</f>
        <v>0.64644615048115972</v>
      </c>
      <c r="U56" s="145">
        <f>$D56*Fleet!W234/10^7</f>
        <v>0.58052027497266079</v>
      </c>
      <c r="V56" s="145">
        <f>$D56*Fleet!X234/10^7</f>
        <v>0.69556265818898588</v>
      </c>
      <c r="W56" s="145">
        <f>$D56*Fleet!Y234/10^7</f>
        <v>0.69369165323413062</v>
      </c>
      <c r="X56" s="145">
        <f>$D56*Fleet!Z234/10^7</f>
        <v>0.85430615937310173</v>
      </c>
      <c r="Y56" s="145">
        <f>$D56*Fleet!AA234/10^7</f>
        <v>0.53180395145719872</v>
      </c>
      <c r="Z56" s="145">
        <f>$D56*Fleet!AB234/10^7</f>
        <v>0.13298905429888525</v>
      </c>
      <c r="AA56" s="145">
        <f>$D56*Fleet!AC234/10^7</f>
        <v>3.9345217409704314E-2</v>
      </c>
      <c r="AB56" s="145">
        <f>$D56*Fleet!AD234/10^7</f>
        <v>0</v>
      </c>
      <c r="AC56" s="145">
        <f>$D56*Fleet!AE234/10^7</f>
        <v>0</v>
      </c>
      <c r="AD56" s="145">
        <f>$D56*Fleet!AF234/10^7</f>
        <v>0</v>
      </c>
      <c r="AE56" s="145">
        <f>$D56*Fleet!AG234/10^7</f>
        <v>0</v>
      </c>
      <c r="AF56" s="145">
        <f>$D56*Fleet!AH234/10^7</f>
        <v>0</v>
      </c>
      <c r="AG56" s="145">
        <f>$D56*Fleet!AI234/10^7</f>
        <v>0</v>
      </c>
      <c r="AH56" s="145">
        <f>$D56*Fleet!AJ234/10^7</f>
        <v>0</v>
      </c>
      <c r="AI56" s="145">
        <f>$D56*Fleet!AK234/10^7</f>
        <v>0</v>
      </c>
      <c r="AJ56" s="145">
        <f>$D56*Fleet!AL234/10^7</f>
        <v>0</v>
      </c>
      <c r="AK56" s="145">
        <f>$D56*Fleet!AM234/10^7</f>
        <v>0</v>
      </c>
      <c r="AL56" s="145">
        <f>$D56*Fleet!AN234/10^7</f>
        <v>0</v>
      </c>
      <c r="AM56" s="145">
        <f>$D56*Fleet!AO234/10^7</f>
        <v>0</v>
      </c>
      <c r="AN56" s="145">
        <f>$D56*Fleet!AP234/10^7</f>
        <v>0</v>
      </c>
      <c r="AO56" s="145">
        <f>$D56*Fleet!AQ234/10^7</f>
        <v>0</v>
      </c>
      <c r="AP56" s="179"/>
      <c r="AQ56" s="179"/>
      <c r="AR56" s="179"/>
      <c r="AS56" s="179"/>
      <c r="AT56" s="179"/>
      <c r="AU56" s="179"/>
      <c r="AV56" s="179"/>
      <c r="AW56" s="179"/>
      <c r="AX56" s="179"/>
      <c r="AY56" s="179"/>
      <c r="AZ56" s="179"/>
      <c r="BA56" s="179"/>
      <c r="BB56" s="179"/>
      <c r="BC56" s="179"/>
      <c r="BD56" s="179"/>
    </row>
    <row r="57" spans="1:56">
      <c r="A57" s="168" t="str">
        <f t="shared" si="2"/>
        <v>Waste - OB &amp; Thick Parting</v>
      </c>
      <c r="B57" s="165" t="str">
        <f t="shared" si="2"/>
        <v>Diesel hydraulic shovel/ 10 cum</v>
      </c>
      <c r="C57" s="171" t="s">
        <v>134</v>
      </c>
      <c r="D57" s="174">
        <f t="shared" si="3"/>
        <v>0</v>
      </c>
      <c r="E57" s="145">
        <f>$D57*Fleet!G235/10^7</f>
        <v>0</v>
      </c>
      <c r="F57" s="145">
        <f>$D57*Fleet!H235/10^7</f>
        <v>0</v>
      </c>
      <c r="G57" s="145">
        <f>$D57*Fleet!I235/10^7</f>
        <v>0</v>
      </c>
      <c r="H57" s="145">
        <f>$D57*Fleet!J235/10^7</f>
        <v>0</v>
      </c>
      <c r="I57" s="145">
        <f>$D57*Fleet!K235/10^7</f>
        <v>0</v>
      </c>
      <c r="J57" s="145">
        <f>$D57*Fleet!L235/10^7</f>
        <v>0</v>
      </c>
      <c r="K57" s="145">
        <f>$D57*Fleet!M235/10^7</f>
        <v>0</v>
      </c>
      <c r="L57" s="145">
        <f>$D57*Fleet!N235/10^7</f>
        <v>0</v>
      </c>
      <c r="M57" s="145">
        <f>$D57*Fleet!O235/10^7</f>
        <v>0</v>
      </c>
      <c r="N57" s="145">
        <f>$D57*Fleet!P235/10^7</f>
        <v>0</v>
      </c>
      <c r="O57" s="145">
        <f>$D57*Fleet!Q235/10^7</f>
        <v>0</v>
      </c>
      <c r="P57" s="145">
        <f>$D57*Fleet!R235/10^7</f>
        <v>0</v>
      </c>
      <c r="Q57" s="145">
        <f>$D57*Fleet!S235/10^7</f>
        <v>0</v>
      </c>
      <c r="R57" s="145">
        <f>$D57*Fleet!T235/10^7</f>
        <v>0</v>
      </c>
      <c r="S57" s="145">
        <f>$D57*Fleet!U235/10^7</f>
        <v>0</v>
      </c>
      <c r="T57" s="145">
        <f>$D57*Fleet!V235/10^7</f>
        <v>0</v>
      </c>
      <c r="U57" s="145">
        <f>$D57*Fleet!W235/10^7</f>
        <v>0</v>
      </c>
      <c r="V57" s="145">
        <f>$D57*Fleet!X235/10^7</f>
        <v>0</v>
      </c>
      <c r="W57" s="145">
        <f>$D57*Fleet!Y235/10^7</f>
        <v>0</v>
      </c>
      <c r="X57" s="145">
        <f>$D57*Fleet!Z235/10^7</f>
        <v>0</v>
      </c>
      <c r="Y57" s="145">
        <f>$D57*Fleet!AA235/10^7</f>
        <v>0</v>
      </c>
      <c r="Z57" s="145">
        <f>$D57*Fleet!AB235/10^7</f>
        <v>0</v>
      </c>
      <c r="AA57" s="145">
        <f>$D57*Fleet!AC235/10^7</f>
        <v>0</v>
      </c>
      <c r="AB57" s="145">
        <f>$D57*Fleet!AD235/10^7</f>
        <v>0</v>
      </c>
      <c r="AC57" s="145">
        <f>$D57*Fleet!AE235/10^7</f>
        <v>0</v>
      </c>
      <c r="AD57" s="145">
        <f>$D57*Fleet!AF235/10^7</f>
        <v>0</v>
      </c>
      <c r="AE57" s="145">
        <f>$D57*Fleet!AG235/10^7</f>
        <v>0</v>
      </c>
      <c r="AF57" s="145">
        <f>$D57*Fleet!AH235/10^7</f>
        <v>0</v>
      </c>
      <c r="AG57" s="145">
        <f>$D57*Fleet!AI235/10^7</f>
        <v>0</v>
      </c>
      <c r="AH57" s="145">
        <f>$D57*Fleet!AJ235/10^7</f>
        <v>0</v>
      </c>
      <c r="AI57" s="145">
        <f>$D57*Fleet!AK235/10^7</f>
        <v>0</v>
      </c>
      <c r="AJ57" s="145">
        <f>$D57*Fleet!AL235/10^7</f>
        <v>0</v>
      </c>
      <c r="AK57" s="145">
        <f>$D57*Fleet!AM235/10^7</f>
        <v>0</v>
      </c>
      <c r="AL57" s="145">
        <f>$D57*Fleet!AN235/10^7</f>
        <v>0</v>
      </c>
      <c r="AM57" s="145">
        <f>$D57*Fleet!AO235/10^7</f>
        <v>0</v>
      </c>
      <c r="AN57" s="145">
        <f>$D57*Fleet!AP235/10^7</f>
        <v>0</v>
      </c>
      <c r="AO57" s="145">
        <f>$D57*Fleet!AQ235/10^7</f>
        <v>0</v>
      </c>
      <c r="AP57" s="179"/>
      <c r="AQ57" s="179"/>
      <c r="AR57" s="179"/>
      <c r="AS57" s="179"/>
      <c r="AT57" s="179"/>
      <c r="AU57" s="179"/>
      <c r="AV57" s="179"/>
      <c r="AW57" s="179"/>
      <c r="AX57" s="179"/>
      <c r="AY57" s="179"/>
      <c r="AZ57" s="179"/>
      <c r="BA57" s="179"/>
      <c r="BB57" s="179"/>
      <c r="BC57" s="179"/>
      <c r="BD57" s="179"/>
    </row>
    <row r="58" spans="1:56">
      <c r="A58" s="168" t="str">
        <f t="shared" si="2"/>
        <v>Rehandling by Own Trucks and Excavators</v>
      </c>
      <c r="B58" s="165" t="str">
        <f t="shared" si="2"/>
        <v>Diesel hydraulic Shovel/ 3.4 cum</v>
      </c>
      <c r="C58" s="171" t="s">
        <v>134</v>
      </c>
      <c r="D58" s="174">
        <f t="shared" si="3"/>
        <v>677160</v>
      </c>
      <c r="E58" s="145">
        <f>$D58*Fleet!G236/10^7</f>
        <v>0</v>
      </c>
      <c r="F58" s="145">
        <f>$D58*Fleet!H236/10^7</f>
        <v>0</v>
      </c>
      <c r="G58" s="145">
        <f>$D58*Fleet!I236/10^7</f>
        <v>0</v>
      </c>
      <c r="H58" s="145">
        <f>$D58*Fleet!J236/10^7</f>
        <v>0</v>
      </c>
      <c r="I58" s="145">
        <f>$D58*Fleet!K236/10^7</f>
        <v>0</v>
      </c>
      <c r="J58" s="145">
        <f>$D58*Fleet!L236/10^7</f>
        <v>0</v>
      </c>
      <c r="K58" s="145">
        <f>$D58*Fleet!M236/10^7</f>
        <v>0</v>
      </c>
      <c r="L58" s="145">
        <f>$D58*Fleet!N236/10^7</f>
        <v>0</v>
      </c>
      <c r="M58" s="145">
        <f>$D58*Fleet!O236/10^7</f>
        <v>0</v>
      </c>
      <c r="N58" s="145">
        <f>$D58*Fleet!P236/10^7</f>
        <v>0</v>
      </c>
      <c r="O58" s="145">
        <f>$D58*Fleet!Q236/10^7</f>
        <v>0</v>
      </c>
      <c r="P58" s="145">
        <f>$D58*Fleet!R236/10^7</f>
        <v>0</v>
      </c>
      <c r="Q58" s="145">
        <f>$D58*Fleet!S236/10^7</f>
        <v>0</v>
      </c>
      <c r="R58" s="145">
        <f>$D58*Fleet!T236/10^7</f>
        <v>0</v>
      </c>
      <c r="S58" s="145">
        <f>$D58*Fleet!U236/10^7</f>
        <v>0</v>
      </c>
      <c r="T58" s="145">
        <f>$D58*Fleet!V236/10^7</f>
        <v>0</v>
      </c>
      <c r="U58" s="145">
        <f>$D58*Fleet!W236/10^7</f>
        <v>0</v>
      </c>
      <c r="V58" s="145">
        <f>$D58*Fleet!X236/10^7</f>
        <v>0</v>
      </c>
      <c r="W58" s="145">
        <f>$D58*Fleet!Y236/10^7</f>
        <v>0</v>
      </c>
      <c r="X58" s="145">
        <f>$D58*Fleet!Z236/10^7</f>
        <v>0</v>
      </c>
      <c r="Y58" s="145">
        <f>$D58*Fleet!AA236/10^7</f>
        <v>0</v>
      </c>
      <c r="Z58" s="145">
        <f>$D58*Fleet!AB236/10^7</f>
        <v>0</v>
      </c>
      <c r="AA58" s="145">
        <f>$D58*Fleet!AC236/10^7</f>
        <v>0</v>
      </c>
      <c r="AB58" s="145">
        <f>$D58*Fleet!AD236/10^7</f>
        <v>0</v>
      </c>
      <c r="AC58" s="145">
        <f>$D58*Fleet!AE236/10^7</f>
        <v>0</v>
      </c>
      <c r="AD58" s="145">
        <f>$D58*Fleet!AF236/10^7</f>
        <v>0</v>
      </c>
      <c r="AE58" s="145">
        <f>$D58*Fleet!AG236/10^7</f>
        <v>0</v>
      </c>
      <c r="AF58" s="145">
        <f>$D58*Fleet!AH236/10^7</f>
        <v>0</v>
      </c>
      <c r="AG58" s="145">
        <f>$D58*Fleet!AI236/10^7</f>
        <v>0</v>
      </c>
      <c r="AH58" s="145">
        <f>$D58*Fleet!AJ236/10^7</f>
        <v>0</v>
      </c>
      <c r="AI58" s="145">
        <f>$D58*Fleet!AK236/10^7</f>
        <v>0</v>
      </c>
      <c r="AJ58" s="145">
        <f>$D58*Fleet!AL236/10^7</f>
        <v>0</v>
      </c>
      <c r="AK58" s="145">
        <f>$D58*Fleet!AM236/10^7</f>
        <v>0</v>
      </c>
      <c r="AL58" s="145">
        <f>$D58*Fleet!AN236/10^7</f>
        <v>0</v>
      </c>
      <c r="AM58" s="145">
        <f>$D58*Fleet!AO236/10^7</f>
        <v>0</v>
      </c>
      <c r="AN58" s="145">
        <f>$D58*Fleet!AP236/10^7</f>
        <v>0</v>
      </c>
      <c r="AO58" s="145">
        <f>$D58*Fleet!AQ236/10^7</f>
        <v>0</v>
      </c>
      <c r="AP58" s="179"/>
      <c r="AQ58" s="179"/>
      <c r="AR58" s="179"/>
      <c r="AS58" s="179"/>
      <c r="AT58" s="179"/>
      <c r="AU58" s="179"/>
      <c r="AV58" s="179"/>
      <c r="AW58" s="179"/>
      <c r="AX58" s="179"/>
      <c r="AY58" s="179"/>
      <c r="AZ58" s="179"/>
      <c r="BA58" s="179"/>
      <c r="BB58" s="179"/>
      <c r="BC58" s="179"/>
      <c r="BD58" s="179"/>
    </row>
    <row r="59" spans="1:56">
      <c r="A59" s="168" t="str">
        <f t="shared" si="2"/>
        <v>Miscelleneous</v>
      </c>
      <c r="B59" s="165" t="str">
        <f t="shared" si="2"/>
        <v>Diesel hydraulic Shovel/ 3.4 cum</v>
      </c>
      <c r="C59" s="171" t="s">
        <v>134</v>
      </c>
      <c r="D59" s="174">
        <f t="shared" si="3"/>
        <v>677160</v>
      </c>
      <c r="E59" s="145">
        <f>$D59*Fleet!G237/10^7</f>
        <v>0</v>
      </c>
      <c r="F59" s="145">
        <f>$D59*Fleet!H237/10^7</f>
        <v>0</v>
      </c>
      <c r="G59" s="145">
        <f>$D59*Fleet!I237/10^7</f>
        <v>0</v>
      </c>
      <c r="H59" s="145">
        <f>$D59*Fleet!J237/10^7</f>
        <v>0</v>
      </c>
      <c r="I59" s="145">
        <f>$D59*Fleet!K237/10^7</f>
        <v>0</v>
      </c>
      <c r="J59" s="145">
        <f>$D59*Fleet!L237/10^7</f>
        <v>0</v>
      </c>
      <c r="K59" s="145">
        <f>$D59*Fleet!M237/10^7</f>
        <v>0</v>
      </c>
      <c r="L59" s="145">
        <f>$D59*Fleet!N237/10^7</f>
        <v>0</v>
      </c>
      <c r="M59" s="145">
        <f>$D59*Fleet!O237/10^7</f>
        <v>0</v>
      </c>
      <c r="N59" s="145">
        <f>$D59*Fleet!P237/10^7</f>
        <v>0</v>
      </c>
      <c r="O59" s="145">
        <f>$D59*Fleet!Q237/10^7</f>
        <v>0</v>
      </c>
      <c r="P59" s="145">
        <f>$D59*Fleet!R237/10^7</f>
        <v>0</v>
      </c>
      <c r="Q59" s="145">
        <f>$D59*Fleet!S237/10^7</f>
        <v>0</v>
      </c>
      <c r="R59" s="145">
        <f>$D59*Fleet!T237/10^7</f>
        <v>0</v>
      </c>
      <c r="S59" s="145">
        <f>$D59*Fleet!U237/10^7</f>
        <v>0</v>
      </c>
      <c r="T59" s="145">
        <f>$D59*Fleet!V237/10^7</f>
        <v>0</v>
      </c>
      <c r="U59" s="145">
        <f>$D59*Fleet!W237/10^7</f>
        <v>0</v>
      </c>
      <c r="V59" s="145">
        <f>$D59*Fleet!X237/10^7</f>
        <v>0</v>
      </c>
      <c r="W59" s="145">
        <f>$D59*Fleet!Y237/10^7</f>
        <v>0</v>
      </c>
      <c r="X59" s="145">
        <f>$D59*Fleet!Z237/10^7</f>
        <v>0</v>
      </c>
      <c r="Y59" s="145">
        <f>$D59*Fleet!AA237/10^7</f>
        <v>0</v>
      </c>
      <c r="Z59" s="145">
        <f>$D59*Fleet!AB237/10^7</f>
        <v>0</v>
      </c>
      <c r="AA59" s="145">
        <f>$D59*Fleet!AC237/10^7</f>
        <v>0</v>
      </c>
      <c r="AB59" s="145">
        <f>$D59*Fleet!AD237/10^7</f>
        <v>0</v>
      </c>
      <c r="AC59" s="145">
        <f>$D59*Fleet!AE237/10^7</f>
        <v>0</v>
      </c>
      <c r="AD59" s="145">
        <f>$D59*Fleet!AF237/10^7</f>
        <v>0</v>
      </c>
      <c r="AE59" s="145">
        <f>$D59*Fleet!AG237/10^7</f>
        <v>0</v>
      </c>
      <c r="AF59" s="145">
        <f>$D59*Fleet!AH237/10^7</f>
        <v>0</v>
      </c>
      <c r="AG59" s="145">
        <f>$D59*Fleet!AI237/10^7</f>
        <v>0</v>
      </c>
      <c r="AH59" s="145">
        <f>$D59*Fleet!AJ237/10^7</f>
        <v>0</v>
      </c>
      <c r="AI59" s="145">
        <f>$D59*Fleet!AK237/10^7</f>
        <v>0</v>
      </c>
      <c r="AJ59" s="145">
        <f>$D59*Fleet!AL237/10^7</f>
        <v>0</v>
      </c>
      <c r="AK59" s="145">
        <f>$D59*Fleet!AM237/10^7</f>
        <v>0</v>
      </c>
      <c r="AL59" s="145">
        <f>$D59*Fleet!AN237/10^7</f>
        <v>0</v>
      </c>
      <c r="AM59" s="145">
        <f>$D59*Fleet!AO237/10^7</f>
        <v>0</v>
      </c>
      <c r="AN59" s="145">
        <f>$D59*Fleet!AP237/10^7</f>
        <v>0</v>
      </c>
      <c r="AO59" s="145">
        <f>$D59*Fleet!AQ237/10^7</f>
        <v>0</v>
      </c>
      <c r="AP59" s="179"/>
      <c r="AQ59" s="179"/>
      <c r="AR59" s="179"/>
      <c r="AS59" s="179"/>
      <c r="AT59" s="179"/>
      <c r="AU59" s="179"/>
      <c r="AV59" s="179"/>
      <c r="AW59" s="179"/>
      <c r="AX59" s="179"/>
      <c r="AY59" s="179"/>
      <c r="AZ59" s="179"/>
      <c r="BA59" s="179"/>
      <c r="BB59" s="179"/>
      <c r="BC59" s="179"/>
      <c r="BD59" s="179"/>
    </row>
    <row r="60" spans="1:56">
      <c r="A60" s="168" t="str">
        <f t="shared" si="2"/>
        <v>Coal/Ore</v>
      </c>
      <c r="B60" s="165" t="str">
        <f t="shared" si="2"/>
        <v>Surface Miner/ 2200 SM</v>
      </c>
      <c r="C60" s="171" t="s">
        <v>134</v>
      </c>
      <c r="D60" s="174">
        <f t="shared" si="3"/>
        <v>2302344.0000000005</v>
      </c>
      <c r="E60" s="145">
        <f>$D60*Fleet!G238/10^7</f>
        <v>0</v>
      </c>
      <c r="F60" s="145">
        <f>$D60*Fleet!H238/10^7</f>
        <v>0</v>
      </c>
      <c r="G60" s="145">
        <f>$D60*Fleet!I238/10^7</f>
        <v>0</v>
      </c>
      <c r="H60" s="145">
        <f>$D60*Fleet!J238/10^7</f>
        <v>0</v>
      </c>
      <c r="I60" s="145">
        <f>$D60*Fleet!K238/10^7</f>
        <v>0</v>
      </c>
      <c r="J60" s="145">
        <f>$D60*Fleet!L238/10^7</f>
        <v>0</v>
      </c>
      <c r="K60" s="145">
        <f>$D60*Fleet!M238/10^7</f>
        <v>0.31298452468386639</v>
      </c>
      <c r="L60" s="145">
        <f>$D60*Fleet!N238/10^7</f>
        <v>0.46947668667514536</v>
      </c>
      <c r="M60" s="145">
        <f>$D60*Fleet!O238/10^7</f>
        <v>0.5868457412681688</v>
      </c>
      <c r="N60" s="145">
        <f>$D60*Fleet!P238/10^7</f>
        <v>0.58684620957122113</v>
      </c>
      <c r="O60" s="145">
        <f>$D60*Fleet!Q238/10^7</f>
        <v>0.58684587506904073</v>
      </c>
      <c r="P60" s="145">
        <f>$D60*Fleet!R238/10^7</f>
        <v>0.58684580816860465</v>
      </c>
      <c r="Q60" s="145">
        <f>$D60*Fleet!S238/10^7</f>
        <v>0.58684607577034886</v>
      </c>
      <c r="R60" s="145">
        <f>$D60*Fleet!T238/10^7</f>
        <v>0.5868457412681688</v>
      </c>
      <c r="S60" s="145">
        <f>$D60*Fleet!U238/10^7</f>
        <v>0.58684580816860465</v>
      </c>
      <c r="T60" s="145">
        <f>$D60*Fleet!V238/10^7</f>
        <v>0.58684600886991289</v>
      </c>
      <c r="U60" s="145">
        <f>$D60*Fleet!W238/10^7</f>
        <v>0.5868465440734012</v>
      </c>
      <c r="V60" s="145">
        <f>$D60*Fleet!X238/10^7</f>
        <v>0.58684600886991289</v>
      </c>
      <c r="W60" s="145">
        <f>$D60*Fleet!Y238/10^7</f>
        <v>0.58684600886991289</v>
      </c>
      <c r="X60" s="145">
        <f>$D60*Fleet!Z238/10^7</f>
        <v>0.5868459419694767</v>
      </c>
      <c r="Y60" s="145">
        <f>$D60*Fleet!AA238/10^7</f>
        <v>0.39123060567950591</v>
      </c>
      <c r="Z60" s="145">
        <f>$D60*Fleet!AB238/10^7</f>
        <v>0.29342307133539247</v>
      </c>
      <c r="AA60" s="145">
        <f>$D60*Fleet!AC238/10^7</f>
        <v>8.6242522865188964E-2</v>
      </c>
      <c r="AB60" s="145">
        <f>$D60*Fleet!AD238/10^7</f>
        <v>0</v>
      </c>
      <c r="AC60" s="145">
        <f>$D60*Fleet!AE238/10^7</f>
        <v>0</v>
      </c>
      <c r="AD60" s="145">
        <f>$D60*Fleet!AF238/10^7</f>
        <v>0</v>
      </c>
      <c r="AE60" s="145">
        <f>$D60*Fleet!AG238/10^7</f>
        <v>0</v>
      </c>
      <c r="AF60" s="145">
        <f>$D60*Fleet!AH238/10^7</f>
        <v>0</v>
      </c>
      <c r="AG60" s="145">
        <f>$D60*Fleet!AI238/10^7</f>
        <v>0</v>
      </c>
      <c r="AH60" s="145">
        <f>$D60*Fleet!AJ238/10^7</f>
        <v>0</v>
      </c>
      <c r="AI60" s="145">
        <f>$D60*Fleet!AK238/10^7</f>
        <v>0</v>
      </c>
      <c r="AJ60" s="145">
        <f>$D60*Fleet!AL238/10^7</f>
        <v>0</v>
      </c>
      <c r="AK60" s="145">
        <f>$D60*Fleet!AM238/10^7</f>
        <v>0</v>
      </c>
      <c r="AL60" s="145">
        <f>$D60*Fleet!AN238/10^7</f>
        <v>0</v>
      </c>
      <c r="AM60" s="145">
        <f>$D60*Fleet!AO238/10^7</f>
        <v>0</v>
      </c>
      <c r="AN60" s="145">
        <f>$D60*Fleet!AP238/10^7</f>
        <v>0</v>
      </c>
      <c r="AO60" s="145">
        <f>$D60*Fleet!AQ238/10^7</f>
        <v>0</v>
      </c>
      <c r="AP60" s="179"/>
      <c r="AQ60" s="179"/>
      <c r="AR60" s="179"/>
      <c r="AS60" s="179"/>
      <c r="AT60" s="179"/>
      <c r="AU60" s="179"/>
      <c r="AV60" s="179"/>
      <c r="AW60" s="179"/>
      <c r="AX60" s="179"/>
      <c r="AY60" s="179"/>
      <c r="AZ60" s="179"/>
      <c r="BA60" s="179"/>
      <c r="BB60" s="179"/>
      <c r="BC60" s="179"/>
      <c r="BD60" s="179"/>
    </row>
    <row r="61" spans="1:56">
      <c r="A61" s="168" t="str">
        <f t="shared" si="2"/>
        <v>With SM/Ripper</v>
      </c>
      <c r="B61" s="165" t="str">
        <f t="shared" si="2"/>
        <v>Front End Loader/ 6.4 cum</v>
      </c>
      <c r="C61" s="171" t="s">
        <v>134</v>
      </c>
      <c r="D61" s="174">
        <f>$G$50*D15</f>
        <v>5979699</v>
      </c>
      <c r="E61" s="145">
        <f>$D61*Fleet!G239/10^7</f>
        <v>0</v>
      </c>
      <c r="F61" s="145">
        <f>$D61*Fleet!H239/10^7</f>
        <v>0</v>
      </c>
      <c r="G61" s="145">
        <f>$D61*Fleet!I239/10^7</f>
        <v>0</v>
      </c>
      <c r="H61" s="145">
        <f>$D61*Fleet!J239/10^7</f>
        <v>0</v>
      </c>
      <c r="I61" s="145">
        <f>$D61*Fleet!K239/10^7</f>
        <v>0</v>
      </c>
      <c r="J61" s="145">
        <f>$D61*Fleet!L239/10^7</f>
        <v>0</v>
      </c>
      <c r="K61" s="145">
        <f>$D61*Fleet!M239/10^7</f>
        <v>1.105769978700812</v>
      </c>
      <c r="L61" s="145">
        <f>$D61*Fleet!N239/10^7</f>
        <v>1.6586546135137508</v>
      </c>
      <c r="M61" s="145">
        <f>$D61*Fleet!O239/10^7</f>
        <v>2.0733178532651437</v>
      </c>
      <c r="N61" s="145">
        <f>$D61*Fleet!P239/10^7</f>
        <v>2.0733195077733235</v>
      </c>
      <c r="O61" s="145">
        <f>$D61*Fleet!Q239/10^7</f>
        <v>2.0733183259817665</v>
      </c>
      <c r="P61" s="145">
        <f>$D61*Fleet!R239/10^7</f>
        <v>2.0733180896234549</v>
      </c>
      <c r="Q61" s="145">
        <f>$D61*Fleet!S239/10^7</f>
        <v>2.0733190350567003</v>
      </c>
      <c r="R61" s="145">
        <f>$D61*Fleet!T239/10^7</f>
        <v>2.0733178532651437</v>
      </c>
      <c r="S61" s="145">
        <f>$D61*Fleet!U239/10^7</f>
        <v>2.0733180896234549</v>
      </c>
      <c r="T61" s="145">
        <f>$D61*Fleet!V239/10^7</f>
        <v>2.0733187986983892</v>
      </c>
      <c r="U61" s="145">
        <f>$D61*Fleet!W239/10^7</f>
        <v>2.0733206895648801</v>
      </c>
      <c r="V61" s="145">
        <f>$D61*Fleet!X239/10^7</f>
        <v>2.0733187986983892</v>
      </c>
      <c r="W61" s="145">
        <f>$D61*Fleet!Y239/10^7</f>
        <v>2.0733187986983892</v>
      </c>
      <c r="X61" s="145">
        <f>$D61*Fleet!Z239/10^7</f>
        <v>2.0733185623400776</v>
      </c>
      <c r="Y61" s="145">
        <f>$D61*Fleet!AA239/10^7</f>
        <v>1.3822122961072816</v>
      </c>
      <c r="Z61" s="145">
        <f>$D61*Fleet!AB239/10^7</f>
        <v>1.036659635707506</v>
      </c>
      <c r="AA61" s="145">
        <f>$D61*Fleet!AC239/10^7</f>
        <v>0.30469363546989486</v>
      </c>
      <c r="AB61" s="145">
        <f>$D61*Fleet!AD239/10^7</f>
        <v>0</v>
      </c>
      <c r="AC61" s="145">
        <f>$D61*Fleet!AE239/10^7</f>
        <v>0</v>
      </c>
      <c r="AD61" s="145">
        <f>$D61*Fleet!AF239/10^7</f>
        <v>0</v>
      </c>
      <c r="AE61" s="145">
        <f>$D61*Fleet!AG239/10^7</f>
        <v>0</v>
      </c>
      <c r="AF61" s="145">
        <f>$D61*Fleet!AH239/10^7</f>
        <v>0</v>
      </c>
      <c r="AG61" s="145">
        <f>$D61*Fleet!AI239/10^7</f>
        <v>0</v>
      </c>
      <c r="AH61" s="145">
        <f>$D61*Fleet!AJ239/10^7</f>
        <v>0</v>
      </c>
      <c r="AI61" s="145">
        <f>$D61*Fleet!AK239/10^7</f>
        <v>0</v>
      </c>
      <c r="AJ61" s="145">
        <f>$D61*Fleet!AL239/10^7</f>
        <v>0</v>
      </c>
      <c r="AK61" s="145">
        <f>$D61*Fleet!AM239/10^7</f>
        <v>0</v>
      </c>
      <c r="AL61" s="145">
        <f>$D61*Fleet!AN239/10^7</f>
        <v>0</v>
      </c>
      <c r="AM61" s="145">
        <f>$D61*Fleet!AO239/10^7</f>
        <v>0</v>
      </c>
      <c r="AN61" s="145">
        <f>$D61*Fleet!AP239/10^7</f>
        <v>0</v>
      </c>
      <c r="AO61" s="145">
        <f>$D61*Fleet!AQ239/10^7</f>
        <v>0</v>
      </c>
      <c r="AP61" s="179"/>
      <c r="AQ61" s="179"/>
      <c r="AR61" s="179"/>
      <c r="AS61" s="179"/>
      <c r="AT61" s="179"/>
      <c r="AU61" s="179"/>
      <c r="AV61" s="179"/>
      <c r="AW61" s="179"/>
      <c r="AX61" s="179"/>
      <c r="AY61" s="179"/>
      <c r="AZ61" s="179"/>
      <c r="BA61" s="179"/>
      <c r="BB61" s="179"/>
      <c r="BC61" s="179"/>
      <c r="BD61" s="179"/>
    </row>
    <row r="62" spans="1:56">
      <c r="A62" s="168" t="str">
        <f t="shared" si="2"/>
        <v>Miscelleneous</v>
      </c>
      <c r="B62" s="165" t="str">
        <f t="shared" si="2"/>
        <v>Front End Loader/ 1.7cum</v>
      </c>
      <c r="C62" s="171" t="s">
        <v>134</v>
      </c>
      <c r="D62" s="174">
        <f>$G$50*D16</f>
        <v>722304</v>
      </c>
      <c r="E62" s="145">
        <f>$D62*Fleet!G240/10^7</f>
        <v>6.3804132913657628E-3</v>
      </c>
      <c r="F62" s="145">
        <f>$D62*Fleet!H240/10^7</f>
        <v>1.2760823855104511E-2</v>
      </c>
      <c r="G62" s="145">
        <f>$D62*Fleet!I240/10^7</f>
        <v>2.5521658620717085E-2</v>
      </c>
      <c r="H62" s="145">
        <f>$D62*Fleet!J240/10^7</f>
        <v>3.8282479748194563E-2</v>
      </c>
      <c r="I62" s="145">
        <f>$D62*Fleet!K240/10^7</f>
        <v>4.7853090138548666E-2</v>
      </c>
      <c r="J62" s="145">
        <f>$D62*Fleet!L240/10^7</f>
        <v>4.7853128325326899E-2</v>
      </c>
      <c r="K62" s="145">
        <f>$D62*Fleet!M240/10^7</f>
        <v>4.7853101049056733E-2</v>
      </c>
      <c r="L62" s="145">
        <f>$D62*Fleet!N240/10^7</f>
        <v>4.78530955938027E-2</v>
      </c>
      <c r="M62" s="145">
        <f>$D62*Fleet!O240/10^7</f>
        <v>4.7853117414818812E-2</v>
      </c>
      <c r="N62" s="145">
        <f>$D62*Fleet!P240/10^7</f>
        <v>4.7853090138548666E-2</v>
      </c>
      <c r="O62" s="145">
        <f>$D62*Fleet!Q240/10^7</f>
        <v>4.78530955938027E-2</v>
      </c>
      <c r="P62" s="145">
        <f>$D62*Fleet!R240/10^7</f>
        <v>4.7853111959564792E-2</v>
      </c>
      <c r="Q62" s="145">
        <f>$D62*Fleet!S240/10^7</f>
        <v>4.7853155601597058E-2</v>
      </c>
      <c r="R62" s="145">
        <f>$D62*Fleet!T240/10^7</f>
        <v>4.7853111959564792E-2</v>
      </c>
      <c r="S62" s="145">
        <f>$D62*Fleet!U240/10^7</f>
        <v>4.7853111959564792E-2</v>
      </c>
      <c r="T62" s="145">
        <f>$D62*Fleet!V240/10^7</f>
        <v>4.7853106504310759E-2</v>
      </c>
      <c r="U62" s="145">
        <f>$D62*Fleet!W240/10^7</f>
        <v>3.1902069184455831E-2</v>
      </c>
      <c r="V62" s="145">
        <f>$D62*Fleet!X240/10^7</f>
        <v>2.3926561435036429E-2</v>
      </c>
      <c r="W62" s="145">
        <f>$D62*Fleet!Y240/10^7</f>
        <v>7.0324634400948036E-3</v>
      </c>
      <c r="X62" s="145">
        <f>$D62*Fleet!Z240/10^7</f>
        <v>0</v>
      </c>
      <c r="Y62" s="145">
        <f>$D62*Fleet!AA240/10^7</f>
        <v>0</v>
      </c>
      <c r="Z62" s="145">
        <f>$D62*Fleet!AB240/10^7</f>
        <v>0</v>
      </c>
      <c r="AA62" s="145">
        <f>$D62*Fleet!AC240/10^7</f>
        <v>0</v>
      </c>
      <c r="AB62" s="145">
        <f>$D62*Fleet!AD240/10^7</f>
        <v>0</v>
      </c>
      <c r="AC62" s="145">
        <f>$D62*Fleet!AE240/10^7</f>
        <v>0</v>
      </c>
      <c r="AD62" s="145">
        <f>$D62*Fleet!AF240/10^7</f>
        <v>0</v>
      </c>
      <c r="AE62" s="145">
        <f>$D62*Fleet!AG240/10^7</f>
        <v>0</v>
      </c>
      <c r="AF62" s="145">
        <f>$D62*Fleet!AH240/10^7</f>
        <v>0</v>
      </c>
      <c r="AG62" s="145">
        <f>$D62*Fleet!AI240/10^7</f>
        <v>0</v>
      </c>
      <c r="AH62" s="145">
        <f>$D62*Fleet!AJ240/10^7</f>
        <v>0</v>
      </c>
      <c r="AI62" s="145">
        <f>$D62*Fleet!AK240/10^7</f>
        <v>0</v>
      </c>
      <c r="AJ62" s="145">
        <f>$D62*Fleet!AL240/10^7</f>
        <v>0</v>
      </c>
      <c r="AK62" s="145">
        <f>$D62*Fleet!AM240/10^7</f>
        <v>0</v>
      </c>
      <c r="AL62" s="145">
        <f>$D62*Fleet!AN240/10^7</f>
        <v>0</v>
      </c>
      <c r="AM62" s="145">
        <f>$D62*Fleet!AO240/10^7</f>
        <v>0</v>
      </c>
      <c r="AN62" s="145">
        <f>$D62*Fleet!AP240/10^7</f>
        <v>0</v>
      </c>
      <c r="AO62" s="145">
        <f>$D62*Fleet!AQ240/10^7</f>
        <v>0</v>
      </c>
      <c r="AP62" s="179"/>
      <c r="AQ62" s="179"/>
      <c r="AR62" s="179"/>
      <c r="AS62" s="179"/>
      <c r="AT62" s="179"/>
      <c r="AU62" s="179"/>
      <c r="AV62" s="179"/>
      <c r="AW62" s="179"/>
      <c r="AX62" s="179"/>
      <c r="AY62" s="179"/>
      <c r="AZ62" s="179"/>
      <c r="BA62" s="179"/>
      <c r="BB62" s="179"/>
      <c r="BC62" s="179"/>
      <c r="BD62" s="179"/>
    </row>
    <row r="63" spans="1:56">
      <c r="A63" s="168" t="str">
        <f t="shared" si="2"/>
        <v>Topsoil</v>
      </c>
      <c r="B63" s="165" t="str">
        <f t="shared" si="2"/>
        <v>Tipper/ 20t</v>
      </c>
      <c r="C63" s="171" t="s">
        <v>134</v>
      </c>
      <c r="D63" s="174">
        <f t="shared" ref="D63:D70" si="4">$D$50*D17</f>
        <v>248292</v>
      </c>
      <c r="E63" s="145">
        <f>$D63*Fleet!G241/10^7</f>
        <v>0</v>
      </c>
      <c r="F63" s="145">
        <f>$D63*Fleet!H241/10^7</f>
        <v>0</v>
      </c>
      <c r="G63" s="145">
        <f>$D63*Fleet!I241/10^7</f>
        <v>0</v>
      </c>
      <c r="H63" s="145">
        <f>$D63*Fleet!J241/10^7</f>
        <v>0</v>
      </c>
      <c r="I63" s="145">
        <f>$D63*Fleet!K241/10^7</f>
        <v>0</v>
      </c>
      <c r="J63" s="145">
        <f>$D63*Fleet!L241/10^7</f>
        <v>0</v>
      </c>
      <c r="K63" s="145">
        <f>$D63*Fleet!M241/10^7</f>
        <v>0</v>
      </c>
      <c r="L63" s="145">
        <f>$D63*Fleet!N241/10^7</f>
        <v>0</v>
      </c>
      <c r="M63" s="145">
        <f>$D63*Fleet!O241/10^7</f>
        <v>0</v>
      </c>
      <c r="N63" s="145">
        <f>$D63*Fleet!P241/10^7</f>
        <v>0</v>
      </c>
      <c r="O63" s="145">
        <f>$D63*Fleet!Q241/10^7</f>
        <v>0</v>
      </c>
      <c r="P63" s="145">
        <f>$D63*Fleet!R241/10^7</f>
        <v>0</v>
      </c>
      <c r="Q63" s="145">
        <f>$D63*Fleet!S241/10^7</f>
        <v>0</v>
      </c>
      <c r="R63" s="145">
        <f>$D63*Fleet!T241/10^7</f>
        <v>0</v>
      </c>
      <c r="S63" s="145">
        <f>$D63*Fleet!U241/10^7</f>
        <v>0</v>
      </c>
      <c r="T63" s="145">
        <f>$D63*Fleet!V241/10^7</f>
        <v>0</v>
      </c>
      <c r="U63" s="145">
        <f>$D63*Fleet!W241/10^7</f>
        <v>0</v>
      </c>
      <c r="V63" s="145">
        <f>$D63*Fleet!X241/10^7</f>
        <v>0</v>
      </c>
      <c r="W63" s="145">
        <f>$D63*Fleet!Y241/10^7</f>
        <v>0</v>
      </c>
      <c r="X63" s="145">
        <f>$D63*Fleet!Z241/10^7</f>
        <v>0</v>
      </c>
      <c r="Y63" s="145">
        <f>$D63*Fleet!AA241/10^7</f>
        <v>0</v>
      </c>
      <c r="Z63" s="145">
        <f>$D63*Fleet!AB241/10^7</f>
        <v>0</v>
      </c>
      <c r="AA63" s="145">
        <f>$D63*Fleet!AC241/10^7</f>
        <v>0</v>
      </c>
      <c r="AB63" s="145">
        <f>$D63*Fleet!AD241/10^7</f>
        <v>0</v>
      </c>
      <c r="AC63" s="145">
        <f>$D63*Fleet!AE241/10^7</f>
        <v>0</v>
      </c>
      <c r="AD63" s="145">
        <f>$D63*Fleet!AF241/10^7</f>
        <v>0</v>
      </c>
      <c r="AE63" s="145">
        <f>$D63*Fleet!AG241/10^7</f>
        <v>0</v>
      </c>
      <c r="AF63" s="145">
        <f>$D63*Fleet!AH241/10^7</f>
        <v>0</v>
      </c>
      <c r="AG63" s="145">
        <f>$D63*Fleet!AI241/10^7</f>
        <v>0</v>
      </c>
      <c r="AH63" s="145">
        <f>$D63*Fleet!AJ241/10^7</f>
        <v>0</v>
      </c>
      <c r="AI63" s="145">
        <f>$D63*Fleet!AK241/10^7</f>
        <v>0</v>
      </c>
      <c r="AJ63" s="145">
        <f>$D63*Fleet!AL241/10^7</f>
        <v>0</v>
      </c>
      <c r="AK63" s="145">
        <f>$D63*Fleet!AM241/10^7</f>
        <v>0</v>
      </c>
      <c r="AL63" s="145">
        <f>$D63*Fleet!AN241/10^7</f>
        <v>0</v>
      </c>
      <c r="AM63" s="145">
        <f>$D63*Fleet!AO241/10^7</f>
        <v>0</v>
      </c>
      <c r="AN63" s="145">
        <f>$D63*Fleet!AP241/10^7</f>
        <v>0</v>
      </c>
      <c r="AO63" s="145">
        <f>$D63*Fleet!AQ241/10^7</f>
        <v>0</v>
      </c>
      <c r="AP63" s="179"/>
      <c r="AQ63" s="179"/>
      <c r="AR63" s="179"/>
      <c r="AS63" s="179"/>
      <c r="AT63" s="179"/>
      <c r="AU63" s="179"/>
      <c r="AV63" s="179"/>
      <c r="AW63" s="179"/>
      <c r="AX63" s="179"/>
      <c r="AY63" s="179"/>
      <c r="AZ63" s="179"/>
      <c r="BA63" s="179"/>
      <c r="BB63" s="179"/>
      <c r="BC63" s="179"/>
      <c r="BD63" s="179"/>
    </row>
    <row r="64" spans="1:56">
      <c r="A64" s="168" t="str">
        <f t="shared" si="2"/>
        <v>Thin  Parting + Rehandling</v>
      </c>
      <c r="B64" s="165" t="str">
        <f t="shared" si="2"/>
        <v>Tipper/ 35t</v>
      </c>
      <c r="C64" s="171" t="s">
        <v>134</v>
      </c>
      <c r="D64" s="174">
        <f t="shared" si="4"/>
        <v>428868</v>
      </c>
      <c r="E64" s="145">
        <f>$D64*Fleet!G242/10^7</f>
        <v>0</v>
      </c>
      <c r="F64" s="145">
        <f>$D64*Fleet!H242/10^7</f>
        <v>0</v>
      </c>
      <c r="G64" s="145">
        <f>$D64*Fleet!I242/10^7</f>
        <v>0</v>
      </c>
      <c r="H64" s="145">
        <f>$D64*Fleet!J242/10^7</f>
        <v>0</v>
      </c>
      <c r="I64" s="145">
        <f>$D64*Fleet!K242/10^7</f>
        <v>0</v>
      </c>
      <c r="J64" s="145">
        <f>$D64*Fleet!L242/10^7</f>
        <v>0</v>
      </c>
      <c r="K64" s="145">
        <f>$D64*Fleet!M242/10^7</f>
        <v>0</v>
      </c>
      <c r="L64" s="145">
        <f>$D64*Fleet!N242/10^7</f>
        <v>0.55695651775866639</v>
      </c>
      <c r="M64" s="145">
        <f>$D64*Fleet!O242/10^7</f>
        <v>0.59223201242088885</v>
      </c>
      <c r="N64" s="145">
        <f>$D64*Fleet!P242/10^7</f>
        <v>0.96655384895132468</v>
      </c>
      <c r="O64" s="145">
        <f>$D64*Fleet!Q242/10^7</f>
        <v>0.93259401276489495</v>
      </c>
      <c r="P64" s="145">
        <f>$D64*Fleet!R242/10^7</f>
        <v>0.82454921994133312</v>
      </c>
      <c r="Q64" s="145">
        <f>$D64*Fleet!S242/10^7</f>
        <v>0.89768761961087884</v>
      </c>
      <c r="R64" s="145">
        <f>$D64*Fleet!T242/10^7</f>
        <v>0.83835127025052358</v>
      </c>
      <c r="S64" s="145">
        <f>$D64*Fleet!U242/10^7</f>
        <v>0.92991002090726249</v>
      </c>
      <c r="T64" s="145">
        <f>$D64*Fleet!V242/10^7</f>
        <v>0.70825936953519542</v>
      </c>
      <c r="U64" s="145">
        <f>$D64*Fleet!W242/10^7</f>
        <v>0.61249378175903102</v>
      </c>
      <c r="V64" s="145">
        <f>$D64*Fleet!X242/10^7</f>
        <v>0.74952449167444313</v>
      </c>
      <c r="W64" s="145">
        <f>$D64*Fleet!Y242/10^7</f>
        <v>0.73615974313777266</v>
      </c>
      <c r="X64" s="145">
        <f>$D64*Fleet!Z242/10^7</f>
        <v>0.91045650867691807</v>
      </c>
      <c r="Y64" s="145">
        <f>$D64*Fleet!AA242/10^7</f>
        <v>0.5531792084945969</v>
      </c>
      <c r="Z64" s="145">
        <f>$D64*Fleet!AB242/10^7</f>
        <v>9.3477136813869863E-2</v>
      </c>
      <c r="AA64" s="145">
        <f>$D64*Fleet!AC242/10^7</f>
        <v>2.6678303277745664E-2</v>
      </c>
      <c r="AB64" s="145">
        <f>$D64*Fleet!AD242/10^7</f>
        <v>0</v>
      </c>
      <c r="AC64" s="145">
        <f>$D64*Fleet!AE242/10^7</f>
        <v>0</v>
      </c>
      <c r="AD64" s="145">
        <f>$D64*Fleet!AF242/10^7</f>
        <v>0</v>
      </c>
      <c r="AE64" s="145">
        <f>$D64*Fleet!AG242/10^7</f>
        <v>0</v>
      </c>
      <c r="AF64" s="145">
        <f>$D64*Fleet!AH242/10^7</f>
        <v>0</v>
      </c>
      <c r="AG64" s="145">
        <f>$D64*Fleet!AI242/10^7</f>
        <v>0</v>
      </c>
      <c r="AH64" s="145">
        <f>$D64*Fleet!AJ242/10^7</f>
        <v>0</v>
      </c>
      <c r="AI64" s="145">
        <f>$D64*Fleet!AK242/10^7</f>
        <v>0</v>
      </c>
      <c r="AJ64" s="145">
        <f>$D64*Fleet!AL242/10^7</f>
        <v>0</v>
      </c>
      <c r="AK64" s="145">
        <f>$D64*Fleet!AM242/10^7</f>
        <v>0</v>
      </c>
      <c r="AL64" s="145">
        <f>$D64*Fleet!AN242/10^7</f>
        <v>0</v>
      </c>
      <c r="AM64" s="145">
        <f>$D64*Fleet!AO242/10^7</f>
        <v>0</v>
      </c>
      <c r="AN64" s="145">
        <f>$D64*Fleet!AP242/10^7</f>
        <v>0</v>
      </c>
      <c r="AO64" s="145">
        <f>$D64*Fleet!AQ242/10^7</f>
        <v>0</v>
      </c>
      <c r="AP64" s="179"/>
      <c r="AQ64" s="179"/>
      <c r="AR64" s="179"/>
      <c r="AS64" s="179"/>
      <c r="AT64" s="179"/>
      <c r="AU64" s="179"/>
      <c r="AV64" s="179"/>
      <c r="AW64" s="179"/>
      <c r="AX64" s="179"/>
      <c r="AY64" s="179"/>
      <c r="AZ64" s="179"/>
      <c r="BA64" s="179"/>
      <c r="BB64" s="179"/>
      <c r="BC64" s="179"/>
      <c r="BD64" s="179"/>
    </row>
    <row r="65" spans="1:56">
      <c r="A65" s="168" t="str">
        <f t="shared" si="2"/>
        <v>Waste - OB &amp; Thick Parting</v>
      </c>
      <c r="B65" s="165" t="str">
        <f t="shared" si="2"/>
        <v>Dumper/ 100t</v>
      </c>
      <c r="C65" s="171" t="s">
        <v>134</v>
      </c>
      <c r="D65" s="174">
        <f t="shared" si="4"/>
        <v>1128600</v>
      </c>
      <c r="E65" s="145">
        <f>$D65*Fleet!G243/10^7</f>
        <v>0</v>
      </c>
      <c r="F65" s="145">
        <f>$D65*Fleet!H243/10^7</f>
        <v>0</v>
      </c>
      <c r="G65" s="145">
        <f>$D65*Fleet!I243/10^7</f>
        <v>0</v>
      </c>
      <c r="H65" s="145">
        <f>$D65*Fleet!J243/10^7</f>
        <v>0</v>
      </c>
      <c r="I65" s="145">
        <f>$D65*Fleet!K243/10^7</f>
        <v>0</v>
      </c>
      <c r="J65" s="145">
        <f>$D65*Fleet!L243/10^7</f>
        <v>0</v>
      </c>
      <c r="K65" s="145">
        <f>$D65*Fleet!M243/10^7</f>
        <v>0</v>
      </c>
      <c r="L65" s="145">
        <f>$D65*Fleet!N243/10^7</f>
        <v>2.2884344055756429</v>
      </c>
      <c r="M65" s="145">
        <f>$D65*Fleet!O243/10^7</f>
        <v>2.4277759783014639</v>
      </c>
      <c r="N65" s="145">
        <f>$D65*Fleet!P243/10^7</f>
        <v>3.9258519016764759</v>
      </c>
      <c r="O65" s="145">
        <f>$D65*Fleet!Q243/10^7</f>
        <v>3.7446125433020523</v>
      </c>
      <c r="P65" s="145">
        <f>$D65*Fleet!R243/10^7</f>
        <v>3.3169577683392246</v>
      </c>
      <c r="Q65" s="145">
        <f>$D65*Fleet!S243/10^7</f>
        <v>3.6189247967712292</v>
      </c>
      <c r="R65" s="145">
        <f>$D65*Fleet!T243/10^7</f>
        <v>3.3858272662657729</v>
      </c>
      <c r="S65" s="145">
        <f>$D65*Fleet!U243/10^7</f>
        <v>3.7589484345866642</v>
      </c>
      <c r="T65" s="145">
        <f>$D65*Fleet!V243/10^7</f>
        <v>2.8157731917748605</v>
      </c>
      <c r="U65" s="145">
        <f>$D65*Fleet!W243/10^7</f>
        <v>2.471607706382605</v>
      </c>
      <c r="V65" s="145">
        <f>$D65*Fleet!X243/10^7</f>
        <v>3.0241822446427533</v>
      </c>
      <c r="W65" s="145">
        <f>$D65*Fleet!Y243/10^7</f>
        <v>2.9681893524578902</v>
      </c>
      <c r="X65" s="145">
        <f>$D65*Fleet!Z243/10^7</f>
        <v>3.7243837115637333</v>
      </c>
      <c r="Y65" s="145">
        <f>$D65*Fleet!AA243/10^7</f>
        <v>2.2253704297040557</v>
      </c>
      <c r="Z65" s="145">
        <f>$D65*Fleet!AB243/10^7</f>
        <v>0.37609622723208758</v>
      </c>
      <c r="AA65" s="145">
        <f>$D65*Fleet!AC243/10^7</f>
        <v>0.10306535464716284</v>
      </c>
      <c r="AB65" s="145">
        <f>$D65*Fleet!AD243/10^7</f>
        <v>0</v>
      </c>
      <c r="AC65" s="145">
        <f>$D65*Fleet!AE243/10^7</f>
        <v>0</v>
      </c>
      <c r="AD65" s="145">
        <f>$D65*Fleet!AF243/10^7</f>
        <v>0</v>
      </c>
      <c r="AE65" s="145">
        <f>$D65*Fleet!AG243/10^7</f>
        <v>0</v>
      </c>
      <c r="AF65" s="145">
        <f>$D65*Fleet!AH243/10^7</f>
        <v>0</v>
      </c>
      <c r="AG65" s="145">
        <f>$D65*Fleet!AI243/10^7</f>
        <v>0</v>
      </c>
      <c r="AH65" s="145">
        <f>$D65*Fleet!AJ243/10^7</f>
        <v>0</v>
      </c>
      <c r="AI65" s="145">
        <f>$D65*Fleet!AK243/10^7</f>
        <v>0</v>
      </c>
      <c r="AJ65" s="145">
        <f>$D65*Fleet!AL243/10^7</f>
        <v>0</v>
      </c>
      <c r="AK65" s="145">
        <f>$D65*Fleet!AM243/10^7</f>
        <v>0</v>
      </c>
      <c r="AL65" s="145">
        <f>$D65*Fleet!AN243/10^7</f>
        <v>0</v>
      </c>
      <c r="AM65" s="145">
        <f>$D65*Fleet!AO243/10^7</f>
        <v>0</v>
      </c>
      <c r="AN65" s="145">
        <f>$D65*Fleet!AP243/10^7</f>
        <v>0</v>
      </c>
      <c r="AO65" s="145">
        <f>$D65*Fleet!AQ243/10^7</f>
        <v>0</v>
      </c>
      <c r="AP65" s="179"/>
      <c r="AQ65" s="179"/>
      <c r="AR65" s="179"/>
      <c r="AS65" s="179"/>
      <c r="AT65" s="179"/>
      <c r="AU65" s="179"/>
      <c r="AV65" s="179"/>
      <c r="AW65" s="179"/>
      <c r="AX65" s="179"/>
      <c r="AY65" s="179"/>
      <c r="AZ65" s="179"/>
      <c r="BA65" s="179"/>
      <c r="BB65" s="179"/>
      <c r="BC65" s="179"/>
      <c r="BD65" s="179"/>
    </row>
    <row r="66" spans="1:56">
      <c r="A66" s="168" t="str">
        <f t="shared" si="2"/>
        <v>Coal/Ore</v>
      </c>
      <c r="B66" s="165" t="str">
        <f t="shared" si="2"/>
        <v>Dumper/ 40t</v>
      </c>
      <c r="C66" s="171" t="s">
        <v>134</v>
      </c>
      <c r="D66" s="174">
        <f t="shared" si="4"/>
        <v>451440</v>
      </c>
      <c r="E66" s="145">
        <f>$D66*Fleet!G244/10^7</f>
        <v>0</v>
      </c>
      <c r="F66" s="145">
        <f>$D66*Fleet!H244/10^7</f>
        <v>0</v>
      </c>
      <c r="G66" s="145">
        <f>$D66*Fleet!I244/10^7</f>
        <v>0</v>
      </c>
      <c r="H66" s="145">
        <f>$D66*Fleet!J244/10^7</f>
        <v>0</v>
      </c>
      <c r="I66" s="145">
        <f>$D66*Fleet!K244/10^7</f>
        <v>0.11529299699631367</v>
      </c>
      <c r="J66" s="145">
        <f>$D66*Fleet!L244/10^7</f>
        <v>0.23058594470486507</v>
      </c>
      <c r="K66" s="145">
        <f>$D66*Fleet!M244/10^7</f>
        <v>0.52602441123338861</v>
      </c>
      <c r="L66" s="145">
        <f>$D66*Fleet!N244/10^7</f>
        <v>0.91815150335246143</v>
      </c>
      <c r="M66" s="145">
        <f>$D66*Fleet!O244/10^7</f>
        <v>1.1909981747633669</v>
      </c>
      <c r="N66" s="145">
        <f>$D66*Fleet!P244/10^7</f>
        <v>1.2624590726910296</v>
      </c>
      <c r="O66" s="145">
        <f>$D66*Fleet!Q244/10^7</f>
        <v>1.3150607844684385</v>
      </c>
      <c r="P66" s="145">
        <f>$D66*Fleet!R244/10^7</f>
        <v>1.3722371838798204</v>
      </c>
      <c r="Q66" s="145">
        <f>$D66*Fleet!S244/10^7</f>
        <v>1.4346122555119294</v>
      </c>
      <c r="R66" s="145">
        <f>$D66*Fleet!T244/10^7</f>
        <v>1.4679744944757784</v>
      </c>
      <c r="S66" s="145">
        <f>$D66*Fleet!U244/10^7</f>
        <v>1.5395831819139452</v>
      </c>
      <c r="T66" s="145">
        <f>$D66*Fleet!V244/10^7</f>
        <v>1.5780733011627905</v>
      </c>
      <c r="U66" s="145">
        <f>$D66*Fleet!W244/10^7</f>
        <v>1.6611313056478403</v>
      </c>
      <c r="V66" s="145">
        <f>$D66*Fleet!X244/10^7</f>
        <v>1.7060251904462602</v>
      </c>
      <c r="W66" s="145">
        <f>$D66*Fleet!Y244/10^7</f>
        <v>1.8035123441860459</v>
      </c>
      <c r="X66" s="145">
        <f>$D66*Fleet!Z244/10^7</f>
        <v>1.8035121385856663</v>
      </c>
      <c r="Y66" s="145">
        <f>$D66*Fleet!AA244/10^7</f>
        <v>1.2023413571903179</v>
      </c>
      <c r="Z66" s="145">
        <f>$D66*Fleet!AB244/10^7</f>
        <v>0.90175637769340278</v>
      </c>
      <c r="AA66" s="145">
        <f>$D66*Fleet!AC244/10^7</f>
        <v>0.26504304746084473</v>
      </c>
      <c r="AB66" s="145">
        <f>$D66*Fleet!AD244/10^7</f>
        <v>0</v>
      </c>
      <c r="AC66" s="145">
        <f>$D66*Fleet!AE244/10^7</f>
        <v>0</v>
      </c>
      <c r="AD66" s="145">
        <f>$D66*Fleet!AF244/10^7</f>
        <v>0</v>
      </c>
      <c r="AE66" s="145">
        <f>$D66*Fleet!AG244/10^7</f>
        <v>0</v>
      </c>
      <c r="AF66" s="145">
        <f>$D66*Fleet!AH244/10^7</f>
        <v>0</v>
      </c>
      <c r="AG66" s="145">
        <f>$D66*Fleet!AI244/10^7</f>
        <v>0</v>
      </c>
      <c r="AH66" s="145">
        <f>$D66*Fleet!AJ244/10^7</f>
        <v>0</v>
      </c>
      <c r="AI66" s="145">
        <f>$D66*Fleet!AK244/10^7</f>
        <v>0</v>
      </c>
      <c r="AJ66" s="145">
        <f>$D66*Fleet!AL244/10^7</f>
        <v>0</v>
      </c>
      <c r="AK66" s="145">
        <f>$D66*Fleet!AM244/10^7</f>
        <v>0</v>
      </c>
      <c r="AL66" s="145">
        <f>$D66*Fleet!AN244/10^7</f>
        <v>0</v>
      </c>
      <c r="AM66" s="145">
        <f>$D66*Fleet!AO244/10^7</f>
        <v>0</v>
      </c>
      <c r="AN66" s="145">
        <f>$D66*Fleet!AP244/10^7</f>
        <v>0</v>
      </c>
      <c r="AO66" s="145">
        <f>$D66*Fleet!AQ244/10^7</f>
        <v>0</v>
      </c>
      <c r="AP66" s="179"/>
      <c r="AQ66" s="179"/>
      <c r="AR66" s="179"/>
      <c r="AS66" s="179"/>
      <c r="AT66" s="179"/>
      <c r="AU66" s="179"/>
      <c r="AV66" s="179"/>
      <c r="AW66" s="179"/>
      <c r="AX66" s="179"/>
      <c r="AY66" s="179"/>
      <c r="AZ66" s="179"/>
      <c r="BA66" s="179"/>
      <c r="BB66" s="179"/>
      <c r="BC66" s="179"/>
      <c r="BD66" s="179"/>
    </row>
    <row r="67" spans="1:56">
      <c r="A67" s="168" t="str">
        <f t="shared" si="2"/>
        <v/>
      </c>
      <c r="B67" s="165" t="str">
        <f t="shared" si="2"/>
        <v>Track Dozer/ 405 HP</v>
      </c>
      <c r="C67" s="171" t="s">
        <v>134</v>
      </c>
      <c r="D67" s="174">
        <f t="shared" si="4"/>
        <v>740361.60000000009</v>
      </c>
      <c r="E67" s="145">
        <f>$D67*Fleet!G245/10^7</f>
        <v>0</v>
      </c>
      <c r="F67" s="145">
        <f>$D67*Fleet!H245/10^7</f>
        <v>0</v>
      </c>
      <c r="G67" s="145">
        <f>$D67*Fleet!I245/10^7</f>
        <v>0</v>
      </c>
      <c r="H67" s="145">
        <f>$D67*Fleet!J245/10^7</f>
        <v>0</v>
      </c>
      <c r="I67" s="145">
        <f>$D67*Fleet!K245/10^7</f>
        <v>7.4036160000000004E-2</v>
      </c>
      <c r="J67" s="145">
        <f>$D67*Fleet!L245/10^7</f>
        <v>0.14807232000000001</v>
      </c>
      <c r="K67" s="145">
        <f>$D67*Fleet!M245/10^7</f>
        <v>0.29614464000000001</v>
      </c>
      <c r="L67" s="145">
        <f>$D67*Fleet!N245/10^7</f>
        <v>0.37018080000000003</v>
      </c>
      <c r="M67" s="145">
        <f>$D67*Fleet!O245/10^7</f>
        <v>0.44421696000000005</v>
      </c>
      <c r="N67" s="145">
        <f>$D67*Fleet!P245/10^7</f>
        <v>0.44421696000000005</v>
      </c>
      <c r="O67" s="145">
        <f>$D67*Fleet!Q245/10^7</f>
        <v>0.44421696000000005</v>
      </c>
      <c r="P67" s="145">
        <f>$D67*Fleet!R245/10^7</f>
        <v>0.44421696000000005</v>
      </c>
      <c r="Q67" s="145">
        <f>$D67*Fleet!S245/10^7</f>
        <v>0.44421696000000005</v>
      </c>
      <c r="R67" s="145">
        <f>$D67*Fleet!T245/10^7</f>
        <v>0.44421696000000005</v>
      </c>
      <c r="S67" s="145">
        <f>$D67*Fleet!U245/10^7</f>
        <v>0.44421696000000005</v>
      </c>
      <c r="T67" s="145">
        <f>$D67*Fleet!V245/10^7</f>
        <v>0.44421696000000005</v>
      </c>
      <c r="U67" s="145">
        <f>$D67*Fleet!W245/10^7</f>
        <v>0.44421696000000005</v>
      </c>
      <c r="V67" s="145">
        <f>$D67*Fleet!X245/10^7</f>
        <v>0.44421696000000005</v>
      </c>
      <c r="W67" s="145">
        <f>$D67*Fleet!Y245/10^7</f>
        <v>0.44421696000000005</v>
      </c>
      <c r="X67" s="145">
        <f>$D67*Fleet!Z245/10^7</f>
        <v>0.44421696000000005</v>
      </c>
      <c r="Y67" s="145">
        <f>$D67*Fleet!AA245/10^7</f>
        <v>0.29614464000000001</v>
      </c>
      <c r="Z67" s="145">
        <f>$D67*Fleet!AB245/10^7</f>
        <v>0.22210848000000002</v>
      </c>
      <c r="AA67" s="145">
        <f>$D67*Fleet!AC245/10^7</f>
        <v>7.4036160000000004E-2</v>
      </c>
      <c r="AB67" s="145">
        <f>$D67*Fleet!AD245/10^7</f>
        <v>0</v>
      </c>
      <c r="AC67" s="145">
        <f>$D67*Fleet!AE245/10^7</f>
        <v>0</v>
      </c>
      <c r="AD67" s="145">
        <f>$D67*Fleet!AF245/10^7</f>
        <v>0</v>
      </c>
      <c r="AE67" s="145">
        <f>$D67*Fleet!AG245/10^7</f>
        <v>0</v>
      </c>
      <c r="AF67" s="145">
        <f>$D67*Fleet!AH245/10^7</f>
        <v>0</v>
      </c>
      <c r="AG67" s="145">
        <f>$D67*Fleet!AI245/10^7</f>
        <v>0</v>
      </c>
      <c r="AH67" s="145">
        <f>$D67*Fleet!AJ245/10^7</f>
        <v>0</v>
      </c>
      <c r="AI67" s="145">
        <f>$D67*Fleet!AK245/10^7</f>
        <v>0</v>
      </c>
      <c r="AJ67" s="145">
        <f>$D67*Fleet!AL245/10^7</f>
        <v>0</v>
      </c>
      <c r="AK67" s="145">
        <f>$D67*Fleet!AM245/10^7</f>
        <v>0</v>
      </c>
      <c r="AL67" s="145">
        <f>$D67*Fleet!AN245/10^7</f>
        <v>0</v>
      </c>
      <c r="AM67" s="145">
        <f>$D67*Fleet!AO245/10^7</f>
        <v>0</v>
      </c>
      <c r="AN67" s="145">
        <f>$D67*Fleet!AP245/10^7</f>
        <v>0</v>
      </c>
      <c r="AO67" s="145">
        <f>$D67*Fleet!AQ245/10^7</f>
        <v>0</v>
      </c>
      <c r="AP67" s="179"/>
      <c r="AQ67" s="179"/>
      <c r="AR67" s="179"/>
      <c r="AS67" s="179"/>
      <c r="AT67" s="179"/>
      <c r="AU67" s="179"/>
      <c r="AV67" s="179"/>
      <c r="AW67" s="179"/>
      <c r="AX67" s="179"/>
      <c r="AY67" s="179"/>
      <c r="AZ67" s="179"/>
      <c r="BA67" s="179"/>
      <c r="BB67" s="179"/>
      <c r="BC67" s="179"/>
      <c r="BD67" s="179"/>
    </row>
    <row r="68" spans="1:56">
      <c r="A68" s="168" t="str">
        <f t="shared" si="2"/>
        <v/>
      </c>
      <c r="B68" s="165" t="str">
        <f t="shared" si="2"/>
        <v>Wheel Dozer</v>
      </c>
      <c r="C68" s="171" t="s">
        <v>134</v>
      </c>
      <c r="D68" s="174">
        <f t="shared" si="4"/>
        <v>902880</v>
      </c>
      <c r="E68" s="145">
        <f>$D68*Fleet!G246/10^7</f>
        <v>0</v>
      </c>
      <c r="F68" s="145">
        <f>$D68*Fleet!H246/10^7</f>
        <v>0</v>
      </c>
      <c r="G68" s="145">
        <f>$D68*Fleet!I246/10^7</f>
        <v>0</v>
      </c>
      <c r="H68" s="145">
        <f>$D68*Fleet!J246/10^7</f>
        <v>0</v>
      </c>
      <c r="I68" s="145">
        <f>$D68*Fleet!K246/10^7</f>
        <v>9.0287999999999993E-2</v>
      </c>
      <c r="J68" s="145">
        <f>$D68*Fleet!L246/10^7</f>
        <v>9.0287999999999993E-2</v>
      </c>
      <c r="K68" s="145">
        <f>$D68*Fleet!M246/10^7</f>
        <v>0.18057599999999999</v>
      </c>
      <c r="L68" s="145">
        <f>$D68*Fleet!N246/10^7</f>
        <v>0.18057599999999999</v>
      </c>
      <c r="M68" s="145">
        <f>$D68*Fleet!O246/10^7</f>
        <v>0.18057599999999999</v>
      </c>
      <c r="N68" s="145">
        <f>$D68*Fleet!P246/10^7</f>
        <v>0.18057599999999999</v>
      </c>
      <c r="O68" s="145">
        <f>$D68*Fleet!Q246/10^7</f>
        <v>0.18057599999999999</v>
      </c>
      <c r="P68" s="145">
        <f>$D68*Fleet!R246/10^7</f>
        <v>0.18057599999999999</v>
      </c>
      <c r="Q68" s="145">
        <f>$D68*Fleet!S246/10^7</f>
        <v>0.18057599999999999</v>
      </c>
      <c r="R68" s="145">
        <f>$D68*Fleet!T246/10^7</f>
        <v>0.18057599999999999</v>
      </c>
      <c r="S68" s="145">
        <f>$D68*Fleet!U246/10^7</f>
        <v>0.18057599999999999</v>
      </c>
      <c r="T68" s="145">
        <f>$D68*Fleet!V246/10^7</f>
        <v>0.18057599999999999</v>
      </c>
      <c r="U68" s="145">
        <f>$D68*Fleet!W246/10^7</f>
        <v>0.18057599999999999</v>
      </c>
      <c r="V68" s="145">
        <f>$D68*Fleet!X246/10^7</f>
        <v>0.18057599999999999</v>
      </c>
      <c r="W68" s="145">
        <f>$D68*Fleet!Y246/10^7</f>
        <v>0.18057599999999999</v>
      </c>
      <c r="X68" s="145">
        <f>$D68*Fleet!Z246/10^7</f>
        <v>0.18057599999999999</v>
      </c>
      <c r="Y68" s="145">
        <f>$D68*Fleet!AA246/10^7</f>
        <v>0.18057599999999999</v>
      </c>
      <c r="Z68" s="145">
        <f>$D68*Fleet!AB246/10^7</f>
        <v>9.0287999999999993E-2</v>
      </c>
      <c r="AA68" s="145">
        <f>$D68*Fleet!AC246/10^7</f>
        <v>9.0287999999999993E-2</v>
      </c>
      <c r="AB68" s="145">
        <f>$D68*Fleet!AD246/10^7</f>
        <v>0</v>
      </c>
      <c r="AC68" s="145">
        <f>$D68*Fleet!AE246/10^7</f>
        <v>0</v>
      </c>
      <c r="AD68" s="145">
        <f>$D68*Fleet!AF246/10^7</f>
        <v>0</v>
      </c>
      <c r="AE68" s="145">
        <f>$D68*Fleet!AG246/10^7</f>
        <v>0</v>
      </c>
      <c r="AF68" s="145">
        <f>$D68*Fleet!AH246/10^7</f>
        <v>0</v>
      </c>
      <c r="AG68" s="145">
        <f>$D68*Fleet!AI246/10^7</f>
        <v>0</v>
      </c>
      <c r="AH68" s="145">
        <f>$D68*Fleet!AJ246/10^7</f>
        <v>0</v>
      </c>
      <c r="AI68" s="145">
        <f>$D68*Fleet!AK246/10^7</f>
        <v>0</v>
      </c>
      <c r="AJ68" s="145">
        <f>$D68*Fleet!AL246/10^7</f>
        <v>0</v>
      </c>
      <c r="AK68" s="145">
        <f>$D68*Fleet!AM246/10^7</f>
        <v>0</v>
      </c>
      <c r="AL68" s="145">
        <f>$D68*Fleet!AN246/10^7</f>
        <v>0</v>
      </c>
      <c r="AM68" s="145">
        <f>$D68*Fleet!AO246/10^7</f>
        <v>0</v>
      </c>
      <c r="AN68" s="145">
        <f>$D68*Fleet!AP246/10^7</f>
        <v>0</v>
      </c>
      <c r="AO68" s="145">
        <f>$D68*Fleet!AQ246/10^7</f>
        <v>0</v>
      </c>
      <c r="AP68" s="179"/>
      <c r="AQ68" s="179"/>
      <c r="AR68" s="179"/>
      <c r="AS68" s="179"/>
      <c r="AT68" s="179"/>
      <c r="AU68" s="179"/>
      <c r="AV68" s="179"/>
      <c r="AW68" s="179"/>
      <c r="AX68" s="179"/>
      <c r="AY68" s="179"/>
      <c r="AZ68" s="179"/>
      <c r="BA68" s="179"/>
      <c r="BB68" s="179"/>
      <c r="BC68" s="179"/>
      <c r="BD68" s="179"/>
    </row>
    <row r="69" spans="1:56">
      <c r="A69" s="168" t="str">
        <f t="shared" si="2"/>
        <v/>
      </c>
      <c r="B69" s="165" t="str">
        <f t="shared" si="2"/>
        <v>Ripper Dozer/ 450TPH</v>
      </c>
      <c r="C69" s="171" t="s">
        <v>134</v>
      </c>
      <c r="D69" s="174">
        <f t="shared" si="4"/>
        <v>1304661.6000000003</v>
      </c>
      <c r="E69" s="145">
        <f>$D69*Fleet!G247/10^7</f>
        <v>0</v>
      </c>
      <c r="F69" s="145">
        <f>$D69*Fleet!H247/10^7</f>
        <v>0</v>
      </c>
      <c r="G69" s="145">
        <f>$D69*Fleet!I247/10^7</f>
        <v>0</v>
      </c>
      <c r="H69" s="145">
        <f>$D69*Fleet!J247/10^7</f>
        <v>0</v>
      </c>
      <c r="I69" s="145">
        <f>$D69*Fleet!K247/10^7</f>
        <v>0.13046616000000003</v>
      </c>
      <c r="J69" s="145">
        <f>$D69*Fleet!L247/10^7</f>
        <v>0.13046616000000003</v>
      </c>
      <c r="K69" s="145">
        <f>$D69*Fleet!M247/10^7</f>
        <v>0.26093232000000005</v>
      </c>
      <c r="L69" s="145">
        <f>$D69*Fleet!N247/10^7</f>
        <v>0.26093232000000005</v>
      </c>
      <c r="M69" s="145">
        <f>$D69*Fleet!O247/10^7</f>
        <v>0.26093232000000005</v>
      </c>
      <c r="N69" s="145">
        <f>$D69*Fleet!P247/10^7</f>
        <v>0.26093232000000005</v>
      </c>
      <c r="O69" s="145">
        <f>$D69*Fleet!Q247/10^7</f>
        <v>0.26093232000000005</v>
      </c>
      <c r="P69" s="145">
        <f>$D69*Fleet!R247/10^7</f>
        <v>0.26093232000000005</v>
      </c>
      <c r="Q69" s="145">
        <f>$D69*Fleet!S247/10^7</f>
        <v>0.26093232000000005</v>
      </c>
      <c r="R69" s="145">
        <f>$D69*Fleet!T247/10^7</f>
        <v>0.26093232000000005</v>
      </c>
      <c r="S69" s="145">
        <f>$D69*Fleet!U247/10^7</f>
        <v>0.26093232000000005</v>
      </c>
      <c r="T69" s="145">
        <f>$D69*Fleet!V247/10^7</f>
        <v>0.26093232000000005</v>
      </c>
      <c r="U69" s="145">
        <f>$D69*Fleet!W247/10^7</f>
        <v>0.26093232000000005</v>
      </c>
      <c r="V69" s="145">
        <f>$D69*Fleet!X247/10^7</f>
        <v>0.26093232000000005</v>
      </c>
      <c r="W69" s="145">
        <f>$D69*Fleet!Y247/10^7</f>
        <v>0.26093232000000005</v>
      </c>
      <c r="X69" s="145">
        <f>$D69*Fleet!Z247/10^7</f>
        <v>0.26093232000000005</v>
      </c>
      <c r="Y69" s="145">
        <f>$D69*Fleet!AA247/10^7</f>
        <v>0.26093232000000005</v>
      </c>
      <c r="Z69" s="145">
        <f>$D69*Fleet!AB247/10^7</f>
        <v>0.13046616000000003</v>
      </c>
      <c r="AA69" s="145">
        <f>$D69*Fleet!AC247/10^7</f>
        <v>0.13046616000000003</v>
      </c>
      <c r="AB69" s="145">
        <f>$D69*Fleet!AD247/10^7</f>
        <v>0</v>
      </c>
      <c r="AC69" s="145">
        <f>$D69*Fleet!AE247/10^7</f>
        <v>0</v>
      </c>
      <c r="AD69" s="145">
        <f>$D69*Fleet!AF247/10^7</f>
        <v>0</v>
      </c>
      <c r="AE69" s="145">
        <f>$D69*Fleet!AG247/10^7</f>
        <v>0</v>
      </c>
      <c r="AF69" s="145">
        <f>$D69*Fleet!AH247/10^7</f>
        <v>0</v>
      </c>
      <c r="AG69" s="145">
        <f>$D69*Fleet!AI247/10^7</f>
        <v>0</v>
      </c>
      <c r="AH69" s="145">
        <f>$D69*Fleet!AJ247/10^7</f>
        <v>0</v>
      </c>
      <c r="AI69" s="145">
        <f>$D69*Fleet!AK247/10^7</f>
        <v>0</v>
      </c>
      <c r="AJ69" s="145">
        <f>$D69*Fleet!AL247/10^7</f>
        <v>0</v>
      </c>
      <c r="AK69" s="145">
        <f>$D69*Fleet!AM247/10^7</f>
        <v>0</v>
      </c>
      <c r="AL69" s="145">
        <f>$D69*Fleet!AN247/10^7</f>
        <v>0</v>
      </c>
      <c r="AM69" s="145">
        <f>$D69*Fleet!AO247/10^7</f>
        <v>0</v>
      </c>
      <c r="AN69" s="145">
        <f>$D69*Fleet!AP247/10^7</f>
        <v>0</v>
      </c>
      <c r="AO69" s="145">
        <f>$D69*Fleet!AQ247/10^7</f>
        <v>0</v>
      </c>
      <c r="AP69" s="179"/>
      <c r="AQ69" s="179"/>
      <c r="AR69" s="179"/>
      <c r="AS69" s="179"/>
      <c r="AT69" s="179"/>
      <c r="AU69" s="179"/>
      <c r="AV69" s="179"/>
      <c r="AW69" s="179"/>
      <c r="AX69" s="179"/>
      <c r="AY69" s="179"/>
      <c r="AZ69" s="179"/>
      <c r="BA69" s="179"/>
      <c r="BB69" s="179"/>
      <c r="BC69" s="179"/>
      <c r="BD69" s="179"/>
    </row>
    <row r="70" spans="1:56">
      <c r="A70" s="168" t="str">
        <f t="shared" si="2"/>
        <v/>
      </c>
      <c r="B70" s="165" t="str">
        <f t="shared" si="2"/>
        <v>Track Dozer/ 192 HP</v>
      </c>
      <c r="C70" s="171" t="s">
        <v>134</v>
      </c>
      <c r="D70" s="174">
        <f t="shared" si="4"/>
        <v>361152</v>
      </c>
      <c r="E70" s="145">
        <f>$D70*Fleet!G248/10^7</f>
        <v>0</v>
      </c>
      <c r="F70" s="145">
        <f>$D70*Fleet!H248/10^7</f>
        <v>0</v>
      </c>
      <c r="G70" s="145">
        <f>$D70*Fleet!I248/10^7</f>
        <v>0</v>
      </c>
      <c r="H70" s="145">
        <f>$D70*Fleet!J248/10^7</f>
        <v>0</v>
      </c>
      <c r="I70" s="145">
        <f>$D70*Fleet!K248/10^7</f>
        <v>3.61152E-2</v>
      </c>
      <c r="J70" s="145">
        <f>$D70*Fleet!L248/10^7</f>
        <v>3.61152E-2</v>
      </c>
      <c r="K70" s="145">
        <f>$D70*Fleet!M248/10^7</f>
        <v>7.22304E-2</v>
      </c>
      <c r="L70" s="145">
        <f>$D70*Fleet!N248/10^7</f>
        <v>7.22304E-2</v>
      </c>
      <c r="M70" s="145">
        <f>$D70*Fleet!O248/10^7</f>
        <v>7.22304E-2</v>
      </c>
      <c r="N70" s="145">
        <f>$D70*Fleet!P248/10^7</f>
        <v>7.22304E-2</v>
      </c>
      <c r="O70" s="145">
        <f>$D70*Fleet!Q248/10^7</f>
        <v>7.22304E-2</v>
      </c>
      <c r="P70" s="145">
        <f>$D70*Fleet!R248/10^7</f>
        <v>7.22304E-2</v>
      </c>
      <c r="Q70" s="145">
        <f>$D70*Fleet!S248/10^7</f>
        <v>7.22304E-2</v>
      </c>
      <c r="R70" s="145">
        <f>$D70*Fleet!T248/10^7</f>
        <v>7.22304E-2</v>
      </c>
      <c r="S70" s="145">
        <f>$D70*Fleet!U248/10^7</f>
        <v>7.22304E-2</v>
      </c>
      <c r="T70" s="145">
        <f>$D70*Fleet!V248/10^7</f>
        <v>7.22304E-2</v>
      </c>
      <c r="U70" s="145">
        <f>$D70*Fleet!W248/10^7</f>
        <v>7.22304E-2</v>
      </c>
      <c r="V70" s="145">
        <f>$D70*Fleet!X248/10^7</f>
        <v>7.22304E-2</v>
      </c>
      <c r="W70" s="145">
        <f>$D70*Fleet!Y248/10^7</f>
        <v>7.22304E-2</v>
      </c>
      <c r="X70" s="145">
        <f>$D70*Fleet!Z248/10^7</f>
        <v>7.22304E-2</v>
      </c>
      <c r="Y70" s="145">
        <f>$D70*Fleet!AA248/10^7</f>
        <v>7.22304E-2</v>
      </c>
      <c r="Z70" s="145">
        <f>$D70*Fleet!AB248/10^7</f>
        <v>3.61152E-2</v>
      </c>
      <c r="AA70" s="145">
        <f>$D70*Fleet!AC248/10^7</f>
        <v>3.61152E-2</v>
      </c>
      <c r="AB70" s="145">
        <f>$D70*Fleet!AD248/10^7</f>
        <v>0</v>
      </c>
      <c r="AC70" s="145">
        <f>$D70*Fleet!AE248/10^7</f>
        <v>0</v>
      </c>
      <c r="AD70" s="145">
        <f>$D70*Fleet!AF248/10^7</f>
        <v>0</v>
      </c>
      <c r="AE70" s="145">
        <f>$D70*Fleet!AG248/10^7</f>
        <v>0</v>
      </c>
      <c r="AF70" s="145">
        <f>$D70*Fleet!AH248/10^7</f>
        <v>0</v>
      </c>
      <c r="AG70" s="145">
        <f>$D70*Fleet!AI248/10^7</f>
        <v>0</v>
      </c>
      <c r="AH70" s="145">
        <f>$D70*Fleet!AJ248/10^7</f>
        <v>0</v>
      </c>
      <c r="AI70" s="145">
        <f>$D70*Fleet!AK248/10^7</f>
        <v>0</v>
      </c>
      <c r="AJ70" s="145">
        <f>$D70*Fleet!AL248/10^7</f>
        <v>0</v>
      </c>
      <c r="AK70" s="145">
        <f>$D70*Fleet!AM248/10^7</f>
        <v>0</v>
      </c>
      <c r="AL70" s="145">
        <f>$D70*Fleet!AN248/10^7</f>
        <v>0</v>
      </c>
      <c r="AM70" s="145">
        <f>$D70*Fleet!AO248/10^7</f>
        <v>0</v>
      </c>
      <c r="AN70" s="145">
        <f>$D70*Fleet!AP248/10^7</f>
        <v>0</v>
      </c>
      <c r="AO70" s="145">
        <f>$D70*Fleet!AQ248/10^7</f>
        <v>0</v>
      </c>
      <c r="AP70" s="179"/>
      <c r="AQ70" s="179"/>
      <c r="AR70" s="179"/>
      <c r="AS70" s="179"/>
      <c r="AT70" s="179"/>
      <c r="AU70" s="179"/>
      <c r="AV70" s="179"/>
      <c r="AW70" s="179"/>
      <c r="AX70" s="179"/>
      <c r="AY70" s="179"/>
      <c r="AZ70" s="179"/>
      <c r="BA70" s="179"/>
      <c r="BB70" s="179"/>
      <c r="BC70" s="179"/>
      <c r="BD70" s="179"/>
    </row>
    <row r="71" spans="1:56">
      <c r="A71" s="168" t="str">
        <f t="shared" si="2"/>
        <v/>
      </c>
      <c r="B71" s="165" t="str">
        <f t="shared" si="2"/>
        <v>Motor Grader/ 290 - 348 HP</v>
      </c>
      <c r="C71" s="171" t="s">
        <v>134</v>
      </c>
      <c r="D71" s="174">
        <f>$E$50*D25</f>
        <v>0</v>
      </c>
      <c r="E71" s="145">
        <f>$D71*Fleet!G249/10^7</f>
        <v>0</v>
      </c>
      <c r="F71" s="145">
        <f>$D71*Fleet!H249/10^7</f>
        <v>0</v>
      </c>
      <c r="G71" s="145">
        <f>$D71*Fleet!I249/10^7</f>
        <v>0</v>
      </c>
      <c r="H71" s="145">
        <f>$D71*Fleet!J249/10^7</f>
        <v>0</v>
      </c>
      <c r="I71" s="145">
        <f>$D71*Fleet!K249/10^7</f>
        <v>0</v>
      </c>
      <c r="J71" s="145">
        <f>$D71*Fleet!L249/10^7</f>
        <v>0</v>
      </c>
      <c r="K71" s="145">
        <f>$D71*Fleet!M249/10^7</f>
        <v>0</v>
      </c>
      <c r="L71" s="145">
        <f>$D71*Fleet!N249/10^7</f>
        <v>0</v>
      </c>
      <c r="M71" s="145">
        <f>$D71*Fleet!O249/10^7</f>
        <v>0</v>
      </c>
      <c r="N71" s="145">
        <f>$D71*Fleet!P249/10^7</f>
        <v>0</v>
      </c>
      <c r="O71" s="145">
        <f>$D71*Fleet!Q249/10^7</f>
        <v>0</v>
      </c>
      <c r="P71" s="145">
        <f>$D71*Fleet!R249/10^7</f>
        <v>0</v>
      </c>
      <c r="Q71" s="145">
        <f>$D71*Fleet!S249/10^7</f>
        <v>0</v>
      </c>
      <c r="R71" s="145">
        <f>$D71*Fleet!T249/10^7</f>
        <v>0</v>
      </c>
      <c r="S71" s="145">
        <f>$D71*Fleet!U249/10^7</f>
        <v>0</v>
      </c>
      <c r="T71" s="145">
        <f>$D71*Fleet!V249/10^7</f>
        <v>0</v>
      </c>
      <c r="U71" s="145">
        <f>$D71*Fleet!W249/10^7</f>
        <v>0</v>
      </c>
      <c r="V71" s="145">
        <f>$D71*Fleet!X249/10^7</f>
        <v>0</v>
      </c>
      <c r="W71" s="145">
        <f>$D71*Fleet!Y249/10^7</f>
        <v>0</v>
      </c>
      <c r="X71" s="145">
        <f>$D71*Fleet!Z249/10^7</f>
        <v>0</v>
      </c>
      <c r="Y71" s="145">
        <f>$D71*Fleet!AA249/10^7</f>
        <v>0</v>
      </c>
      <c r="Z71" s="145">
        <f>$D71*Fleet!AB249/10^7</f>
        <v>0</v>
      </c>
      <c r="AA71" s="145">
        <f>$D71*Fleet!AC249/10^7</f>
        <v>0</v>
      </c>
      <c r="AB71" s="145">
        <f>$D71*Fleet!AD249/10^7</f>
        <v>0</v>
      </c>
      <c r="AC71" s="145">
        <f>$D71*Fleet!AE249/10^7</f>
        <v>0</v>
      </c>
      <c r="AD71" s="145">
        <f>$D71*Fleet!AF249/10^7</f>
        <v>0</v>
      </c>
      <c r="AE71" s="145">
        <f>$D71*Fleet!AG249/10^7</f>
        <v>0</v>
      </c>
      <c r="AF71" s="145">
        <f>$D71*Fleet!AH249/10^7</f>
        <v>0</v>
      </c>
      <c r="AG71" s="145">
        <f>$D71*Fleet!AI249/10^7</f>
        <v>0</v>
      </c>
      <c r="AH71" s="145">
        <f>$D71*Fleet!AJ249/10^7</f>
        <v>0</v>
      </c>
      <c r="AI71" s="145">
        <f>$D71*Fleet!AK249/10^7</f>
        <v>0</v>
      </c>
      <c r="AJ71" s="145">
        <f>$D71*Fleet!AL249/10^7</f>
        <v>0</v>
      </c>
      <c r="AK71" s="145">
        <f>$D71*Fleet!AM249/10^7</f>
        <v>0</v>
      </c>
      <c r="AL71" s="145">
        <f>$D71*Fleet!AN249/10^7</f>
        <v>0</v>
      </c>
      <c r="AM71" s="145">
        <f>$D71*Fleet!AO249/10^7</f>
        <v>0</v>
      </c>
      <c r="AN71" s="145">
        <f>$D71*Fleet!AP249/10^7</f>
        <v>0</v>
      </c>
      <c r="AO71" s="145">
        <f>$D71*Fleet!AQ249/10^7</f>
        <v>0</v>
      </c>
      <c r="AP71" s="179"/>
      <c r="AQ71" s="179"/>
      <c r="AR71" s="179"/>
      <c r="AS71" s="179"/>
      <c r="AT71" s="179"/>
      <c r="AU71" s="179"/>
      <c r="AV71" s="179"/>
      <c r="AW71" s="179"/>
      <c r="AX71" s="179"/>
      <c r="AY71" s="179"/>
      <c r="AZ71" s="179"/>
      <c r="BA71" s="179"/>
      <c r="BB71" s="179"/>
      <c r="BC71" s="179"/>
      <c r="BD71" s="179"/>
    </row>
    <row r="72" spans="1:56">
      <c r="A72" s="168" t="str">
        <f t="shared" ref="A72:B91" si="5">A26</f>
        <v/>
      </c>
      <c r="B72" s="165" t="str">
        <f t="shared" si="5"/>
        <v>Motor Grader/ 145 HP</v>
      </c>
      <c r="C72" s="171" t="s">
        <v>134</v>
      </c>
      <c r="D72" s="174">
        <f>$E$50*D26</f>
        <v>252806.40000000002</v>
      </c>
      <c r="E72" s="145">
        <f>$D72*Fleet!G250/10^7</f>
        <v>0</v>
      </c>
      <c r="F72" s="145">
        <f>$D72*Fleet!H250/10^7</f>
        <v>0</v>
      </c>
      <c r="G72" s="145">
        <f>$D72*Fleet!I250/10^7</f>
        <v>0</v>
      </c>
      <c r="H72" s="145">
        <f>$D72*Fleet!J250/10^7</f>
        <v>0</v>
      </c>
      <c r="I72" s="145">
        <f>$D72*Fleet!K250/10^7</f>
        <v>2.5280640000000004E-2</v>
      </c>
      <c r="J72" s="145">
        <f>$D72*Fleet!L250/10^7</f>
        <v>2.5280640000000004E-2</v>
      </c>
      <c r="K72" s="145">
        <f>$D72*Fleet!M250/10^7</f>
        <v>5.0561280000000007E-2</v>
      </c>
      <c r="L72" s="145">
        <f>$D72*Fleet!N250/10^7</f>
        <v>5.0561280000000007E-2</v>
      </c>
      <c r="M72" s="145">
        <f>$D72*Fleet!O250/10^7</f>
        <v>5.0561280000000007E-2</v>
      </c>
      <c r="N72" s="145">
        <f>$D72*Fleet!P250/10^7</f>
        <v>5.0561280000000007E-2</v>
      </c>
      <c r="O72" s="145">
        <f>$D72*Fleet!Q250/10^7</f>
        <v>5.0561280000000007E-2</v>
      </c>
      <c r="P72" s="145">
        <f>$D72*Fleet!R250/10^7</f>
        <v>5.0561280000000007E-2</v>
      </c>
      <c r="Q72" s="145">
        <f>$D72*Fleet!S250/10^7</f>
        <v>5.0561280000000007E-2</v>
      </c>
      <c r="R72" s="145">
        <f>$D72*Fleet!T250/10^7</f>
        <v>5.0561280000000007E-2</v>
      </c>
      <c r="S72" s="145">
        <f>$D72*Fleet!U250/10^7</f>
        <v>5.0561280000000007E-2</v>
      </c>
      <c r="T72" s="145">
        <f>$D72*Fleet!V250/10^7</f>
        <v>5.0561280000000007E-2</v>
      </c>
      <c r="U72" s="145">
        <f>$D72*Fleet!W250/10^7</f>
        <v>5.0561280000000007E-2</v>
      </c>
      <c r="V72" s="145">
        <f>$D72*Fleet!X250/10^7</f>
        <v>5.0561280000000007E-2</v>
      </c>
      <c r="W72" s="145">
        <f>$D72*Fleet!Y250/10^7</f>
        <v>5.0561280000000007E-2</v>
      </c>
      <c r="X72" s="145">
        <f>$D72*Fleet!Z250/10^7</f>
        <v>5.0561280000000007E-2</v>
      </c>
      <c r="Y72" s="145">
        <f>$D72*Fleet!AA250/10^7</f>
        <v>5.0561280000000007E-2</v>
      </c>
      <c r="Z72" s="145">
        <f>$D72*Fleet!AB250/10^7</f>
        <v>2.5280640000000004E-2</v>
      </c>
      <c r="AA72" s="145">
        <f>$D72*Fleet!AC250/10^7</f>
        <v>2.5280640000000004E-2</v>
      </c>
      <c r="AB72" s="145">
        <f>$D72*Fleet!AD250/10^7</f>
        <v>0</v>
      </c>
      <c r="AC72" s="145">
        <f>$D72*Fleet!AE250/10^7</f>
        <v>0</v>
      </c>
      <c r="AD72" s="145">
        <f>$D72*Fleet!AF250/10^7</f>
        <v>0</v>
      </c>
      <c r="AE72" s="145">
        <f>$D72*Fleet!AG250/10^7</f>
        <v>0</v>
      </c>
      <c r="AF72" s="145">
        <f>$D72*Fleet!AH250/10^7</f>
        <v>0</v>
      </c>
      <c r="AG72" s="145">
        <f>$D72*Fleet!AI250/10^7</f>
        <v>0</v>
      </c>
      <c r="AH72" s="145">
        <f>$D72*Fleet!AJ250/10^7</f>
        <v>0</v>
      </c>
      <c r="AI72" s="145">
        <f>$D72*Fleet!AK250/10^7</f>
        <v>0</v>
      </c>
      <c r="AJ72" s="145">
        <f>$D72*Fleet!AL250/10^7</f>
        <v>0</v>
      </c>
      <c r="AK72" s="145">
        <f>$D72*Fleet!AM250/10^7</f>
        <v>0</v>
      </c>
      <c r="AL72" s="145">
        <f>$D72*Fleet!AN250/10^7</f>
        <v>0</v>
      </c>
      <c r="AM72" s="145">
        <f>$D72*Fleet!AO250/10^7</f>
        <v>0</v>
      </c>
      <c r="AN72" s="145">
        <f>$D72*Fleet!AP250/10^7</f>
        <v>0</v>
      </c>
      <c r="AO72" s="145">
        <f>$D72*Fleet!AQ250/10^7</f>
        <v>0</v>
      </c>
      <c r="AP72" s="179"/>
      <c r="AQ72" s="179"/>
      <c r="AR72" s="179"/>
      <c r="AS72" s="179"/>
      <c r="AT72" s="179"/>
      <c r="AU72" s="179"/>
      <c r="AV72" s="179"/>
      <c r="AW72" s="179"/>
      <c r="AX72" s="179"/>
      <c r="AY72" s="179"/>
      <c r="AZ72" s="179"/>
      <c r="BA72" s="179"/>
      <c r="BB72" s="179"/>
      <c r="BC72" s="179"/>
      <c r="BD72" s="179"/>
    </row>
    <row r="73" spans="1:56">
      <c r="A73" s="168" t="str">
        <f t="shared" si="5"/>
        <v/>
      </c>
      <c r="B73" s="165" t="str">
        <f t="shared" si="5"/>
        <v>Crane/ 120t</v>
      </c>
      <c r="C73" s="171" t="s">
        <v>134</v>
      </c>
      <c r="D73" s="174">
        <f>$D$50*D27</f>
        <v>0</v>
      </c>
      <c r="E73" s="145">
        <f>$D73*Fleet!G251/10^7</f>
        <v>0</v>
      </c>
      <c r="F73" s="145">
        <f>$D73*Fleet!H251/10^7</f>
        <v>0</v>
      </c>
      <c r="G73" s="145">
        <f>$D73*Fleet!I251/10^7</f>
        <v>0</v>
      </c>
      <c r="H73" s="145">
        <f>$D73*Fleet!J251/10^7</f>
        <v>0</v>
      </c>
      <c r="I73" s="145">
        <f>$D73*Fleet!K251/10^7</f>
        <v>0</v>
      </c>
      <c r="J73" s="145">
        <f>$D73*Fleet!L251/10^7</f>
        <v>0</v>
      </c>
      <c r="K73" s="145">
        <f>$D73*Fleet!M251/10^7</f>
        <v>0</v>
      </c>
      <c r="L73" s="145">
        <f>$D73*Fleet!N251/10^7</f>
        <v>0</v>
      </c>
      <c r="M73" s="145">
        <f>$D73*Fleet!O251/10^7</f>
        <v>0</v>
      </c>
      <c r="N73" s="145">
        <f>$D73*Fleet!P251/10^7</f>
        <v>0</v>
      </c>
      <c r="O73" s="145">
        <f>$D73*Fleet!Q251/10^7</f>
        <v>0</v>
      </c>
      <c r="P73" s="145">
        <f>$D73*Fleet!R251/10^7</f>
        <v>0</v>
      </c>
      <c r="Q73" s="145">
        <f>$D73*Fleet!S251/10^7</f>
        <v>0</v>
      </c>
      <c r="R73" s="145">
        <f>$D73*Fleet!T251/10^7</f>
        <v>0</v>
      </c>
      <c r="S73" s="145">
        <f>$D73*Fleet!U251/10^7</f>
        <v>0</v>
      </c>
      <c r="T73" s="145">
        <f>$D73*Fleet!V251/10^7</f>
        <v>0</v>
      </c>
      <c r="U73" s="145">
        <f>$D73*Fleet!W251/10^7</f>
        <v>0</v>
      </c>
      <c r="V73" s="145">
        <f>$D73*Fleet!X251/10^7</f>
        <v>0</v>
      </c>
      <c r="W73" s="145">
        <f>$D73*Fleet!Y251/10^7</f>
        <v>0</v>
      </c>
      <c r="X73" s="145">
        <f>$D73*Fleet!Z251/10^7</f>
        <v>0</v>
      </c>
      <c r="Y73" s="145">
        <f>$D73*Fleet!AA251/10^7</f>
        <v>0</v>
      </c>
      <c r="Z73" s="145">
        <f>$D73*Fleet!AB251/10^7</f>
        <v>0</v>
      </c>
      <c r="AA73" s="145">
        <f>$D73*Fleet!AC251/10^7</f>
        <v>0</v>
      </c>
      <c r="AB73" s="145">
        <f>$D73*Fleet!AD251/10^7</f>
        <v>0</v>
      </c>
      <c r="AC73" s="145">
        <f>$D73*Fleet!AE251/10^7</f>
        <v>0</v>
      </c>
      <c r="AD73" s="145">
        <f>$D73*Fleet!AF251/10^7</f>
        <v>0</v>
      </c>
      <c r="AE73" s="145">
        <f>$D73*Fleet!AG251/10^7</f>
        <v>0</v>
      </c>
      <c r="AF73" s="145">
        <f>$D73*Fleet!AH251/10^7</f>
        <v>0</v>
      </c>
      <c r="AG73" s="145">
        <f>$D73*Fleet!AI251/10^7</f>
        <v>0</v>
      </c>
      <c r="AH73" s="145">
        <f>$D73*Fleet!AJ251/10^7</f>
        <v>0</v>
      </c>
      <c r="AI73" s="145">
        <f>$D73*Fleet!AK251/10^7</f>
        <v>0</v>
      </c>
      <c r="AJ73" s="145">
        <f>$D73*Fleet!AL251/10^7</f>
        <v>0</v>
      </c>
      <c r="AK73" s="145">
        <f>$D73*Fleet!AM251/10^7</f>
        <v>0</v>
      </c>
      <c r="AL73" s="145">
        <f>$D73*Fleet!AN251/10^7</f>
        <v>0</v>
      </c>
      <c r="AM73" s="145">
        <f>$D73*Fleet!AO251/10^7</f>
        <v>0</v>
      </c>
      <c r="AN73" s="145">
        <f>$D73*Fleet!AP251/10^7</f>
        <v>0</v>
      </c>
      <c r="AO73" s="145">
        <f>$D73*Fleet!AQ251/10^7</f>
        <v>0</v>
      </c>
      <c r="AP73" s="179"/>
      <c r="AQ73" s="179"/>
      <c r="AR73" s="179"/>
      <c r="AS73" s="179"/>
      <c r="AT73" s="179"/>
      <c r="AU73" s="179"/>
      <c r="AV73" s="179"/>
      <c r="AW73" s="179"/>
      <c r="AX73" s="179"/>
      <c r="AY73" s="179"/>
      <c r="AZ73" s="179"/>
      <c r="BA73" s="179"/>
      <c r="BB73" s="179"/>
      <c r="BC73" s="179"/>
      <c r="BD73" s="179"/>
    </row>
    <row r="74" spans="1:56">
      <c r="A74" s="168" t="str">
        <f t="shared" si="5"/>
        <v/>
      </c>
      <c r="B74" s="165" t="str">
        <f t="shared" si="5"/>
        <v>Crane/ 60t</v>
      </c>
      <c r="C74" s="171" t="s">
        <v>134</v>
      </c>
      <c r="D74" s="174">
        <f>$D$50*D28</f>
        <v>0</v>
      </c>
      <c r="E74" s="145">
        <f>$D74*Fleet!G252/10^7</f>
        <v>0</v>
      </c>
      <c r="F74" s="145">
        <f>$D74*Fleet!H252/10^7</f>
        <v>0</v>
      </c>
      <c r="G74" s="145">
        <f>$D74*Fleet!I252/10^7</f>
        <v>0</v>
      </c>
      <c r="H74" s="145">
        <f>$D74*Fleet!J252/10^7</f>
        <v>0</v>
      </c>
      <c r="I74" s="145">
        <f>$D74*Fleet!K252/10^7</f>
        <v>0</v>
      </c>
      <c r="J74" s="145">
        <f>$D74*Fleet!L252/10^7</f>
        <v>0</v>
      </c>
      <c r="K74" s="145">
        <f>$D74*Fleet!M252/10^7</f>
        <v>0</v>
      </c>
      <c r="L74" s="145">
        <f>$D74*Fleet!N252/10^7</f>
        <v>0</v>
      </c>
      <c r="M74" s="145">
        <f>$D74*Fleet!O252/10^7</f>
        <v>0</v>
      </c>
      <c r="N74" s="145">
        <f>$D74*Fleet!P252/10^7</f>
        <v>0</v>
      </c>
      <c r="O74" s="145">
        <f>$D74*Fleet!Q252/10^7</f>
        <v>0</v>
      </c>
      <c r="P74" s="145">
        <f>$D74*Fleet!R252/10^7</f>
        <v>0</v>
      </c>
      <c r="Q74" s="145">
        <f>$D74*Fleet!S252/10^7</f>
        <v>0</v>
      </c>
      <c r="R74" s="145">
        <f>$D74*Fleet!T252/10^7</f>
        <v>0</v>
      </c>
      <c r="S74" s="145">
        <f>$D74*Fleet!U252/10^7</f>
        <v>0</v>
      </c>
      <c r="T74" s="145">
        <f>$D74*Fleet!V252/10^7</f>
        <v>0</v>
      </c>
      <c r="U74" s="145">
        <f>$D74*Fleet!W252/10^7</f>
        <v>0</v>
      </c>
      <c r="V74" s="145">
        <f>$D74*Fleet!X252/10^7</f>
        <v>0</v>
      </c>
      <c r="W74" s="145">
        <f>$D74*Fleet!Y252/10^7</f>
        <v>0</v>
      </c>
      <c r="X74" s="145">
        <f>$D74*Fleet!Z252/10^7</f>
        <v>0</v>
      </c>
      <c r="Y74" s="145">
        <f>$D74*Fleet!AA252/10^7</f>
        <v>0</v>
      </c>
      <c r="Z74" s="145">
        <f>$D74*Fleet!AB252/10^7</f>
        <v>0</v>
      </c>
      <c r="AA74" s="145">
        <f>$D74*Fleet!AC252/10^7</f>
        <v>0</v>
      </c>
      <c r="AB74" s="145">
        <f>$D74*Fleet!AD252/10^7</f>
        <v>0</v>
      </c>
      <c r="AC74" s="145">
        <f>$D74*Fleet!AE252/10^7</f>
        <v>0</v>
      </c>
      <c r="AD74" s="145">
        <f>$D74*Fleet!AF252/10^7</f>
        <v>0</v>
      </c>
      <c r="AE74" s="145">
        <f>$D74*Fleet!AG252/10^7</f>
        <v>0</v>
      </c>
      <c r="AF74" s="145">
        <f>$D74*Fleet!AH252/10^7</f>
        <v>0</v>
      </c>
      <c r="AG74" s="145">
        <f>$D74*Fleet!AI252/10^7</f>
        <v>0</v>
      </c>
      <c r="AH74" s="145">
        <f>$D74*Fleet!AJ252/10^7</f>
        <v>0</v>
      </c>
      <c r="AI74" s="145">
        <f>$D74*Fleet!AK252/10^7</f>
        <v>0</v>
      </c>
      <c r="AJ74" s="145">
        <f>$D74*Fleet!AL252/10^7</f>
        <v>0</v>
      </c>
      <c r="AK74" s="145">
        <f>$D74*Fleet!AM252/10^7</f>
        <v>0</v>
      </c>
      <c r="AL74" s="145">
        <f>$D74*Fleet!AN252/10^7</f>
        <v>0</v>
      </c>
      <c r="AM74" s="145">
        <f>$D74*Fleet!AO252/10^7</f>
        <v>0</v>
      </c>
      <c r="AN74" s="145">
        <f>$D74*Fleet!AP252/10^7</f>
        <v>0</v>
      </c>
      <c r="AO74" s="145">
        <f>$D74*Fleet!AQ252/10^7</f>
        <v>0</v>
      </c>
      <c r="AP74" s="179"/>
      <c r="AQ74" s="179"/>
      <c r="AR74" s="179"/>
      <c r="AS74" s="179"/>
      <c r="AT74" s="179"/>
      <c r="AU74" s="179"/>
      <c r="AV74" s="179"/>
      <c r="AW74" s="179"/>
      <c r="AX74" s="179"/>
      <c r="AY74" s="179"/>
      <c r="AZ74" s="179"/>
      <c r="BA74" s="179"/>
      <c r="BB74" s="179"/>
      <c r="BC74" s="179"/>
      <c r="BD74" s="179"/>
    </row>
    <row r="75" spans="1:56">
      <c r="A75" s="168" t="str">
        <f t="shared" si="5"/>
        <v/>
      </c>
      <c r="B75" s="165" t="str">
        <f t="shared" si="5"/>
        <v>Crane/ 12t</v>
      </c>
      <c r="C75" s="171" t="s">
        <v>134</v>
      </c>
      <c r="D75" s="174">
        <f>$D$50*D29</f>
        <v>0</v>
      </c>
      <c r="E75" s="145">
        <f>$D75*Fleet!G253/10^7</f>
        <v>0</v>
      </c>
      <c r="F75" s="145">
        <f>$D75*Fleet!H253/10^7</f>
        <v>0</v>
      </c>
      <c r="G75" s="145">
        <f>$D75*Fleet!I253/10^7</f>
        <v>0</v>
      </c>
      <c r="H75" s="145">
        <f>$D75*Fleet!J253/10^7</f>
        <v>0</v>
      </c>
      <c r="I75" s="145">
        <f>$D75*Fleet!K253/10^7</f>
        <v>0</v>
      </c>
      <c r="J75" s="145">
        <f>$D75*Fleet!L253/10^7</f>
        <v>0</v>
      </c>
      <c r="K75" s="145">
        <f>$D75*Fleet!M253/10^7</f>
        <v>0</v>
      </c>
      <c r="L75" s="145">
        <f>$D75*Fleet!N253/10^7</f>
        <v>0</v>
      </c>
      <c r="M75" s="145">
        <f>$D75*Fleet!O253/10^7</f>
        <v>0</v>
      </c>
      <c r="N75" s="145">
        <f>$D75*Fleet!P253/10^7</f>
        <v>0</v>
      </c>
      <c r="O75" s="145">
        <f>$D75*Fleet!Q253/10^7</f>
        <v>0</v>
      </c>
      <c r="P75" s="145">
        <f>$D75*Fleet!R253/10^7</f>
        <v>0</v>
      </c>
      <c r="Q75" s="145">
        <f>$D75*Fleet!S253/10^7</f>
        <v>0</v>
      </c>
      <c r="R75" s="145">
        <f>$D75*Fleet!T253/10^7</f>
        <v>0</v>
      </c>
      <c r="S75" s="145">
        <f>$D75*Fleet!U253/10^7</f>
        <v>0</v>
      </c>
      <c r="T75" s="145">
        <f>$D75*Fleet!V253/10^7</f>
        <v>0</v>
      </c>
      <c r="U75" s="145">
        <f>$D75*Fleet!W253/10^7</f>
        <v>0</v>
      </c>
      <c r="V75" s="145">
        <f>$D75*Fleet!X253/10^7</f>
        <v>0</v>
      </c>
      <c r="W75" s="145">
        <f>$D75*Fleet!Y253/10^7</f>
        <v>0</v>
      </c>
      <c r="X75" s="145">
        <f>$D75*Fleet!Z253/10^7</f>
        <v>0</v>
      </c>
      <c r="Y75" s="145">
        <f>$D75*Fleet!AA253/10^7</f>
        <v>0</v>
      </c>
      <c r="Z75" s="145">
        <f>$D75*Fleet!AB253/10^7</f>
        <v>0</v>
      </c>
      <c r="AA75" s="145">
        <f>$D75*Fleet!AC253/10^7</f>
        <v>0</v>
      </c>
      <c r="AB75" s="145">
        <f>$D75*Fleet!AD253/10^7</f>
        <v>0</v>
      </c>
      <c r="AC75" s="145">
        <f>$D75*Fleet!AE253/10^7</f>
        <v>0</v>
      </c>
      <c r="AD75" s="145">
        <f>$D75*Fleet!AF253/10^7</f>
        <v>0</v>
      </c>
      <c r="AE75" s="145">
        <f>$D75*Fleet!AG253/10^7</f>
        <v>0</v>
      </c>
      <c r="AF75" s="145">
        <f>$D75*Fleet!AH253/10^7</f>
        <v>0</v>
      </c>
      <c r="AG75" s="145">
        <f>$D75*Fleet!AI253/10^7</f>
        <v>0</v>
      </c>
      <c r="AH75" s="145">
        <f>$D75*Fleet!AJ253/10^7</f>
        <v>0</v>
      </c>
      <c r="AI75" s="145">
        <f>$D75*Fleet!AK253/10^7</f>
        <v>0</v>
      </c>
      <c r="AJ75" s="145">
        <f>$D75*Fleet!AL253/10^7</f>
        <v>0</v>
      </c>
      <c r="AK75" s="145">
        <f>$D75*Fleet!AM253/10^7</f>
        <v>0</v>
      </c>
      <c r="AL75" s="145">
        <f>$D75*Fleet!AN253/10^7</f>
        <v>0</v>
      </c>
      <c r="AM75" s="145">
        <f>$D75*Fleet!AO253/10^7</f>
        <v>0</v>
      </c>
      <c r="AN75" s="145">
        <f>$D75*Fleet!AP253/10^7</f>
        <v>0</v>
      </c>
      <c r="AO75" s="145">
        <f>$D75*Fleet!AQ253/10^7</f>
        <v>0</v>
      </c>
      <c r="AP75" s="179"/>
      <c r="AQ75" s="179"/>
      <c r="AR75" s="179"/>
      <c r="AS75" s="179"/>
      <c r="AT75" s="179"/>
      <c r="AU75" s="179"/>
      <c r="AV75" s="179"/>
      <c r="AW75" s="179"/>
      <c r="AX75" s="179"/>
      <c r="AY75" s="179"/>
      <c r="AZ75" s="179"/>
      <c r="BA75" s="179"/>
      <c r="BB75" s="179"/>
      <c r="BC75" s="179"/>
      <c r="BD75" s="179"/>
    </row>
    <row r="76" spans="1:56">
      <c r="A76" s="168" t="str">
        <f t="shared" si="5"/>
        <v/>
      </c>
      <c r="B76" s="165" t="str">
        <f t="shared" si="5"/>
        <v>Crane/ 8t</v>
      </c>
      <c r="C76" s="171" t="s">
        <v>134</v>
      </c>
      <c r="D76" s="174">
        <f>$D$50*D30</f>
        <v>37620</v>
      </c>
      <c r="E76" s="145">
        <f>$D76*Fleet!G254/10^7</f>
        <v>0</v>
      </c>
      <c r="F76" s="145">
        <f>$D76*Fleet!H254/10^7</f>
        <v>0</v>
      </c>
      <c r="G76" s="145">
        <f>$D76*Fleet!I254/10^7</f>
        <v>0</v>
      </c>
      <c r="H76" s="145">
        <f>$D76*Fleet!J254/10^7</f>
        <v>0</v>
      </c>
      <c r="I76" s="145">
        <f>$D76*Fleet!K254/10^7</f>
        <v>3.7620000000000002E-3</v>
      </c>
      <c r="J76" s="145">
        <f>$D76*Fleet!L254/10^7</f>
        <v>3.7620000000000002E-3</v>
      </c>
      <c r="K76" s="145">
        <f>$D76*Fleet!M254/10^7</f>
        <v>7.5240000000000003E-3</v>
      </c>
      <c r="L76" s="145">
        <f>$D76*Fleet!N254/10^7</f>
        <v>7.5240000000000003E-3</v>
      </c>
      <c r="M76" s="145">
        <f>$D76*Fleet!O254/10^7</f>
        <v>7.5240000000000003E-3</v>
      </c>
      <c r="N76" s="145">
        <f>$D76*Fleet!P254/10^7</f>
        <v>7.5240000000000003E-3</v>
      </c>
      <c r="O76" s="145">
        <f>$D76*Fleet!Q254/10^7</f>
        <v>7.5240000000000003E-3</v>
      </c>
      <c r="P76" s="145">
        <f>$D76*Fleet!R254/10^7</f>
        <v>7.5240000000000003E-3</v>
      </c>
      <c r="Q76" s="145">
        <f>$D76*Fleet!S254/10^7</f>
        <v>7.5240000000000003E-3</v>
      </c>
      <c r="R76" s="145">
        <f>$D76*Fleet!T254/10^7</f>
        <v>7.5240000000000003E-3</v>
      </c>
      <c r="S76" s="145">
        <f>$D76*Fleet!U254/10^7</f>
        <v>7.5240000000000003E-3</v>
      </c>
      <c r="T76" s="145">
        <f>$D76*Fleet!V254/10^7</f>
        <v>7.5240000000000003E-3</v>
      </c>
      <c r="U76" s="145">
        <f>$D76*Fleet!W254/10^7</f>
        <v>7.5240000000000003E-3</v>
      </c>
      <c r="V76" s="145">
        <f>$D76*Fleet!X254/10^7</f>
        <v>7.5240000000000003E-3</v>
      </c>
      <c r="W76" s="145">
        <f>$D76*Fleet!Y254/10^7</f>
        <v>7.5240000000000003E-3</v>
      </c>
      <c r="X76" s="145">
        <f>$D76*Fleet!Z254/10^7</f>
        <v>7.5240000000000003E-3</v>
      </c>
      <c r="Y76" s="145">
        <f>$D76*Fleet!AA254/10^7</f>
        <v>7.5240000000000003E-3</v>
      </c>
      <c r="Z76" s="145">
        <f>$D76*Fleet!AB254/10^7</f>
        <v>3.7620000000000002E-3</v>
      </c>
      <c r="AA76" s="145">
        <f>$D76*Fleet!AC254/10^7</f>
        <v>3.7620000000000002E-3</v>
      </c>
      <c r="AB76" s="145">
        <f>$D76*Fleet!AD254/10^7</f>
        <v>0</v>
      </c>
      <c r="AC76" s="145">
        <f>$D76*Fleet!AE254/10^7</f>
        <v>0</v>
      </c>
      <c r="AD76" s="145">
        <f>$D76*Fleet!AF254/10^7</f>
        <v>0</v>
      </c>
      <c r="AE76" s="145">
        <f>$D76*Fleet!AG254/10^7</f>
        <v>0</v>
      </c>
      <c r="AF76" s="145">
        <f>$D76*Fleet!AH254/10^7</f>
        <v>0</v>
      </c>
      <c r="AG76" s="145">
        <f>$D76*Fleet!AI254/10^7</f>
        <v>0</v>
      </c>
      <c r="AH76" s="145">
        <f>$D76*Fleet!AJ254/10^7</f>
        <v>0</v>
      </c>
      <c r="AI76" s="145">
        <f>$D76*Fleet!AK254/10^7</f>
        <v>0</v>
      </c>
      <c r="AJ76" s="145">
        <f>$D76*Fleet!AL254/10^7</f>
        <v>0</v>
      </c>
      <c r="AK76" s="145">
        <f>$D76*Fleet!AM254/10^7</f>
        <v>0</v>
      </c>
      <c r="AL76" s="145">
        <f>$D76*Fleet!AN254/10^7</f>
        <v>0</v>
      </c>
      <c r="AM76" s="145">
        <f>$D76*Fleet!AO254/10^7</f>
        <v>0</v>
      </c>
      <c r="AN76" s="145">
        <f>$D76*Fleet!AP254/10^7</f>
        <v>0</v>
      </c>
      <c r="AO76" s="145">
        <f>$D76*Fleet!AQ254/10^7</f>
        <v>0</v>
      </c>
      <c r="AP76" s="179"/>
      <c r="AQ76" s="179"/>
      <c r="AR76" s="179"/>
      <c r="AS76" s="179"/>
      <c r="AT76" s="179"/>
      <c r="AU76" s="179"/>
      <c r="AV76" s="179"/>
      <c r="AW76" s="179"/>
      <c r="AX76" s="179"/>
      <c r="AY76" s="179"/>
      <c r="AZ76" s="179"/>
      <c r="BA76" s="179"/>
      <c r="BB76" s="179"/>
      <c r="BC76" s="179"/>
      <c r="BD76" s="179"/>
    </row>
    <row r="77" spans="1:56">
      <c r="A77" s="168" t="str">
        <f t="shared" si="5"/>
        <v/>
      </c>
      <c r="B77" s="165" t="str">
        <f t="shared" si="5"/>
        <v>Water Sprinkler/ 28KL</v>
      </c>
      <c r="C77" s="171" t="s">
        <v>134</v>
      </c>
      <c r="D77" s="174">
        <f>$D$50*D31</f>
        <v>331056</v>
      </c>
      <c r="E77" s="145">
        <f>$D77*Fleet!G255/10^7</f>
        <v>0</v>
      </c>
      <c r="F77" s="145">
        <f>$D77*Fleet!H255/10^7</f>
        <v>0</v>
      </c>
      <c r="G77" s="145">
        <f>$D77*Fleet!I255/10^7</f>
        <v>0</v>
      </c>
      <c r="H77" s="145">
        <f>$D77*Fleet!J255/10^7</f>
        <v>0</v>
      </c>
      <c r="I77" s="145">
        <f>$D77*Fleet!K255/10^7</f>
        <v>3.3105599999999999E-2</v>
      </c>
      <c r="J77" s="145">
        <f>$D77*Fleet!L255/10^7</f>
        <v>3.3105599999999999E-2</v>
      </c>
      <c r="K77" s="145">
        <f>$D77*Fleet!M255/10^7</f>
        <v>6.6211199999999998E-2</v>
      </c>
      <c r="L77" s="145">
        <f>$D77*Fleet!N255/10^7</f>
        <v>6.6211199999999998E-2</v>
      </c>
      <c r="M77" s="145">
        <f>$D77*Fleet!O255/10^7</f>
        <v>6.6211199999999998E-2</v>
      </c>
      <c r="N77" s="145">
        <f>$D77*Fleet!P255/10^7</f>
        <v>6.6211199999999998E-2</v>
      </c>
      <c r="O77" s="145">
        <f>$D77*Fleet!Q255/10^7</f>
        <v>6.6211199999999998E-2</v>
      </c>
      <c r="P77" s="145">
        <f>$D77*Fleet!R255/10^7</f>
        <v>6.6211199999999998E-2</v>
      </c>
      <c r="Q77" s="145">
        <f>$D77*Fleet!S255/10^7</f>
        <v>6.6211199999999998E-2</v>
      </c>
      <c r="R77" s="145">
        <f>$D77*Fleet!T255/10^7</f>
        <v>6.6211199999999998E-2</v>
      </c>
      <c r="S77" s="145">
        <f>$D77*Fleet!U255/10^7</f>
        <v>6.6211199999999998E-2</v>
      </c>
      <c r="T77" s="145">
        <f>$D77*Fleet!V255/10^7</f>
        <v>6.6211199999999998E-2</v>
      </c>
      <c r="U77" s="145">
        <f>$D77*Fleet!W255/10^7</f>
        <v>6.6211199999999998E-2</v>
      </c>
      <c r="V77" s="145">
        <f>$D77*Fleet!X255/10^7</f>
        <v>6.6211199999999998E-2</v>
      </c>
      <c r="W77" s="145">
        <f>$D77*Fleet!Y255/10^7</f>
        <v>6.6211199999999998E-2</v>
      </c>
      <c r="X77" s="145">
        <f>$D77*Fleet!Z255/10^7</f>
        <v>6.6211199999999998E-2</v>
      </c>
      <c r="Y77" s="145">
        <f>$D77*Fleet!AA255/10^7</f>
        <v>6.6211199999999998E-2</v>
      </c>
      <c r="Z77" s="145">
        <f>$D77*Fleet!AB255/10^7</f>
        <v>3.3105599999999999E-2</v>
      </c>
      <c r="AA77" s="145">
        <f>$D77*Fleet!AC255/10^7</f>
        <v>3.3105599999999999E-2</v>
      </c>
      <c r="AB77" s="145">
        <f>$D77*Fleet!AD255/10^7</f>
        <v>0</v>
      </c>
      <c r="AC77" s="145">
        <f>$D77*Fleet!AE255/10^7</f>
        <v>0</v>
      </c>
      <c r="AD77" s="145">
        <f>$D77*Fleet!AF255/10^7</f>
        <v>0</v>
      </c>
      <c r="AE77" s="145">
        <f>$D77*Fleet!AG255/10^7</f>
        <v>0</v>
      </c>
      <c r="AF77" s="145">
        <f>$D77*Fleet!AH255/10^7</f>
        <v>0</v>
      </c>
      <c r="AG77" s="145">
        <f>$D77*Fleet!AI255/10^7</f>
        <v>0</v>
      </c>
      <c r="AH77" s="145">
        <f>$D77*Fleet!AJ255/10^7</f>
        <v>0</v>
      </c>
      <c r="AI77" s="145">
        <f>$D77*Fleet!AK255/10^7</f>
        <v>0</v>
      </c>
      <c r="AJ77" s="145">
        <f>$D77*Fleet!AL255/10^7</f>
        <v>0</v>
      </c>
      <c r="AK77" s="145">
        <f>$D77*Fleet!AM255/10^7</f>
        <v>0</v>
      </c>
      <c r="AL77" s="145">
        <f>$D77*Fleet!AN255/10^7</f>
        <v>0</v>
      </c>
      <c r="AM77" s="145">
        <f>$D77*Fleet!AO255/10^7</f>
        <v>0</v>
      </c>
      <c r="AN77" s="145">
        <f>$D77*Fleet!AP255/10^7</f>
        <v>0</v>
      </c>
      <c r="AO77" s="145">
        <f>$D77*Fleet!AQ255/10^7</f>
        <v>0</v>
      </c>
      <c r="AP77" s="179"/>
      <c r="AQ77" s="179"/>
      <c r="AR77" s="179"/>
      <c r="AS77" s="179"/>
      <c r="AT77" s="179"/>
      <c r="AU77" s="179"/>
      <c r="AV77" s="179"/>
      <c r="AW77" s="179"/>
      <c r="AX77" s="179"/>
      <c r="AY77" s="179"/>
      <c r="AZ77" s="179"/>
      <c r="BA77" s="179"/>
      <c r="BB77" s="179"/>
      <c r="BC77" s="179"/>
      <c r="BD77" s="179"/>
    </row>
    <row r="78" spans="1:56">
      <c r="A78" s="168" t="str">
        <f t="shared" si="5"/>
        <v/>
      </c>
      <c r="B78" s="165" t="str">
        <f t="shared" si="5"/>
        <v>Diesel Bowser/ 9KL</v>
      </c>
      <c r="C78" s="171" t="s">
        <v>134</v>
      </c>
      <c r="D78" s="174">
        <f t="shared" ref="D78:D85" si="6">$C$50*D32</f>
        <v>72230.400000000009</v>
      </c>
      <c r="E78" s="145">
        <f>$D78*Fleet!G256/10^7</f>
        <v>0</v>
      </c>
      <c r="F78" s="145">
        <f>$D78*Fleet!H256/10^7</f>
        <v>0</v>
      </c>
      <c r="G78" s="145">
        <f>$D78*Fleet!I256/10^7</f>
        <v>0</v>
      </c>
      <c r="H78" s="145">
        <f>$D78*Fleet!J256/10^7</f>
        <v>0</v>
      </c>
      <c r="I78" s="145">
        <f>$D78*Fleet!K256/10^7</f>
        <v>7.2230400000000009E-3</v>
      </c>
      <c r="J78" s="145">
        <f>$D78*Fleet!L256/10^7</f>
        <v>7.2230400000000009E-3</v>
      </c>
      <c r="K78" s="145">
        <f>$D78*Fleet!M256/10^7</f>
        <v>1.4446080000000002E-2</v>
      </c>
      <c r="L78" s="145">
        <f>$D78*Fleet!N256/10^7</f>
        <v>1.4446080000000002E-2</v>
      </c>
      <c r="M78" s="145">
        <f>$D78*Fleet!O256/10^7</f>
        <v>1.4446080000000002E-2</v>
      </c>
      <c r="N78" s="145">
        <f>$D78*Fleet!P256/10^7</f>
        <v>1.4446080000000002E-2</v>
      </c>
      <c r="O78" s="145">
        <f>$D78*Fleet!Q256/10^7</f>
        <v>1.4446080000000002E-2</v>
      </c>
      <c r="P78" s="145">
        <f>$D78*Fleet!R256/10^7</f>
        <v>1.4446080000000002E-2</v>
      </c>
      <c r="Q78" s="145">
        <f>$D78*Fleet!S256/10^7</f>
        <v>1.4446080000000002E-2</v>
      </c>
      <c r="R78" s="145">
        <f>$D78*Fleet!T256/10^7</f>
        <v>1.4446080000000002E-2</v>
      </c>
      <c r="S78" s="145">
        <f>$D78*Fleet!U256/10^7</f>
        <v>1.4446080000000002E-2</v>
      </c>
      <c r="T78" s="145">
        <f>$D78*Fleet!V256/10^7</f>
        <v>1.4446080000000002E-2</v>
      </c>
      <c r="U78" s="145">
        <f>$D78*Fleet!W256/10^7</f>
        <v>1.4446080000000002E-2</v>
      </c>
      <c r="V78" s="145">
        <f>$D78*Fleet!X256/10^7</f>
        <v>1.4446080000000002E-2</v>
      </c>
      <c r="W78" s="145">
        <f>$D78*Fleet!Y256/10^7</f>
        <v>1.4446080000000002E-2</v>
      </c>
      <c r="X78" s="145">
        <f>$D78*Fleet!Z256/10^7</f>
        <v>1.4446080000000002E-2</v>
      </c>
      <c r="Y78" s="145">
        <f>$D78*Fleet!AA256/10^7</f>
        <v>1.4446080000000002E-2</v>
      </c>
      <c r="Z78" s="145">
        <f>$D78*Fleet!AB256/10^7</f>
        <v>7.2230400000000009E-3</v>
      </c>
      <c r="AA78" s="145">
        <f>$D78*Fleet!AC256/10^7</f>
        <v>7.2230400000000009E-3</v>
      </c>
      <c r="AB78" s="145">
        <f>$D78*Fleet!AD256/10^7</f>
        <v>0</v>
      </c>
      <c r="AC78" s="145">
        <f>$D78*Fleet!AE256/10^7</f>
        <v>0</v>
      </c>
      <c r="AD78" s="145">
        <f>$D78*Fleet!AF256/10^7</f>
        <v>0</v>
      </c>
      <c r="AE78" s="145">
        <f>$D78*Fleet!AG256/10^7</f>
        <v>0</v>
      </c>
      <c r="AF78" s="145">
        <f>$D78*Fleet!AH256/10^7</f>
        <v>0</v>
      </c>
      <c r="AG78" s="145">
        <f>$D78*Fleet!AI256/10^7</f>
        <v>0</v>
      </c>
      <c r="AH78" s="145">
        <f>$D78*Fleet!AJ256/10^7</f>
        <v>0</v>
      </c>
      <c r="AI78" s="145">
        <f>$D78*Fleet!AK256/10^7</f>
        <v>0</v>
      </c>
      <c r="AJ78" s="145">
        <f>$D78*Fleet!AL256/10^7</f>
        <v>0</v>
      </c>
      <c r="AK78" s="145">
        <f>$D78*Fleet!AM256/10^7</f>
        <v>0</v>
      </c>
      <c r="AL78" s="145">
        <f>$D78*Fleet!AN256/10^7</f>
        <v>0</v>
      </c>
      <c r="AM78" s="145">
        <f>$D78*Fleet!AO256/10^7</f>
        <v>0</v>
      </c>
      <c r="AN78" s="145">
        <f>$D78*Fleet!AP256/10^7</f>
        <v>0</v>
      </c>
      <c r="AO78" s="145">
        <f>$D78*Fleet!AQ256/10^7</f>
        <v>0</v>
      </c>
      <c r="AP78" s="179"/>
      <c r="AQ78" s="179"/>
      <c r="AR78" s="179"/>
      <c r="AS78" s="179"/>
      <c r="AT78" s="179"/>
      <c r="AU78" s="179"/>
      <c r="AV78" s="179"/>
      <c r="AW78" s="179"/>
      <c r="AX78" s="179"/>
      <c r="AY78" s="179"/>
      <c r="AZ78" s="179"/>
      <c r="BA78" s="179"/>
      <c r="BB78" s="179"/>
      <c r="BC78" s="179"/>
      <c r="BD78" s="179"/>
    </row>
    <row r="79" spans="1:56">
      <c r="A79" s="168" t="str">
        <f t="shared" si="5"/>
        <v/>
      </c>
      <c r="B79" s="165" t="str">
        <f t="shared" si="5"/>
        <v xml:space="preserve">Explosive Van </v>
      </c>
      <c r="C79" s="171" t="s">
        <v>134</v>
      </c>
      <c r="D79" s="174">
        <f t="shared" si="6"/>
        <v>54172.800000000003</v>
      </c>
      <c r="E79" s="145">
        <f>$D79*Fleet!G257/10^7</f>
        <v>0</v>
      </c>
      <c r="F79" s="145">
        <f>$D79*Fleet!H257/10^7</f>
        <v>0</v>
      </c>
      <c r="G79" s="145">
        <f>$D79*Fleet!I257/10^7</f>
        <v>0</v>
      </c>
      <c r="H79" s="145">
        <f>$D79*Fleet!J257/10^7</f>
        <v>0</v>
      </c>
      <c r="I79" s="145">
        <f>$D79*Fleet!K257/10^7</f>
        <v>5.41728E-3</v>
      </c>
      <c r="J79" s="145">
        <f>$D79*Fleet!L257/10^7</f>
        <v>5.41728E-3</v>
      </c>
      <c r="K79" s="145">
        <f>$D79*Fleet!M257/10^7</f>
        <v>1.083456E-2</v>
      </c>
      <c r="L79" s="145">
        <f>$D79*Fleet!N257/10^7</f>
        <v>1.083456E-2</v>
      </c>
      <c r="M79" s="145">
        <f>$D79*Fleet!O257/10^7</f>
        <v>1.083456E-2</v>
      </c>
      <c r="N79" s="145">
        <f>$D79*Fleet!P257/10^7</f>
        <v>1.083456E-2</v>
      </c>
      <c r="O79" s="145">
        <f>$D79*Fleet!Q257/10^7</f>
        <v>1.083456E-2</v>
      </c>
      <c r="P79" s="145">
        <f>$D79*Fleet!R257/10^7</f>
        <v>1.083456E-2</v>
      </c>
      <c r="Q79" s="145">
        <f>$D79*Fleet!S257/10^7</f>
        <v>1.083456E-2</v>
      </c>
      <c r="R79" s="145">
        <f>$D79*Fleet!T257/10^7</f>
        <v>1.083456E-2</v>
      </c>
      <c r="S79" s="145">
        <f>$D79*Fleet!U257/10^7</f>
        <v>1.083456E-2</v>
      </c>
      <c r="T79" s="145">
        <f>$D79*Fleet!V257/10^7</f>
        <v>1.083456E-2</v>
      </c>
      <c r="U79" s="145">
        <f>$D79*Fleet!W257/10^7</f>
        <v>1.083456E-2</v>
      </c>
      <c r="V79" s="145">
        <f>$D79*Fleet!X257/10^7</f>
        <v>1.083456E-2</v>
      </c>
      <c r="W79" s="145">
        <f>$D79*Fleet!Y257/10^7</f>
        <v>1.083456E-2</v>
      </c>
      <c r="X79" s="145">
        <f>$D79*Fleet!Z257/10^7</f>
        <v>1.083456E-2</v>
      </c>
      <c r="Y79" s="145">
        <f>$D79*Fleet!AA257/10^7</f>
        <v>1.083456E-2</v>
      </c>
      <c r="Z79" s="145">
        <f>$D79*Fleet!AB257/10^7</f>
        <v>5.41728E-3</v>
      </c>
      <c r="AA79" s="145">
        <f>$D79*Fleet!AC257/10^7</f>
        <v>5.41728E-3</v>
      </c>
      <c r="AB79" s="145">
        <f>$D79*Fleet!AD257/10^7</f>
        <v>0</v>
      </c>
      <c r="AC79" s="145">
        <f>$D79*Fleet!AE257/10^7</f>
        <v>0</v>
      </c>
      <c r="AD79" s="145">
        <f>$D79*Fleet!AF257/10^7</f>
        <v>0</v>
      </c>
      <c r="AE79" s="145">
        <f>$D79*Fleet!AG257/10^7</f>
        <v>0</v>
      </c>
      <c r="AF79" s="145">
        <f>$D79*Fleet!AH257/10^7</f>
        <v>0</v>
      </c>
      <c r="AG79" s="145">
        <f>$D79*Fleet!AI257/10^7</f>
        <v>0</v>
      </c>
      <c r="AH79" s="145">
        <f>$D79*Fleet!AJ257/10^7</f>
        <v>0</v>
      </c>
      <c r="AI79" s="145">
        <f>$D79*Fleet!AK257/10^7</f>
        <v>0</v>
      </c>
      <c r="AJ79" s="145">
        <f>$D79*Fleet!AL257/10^7</f>
        <v>0</v>
      </c>
      <c r="AK79" s="145">
        <f>$D79*Fleet!AM257/10^7</f>
        <v>0</v>
      </c>
      <c r="AL79" s="145">
        <f>$D79*Fleet!AN257/10^7</f>
        <v>0</v>
      </c>
      <c r="AM79" s="145">
        <f>$D79*Fleet!AO257/10^7</f>
        <v>0</v>
      </c>
      <c r="AN79" s="145">
        <f>$D79*Fleet!AP257/10^7</f>
        <v>0</v>
      </c>
      <c r="AO79" s="145">
        <f>$D79*Fleet!AQ257/10^7</f>
        <v>0</v>
      </c>
      <c r="AP79" s="179"/>
      <c r="AQ79" s="179"/>
      <c r="AR79" s="179"/>
      <c r="AS79" s="179"/>
      <c r="AT79" s="179"/>
      <c r="AU79" s="179"/>
      <c r="AV79" s="179"/>
      <c r="AW79" s="179"/>
      <c r="AX79" s="179"/>
      <c r="AY79" s="179"/>
      <c r="AZ79" s="179"/>
      <c r="BA79" s="179"/>
      <c r="BB79" s="179"/>
      <c r="BC79" s="179"/>
      <c r="BD79" s="179"/>
    </row>
    <row r="80" spans="1:56">
      <c r="A80" s="168" t="str">
        <f t="shared" si="5"/>
        <v/>
      </c>
      <c r="B80" s="165" t="str">
        <f t="shared" si="5"/>
        <v>Maintenance Van</v>
      </c>
      <c r="C80" s="171" t="s">
        <v>134</v>
      </c>
      <c r="D80" s="174">
        <f t="shared" si="6"/>
        <v>54172.800000000003</v>
      </c>
      <c r="E80" s="145">
        <f>$D80*Fleet!G258/10^7</f>
        <v>0</v>
      </c>
      <c r="F80" s="145">
        <f>$D80*Fleet!H258/10^7</f>
        <v>0</v>
      </c>
      <c r="G80" s="145">
        <f>$D80*Fleet!I258/10^7</f>
        <v>0</v>
      </c>
      <c r="H80" s="145">
        <f>$D80*Fleet!J258/10^7</f>
        <v>0</v>
      </c>
      <c r="I80" s="145">
        <f>$D80*Fleet!K258/10^7</f>
        <v>5.41728E-3</v>
      </c>
      <c r="J80" s="145">
        <f>$D80*Fleet!L258/10^7</f>
        <v>5.41728E-3</v>
      </c>
      <c r="K80" s="145">
        <f>$D80*Fleet!M258/10^7</f>
        <v>1.083456E-2</v>
      </c>
      <c r="L80" s="145">
        <f>$D80*Fleet!N258/10^7</f>
        <v>1.083456E-2</v>
      </c>
      <c r="M80" s="145">
        <f>$D80*Fleet!O258/10^7</f>
        <v>1.083456E-2</v>
      </c>
      <c r="N80" s="145">
        <f>$D80*Fleet!P258/10^7</f>
        <v>1.083456E-2</v>
      </c>
      <c r="O80" s="145">
        <f>$D80*Fleet!Q258/10^7</f>
        <v>1.083456E-2</v>
      </c>
      <c r="P80" s="145">
        <f>$D80*Fleet!R258/10^7</f>
        <v>1.083456E-2</v>
      </c>
      <c r="Q80" s="145">
        <f>$D80*Fleet!S258/10^7</f>
        <v>1.083456E-2</v>
      </c>
      <c r="R80" s="145">
        <f>$D80*Fleet!T258/10^7</f>
        <v>1.083456E-2</v>
      </c>
      <c r="S80" s="145">
        <f>$D80*Fleet!U258/10^7</f>
        <v>1.083456E-2</v>
      </c>
      <c r="T80" s="145">
        <f>$D80*Fleet!V258/10^7</f>
        <v>1.083456E-2</v>
      </c>
      <c r="U80" s="145">
        <f>$D80*Fleet!W258/10^7</f>
        <v>1.083456E-2</v>
      </c>
      <c r="V80" s="145">
        <f>$D80*Fleet!X258/10^7</f>
        <v>1.083456E-2</v>
      </c>
      <c r="W80" s="145">
        <f>$D80*Fleet!Y258/10^7</f>
        <v>1.083456E-2</v>
      </c>
      <c r="X80" s="145">
        <f>$D80*Fleet!Z258/10^7</f>
        <v>1.083456E-2</v>
      </c>
      <c r="Y80" s="145">
        <f>$D80*Fleet!AA258/10^7</f>
        <v>1.083456E-2</v>
      </c>
      <c r="Z80" s="145">
        <f>$D80*Fleet!AB258/10^7</f>
        <v>5.41728E-3</v>
      </c>
      <c r="AA80" s="145">
        <f>$D80*Fleet!AC258/10^7</f>
        <v>5.41728E-3</v>
      </c>
      <c r="AB80" s="145">
        <f>$D80*Fleet!AD258/10^7</f>
        <v>0</v>
      </c>
      <c r="AC80" s="145">
        <f>$D80*Fleet!AE258/10^7</f>
        <v>0</v>
      </c>
      <c r="AD80" s="145">
        <f>$D80*Fleet!AF258/10^7</f>
        <v>0</v>
      </c>
      <c r="AE80" s="145">
        <f>$D80*Fleet!AG258/10^7</f>
        <v>0</v>
      </c>
      <c r="AF80" s="145">
        <f>$D80*Fleet!AH258/10^7</f>
        <v>0</v>
      </c>
      <c r="AG80" s="145">
        <f>$D80*Fleet!AI258/10^7</f>
        <v>0</v>
      </c>
      <c r="AH80" s="145">
        <f>$D80*Fleet!AJ258/10^7</f>
        <v>0</v>
      </c>
      <c r="AI80" s="145">
        <f>$D80*Fleet!AK258/10^7</f>
        <v>0</v>
      </c>
      <c r="AJ80" s="145">
        <f>$D80*Fleet!AL258/10^7</f>
        <v>0</v>
      </c>
      <c r="AK80" s="145">
        <f>$D80*Fleet!AM258/10^7</f>
        <v>0</v>
      </c>
      <c r="AL80" s="145">
        <f>$D80*Fleet!AN258/10^7</f>
        <v>0</v>
      </c>
      <c r="AM80" s="145">
        <f>$D80*Fleet!AO258/10^7</f>
        <v>0</v>
      </c>
      <c r="AN80" s="145">
        <f>$D80*Fleet!AP258/10^7</f>
        <v>0</v>
      </c>
      <c r="AO80" s="145">
        <f>$D80*Fleet!AQ258/10^7</f>
        <v>0</v>
      </c>
      <c r="AP80" s="179"/>
      <c r="AQ80" s="179"/>
      <c r="AR80" s="179"/>
      <c r="AS80" s="179"/>
      <c r="AT80" s="179"/>
      <c r="AU80" s="179"/>
      <c r="AV80" s="179"/>
      <c r="AW80" s="179"/>
      <c r="AX80" s="179"/>
      <c r="AY80" s="179"/>
      <c r="AZ80" s="179"/>
      <c r="BA80" s="179"/>
      <c r="BB80" s="179"/>
      <c r="BC80" s="179"/>
      <c r="BD80" s="179"/>
    </row>
    <row r="81" spans="1:56">
      <c r="A81" s="168" t="str">
        <f t="shared" si="5"/>
        <v/>
      </c>
      <c r="B81" s="165" t="str">
        <f t="shared" si="5"/>
        <v>Diesel Hydraulic backhoe/ 1.5cum (Komatsu)</v>
      </c>
      <c r="C81" s="171" t="s">
        <v>134</v>
      </c>
      <c r="D81" s="174">
        <f t="shared" si="6"/>
        <v>144460.80000000002</v>
      </c>
      <c r="E81" s="145">
        <f>$D81*Fleet!G259/10^7</f>
        <v>0</v>
      </c>
      <c r="F81" s="145">
        <f>$D81*Fleet!H259/10^7</f>
        <v>0</v>
      </c>
      <c r="G81" s="145">
        <f>$D81*Fleet!I259/10^7</f>
        <v>0</v>
      </c>
      <c r="H81" s="145">
        <f>$D81*Fleet!J259/10^7</f>
        <v>0</v>
      </c>
      <c r="I81" s="145">
        <f>$D81*Fleet!K259/10^7</f>
        <v>1.4446080000000002E-2</v>
      </c>
      <c r="J81" s="145">
        <f>$D81*Fleet!L259/10^7</f>
        <v>1.4446080000000002E-2</v>
      </c>
      <c r="K81" s="145">
        <f>$D81*Fleet!M259/10^7</f>
        <v>2.8892160000000004E-2</v>
      </c>
      <c r="L81" s="145">
        <f>$D81*Fleet!N259/10^7</f>
        <v>2.8892160000000004E-2</v>
      </c>
      <c r="M81" s="145">
        <f>$D81*Fleet!O259/10^7</f>
        <v>2.8892160000000004E-2</v>
      </c>
      <c r="N81" s="145">
        <f>$D81*Fleet!P259/10^7</f>
        <v>2.8892160000000004E-2</v>
      </c>
      <c r="O81" s="145">
        <f>$D81*Fleet!Q259/10^7</f>
        <v>2.8892160000000004E-2</v>
      </c>
      <c r="P81" s="145">
        <f>$D81*Fleet!R259/10^7</f>
        <v>2.8892160000000004E-2</v>
      </c>
      <c r="Q81" s="145">
        <f>$D81*Fleet!S259/10^7</f>
        <v>2.8892160000000004E-2</v>
      </c>
      <c r="R81" s="145">
        <f>$D81*Fleet!T259/10^7</f>
        <v>2.8892160000000004E-2</v>
      </c>
      <c r="S81" s="145">
        <f>$D81*Fleet!U259/10^7</f>
        <v>2.8892160000000004E-2</v>
      </c>
      <c r="T81" s="145">
        <f>$D81*Fleet!V259/10^7</f>
        <v>2.8892160000000004E-2</v>
      </c>
      <c r="U81" s="145">
        <f>$D81*Fleet!W259/10^7</f>
        <v>2.8892160000000004E-2</v>
      </c>
      <c r="V81" s="145">
        <f>$D81*Fleet!X259/10^7</f>
        <v>2.8892160000000004E-2</v>
      </c>
      <c r="W81" s="145">
        <f>$D81*Fleet!Y259/10^7</f>
        <v>2.8892160000000004E-2</v>
      </c>
      <c r="X81" s="145">
        <f>$D81*Fleet!Z259/10^7</f>
        <v>2.8892160000000004E-2</v>
      </c>
      <c r="Y81" s="145">
        <f>$D81*Fleet!AA259/10^7</f>
        <v>2.8892160000000004E-2</v>
      </c>
      <c r="Z81" s="145">
        <f>$D81*Fleet!AB259/10^7</f>
        <v>1.4446080000000002E-2</v>
      </c>
      <c r="AA81" s="145">
        <f>$D81*Fleet!AC259/10^7</f>
        <v>1.4446080000000002E-2</v>
      </c>
      <c r="AB81" s="145">
        <f>$D81*Fleet!AD259/10^7</f>
        <v>0</v>
      </c>
      <c r="AC81" s="145">
        <f>$D81*Fleet!AE259/10^7</f>
        <v>0</v>
      </c>
      <c r="AD81" s="145">
        <f>$D81*Fleet!AF259/10^7</f>
        <v>0</v>
      </c>
      <c r="AE81" s="145">
        <f>$D81*Fleet!AG259/10^7</f>
        <v>0</v>
      </c>
      <c r="AF81" s="145">
        <f>$D81*Fleet!AH259/10^7</f>
        <v>0</v>
      </c>
      <c r="AG81" s="145">
        <f>$D81*Fleet!AI259/10^7</f>
        <v>0</v>
      </c>
      <c r="AH81" s="145">
        <f>$D81*Fleet!AJ259/10^7</f>
        <v>0</v>
      </c>
      <c r="AI81" s="145">
        <f>$D81*Fleet!AK259/10^7</f>
        <v>0</v>
      </c>
      <c r="AJ81" s="145">
        <f>$D81*Fleet!AL259/10^7</f>
        <v>0</v>
      </c>
      <c r="AK81" s="145">
        <f>$D81*Fleet!AM259/10^7</f>
        <v>0</v>
      </c>
      <c r="AL81" s="145">
        <f>$D81*Fleet!AN259/10^7</f>
        <v>0</v>
      </c>
      <c r="AM81" s="145">
        <f>$D81*Fleet!AO259/10^7</f>
        <v>0</v>
      </c>
      <c r="AN81" s="145">
        <f>$D81*Fleet!AP259/10^7</f>
        <v>0</v>
      </c>
      <c r="AO81" s="145">
        <f>$D81*Fleet!AQ259/10^7</f>
        <v>0</v>
      </c>
      <c r="AP81" s="179"/>
      <c r="AQ81" s="179"/>
      <c r="AR81" s="179"/>
      <c r="AS81" s="179"/>
      <c r="AT81" s="179"/>
      <c r="AU81" s="179"/>
      <c r="AV81" s="179"/>
      <c r="AW81" s="179"/>
      <c r="AX81" s="179"/>
      <c r="AY81" s="179"/>
      <c r="AZ81" s="179"/>
      <c r="BA81" s="179"/>
      <c r="BB81" s="179"/>
      <c r="BC81" s="179"/>
      <c r="BD81" s="179"/>
    </row>
    <row r="82" spans="1:56">
      <c r="A82" s="168" t="str">
        <f t="shared" si="5"/>
        <v/>
      </c>
      <c r="B82" s="165" t="str">
        <f t="shared" si="5"/>
        <v xml:space="preserve">Boom Truck </v>
      </c>
      <c r="C82" s="171" t="s">
        <v>134</v>
      </c>
      <c r="D82" s="174">
        <f t="shared" si="6"/>
        <v>50561.279999999999</v>
      </c>
      <c r="E82" s="145">
        <f>$D82*Fleet!G260/10^7</f>
        <v>0</v>
      </c>
      <c r="F82" s="145">
        <f>$D82*Fleet!H260/10^7</f>
        <v>0</v>
      </c>
      <c r="G82" s="145">
        <f>$D82*Fleet!I260/10^7</f>
        <v>0</v>
      </c>
      <c r="H82" s="145">
        <f>$D82*Fleet!J260/10^7</f>
        <v>0</v>
      </c>
      <c r="I82" s="145">
        <f>$D82*Fleet!K260/10^7</f>
        <v>5.056128E-3</v>
      </c>
      <c r="J82" s="145">
        <f>$D82*Fleet!L260/10^7</f>
        <v>5.056128E-3</v>
      </c>
      <c r="K82" s="145">
        <f>$D82*Fleet!M260/10^7</f>
        <v>1.0112256E-2</v>
      </c>
      <c r="L82" s="145">
        <f>$D82*Fleet!N260/10^7</f>
        <v>1.0112256E-2</v>
      </c>
      <c r="M82" s="145">
        <f>$D82*Fleet!O260/10^7</f>
        <v>1.0112256E-2</v>
      </c>
      <c r="N82" s="145">
        <f>$D82*Fleet!P260/10^7</f>
        <v>1.0112256E-2</v>
      </c>
      <c r="O82" s="145">
        <f>$D82*Fleet!Q260/10^7</f>
        <v>1.0112256E-2</v>
      </c>
      <c r="P82" s="145">
        <f>$D82*Fleet!R260/10^7</f>
        <v>1.0112256E-2</v>
      </c>
      <c r="Q82" s="145">
        <f>$D82*Fleet!S260/10^7</f>
        <v>1.0112256E-2</v>
      </c>
      <c r="R82" s="145">
        <f>$D82*Fleet!T260/10^7</f>
        <v>1.0112256E-2</v>
      </c>
      <c r="S82" s="145">
        <f>$D82*Fleet!U260/10^7</f>
        <v>1.0112256E-2</v>
      </c>
      <c r="T82" s="145">
        <f>$D82*Fleet!V260/10^7</f>
        <v>1.0112256E-2</v>
      </c>
      <c r="U82" s="145">
        <f>$D82*Fleet!W260/10^7</f>
        <v>1.0112256E-2</v>
      </c>
      <c r="V82" s="145">
        <f>$D82*Fleet!X260/10^7</f>
        <v>1.0112256E-2</v>
      </c>
      <c r="W82" s="145">
        <f>$D82*Fleet!Y260/10^7</f>
        <v>1.0112256E-2</v>
      </c>
      <c r="X82" s="145">
        <f>$D82*Fleet!Z260/10^7</f>
        <v>1.0112256E-2</v>
      </c>
      <c r="Y82" s="145">
        <f>$D82*Fleet!AA260/10^7</f>
        <v>1.0112256E-2</v>
      </c>
      <c r="Z82" s="145">
        <f>$D82*Fleet!AB260/10^7</f>
        <v>5.056128E-3</v>
      </c>
      <c r="AA82" s="145">
        <f>$D82*Fleet!AC260/10^7</f>
        <v>5.056128E-3</v>
      </c>
      <c r="AB82" s="145">
        <f>$D82*Fleet!AD260/10^7</f>
        <v>0</v>
      </c>
      <c r="AC82" s="145">
        <f>$D82*Fleet!AE260/10^7</f>
        <v>0</v>
      </c>
      <c r="AD82" s="145">
        <f>$D82*Fleet!AF260/10^7</f>
        <v>0</v>
      </c>
      <c r="AE82" s="145">
        <f>$D82*Fleet!AG260/10^7</f>
        <v>0</v>
      </c>
      <c r="AF82" s="145">
        <f>$D82*Fleet!AH260/10^7</f>
        <v>0</v>
      </c>
      <c r="AG82" s="145">
        <f>$D82*Fleet!AI260/10^7</f>
        <v>0</v>
      </c>
      <c r="AH82" s="145">
        <f>$D82*Fleet!AJ260/10^7</f>
        <v>0</v>
      </c>
      <c r="AI82" s="145">
        <f>$D82*Fleet!AK260/10^7</f>
        <v>0</v>
      </c>
      <c r="AJ82" s="145">
        <f>$D82*Fleet!AL260/10^7</f>
        <v>0</v>
      </c>
      <c r="AK82" s="145">
        <f>$D82*Fleet!AM260/10^7</f>
        <v>0</v>
      </c>
      <c r="AL82" s="145">
        <f>$D82*Fleet!AN260/10^7</f>
        <v>0</v>
      </c>
      <c r="AM82" s="145">
        <f>$D82*Fleet!AO260/10^7</f>
        <v>0</v>
      </c>
      <c r="AN82" s="145">
        <f>$D82*Fleet!AP260/10^7</f>
        <v>0</v>
      </c>
      <c r="AO82" s="145">
        <f>$D82*Fleet!AQ260/10^7</f>
        <v>0</v>
      </c>
      <c r="AP82" s="179"/>
      <c r="AQ82" s="179"/>
      <c r="AR82" s="179"/>
      <c r="AS82" s="179"/>
      <c r="AT82" s="179"/>
      <c r="AU82" s="179"/>
      <c r="AV82" s="179"/>
      <c r="AW82" s="179"/>
      <c r="AX82" s="179"/>
      <c r="AY82" s="179"/>
      <c r="AZ82" s="179"/>
      <c r="BA82" s="179"/>
      <c r="BB82" s="179"/>
      <c r="BC82" s="179"/>
      <c r="BD82" s="179"/>
    </row>
    <row r="83" spans="1:56">
      <c r="A83" s="168" t="str">
        <f t="shared" si="5"/>
        <v/>
      </c>
      <c r="B83" s="165" t="str">
        <f t="shared" si="5"/>
        <v xml:space="preserve">Heavy duty tow truck </v>
      </c>
      <c r="C83" s="171" t="s">
        <v>134</v>
      </c>
      <c r="D83" s="174">
        <f t="shared" si="6"/>
        <v>50561.279999999999</v>
      </c>
      <c r="E83" s="145">
        <f>$D83*Fleet!G261/10^7</f>
        <v>0</v>
      </c>
      <c r="F83" s="145">
        <f>$D83*Fleet!H261/10^7</f>
        <v>0</v>
      </c>
      <c r="G83" s="145">
        <f>$D83*Fleet!I261/10^7</f>
        <v>0</v>
      </c>
      <c r="H83" s="145">
        <f>$D83*Fleet!J261/10^7</f>
        <v>0</v>
      </c>
      <c r="I83" s="145">
        <f>$D83*Fleet!K261/10^7</f>
        <v>5.056128E-3</v>
      </c>
      <c r="J83" s="145">
        <f>$D83*Fleet!L261/10^7</f>
        <v>5.056128E-3</v>
      </c>
      <c r="K83" s="145">
        <f>$D83*Fleet!M261/10^7</f>
        <v>1.0112256E-2</v>
      </c>
      <c r="L83" s="145">
        <f>$D83*Fleet!N261/10^7</f>
        <v>1.0112256E-2</v>
      </c>
      <c r="M83" s="145">
        <f>$D83*Fleet!O261/10^7</f>
        <v>1.0112256E-2</v>
      </c>
      <c r="N83" s="145">
        <f>$D83*Fleet!P261/10^7</f>
        <v>1.0112256E-2</v>
      </c>
      <c r="O83" s="145">
        <f>$D83*Fleet!Q261/10^7</f>
        <v>1.0112256E-2</v>
      </c>
      <c r="P83" s="145">
        <f>$D83*Fleet!R261/10^7</f>
        <v>1.0112256E-2</v>
      </c>
      <c r="Q83" s="145">
        <f>$D83*Fleet!S261/10^7</f>
        <v>1.0112256E-2</v>
      </c>
      <c r="R83" s="145">
        <f>$D83*Fleet!T261/10^7</f>
        <v>1.0112256E-2</v>
      </c>
      <c r="S83" s="145">
        <f>$D83*Fleet!U261/10^7</f>
        <v>1.0112256E-2</v>
      </c>
      <c r="T83" s="145">
        <f>$D83*Fleet!V261/10^7</f>
        <v>1.0112256E-2</v>
      </c>
      <c r="U83" s="145">
        <f>$D83*Fleet!W261/10^7</f>
        <v>1.0112256E-2</v>
      </c>
      <c r="V83" s="145">
        <f>$D83*Fleet!X261/10^7</f>
        <v>1.0112256E-2</v>
      </c>
      <c r="W83" s="145">
        <f>$D83*Fleet!Y261/10^7</f>
        <v>1.0112256E-2</v>
      </c>
      <c r="X83" s="145">
        <f>$D83*Fleet!Z261/10^7</f>
        <v>1.0112256E-2</v>
      </c>
      <c r="Y83" s="145">
        <f>$D83*Fleet!AA261/10^7</f>
        <v>1.0112256E-2</v>
      </c>
      <c r="Z83" s="145">
        <f>$D83*Fleet!AB261/10^7</f>
        <v>5.056128E-3</v>
      </c>
      <c r="AA83" s="145">
        <f>$D83*Fleet!AC261/10^7</f>
        <v>5.056128E-3</v>
      </c>
      <c r="AB83" s="145">
        <f>$D83*Fleet!AD261/10^7</f>
        <v>0</v>
      </c>
      <c r="AC83" s="145">
        <f>$D83*Fleet!AE261/10^7</f>
        <v>0</v>
      </c>
      <c r="AD83" s="145">
        <f>$D83*Fleet!AF261/10^7</f>
        <v>0</v>
      </c>
      <c r="AE83" s="145">
        <f>$D83*Fleet!AG261/10^7</f>
        <v>0</v>
      </c>
      <c r="AF83" s="145">
        <f>$D83*Fleet!AH261/10^7</f>
        <v>0</v>
      </c>
      <c r="AG83" s="145">
        <f>$D83*Fleet!AI261/10^7</f>
        <v>0</v>
      </c>
      <c r="AH83" s="145">
        <f>$D83*Fleet!AJ261/10^7</f>
        <v>0</v>
      </c>
      <c r="AI83" s="145">
        <f>$D83*Fleet!AK261/10^7</f>
        <v>0</v>
      </c>
      <c r="AJ83" s="145">
        <f>$D83*Fleet!AL261/10^7</f>
        <v>0</v>
      </c>
      <c r="AK83" s="145">
        <f>$D83*Fleet!AM261/10^7</f>
        <v>0</v>
      </c>
      <c r="AL83" s="145">
        <f>$D83*Fleet!AN261/10^7</f>
        <v>0</v>
      </c>
      <c r="AM83" s="145">
        <f>$D83*Fleet!AO261/10^7</f>
        <v>0</v>
      </c>
      <c r="AN83" s="145">
        <f>$D83*Fleet!AP261/10^7</f>
        <v>0</v>
      </c>
      <c r="AO83" s="145">
        <f>$D83*Fleet!AQ261/10^7</f>
        <v>0</v>
      </c>
      <c r="AP83" s="179"/>
      <c r="AQ83" s="179"/>
      <c r="AR83" s="179"/>
      <c r="AS83" s="179"/>
      <c r="AT83" s="179"/>
      <c r="AU83" s="179"/>
      <c r="AV83" s="179"/>
      <c r="AW83" s="179"/>
      <c r="AX83" s="179"/>
      <c r="AY83" s="179"/>
      <c r="AZ83" s="179"/>
      <c r="BA83" s="179"/>
      <c r="BB83" s="179"/>
      <c r="BC83" s="179"/>
      <c r="BD83" s="179"/>
    </row>
    <row r="84" spans="1:56">
      <c r="A84" s="168" t="str">
        <f t="shared" si="5"/>
        <v/>
      </c>
      <c r="B84" s="165" t="str">
        <f t="shared" si="5"/>
        <v>Tipping Truck/ 8t</v>
      </c>
      <c r="C84" s="171" t="s">
        <v>134</v>
      </c>
      <c r="D84" s="174">
        <f t="shared" si="6"/>
        <v>79453.440000000002</v>
      </c>
      <c r="E84" s="145">
        <f>$D84*Fleet!G262/10^7</f>
        <v>0</v>
      </c>
      <c r="F84" s="145">
        <f>$D84*Fleet!H262/10^7</f>
        <v>0</v>
      </c>
      <c r="G84" s="145">
        <f>$D84*Fleet!I262/10^7</f>
        <v>0</v>
      </c>
      <c r="H84" s="145">
        <f>$D84*Fleet!J262/10^7</f>
        <v>0</v>
      </c>
      <c r="I84" s="145">
        <f>$D84*Fleet!K262/10^7</f>
        <v>7.945344E-3</v>
      </c>
      <c r="J84" s="145">
        <f>$D84*Fleet!L262/10^7</f>
        <v>7.945344E-3</v>
      </c>
      <c r="K84" s="145">
        <f>$D84*Fleet!M262/10^7</f>
        <v>1.5890688E-2</v>
      </c>
      <c r="L84" s="145">
        <f>$D84*Fleet!N262/10^7</f>
        <v>1.5890688E-2</v>
      </c>
      <c r="M84" s="145">
        <f>$D84*Fleet!O262/10^7</f>
        <v>1.5890688E-2</v>
      </c>
      <c r="N84" s="145">
        <f>$D84*Fleet!P262/10^7</f>
        <v>1.5890688E-2</v>
      </c>
      <c r="O84" s="145">
        <f>$D84*Fleet!Q262/10^7</f>
        <v>1.5890688E-2</v>
      </c>
      <c r="P84" s="145">
        <f>$D84*Fleet!R262/10^7</f>
        <v>1.5890688E-2</v>
      </c>
      <c r="Q84" s="145">
        <f>$D84*Fleet!S262/10^7</f>
        <v>1.5890688E-2</v>
      </c>
      <c r="R84" s="145">
        <f>$D84*Fleet!T262/10^7</f>
        <v>1.5890688E-2</v>
      </c>
      <c r="S84" s="145">
        <f>$D84*Fleet!U262/10^7</f>
        <v>1.5890688E-2</v>
      </c>
      <c r="T84" s="145">
        <f>$D84*Fleet!V262/10^7</f>
        <v>1.5890688E-2</v>
      </c>
      <c r="U84" s="145">
        <f>$D84*Fleet!W262/10^7</f>
        <v>1.5890688E-2</v>
      </c>
      <c r="V84" s="145">
        <f>$D84*Fleet!X262/10^7</f>
        <v>1.5890688E-2</v>
      </c>
      <c r="W84" s="145">
        <f>$D84*Fleet!Y262/10^7</f>
        <v>1.5890688E-2</v>
      </c>
      <c r="X84" s="145">
        <f>$D84*Fleet!Z262/10^7</f>
        <v>1.5890688E-2</v>
      </c>
      <c r="Y84" s="145">
        <f>$D84*Fleet!AA262/10^7</f>
        <v>1.5890688E-2</v>
      </c>
      <c r="Z84" s="145">
        <f>$D84*Fleet!AB262/10^7</f>
        <v>7.945344E-3</v>
      </c>
      <c r="AA84" s="145">
        <f>$D84*Fleet!AC262/10^7</f>
        <v>7.945344E-3</v>
      </c>
      <c r="AB84" s="145">
        <f>$D84*Fleet!AD262/10^7</f>
        <v>0</v>
      </c>
      <c r="AC84" s="145">
        <f>$D84*Fleet!AE262/10^7</f>
        <v>0</v>
      </c>
      <c r="AD84" s="145">
        <f>$D84*Fleet!AF262/10^7</f>
        <v>0</v>
      </c>
      <c r="AE84" s="145">
        <f>$D84*Fleet!AG262/10^7</f>
        <v>0</v>
      </c>
      <c r="AF84" s="145">
        <f>$D84*Fleet!AH262/10^7</f>
        <v>0</v>
      </c>
      <c r="AG84" s="145">
        <f>$D84*Fleet!AI262/10^7</f>
        <v>0</v>
      </c>
      <c r="AH84" s="145">
        <f>$D84*Fleet!AJ262/10^7</f>
        <v>0</v>
      </c>
      <c r="AI84" s="145">
        <f>$D84*Fleet!AK262/10^7</f>
        <v>0</v>
      </c>
      <c r="AJ84" s="145">
        <f>$D84*Fleet!AL262/10^7</f>
        <v>0</v>
      </c>
      <c r="AK84" s="145">
        <f>$D84*Fleet!AM262/10^7</f>
        <v>0</v>
      </c>
      <c r="AL84" s="145">
        <f>$D84*Fleet!AN262/10^7</f>
        <v>0</v>
      </c>
      <c r="AM84" s="145">
        <f>$D84*Fleet!AO262/10^7</f>
        <v>0</v>
      </c>
      <c r="AN84" s="145">
        <f>$D84*Fleet!AP262/10^7</f>
        <v>0</v>
      </c>
      <c r="AO84" s="145">
        <f>$D84*Fleet!AQ262/10^7</f>
        <v>0</v>
      </c>
      <c r="AP84" s="179"/>
      <c r="AQ84" s="179"/>
      <c r="AR84" s="179"/>
      <c r="AS84" s="179"/>
      <c r="AT84" s="179"/>
      <c r="AU84" s="179"/>
      <c r="AV84" s="179"/>
      <c r="AW84" s="179"/>
      <c r="AX84" s="179"/>
      <c r="AY84" s="179"/>
      <c r="AZ84" s="179"/>
      <c r="BA84" s="179"/>
      <c r="BB84" s="179"/>
      <c r="BC84" s="179"/>
      <c r="BD84" s="179"/>
    </row>
    <row r="85" spans="1:56">
      <c r="A85" s="168" t="str">
        <f t="shared" si="5"/>
        <v/>
      </c>
      <c r="B85" s="165" t="str">
        <f t="shared" si="5"/>
        <v>Fork lift/ 8t</v>
      </c>
      <c r="C85" s="171" t="s">
        <v>134</v>
      </c>
      <c r="D85" s="174">
        <f t="shared" si="6"/>
        <v>99316.800000000003</v>
      </c>
      <c r="E85" s="145">
        <f>$D85*Fleet!G263/10^7</f>
        <v>0</v>
      </c>
      <c r="F85" s="145">
        <f>$D85*Fleet!H263/10^7</f>
        <v>0</v>
      </c>
      <c r="G85" s="145">
        <f>$D85*Fleet!I263/10^7</f>
        <v>0</v>
      </c>
      <c r="H85" s="145">
        <f>$D85*Fleet!J263/10^7</f>
        <v>0</v>
      </c>
      <c r="I85" s="145">
        <f>$D85*Fleet!K263/10^7</f>
        <v>9.93168E-3</v>
      </c>
      <c r="J85" s="145">
        <f>$D85*Fleet!L263/10^7</f>
        <v>9.93168E-3</v>
      </c>
      <c r="K85" s="145">
        <f>$D85*Fleet!M263/10^7</f>
        <v>1.986336E-2</v>
      </c>
      <c r="L85" s="145">
        <f>$D85*Fleet!N263/10^7</f>
        <v>1.986336E-2</v>
      </c>
      <c r="M85" s="145">
        <f>$D85*Fleet!O263/10^7</f>
        <v>1.986336E-2</v>
      </c>
      <c r="N85" s="145">
        <f>$D85*Fleet!P263/10^7</f>
        <v>1.986336E-2</v>
      </c>
      <c r="O85" s="145">
        <f>$D85*Fleet!Q263/10^7</f>
        <v>1.986336E-2</v>
      </c>
      <c r="P85" s="145">
        <f>$D85*Fleet!R263/10^7</f>
        <v>1.986336E-2</v>
      </c>
      <c r="Q85" s="145">
        <f>$D85*Fleet!S263/10^7</f>
        <v>1.986336E-2</v>
      </c>
      <c r="R85" s="145">
        <f>$D85*Fleet!T263/10^7</f>
        <v>1.986336E-2</v>
      </c>
      <c r="S85" s="145">
        <f>$D85*Fleet!U263/10^7</f>
        <v>1.986336E-2</v>
      </c>
      <c r="T85" s="145">
        <f>$D85*Fleet!V263/10^7</f>
        <v>1.986336E-2</v>
      </c>
      <c r="U85" s="145">
        <f>$D85*Fleet!W263/10^7</f>
        <v>1.986336E-2</v>
      </c>
      <c r="V85" s="145">
        <f>$D85*Fleet!X263/10^7</f>
        <v>1.986336E-2</v>
      </c>
      <c r="W85" s="145">
        <f>$D85*Fleet!Y263/10^7</f>
        <v>1.986336E-2</v>
      </c>
      <c r="X85" s="145">
        <f>$D85*Fleet!Z263/10^7</f>
        <v>1.986336E-2</v>
      </c>
      <c r="Y85" s="145">
        <f>$D85*Fleet!AA263/10^7</f>
        <v>1.986336E-2</v>
      </c>
      <c r="Z85" s="145">
        <f>$D85*Fleet!AB263/10^7</f>
        <v>9.93168E-3</v>
      </c>
      <c r="AA85" s="145">
        <f>$D85*Fleet!AC263/10^7</f>
        <v>9.93168E-3</v>
      </c>
      <c r="AB85" s="145">
        <f>$D85*Fleet!AD263/10^7</f>
        <v>0</v>
      </c>
      <c r="AC85" s="145">
        <f>$D85*Fleet!AE263/10^7</f>
        <v>0</v>
      </c>
      <c r="AD85" s="145">
        <f>$D85*Fleet!AF263/10^7</f>
        <v>0</v>
      </c>
      <c r="AE85" s="145">
        <f>$D85*Fleet!AG263/10^7</f>
        <v>0</v>
      </c>
      <c r="AF85" s="145">
        <f>$D85*Fleet!AH263/10^7</f>
        <v>0</v>
      </c>
      <c r="AG85" s="145">
        <f>$D85*Fleet!AI263/10^7</f>
        <v>0</v>
      </c>
      <c r="AH85" s="145">
        <f>$D85*Fleet!AJ263/10^7</f>
        <v>0</v>
      </c>
      <c r="AI85" s="145">
        <f>$D85*Fleet!AK263/10^7</f>
        <v>0</v>
      </c>
      <c r="AJ85" s="145">
        <f>$D85*Fleet!AL263/10^7</f>
        <v>0</v>
      </c>
      <c r="AK85" s="145">
        <f>$D85*Fleet!AM263/10^7</f>
        <v>0</v>
      </c>
      <c r="AL85" s="145">
        <f>$D85*Fleet!AN263/10^7</f>
        <v>0</v>
      </c>
      <c r="AM85" s="145">
        <f>$D85*Fleet!AO263/10^7</f>
        <v>0</v>
      </c>
      <c r="AN85" s="145">
        <f>$D85*Fleet!AP263/10^7</f>
        <v>0</v>
      </c>
      <c r="AO85" s="145">
        <f>$D85*Fleet!AQ263/10^7</f>
        <v>0</v>
      </c>
      <c r="AP85" s="179"/>
      <c r="AQ85" s="179"/>
      <c r="AR85" s="179"/>
      <c r="AS85" s="179"/>
      <c r="AT85" s="179"/>
      <c r="AU85" s="179"/>
      <c r="AV85" s="179"/>
      <c r="AW85" s="179"/>
      <c r="AX85" s="179"/>
      <c r="AY85" s="179"/>
      <c r="AZ85" s="179"/>
      <c r="BA85" s="179"/>
      <c r="BB85" s="179"/>
      <c r="BC85" s="179"/>
      <c r="BD85" s="179"/>
    </row>
    <row r="86" spans="1:56">
      <c r="A86" s="168" t="str">
        <f t="shared" si="5"/>
        <v/>
      </c>
      <c r="B86" s="165" t="str">
        <f t="shared" si="5"/>
        <v>Tyre handler/ 20t</v>
      </c>
      <c r="C86" s="171" t="s">
        <v>134</v>
      </c>
      <c r="D86" s="174">
        <f t="shared" ref="D86:D92" si="7">$D$50*D40</f>
        <v>112860</v>
      </c>
      <c r="E86" s="145">
        <f>$D86*Fleet!G264/10^7</f>
        <v>0</v>
      </c>
      <c r="F86" s="145">
        <f>$D86*Fleet!H264/10^7</f>
        <v>0</v>
      </c>
      <c r="G86" s="145">
        <f>$D86*Fleet!I264/10^7</f>
        <v>0</v>
      </c>
      <c r="H86" s="145">
        <f>$D86*Fleet!J264/10^7</f>
        <v>0</v>
      </c>
      <c r="I86" s="145">
        <f>$D86*Fleet!K264/10^7</f>
        <v>1.1285999999999999E-2</v>
      </c>
      <c r="J86" s="145">
        <f>$D86*Fleet!L264/10^7</f>
        <v>1.1285999999999999E-2</v>
      </c>
      <c r="K86" s="145">
        <f>$D86*Fleet!M264/10^7</f>
        <v>2.2571999999999998E-2</v>
      </c>
      <c r="L86" s="145">
        <f>$D86*Fleet!N264/10^7</f>
        <v>2.2571999999999998E-2</v>
      </c>
      <c r="M86" s="145">
        <f>$D86*Fleet!O264/10^7</f>
        <v>2.2571999999999998E-2</v>
      </c>
      <c r="N86" s="145">
        <f>$D86*Fleet!P264/10^7</f>
        <v>2.2571999999999998E-2</v>
      </c>
      <c r="O86" s="145">
        <f>$D86*Fleet!Q264/10^7</f>
        <v>2.2571999999999998E-2</v>
      </c>
      <c r="P86" s="145">
        <f>$D86*Fleet!R264/10^7</f>
        <v>2.2571999999999998E-2</v>
      </c>
      <c r="Q86" s="145">
        <f>$D86*Fleet!S264/10^7</f>
        <v>2.2571999999999998E-2</v>
      </c>
      <c r="R86" s="145">
        <f>$D86*Fleet!T264/10^7</f>
        <v>2.2571999999999998E-2</v>
      </c>
      <c r="S86" s="145">
        <f>$D86*Fleet!U264/10^7</f>
        <v>2.2571999999999998E-2</v>
      </c>
      <c r="T86" s="145">
        <f>$D86*Fleet!V264/10^7</f>
        <v>2.2571999999999998E-2</v>
      </c>
      <c r="U86" s="145">
        <f>$D86*Fleet!W264/10^7</f>
        <v>2.2571999999999998E-2</v>
      </c>
      <c r="V86" s="145">
        <f>$D86*Fleet!X264/10^7</f>
        <v>2.2571999999999998E-2</v>
      </c>
      <c r="W86" s="145">
        <f>$D86*Fleet!Y264/10^7</f>
        <v>2.2571999999999998E-2</v>
      </c>
      <c r="X86" s="145">
        <f>$D86*Fleet!Z264/10^7</f>
        <v>2.2571999999999998E-2</v>
      </c>
      <c r="Y86" s="145">
        <f>$D86*Fleet!AA264/10^7</f>
        <v>2.2571999999999998E-2</v>
      </c>
      <c r="Z86" s="145">
        <f>$D86*Fleet!AB264/10^7</f>
        <v>1.1285999999999999E-2</v>
      </c>
      <c r="AA86" s="145">
        <f>$D86*Fleet!AC264/10^7</f>
        <v>1.1285999999999999E-2</v>
      </c>
      <c r="AB86" s="145">
        <f>$D86*Fleet!AD264/10^7</f>
        <v>0</v>
      </c>
      <c r="AC86" s="145">
        <f>$D86*Fleet!AE264/10^7</f>
        <v>0</v>
      </c>
      <c r="AD86" s="145">
        <f>$D86*Fleet!AF264/10^7</f>
        <v>0</v>
      </c>
      <c r="AE86" s="145">
        <f>$D86*Fleet!AG264/10^7</f>
        <v>0</v>
      </c>
      <c r="AF86" s="145">
        <f>$D86*Fleet!AH264/10^7</f>
        <v>0</v>
      </c>
      <c r="AG86" s="145">
        <f>$D86*Fleet!AI264/10^7</f>
        <v>0</v>
      </c>
      <c r="AH86" s="145">
        <f>$D86*Fleet!AJ264/10^7</f>
        <v>0</v>
      </c>
      <c r="AI86" s="145">
        <f>$D86*Fleet!AK264/10^7</f>
        <v>0</v>
      </c>
      <c r="AJ86" s="145">
        <f>$D86*Fleet!AL264/10^7</f>
        <v>0</v>
      </c>
      <c r="AK86" s="145">
        <f>$D86*Fleet!AM264/10^7</f>
        <v>0</v>
      </c>
      <c r="AL86" s="145">
        <f>$D86*Fleet!AN264/10^7</f>
        <v>0</v>
      </c>
      <c r="AM86" s="145">
        <f>$D86*Fleet!AO264/10^7</f>
        <v>0</v>
      </c>
      <c r="AN86" s="145">
        <f>$D86*Fleet!AP264/10^7</f>
        <v>0</v>
      </c>
      <c r="AO86" s="145">
        <f>$D86*Fleet!AQ264/10^7</f>
        <v>0</v>
      </c>
      <c r="AP86" s="179"/>
      <c r="AQ86" s="179"/>
      <c r="AR86" s="179"/>
      <c r="AS86" s="179"/>
      <c r="AT86" s="179"/>
      <c r="AU86" s="179"/>
      <c r="AV86" s="179"/>
      <c r="AW86" s="179"/>
      <c r="AX86" s="179"/>
      <c r="AY86" s="179"/>
      <c r="AZ86" s="179"/>
      <c r="BA86" s="179"/>
      <c r="BB86" s="179"/>
      <c r="BC86" s="179"/>
      <c r="BD86" s="179"/>
    </row>
    <row r="87" spans="1:56">
      <c r="A87" s="168" t="str">
        <f t="shared" si="5"/>
        <v/>
      </c>
      <c r="B87" s="165" t="str">
        <f t="shared" si="5"/>
        <v xml:space="preserve">Farm tractor </v>
      </c>
      <c r="C87" s="171" t="s">
        <v>134</v>
      </c>
      <c r="D87" s="174">
        <f t="shared" si="7"/>
        <v>97812</v>
      </c>
      <c r="E87" s="145">
        <f>$D87*Fleet!G265/10^7</f>
        <v>0</v>
      </c>
      <c r="F87" s="145">
        <f>$D87*Fleet!H265/10^7</f>
        <v>0</v>
      </c>
      <c r="G87" s="145">
        <f>$D87*Fleet!I265/10^7</f>
        <v>0</v>
      </c>
      <c r="H87" s="145">
        <f>$D87*Fleet!J265/10^7</f>
        <v>0</v>
      </c>
      <c r="I87" s="145">
        <f>$D87*Fleet!K265/10^7</f>
        <v>9.7812000000000003E-3</v>
      </c>
      <c r="J87" s="145">
        <f>$D87*Fleet!L265/10^7</f>
        <v>9.7812000000000003E-3</v>
      </c>
      <c r="K87" s="145">
        <f>$D87*Fleet!M265/10^7</f>
        <v>1.9562400000000001E-2</v>
      </c>
      <c r="L87" s="145">
        <f>$D87*Fleet!N265/10^7</f>
        <v>1.9562400000000001E-2</v>
      </c>
      <c r="M87" s="145">
        <f>$D87*Fleet!O265/10^7</f>
        <v>1.9562400000000001E-2</v>
      </c>
      <c r="N87" s="145">
        <f>$D87*Fleet!P265/10^7</f>
        <v>1.9562400000000001E-2</v>
      </c>
      <c r="O87" s="145">
        <f>$D87*Fleet!Q265/10^7</f>
        <v>1.9562400000000001E-2</v>
      </c>
      <c r="P87" s="145">
        <f>$D87*Fleet!R265/10^7</f>
        <v>1.9562400000000001E-2</v>
      </c>
      <c r="Q87" s="145">
        <f>$D87*Fleet!S265/10^7</f>
        <v>1.9562400000000001E-2</v>
      </c>
      <c r="R87" s="145">
        <f>$D87*Fleet!T265/10^7</f>
        <v>1.9562400000000001E-2</v>
      </c>
      <c r="S87" s="145">
        <f>$D87*Fleet!U265/10^7</f>
        <v>1.9562400000000001E-2</v>
      </c>
      <c r="T87" s="145">
        <f>$D87*Fleet!V265/10^7</f>
        <v>1.9562400000000001E-2</v>
      </c>
      <c r="U87" s="145">
        <f>$D87*Fleet!W265/10^7</f>
        <v>1.9562400000000001E-2</v>
      </c>
      <c r="V87" s="145">
        <f>$D87*Fleet!X265/10^7</f>
        <v>1.9562400000000001E-2</v>
      </c>
      <c r="W87" s="145">
        <f>$D87*Fleet!Y265/10^7</f>
        <v>1.9562400000000001E-2</v>
      </c>
      <c r="X87" s="145">
        <f>$D87*Fleet!Z265/10^7</f>
        <v>1.9562400000000001E-2</v>
      </c>
      <c r="Y87" s="145">
        <f>$D87*Fleet!AA265/10^7</f>
        <v>1.9562400000000001E-2</v>
      </c>
      <c r="Z87" s="145">
        <f>$D87*Fleet!AB265/10^7</f>
        <v>9.7812000000000003E-3</v>
      </c>
      <c r="AA87" s="145">
        <f>$D87*Fleet!AC265/10^7</f>
        <v>9.7812000000000003E-3</v>
      </c>
      <c r="AB87" s="145">
        <f>$D87*Fleet!AD265/10^7</f>
        <v>0</v>
      </c>
      <c r="AC87" s="145">
        <f>$D87*Fleet!AE265/10^7</f>
        <v>0</v>
      </c>
      <c r="AD87" s="145">
        <f>$D87*Fleet!AF265/10^7</f>
        <v>0</v>
      </c>
      <c r="AE87" s="145">
        <f>$D87*Fleet!AG265/10^7</f>
        <v>0</v>
      </c>
      <c r="AF87" s="145">
        <f>$D87*Fleet!AH265/10^7</f>
        <v>0</v>
      </c>
      <c r="AG87" s="145">
        <f>$D87*Fleet!AI265/10^7</f>
        <v>0</v>
      </c>
      <c r="AH87" s="145">
        <f>$D87*Fleet!AJ265/10^7</f>
        <v>0</v>
      </c>
      <c r="AI87" s="145">
        <f>$D87*Fleet!AK265/10^7</f>
        <v>0</v>
      </c>
      <c r="AJ87" s="145">
        <f>$D87*Fleet!AL265/10^7</f>
        <v>0</v>
      </c>
      <c r="AK87" s="145">
        <f>$D87*Fleet!AM265/10^7</f>
        <v>0</v>
      </c>
      <c r="AL87" s="145">
        <f>$D87*Fleet!AN265/10^7</f>
        <v>0</v>
      </c>
      <c r="AM87" s="145">
        <f>$D87*Fleet!AO265/10^7</f>
        <v>0</v>
      </c>
      <c r="AN87" s="145">
        <f>$D87*Fleet!AP265/10^7</f>
        <v>0</v>
      </c>
      <c r="AO87" s="145">
        <f>$D87*Fleet!AQ265/10^7</f>
        <v>0</v>
      </c>
      <c r="AP87" s="179"/>
      <c r="AQ87" s="179"/>
      <c r="AR87" s="179"/>
      <c r="AS87" s="179"/>
      <c r="AT87" s="179"/>
      <c r="AU87" s="179"/>
      <c r="AV87" s="179"/>
      <c r="AW87" s="179"/>
      <c r="AX87" s="179"/>
      <c r="AY87" s="179"/>
      <c r="AZ87" s="179"/>
      <c r="BA87" s="179"/>
      <c r="BB87" s="179"/>
      <c r="BC87" s="179"/>
      <c r="BD87" s="179"/>
    </row>
    <row r="88" spans="1:56">
      <c r="A88" s="168" t="str">
        <f t="shared" si="5"/>
        <v/>
      </c>
      <c r="B88" s="165" t="str">
        <f t="shared" si="5"/>
        <v>Fire Tender</v>
      </c>
      <c r="C88" s="171" t="s">
        <v>134</v>
      </c>
      <c r="D88" s="174">
        <f t="shared" si="7"/>
        <v>56430</v>
      </c>
      <c r="E88" s="145">
        <f>$D88*Fleet!G266/10^7</f>
        <v>0</v>
      </c>
      <c r="F88" s="145">
        <f>$D88*Fleet!H266/10^7</f>
        <v>0</v>
      </c>
      <c r="G88" s="145">
        <f>$D88*Fleet!I266/10^7</f>
        <v>0</v>
      </c>
      <c r="H88" s="145">
        <f>$D88*Fleet!J266/10^7</f>
        <v>0</v>
      </c>
      <c r="I88" s="145">
        <f>$D88*Fleet!K266/10^7</f>
        <v>5.6429999999999996E-3</v>
      </c>
      <c r="J88" s="145">
        <f>$D88*Fleet!L266/10^7</f>
        <v>5.6429999999999996E-3</v>
      </c>
      <c r="K88" s="145">
        <f>$D88*Fleet!M266/10^7</f>
        <v>1.1285999999999999E-2</v>
      </c>
      <c r="L88" s="145">
        <f>$D88*Fleet!N266/10^7</f>
        <v>1.1285999999999999E-2</v>
      </c>
      <c r="M88" s="145">
        <f>$D88*Fleet!O266/10^7</f>
        <v>1.1285999999999999E-2</v>
      </c>
      <c r="N88" s="145">
        <f>$D88*Fleet!P266/10^7</f>
        <v>1.1285999999999999E-2</v>
      </c>
      <c r="O88" s="145">
        <f>$D88*Fleet!Q266/10^7</f>
        <v>1.1285999999999999E-2</v>
      </c>
      <c r="P88" s="145">
        <f>$D88*Fleet!R266/10^7</f>
        <v>1.1285999999999999E-2</v>
      </c>
      <c r="Q88" s="145">
        <f>$D88*Fleet!S266/10^7</f>
        <v>1.1285999999999999E-2</v>
      </c>
      <c r="R88" s="145">
        <f>$D88*Fleet!T266/10^7</f>
        <v>1.1285999999999999E-2</v>
      </c>
      <c r="S88" s="145">
        <f>$D88*Fleet!U266/10^7</f>
        <v>1.1285999999999999E-2</v>
      </c>
      <c r="T88" s="145">
        <f>$D88*Fleet!V266/10^7</f>
        <v>1.1285999999999999E-2</v>
      </c>
      <c r="U88" s="145">
        <f>$D88*Fleet!W266/10^7</f>
        <v>1.1285999999999999E-2</v>
      </c>
      <c r="V88" s="145">
        <f>$D88*Fleet!X266/10^7</f>
        <v>1.1285999999999999E-2</v>
      </c>
      <c r="W88" s="145">
        <f>$D88*Fleet!Y266/10^7</f>
        <v>1.1285999999999999E-2</v>
      </c>
      <c r="X88" s="145">
        <f>$D88*Fleet!Z266/10^7</f>
        <v>1.1285999999999999E-2</v>
      </c>
      <c r="Y88" s="145">
        <f>$D88*Fleet!AA266/10^7</f>
        <v>1.1285999999999999E-2</v>
      </c>
      <c r="Z88" s="145">
        <f>$D88*Fleet!AB266/10^7</f>
        <v>5.6429999999999996E-3</v>
      </c>
      <c r="AA88" s="145">
        <f>$D88*Fleet!AC266/10^7</f>
        <v>5.6429999999999996E-3</v>
      </c>
      <c r="AB88" s="145">
        <f>$D88*Fleet!AD266/10^7</f>
        <v>0</v>
      </c>
      <c r="AC88" s="145">
        <f>$D88*Fleet!AE266/10^7</f>
        <v>0</v>
      </c>
      <c r="AD88" s="145">
        <f>$D88*Fleet!AF266/10^7</f>
        <v>0</v>
      </c>
      <c r="AE88" s="145">
        <f>$D88*Fleet!AG266/10^7</f>
        <v>0</v>
      </c>
      <c r="AF88" s="145">
        <f>$D88*Fleet!AH266/10^7</f>
        <v>0</v>
      </c>
      <c r="AG88" s="145">
        <f>$D88*Fleet!AI266/10^7</f>
        <v>0</v>
      </c>
      <c r="AH88" s="145">
        <f>$D88*Fleet!AJ266/10^7</f>
        <v>0</v>
      </c>
      <c r="AI88" s="145">
        <f>$D88*Fleet!AK266/10^7</f>
        <v>0</v>
      </c>
      <c r="AJ88" s="145">
        <f>$D88*Fleet!AL266/10^7</f>
        <v>0</v>
      </c>
      <c r="AK88" s="145">
        <f>$D88*Fleet!AM266/10^7</f>
        <v>0</v>
      </c>
      <c r="AL88" s="145">
        <f>$D88*Fleet!AN266/10^7</f>
        <v>0</v>
      </c>
      <c r="AM88" s="145">
        <f>$D88*Fleet!AO266/10^7</f>
        <v>0</v>
      </c>
      <c r="AN88" s="145">
        <f>$D88*Fleet!AP266/10^7</f>
        <v>0</v>
      </c>
      <c r="AO88" s="145">
        <f>$D88*Fleet!AQ266/10^7</f>
        <v>0</v>
      </c>
      <c r="AP88" s="179"/>
      <c r="AQ88" s="179"/>
      <c r="AR88" s="179"/>
      <c r="AS88" s="179"/>
      <c r="AT88" s="179"/>
      <c r="AU88" s="179"/>
      <c r="AV88" s="179"/>
      <c r="AW88" s="179"/>
      <c r="AX88" s="179"/>
      <c r="AY88" s="179"/>
      <c r="AZ88" s="179"/>
      <c r="BA88" s="179"/>
      <c r="BB88" s="179"/>
      <c r="BC88" s="179"/>
      <c r="BD88" s="179"/>
    </row>
    <row r="89" spans="1:56">
      <c r="A89" s="168" t="str">
        <f t="shared" si="5"/>
        <v/>
      </c>
      <c r="B89" s="165" t="str">
        <f t="shared" si="5"/>
        <v xml:space="preserve">Ambulance </v>
      </c>
      <c r="C89" s="171" t="s">
        <v>134</v>
      </c>
      <c r="D89" s="174">
        <f t="shared" si="7"/>
        <v>45144</v>
      </c>
      <c r="E89" s="145">
        <f>$D89*Fleet!G267/10^7</f>
        <v>0</v>
      </c>
      <c r="F89" s="145">
        <f>$D89*Fleet!H267/10^7</f>
        <v>0</v>
      </c>
      <c r="G89" s="145">
        <f>$D89*Fleet!I267/10^7</f>
        <v>0</v>
      </c>
      <c r="H89" s="145">
        <f>$D89*Fleet!J267/10^7</f>
        <v>0</v>
      </c>
      <c r="I89" s="145">
        <f>$D89*Fleet!K267/10^7</f>
        <v>4.5144E-3</v>
      </c>
      <c r="J89" s="145">
        <f>$D89*Fleet!L267/10^7</f>
        <v>4.5144E-3</v>
      </c>
      <c r="K89" s="145">
        <f>$D89*Fleet!M267/10^7</f>
        <v>9.0288E-3</v>
      </c>
      <c r="L89" s="145">
        <f>$D89*Fleet!N267/10^7</f>
        <v>9.0288E-3</v>
      </c>
      <c r="M89" s="145">
        <f>$D89*Fleet!O267/10^7</f>
        <v>9.0288E-3</v>
      </c>
      <c r="N89" s="145">
        <f>$D89*Fleet!P267/10^7</f>
        <v>9.0288E-3</v>
      </c>
      <c r="O89" s="145">
        <f>$D89*Fleet!Q267/10^7</f>
        <v>9.0288E-3</v>
      </c>
      <c r="P89" s="145">
        <f>$D89*Fleet!R267/10^7</f>
        <v>9.0288E-3</v>
      </c>
      <c r="Q89" s="145">
        <f>$D89*Fleet!S267/10^7</f>
        <v>9.0288E-3</v>
      </c>
      <c r="R89" s="145">
        <f>$D89*Fleet!T267/10^7</f>
        <v>9.0288E-3</v>
      </c>
      <c r="S89" s="145">
        <f>$D89*Fleet!U267/10^7</f>
        <v>9.0288E-3</v>
      </c>
      <c r="T89" s="145">
        <f>$D89*Fleet!V267/10^7</f>
        <v>9.0288E-3</v>
      </c>
      <c r="U89" s="145">
        <f>$D89*Fleet!W267/10^7</f>
        <v>9.0288E-3</v>
      </c>
      <c r="V89" s="145">
        <f>$D89*Fleet!X267/10^7</f>
        <v>9.0288E-3</v>
      </c>
      <c r="W89" s="145">
        <f>$D89*Fleet!Y267/10^7</f>
        <v>9.0288E-3</v>
      </c>
      <c r="X89" s="145">
        <f>$D89*Fleet!Z267/10^7</f>
        <v>9.0288E-3</v>
      </c>
      <c r="Y89" s="145">
        <f>$D89*Fleet!AA267/10^7</f>
        <v>9.0288E-3</v>
      </c>
      <c r="Z89" s="145">
        <f>$D89*Fleet!AB267/10^7</f>
        <v>4.5144E-3</v>
      </c>
      <c r="AA89" s="145">
        <f>$D89*Fleet!AC267/10^7</f>
        <v>4.5144E-3</v>
      </c>
      <c r="AB89" s="145">
        <f>$D89*Fleet!AD267/10^7</f>
        <v>0</v>
      </c>
      <c r="AC89" s="145">
        <f>$D89*Fleet!AE267/10^7</f>
        <v>0</v>
      </c>
      <c r="AD89" s="145">
        <f>$D89*Fleet!AF267/10^7</f>
        <v>0</v>
      </c>
      <c r="AE89" s="145">
        <f>$D89*Fleet!AG267/10^7</f>
        <v>0</v>
      </c>
      <c r="AF89" s="145">
        <f>$D89*Fleet!AH267/10^7</f>
        <v>0</v>
      </c>
      <c r="AG89" s="145">
        <f>$D89*Fleet!AI267/10^7</f>
        <v>0</v>
      </c>
      <c r="AH89" s="145">
        <f>$D89*Fleet!AJ267/10^7</f>
        <v>0</v>
      </c>
      <c r="AI89" s="145">
        <f>$D89*Fleet!AK267/10^7</f>
        <v>0</v>
      </c>
      <c r="AJ89" s="145">
        <f>$D89*Fleet!AL267/10^7</f>
        <v>0</v>
      </c>
      <c r="AK89" s="145">
        <f>$D89*Fleet!AM267/10^7</f>
        <v>0</v>
      </c>
      <c r="AL89" s="145">
        <f>$D89*Fleet!AN267/10^7</f>
        <v>0</v>
      </c>
      <c r="AM89" s="145">
        <f>$D89*Fleet!AO267/10^7</f>
        <v>0</v>
      </c>
      <c r="AN89" s="145">
        <f>$D89*Fleet!AP267/10^7</f>
        <v>0</v>
      </c>
      <c r="AO89" s="145">
        <f>$D89*Fleet!AQ267/10^7</f>
        <v>0</v>
      </c>
      <c r="AP89" s="179"/>
      <c r="AQ89" s="179"/>
      <c r="AR89" s="179"/>
      <c r="AS89" s="179"/>
      <c r="AT89" s="179"/>
      <c r="AU89" s="179"/>
      <c r="AV89" s="179"/>
      <c r="AW89" s="179"/>
      <c r="AX89" s="179"/>
      <c r="AY89" s="179"/>
      <c r="AZ89" s="179"/>
      <c r="BA89" s="179"/>
      <c r="BB89" s="179"/>
      <c r="BC89" s="179"/>
      <c r="BD89" s="179"/>
    </row>
    <row r="90" spans="1:56">
      <c r="A90" s="168" t="str">
        <f t="shared" si="5"/>
        <v/>
      </c>
      <c r="B90" s="165" t="str">
        <f t="shared" si="5"/>
        <v>Worker Transportation bus</v>
      </c>
      <c r="C90" s="171" t="s">
        <v>134</v>
      </c>
      <c r="D90" s="174">
        <f t="shared" si="7"/>
        <v>158004</v>
      </c>
      <c r="E90" s="145">
        <f>$D90*Fleet!G268/10^7</f>
        <v>0</v>
      </c>
      <c r="F90" s="145">
        <f>$D90*Fleet!H268/10^7</f>
        <v>0</v>
      </c>
      <c r="G90" s="145">
        <f>$D90*Fleet!I268/10^7</f>
        <v>0</v>
      </c>
      <c r="H90" s="145">
        <f>$D90*Fleet!J268/10^7</f>
        <v>0</v>
      </c>
      <c r="I90" s="145">
        <f>$D90*Fleet!K268/10^7</f>
        <v>1.5800399999999999E-2</v>
      </c>
      <c r="J90" s="145">
        <f>$D90*Fleet!L268/10^7</f>
        <v>1.5800399999999999E-2</v>
      </c>
      <c r="K90" s="145">
        <f>$D90*Fleet!M268/10^7</f>
        <v>3.1600799999999998E-2</v>
      </c>
      <c r="L90" s="145">
        <f>$D90*Fleet!N268/10^7</f>
        <v>3.1600799999999998E-2</v>
      </c>
      <c r="M90" s="145">
        <f>$D90*Fleet!O268/10^7</f>
        <v>3.1600799999999998E-2</v>
      </c>
      <c r="N90" s="145">
        <f>$D90*Fleet!P268/10^7</f>
        <v>3.1600799999999998E-2</v>
      </c>
      <c r="O90" s="145">
        <f>$D90*Fleet!Q268/10^7</f>
        <v>3.1600799999999998E-2</v>
      </c>
      <c r="P90" s="145">
        <f>$D90*Fleet!R268/10^7</f>
        <v>3.1600799999999998E-2</v>
      </c>
      <c r="Q90" s="145">
        <f>$D90*Fleet!S268/10^7</f>
        <v>3.1600799999999998E-2</v>
      </c>
      <c r="R90" s="145">
        <f>$D90*Fleet!T268/10^7</f>
        <v>3.1600799999999998E-2</v>
      </c>
      <c r="S90" s="145">
        <f>$D90*Fleet!U268/10^7</f>
        <v>3.1600799999999998E-2</v>
      </c>
      <c r="T90" s="145">
        <f>$D90*Fleet!V268/10^7</f>
        <v>3.1600799999999998E-2</v>
      </c>
      <c r="U90" s="145">
        <f>$D90*Fleet!W268/10^7</f>
        <v>3.1600799999999998E-2</v>
      </c>
      <c r="V90" s="145">
        <f>$D90*Fleet!X268/10^7</f>
        <v>3.1600799999999998E-2</v>
      </c>
      <c r="W90" s="145">
        <f>$D90*Fleet!Y268/10^7</f>
        <v>3.1600799999999998E-2</v>
      </c>
      <c r="X90" s="145">
        <f>$D90*Fleet!Z268/10^7</f>
        <v>3.1600799999999998E-2</v>
      </c>
      <c r="Y90" s="145">
        <f>$D90*Fleet!AA268/10^7</f>
        <v>3.1600799999999998E-2</v>
      </c>
      <c r="Z90" s="145">
        <f>$D90*Fleet!AB268/10^7</f>
        <v>1.5800399999999999E-2</v>
      </c>
      <c r="AA90" s="145">
        <f>$D90*Fleet!AC268/10^7</f>
        <v>1.5800399999999999E-2</v>
      </c>
      <c r="AB90" s="145">
        <f>$D90*Fleet!AD268/10^7</f>
        <v>0</v>
      </c>
      <c r="AC90" s="145">
        <f>$D90*Fleet!AE268/10^7</f>
        <v>0</v>
      </c>
      <c r="AD90" s="145">
        <f>$D90*Fleet!AF268/10^7</f>
        <v>0</v>
      </c>
      <c r="AE90" s="145">
        <f>$D90*Fleet!AG268/10^7</f>
        <v>0</v>
      </c>
      <c r="AF90" s="145">
        <f>$D90*Fleet!AH268/10^7</f>
        <v>0</v>
      </c>
      <c r="AG90" s="145">
        <f>$D90*Fleet!AI268/10^7</f>
        <v>0</v>
      </c>
      <c r="AH90" s="145">
        <f>$D90*Fleet!AJ268/10^7</f>
        <v>0</v>
      </c>
      <c r="AI90" s="145">
        <f>$D90*Fleet!AK268/10^7</f>
        <v>0</v>
      </c>
      <c r="AJ90" s="145">
        <f>$D90*Fleet!AL268/10^7</f>
        <v>0</v>
      </c>
      <c r="AK90" s="145">
        <f>$D90*Fleet!AM268/10^7</f>
        <v>0</v>
      </c>
      <c r="AL90" s="145">
        <f>$D90*Fleet!AN268/10^7</f>
        <v>0</v>
      </c>
      <c r="AM90" s="145">
        <f>$D90*Fleet!AO268/10^7</f>
        <v>0</v>
      </c>
      <c r="AN90" s="145">
        <f>$D90*Fleet!AP268/10^7</f>
        <v>0</v>
      </c>
      <c r="AO90" s="145">
        <f>$D90*Fleet!AQ268/10^7</f>
        <v>0</v>
      </c>
      <c r="AP90" s="179"/>
      <c r="AQ90" s="179"/>
      <c r="AR90" s="179"/>
      <c r="AS90" s="179"/>
      <c r="AT90" s="179"/>
      <c r="AU90" s="179"/>
      <c r="AV90" s="179"/>
      <c r="AW90" s="179"/>
      <c r="AX90" s="179"/>
      <c r="AY90" s="179"/>
      <c r="AZ90" s="179"/>
      <c r="BA90" s="179"/>
      <c r="BB90" s="179"/>
      <c r="BC90" s="179"/>
      <c r="BD90" s="179"/>
    </row>
    <row r="91" spans="1:56">
      <c r="A91" s="168" t="str">
        <f t="shared" si="5"/>
        <v/>
      </c>
      <c r="B91" s="165" t="str">
        <f t="shared" si="5"/>
        <v>School bus</v>
      </c>
      <c r="C91" s="171" t="s">
        <v>134</v>
      </c>
      <c r="D91" s="174">
        <f t="shared" si="7"/>
        <v>158004</v>
      </c>
      <c r="E91" s="145">
        <f>$D91*Fleet!G269/10^7</f>
        <v>0</v>
      </c>
      <c r="F91" s="145">
        <f>$D91*Fleet!H269/10^7</f>
        <v>0</v>
      </c>
      <c r="G91" s="145">
        <f>$D91*Fleet!I269/10^7</f>
        <v>0</v>
      </c>
      <c r="H91" s="145">
        <f>$D91*Fleet!J269/10^7</f>
        <v>0</v>
      </c>
      <c r="I91" s="145">
        <f>$D91*Fleet!K269/10^7</f>
        <v>1.5800399999999999E-2</v>
      </c>
      <c r="J91" s="145">
        <f>$D91*Fleet!L269/10^7</f>
        <v>1.5800399999999999E-2</v>
      </c>
      <c r="K91" s="145">
        <f>$D91*Fleet!M269/10^7</f>
        <v>3.1600799999999998E-2</v>
      </c>
      <c r="L91" s="145">
        <f>$D91*Fleet!N269/10^7</f>
        <v>3.1600799999999998E-2</v>
      </c>
      <c r="M91" s="145">
        <f>$D91*Fleet!O269/10^7</f>
        <v>3.1600799999999998E-2</v>
      </c>
      <c r="N91" s="145">
        <f>$D91*Fleet!P269/10^7</f>
        <v>3.1600799999999998E-2</v>
      </c>
      <c r="O91" s="145">
        <f>$D91*Fleet!Q269/10^7</f>
        <v>3.1600799999999998E-2</v>
      </c>
      <c r="P91" s="145">
        <f>$D91*Fleet!R269/10^7</f>
        <v>3.1600799999999998E-2</v>
      </c>
      <c r="Q91" s="145">
        <f>$D91*Fleet!S269/10^7</f>
        <v>3.1600799999999998E-2</v>
      </c>
      <c r="R91" s="145">
        <f>$D91*Fleet!T269/10^7</f>
        <v>3.1600799999999998E-2</v>
      </c>
      <c r="S91" s="145">
        <f>$D91*Fleet!U269/10^7</f>
        <v>3.1600799999999998E-2</v>
      </c>
      <c r="T91" s="145">
        <f>$D91*Fleet!V269/10^7</f>
        <v>3.1600799999999998E-2</v>
      </c>
      <c r="U91" s="145">
        <f>$D91*Fleet!W269/10^7</f>
        <v>3.1600799999999998E-2</v>
      </c>
      <c r="V91" s="145">
        <f>$D91*Fleet!X269/10^7</f>
        <v>3.1600799999999998E-2</v>
      </c>
      <c r="W91" s="145">
        <f>$D91*Fleet!Y269/10^7</f>
        <v>3.1600799999999998E-2</v>
      </c>
      <c r="X91" s="145">
        <f>$D91*Fleet!Z269/10^7</f>
        <v>3.1600799999999998E-2</v>
      </c>
      <c r="Y91" s="145">
        <f>$D91*Fleet!AA269/10^7</f>
        <v>3.1600799999999998E-2</v>
      </c>
      <c r="Z91" s="145">
        <f>$D91*Fleet!AB269/10^7</f>
        <v>1.5800399999999999E-2</v>
      </c>
      <c r="AA91" s="145">
        <f>$D91*Fleet!AC269/10^7</f>
        <v>1.5800399999999999E-2</v>
      </c>
      <c r="AB91" s="145">
        <f>$D91*Fleet!AD269/10^7</f>
        <v>0</v>
      </c>
      <c r="AC91" s="145">
        <f>$D91*Fleet!AE269/10^7</f>
        <v>0</v>
      </c>
      <c r="AD91" s="145">
        <f>$D91*Fleet!AF269/10^7</f>
        <v>0</v>
      </c>
      <c r="AE91" s="145">
        <f>$D91*Fleet!AG269/10^7</f>
        <v>0</v>
      </c>
      <c r="AF91" s="145">
        <f>$D91*Fleet!AH269/10^7</f>
        <v>0</v>
      </c>
      <c r="AG91" s="145">
        <f>$D91*Fleet!AI269/10^7</f>
        <v>0</v>
      </c>
      <c r="AH91" s="145">
        <f>$D91*Fleet!AJ269/10^7</f>
        <v>0</v>
      </c>
      <c r="AI91" s="145">
        <f>$D91*Fleet!AK269/10^7</f>
        <v>0</v>
      </c>
      <c r="AJ91" s="145">
        <f>$D91*Fleet!AL269/10^7</f>
        <v>0</v>
      </c>
      <c r="AK91" s="145">
        <f>$D91*Fleet!AM269/10^7</f>
        <v>0</v>
      </c>
      <c r="AL91" s="145">
        <f>$D91*Fleet!AN269/10^7</f>
        <v>0</v>
      </c>
      <c r="AM91" s="145">
        <f>$D91*Fleet!AO269/10^7</f>
        <v>0</v>
      </c>
      <c r="AN91" s="145">
        <f>$D91*Fleet!AP269/10^7</f>
        <v>0</v>
      </c>
      <c r="AO91" s="145">
        <f>$D91*Fleet!AQ269/10^7</f>
        <v>0</v>
      </c>
      <c r="AP91" s="179"/>
      <c r="AQ91" s="179"/>
      <c r="AR91" s="179"/>
      <c r="AS91" s="179"/>
      <c r="AT91" s="179"/>
      <c r="AU91" s="179"/>
      <c r="AV91" s="179"/>
      <c r="AW91" s="179"/>
      <c r="AX91" s="179"/>
      <c r="AY91" s="179"/>
      <c r="AZ91" s="179"/>
      <c r="BA91" s="179"/>
      <c r="BB91" s="179"/>
      <c r="BC91" s="179"/>
      <c r="BD91" s="179"/>
    </row>
    <row r="92" spans="1:56">
      <c r="A92" s="168" t="str">
        <f t="shared" ref="A92:B92" si="8">A46</f>
        <v/>
      </c>
      <c r="B92" s="165" t="str">
        <f t="shared" si="8"/>
        <v xml:space="preserve">Pickup Van </v>
      </c>
      <c r="C92" s="171" t="s">
        <v>134</v>
      </c>
      <c r="D92" s="174">
        <f t="shared" si="7"/>
        <v>120384</v>
      </c>
      <c r="E92" s="145">
        <f>$D92*Fleet!G270/10^7</f>
        <v>0</v>
      </c>
      <c r="F92" s="145">
        <f>$D92*Fleet!H270/10^7</f>
        <v>0</v>
      </c>
      <c r="G92" s="145">
        <f>$D92*Fleet!I270/10^7</f>
        <v>0</v>
      </c>
      <c r="H92" s="145">
        <f>$D92*Fleet!J270/10^7</f>
        <v>0</v>
      </c>
      <c r="I92" s="145">
        <f>$D92*Fleet!K270/10^7</f>
        <v>1.2038399999999999E-2</v>
      </c>
      <c r="J92" s="145">
        <f>$D92*Fleet!L270/10^7</f>
        <v>1.2038399999999999E-2</v>
      </c>
      <c r="K92" s="145">
        <f>$D92*Fleet!M270/10^7</f>
        <v>2.4076799999999999E-2</v>
      </c>
      <c r="L92" s="145">
        <f>$D92*Fleet!N270/10^7</f>
        <v>2.4076799999999999E-2</v>
      </c>
      <c r="M92" s="145">
        <f>$D92*Fleet!O270/10^7</f>
        <v>2.4076799999999999E-2</v>
      </c>
      <c r="N92" s="145">
        <f>$D92*Fleet!P270/10^7</f>
        <v>2.4076799999999999E-2</v>
      </c>
      <c r="O92" s="145">
        <f>$D92*Fleet!Q270/10^7</f>
        <v>2.4076799999999999E-2</v>
      </c>
      <c r="P92" s="145">
        <f>$D92*Fleet!R270/10^7</f>
        <v>2.4076799999999999E-2</v>
      </c>
      <c r="Q92" s="145">
        <f>$D92*Fleet!S270/10^7</f>
        <v>2.4076799999999999E-2</v>
      </c>
      <c r="R92" s="145">
        <f>$D92*Fleet!T270/10^7</f>
        <v>2.4076799999999999E-2</v>
      </c>
      <c r="S92" s="145">
        <f>$D92*Fleet!U270/10^7</f>
        <v>2.4076799999999999E-2</v>
      </c>
      <c r="T92" s="145">
        <f>$D92*Fleet!V270/10^7</f>
        <v>2.4076799999999999E-2</v>
      </c>
      <c r="U92" s="145">
        <f>$D92*Fleet!W270/10^7</f>
        <v>2.4076799999999999E-2</v>
      </c>
      <c r="V92" s="145">
        <f>$D92*Fleet!X270/10^7</f>
        <v>2.4076799999999999E-2</v>
      </c>
      <c r="W92" s="145">
        <f>$D92*Fleet!Y270/10^7</f>
        <v>2.4076799999999999E-2</v>
      </c>
      <c r="X92" s="145">
        <f>$D92*Fleet!Z270/10^7</f>
        <v>2.4076799999999999E-2</v>
      </c>
      <c r="Y92" s="145">
        <f>$D92*Fleet!AA270/10^7</f>
        <v>2.4076799999999999E-2</v>
      </c>
      <c r="Z92" s="145">
        <f>$D92*Fleet!AB270/10^7</f>
        <v>1.2038399999999999E-2</v>
      </c>
      <c r="AA92" s="145">
        <f>$D92*Fleet!AC270/10^7</f>
        <v>1.2038399999999999E-2</v>
      </c>
      <c r="AB92" s="145">
        <f>$D92*Fleet!AD270/10^7</f>
        <v>0</v>
      </c>
      <c r="AC92" s="145">
        <f>$D92*Fleet!AE270/10^7</f>
        <v>0</v>
      </c>
      <c r="AD92" s="145">
        <f>$D92*Fleet!AF270/10^7</f>
        <v>0</v>
      </c>
      <c r="AE92" s="145">
        <f>$D92*Fleet!AG270/10^7</f>
        <v>0</v>
      </c>
      <c r="AF92" s="145">
        <f>$D92*Fleet!AH270/10^7</f>
        <v>0</v>
      </c>
      <c r="AG92" s="145">
        <f>$D92*Fleet!AI270/10^7</f>
        <v>0</v>
      </c>
      <c r="AH92" s="145">
        <f>$D92*Fleet!AJ270/10^7</f>
        <v>0</v>
      </c>
      <c r="AI92" s="145">
        <f>$D92*Fleet!AK270/10^7</f>
        <v>0</v>
      </c>
      <c r="AJ92" s="145">
        <f>$D92*Fleet!AL270/10^7</f>
        <v>0</v>
      </c>
      <c r="AK92" s="145">
        <f>$D92*Fleet!AM270/10^7</f>
        <v>0</v>
      </c>
      <c r="AL92" s="145">
        <f>$D92*Fleet!AN270/10^7</f>
        <v>0</v>
      </c>
      <c r="AM92" s="145">
        <f>$D92*Fleet!AO270/10^7</f>
        <v>0</v>
      </c>
      <c r="AN92" s="145">
        <f>$D92*Fleet!AP270/10^7</f>
        <v>0</v>
      </c>
      <c r="AO92" s="145">
        <f>$D92*Fleet!AQ270/10^7</f>
        <v>0</v>
      </c>
      <c r="AP92" s="179"/>
      <c r="AQ92" s="179"/>
      <c r="AR92" s="179"/>
      <c r="AS92" s="179"/>
      <c r="AT92" s="179"/>
      <c r="AU92" s="179"/>
      <c r="AV92" s="179"/>
      <c r="AW92" s="179"/>
      <c r="AX92" s="179"/>
      <c r="AY92" s="179"/>
      <c r="AZ92" s="179"/>
      <c r="BA92" s="179"/>
      <c r="BB92" s="179"/>
      <c r="BC92" s="179"/>
      <c r="BD92" s="179"/>
    </row>
    <row r="93" spans="1:56" ht="14" thickBot="1">
      <c r="A93" s="169"/>
      <c r="B93" s="252" t="str">
        <f>B48</f>
        <v>Sub Total</v>
      </c>
      <c r="C93" s="245"/>
      <c r="D93" s="256">
        <f>SUM(E93:AO93)</f>
        <v>167.89232309882661</v>
      </c>
      <c r="E93" s="247">
        <f t="shared" ref="E93:AO93" si="9">SUM(E52:E92)</f>
        <v>6.3804132913657628E-3</v>
      </c>
      <c r="F93" s="247">
        <f t="shared" si="9"/>
        <v>1.2760823855104511E-2</v>
      </c>
      <c r="G93" s="247">
        <f t="shared" si="9"/>
        <v>2.5521658620717085E-2</v>
      </c>
      <c r="H93" s="247">
        <f t="shared" si="9"/>
        <v>3.8282479748194563E-2</v>
      </c>
      <c r="I93" s="247">
        <f t="shared" si="9"/>
        <v>1.3710612321716447</v>
      </c>
      <c r="J93" s="247">
        <f t="shared" si="9"/>
        <v>1.5820954800749409</v>
      </c>
      <c r="K93" s="247">
        <f t="shared" si="9"/>
        <v>4.1096047340223079</v>
      </c>
      <c r="L93" s="247">
        <f t="shared" si="9"/>
        <v>9.1267128992411219</v>
      </c>
      <c r="M93" s="247">
        <f t="shared" si="9"/>
        <v>10.139758396676875</v>
      </c>
      <c r="N93" s="247">
        <f t="shared" si="9"/>
        <v>12.677387863952024</v>
      </c>
      <c r="O93" s="247">
        <f t="shared" si="9"/>
        <v>12.317501635727888</v>
      </c>
      <c r="P93" s="247">
        <f t="shared" si="9"/>
        <v>11.489710280274863</v>
      </c>
      <c r="Q93" s="247">
        <f t="shared" si="9"/>
        <v>12.002238925689481</v>
      </c>
      <c r="R93" s="247">
        <f t="shared" si="9"/>
        <v>11.542434958775582</v>
      </c>
      <c r="S93" s="247">
        <f t="shared" si="9"/>
        <v>12.289868692627877</v>
      </c>
      <c r="T93" s="247">
        <f t="shared" si="9"/>
        <v>10.717967888973217</v>
      </c>
      <c r="U93" s="247">
        <f t="shared" si="9"/>
        <v>10.171578927202617</v>
      </c>
      <c r="V93" s="247">
        <f t="shared" si="9"/>
        <v>11.200979490395193</v>
      </c>
      <c r="W93" s="247">
        <f t="shared" si="9"/>
        <v>11.207288994399763</v>
      </c>
      <c r="X93" s="247">
        <f t="shared" si="9"/>
        <v>12.553818857510224</v>
      </c>
      <c r="Y93" s="247">
        <f t="shared" si="9"/>
        <v>8.2608857276283221</v>
      </c>
      <c r="Z93" s="247">
        <f t="shared" si="9"/>
        <v>3.6537658423498067</v>
      </c>
      <c r="AA93" s="247">
        <f t="shared" si="9"/>
        <v>1.3947168956174605</v>
      </c>
      <c r="AB93" s="247">
        <f t="shared" si="9"/>
        <v>0</v>
      </c>
      <c r="AC93" s="247">
        <f t="shared" si="9"/>
        <v>0</v>
      </c>
      <c r="AD93" s="247">
        <f t="shared" si="9"/>
        <v>0</v>
      </c>
      <c r="AE93" s="247">
        <f t="shared" si="9"/>
        <v>0</v>
      </c>
      <c r="AF93" s="247">
        <f t="shared" si="9"/>
        <v>0</v>
      </c>
      <c r="AG93" s="247">
        <f t="shared" si="9"/>
        <v>0</v>
      </c>
      <c r="AH93" s="247">
        <f t="shared" si="9"/>
        <v>0</v>
      </c>
      <c r="AI93" s="247">
        <f t="shared" si="9"/>
        <v>0</v>
      </c>
      <c r="AJ93" s="247">
        <f t="shared" si="9"/>
        <v>0</v>
      </c>
      <c r="AK93" s="247">
        <f t="shared" si="9"/>
        <v>0</v>
      </c>
      <c r="AL93" s="247">
        <f t="shared" si="9"/>
        <v>0</v>
      </c>
      <c r="AM93" s="247">
        <f t="shared" si="9"/>
        <v>0</v>
      </c>
      <c r="AN93" s="247">
        <f t="shared" si="9"/>
        <v>0</v>
      </c>
      <c r="AO93" s="247">
        <f t="shared" si="9"/>
        <v>0</v>
      </c>
      <c r="AP93" s="242"/>
      <c r="AQ93" s="242"/>
      <c r="AR93" s="242"/>
      <c r="AS93" s="242"/>
      <c r="AT93" s="242"/>
      <c r="AU93" s="242"/>
      <c r="AV93" s="242"/>
      <c r="AW93" s="242"/>
      <c r="AX93" s="242"/>
      <c r="AY93" s="242"/>
      <c r="AZ93" s="242"/>
      <c r="BA93" s="242"/>
      <c r="BB93" s="242"/>
      <c r="BC93" s="242"/>
      <c r="BD93" s="248"/>
    </row>
    <row r="94" spans="1:56" ht="14" thickTop="1"/>
    <row r="95" spans="1:56">
      <c r="A95" s="191" t="s">
        <v>1062</v>
      </c>
      <c r="C95" s="180"/>
      <c r="D95" s="209"/>
    </row>
    <row r="96" spans="1:56" ht="14">
      <c r="A96" s="1141" t="s">
        <v>971</v>
      </c>
      <c r="B96" s="1141" t="s">
        <v>972</v>
      </c>
      <c r="C96" s="1141" t="s">
        <v>88</v>
      </c>
      <c r="D96" s="1141" t="s">
        <v>1060</v>
      </c>
      <c r="E96" s="789">
        <f t="shared" ref="E96:AO96" si="10">E51</f>
        <v>-4</v>
      </c>
      <c r="F96" s="789">
        <f t="shared" si="10"/>
        <v>-3</v>
      </c>
      <c r="G96" s="789">
        <f t="shared" si="10"/>
        <v>-2</v>
      </c>
      <c r="H96" s="789">
        <f t="shared" si="10"/>
        <v>-1</v>
      </c>
      <c r="I96" s="789">
        <f t="shared" si="10"/>
        <v>1</v>
      </c>
      <c r="J96" s="789">
        <f t="shared" si="10"/>
        <v>2</v>
      </c>
      <c r="K96" s="789">
        <f t="shared" si="10"/>
        <v>3</v>
      </c>
      <c r="L96" s="789">
        <f t="shared" si="10"/>
        <v>4</v>
      </c>
      <c r="M96" s="789">
        <f t="shared" si="10"/>
        <v>5</v>
      </c>
      <c r="N96" s="789">
        <f t="shared" si="10"/>
        <v>6</v>
      </c>
      <c r="O96" s="789">
        <f t="shared" si="10"/>
        <v>7</v>
      </c>
      <c r="P96" s="789">
        <f t="shared" si="10"/>
        <v>8</v>
      </c>
      <c r="Q96" s="789">
        <f t="shared" si="10"/>
        <v>9</v>
      </c>
      <c r="R96" s="789">
        <f t="shared" si="10"/>
        <v>10</v>
      </c>
      <c r="S96" s="789">
        <f t="shared" si="10"/>
        <v>11</v>
      </c>
      <c r="T96" s="789">
        <f t="shared" si="10"/>
        <v>12</v>
      </c>
      <c r="U96" s="789">
        <f t="shared" si="10"/>
        <v>13</v>
      </c>
      <c r="V96" s="789">
        <f t="shared" si="10"/>
        <v>14</v>
      </c>
      <c r="W96" s="789">
        <f t="shared" si="10"/>
        <v>15</v>
      </c>
      <c r="X96" s="789">
        <f t="shared" si="10"/>
        <v>16</v>
      </c>
      <c r="Y96" s="789">
        <f t="shared" si="10"/>
        <v>17</v>
      </c>
      <c r="Z96" s="789">
        <f t="shared" si="10"/>
        <v>18</v>
      </c>
      <c r="AA96" s="789">
        <f t="shared" si="10"/>
        <v>19</v>
      </c>
      <c r="AB96" s="789">
        <f t="shared" si="10"/>
        <v>0</v>
      </c>
      <c r="AC96" s="789">
        <f t="shared" si="10"/>
        <v>0</v>
      </c>
      <c r="AD96" s="789">
        <f t="shared" si="10"/>
        <v>0</v>
      </c>
      <c r="AE96" s="789">
        <f t="shared" si="10"/>
        <v>0</v>
      </c>
      <c r="AF96" s="789">
        <f t="shared" si="10"/>
        <v>0</v>
      </c>
      <c r="AG96" s="789">
        <f t="shared" si="10"/>
        <v>0</v>
      </c>
      <c r="AH96" s="789">
        <f t="shared" si="10"/>
        <v>0</v>
      </c>
      <c r="AI96" s="789">
        <f t="shared" si="10"/>
        <v>0</v>
      </c>
      <c r="AJ96" s="789">
        <f t="shared" si="10"/>
        <v>0</v>
      </c>
      <c r="AK96" s="789">
        <f t="shared" si="10"/>
        <v>0</v>
      </c>
      <c r="AL96" s="789">
        <f t="shared" si="10"/>
        <v>0</v>
      </c>
      <c r="AM96" s="789">
        <f t="shared" si="10"/>
        <v>0</v>
      </c>
      <c r="AN96" s="789">
        <f t="shared" si="10"/>
        <v>0</v>
      </c>
      <c r="AO96" s="789">
        <f t="shared" si="10"/>
        <v>0</v>
      </c>
      <c r="AP96" s="789">
        <f>Fleet!AR95</f>
        <v>0</v>
      </c>
      <c r="AQ96" s="789">
        <f>Fleet!AS95</f>
        <v>0</v>
      </c>
      <c r="AR96" s="789">
        <f>Fleet!AT95</f>
        <v>0</v>
      </c>
      <c r="AS96" s="789">
        <f>Fleet!AU95</f>
        <v>0</v>
      </c>
      <c r="AT96" s="789">
        <f>Fleet!AV95</f>
        <v>0</v>
      </c>
      <c r="AU96" s="789">
        <f>Fleet!AW95</f>
        <v>0</v>
      </c>
      <c r="AV96" s="789">
        <f>Fleet!AX95</f>
        <v>0</v>
      </c>
      <c r="AW96" s="789">
        <f>Fleet!AY95</f>
        <v>0</v>
      </c>
      <c r="AX96" s="789">
        <f>Fleet!AZ95</f>
        <v>0</v>
      </c>
      <c r="AY96" s="789">
        <f>Fleet!BA95</f>
        <v>0</v>
      </c>
      <c r="AZ96" s="789">
        <f>Fleet!BB95</f>
        <v>0</v>
      </c>
      <c r="BA96" s="789">
        <f>Fleet!BC95</f>
        <v>0</v>
      </c>
      <c r="BB96" s="789">
        <f>Fleet!BD95</f>
        <v>0</v>
      </c>
      <c r="BC96" s="789">
        <f>Fleet!BE95</f>
        <v>0</v>
      </c>
      <c r="BD96" s="789">
        <f>Fleet!BF95</f>
        <v>0</v>
      </c>
    </row>
    <row r="97" spans="1:56">
      <c r="A97" s="168" t="str">
        <f t="shared" ref="A97:B116" si="11">A52</f>
        <v>Coal/Ore</v>
      </c>
      <c r="B97" s="165" t="str">
        <f t="shared" si="11"/>
        <v>Drill Machine/ 115mm diameter</v>
      </c>
      <c r="C97" s="171" t="s">
        <v>134</v>
      </c>
      <c r="D97" s="174">
        <f>VLOOKUP(B97,Equipment!$C$5:$S$53,Equipment!F$1,FALSE)*VLOOKUP(B6,Equipment!$C$5:$S$53,Equipment!P$1,FALSE)</f>
        <v>580000</v>
      </c>
      <c r="E97" s="145">
        <f>$D97*Fleet!G230/10^7</f>
        <v>0</v>
      </c>
      <c r="F97" s="145">
        <f>$D97*Fleet!H230/10^7</f>
        <v>0</v>
      </c>
      <c r="G97" s="145">
        <f>$D97*Fleet!I230/10^7</f>
        <v>0</v>
      </c>
      <c r="H97" s="145">
        <f>$D97*Fleet!J230/10^7</f>
        <v>0</v>
      </c>
      <c r="I97" s="145">
        <f>$D97*Fleet!K230/10^7</f>
        <v>2.3895214074365206E-2</v>
      </c>
      <c r="J97" s="145">
        <f>$D97*Fleet!L230/10^7</f>
        <v>4.7790417933525148E-2</v>
      </c>
      <c r="K97" s="145">
        <f>$D97*Fleet!M230/10^7</f>
        <v>1.4337131509180702E-2</v>
      </c>
      <c r="L97" s="145">
        <f>$D97*Fleet!N230/10^7</f>
        <v>2.1505692666928682E-2</v>
      </c>
      <c r="M97" s="145">
        <f>$D97*Fleet!O230/10^7</f>
        <v>2.6882110470678091E-2</v>
      </c>
      <c r="N97" s="145">
        <f>$D97*Fleet!P230/10^7</f>
        <v>2.6882131922609163E-2</v>
      </c>
      <c r="O97" s="145">
        <f>$D97*Fleet!Q230/10^7</f>
        <v>2.6882116599801248E-2</v>
      </c>
      <c r="P97" s="145">
        <f>$D97*Fleet!R230/10^7</f>
        <v>2.6882113535239675E-2</v>
      </c>
      <c r="Q97" s="145">
        <f>$D97*Fleet!S230/10^7</f>
        <v>2.6882125793485988E-2</v>
      </c>
      <c r="R97" s="145">
        <f>$D97*Fleet!T230/10^7</f>
        <v>2.6882110470678091E-2</v>
      </c>
      <c r="S97" s="145">
        <f>$D97*Fleet!U230/10^7</f>
        <v>2.6882113535239675E-2</v>
      </c>
      <c r="T97" s="145">
        <f>$D97*Fleet!V230/10^7</f>
        <v>2.6882122728924408E-2</v>
      </c>
      <c r="U97" s="145">
        <f>$D97*Fleet!W230/10^7</f>
        <v>2.6882147245417057E-2</v>
      </c>
      <c r="V97" s="145">
        <f>$D97*Fleet!X230/10^7</f>
        <v>2.6882122728924408E-2</v>
      </c>
      <c r="W97" s="145">
        <f>$D97*Fleet!Y230/10^7</f>
        <v>2.6882122728924408E-2</v>
      </c>
      <c r="X97" s="145">
        <f>$D97*Fleet!Z230/10^7</f>
        <v>2.6882119664362828E-2</v>
      </c>
      <c r="Y97" s="145">
        <f>$D97*Fleet!AA230/10^7</f>
        <v>1.7921412088054697E-2</v>
      </c>
      <c r="Z97" s="145">
        <f>$D97*Fleet!AB230/10^7</f>
        <v>1.3441064429023786E-2</v>
      </c>
      <c r="AA97" s="145">
        <f>$D97*Fleet!AC230/10^7</f>
        <v>3.9505799631807652E-3</v>
      </c>
      <c r="AB97" s="145">
        <f>$D97*Fleet!AD230/10^7</f>
        <v>0</v>
      </c>
      <c r="AC97" s="145">
        <f>$D97*Fleet!AE230/10^7</f>
        <v>0</v>
      </c>
      <c r="AD97" s="145">
        <f>$D97*Fleet!AF230/10^7</f>
        <v>0</v>
      </c>
      <c r="AE97" s="145">
        <f>$D97*Fleet!AG230/10^7</f>
        <v>0</v>
      </c>
      <c r="AF97" s="145">
        <f>$D97*Fleet!AH230/10^7</f>
        <v>0</v>
      </c>
      <c r="AG97" s="145">
        <f>$D97*Fleet!AI230/10^7</f>
        <v>0</v>
      </c>
      <c r="AH97" s="145">
        <f>$D97*Fleet!AJ230/10^7</f>
        <v>0</v>
      </c>
      <c r="AI97" s="145">
        <f>$D97*Fleet!AK230/10^7</f>
        <v>0</v>
      </c>
      <c r="AJ97" s="145">
        <f>$D97*Fleet!AL230/10^7</f>
        <v>0</v>
      </c>
      <c r="AK97" s="145">
        <f>$D97*Fleet!AM230/10^7</f>
        <v>0</v>
      </c>
      <c r="AL97" s="145">
        <f>$D97*Fleet!AN230/10^7</f>
        <v>0</v>
      </c>
      <c r="AM97" s="145">
        <f>$D97*Fleet!AO230/10^7</f>
        <v>0</v>
      </c>
      <c r="AN97" s="145">
        <f>$D97*Fleet!AP230/10^7</f>
        <v>0</v>
      </c>
      <c r="AO97" s="145">
        <f>$D97*Fleet!AQ230/10^7</f>
        <v>0</v>
      </c>
      <c r="AP97" s="179"/>
      <c r="AQ97" s="179"/>
      <c r="AR97" s="179"/>
      <c r="AS97" s="179"/>
      <c r="AT97" s="179"/>
      <c r="AU97" s="179"/>
      <c r="AV97" s="179"/>
      <c r="AW97" s="179"/>
      <c r="AX97" s="179"/>
      <c r="AY97" s="179"/>
      <c r="AZ97" s="179"/>
      <c r="BA97" s="179"/>
      <c r="BB97" s="179"/>
      <c r="BC97" s="179"/>
      <c r="BD97" s="179"/>
    </row>
    <row r="98" spans="1:56">
      <c r="A98" s="168" t="str">
        <f t="shared" si="11"/>
        <v xml:space="preserve">Waste (IB Thin Parting) </v>
      </c>
      <c r="B98" s="165" t="str">
        <f t="shared" si="11"/>
        <v>Drill Machine/ 160mm diameter</v>
      </c>
      <c r="C98" s="171" t="s">
        <v>134</v>
      </c>
      <c r="D98" s="174">
        <f>VLOOKUP(B98,Equipment!$C$5:$S$53,Equipment!F$1,FALSE)*VLOOKUP(B7,Equipment!$C$5:$S$53,Equipment!P$1,FALSE)</f>
        <v>1190000</v>
      </c>
      <c r="E98" s="145">
        <f>$D98*Fleet!G231/10^7</f>
        <v>0</v>
      </c>
      <c r="F98" s="145">
        <f>$D98*Fleet!H231/10^7</f>
        <v>0</v>
      </c>
      <c r="G98" s="145">
        <f>$D98*Fleet!I231/10^7</f>
        <v>0</v>
      </c>
      <c r="H98" s="145">
        <f>$D98*Fleet!J231/10^7</f>
        <v>0</v>
      </c>
      <c r="I98" s="145">
        <f>$D98*Fleet!K231/10^7</f>
        <v>9.6508833972008851E-2</v>
      </c>
      <c r="J98" s="145">
        <f>$D98*Fleet!L231/10^7</f>
        <v>8.0110756450556889E-2</v>
      </c>
      <c r="K98" s="145">
        <f>$D98*Fleet!M231/10^7</f>
        <v>0.1451121019729924</v>
      </c>
      <c r="L98" s="145">
        <f>$D98*Fleet!N231/10^7</f>
        <v>0.30988753703928751</v>
      </c>
      <c r="M98" s="145">
        <f>$D98*Fleet!O231/10^7</f>
        <v>0.29813228235193046</v>
      </c>
      <c r="N98" s="145">
        <f>$D98*Fleet!P231/10^7</f>
        <v>0.3994976029824614</v>
      </c>
      <c r="O98" s="145">
        <f>$D98*Fleet!Q231/10^7</f>
        <v>0.36569402392721911</v>
      </c>
      <c r="P98" s="145">
        <f>$D98*Fleet!R231/10^7</f>
        <v>0.30584976120284635</v>
      </c>
      <c r="Q98" s="145">
        <f>$D98*Fleet!S231/10^7</f>
        <v>0.31870843589148956</v>
      </c>
      <c r="R98" s="145">
        <f>$D98*Fleet!T231/10^7</f>
        <v>0.28431483521941886</v>
      </c>
      <c r="S98" s="145">
        <f>$D98*Fleet!U231/10^7</f>
        <v>0.32029326383356904</v>
      </c>
      <c r="T98" s="145">
        <f>$D98*Fleet!V231/10^7</f>
        <v>0.24394909185708924</v>
      </c>
      <c r="U98" s="145">
        <f>$D98*Fleet!W231/10^7</f>
        <v>0.21420970349919946</v>
      </c>
      <c r="V98" s="145">
        <f>$D98*Fleet!X231/10^7</f>
        <v>0.26610568441110161</v>
      </c>
      <c r="W98" s="145">
        <f>$D98*Fleet!Y231/10^7</f>
        <v>0.26526166889807151</v>
      </c>
      <c r="X98" s="145">
        <f>$D98*Fleet!Z231/10^7</f>
        <v>0.33771532254220704</v>
      </c>
      <c r="Y98" s="145">
        <f>$D98*Fleet!AA231/10^7</f>
        <v>0.20812186925441314</v>
      </c>
      <c r="Z98" s="145">
        <f>$D98*Fleet!AB231/10^7</f>
        <v>3.6159447186656056E-2</v>
      </c>
      <c r="AA98" s="145">
        <f>$D98*Fleet!AC231/10^7</f>
        <v>1.0743983139930332E-2</v>
      </c>
      <c r="AB98" s="145">
        <f>$D98*Fleet!AD231/10^7</f>
        <v>0</v>
      </c>
      <c r="AC98" s="145">
        <f>$D98*Fleet!AE231/10^7</f>
        <v>0</v>
      </c>
      <c r="AD98" s="145">
        <f>$D98*Fleet!AF231/10^7</f>
        <v>0</v>
      </c>
      <c r="AE98" s="145">
        <f>$D98*Fleet!AG231/10^7</f>
        <v>0</v>
      </c>
      <c r="AF98" s="145">
        <f>$D98*Fleet!AH231/10^7</f>
        <v>0</v>
      </c>
      <c r="AG98" s="145">
        <f>$D98*Fleet!AI231/10^7</f>
        <v>0</v>
      </c>
      <c r="AH98" s="145">
        <f>$D98*Fleet!AJ231/10^7</f>
        <v>0</v>
      </c>
      <c r="AI98" s="145">
        <f>$D98*Fleet!AK231/10^7</f>
        <v>0</v>
      </c>
      <c r="AJ98" s="145">
        <f>$D98*Fleet!AL231/10^7</f>
        <v>0</v>
      </c>
      <c r="AK98" s="145">
        <f>$D98*Fleet!AM231/10^7</f>
        <v>0</v>
      </c>
      <c r="AL98" s="145">
        <f>$D98*Fleet!AN231/10^7</f>
        <v>0</v>
      </c>
      <c r="AM98" s="145">
        <f>$D98*Fleet!AO231/10^7</f>
        <v>0</v>
      </c>
      <c r="AN98" s="145">
        <f>$D98*Fleet!AP231/10^7</f>
        <v>0</v>
      </c>
      <c r="AO98" s="145">
        <f>$D98*Fleet!AQ231/10^7</f>
        <v>0</v>
      </c>
      <c r="AP98" s="179"/>
      <c r="AQ98" s="179"/>
      <c r="AR98" s="179"/>
      <c r="AS98" s="179"/>
      <c r="AT98" s="179"/>
      <c r="AU98" s="179"/>
      <c r="AV98" s="179"/>
      <c r="AW98" s="179"/>
      <c r="AX98" s="179"/>
      <c r="AY98" s="179"/>
      <c r="AZ98" s="179"/>
      <c r="BA98" s="179"/>
      <c r="BB98" s="179"/>
      <c r="BC98" s="179"/>
      <c r="BD98" s="179"/>
    </row>
    <row r="99" spans="1:56">
      <c r="A99" s="168" t="str">
        <f t="shared" si="11"/>
        <v>Waste Thick Parting (Ob/IB)</v>
      </c>
      <c r="B99" s="165" t="str">
        <f t="shared" si="11"/>
        <v>Drill Machine/ 250mm diameter</v>
      </c>
      <c r="C99" s="171" t="s">
        <v>134</v>
      </c>
      <c r="D99" s="174">
        <f>VLOOKUP(B99,Equipment!$C$5:$S$53,Equipment!F$1,FALSE)*VLOOKUP(B8,Equipment!$C$5:$S$53,Equipment!P$1,FALSE)</f>
        <v>4720000</v>
      </c>
      <c r="E99" s="145">
        <f>$D99*Fleet!G232/10^7</f>
        <v>0</v>
      </c>
      <c r="F99" s="145">
        <f>$D99*Fleet!H232/10^7</f>
        <v>0</v>
      </c>
      <c r="G99" s="145">
        <f>$D99*Fleet!I232/10^7</f>
        <v>0</v>
      </c>
      <c r="H99" s="145">
        <f>$D99*Fleet!J232/10^7</f>
        <v>0</v>
      </c>
      <c r="I99" s="145">
        <f>$D99*Fleet!K232/10^7</f>
        <v>1.1811112099171013</v>
      </c>
      <c r="J99" s="145">
        <f>$D99*Fleet!L232/10^7</f>
        <v>0.97561366382702774</v>
      </c>
      <c r="K99" s="145">
        <f>$D99*Fleet!M232/10^7</f>
        <v>1.7642070752552754</v>
      </c>
      <c r="L99" s="145">
        <f>$D99*Fleet!N232/10^7</f>
        <v>3.7908350359891405</v>
      </c>
      <c r="M99" s="145">
        <f>$D99*Fleet!O232/10^7</f>
        <v>3.6523211498284431</v>
      </c>
      <c r="N99" s="145">
        <f>$D99*Fleet!P232/10^7</f>
        <v>4.9106159897685151</v>
      </c>
      <c r="O99" s="145">
        <f>$D99*Fleet!Q232/10^7</f>
        <v>4.4940259725365932</v>
      </c>
      <c r="P99" s="145">
        <f>$D99*Fleet!R232/10^7</f>
        <v>3.7565146457378455</v>
      </c>
      <c r="Q99" s="145">
        <f>$D99*Fleet!S232/10^7</f>
        <v>3.9149829399195752</v>
      </c>
      <c r="R99" s="145">
        <f>$D99*Fleet!T232/10^7</f>
        <v>3.4911215886339413</v>
      </c>
      <c r="S99" s="145">
        <f>$D99*Fleet!U232/10^7</f>
        <v>3.9393847483701294</v>
      </c>
      <c r="T99" s="145">
        <f>$D99*Fleet!V232/10^7</f>
        <v>2.9985311225672651</v>
      </c>
      <c r="U99" s="145">
        <f>$D99*Fleet!W232/10^7</f>
        <v>2.6320275553493193</v>
      </c>
      <c r="V99" s="145">
        <f>$D99*Fleet!X232/10^7</f>
        <v>3.2715855011818054</v>
      </c>
      <c r="W99" s="145">
        <f>$D99*Fleet!Y232/10^7</f>
        <v>3.2611839861072456</v>
      </c>
      <c r="X99" s="145">
        <f>$D99*Fleet!Z232/10^7</f>
        <v>4.1549776856490723</v>
      </c>
      <c r="Y99" s="145">
        <f>$D99*Fleet!AA232/10^7</f>
        <v>2.5578882517142967</v>
      </c>
      <c r="Z99" s="145">
        <f>$D99*Fleet!AB232/10^7</f>
        <v>0.4386502782624796</v>
      </c>
      <c r="AA99" s="145">
        <f>$D99*Fleet!AC232/10^7</f>
        <v>0.12543407746078378</v>
      </c>
      <c r="AB99" s="145">
        <f>$D99*Fleet!AD232/10^7</f>
        <v>0</v>
      </c>
      <c r="AC99" s="145">
        <f>$D99*Fleet!AE232/10^7</f>
        <v>0</v>
      </c>
      <c r="AD99" s="145">
        <f>$D99*Fleet!AF232/10^7</f>
        <v>0</v>
      </c>
      <c r="AE99" s="145">
        <f>$D99*Fleet!AG232/10^7</f>
        <v>0</v>
      </c>
      <c r="AF99" s="145">
        <f>$D99*Fleet!AH232/10^7</f>
        <v>0</v>
      </c>
      <c r="AG99" s="145">
        <f>$D99*Fleet!AI232/10^7</f>
        <v>0</v>
      </c>
      <c r="AH99" s="145">
        <f>$D99*Fleet!AJ232/10^7</f>
        <v>0</v>
      </c>
      <c r="AI99" s="145">
        <f>$D99*Fleet!AK232/10^7</f>
        <v>0</v>
      </c>
      <c r="AJ99" s="145">
        <f>$D99*Fleet!AL232/10^7</f>
        <v>0</v>
      </c>
      <c r="AK99" s="145">
        <f>$D99*Fleet!AM232/10^7</f>
        <v>0</v>
      </c>
      <c r="AL99" s="145">
        <f>$D99*Fleet!AN232/10^7</f>
        <v>0</v>
      </c>
      <c r="AM99" s="145">
        <f>$D99*Fleet!AO232/10^7</f>
        <v>0</v>
      </c>
      <c r="AN99" s="145">
        <f>$D99*Fleet!AP232/10^7</f>
        <v>0</v>
      </c>
      <c r="AO99" s="145">
        <f>$D99*Fleet!AQ232/10^7</f>
        <v>0</v>
      </c>
      <c r="AP99" s="179"/>
      <c r="AQ99" s="179"/>
      <c r="AR99" s="179"/>
      <c r="AS99" s="179"/>
      <c r="AT99" s="179"/>
      <c r="AU99" s="179"/>
      <c r="AV99" s="179"/>
      <c r="AW99" s="179"/>
      <c r="AX99" s="179"/>
      <c r="AY99" s="179"/>
      <c r="AZ99" s="179"/>
      <c r="BA99" s="179"/>
      <c r="BB99" s="179"/>
      <c r="BC99" s="179"/>
      <c r="BD99" s="179"/>
    </row>
    <row r="100" spans="1:56">
      <c r="A100" s="168" t="str">
        <f t="shared" si="11"/>
        <v>Top Soil</v>
      </c>
      <c r="B100" s="165" t="str">
        <f t="shared" si="11"/>
        <v>Diesel hydraulic Shovel/ 1.0 cum</v>
      </c>
      <c r="C100" s="171" t="s">
        <v>134</v>
      </c>
      <c r="D100" s="174">
        <f>VLOOKUP(B100,Equipment!$C$5:$S$53,Equipment!F$1,FALSE)*VLOOKUP(B9,Equipment!$C$5:$S$53,Equipment!P$1,FALSE)</f>
        <v>1080000</v>
      </c>
      <c r="E100" s="145">
        <f>$D100*Fleet!G233/10^7</f>
        <v>0</v>
      </c>
      <c r="F100" s="145">
        <f>$D100*Fleet!H233/10^7</f>
        <v>0</v>
      </c>
      <c r="G100" s="145">
        <f>$D100*Fleet!I233/10^7</f>
        <v>0</v>
      </c>
      <c r="H100" s="145">
        <f>$D100*Fleet!J233/10^7</f>
        <v>0</v>
      </c>
      <c r="I100" s="145">
        <f>$D100*Fleet!K233/10^7</f>
        <v>0</v>
      </c>
      <c r="J100" s="145">
        <f>$D100*Fleet!L233/10^7</f>
        <v>0</v>
      </c>
      <c r="K100" s="145">
        <f>$D100*Fleet!M233/10^7</f>
        <v>0</v>
      </c>
      <c r="L100" s="145">
        <f>$D100*Fleet!N233/10^7</f>
        <v>0</v>
      </c>
      <c r="M100" s="145">
        <f>$D100*Fleet!O233/10^7</f>
        <v>0</v>
      </c>
      <c r="N100" s="145">
        <f>$D100*Fleet!P233/10^7</f>
        <v>0</v>
      </c>
      <c r="O100" s="145">
        <f>$D100*Fleet!Q233/10^7</f>
        <v>0</v>
      </c>
      <c r="P100" s="145">
        <f>$D100*Fleet!R233/10^7</f>
        <v>0</v>
      </c>
      <c r="Q100" s="145">
        <f>$D100*Fleet!S233/10^7</f>
        <v>0</v>
      </c>
      <c r="R100" s="145">
        <f>$D100*Fleet!T233/10^7</f>
        <v>0</v>
      </c>
      <c r="S100" s="145">
        <f>$D100*Fleet!U233/10^7</f>
        <v>0</v>
      </c>
      <c r="T100" s="145">
        <f>$D100*Fleet!V233/10^7</f>
        <v>0</v>
      </c>
      <c r="U100" s="145">
        <f>$D100*Fleet!W233/10^7</f>
        <v>0</v>
      </c>
      <c r="V100" s="145">
        <f>$D100*Fleet!X233/10^7</f>
        <v>0</v>
      </c>
      <c r="W100" s="145">
        <f>$D100*Fleet!Y233/10^7</f>
        <v>0</v>
      </c>
      <c r="X100" s="145">
        <f>$D100*Fleet!Z233/10^7</f>
        <v>0</v>
      </c>
      <c r="Y100" s="145">
        <f>$D100*Fleet!AA233/10^7</f>
        <v>0</v>
      </c>
      <c r="Z100" s="145">
        <f>$D100*Fleet!AB233/10^7</f>
        <v>0</v>
      </c>
      <c r="AA100" s="145">
        <f>$D100*Fleet!AC233/10^7</f>
        <v>0</v>
      </c>
      <c r="AB100" s="145">
        <f>$D100*Fleet!AD233/10^7</f>
        <v>0</v>
      </c>
      <c r="AC100" s="145">
        <f>$D100*Fleet!AE233/10^7</f>
        <v>0</v>
      </c>
      <c r="AD100" s="145">
        <f>$D100*Fleet!AF233/10^7</f>
        <v>0</v>
      </c>
      <c r="AE100" s="145">
        <f>$D100*Fleet!AG233/10^7</f>
        <v>0</v>
      </c>
      <c r="AF100" s="145">
        <f>$D100*Fleet!AH233/10^7</f>
        <v>0</v>
      </c>
      <c r="AG100" s="145">
        <f>$D100*Fleet!AI233/10^7</f>
        <v>0</v>
      </c>
      <c r="AH100" s="145">
        <f>$D100*Fleet!AJ233/10^7</f>
        <v>0</v>
      </c>
      <c r="AI100" s="145">
        <f>$D100*Fleet!AK233/10^7</f>
        <v>0</v>
      </c>
      <c r="AJ100" s="145">
        <f>$D100*Fleet!AL233/10^7</f>
        <v>0</v>
      </c>
      <c r="AK100" s="145">
        <f>$D100*Fleet!AM233/10^7</f>
        <v>0</v>
      </c>
      <c r="AL100" s="145">
        <f>$D100*Fleet!AN233/10^7</f>
        <v>0</v>
      </c>
      <c r="AM100" s="145">
        <f>$D100*Fleet!AO233/10^7</f>
        <v>0</v>
      </c>
      <c r="AN100" s="145">
        <f>$D100*Fleet!AP233/10^7</f>
        <v>0</v>
      </c>
      <c r="AO100" s="145">
        <f>$D100*Fleet!AQ233/10^7</f>
        <v>0</v>
      </c>
      <c r="AP100" s="179"/>
      <c r="AQ100" s="179"/>
      <c r="AR100" s="179"/>
      <c r="AS100" s="179"/>
      <c r="AT100" s="179"/>
      <c r="AU100" s="179"/>
      <c r="AV100" s="179"/>
      <c r="AW100" s="179"/>
      <c r="AX100" s="179"/>
      <c r="AY100" s="179"/>
      <c r="AZ100" s="179"/>
      <c r="BA100" s="179"/>
      <c r="BB100" s="179"/>
      <c r="BC100" s="179"/>
      <c r="BD100" s="179"/>
    </row>
    <row r="101" spans="1:56">
      <c r="A101" s="168" t="str">
        <f t="shared" si="11"/>
        <v>Thin Parting, Topsoil &amp; Coal (From Drill &amp; Blast)</v>
      </c>
      <c r="B101" s="165" t="str">
        <f t="shared" si="11"/>
        <v>Diesel hydraulic Shovel/ 4.6 cum</v>
      </c>
      <c r="C101" s="171" t="s">
        <v>134</v>
      </c>
      <c r="D101" s="174">
        <f>VLOOKUP(B101,Equipment!$C$5:$S$53,Equipment!F$1,FALSE)*VLOOKUP(B10,Equipment!$C$5:$S$53,Equipment!P$1,FALSE)</f>
        <v>5437500</v>
      </c>
      <c r="E101" s="145">
        <f>$D101*Fleet!G234/10^7</f>
        <v>0</v>
      </c>
      <c r="F101" s="145">
        <f>$D101*Fleet!H234/10^7</f>
        <v>0</v>
      </c>
      <c r="G101" s="145">
        <f>$D101*Fleet!I234/10^7</f>
        <v>0</v>
      </c>
      <c r="H101" s="145">
        <f>$D101*Fleet!J234/10^7</f>
        <v>0</v>
      </c>
      <c r="I101" s="145">
        <f>$D101*Fleet!K234/10^7</f>
        <v>1.5450545496825798</v>
      </c>
      <c r="J101" s="145">
        <f>$D101*Fleet!L234/10^7</f>
        <v>1.8339834119327951</v>
      </c>
      <c r="K101" s="145">
        <f>$D101*Fleet!M234/10^7</f>
        <v>1.8972363373605039</v>
      </c>
      <c r="L101" s="145">
        <f>$D101*Fleet!N234/10^7</f>
        <v>3.8718245451503472</v>
      </c>
      <c r="M101" s="145">
        <f>$D101*Fleet!O234/10^7</f>
        <v>3.8471001295588652</v>
      </c>
      <c r="N101" s="145">
        <f>$D101*Fleet!P234/10^7</f>
        <v>4.9748221505326757</v>
      </c>
      <c r="O101" s="145">
        <f>$D101*Fleet!Q234/10^7</f>
        <v>4.5987462245107986</v>
      </c>
      <c r="P101" s="145">
        <f>$D101*Fleet!R234/10^7</f>
        <v>3.9329596094523036</v>
      </c>
      <c r="Q101" s="145">
        <f>$D101*Fleet!S234/10^7</f>
        <v>4.0760167180021689</v>
      </c>
      <c r="R101" s="145">
        <f>$D101*Fleet!T234/10^7</f>
        <v>3.6933766128672407</v>
      </c>
      <c r="S101" s="145">
        <f>$D101*Fleet!U234/10^7</f>
        <v>4.0936481937071454</v>
      </c>
      <c r="T101" s="145">
        <f>$D101*Fleet!V234/10^7</f>
        <v>3.244295055121118</v>
      </c>
      <c r="U101" s="145">
        <f>$D101*Fleet!W234/10^7</f>
        <v>2.9134353357809113</v>
      </c>
      <c r="V101" s="145">
        <f>$D101*Fleet!X234/10^7</f>
        <v>3.4907942305941453</v>
      </c>
      <c r="W101" s="145">
        <f>$D101*Fleet!Y234/10^7</f>
        <v>3.4814042881857552</v>
      </c>
      <c r="X101" s="145">
        <f>$D101*Fleet!Z234/10^7</f>
        <v>4.2874742874572114</v>
      </c>
      <c r="Y101" s="145">
        <f>$D101*Fleet!AA234/10^7</f>
        <v>2.6689445497080806</v>
      </c>
      <c r="Z101" s="145">
        <f>$D101*Fleet!AB234/10^7</f>
        <v>0.66742718001486767</v>
      </c>
      <c r="AA101" s="145">
        <f>$D101*Fleet!AC234/10^7</f>
        <v>0.19746036725558513</v>
      </c>
      <c r="AB101" s="145">
        <f>$D101*Fleet!AD234/10^7</f>
        <v>0</v>
      </c>
      <c r="AC101" s="145">
        <f>$D101*Fleet!AE234/10^7</f>
        <v>0</v>
      </c>
      <c r="AD101" s="145">
        <f>$D101*Fleet!AF234/10^7</f>
        <v>0</v>
      </c>
      <c r="AE101" s="145">
        <f>$D101*Fleet!AG234/10^7</f>
        <v>0</v>
      </c>
      <c r="AF101" s="145">
        <f>$D101*Fleet!AH234/10^7</f>
        <v>0</v>
      </c>
      <c r="AG101" s="145">
        <f>$D101*Fleet!AI234/10^7</f>
        <v>0</v>
      </c>
      <c r="AH101" s="145">
        <f>$D101*Fleet!AJ234/10^7</f>
        <v>0</v>
      </c>
      <c r="AI101" s="145">
        <f>$D101*Fleet!AK234/10^7</f>
        <v>0</v>
      </c>
      <c r="AJ101" s="145">
        <f>$D101*Fleet!AL234/10^7</f>
        <v>0</v>
      </c>
      <c r="AK101" s="145">
        <f>$D101*Fleet!AM234/10^7</f>
        <v>0</v>
      </c>
      <c r="AL101" s="145">
        <f>$D101*Fleet!AN234/10^7</f>
        <v>0</v>
      </c>
      <c r="AM101" s="145">
        <f>$D101*Fleet!AO234/10^7</f>
        <v>0</v>
      </c>
      <c r="AN101" s="145">
        <f>$D101*Fleet!AP234/10^7</f>
        <v>0</v>
      </c>
      <c r="AO101" s="145">
        <f>$D101*Fleet!AQ234/10^7</f>
        <v>0</v>
      </c>
      <c r="AP101" s="179"/>
      <c r="AQ101" s="179"/>
      <c r="AR101" s="179"/>
      <c r="AS101" s="179"/>
      <c r="AT101" s="179"/>
      <c r="AU101" s="179"/>
      <c r="AV101" s="179"/>
      <c r="AW101" s="179"/>
      <c r="AX101" s="179"/>
      <c r="AY101" s="179"/>
      <c r="AZ101" s="179"/>
      <c r="BA101" s="179"/>
      <c r="BB101" s="179"/>
      <c r="BC101" s="179"/>
      <c r="BD101" s="179"/>
    </row>
    <row r="102" spans="1:56">
      <c r="A102" s="168" t="str">
        <f t="shared" si="11"/>
        <v>Waste - OB &amp; Thick Parting</v>
      </c>
      <c r="B102" s="165" t="str">
        <f t="shared" si="11"/>
        <v>Diesel hydraulic shovel/ 10 cum</v>
      </c>
      <c r="C102" s="171" t="s">
        <v>134</v>
      </c>
      <c r="D102" s="174">
        <f>VLOOKUP(B102,Equipment!$C$5:$S$53,Equipment!F$1,FALSE)*VLOOKUP(B11,Equipment!$C$5:$S$53,Equipment!P$1,FALSE)</f>
        <v>23187500</v>
      </c>
      <c r="E102" s="145">
        <f>$D102*Fleet!G235/10^7</f>
        <v>0</v>
      </c>
      <c r="F102" s="145">
        <f>$D102*Fleet!H235/10^7</f>
        <v>0</v>
      </c>
      <c r="G102" s="145">
        <f>$D102*Fleet!I235/10^7</f>
        <v>0</v>
      </c>
      <c r="H102" s="145">
        <f>$D102*Fleet!J235/10^7</f>
        <v>0</v>
      </c>
      <c r="I102" s="145">
        <f>$D102*Fleet!K235/10^7</f>
        <v>6.3050929848998107</v>
      </c>
      <c r="J102" s="145">
        <f>$D102*Fleet!L235/10^7</f>
        <v>5.2080911739038847</v>
      </c>
      <c r="K102" s="145">
        <f>$D102*Fleet!M235/10^7</f>
        <v>9.4178173576757214</v>
      </c>
      <c r="L102" s="145">
        <f>$D102*Fleet!N235/10^7</f>
        <v>20.236508799205396</v>
      </c>
      <c r="M102" s="145">
        <f>$D102*Fleet!O235/10^7</f>
        <v>19.497083989238245</v>
      </c>
      <c r="N102" s="145">
        <f>$D102*Fleet!P235/10^7</f>
        <v>26.214204190644701</v>
      </c>
      <c r="O102" s="145">
        <f>$D102*Fleet!Q235/10^7</f>
        <v>23.99033333650841</v>
      </c>
      <c r="P102" s="145">
        <f>$D102*Fleet!R235/10^7</f>
        <v>20.053297218453693</v>
      </c>
      <c r="Q102" s="145">
        <f>$D102*Fleet!S235/10^7</f>
        <v>20.899244087457163</v>
      </c>
      <c r="R102" s="145">
        <f>$D102*Fleet!T235/10^7</f>
        <v>18.636556873821466</v>
      </c>
      <c r="S102" s="145">
        <f>$D102*Fleet!U235/10^7</f>
        <v>21.029507579995904</v>
      </c>
      <c r="T102" s="145">
        <f>$D102*Fleet!V235/10^7</f>
        <v>16.006974946270788</v>
      </c>
      <c r="U102" s="145">
        <f>$D102*Fleet!W235/10^7</f>
        <v>14.050479189390439</v>
      </c>
      <c r="V102" s="145">
        <f>$D102*Fleet!X235/10^7</f>
        <v>17.464613509551846</v>
      </c>
      <c r="W102" s="145">
        <f>$D102*Fleet!Y235/10^7</f>
        <v>17.409087392130999</v>
      </c>
      <c r="X102" s="145">
        <f>$D102*Fleet!Z235/10^7</f>
        <v>22.180401335823362</v>
      </c>
      <c r="Y102" s="145">
        <f>$D102*Fleet!AA235/10^7</f>
        <v>13.654703415416243</v>
      </c>
      <c r="Z102" s="145">
        <f>$D102*Fleet!AB235/10^7</f>
        <v>2.3416345294794283</v>
      </c>
      <c r="AA102" s="145">
        <f>$D102*Fleet!AC235/10^7</f>
        <v>0.66960123248756265</v>
      </c>
      <c r="AB102" s="145">
        <f>$D102*Fleet!AD235/10^7</f>
        <v>0</v>
      </c>
      <c r="AC102" s="145">
        <f>$D102*Fleet!AE235/10^7</f>
        <v>0</v>
      </c>
      <c r="AD102" s="145">
        <f>$D102*Fleet!AF235/10^7</f>
        <v>0</v>
      </c>
      <c r="AE102" s="145">
        <f>$D102*Fleet!AG235/10^7</f>
        <v>0</v>
      </c>
      <c r="AF102" s="145">
        <f>$D102*Fleet!AH235/10^7</f>
        <v>0</v>
      </c>
      <c r="AG102" s="145">
        <f>$D102*Fleet!AI235/10^7</f>
        <v>0</v>
      </c>
      <c r="AH102" s="145">
        <f>$D102*Fleet!AJ235/10^7</f>
        <v>0</v>
      </c>
      <c r="AI102" s="145">
        <f>$D102*Fleet!AK235/10^7</f>
        <v>0</v>
      </c>
      <c r="AJ102" s="145">
        <f>$D102*Fleet!AL235/10^7</f>
        <v>0</v>
      </c>
      <c r="AK102" s="145">
        <f>$D102*Fleet!AM235/10^7</f>
        <v>0</v>
      </c>
      <c r="AL102" s="145">
        <f>$D102*Fleet!AN235/10^7</f>
        <v>0</v>
      </c>
      <c r="AM102" s="145">
        <f>$D102*Fleet!AO235/10^7</f>
        <v>0</v>
      </c>
      <c r="AN102" s="145">
        <f>$D102*Fleet!AP235/10^7</f>
        <v>0</v>
      </c>
      <c r="AO102" s="145">
        <f>$D102*Fleet!AQ235/10^7</f>
        <v>0</v>
      </c>
      <c r="AP102" s="179"/>
      <c r="AQ102" s="179"/>
      <c r="AR102" s="179"/>
      <c r="AS102" s="179"/>
      <c r="AT102" s="179"/>
      <c r="AU102" s="179"/>
      <c r="AV102" s="179"/>
      <c r="AW102" s="179"/>
      <c r="AX102" s="179"/>
      <c r="AY102" s="179"/>
      <c r="AZ102" s="179"/>
      <c r="BA102" s="179"/>
      <c r="BB102" s="179"/>
      <c r="BC102" s="179"/>
      <c r="BD102" s="179"/>
    </row>
    <row r="103" spans="1:56">
      <c r="A103" s="168" t="str">
        <f t="shared" si="11"/>
        <v>Rehandling by Own Trucks and Excavators</v>
      </c>
      <c r="B103" s="165" t="str">
        <f t="shared" si="11"/>
        <v>Diesel hydraulic Shovel/ 3.4 cum</v>
      </c>
      <c r="C103" s="171" t="s">
        <v>134</v>
      </c>
      <c r="D103" s="174">
        <f>VLOOKUP(B103,Equipment!$C$5:$S$53,Equipment!F$1,FALSE)*VLOOKUP(B12,Equipment!$C$5:$S$53,Equipment!P$1,FALSE)</f>
        <v>2812500</v>
      </c>
      <c r="E103" s="145">
        <f>$D103*Fleet!G236/10^7</f>
        <v>0</v>
      </c>
      <c r="F103" s="145">
        <f>$D103*Fleet!H236/10^7</f>
        <v>0</v>
      </c>
      <c r="G103" s="145">
        <f>$D103*Fleet!I236/10^7</f>
        <v>0</v>
      </c>
      <c r="H103" s="145">
        <f>$D103*Fleet!J236/10^7</f>
        <v>0</v>
      </c>
      <c r="I103" s="145">
        <f>$D103*Fleet!K236/10^7</f>
        <v>0</v>
      </c>
      <c r="J103" s="145">
        <f>$D103*Fleet!L236/10^7</f>
        <v>0</v>
      </c>
      <c r="K103" s="145">
        <f>$D103*Fleet!M236/10^7</f>
        <v>0</v>
      </c>
      <c r="L103" s="145">
        <f>$D103*Fleet!N236/10^7</f>
        <v>0</v>
      </c>
      <c r="M103" s="145">
        <f>$D103*Fleet!O236/10^7</f>
        <v>0</v>
      </c>
      <c r="N103" s="145">
        <f>$D103*Fleet!P236/10^7</f>
        <v>0</v>
      </c>
      <c r="O103" s="145">
        <f>$D103*Fleet!Q236/10^7</f>
        <v>0</v>
      </c>
      <c r="P103" s="145">
        <f>$D103*Fleet!R236/10^7</f>
        <v>0</v>
      </c>
      <c r="Q103" s="145">
        <f>$D103*Fleet!S236/10^7</f>
        <v>0</v>
      </c>
      <c r="R103" s="145">
        <f>$D103*Fleet!T236/10^7</f>
        <v>0</v>
      </c>
      <c r="S103" s="145">
        <f>$D103*Fleet!U236/10^7</f>
        <v>0</v>
      </c>
      <c r="T103" s="145">
        <f>$D103*Fleet!V236/10^7</f>
        <v>0</v>
      </c>
      <c r="U103" s="145">
        <f>$D103*Fleet!W236/10^7</f>
        <v>0</v>
      </c>
      <c r="V103" s="145">
        <f>$D103*Fleet!X236/10^7</f>
        <v>0</v>
      </c>
      <c r="W103" s="145">
        <f>$D103*Fleet!Y236/10^7</f>
        <v>0</v>
      </c>
      <c r="X103" s="145">
        <f>$D103*Fleet!Z236/10^7</f>
        <v>0</v>
      </c>
      <c r="Y103" s="145">
        <f>$D103*Fleet!AA236/10^7</f>
        <v>0</v>
      </c>
      <c r="Z103" s="145">
        <f>$D103*Fleet!AB236/10^7</f>
        <v>0</v>
      </c>
      <c r="AA103" s="145">
        <f>$D103*Fleet!AC236/10^7</f>
        <v>0</v>
      </c>
      <c r="AB103" s="145">
        <f>$D103*Fleet!AD236/10^7</f>
        <v>0</v>
      </c>
      <c r="AC103" s="145">
        <f>$D103*Fleet!AE236/10^7</f>
        <v>0</v>
      </c>
      <c r="AD103" s="145">
        <f>$D103*Fleet!AF236/10^7</f>
        <v>0</v>
      </c>
      <c r="AE103" s="145">
        <f>$D103*Fleet!AG236/10^7</f>
        <v>0</v>
      </c>
      <c r="AF103" s="145">
        <f>$D103*Fleet!AH236/10^7</f>
        <v>0</v>
      </c>
      <c r="AG103" s="145">
        <f>$D103*Fleet!AI236/10^7</f>
        <v>0</v>
      </c>
      <c r="AH103" s="145">
        <f>$D103*Fleet!AJ236/10^7</f>
        <v>0</v>
      </c>
      <c r="AI103" s="145">
        <f>$D103*Fleet!AK236/10^7</f>
        <v>0</v>
      </c>
      <c r="AJ103" s="145">
        <f>$D103*Fleet!AL236/10^7</f>
        <v>0</v>
      </c>
      <c r="AK103" s="145">
        <f>$D103*Fleet!AM236/10^7</f>
        <v>0</v>
      </c>
      <c r="AL103" s="145">
        <f>$D103*Fleet!AN236/10^7</f>
        <v>0</v>
      </c>
      <c r="AM103" s="145">
        <f>$D103*Fleet!AO236/10^7</f>
        <v>0</v>
      </c>
      <c r="AN103" s="145">
        <f>$D103*Fleet!AP236/10^7</f>
        <v>0</v>
      </c>
      <c r="AO103" s="145">
        <f>$D103*Fleet!AQ236/10^7</f>
        <v>0</v>
      </c>
      <c r="AP103" s="179"/>
      <c r="AQ103" s="179"/>
      <c r="AR103" s="179"/>
      <c r="AS103" s="179"/>
      <c r="AT103" s="179"/>
      <c r="AU103" s="179"/>
      <c r="AV103" s="179"/>
      <c r="AW103" s="179"/>
      <c r="AX103" s="179"/>
      <c r="AY103" s="179"/>
      <c r="AZ103" s="179"/>
      <c r="BA103" s="179"/>
      <c r="BB103" s="179"/>
      <c r="BC103" s="179"/>
      <c r="BD103" s="179"/>
    </row>
    <row r="104" spans="1:56">
      <c r="A104" s="168" t="str">
        <f t="shared" si="11"/>
        <v>Miscelleneous</v>
      </c>
      <c r="B104" s="165" t="str">
        <f t="shared" si="11"/>
        <v>Diesel hydraulic Shovel/ 3.4 cum</v>
      </c>
      <c r="C104" s="171" t="s">
        <v>134</v>
      </c>
      <c r="D104" s="174">
        <f>VLOOKUP(B104,Equipment!$C$5:$S$53,Equipment!F$1,FALSE)*VLOOKUP(B13,Equipment!$C$5:$S$53,Equipment!P$1,FALSE)</f>
        <v>2812500</v>
      </c>
      <c r="E104" s="145">
        <f>$D104*Fleet!G237/10^7</f>
        <v>0</v>
      </c>
      <c r="F104" s="145">
        <f>$D104*Fleet!H237/10^7</f>
        <v>0</v>
      </c>
      <c r="G104" s="145">
        <f>$D104*Fleet!I237/10^7</f>
        <v>0</v>
      </c>
      <c r="H104" s="145">
        <f>$D104*Fleet!J237/10^7</f>
        <v>0</v>
      </c>
      <c r="I104" s="145">
        <f>$D104*Fleet!K237/10^7</f>
        <v>0</v>
      </c>
      <c r="J104" s="145">
        <f>$D104*Fleet!L237/10^7</f>
        <v>0</v>
      </c>
      <c r="K104" s="145">
        <f>$D104*Fleet!M237/10^7</f>
        <v>0</v>
      </c>
      <c r="L104" s="145">
        <f>$D104*Fleet!N237/10^7</f>
        <v>0</v>
      </c>
      <c r="M104" s="145">
        <f>$D104*Fleet!O237/10^7</f>
        <v>0</v>
      </c>
      <c r="N104" s="145">
        <f>$D104*Fleet!P237/10^7</f>
        <v>0</v>
      </c>
      <c r="O104" s="145">
        <f>$D104*Fleet!Q237/10^7</f>
        <v>0</v>
      </c>
      <c r="P104" s="145">
        <f>$D104*Fleet!R237/10^7</f>
        <v>0</v>
      </c>
      <c r="Q104" s="145">
        <f>$D104*Fleet!S237/10^7</f>
        <v>0</v>
      </c>
      <c r="R104" s="145">
        <f>$D104*Fleet!T237/10^7</f>
        <v>0</v>
      </c>
      <c r="S104" s="145">
        <f>$D104*Fleet!U237/10^7</f>
        <v>0</v>
      </c>
      <c r="T104" s="145">
        <f>$D104*Fleet!V237/10^7</f>
        <v>0</v>
      </c>
      <c r="U104" s="145">
        <f>$D104*Fleet!W237/10^7</f>
        <v>0</v>
      </c>
      <c r="V104" s="145">
        <f>$D104*Fleet!X237/10^7</f>
        <v>0</v>
      </c>
      <c r="W104" s="145">
        <f>$D104*Fleet!Y237/10^7</f>
        <v>0</v>
      </c>
      <c r="X104" s="145">
        <f>$D104*Fleet!Z237/10^7</f>
        <v>0</v>
      </c>
      <c r="Y104" s="145">
        <f>$D104*Fleet!AA237/10^7</f>
        <v>0</v>
      </c>
      <c r="Z104" s="145">
        <f>$D104*Fleet!AB237/10^7</f>
        <v>0</v>
      </c>
      <c r="AA104" s="145">
        <f>$D104*Fleet!AC237/10^7</f>
        <v>0</v>
      </c>
      <c r="AB104" s="145">
        <f>$D104*Fleet!AD237/10^7</f>
        <v>0</v>
      </c>
      <c r="AC104" s="145">
        <f>$D104*Fleet!AE237/10^7</f>
        <v>0</v>
      </c>
      <c r="AD104" s="145">
        <f>$D104*Fleet!AF237/10^7</f>
        <v>0</v>
      </c>
      <c r="AE104" s="145">
        <f>$D104*Fleet!AG237/10^7</f>
        <v>0</v>
      </c>
      <c r="AF104" s="145">
        <f>$D104*Fleet!AH237/10^7</f>
        <v>0</v>
      </c>
      <c r="AG104" s="145">
        <f>$D104*Fleet!AI237/10^7</f>
        <v>0</v>
      </c>
      <c r="AH104" s="145">
        <f>$D104*Fleet!AJ237/10^7</f>
        <v>0</v>
      </c>
      <c r="AI104" s="145">
        <f>$D104*Fleet!AK237/10^7</f>
        <v>0</v>
      </c>
      <c r="AJ104" s="145">
        <f>$D104*Fleet!AL237/10^7</f>
        <v>0</v>
      </c>
      <c r="AK104" s="145">
        <f>$D104*Fleet!AM237/10^7</f>
        <v>0</v>
      </c>
      <c r="AL104" s="145">
        <f>$D104*Fleet!AN237/10^7</f>
        <v>0</v>
      </c>
      <c r="AM104" s="145">
        <f>$D104*Fleet!AO237/10^7</f>
        <v>0</v>
      </c>
      <c r="AN104" s="145">
        <f>$D104*Fleet!AP237/10^7</f>
        <v>0</v>
      </c>
      <c r="AO104" s="145">
        <f>$D104*Fleet!AQ237/10^7</f>
        <v>0</v>
      </c>
      <c r="AP104" s="179"/>
      <c r="AQ104" s="179"/>
      <c r="AR104" s="179"/>
      <c r="AS104" s="179"/>
      <c r="AT104" s="179"/>
      <c r="AU104" s="179"/>
      <c r="AV104" s="179"/>
      <c r="AW104" s="179"/>
      <c r="AX104" s="179"/>
      <c r="AY104" s="179"/>
      <c r="AZ104" s="179"/>
      <c r="BA104" s="179"/>
      <c r="BB104" s="179"/>
      <c r="BC104" s="179"/>
      <c r="BD104" s="179"/>
    </row>
    <row r="105" spans="1:56">
      <c r="A105" s="168" t="str">
        <f t="shared" si="11"/>
        <v>Coal/Ore</v>
      </c>
      <c r="B105" s="165" t="str">
        <f t="shared" si="11"/>
        <v>Surface Miner/ 2200 SM</v>
      </c>
      <c r="C105" s="171" t="s">
        <v>134</v>
      </c>
      <c r="D105" s="174">
        <f>VLOOKUP(B105,Equipment!$C$5:$S$53,Equipment!F$1,FALSE)*VLOOKUP(B14,Equipment!$C$5:$S$53,Equipment!P$1,FALSE)</f>
        <v>12783333.333333332</v>
      </c>
      <c r="E105" s="145">
        <f>$D105*Fleet!G238/10^7</f>
        <v>0</v>
      </c>
      <c r="F105" s="145">
        <f>$D105*Fleet!H238/10^7</f>
        <v>0</v>
      </c>
      <c r="G105" s="145">
        <f>$D105*Fleet!I238/10^7</f>
        <v>0</v>
      </c>
      <c r="H105" s="145">
        <f>$D105*Fleet!J238/10^7</f>
        <v>0</v>
      </c>
      <c r="I105" s="145">
        <f>$D105*Fleet!K238/10^7</f>
        <v>0</v>
      </c>
      <c r="J105" s="145">
        <f>$D105*Fleet!L238/10^7</f>
        <v>0</v>
      </c>
      <c r="K105" s="145">
        <f>$D105*Fleet!M238/10^7</f>
        <v>1.7377878836562899</v>
      </c>
      <c r="L105" s="145">
        <f>$D105*Fleet!N238/10^7</f>
        <v>2.6066812683062452</v>
      </c>
      <c r="M105" s="145">
        <f>$D105*Fleet!O238/10^7</f>
        <v>3.2583509353415856</v>
      </c>
      <c r="N105" s="145">
        <f>$D105*Fleet!P238/10^7</f>
        <v>3.2583535355064699</v>
      </c>
      <c r="O105" s="145">
        <f>$D105*Fleet!Q238/10^7</f>
        <v>3.2583516782458379</v>
      </c>
      <c r="P105" s="145">
        <f>$D105*Fleet!R238/10^7</f>
        <v>3.2583513067937115</v>
      </c>
      <c r="Q105" s="145">
        <f>$D105*Fleet!S238/10^7</f>
        <v>3.2583527926022167</v>
      </c>
      <c r="R105" s="145">
        <f>$D105*Fleet!T238/10^7</f>
        <v>3.2583509353415856</v>
      </c>
      <c r="S105" s="145">
        <f>$D105*Fleet!U238/10^7</f>
        <v>3.2583513067937115</v>
      </c>
      <c r="T105" s="145">
        <f>$D105*Fleet!V238/10^7</f>
        <v>3.2583524211500903</v>
      </c>
      <c r="U105" s="145">
        <f>$D105*Fleet!W238/10^7</f>
        <v>3.2583553927671001</v>
      </c>
      <c r="V105" s="145">
        <f>$D105*Fleet!X238/10^7</f>
        <v>3.2583524211500903</v>
      </c>
      <c r="W105" s="145">
        <f>$D105*Fleet!Y238/10^7</f>
        <v>3.2583524211500903</v>
      </c>
      <c r="X105" s="145">
        <f>$D105*Fleet!Z238/10^7</f>
        <v>3.2583520496979634</v>
      </c>
      <c r="Y105" s="145">
        <f>$D105*Fleet!AA238/10^7</f>
        <v>2.172234575981268</v>
      </c>
      <c r="Z105" s="145">
        <f>$D105*Fleet!AB238/10^7</f>
        <v>1.6291765820271713</v>
      </c>
      <c r="AA105" s="145">
        <f>$D105*Fleet!AC238/10^7</f>
        <v>0.47884543634371401</v>
      </c>
      <c r="AB105" s="145">
        <f>$D105*Fleet!AD238/10^7</f>
        <v>0</v>
      </c>
      <c r="AC105" s="145">
        <f>$D105*Fleet!AE238/10^7</f>
        <v>0</v>
      </c>
      <c r="AD105" s="145">
        <f>$D105*Fleet!AF238/10^7</f>
        <v>0</v>
      </c>
      <c r="AE105" s="145">
        <f>$D105*Fleet!AG238/10^7</f>
        <v>0</v>
      </c>
      <c r="AF105" s="145">
        <f>$D105*Fleet!AH238/10^7</f>
        <v>0</v>
      </c>
      <c r="AG105" s="145">
        <f>$D105*Fleet!AI238/10^7</f>
        <v>0</v>
      </c>
      <c r="AH105" s="145">
        <f>$D105*Fleet!AJ238/10^7</f>
        <v>0</v>
      </c>
      <c r="AI105" s="145">
        <f>$D105*Fleet!AK238/10^7</f>
        <v>0</v>
      </c>
      <c r="AJ105" s="145">
        <f>$D105*Fleet!AL238/10^7</f>
        <v>0</v>
      </c>
      <c r="AK105" s="145">
        <f>$D105*Fleet!AM238/10^7</f>
        <v>0</v>
      </c>
      <c r="AL105" s="145">
        <f>$D105*Fleet!AN238/10^7</f>
        <v>0</v>
      </c>
      <c r="AM105" s="145">
        <f>$D105*Fleet!AO238/10^7</f>
        <v>0</v>
      </c>
      <c r="AN105" s="145">
        <f>$D105*Fleet!AP238/10^7</f>
        <v>0</v>
      </c>
      <c r="AO105" s="145">
        <f>$D105*Fleet!AQ238/10^7</f>
        <v>0</v>
      </c>
      <c r="AP105" s="179"/>
      <c r="AQ105" s="179"/>
      <c r="AR105" s="179"/>
      <c r="AS105" s="179"/>
      <c r="AT105" s="179"/>
      <c r="AU105" s="179"/>
      <c r="AV105" s="179"/>
      <c r="AW105" s="179"/>
      <c r="AX105" s="179"/>
      <c r="AY105" s="179"/>
      <c r="AZ105" s="179"/>
      <c r="BA105" s="179"/>
      <c r="BB105" s="179"/>
      <c r="BC105" s="179"/>
      <c r="BD105" s="179"/>
    </row>
    <row r="106" spans="1:56">
      <c r="A106" s="168" t="str">
        <f t="shared" si="11"/>
        <v>With SM/Ripper</v>
      </c>
      <c r="B106" s="165" t="str">
        <f t="shared" si="11"/>
        <v>Front End Loader/ 6.4 cum</v>
      </c>
      <c r="C106" s="171" t="s">
        <v>134</v>
      </c>
      <c r="D106" s="174">
        <f>VLOOKUP(B106,Equipment!$C$5:$S$53,Equipment!F$1,FALSE)*VLOOKUP(B15,Equipment!$C$5:$S$53,Equipment!P$1,FALSE)</f>
        <v>7533333.333333333</v>
      </c>
      <c r="E106" s="145">
        <f>$D106*Fleet!G239/10^7</f>
        <v>0</v>
      </c>
      <c r="F106" s="145">
        <f>$D106*Fleet!H239/10^7</f>
        <v>0</v>
      </c>
      <c r="G106" s="145">
        <f>$D106*Fleet!I239/10^7</f>
        <v>0</v>
      </c>
      <c r="H106" s="145">
        <f>$D106*Fleet!J239/10^7</f>
        <v>0</v>
      </c>
      <c r="I106" s="145">
        <f>$D106*Fleet!K239/10^7</f>
        <v>0</v>
      </c>
      <c r="J106" s="145">
        <f>$D106*Fleet!L239/10^7</f>
        <v>0</v>
      </c>
      <c r="K106" s="145">
        <f>$D106*Fleet!M239/10^7</f>
        <v>1.3930690891876192</v>
      </c>
      <c r="L106" s="145">
        <f>$D106*Fleet!N239/10^7</f>
        <v>2.0896031871286924</v>
      </c>
      <c r="M106" s="145">
        <f>$D106*Fleet!O239/10^7</f>
        <v>2.6120034628160069</v>
      </c>
      <c r="N106" s="145">
        <f>$D106*Fleet!P239/10^7</f>
        <v>2.6120055471954422</v>
      </c>
      <c r="O106" s="145">
        <f>$D106*Fleet!Q239/10^7</f>
        <v>2.6120040583529884</v>
      </c>
      <c r="P106" s="145">
        <f>$D106*Fleet!R239/10^7</f>
        <v>2.6120037605844972</v>
      </c>
      <c r="Q106" s="145">
        <f>$D106*Fleet!S239/10^7</f>
        <v>2.6120049516584603</v>
      </c>
      <c r="R106" s="145">
        <f>$D106*Fleet!T239/10^7</f>
        <v>2.6120034628160069</v>
      </c>
      <c r="S106" s="145">
        <f>$D106*Fleet!U239/10^7</f>
        <v>2.6120037605844972</v>
      </c>
      <c r="T106" s="145">
        <f>$D106*Fleet!V239/10^7</f>
        <v>2.6120046538899695</v>
      </c>
      <c r="U106" s="145">
        <f>$D106*Fleet!W239/10^7</f>
        <v>2.6120070360378946</v>
      </c>
      <c r="V106" s="145">
        <f>$D106*Fleet!X239/10^7</f>
        <v>2.6120046538899695</v>
      </c>
      <c r="W106" s="145">
        <f>$D106*Fleet!Y239/10^7</f>
        <v>2.6120046538899695</v>
      </c>
      <c r="X106" s="145">
        <f>$D106*Fleet!Z239/10^7</f>
        <v>2.6120043561214792</v>
      </c>
      <c r="Y106" s="145">
        <f>$D106*Fleet!AA239/10^7</f>
        <v>1.741336138158156</v>
      </c>
      <c r="Z106" s="145">
        <f>$D106*Fleet!AB239/10^7</f>
        <v>1.3060026247134757</v>
      </c>
      <c r="AA106" s="145">
        <f>$D106*Fleet!AC239/10^7</f>
        <v>0.38385857223580561</v>
      </c>
      <c r="AB106" s="145">
        <f>$D106*Fleet!AD239/10^7</f>
        <v>0</v>
      </c>
      <c r="AC106" s="145">
        <f>$D106*Fleet!AE239/10^7</f>
        <v>0</v>
      </c>
      <c r="AD106" s="145">
        <f>$D106*Fleet!AF239/10^7</f>
        <v>0</v>
      </c>
      <c r="AE106" s="145">
        <f>$D106*Fleet!AG239/10^7</f>
        <v>0</v>
      </c>
      <c r="AF106" s="145">
        <f>$D106*Fleet!AH239/10^7</f>
        <v>0</v>
      </c>
      <c r="AG106" s="145">
        <f>$D106*Fleet!AI239/10^7</f>
        <v>0</v>
      </c>
      <c r="AH106" s="145">
        <f>$D106*Fleet!AJ239/10^7</f>
        <v>0</v>
      </c>
      <c r="AI106" s="145">
        <f>$D106*Fleet!AK239/10^7</f>
        <v>0</v>
      </c>
      <c r="AJ106" s="145">
        <f>$D106*Fleet!AL239/10^7</f>
        <v>0</v>
      </c>
      <c r="AK106" s="145">
        <f>$D106*Fleet!AM239/10^7</f>
        <v>0</v>
      </c>
      <c r="AL106" s="145">
        <f>$D106*Fleet!AN239/10^7</f>
        <v>0</v>
      </c>
      <c r="AM106" s="145">
        <f>$D106*Fleet!AO239/10^7</f>
        <v>0</v>
      </c>
      <c r="AN106" s="145">
        <f>$D106*Fleet!AP239/10^7</f>
        <v>0</v>
      </c>
      <c r="AO106" s="145">
        <f>$D106*Fleet!AQ239/10^7</f>
        <v>0</v>
      </c>
      <c r="AP106" s="179"/>
      <c r="AQ106" s="179"/>
      <c r="AR106" s="179"/>
      <c r="AS106" s="179"/>
      <c r="AT106" s="179"/>
      <c r="AU106" s="179"/>
      <c r="AV106" s="179"/>
      <c r="AW106" s="179"/>
      <c r="AX106" s="179"/>
      <c r="AY106" s="179"/>
      <c r="AZ106" s="179"/>
      <c r="BA106" s="179"/>
      <c r="BB106" s="179"/>
      <c r="BC106" s="179"/>
      <c r="BD106" s="179"/>
    </row>
    <row r="107" spans="1:56">
      <c r="A107" s="168" t="str">
        <f t="shared" si="11"/>
        <v>Miscelleneous</v>
      </c>
      <c r="B107" s="165" t="str">
        <f t="shared" si="11"/>
        <v>Front End Loader/ 1.7cum</v>
      </c>
      <c r="C107" s="171" t="s">
        <v>134</v>
      </c>
      <c r="D107" s="174">
        <f>VLOOKUP(B107,Equipment!$C$5:$S$53,Equipment!F$1,FALSE)*VLOOKUP(B16,Equipment!$C$5:$S$53,Equipment!P$1,FALSE)</f>
        <v>483333.33333333331</v>
      </c>
      <c r="E107" s="145">
        <f>$D107*Fleet!G240/10^7</f>
        <v>4.2694854578683196E-3</v>
      </c>
      <c r="F107" s="145">
        <f>$D107*Fleet!H240/10^7</f>
        <v>8.5389690905313814E-3</v>
      </c>
      <c r="G107" s="145">
        <f>$D107*Fleet!I240/10^7</f>
        <v>1.7077945481883794E-2</v>
      </c>
      <c r="H107" s="145">
        <f>$D107*Fleet!J240/10^7</f>
        <v>2.5616912747209911E-2</v>
      </c>
      <c r="I107" s="145">
        <f>$D107*Fleet!K240/10^7</f>
        <v>3.2021134545793993E-2</v>
      </c>
      <c r="J107" s="145">
        <f>$D107*Fleet!L240/10^7</f>
        <v>3.2021160098667602E-2</v>
      </c>
      <c r="K107" s="145">
        <f>$D107*Fleet!M240/10^7</f>
        <v>3.2021141846615024E-2</v>
      </c>
      <c r="L107" s="145">
        <f>$D107*Fleet!N240/10^7</f>
        <v>3.2021138196204509E-2</v>
      </c>
      <c r="M107" s="145">
        <f>$D107*Fleet!O240/10^7</f>
        <v>3.2021152797846557E-2</v>
      </c>
      <c r="N107" s="145">
        <f>$D107*Fleet!P240/10^7</f>
        <v>3.2021134545793993E-2</v>
      </c>
      <c r="O107" s="145">
        <f>$D107*Fleet!Q240/10^7</f>
        <v>3.2021138196204509E-2</v>
      </c>
      <c r="P107" s="145">
        <f>$D107*Fleet!R240/10^7</f>
        <v>3.2021149147436055E-2</v>
      </c>
      <c r="Q107" s="145">
        <f>$D107*Fleet!S240/10^7</f>
        <v>3.2021178350720166E-2</v>
      </c>
      <c r="R107" s="145">
        <f>$D107*Fleet!T240/10^7</f>
        <v>3.2021149147436055E-2</v>
      </c>
      <c r="S107" s="145">
        <f>$D107*Fleet!U240/10^7</f>
        <v>3.2021149147436055E-2</v>
      </c>
      <c r="T107" s="145">
        <f>$D107*Fleet!V240/10^7</f>
        <v>3.202114549702554E-2</v>
      </c>
      <c r="U107" s="145">
        <f>$D107*Fleet!W240/10^7</f>
        <v>2.1347429114546852E-2</v>
      </c>
      <c r="V107" s="145">
        <f>$D107*Fleet!X240/10^7</f>
        <v>1.601057822412854E-2</v>
      </c>
      <c r="W107" s="145">
        <f>$D107*Fleet!Y240/10^7</f>
        <v>4.7058080753336843E-3</v>
      </c>
      <c r="X107" s="145">
        <f>$D107*Fleet!Z240/10^7</f>
        <v>0</v>
      </c>
      <c r="Y107" s="145">
        <f>$D107*Fleet!AA240/10^7</f>
        <v>0</v>
      </c>
      <c r="Z107" s="145">
        <f>$D107*Fleet!AB240/10^7</f>
        <v>0</v>
      </c>
      <c r="AA107" s="145">
        <f>$D107*Fleet!AC240/10^7</f>
        <v>0</v>
      </c>
      <c r="AB107" s="145">
        <f>$D107*Fleet!AD240/10^7</f>
        <v>0</v>
      </c>
      <c r="AC107" s="145">
        <f>$D107*Fleet!AE240/10^7</f>
        <v>0</v>
      </c>
      <c r="AD107" s="145">
        <f>$D107*Fleet!AF240/10^7</f>
        <v>0</v>
      </c>
      <c r="AE107" s="145">
        <f>$D107*Fleet!AG240/10^7</f>
        <v>0</v>
      </c>
      <c r="AF107" s="145">
        <f>$D107*Fleet!AH240/10^7</f>
        <v>0</v>
      </c>
      <c r="AG107" s="145">
        <f>$D107*Fleet!AI240/10^7</f>
        <v>0</v>
      </c>
      <c r="AH107" s="145">
        <f>$D107*Fleet!AJ240/10^7</f>
        <v>0</v>
      </c>
      <c r="AI107" s="145">
        <f>$D107*Fleet!AK240/10^7</f>
        <v>0</v>
      </c>
      <c r="AJ107" s="145">
        <f>$D107*Fleet!AL240/10^7</f>
        <v>0</v>
      </c>
      <c r="AK107" s="145">
        <f>$D107*Fleet!AM240/10^7</f>
        <v>0</v>
      </c>
      <c r="AL107" s="145">
        <f>$D107*Fleet!AN240/10^7</f>
        <v>0</v>
      </c>
      <c r="AM107" s="145">
        <f>$D107*Fleet!AO240/10^7</f>
        <v>0</v>
      </c>
      <c r="AN107" s="145">
        <f>$D107*Fleet!AP240/10^7</f>
        <v>0</v>
      </c>
      <c r="AO107" s="145">
        <f>$D107*Fleet!AQ240/10^7</f>
        <v>0</v>
      </c>
      <c r="AP107" s="179"/>
      <c r="AQ107" s="179"/>
      <c r="AR107" s="179"/>
      <c r="AS107" s="179"/>
      <c r="AT107" s="179"/>
      <c r="AU107" s="179"/>
      <c r="AV107" s="179"/>
      <c r="AW107" s="179"/>
      <c r="AX107" s="179"/>
      <c r="AY107" s="179"/>
      <c r="AZ107" s="179"/>
      <c r="BA107" s="179"/>
      <c r="BB107" s="179"/>
      <c r="BC107" s="179"/>
      <c r="BD107" s="179"/>
    </row>
    <row r="108" spans="1:56">
      <c r="A108" s="168" t="str">
        <f t="shared" si="11"/>
        <v>Topsoil</v>
      </c>
      <c r="B108" s="165" t="str">
        <f t="shared" si="11"/>
        <v>Tipper/ 20t</v>
      </c>
      <c r="C108" s="171" t="s">
        <v>134</v>
      </c>
      <c r="D108" s="174">
        <f>VLOOKUP(B108,Equipment!$C$5:$S$53,Equipment!F$1,FALSE)*VLOOKUP(B17,Equipment!$C$5:$S$53,Equipment!P$1,FALSE)</f>
        <v>562500</v>
      </c>
      <c r="E108" s="145">
        <f>$D108*Fleet!G241/10^7</f>
        <v>0</v>
      </c>
      <c r="F108" s="145">
        <f>$D108*Fleet!H241/10^7</f>
        <v>0</v>
      </c>
      <c r="G108" s="145">
        <f>$D108*Fleet!I241/10^7</f>
        <v>0</v>
      </c>
      <c r="H108" s="145">
        <f>$D108*Fleet!J241/10^7</f>
        <v>0</v>
      </c>
      <c r="I108" s="145">
        <f>$D108*Fleet!K241/10^7</f>
        <v>0</v>
      </c>
      <c r="J108" s="145">
        <f>$D108*Fleet!L241/10^7</f>
        <v>0</v>
      </c>
      <c r="K108" s="145">
        <f>$D108*Fleet!M241/10^7</f>
        <v>0</v>
      </c>
      <c r="L108" s="145">
        <f>$D108*Fleet!N241/10^7</f>
        <v>0</v>
      </c>
      <c r="M108" s="145">
        <f>$D108*Fleet!O241/10^7</f>
        <v>0</v>
      </c>
      <c r="N108" s="145">
        <f>$D108*Fleet!P241/10^7</f>
        <v>0</v>
      </c>
      <c r="O108" s="145">
        <f>$D108*Fleet!Q241/10^7</f>
        <v>0</v>
      </c>
      <c r="P108" s="145">
        <f>$D108*Fleet!R241/10^7</f>
        <v>0</v>
      </c>
      <c r="Q108" s="145">
        <f>$D108*Fleet!S241/10^7</f>
        <v>0</v>
      </c>
      <c r="R108" s="145">
        <f>$D108*Fleet!T241/10^7</f>
        <v>0</v>
      </c>
      <c r="S108" s="145">
        <f>$D108*Fleet!U241/10^7</f>
        <v>0</v>
      </c>
      <c r="T108" s="145">
        <f>$D108*Fleet!V241/10^7</f>
        <v>0</v>
      </c>
      <c r="U108" s="145">
        <f>$D108*Fleet!W241/10^7</f>
        <v>0</v>
      </c>
      <c r="V108" s="145">
        <f>$D108*Fleet!X241/10^7</f>
        <v>0</v>
      </c>
      <c r="W108" s="145">
        <f>$D108*Fleet!Y241/10^7</f>
        <v>0</v>
      </c>
      <c r="X108" s="145">
        <f>$D108*Fleet!Z241/10^7</f>
        <v>0</v>
      </c>
      <c r="Y108" s="145">
        <f>$D108*Fleet!AA241/10^7</f>
        <v>0</v>
      </c>
      <c r="Z108" s="145">
        <f>$D108*Fleet!AB241/10^7</f>
        <v>0</v>
      </c>
      <c r="AA108" s="145">
        <f>$D108*Fleet!AC241/10^7</f>
        <v>0</v>
      </c>
      <c r="AB108" s="145">
        <f>$D108*Fleet!AD241/10^7</f>
        <v>0</v>
      </c>
      <c r="AC108" s="145">
        <f>$D108*Fleet!AE241/10^7</f>
        <v>0</v>
      </c>
      <c r="AD108" s="145">
        <f>$D108*Fleet!AF241/10^7</f>
        <v>0</v>
      </c>
      <c r="AE108" s="145">
        <f>$D108*Fleet!AG241/10^7</f>
        <v>0</v>
      </c>
      <c r="AF108" s="145">
        <f>$D108*Fleet!AH241/10^7</f>
        <v>0</v>
      </c>
      <c r="AG108" s="145">
        <f>$D108*Fleet!AI241/10^7</f>
        <v>0</v>
      </c>
      <c r="AH108" s="145">
        <f>$D108*Fleet!AJ241/10^7</f>
        <v>0</v>
      </c>
      <c r="AI108" s="145">
        <f>$D108*Fleet!AK241/10^7</f>
        <v>0</v>
      </c>
      <c r="AJ108" s="145">
        <f>$D108*Fleet!AL241/10^7</f>
        <v>0</v>
      </c>
      <c r="AK108" s="145">
        <f>$D108*Fleet!AM241/10^7</f>
        <v>0</v>
      </c>
      <c r="AL108" s="145">
        <f>$D108*Fleet!AN241/10^7</f>
        <v>0</v>
      </c>
      <c r="AM108" s="145">
        <f>$D108*Fleet!AO241/10^7</f>
        <v>0</v>
      </c>
      <c r="AN108" s="145">
        <f>$D108*Fleet!AP241/10^7</f>
        <v>0</v>
      </c>
      <c r="AO108" s="145">
        <f>$D108*Fleet!AQ241/10^7</f>
        <v>0</v>
      </c>
      <c r="AP108" s="179"/>
      <c r="AQ108" s="179"/>
      <c r="AR108" s="179"/>
      <c r="AS108" s="179"/>
      <c r="AT108" s="179"/>
      <c r="AU108" s="179"/>
      <c r="AV108" s="179"/>
      <c r="AW108" s="179"/>
      <c r="AX108" s="179"/>
      <c r="AY108" s="179"/>
      <c r="AZ108" s="179"/>
      <c r="BA108" s="179"/>
      <c r="BB108" s="179"/>
      <c r="BC108" s="179"/>
      <c r="BD108" s="179"/>
    </row>
    <row r="109" spans="1:56">
      <c r="A109" s="168" t="str">
        <f t="shared" si="11"/>
        <v>Thin  Parting + Rehandling</v>
      </c>
      <c r="B109" s="165" t="str">
        <f t="shared" si="11"/>
        <v>Tipper/ 35t</v>
      </c>
      <c r="C109" s="171" t="s">
        <v>134</v>
      </c>
      <c r="D109" s="174">
        <f>VLOOKUP(B109,Equipment!$C$5:$S$53,Equipment!F$1,FALSE)*VLOOKUP(B18,Equipment!$C$5:$S$53,Equipment!P$1,FALSE)</f>
        <v>1687500</v>
      </c>
      <c r="E109" s="145">
        <f>$D109*Fleet!G242/10^7</f>
        <v>0</v>
      </c>
      <c r="F109" s="145">
        <f>$D109*Fleet!H242/10^7</f>
        <v>0</v>
      </c>
      <c r="G109" s="145">
        <f>$D109*Fleet!I242/10^7</f>
        <v>0</v>
      </c>
      <c r="H109" s="145">
        <f>$D109*Fleet!J242/10^7</f>
        <v>0</v>
      </c>
      <c r="I109" s="145">
        <f>$D109*Fleet!K242/10^7</f>
        <v>0</v>
      </c>
      <c r="J109" s="145">
        <f>$D109*Fleet!L242/10^7</f>
        <v>0</v>
      </c>
      <c r="K109" s="145">
        <f>$D109*Fleet!M242/10^7</f>
        <v>0</v>
      </c>
      <c r="L109" s="145">
        <f>$D109*Fleet!N242/10^7</f>
        <v>2.1914997708333326</v>
      </c>
      <c r="M109" s="145">
        <f>$D109*Fleet!O242/10^7</f>
        <v>2.3303009806286545</v>
      </c>
      <c r="N109" s="145">
        <f>$D109*Fleet!P242/10^7</f>
        <v>3.8031739838490175</v>
      </c>
      <c r="O109" s="145">
        <f>$D109*Fleet!Q242/10^7</f>
        <v>3.669549596940691</v>
      </c>
      <c r="P109" s="145">
        <f>$D109*Fleet!R242/10^7</f>
        <v>3.2444174166666655</v>
      </c>
      <c r="Q109" s="145">
        <f>$D109*Fleet!S242/10^7</f>
        <v>3.5322007193200662</v>
      </c>
      <c r="R109" s="145">
        <f>$D109*Fleet!T242/10^7</f>
        <v>3.2987254086286653</v>
      </c>
      <c r="S109" s="145">
        <f>$D109*Fleet!U242/10^7</f>
        <v>3.6589886871508384</v>
      </c>
      <c r="T109" s="145">
        <f>$D109*Fleet!V242/10^7</f>
        <v>2.7868427723463682</v>
      </c>
      <c r="U109" s="145">
        <f>$D109*Fleet!W242/10^7</f>
        <v>2.4100265273192796</v>
      </c>
      <c r="V109" s="145">
        <f>$D109*Fleet!X242/10^7</f>
        <v>2.9492118313808047</v>
      </c>
      <c r="W109" s="145">
        <f>$D109*Fleet!Y242/10^7</f>
        <v>2.8966245244340714</v>
      </c>
      <c r="X109" s="145">
        <f>$D109*Fleet!Z242/10^7</f>
        <v>3.5824434520465487</v>
      </c>
      <c r="Y109" s="145">
        <f>$D109*Fleet!AA242/10^7</f>
        <v>2.1766369007121829</v>
      </c>
      <c r="Z109" s="145">
        <f>$D109*Fleet!AB242/10^7</f>
        <v>0.36781170050786116</v>
      </c>
      <c r="AA109" s="145">
        <f>$D109*Fleet!AC242/10^7</f>
        <v>0.10497317771714328</v>
      </c>
      <c r="AB109" s="145">
        <f>$D109*Fleet!AD242/10^7</f>
        <v>0</v>
      </c>
      <c r="AC109" s="145">
        <f>$D109*Fleet!AE242/10^7</f>
        <v>0</v>
      </c>
      <c r="AD109" s="145">
        <f>$D109*Fleet!AF242/10^7</f>
        <v>0</v>
      </c>
      <c r="AE109" s="145">
        <f>$D109*Fleet!AG242/10^7</f>
        <v>0</v>
      </c>
      <c r="AF109" s="145">
        <f>$D109*Fleet!AH242/10^7</f>
        <v>0</v>
      </c>
      <c r="AG109" s="145">
        <f>$D109*Fleet!AI242/10^7</f>
        <v>0</v>
      </c>
      <c r="AH109" s="145">
        <f>$D109*Fleet!AJ242/10^7</f>
        <v>0</v>
      </c>
      <c r="AI109" s="145">
        <f>$D109*Fleet!AK242/10^7</f>
        <v>0</v>
      </c>
      <c r="AJ109" s="145">
        <f>$D109*Fleet!AL242/10^7</f>
        <v>0</v>
      </c>
      <c r="AK109" s="145">
        <f>$D109*Fleet!AM242/10^7</f>
        <v>0</v>
      </c>
      <c r="AL109" s="145">
        <f>$D109*Fleet!AN242/10^7</f>
        <v>0</v>
      </c>
      <c r="AM109" s="145">
        <f>$D109*Fleet!AO242/10^7</f>
        <v>0</v>
      </c>
      <c r="AN109" s="145">
        <f>$D109*Fleet!AP242/10^7</f>
        <v>0</v>
      </c>
      <c r="AO109" s="145">
        <f>$D109*Fleet!AQ242/10^7</f>
        <v>0</v>
      </c>
      <c r="AP109" s="179"/>
      <c r="AQ109" s="179"/>
      <c r="AR109" s="179"/>
      <c r="AS109" s="179"/>
      <c r="AT109" s="179"/>
      <c r="AU109" s="179"/>
      <c r="AV109" s="179"/>
      <c r="AW109" s="179"/>
      <c r="AX109" s="179"/>
      <c r="AY109" s="179"/>
      <c r="AZ109" s="179"/>
      <c r="BA109" s="179"/>
      <c r="BB109" s="179"/>
      <c r="BC109" s="179"/>
      <c r="BD109" s="179"/>
    </row>
    <row r="110" spans="1:56">
      <c r="A110" s="168" t="str">
        <f t="shared" si="11"/>
        <v>Waste - OB &amp; Thick Parting</v>
      </c>
      <c r="B110" s="165" t="str">
        <f t="shared" si="11"/>
        <v>Dumper/ 100t</v>
      </c>
      <c r="C110" s="171" t="s">
        <v>134</v>
      </c>
      <c r="D110" s="174">
        <f>VLOOKUP(B110,Equipment!$C$5:$S$53,Equipment!F$1,FALSE)*VLOOKUP(B19,Equipment!$C$5:$S$53,Equipment!P$1,FALSE)</f>
        <v>5104960</v>
      </c>
      <c r="E110" s="145">
        <f>$D110*Fleet!G243/10^7</f>
        <v>0</v>
      </c>
      <c r="F110" s="145">
        <f>$D110*Fleet!H243/10^7</f>
        <v>0</v>
      </c>
      <c r="G110" s="145">
        <f>$D110*Fleet!I243/10^7</f>
        <v>0</v>
      </c>
      <c r="H110" s="145">
        <f>$D110*Fleet!J243/10^7</f>
        <v>0</v>
      </c>
      <c r="I110" s="145">
        <f>$D110*Fleet!K243/10^7</f>
        <v>0</v>
      </c>
      <c r="J110" s="145">
        <f>$D110*Fleet!L243/10^7</f>
        <v>0</v>
      </c>
      <c r="K110" s="145">
        <f>$D110*Fleet!M243/10^7</f>
        <v>0</v>
      </c>
      <c r="L110" s="145">
        <f>$D110*Fleet!N243/10^7</f>
        <v>10.351201579910894</v>
      </c>
      <c r="M110" s="145">
        <f>$D110*Fleet!O243/10^7</f>
        <v>10.981480824197982</v>
      </c>
      <c r="N110" s="145">
        <f>$D110*Fleet!P243/10^7</f>
        <v>17.757679358481607</v>
      </c>
      <c r="O110" s="145">
        <f>$D110*Fleet!Q243/10^7</f>
        <v>16.937885210929689</v>
      </c>
      <c r="P110" s="145">
        <f>$D110*Fleet!R243/10^7</f>
        <v>15.003488152632471</v>
      </c>
      <c r="Q110" s="145">
        <f>$D110*Fleet!S243/10^7</f>
        <v>16.369365878544439</v>
      </c>
      <c r="R110" s="145">
        <f>$D110*Fleet!T243/10^7</f>
        <v>15.315003332621053</v>
      </c>
      <c r="S110" s="145">
        <f>$D110*Fleet!U243/10^7</f>
        <v>17.002730285865265</v>
      </c>
      <c r="T110" s="145">
        <f>$D110*Fleet!V243/10^7</f>
        <v>12.736496112956752</v>
      </c>
      <c r="U110" s="145">
        <f>$D110*Fleet!W243/10^7</f>
        <v>11.179743466928002</v>
      </c>
      <c r="V110" s="145">
        <f>$D110*Fleet!X243/10^7</f>
        <v>13.679186063806016</v>
      </c>
      <c r="W110" s="145">
        <f>$D110*Fleet!Y243/10^7</f>
        <v>13.425915219496217</v>
      </c>
      <c r="X110" s="145">
        <f>$D110*Fleet!Z243/10^7</f>
        <v>16.846384788396595</v>
      </c>
      <c r="Y110" s="145">
        <f>$D110*Fleet!AA243/10^7</f>
        <v>10.065946330694681</v>
      </c>
      <c r="Z110" s="145">
        <f>$D110*Fleet!AB243/10^7</f>
        <v>1.7011839413173118</v>
      </c>
      <c r="AA110" s="145">
        <f>$D110*Fleet!AC243/10^7</f>
        <v>0.4661921964022509</v>
      </c>
      <c r="AB110" s="145">
        <f>$D110*Fleet!AD243/10^7</f>
        <v>0</v>
      </c>
      <c r="AC110" s="145">
        <f>$D110*Fleet!AE243/10^7</f>
        <v>0</v>
      </c>
      <c r="AD110" s="145">
        <f>$D110*Fleet!AF243/10^7</f>
        <v>0</v>
      </c>
      <c r="AE110" s="145">
        <f>$D110*Fleet!AG243/10^7</f>
        <v>0</v>
      </c>
      <c r="AF110" s="145">
        <f>$D110*Fleet!AH243/10^7</f>
        <v>0</v>
      </c>
      <c r="AG110" s="145">
        <f>$D110*Fleet!AI243/10^7</f>
        <v>0</v>
      </c>
      <c r="AH110" s="145">
        <f>$D110*Fleet!AJ243/10^7</f>
        <v>0</v>
      </c>
      <c r="AI110" s="145">
        <f>$D110*Fleet!AK243/10^7</f>
        <v>0</v>
      </c>
      <c r="AJ110" s="145">
        <f>$D110*Fleet!AL243/10^7</f>
        <v>0</v>
      </c>
      <c r="AK110" s="145">
        <f>$D110*Fleet!AM243/10^7</f>
        <v>0</v>
      </c>
      <c r="AL110" s="145">
        <f>$D110*Fleet!AN243/10^7</f>
        <v>0</v>
      </c>
      <c r="AM110" s="145">
        <f>$D110*Fleet!AO243/10^7</f>
        <v>0</v>
      </c>
      <c r="AN110" s="145">
        <f>$D110*Fleet!AP243/10^7</f>
        <v>0</v>
      </c>
      <c r="AO110" s="145">
        <f>$D110*Fleet!AQ243/10^7</f>
        <v>0</v>
      </c>
      <c r="AP110" s="179"/>
      <c r="AQ110" s="179"/>
      <c r="AR110" s="179"/>
      <c r="AS110" s="179"/>
      <c r="AT110" s="179"/>
      <c r="AU110" s="179"/>
      <c r="AV110" s="179"/>
      <c r="AW110" s="179"/>
      <c r="AX110" s="179"/>
      <c r="AY110" s="179"/>
      <c r="AZ110" s="179"/>
      <c r="BA110" s="179"/>
      <c r="BB110" s="179"/>
      <c r="BC110" s="179"/>
      <c r="BD110" s="179"/>
    </row>
    <row r="111" spans="1:56">
      <c r="A111" s="168" t="str">
        <f t="shared" si="11"/>
        <v>Coal/Ore</v>
      </c>
      <c r="B111" s="165" t="str">
        <f t="shared" si="11"/>
        <v>Dumper/ 40t</v>
      </c>
      <c r="C111" s="171" t="s">
        <v>134</v>
      </c>
      <c r="D111" s="174">
        <f>VLOOKUP(B111,Equipment!$C$5:$S$53,Equipment!F$1,FALSE)*VLOOKUP(B20,Equipment!$C$5:$S$53,Equipment!P$1,FALSE)</f>
        <v>2302750</v>
      </c>
      <c r="E111" s="145">
        <f>$D111*Fleet!G244/10^7</f>
        <v>0</v>
      </c>
      <c r="F111" s="145">
        <f>$D111*Fleet!H244/10^7</f>
        <v>0</v>
      </c>
      <c r="G111" s="145">
        <f>$D111*Fleet!I244/10^7</f>
        <v>0</v>
      </c>
      <c r="H111" s="145">
        <f>$D111*Fleet!J244/10^7</f>
        <v>0</v>
      </c>
      <c r="I111" s="145">
        <f>$D111*Fleet!K244/10^7</f>
        <v>0.58809797278322984</v>
      </c>
      <c r="J111" s="145">
        <f>$D111*Fleet!L244/10^7</f>
        <v>1.1761956941545457</v>
      </c>
      <c r="K111" s="145">
        <f>$D111*Fleet!M244/10^7</f>
        <v>2.6831975743569152</v>
      </c>
      <c r="L111" s="145">
        <f>$D111*Fleet!N244/10^7</f>
        <v>4.6833984014373566</v>
      </c>
      <c r="M111" s="145">
        <f>$D111*Fleet!O244/10^7</f>
        <v>6.0751618087372483</v>
      </c>
      <c r="N111" s="145">
        <f>$D111*Fleet!P244/10^7</f>
        <v>6.4396766561210095</v>
      </c>
      <c r="O111" s="145">
        <f>$D111*Fleet!Q244/10^7</f>
        <v>6.707992693236525</v>
      </c>
      <c r="P111" s="145">
        <f>$D111*Fleet!R244/10^7</f>
        <v>6.9996437515046432</v>
      </c>
      <c r="Q111" s="145">
        <f>$D111*Fleet!S244/10^7</f>
        <v>7.3178127134948063</v>
      </c>
      <c r="R111" s="145">
        <f>$D111*Fleet!T244/10^7</f>
        <v>7.4879901363505645</v>
      </c>
      <c r="S111" s="145">
        <f>$D111*Fleet!U244/10^7</f>
        <v>7.8532588431515533</v>
      </c>
      <c r="T111" s="145">
        <f>$D111*Fleet!V244/10^7</f>
        <v>8.049593067190802</v>
      </c>
      <c r="U111" s="145">
        <f>$D111*Fleet!W244/10^7</f>
        <v>8.4732635878091536</v>
      </c>
      <c r="V111" s="145">
        <f>$D111*Fleet!X244/10^7</f>
        <v>8.7022627753414081</v>
      </c>
      <c r="W111" s="145">
        <f>$D111*Fleet!Y244/10^7</f>
        <v>9.1995349339323447</v>
      </c>
      <c r="X111" s="145">
        <f>$D111*Fleet!Z244/10^7</f>
        <v>9.1995338851855006</v>
      </c>
      <c r="Y111" s="145">
        <f>$D111*Fleet!AA244/10^7</f>
        <v>6.133022240541389</v>
      </c>
      <c r="Z111" s="145">
        <f>$D111*Fleet!AB244/10^7</f>
        <v>4.5997685157130146</v>
      </c>
      <c r="AA111" s="145">
        <f>$D111*Fleet!AC244/10^7</f>
        <v>1.3519579070097028</v>
      </c>
      <c r="AB111" s="145">
        <f>$D111*Fleet!AD244/10^7</f>
        <v>0</v>
      </c>
      <c r="AC111" s="145">
        <f>$D111*Fleet!AE244/10^7</f>
        <v>0</v>
      </c>
      <c r="AD111" s="145">
        <f>$D111*Fleet!AF244/10^7</f>
        <v>0</v>
      </c>
      <c r="AE111" s="145">
        <f>$D111*Fleet!AG244/10^7</f>
        <v>0</v>
      </c>
      <c r="AF111" s="145">
        <f>$D111*Fleet!AH244/10^7</f>
        <v>0</v>
      </c>
      <c r="AG111" s="145">
        <f>$D111*Fleet!AI244/10^7</f>
        <v>0</v>
      </c>
      <c r="AH111" s="145">
        <f>$D111*Fleet!AJ244/10^7</f>
        <v>0</v>
      </c>
      <c r="AI111" s="145">
        <f>$D111*Fleet!AK244/10^7</f>
        <v>0</v>
      </c>
      <c r="AJ111" s="145">
        <f>$D111*Fleet!AL244/10^7</f>
        <v>0</v>
      </c>
      <c r="AK111" s="145">
        <f>$D111*Fleet!AM244/10^7</f>
        <v>0</v>
      </c>
      <c r="AL111" s="145">
        <f>$D111*Fleet!AN244/10^7</f>
        <v>0</v>
      </c>
      <c r="AM111" s="145">
        <f>$D111*Fleet!AO244/10^7</f>
        <v>0</v>
      </c>
      <c r="AN111" s="145">
        <f>$D111*Fleet!AP244/10^7</f>
        <v>0</v>
      </c>
      <c r="AO111" s="145">
        <f>$D111*Fleet!AQ244/10^7</f>
        <v>0</v>
      </c>
      <c r="AP111" s="179"/>
      <c r="AQ111" s="179"/>
      <c r="AR111" s="179"/>
      <c r="AS111" s="179"/>
      <c r="AT111" s="179"/>
      <c r="AU111" s="179"/>
      <c r="AV111" s="179"/>
      <c r="AW111" s="179"/>
      <c r="AX111" s="179"/>
      <c r="AY111" s="179"/>
      <c r="AZ111" s="179"/>
      <c r="BA111" s="179"/>
      <c r="BB111" s="179"/>
      <c r="BC111" s="179"/>
      <c r="BD111" s="179"/>
    </row>
    <row r="112" spans="1:56">
      <c r="A112" s="168" t="str">
        <f t="shared" si="11"/>
        <v/>
      </c>
      <c r="B112" s="165" t="str">
        <f t="shared" si="11"/>
        <v>Track Dozer/ 405 HP</v>
      </c>
      <c r="C112" s="171" t="s">
        <v>134</v>
      </c>
      <c r="D112" s="174">
        <f>VLOOKUP(B112,Equipment!$C$5:$S$53,Equipment!F$1,FALSE)*VLOOKUP(B21,Equipment!$C$5:$S$53,Equipment!P$1,FALSE)</f>
        <v>8333333.333333333</v>
      </c>
      <c r="E112" s="145">
        <f>$D112*Fleet!G245/10^7</f>
        <v>0</v>
      </c>
      <c r="F112" s="145">
        <f>$D112*Fleet!H245/10^7</f>
        <v>0</v>
      </c>
      <c r="G112" s="145">
        <f>$D112*Fleet!I245/10^7</f>
        <v>0</v>
      </c>
      <c r="H112" s="145">
        <f>$D112*Fleet!J245/10^7</f>
        <v>0</v>
      </c>
      <c r="I112" s="145">
        <f>$D112*Fleet!K245/10^7</f>
        <v>0.83333333333333326</v>
      </c>
      <c r="J112" s="145">
        <f>$D112*Fleet!L245/10^7</f>
        <v>1.6666666666666665</v>
      </c>
      <c r="K112" s="145">
        <f>$D112*Fleet!M245/10^7</f>
        <v>3.333333333333333</v>
      </c>
      <c r="L112" s="145">
        <f>$D112*Fleet!N245/10^7</f>
        <v>4.1666666666666661</v>
      </c>
      <c r="M112" s="145">
        <f>$D112*Fleet!O245/10^7</f>
        <v>5</v>
      </c>
      <c r="N112" s="145">
        <f>$D112*Fleet!P245/10^7</f>
        <v>5</v>
      </c>
      <c r="O112" s="145">
        <f>$D112*Fleet!Q245/10^7</f>
        <v>5</v>
      </c>
      <c r="P112" s="145">
        <f>$D112*Fleet!R245/10^7</f>
        <v>5</v>
      </c>
      <c r="Q112" s="145">
        <f>$D112*Fleet!S245/10^7</f>
        <v>5</v>
      </c>
      <c r="R112" s="145">
        <f>$D112*Fleet!T245/10^7</f>
        <v>5</v>
      </c>
      <c r="S112" s="145">
        <f>$D112*Fleet!U245/10^7</f>
        <v>5</v>
      </c>
      <c r="T112" s="145">
        <f>$D112*Fleet!V245/10^7</f>
        <v>5</v>
      </c>
      <c r="U112" s="145">
        <f>$D112*Fleet!W245/10^7</f>
        <v>5</v>
      </c>
      <c r="V112" s="145">
        <f>$D112*Fleet!X245/10^7</f>
        <v>5</v>
      </c>
      <c r="W112" s="145">
        <f>$D112*Fleet!Y245/10^7</f>
        <v>5</v>
      </c>
      <c r="X112" s="145">
        <f>$D112*Fleet!Z245/10^7</f>
        <v>5</v>
      </c>
      <c r="Y112" s="145">
        <f>$D112*Fleet!AA245/10^7</f>
        <v>3.333333333333333</v>
      </c>
      <c r="Z112" s="145">
        <f>$D112*Fleet!AB245/10^7</f>
        <v>2.5</v>
      </c>
      <c r="AA112" s="145">
        <f>$D112*Fleet!AC245/10^7</f>
        <v>0.83333333333333326</v>
      </c>
      <c r="AB112" s="145">
        <f>$D112*Fleet!AD245/10^7</f>
        <v>0</v>
      </c>
      <c r="AC112" s="145">
        <f>$D112*Fleet!AE245/10^7</f>
        <v>0</v>
      </c>
      <c r="AD112" s="145">
        <f>$D112*Fleet!AF245/10^7</f>
        <v>0</v>
      </c>
      <c r="AE112" s="145">
        <f>$D112*Fleet!AG245/10^7</f>
        <v>0</v>
      </c>
      <c r="AF112" s="145">
        <f>$D112*Fleet!AH245/10^7</f>
        <v>0</v>
      </c>
      <c r="AG112" s="145">
        <f>$D112*Fleet!AI245/10^7</f>
        <v>0</v>
      </c>
      <c r="AH112" s="145">
        <f>$D112*Fleet!AJ245/10^7</f>
        <v>0</v>
      </c>
      <c r="AI112" s="145">
        <f>$D112*Fleet!AK245/10^7</f>
        <v>0</v>
      </c>
      <c r="AJ112" s="145">
        <f>$D112*Fleet!AL245/10^7</f>
        <v>0</v>
      </c>
      <c r="AK112" s="145">
        <f>$D112*Fleet!AM245/10^7</f>
        <v>0</v>
      </c>
      <c r="AL112" s="145">
        <f>$D112*Fleet!AN245/10^7</f>
        <v>0</v>
      </c>
      <c r="AM112" s="145">
        <f>$D112*Fleet!AO245/10^7</f>
        <v>0</v>
      </c>
      <c r="AN112" s="145">
        <f>$D112*Fleet!AP245/10^7</f>
        <v>0</v>
      </c>
      <c r="AO112" s="145">
        <f>$D112*Fleet!AQ245/10^7</f>
        <v>0</v>
      </c>
      <c r="AP112" s="179"/>
      <c r="AQ112" s="179"/>
      <c r="AR112" s="179"/>
      <c r="AS112" s="179"/>
      <c r="AT112" s="179"/>
      <c r="AU112" s="179"/>
      <c r="AV112" s="179"/>
      <c r="AW112" s="179"/>
      <c r="AX112" s="179"/>
      <c r="AY112" s="179"/>
      <c r="AZ112" s="179"/>
      <c r="BA112" s="179"/>
      <c r="BB112" s="179"/>
      <c r="BC112" s="179"/>
      <c r="BD112" s="179"/>
    </row>
    <row r="113" spans="1:56">
      <c r="A113" s="168" t="str">
        <f t="shared" si="11"/>
        <v/>
      </c>
      <c r="B113" s="165" t="str">
        <f t="shared" si="11"/>
        <v>Wheel Dozer</v>
      </c>
      <c r="C113" s="171" t="s">
        <v>134</v>
      </c>
      <c r="D113" s="174">
        <f>VLOOKUP(B113,Equipment!$C$5:$S$53,Equipment!F$1,FALSE)*VLOOKUP(B22,Equipment!$C$5:$S$53,Equipment!P$1,FALSE)</f>
        <v>6765744.3358720001</v>
      </c>
      <c r="E113" s="145">
        <f>$D113*Fleet!G246/10^7</f>
        <v>0</v>
      </c>
      <c r="F113" s="145">
        <f>$D113*Fleet!H246/10^7</f>
        <v>0</v>
      </c>
      <c r="G113" s="145">
        <f>$D113*Fleet!I246/10^7</f>
        <v>0</v>
      </c>
      <c r="H113" s="145">
        <f>$D113*Fleet!J246/10^7</f>
        <v>0</v>
      </c>
      <c r="I113" s="145">
        <f>$D113*Fleet!K246/10^7</f>
        <v>0.67657443358720004</v>
      </c>
      <c r="J113" s="145">
        <f>$D113*Fleet!L246/10^7</f>
        <v>0.67657443358720004</v>
      </c>
      <c r="K113" s="145">
        <f>$D113*Fleet!M246/10^7</f>
        <v>1.3531488671744001</v>
      </c>
      <c r="L113" s="145">
        <f>$D113*Fleet!N246/10^7</f>
        <v>1.3531488671744001</v>
      </c>
      <c r="M113" s="145">
        <f>$D113*Fleet!O246/10^7</f>
        <v>1.3531488671744001</v>
      </c>
      <c r="N113" s="145">
        <f>$D113*Fleet!P246/10^7</f>
        <v>1.3531488671744001</v>
      </c>
      <c r="O113" s="145">
        <f>$D113*Fleet!Q246/10^7</f>
        <v>1.3531488671744001</v>
      </c>
      <c r="P113" s="145">
        <f>$D113*Fleet!R246/10^7</f>
        <v>1.3531488671744001</v>
      </c>
      <c r="Q113" s="145">
        <f>$D113*Fleet!S246/10^7</f>
        <v>1.3531488671744001</v>
      </c>
      <c r="R113" s="145">
        <f>$D113*Fleet!T246/10^7</f>
        <v>1.3531488671744001</v>
      </c>
      <c r="S113" s="145">
        <f>$D113*Fleet!U246/10^7</f>
        <v>1.3531488671744001</v>
      </c>
      <c r="T113" s="145">
        <f>$D113*Fleet!V246/10^7</f>
        <v>1.3531488671744001</v>
      </c>
      <c r="U113" s="145">
        <f>$D113*Fleet!W246/10^7</f>
        <v>1.3531488671744001</v>
      </c>
      <c r="V113" s="145">
        <f>$D113*Fleet!X246/10^7</f>
        <v>1.3531488671744001</v>
      </c>
      <c r="W113" s="145">
        <f>$D113*Fleet!Y246/10^7</f>
        <v>1.3531488671744001</v>
      </c>
      <c r="X113" s="145">
        <f>$D113*Fleet!Z246/10^7</f>
        <v>1.3531488671744001</v>
      </c>
      <c r="Y113" s="145">
        <f>$D113*Fleet!AA246/10^7</f>
        <v>1.3531488671744001</v>
      </c>
      <c r="Z113" s="145">
        <f>$D113*Fleet!AB246/10^7</f>
        <v>0.67657443358720004</v>
      </c>
      <c r="AA113" s="145">
        <f>$D113*Fleet!AC246/10^7</f>
        <v>0.67657443358720004</v>
      </c>
      <c r="AB113" s="145">
        <f>$D113*Fleet!AD246/10^7</f>
        <v>0</v>
      </c>
      <c r="AC113" s="145">
        <f>$D113*Fleet!AE246/10^7</f>
        <v>0</v>
      </c>
      <c r="AD113" s="145">
        <f>$D113*Fleet!AF246/10^7</f>
        <v>0</v>
      </c>
      <c r="AE113" s="145">
        <f>$D113*Fleet!AG246/10^7</f>
        <v>0</v>
      </c>
      <c r="AF113" s="145">
        <f>$D113*Fleet!AH246/10^7</f>
        <v>0</v>
      </c>
      <c r="AG113" s="145">
        <f>$D113*Fleet!AI246/10^7</f>
        <v>0</v>
      </c>
      <c r="AH113" s="145">
        <f>$D113*Fleet!AJ246/10^7</f>
        <v>0</v>
      </c>
      <c r="AI113" s="145">
        <f>$D113*Fleet!AK246/10^7</f>
        <v>0</v>
      </c>
      <c r="AJ113" s="145">
        <f>$D113*Fleet!AL246/10^7</f>
        <v>0</v>
      </c>
      <c r="AK113" s="145">
        <f>$D113*Fleet!AM246/10^7</f>
        <v>0</v>
      </c>
      <c r="AL113" s="145">
        <f>$D113*Fleet!AN246/10^7</f>
        <v>0</v>
      </c>
      <c r="AM113" s="145">
        <f>$D113*Fleet!AO246/10^7</f>
        <v>0</v>
      </c>
      <c r="AN113" s="145">
        <f>$D113*Fleet!AP246/10^7</f>
        <v>0</v>
      </c>
      <c r="AO113" s="145">
        <f>$D113*Fleet!AQ246/10^7</f>
        <v>0</v>
      </c>
      <c r="AP113" s="179"/>
      <c r="AQ113" s="179"/>
      <c r="AR113" s="179"/>
      <c r="AS113" s="179"/>
      <c r="AT113" s="179"/>
      <c r="AU113" s="179"/>
      <c r="AV113" s="179"/>
      <c r="AW113" s="179"/>
      <c r="AX113" s="179"/>
      <c r="AY113" s="179"/>
      <c r="AZ113" s="179"/>
      <c r="BA113" s="179"/>
      <c r="BB113" s="179"/>
      <c r="BC113" s="179"/>
      <c r="BD113" s="179"/>
    </row>
    <row r="114" spans="1:56">
      <c r="A114" s="168" t="str">
        <f t="shared" si="11"/>
        <v/>
      </c>
      <c r="B114" s="165" t="str">
        <f t="shared" si="11"/>
        <v>Ripper Dozer/ 450TPH</v>
      </c>
      <c r="C114" s="171" t="s">
        <v>134</v>
      </c>
      <c r="D114" s="174">
        <f>VLOOKUP(B114,Equipment!$C$5:$S$53,Equipment!F$1,FALSE)*VLOOKUP(B23,Equipment!$C$5:$S$53,Equipment!P$1,FALSE)</f>
        <v>5625000</v>
      </c>
      <c r="E114" s="145">
        <f>$D114*Fleet!G247/10^7</f>
        <v>0</v>
      </c>
      <c r="F114" s="145">
        <f>$D114*Fleet!H247/10^7</f>
        <v>0</v>
      </c>
      <c r="G114" s="145">
        <f>$D114*Fleet!I247/10^7</f>
        <v>0</v>
      </c>
      <c r="H114" s="145">
        <f>$D114*Fleet!J247/10^7</f>
        <v>0</v>
      </c>
      <c r="I114" s="145">
        <f>$D114*Fleet!K247/10^7</f>
        <v>0.5625</v>
      </c>
      <c r="J114" s="145">
        <f>$D114*Fleet!L247/10^7</f>
        <v>0.5625</v>
      </c>
      <c r="K114" s="145">
        <f>$D114*Fleet!M247/10^7</f>
        <v>1.125</v>
      </c>
      <c r="L114" s="145">
        <f>$D114*Fleet!N247/10^7</f>
        <v>1.125</v>
      </c>
      <c r="M114" s="145">
        <f>$D114*Fleet!O247/10^7</f>
        <v>1.125</v>
      </c>
      <c r="N114" s="145">
        <f>$D114*Fleet!P247/10^7</f>
        <v>1.125</v>
      </c>
      <c r="O114" s="145">
        <f>$D114*Fleet!Q247/10^7</f>
        <v>1.125</v>
      </c>
      <c r="P114" s="145">
        <f>$D114*Fleet!R247/10^7</f>
        <v>1.125</v>
      </c>
      <c r="Q114" s="145">
        <f>$D114*Fleet!S247/10^7</f>
        <v>1.125</v>
      </c>
      <c r="R114" s="145">
        <f>$D114*Fleet!T247/10^7</f>
        <v>1.125</v>
      </c>
      <c r="S114" s="145">
        <f>$D114*Fleet!U247/10^7</f>
        <v>1.125</v>
      </c>
      <c r="T114" s="145">
        <f>$D114*Fleet!V247/10^7</f>
        <v>1.125</v>
      </c>
      <c r="U114" s="145">
        <f>$D114*Fleet!W247/10^7</f>
        <v>1.125</v>
      </c>
      <c r="V114" s="145">
        <f>$D114*Fleet!X247/10^7</f>
        <v>1.125</v>
      </c>
      <c r="W114" s="145">
        <f>$D114*Fleet!Y247/10^7</f>
        <v>1.125</v>
      </c>
      <c r="X114" s="145">
        <f>$D114*Fleet!Z247/10^7</f>
        <v>1.125</v>
      </c>
      <c r="Y114" s="145">
        <f>$D114*Fleet!AA247/10^7</f>
        <v>1.125</v>
      </c>
      <c r="Z114" s="145">
        <f>$D114*Fleet!AB247/10^7</f>
        <v>0.5625</v>
      </c>
      <c r="AA114" s="145">
        <f>$D114*Fleet!AC247/10^7</f>
        <v>0.5625</v>
      </c>
      <c r="AB114" s="145">
        <f>$D114*Fleet!AD247/10^7</f>
        <v>0</v>
      </c>
      <c r="AC114" s="145">
        <f>$D114*Fleet!AE247/10^7</f>
        <v>0</v>
      </c>
      <c r="AD114" s="145">
        <f>$D114*Fleet!AF247/10^7</f>
        <v>0</v>
      </c>
      <c r="AE114" s="145">
        <f>$D114*Fleet!AG247/10^7</f>
        <v>0</v>
      </c>
      <c r="AF114" s="145">
        <f>$D114*Fleet!AH247/10^7</f>
        <v>0</v>
      </c>
      <c r="AG114" s="145">
        <f>$D114*Fleet!AI247/10^7</f>
        <v>0</v>
      </c>
      <c r="AH114" s="145">
        <f>$D114*Fleet!AJ247/10^7</f>
        <v>0</v>
      </c>
      <c r="AI114" s="145">
        <f>$D114*Fleet!AK247/10^7</f>
        <v>0</v>
      </c>
      <c r="AJ114" s="145">
        <f>$D114*Fleet!AL247/10^7</f>
        <v>0</v>
      </c>
      <c r="AK114" s="145">
        <f>$D114*Fleet!AM247/10^7</f>
        <v>0</v>
      </c>
      <c r="AL114" s="145">
        <f>$D114*Fleet!AN247/10^7</f>
        <v>0</v>
      </c>
      <c r="AM114" s="145">
        <f>$D114*Fleet!AO247/10^7</f>
        <v>0</v>
      </c>
      <c r="AN114" s="145">
        <f>$D114*Fleet!AP247/10^7</f>
        <v>0</v>
      </c>
      <c r="AO114" s="145">
        <f>$D114*Fleet!AQ247/10^7</f>
        <v>0</v>
      </c>
      <c r="AP114" s="179"/>
      <c r="AQ114" s="179"/>
      <c r="AR114" s="179"/>
      <c r="AS114" s="179"/>
      <c r="AT114" s="179"/>
      <c r="AU114" s="179"/>
      <c r="AV114" s="179"/>
      <c r="AW114" s="179"/>
      <c r="AX114" s="179"/>
      <c r="AY114" s="179"/>
      <c r="AZ114" s="179"/>
      <c r="BA114" s="179"/>
      <c r="BB114" s="179"/>
      <c r="BC114" s="179"/>
      <c r="BD114" s="179"/>
    </row>
    <row r="115" spans="1:56">
      <c r="A115" s="168" t="str">
        <f t="shared" si="11"/>
        <v/>
      </c>
      <c r="B115" s="165" t="str">
        <f t="shared" si="11"/>
        <v>Track Dozer/ 192 HP</v>
      </c>
      <c r="C115" s="171" t="s">
        <v>134</v>
      </c>
      <c r="D115" s="174">
        <f>VLOOKUP(B115,Equipment!$C$5:$S$53,Equipment!F$1,FALSE)*VLOOKUP(B24,Equipment!$C$5:$S$53,Equipment!P$1,FALSE)</f>
        <v>2898333.333333333</v>
      </c>
      <c r="E115" s="145">
        <f>$D115*Fleet!G248/10^7</f>
        <v>0</v>
      </c>
      <c r="F115" s="145">
        <f>$D115*Fleet!H248/10^7</f>
        <v>0</v>
      </c>
      <c r="G115" s="145">
        <f>$D115*Fleet!I248/10^7</f>
        <v>0</v>
      </c>
      <c r="H115" s="145">
        <f>$D115*Fleet!J248/10^7</f>
        <v>0</v>
      </c>
      <c r="I115" s="145">
        <f>$D115*Fleet!K248/10^7</f>
        <v>0.28983333333333328</v>
      </c>
      <c r="J115" s="145">
        <f>$D115*Fleet!L248/10^7</f>
        <v>0.28983333333333328</v>
      </c>
      <c r="K115" s="145">
        <f>$D115*Fleet!M248/10^7</f>
        <v>0.57966666666666655</v>
      </c>
      <c r="L115" s="145">
        <f>$D115*Fleet!N248/10^7</f>
        <v>0.57966666666666655</v>
      </c>
      <c r="M115" s="145">
        <f>$D115*Fleet!O248/10^7</f>
        <v>0.57966666666666655</v>
      </c>
      <c r="N115" s="145">
        <f>$D115*Fleet!P248/10^7</f>
        <v>0.57966666666666655</v>
      </c>
      <c r="O115" s="145">
        <f>$D115*Fleet!Q248/10^7</f>
        <v>0.57966666666666655</v>
      </c>
      <c r="P115" s="145">
        <f>$D115*Fleet!R248/10^7</f>
        <v>0.57966666666666655</v>
      </c>
      <c r="Q115" s="145">
        <f>$D115*Fleet!S248/10^7</f>
        <v>0.57966666666666655</v>
      </c>
      <c r="R115" s="145">
        <f>$D115*Fleet!T248/10^7</f>
        <v>0.57966666666666655</v>
      </c>
      <c r="S115" s="145">
        <f>$D115*Fleet!U248/10^7</f>
        <v>0.57966666666666655</v>
      </c>
      <c r="T115" s="145">
        <f>$D115*Fleet!V248/10^7</f>
        <v>0.57966666666666655</v>
      </c>
      <c r="U115" s="145">
        <f>$D115*Fleet!W248/10^7</f>
        <v>0.57966666666666655</v>
      </c>
      <c r="V115" s="145">
        <f>$D115*Fleet!X248/10^7</f>
        <v>0.57966666666666655</v>
      </c>
      <c r="W115" s="145">
        <f>$D115*Fleet!Y248/10^7</f>
        <v>0.57966666666666655</v>
      </c>
      <c r="X115" s="145">
        <f>$D115*Fleet!Z248/10^7</f>
        <v>0.57966666666666655</v>
      </c>
      <c r="Y115" s="145">
        <f>$D115*Fleet!AA248/10^7</f>
        <v>0.57966666666666655</v>
      </c>
      <c r="Z115" s="145">
        <f>$D115*Fleet!AB248/10^7</f>
        <v>0.28983333333333328</v>
      </c>
      <c r="AA115" s="145">
        <f>$D115*Fleet!AC248/10^7</f>
        <v>0.28983333333333328</v>
      </c>
      <c r="AB115" s="145">
        <f>$D115*Fleet!AD248/10^7</f>
        <v>0</v>
      </c>
      <c r="AC115" s="145">
        <f>$D115*Fleet!AE248/10^7</f>
        <v>0</v>
      </c>
      <c r="AD115" s="145">
        <f>$D115*Fleet!AF248/10^7</f>
        <v>0</v>
      </c>
      <c r="AE115" s="145">
        <f>$D115*Fleet!AG248/10^7</f>
        <v>0</v>
      </c>
      <c r="AF115" s="145">
        <f>$D115*Fleet!AH248/10^7</f>
        <v>0</v>
      </c>
      <c r="AG115" s="145">
        <f>$D115*Fleet!AI248/10^7</f>
        <v>0</v>
      </c>
      <c r="AH115" s="145">
        <f>$D115*Fleet!AJ248/10^7</f>
        <v>0</v>
      </c>
      <c r="AI115" s="145">
        <f>$D115*Fleet!AK248/10^7</f>
        <v>0</v>
      </c>
      <c r="AJ115" s="145">
        <f>$D115*Fleet!AL248/10^7</f>
        <v>0</v>
      </c>
      <c r="AK115" s="145">
        <f>$D115*Fleet!AM248/10^7</f>
        <v>0</v>
      </c>
      <c r="AL115" s="145">
        <f>$D115*Fleet!AN248/10^7</f>
        <v>0</v>
      </c>
      <c r="AM115" s="145">
        <f>$D115*Fleet!AO248/10^7</f>
        <v>0</v>
      </c>
      <c r="AN115" s="145">
        <f>$D115*Fleet!AP248/10^7</f>
        <v>0</v>
      </c>
      <c r="AO115" s="145">
        <f>$D115*Fleet!AQ248/10^7</f>
        <v>0</v>
      </c>
      <c r="AP115" s="179"/>
      <c r="AQ115" s="179"/>
      <c r="AR115" s="179"/>
      <c r="AS115" s="179"/>
      <c r="AT115" s="179"/>
      <c r="AU115" s="179"/>
      <c r="AV115" s="179"/>
      <c r="AW115" s="179"/>
      <c r="AX115" s="179"/>
      <c r="AY115" s="179"/>
      <c r="AZ115" s="179"/>
      <c r="BA115" s="179"/>
      <c r="BB115" s="179"/>
      <c r="BC115" s="179"/>
      <c r="BD115" s="179"/>
    </row>
    <row r="116" spans="1:56">
      <c r="A116" s="168" t="str">
        <f t="shared" si="11"/>
        <v/>
      </c>
      <c r="B116" s="165" t="str">
        <f t="shared" si="11"/>
        <v>Motor Grader/ 290 - 348 HP</v>
      </c>
      <c r="C116" s="171" t="s">
        <v>134</v>
      </c>
      <c r="D116" s="174">
        <f>VLOOKUP(B116,Equipment!$C$5:$S$53,Equipment!F$1,FALSE)*VLOOKUP(B25,Equipment!$C$5:$S$53,Equipment!P$1,FALSE)</f>
        <v>6430582.1190783996</v>
      </c>
      <c r="E116" s="145">
        <f>$D116*Fleet!G249/10^7</f>
        <v>0</v>
      </c>
      <c r="F116" s="145">
        <f>$D116*Fleet!H249/10^7</f>
        <v>0</v>
      </c>
      <c r="G116" s="145">
        <f>$D116*Fleet!I249/10^7</f>
        <v>0</v>
      </c>
      <c r="H116" s="145">
        <f>$D116*Fleet!J249/10^7</f>
        <v>0</v>
      </c>
      <c r="I116" s="145">
        <f>$D116*Fleet!K249/10^7</f>
        <v>0.64305821190783996</v>
      </c>
      <c r="J116" s="145">
        <f>$D116*Fleet!L249/10^7</f>
        <v>0.64305821190783996</v>
      </c>
      <c r="K116" s="145">
        <f>$D116*Fleet!M249/10^7</f>
        <v>1.2861164238156799</v>
      </c>
      <c r="L116" s="145">
        <f>$D116*Fleet!N249/10^7</f>
        <v>1.2861164238156799</v>
      </c>
      <c r="M116" s="145">
        <f>$D116*Fleet!O249/10^7</f>
        <v>1.2861164238156799</v>
      </c>
      <c r="N116" s="145">
        <f>$D116*Fleet!P249/10^7</f>
        <v>1.2861164238156799</v>
      </c>
      <c r="O116" s="145">
        <f>$D116*Fleet!Q249/10^7</f>
        <v>1.2861164238156799</v>
      </c>
      <c r="P116" s="145">
        <f>$D116*Fleet!R249/10^7</f>
        <v>1.2861164238156799</v>
      </c>
      <c r="Q116" s="145">
        <f>$D116*Fleet!S249/10^7</f>
        <v>1.2861164238156799</v>
      </c>
      <c r="R116" s="145">
        <f>$D116*Fleet!T249/10^7</f>
        <v>1.2861164238156799</v>
      </c>
      <c r="S116" s="145">
        <f>$D116*Fleet!U249/10^7</f>
        <v>1.2861164238156799</v>
      </c>
      <c r="T116" s="145">
        <f>$D116*Fleet!V249/10^7</f>
        <v>1.2861164238156799</v>
      </c>
      <c r="U116" s="145">
        <f>$D116*Fleet!W249/10^7</f>
        <v>1.2861164238156799</v>
      </c>
      <c r="V116" s="145">
        <f>$D116*Fleet!X249/10^7</f>
        <v>1.2861164238156799</v>
      </c>
      <c r="W116" s="145">
        <f>$D116*Fleet!Y249/10^7</f>
        <v>1.2861164238156799</v>
      </c>
      <c r="X116" s="145">
        <f>$D116*Fleet!Z249/10^7</f>
        <v>1.2861164238156799</v>
      </c>
      <c r="Y116" s="145">
        <f>$D116*Fleet!AA249/10^7</f>
        <v>1.2861164238156799</v>
      </c>
      <c r="Z116" s="145">
        <f>$D116*Fleet!AB249/10^7</f>
        <v>0.64305821190783996</v>
      </c>
      <c r="AA116" s="145">
        <f>$D116*Fleet!AC249/10^7</f>
        <v>0.64305821190783996</v>
      </c>
      <c r="AB116" s="145">
        <f>$D116*Fleet!AD249/10^7</f>
        <v>0</v>
      </c>
      <c r="AC116" s="145">
        <f>$D116*Fleet!AE249/10^7</f>
        <v>0</v>
      </c>
      <c r="AD116" s="145">
        <f>$D116*Fleet!AF249/10^7</f>
        <v>0</v>
      </c>
      <c r="AE116" s="145">
        <f>$D116*Fleet!AG249/10^7</f>
        <v>0</v>
      </c>
      <c r="AF116" s="145">
        <f>$D116*Fleet!AH249/10^7</f>
        <v>0</v>
      </c>
      <c r="AG116" s="145">
        <f>$D116*Fleet!AI249/10^7</f>
        <v>0</v>
      </c>
      <c r="AH116" s="145">
        <f>$D116*Fleet!AJ249/10^7</f>
        <v>0</v>
      </c>
      <c r="AI116" s="145">
        <f>$D116*Fleet!AK249/10^7</f>
        <v>0</v>
      </c>
      <c r="AJ116" s="145">
        <f>$D116*Fleet!AL249/10^7</f>
        <v>0</v>
      </c>
      <c r="AK116" s="145">
        <f>$D116*Fleet!AM249/10^7</f>
        <v>0</v>
      </c>
      <c r="AL116" s="145">
        <f>$D116*Fleet!AN249/10^7</f>
        <v>0</v>
      </c>
      <c r="AM116" s="145">
        <f>$D116*Fleet!AO249/10^7</f>
        <v>0</v>
      </c>
      <c r="AN116" s="145">
        <f>$D116*Fleet!AP249/10^7</f>
        <v>0</v>
      </c>
      <c r="AO116" s="145">
        <f>$D116*Fleet!AQ249/10^7</f>
        <v>0</v>
      </c>
      <c r="AP116" s="179"/>
      <c r="AQ116" s="179"/>
      <c r="AR116" s="179"/>
      <c r="AS116" s="179"/>
      <c r="AT116" s="179"/>
      <c r="AU116" s="179"/>
      <c r="AV116" s="179"/>
      <c r="AW116" s="179"/>
      <c r="AX116" s="179"/>
      <c r="AY116" s="179"/>
      <c r="AZ116" s="179"/>
      <c r="BA116" s="179"/>
      <c r="BB116" s="179"/>
      <c r="BC116" s="179"/>
      <c r="BD116" s="179"/>
    </row>
    <row r="117" spans="1:56">
      <c r="A117" s="168" t="str">
        <f t="shared" ref="A117:B136" si="12">A72</f>
        <v/>
      </c>
      <c r="B117" s="165" t="str">
        <f t="shared" si="12"/>
        <v>Motor Grader/ 145 HP</v>
      </c>
      <c r="C117" s="171" t="s">
        <v>134</v>
      </c>
      <c r="D117" s="174">
        <f>VLOOKUP(B117,Equipment!$C$5:$S$53,Equipment!F$1,FALSE)*VLOOKUP(B26,Equipment!$C$5:$S$53,Equipment!P$1,FALSE)</f>
        <v>1883282.5</v>
      </c>
      <c r="E117" s="145">
        <f>$D117*Fleet!G250/10^7</f>
        <v>0</v>
      </c>
      <c r="F117" s="145">
        <f>$D117*Fleet!H250/10^7</f>
        <v>0</v>
      </c>
      <c r="G117" s="145">
        <f>$D117*Fleet!I250/10^7</f>
        <v>0</v>
      </c>
      <c r="H117" s="145">
        <f>$D117*Fleet!J250/10^7</f>
        <v>0</v>
      </c>
      <c r="I117" s="145">
        <f>$D117*Fleet!K250/10^7</f>
        <v>0.18832825</v>
      </c>
      <c r="J117" s="145">
        <f>$D117*Fleet!L250/10^7</f>
        <v>0.18832825</v>
      </c>
      <c r="K117" s="145">
        <f>$D117*Fleet!M250/10^7</f>
        <v>0.37665650000000001</v>
      </c>
      <c r="L117" s="145">
        <f>$D117*Fleet!N250/10^7</f>
        <v>0.37665650000000001</v>
      </c>
      <c r="M117" s="145">
        <f>$D117*Fleet!O250/10^7</f>
        <v>0.37665650000000001</v>
      </c>
      <c r="N117" s="145">
        <f>$D117*Fleet!P250/10^7</f>
        <v>0.37665650000000001</v>
      </c>
      <c r="O117" s="145">
        <f>$D117*Fleet!Q250/10^7</f>
        <v>0.37665650000000001</v>
      </c>
      <c r="P117" s="145">
        <f>$D117*Fleet!R250/10^7</f>
        <v>0.37665650000000001</v>
      </c>
      <c r="Q117" s="145">
        <f>$D117*Fleet!S250/10^7</f>
        <v>0.37665650000000001</v>
      </c>
      <c r="R117" s="145">
        <f>$D117*Fleet!T250/10^7</f>
        <v>0.37665650000000001</v>
      </c>
      <c r="S117" s="145">
        <f>$D117*Fleet!U250/10^7</f>
        <v>0.37665650000000001</v>
      </c>
      <c r="T117" s="145">
        <f>$D117*Fleet!V250/10^7</f>
        <v>0.37665650000000001</v>
      </c>
      <c r="U117" s="145">
        <f>$D117*Fleet!W250/10^7</f>
        <v>0.37665650000000001</v>
      </c>
      <c r="V117" s="145">
        <f>$D117*Fleet!X250/10^7</f>
        <v>0.37665650000000001</v>
      </c>
      <c r="W117" s="145">
        <f>$D117*Fleet!Y250/10^7</f>
        <v>0.37665650000000001</v>
      </c>
      <c r="X117" s="145">
        <f>$D117*Fleet!Z250/10^7</f>
        <v>0.37665650000000001</v>
      </c>
      <c r="Y117" s="145">
        <f>$D117*Fleet!AA250/10^7</f>
        <v>0.37665650000000001</v>
      </c>
      <c r="Z117" s="145">
        <f>$D117*Fleet!AB250/10^7</f>
        <v>0.18832825</v>
      </c>
      <c r="AA117" s="145">
        <f>$D117*Fleet!AC250/10^7</f>
        <v>0.18832825</v>
      </c>
      <c r="AB117" s="145">
        <f>$D117*Fleet!AD250/10^7</f>
        <v>0</v>
      </c>
      <c r="AC117" s="145">
        <f>$D117*Fleet!AE250/10^7</f>
        <v>0</v>
      </c>
      <c r="AD117" s="145">
        <f>$D117*Fleet!AF250/10^7</f>
        <v>0</v>
      </c>
      <c r="AE117" s="145">
        <f>$D117*Fleet!AG250/10^7</f>
        <v>0</v>
      </c>
      <c r="AF117" s="145">
        <f>$D117*Fleet!AH250/10^7</f>
        <v>0</v>
      </c>
      <c r="AG117" s="145">
        <f>$D117*Fleet!AI250/10^7</f>
        <v>0</v>
      </c>
      <c r="AH117" s="145">
        <f>$D117*Fleet!AJ250/10^7</f>
        <v>0</v>
      </c>
      <c r="AI117" s="145">
        <f>$D117*Fleet!AK250/10^7</f>
        <v>0</v>
      </c>
      <c r="AJ117" s="145">
        <f>$D117*Fleet!AL250/10^7</f>
        <v>0</v>
      </c>
      <c r="AK117" s="145">
        <f>$D117*Fleet!AM250/10^7</f>
        <v>0</v>
      </c>
      <c r="AL117" s="145">
        <f>$D117*Fleet!AN250/10^7</f>
        <v>0</v>
      </c>
      <c r="AM117" s="145">
        <f>$D117*Fleet!AO250/10^7</f>
        <v>0</v>
      </c>
      <c r="AN117" s="145">
        <f>$D117*Fleet!AP250/10^7</f>
        <v>0</v>
      </c>
      <c r="AO117" s="145">
        <f>$D117*Fleet!AQ250/10^7</f>
        <v>0</v>
      </c>
      <c r="AP117" s="179"/>
      <c r="AQ117" s="179"/>
      <c r="AR117" s="179"/>
      <c r="AS117" s="179"/>
      <c r="AT117" s="179"/>
      <c r="AU117" s="179"/>
      <c r="AV117" s="179"/>
      <c r="AW117" s="179"/>
      <c r="AX117" s="179"/>
      <c r="AY117" s="179"/>
      <c r="AZ117" s="179"/>
      <c r="BA117" s="179"/>
      <c r="BB117" s="179"/>
      <c r="BC117" s="179"/>
      <c r="BD117" s="179"/>
    </row>
    <row r="118" spans="1:56">
      <c r="A118" s="168" t="str">
        <f t="shared" si="12"/>
        <v/>
      </c>
      <c r="B118" s="165" t="str">
        <f t="shared" si="12"/>
        <v>Crane/ 120t</v>
      </c>
      <c r="C118" s="171" t="s">
        <v>134</v>
      </c>
      <c r="D118" s="174">
        <f>VLOOKUP(B118,Equipment!$C$5:$S$53,Equipment!F$1,FALSE)*VLOOKUP(B27,Equipment!$C$5:$S$53,Equipment!P$1,FALSE)</f>
        <v>3431981.3067582007</v>
      </c>
      <c r="E118" s="145">
        <f>$D118*Fleet!G251/10^7</f>
        <v>0</v>
      </c>
      <c r="F118" s="145">
        <f>$D118*Fleet!H251/10^7</f>
        <v>0</v>
      </c>
      <c r="G118" s="145">
        <f>$D118*Fleet!I251/10^7</f>
        <v>0</v>
      </c>
      <c r="H118" s="145">
        <f>$D118*Fleet!J251/10^7</f>
        <v>0</v>
      </c>
      <c r="I118" s="145">
        <f>$D118*Fleet!K251/10^7</f>
        <v>0.34319813067582006</v>
      </c>
      <c r="J118" s="145">
        <f>$D118*Fleet!L251/10^7</f>
        <v>0.34319813067582006</v>
      </c>
      <c r="K118" s="145">
        <f>$D118*Fleet!M251/10^7</f>
        <v>0.68639626135164011</v>
      </c>
      <c r="L118" s="145">
        <f>$D118*Fleet!N251/10^7</f>
        <v>0.68639626135164011</v>
      </c>
      <c r="M118" s="145">
        <f>$D118*Fleet!O251/10^7</f>
        <v>0.68639626135164011</v>
      </c>
      <c r="N118" s="145">
        <f>$D118*Fleet!P251/10^7</f>
        <v>0.68639626135164011</v>
      </c>
      <c r="O118" s="145">
        <f>$D118*Fleet!Q251/10^7</f>
        <v>0.68639626135164011</v>
      </c>
      <c r="P118" s="145">
        <f>$D118*Fleet!R251/10^7</f>
        <v>0.68639626135164011</v>
      </c>
      <c r="Q118" s="145">
        <f>$D118*Fleet!S251/10^7</f>
        <v>0.68639626135164011</v>
      </c>
      <c r="R118" s="145">
        <f>$D118*Fleet!T251/10^7</f>
        <v>0.68639626135164011</v>
      </c>
      <c r="S118" s="145">
        <f>$D118*Fleet!U251/10^7</f>
        <v>0.68639626135164011</v>
      </c>
      <c r="T118" s="145">
        <f>$D118*Fleet!V251/10^7</f>
        <v>0.68639626135164011</v>
      </c>
      <c r="U118" s="145">
        <f>$D118*Fleet!W251/10^7</f>
        <v>0.68639626135164011</v>
      </c>
      <c r="V118" s="145">
        <f>$D118*Fleet!X251/10^7</f>
        <v>0.68639626135164011</v>
      </c>
      <c r="W118" s="145">
        <f>$D118*Fleet!Y251/10^7</f>
        <v>0.68639626135164011</v>
      </c>
      <c r="X118" s="145">
        <f>$D118*Fleet!Z251/10^7</f>
        <v>0.68639626135164011</v>
      </c>
      <c r="Y118" s="145">
        <f>$D118*Fleet!AA251/10^7</f>
        <v>0.68639626135164011</v>
      </c>
      <c r="Z118" s="145">
        <f>$D118*Fleet!AB251/10^7</f>
        <v>0.34319813067582006</v>
      </c>
      <c r="AA118" s="145">
        <f>$D118*Fleet!AC251/10^7</f>
        <v>0.34319813067582006</v>
      </c>
      <c r="AB118" s="145">
        <f>$D118*Fleet!AD251/10^7</f>
        <v>0</v>
      </c>
      <c r="AC118" s="145">
        <f>$D118*Fleet!AE251/10^7</f>
        <v>0</v>
      </c>
      <c r="AD118" s="145">
        <f>$D118*Fleet!AF251/10^7</f>
        <v>0</v>
      </c>
      <c r="AE118" s="145">
        <f>$D118*Fleet!AG251/10^7</f>
        <v>0</v>
      </c>
      <c r="AF118" s="145">
        <f>$D118*Fleet!AH251/10^7</f>
        <v>0</v>
      </c>
      <c r="AG118" s="145">
        <f>$D118*Fleet!AI251/10^7</f>
        <v>0</v>
      </c>
      <c r="AH118" s="145">
        <f>$D118*Fleet!AJ251/10^7</f>
        <v>0</v>
      </c>
      <c r="AI118" s="145">
        <f>$D118*Fleet!AK251/10^7</f>
        <v>0</v>
      </c>
      <c r="AJ118" s="145">
        <f>$D118*Fleet!AL251/10^7</f>
        <v>0</v>
      </c>
      <c r="AK118" s="145">
        <f>$D118*Fleet!AM251/10^7</f>
        <v>0</v>
      </c>
      <c r="AL118" s="145">
        <f>$D118*Fleet!AN251/10^7</f>
        <v>0</v>
      </c>
      <c r="AM118" s="145">
        <f>$D118*Fleet!AO251/10^7</f>
        <v>0</v>
      </c>
      <c r="AN118" s="145">
        <f>$D118*Fleet!AP251/10^7</f>
        <v>0</v>
      </c>
      <c r="AO118" s="145">
        <f>$D118*Fleet!AQ251/10^7</f>
        <v>0</v>
      </c>
      <c r="AP118" s="179"/>
      <c r="AQ118" s="179"/>
      <c r="AR118" s="179"/>
      <c r="AS118" s="179"/>
      <c r="AT118" s="179"/>
      <c r="AU118" s="179"/>
      <c r="AV118" s="179"/>
      <c r="AW118" s="179"/>
      <c r="AX118" s="179"/>
      <c r="AY118" s="179"/>
      <c r="AZ118" s="179"/>
      <c r="BA118" s="179"/>
      <c r="BB118" s="179"/>
      <c r="BC118" s="179"/>
      <c r="BD118" s="179"/>
    </row>
    <row r="119" spans="1:56">
      <c r="A119" s="168" t="str">
        <f t="shared" si="12"/>
        <v/>
      </c>
      <c r="B119" s="165" t="str">
        <f t="shared" si="12"/>
        <v>Crane/ 60t</v>
      </c>
      <c r="C119" s="171" t="s">
        <v>134</v>
      </c>
      <c r="D119" s="174">
        <f>VLOOKUP(B119,Equipment!$C$5:$S$53,Equipment!F$1,FALSE)*VLOOKUP(B28,Equipment!$C$5:$S$53,Equipment!P$1,FALSE)</f>
        <v>826000</v>
      </c>
      <c r="E119" s="145">
        <f>$D119*Fleet!G252/10^7</f>
        <v>0</v>
      </c>
      <c r="F119" s="145">
        <f>$D119*Fleet!H252/10^7</f>
        <v>0</v>
      </c>
      <c r="G119" s="145">
        <f>$D119*Fleet!I252/10^7</f>
        <v>0</v>
      </c>
      <c r="H119" s="145">
        <f>$D119*Fleet!J252/10^7</f>
        <v>0</v>
      </c>
      <c r="I119" s="145">
        <f>$D119*Fleet!K252/10^7</f>
        <v>8.2600000000000007E-2</v>
      </c>
      <c r="J119" s="145">
        <f>$D119*Fleet!L252/10^7</f>
        <v>8.2600000000000007E-2</v>
      </c>
      <c r="K119" s="145">
        <f>$D119*Fleet!M252/10^7</f>
        <v>0.16520000000000001</v>
      </c>
      <c r="L119" s="145">
        <f>$D119*Fleet!N252/10^7</f>
        <v>0.16520000000000001</v>
      </c>
      <c r="M119" s="145">
        <f>$D119*Fleet!O252/10^7</f>
        <v>0.16520000000000001</v>
      </c>
      <c r="N119" s="145">
        <f>$D119*Fleet!P252/10^7</f>
        <v>0.16520000000000001</v>
      </c>
      <c r="O119" s="145">
        <f>$D119*Fleet!Q252/10^7</f>
        <v>0.16520000000000001</v>
      </c>
      <c r="P119" s="145">
        <f>$D119*Fleet!R252/10^7</f>
        <v>0.16520000000000001</v>
      </c>
      <c r="Q119" s="145">
        <f>$D119*Fleet!S252/10^7</f>
        <v>0.16520000000000001</v>
      </c>
      <c r="R119" s="145">
        <f>$D119*Fleet!T252/10^7</f>
        <v>0.16520000000000001</v>
      </c>
      <c r="S119" s="145">
        <f>$D119*Fleet!U252/10^7</f>
        <v>0.16520000000000001</v>
      </c>
      <c r="T119" s="145">
        <f>$D119*Fleet!V252/10^7</f>
        <v>0.16520000000000001</v>
      </c>
      <c r="U119" s="145">
        <f>$D119*Fleet!W252/10^7</f>
        <v>0.16520000000000001</v>
      </c>
      <c r="V119" s="145">
        <f>$D119*Fleet!X252/10^7</f>
        <v>0.16520000000000001</v>
      </c>
      <c r="W119" s="145">
        <f>$D119*Fleet!Y252/10^7</f>
        <v>0.16520000000000001</v>
      </c>
      <c r="X119" s="145">
        <f>$D119*Fleet!Z252/10^7</f>
        <v>0.16520000000000001</v>
      </c>
      <c r="Y119" s="145">
        <f>$D119*Fleet!AA252/10^7</f>
        <v>0.16520000000000001</v>
      </c>
      <c r="Z119" s="145">
        <f>$D119*Fleet!AB252/10^7</f>
        <v>8.2600000000000007E-2</v>
      </c>
      <c r="AA119" s="145">
        <f>$D119*Fleet!AC252/10^7</f>
        <v>8.2600000000000007E-2</v>
      </c>
      <c r="AB119" s="145">
        <f>$D119*Fleet!AD252/10^7</f>
        <v>0</v>
      </c>
      <c r="AC119" s="145">
        <f>$D119*Fleet!AE252/10^7</f>
        <v>0</v>
      </c>
      <c r="AD119" s="145">
        <f>$D119*Fleet!AF252/10^7</f>
        <v>0</v>
      </c>
      <c r="AE119" s="145">
        <f>$D119*Fleet!AG252/10^7</f>
        <v>0</v>
      </c>
      <c r="AF119" s="145">
        <f>$D119*Fleet!AH252/10^7</f>
        <v>0</v>
      </c>
      <c r="AG119" s="145">
        <f>$D119*Fleet!AI252/10^7</f>
        <v>0</v>
      </c>
      <c r="AH119" s="145">
        <f>$D119*Fleet!AJ252/10^7</f>
        <v>0</v>
      </c>
      <c r="AI119" s="145">
        <f>$D119*Fleet!AK252/10^7</f>
        <v>0</v>
      </c>
      <c r="AJ119" s="145">
        <f>$D119*Fleet!AL252/10^7</f>
        <v>0</v>
      </c>
      <c r="AK119" s="145">
        <f>$D119*Fleet!AM252/10^7</f>
        <v>0</v>
      </c>
      <c r="AL119" s="145">
        <f>$D119*Fleet!AN252/10^7</f>
        <v>0</v>
      </c>
      <c r="AM119" s="145">
        <f>$D119*Fleet!AO252/10^7</f>
        <v>0</v>
      </c>
      <c r="AN119" s="145">
        <f>$D119*Fleet!AP252/10^7</f>
        <v>0</v>
      </c>
      <c r="AO119" s="145">
        <f>$D119*Fleet!AQ252/10^7</f>
        <v>0</v>
      </c>
      <c r="AP119" s="179"/>
      <c r="AQ119" s="179"/>
      <c r="AR119" s="179"/>
      <c r="AS119" s="179"/>
      <c r="AT119" s="179"/>
      <c r="AU119" s="179"/>
      <c r="AV119" s="179"/>
      <c r="AW119" s="179"/>
      <c r="AX119" s="179"/>
      <c r="AY119" s="179"/>
      <c r="AZ119" s="179"/>
      <c r="BA119" s="179"/>
      <c r="BB119" s="179"/>
      <c r="BC119" s="179"/>
      <c r="BD119" s="179"/>
    </row>
    <row r="120" spans="1:56">
      <c r="A120" s="168" t="str">
        <f t="shared" si="12"/>
        <v/>
      </c>
      <c r="B120" s="165" t="str">
        <f t="shared" si="12"/>
        <v>Crane/ 12t</v>
      </c>
      <c r="C120" s="171" t="s">
        <v>134</v>
      </c>
      <c r="D120" s="174">
        <f>VLOOKUP(B120,Equipment!$C$5:$S$53,Equipment!F$1,FALSE)*VLOOKUP(B29,Equipment!$C$5:$S$53,Equipment!P$1,FALSE)</f>
        <v>93150</v>
      </c>
      <c r="E120" s="145">
        <f>$D120*Fleet!G253/10^7</f>
        <v>0</v>
      </c>
      <c r="F120" s="145">
        <f>$D120*Fleet!H253/10^7</f>
        <v>0</v>
      </c>
      <c r="G120" s="145">
        <f>$D120*Fleet!I253/10^7</f>
        <v>0</v>
      </c>
      <c r="H120" s="145">
        <f>$D120*Fleet!J253/10^7</f>
        <v>0</v>
      </c>
      <c r="I120" s="145">
        <f>$D120*Fleet!K253/10^7</f>
        <v>9.3150000000000004E-3</v>
      </c>
      <c r="J120" s="145">
        <f>$D120*Fleet!L253/10^7</f>
        <v>9.3150000000000004E-3</v>
      </c>
      <c r="K120" s="145">
        <f>$D120*Fleet!M253/10^7</f>
        <v>1.8630000000000001E-2</v>
      </c>
      <c r="L120" s="145">
        <f>$D120*Fleet!N253/10^7</f>
        <v>1.8630000000000001E-2</v>
      </c>
      <c r="M120" s="145">
        <f>$D120*Fleet!O253/10^7</f>
        <v>1.8630000000000001E-2</v>
      </c>
      <c r="N120" s="145">
        <f>$D120*Fleet!P253/10^7</f>
        <v>1.8630000000000001E-2</v>
      </c>
      <c r="O120" s="145">
        <f>$D120*Fleet!Q253/10^7</f>
        <v>1.8630000000000001E-2</v>
      </c>
      <c r="P120" s="145">
        <f>$D120*Fleet!R253/10^7</f>
        <v>1.8630000000000001E-2</v>
      </c>
      <c r="Q120" s="145">
        <f>$D120*Fleet!S253/10^7</f>
        <v>1.8630000000000001E-2</v>
      </c>
      <c r="R120" s="145">
        <f>$D120*Fleet!T253/10^7</f>
        <v>1.8630000000000001E-2</v>
      </c>
      <c r="S120" s="145">
        <f>$D120*Fleet!U253/10^7</f>
        <v>1.8630000000000001E-2</v>
      </c>
      <c r="T120" s="145">
        <f>$D120*Fleet!V253/10^7</f>
        <v>1.8630000000000001E-2</v>
      </c>
      <c r="U120" s="145">
        <f>$D120*Fleet!W253/10^7</f>
        <v>1.8630000000000001E-2</v>
      </c>
      <c r="V120" s="145">
        <f>$D120*Fleet!X253/10^7</f>
        <v>1.8630000000000001E-2</v>
      </c>
      <c r="W120" s="145">
        <f>$D120*Fleet!Y253/10^7</f>
        <v>1.8630000000000001E-2</v>
      </c>
      <c r="X120" s="145">
        <f>$D120*Fleet!Z253/10^7</f>
        <v>1.8630000000000001E-2</v>
      </c>
      <c r="Y120" s="145">
        <f>$D120*Fleet!AA253/10^7</f>
        <v>1.8630000000000001E-2</v>
      </c>
      <c r="Z120" s="145">
        <f>$D120*Fleet!AB253/10^7</f>
        <v>9.3150000000000004E-3</v>
      </c>
      <c r="AA120" s="145">
        <f>$D120*Fleet!AC253/10^7</f>
        <v>9.3150000000000004E-3</v>
      </c>
      <c r="AB120" s="145">
        <f>$D120*Fleet!AD253/10^7</f>
        <v>0</v>
      </c>
      <c r="AC120" s="145">
        <f>$D120*Fleet!AE253/10^7</f>
        <v>0</v>
      </c>
      <c r="AD120" s="145">
        <f>$D120*Fleet!AF253/10^7</f>
        <v>0</v>
      </c>
      <c r="AE120" s="145">
        <f>$D120*Fleet!AG253/10^7</f>
        <v>0</v>
      </c>
      <c r="AF120" s="145">
        <f>$D120*Fleet!AH253/10^7</f>
        <v>0</v>
      </c>
      <c r="AG120" s="145">
        <f>$D120*Fleet!AI253/10^7</f>
        <v>0</v>
      </c>
      <c r="AH120" s="145">
        <f>$D120*Fleet!AJ253/10^7</f>
        <v>0</v>
      </c>
      <c r="AI120" s="145">
        <f>$D120*Fleet!AK253/10^7</f>
        <v>0</v>
      </c>
      <c r="AJ120" s="145">
        <f>$D120*Fleet!AL253/10^7</f>
        <v>0</v>
      </c>
      <c r="AK120" s="145">
        <f>$D120*Fleet!AM253/10^7</f>
        <v>0</v>
      </c>
      <c r="AL120" s="145">
        <f>$D120*Fleet!AN253/10^7</f>
        <v>0</v>
      </c>
      <c r="AM120" s="145">
        <f>$D120*Fleet!AO253/10^7</f>
        <v>0</v>
      </c>
      <c r="AN120" s="145">
        <f>$D120*Fleet!AP253/10^7</f>
        <v>0</v>
      </c>
      <c r="AO120" s="145">
        <f>$D120*Fleet!AQ253/10^7</f>
        <v>0</v>
      </c>
      <c r="AP120" s="179"/>
      <c r="AQ120" s="179"/>
      <c r="AR120" s="179"/>
      <c r="AS120" s="179"/>
      <c r="AT120" s="179"/>
      <c r="AU120" s="179"/>
      <c r="AV120" s="179"/>
      <c r="AW120" s="179"/>
      <c r="AX120" s="179"/>
      <c r="AY120" s="179"/>
      <c r="AZ120" s="179"/>
      <c r="BA120" s="179"/>
      <c r="BB120" s="179"/>
      <c r="BC120" s="179"/>
      <c r="BD120" s="179"/>
    </row>
    <row r="121" spans="1:56">
      <c r="A121" s="168" t="str">
        <f t="shared" si="12"/>
        <v/>
      </c>
      <c r="B121" s="165" t="str">
        <f t="shared" si="12"/>
        <v>Crane/ 8t</v>
      </c>
      <c r="C121" s="171" t="s">
        <v>134</v>
      </c>
      <c r="D121" s="174">
        <f>VLOOKUP(B121,Equipment!$C$5:$S$53,Equipment!F$1,FALSE)*VLOOKUP(B30,Equipment!$C$5:$S$53,Equipment!P$1,FALSE)</f>
        <v>59000</v>
      </c>
      <c r="E121" s="145">
        <f>$D121*Fleet!G254/10^7</f>
        <v>0</v>
      </c>
      <c r="F121" s="145">
        <f>$D121*Fleet!H254/10^7</f>
        <v>0</v>
      </c>
      <c r="G121" s="145">
        <f>$D121*Fleet!I254/10^7</f>
        <v>0</v>
      </c>
      <c r="H121" s="145">
        <f>$D121*Fleet!J254/10^7</f>
        <v>0</v>
      </c>
      <c r="I121" s="145">
        <f>$D121*Fleet!K254/10^7</f>
        <v>5.8999999999999999E-3</v>
      </c>
      <c r="J121" s="145">
        <f>$D121*Fleet!L254/10^7</f>
        <v>5.8999999999999999E-3</v>
      </c>
      <c r="K121" s="145">
        <f>$D121*Fleet!M254/10^7</f>
        <v>1.18E-2</v>
      </c>
      <c r="L121" s="145">
        <f>$D121*Fleet!N254/10^7</f>
        <v>1.18E-2</v>
      </c>
      <c r="M121" s="145">
        <f>$D121*Fleet!O254/10^7</f>
        <v>1.18E-2</v>
      </c>
      <c r="N121" s="145">
        <f>$D121*Fleet!P254/10^7</f>
        <v>1.18E-2</v>
      </c>
      <c r="O121" s="145">
        <f>$D121*Fleet!Q254/10^7</f>
        <v>1.18E-2</v>
      </c>
      <c r="P121" s="145">
        <f>$D121*Fleet!R254/10^7</f>
        <v>1.18E-2</v>
      </c>
      <c r="Q121" s="145">
        <f>$D121*Fleet!S254/10^7</f>
        <v>1.18E-2</v>
      </c>
      <c r="R121" s="145">
        <f>$D121*Fleet!T254/10^7</f>
        <v>1.18E-2</v>
      </c>
      <c r="S121" s="145">
        <f>$D121*Fleet!U254/10^7</f>
        <v>1.18E-2</v>
      </c>
      <c r="T121" s="145">
        <f>$D121*Fleet!V254/10^7</f>
        <v>1.18E-2</v>
      </c>
      <c r="U121" s="145">
        <f>$D121*Fleet!W254/10^7</f>
        <v>1.18E-2</v>
      </c>
      <c r="V121" s="145">
        <f>$D121*Fleet!X254/10^7</f>
        <v>1.18E-2</v>
      </c>
      <c r="W121" s="145">
        <f>$D121*Fleet!Y254/10^7</f>
        <v>1.18E-2</v>
      </c>
      <c r="X121" s="145">
        <f>$D121*Fleet!Z254/10^7</f>
        <v>1.18E-2</v>
      </c>
      <c r="Y121" s="145">
        <f>$D121*Fleet!AA254/10^7</f>
        <v>1.18E-2</v>
      </c>
      <c r="Z121" s="145">
        <f>$D121*Fleet!AB254/10^7</f>
        <v>5.8999999999999999E-3</v>
      </c>
      <c r="AA121" s="145">
        <f>$D121*Fleet!AC254/10^7</f>
        <v>5.8999999999999999E-3</v>
      </c>
      <c r="AB121" s="145">
        <f>$D121*Fleet!AD254/10^7</f>
        <v>0</v>
      </c>
      <c r="AC121" s="145">
        <f>$D121*Fleet!AE254/10^7</f>
        <v>0</v>
      </c>
      <c r="AD121" s="145">
        <f>$D121*Fleet!AF254/10^7</f>
        <v>0</v>
      </c>
      <c r="AE121" s="145">
        <f>$D121*Fleet!AG254/10^7</f>
        <v>0</v>
      </c>
      <c r="AF121" s="145">
        <f>$D121*Fleet!AH254/10^7</f>
        <v>0</v>
      </c>
      <c r="AG121" s="145">
        <f>$D121*Fleet!AI254/10^7</f>
        <v>0</v>
      </c>
      <c r="AH121" s="145">
        <f>$D121*Fleet!AJ254/10^7</f>
        <v>0</v>
      </c>
      <c r="AI121" s="145">
        <f>$D121*Fleet!AK254/10^7</f>
        <v>0</v>
      </c>
      <c r="AJ121" s="145">
        <f>$D121*Fleet!AL254/10^7</f>
        <v>0</v>
      </c>
      <c r="AK121" s="145">
        <f>$D121*Fleet!AM254/10^7</f>
        <v>0</v>
      </c>
      <c r="AL121" s="145">
        <f>$D121*Fleet!AN254/10^7</f>
        <v>0</v>
      </c>
      <c r="AM121" s="145">
        <f>$D121*Fleet!AO254/10^7</f>
        <v>0</v>
      </c>
      <c r="AN121" s="145">
        <f>$D121*Fleet!AP254/10^7</f>
        <v>0</v>
      </c>
      <c r="AO121" s="145">
        <f>$D121*Fleet!AQ254/10^7</f>
        <v>0</v>
      </c>
      <c r="AP121" s="179"/>
      <c r="AQ121" s="179"/>
      <c r="AR121" s="179"/>
      <c r="AS121" s="179"/>
      <c r="AT121" s="179"/>
      <c r="AU121" s="179"/>
      <c r="AV121" s="179"/>
      <c r="AW121" s="179"/>
      <c r="AX121" s="179"/>
      <c r="AY121" s="179"/>
      <c r="AZ121" s="179"/>
      <c r="BA121" s="179"/>
      <c r="BB121" s="179"/>
      <c r="BC121" s="179"/>
      <c r="BD121" s="179"/>
    </row>
    <row r="122" spans="1:56">
      <c r="A122" s="168" t="str">
        <f t="shared" si="12"/>
        <v/>
      </c>
      <c r="B122" s="165" t="str">
        <f t="shared" si="12"/>
        <v>Water Sprinkler/ 28KL</v>
      </c>
      <c r="C122" s="171" t="s">
        <v>134</v>
      </c>
      <c r="D122" s="174">
        <f>VLOOKUP(B122,Equipment!$C$5:$S$53,Equipment!F$1,FALSE)*VLOOKUP(B31,Equipment!$C$5:$S$53,Equipment!P$1,FALSE)</f>
        <v>2312500</v>
      </c>
      <c r="E122" s="145">
        <f>$D122*Fleet!G255/10^7</f>
        <v>0</v>
      </c>
      <c r="F122" s="145">
        <f>$D122*Fleet!H255/10^7</f>
        <v>0</v>
      </c>
      <c r="G122" s="145">
        <f>$D122*Fleet!I255/10^7</f>
        <v>0</v>
      </c>
      <c r="H122" s="145">
        <f>$D122*Fleet!J255/10^7</f>
        <v>0</v>
      </c>
      <c r="I122" s="145">
        <f>$D122*Fleet!K255/10^7</f>
        <v>0.23125000000000001</v>
      </c>
      <c r="J122" s="145">
        <f>$D122*Fleet!L255/10^7</f>
        <v>0.23125000000000001</v>
      </c>
      <c r="K122" s="145">
        <f>$D122*Fleet!M255/10^7</f>
        <v>0.46250000000000002</v>
      </c>
      <c r="L122" s="145">
        <f>$D122*Fleet!N255/10^7</f>
        <v>0.46250000000000002</v>
      </c>
      <c r="M122" s="145">
        <f>$D122*Fleet!O255/10^7</f>
        <v>0.46250000000000002</v>
      </c>
      <c r="N122" s="145">
        <f>$D122*Fleet!P255/10^7</f>
        <v>0.46250000000000002</v>
      </c>
      <c r="O122" s="145">
        <f>$D122*Fleet!Q255/10^7</f>
        <v>0.46250000000000002</v>
      </c>
      <c r="P122" s="145">
        <f>$D122*Fleet!R255/10^7</f>
        <v>0.46250000000000002</v>
      </c>
      <c r="Q122" s="145">
        <f>$D122*Fleet!S255/10^7</f>
        <v>0.46250000000000002</v>
      </c>
      <c r="R122" s="145">
        <f>$D122*Fleet!T255/10^7</f>
        <v>0.46250000000000002</v>
      </c>
      <c r="S122" s="145">
        <f>$D122*Fleet!U255/10^7</f>
        <v>0.46250000000000002</v>
      </c>
      <c r="T122" s="145">
        <f>$D122*Fleet!V255/10^7</f>
        <v>0.46250000000000002</v>
      </c>
      <c r="U122" s="145">
        <f>$D122*Fleet!W255/10^7</f>
        <v>0.46250000000000002</v>
      </c>
      <c r="V122" s="145">
        <f>$D122*Fleet!X255/10^7</f>
        <v>0.46250000000000002</v>
      </c>
      <c r="W122" s="145">
        <f>$D122*Fleet!Y255/10^7</f>
        <v>0.46250000000000002</v>
      </c>
      <c r="X122" s="145">
        <f>$D122*Fleet!Z255/10^7</f>
        <v>0.46250000000000002</v>
      </c>
      <c r="Y122" s="145">
        <f>$D122*Fleet!AA255/10^7</f>
        <v>0.46250000000000002</v>
      </c>
      <c r="Z122" s="145">
        <f>$D122*Fleet!AB255/10^7</f>
        <v>0.23125000000000001</v>
      </c>
      <c r="AA122" s="145">
        <f>$D122*Fleet!AC255/10^7</f>
        <v>0.23125000000000001</v>
      </c>
      <c r="AB122" s="145">
        <f>$D122*Fleet!AD255/10^7</f>
        <v>0</v>
      </c>
      <c r="AC122" s="145">
        <f>$D122*Fleet!AE255/10^7</f>
        <v>0</v>
      </c>
      <c r="AD122" s="145">
        <f>$D122*Fleet!AF255/10^7</f>
        <v>0</v>
      </c>
      <c r="AE122" s="145">
        <f>$D122*Fleet!AG255/10^7</f>
        <v>0</v>
      </c>
      <c r="AF122" s="145">
        <f>$D122*Fleet!AH255/10^7</f>
        <v>0</v>
      </c>
      <c r="AG122" s="145">
        <f>$D122*Fleet!AI255/10^7</f>
        <v>0</v>
      </c>
      <c r="AH122" s="145">
        <f>$D122*Fleet!AJ255/10^7</f>
        <v>0</v>
      </c>
      <c r="AI122" s="145">
        <f>$D122*Fleet!AK255/10^7</f>
        <v>0</v>
      </c>
      <c r="AJ122" s="145">
        <f>$D122*Fleet!AL255/10^7</f>
        <v>0</v>
      </c>
      <c r="AK122" s="145">
        <f>$D122*Fleet!AM255/10^7</f>
        <v>0</v>
      </c>
      <c r="AL122" s="145">
        <f>$D122*Fleet!AN255/10^7</f>
        <v>0</v>
      </c>
      <c r="AM122" s="145">
        <f>$D122*Fleet!AO255/10^7</f>
        <v>0</v>
      </c>
      <c r="AN122" s="145">
        <f>$D122*Fleet!AP255/10^7</f>
        <v>0</v>
      </c>
      <c r="AO122" s="145">
        <f>$D122*Fleet!AQ255/10^7</f>
        <v>0</v>
      </c>
      <c r="AP122" s="179"/>
      <c r="AQ122" s="179"/>
      <c r="AR122" s="179"/>
      <c r="AS122" s="179"/>
      <c r="AT122" s="179"/>
      <c r="AU122" s="179"/>
      <c r="AV122" s="179"/>
      <c r="AW122" s="179"/>
      <c r="AX122" s="179"/>
      <c r="AY122" s="179"/>
      <c r="AZ122" s="179"/>
      <c r="BA122" s="179"/>
      <c r="BB122" s="179"/>
      <c r="BC122" s="179"/>
      <c r="BD122" s="179"/>
    </row>
    <row r="123" spans="1:56">
      <c r="A123" s="168" t="str">
        <f t="shared" si="12"/>
        <v/>
      </c>
      <c r="B123" s="165" t="str">
        <f t="shared" si="12"/>
        <v>Diesel Bowser/ 9KL</v>
      </c>
      <c r="C123" s="171" t="s">
        <v>134</v>
      </c>
      <c r="D123" s="174">
        <f>VLOOKUP(B123,Equipment!$C$5:$S$53,Equipment!F$1,FALSE)*VLOOKUP(B32,Equipment!$C$5:$S$53,Equipment!P$1,FALSE)</f>
        <v>153400</v>
      </c>
      <c r="E123" s="145">
        <f>$D123*Fleet!G256/10^7</f>
        <v>0</v>
      </c>
      <c r="F123" s="145">
        <f>$D123*Fleet!H256/10^7</f>
        <v>0</v>
      </c>
      <c r="G123" s="145">
        <f>$D123*Fleet!I256/10^7</f>
        <v>0</v>
      </c>
      <c r="H123" s="145">
        <f>$D123*Fleet!J256/10^7</f>
        <v>0</v>
      </c>
      <c r="I123" s="145">
        <f>$D123*Fleet!K256/10^7</f>
        <v>1.5339999999999999E-2</v>
      </c>
      <c r="J123" s="145">
        <f>$D123*Fleet!L256/10^7</f>
        <v>1.5339999999999999E-2</v>
      </c>
      <c r="K123" s="145">
        <f>$D123*Fleet!M256/10^7</f>
        <v>3.0679999999999999E-2</v>
      </c>
      <c r="L123" s="145">
        <f>$D123*Fleet!N256/10^7</f>
        <v>3.0679999999999999E-2</v>
      </c>
      <c r="M123" s="145">
        <f>$D123*Fleet!O256/10^7</f>
        <v>3.0679999999999999E-2</v>
      </c>
      <c r="N123" s="145">
        <f>$D123*Fleet!P256/10^7</f>
        <v>3.0679999999999999E-2</v>
      </c>
      <c r="O123" s="145">
        <f>$D123*Fleet!Q256/10^7</f>
        <v>3.0679999999999999E-2</v>
      </c>
      <c r="P123" s="145">
        <f>$D123*Fleet!R256/10^7</f>
        <v>3.0679999999999999E-2</v>
      </c>
      <c r="Q123" s="145">
        <f>$D123*Fleet!S256/10^7</f>
        <v>3.0679999999999999E-2</v>
      </c>
      <c r="R123" s="145">
        <f>$D123*Fleet!T256/10^7</f>
        <v>3.0679999999999999E-2</v>
      </c>
      <c r="S123" s="145">
        <f>$D123*Fleet!U256/10^7</f>
        <v>3.0679999999999999E-2</v>
      </c>
      <c r="T123" s="145">
        <f>$D123*Fleet!V256/10^7</f>
        <v>3.0679999999999999E-2</v>
      </c>
      <c r="U123" s="145">
        <f>$D123*Fleet!W256/10^7</f>
        <v>3.0679999999999999E-2</v>
      </c>
      <c r="V123" s="145">
        <f>$D123*Fleet!X256/10^7</f>
        <v>3.0679999999999999E-2</v>
      </c>
      <c r="W123" s="145">
        <f>$D123*Fleet!Y256/10^7</f>
        <v>3.0679999999999999E-2</v>
      </c>
      <c r="X123" s="145">
        <f>$D123*Fleet!Z256/10^7</f>
        <v>3.0679999999999999E-2</v>
      </c>
      <c r="Y123" s="145">
        <f>$D123*Fleet!AA256/10^7</f>
        <v>3.0679999999999999E-2</v>
      </c>
      <c r="Z123" s="145">
        <f>$D123*Fleet!AB256/10^7</f>
        <v>1.5339999999999999E-2</v>
      </c>
      <c r="AA123" s="145">
        <f>$D123*Fleet!AC256/10^7</f>
        <v>1.5339999999999999E-2</v>
      </c>
      <c r="AB123" s="145">
        <f>$D123*Fleet!AD256/10^7</f>
        <v>0</v>
      </c>
      <c r="AC123" s="145">
        <f>$D123*Fleet!AE256/10^7</f>
        <v>0</v>
      </c>
      <c r="AD123" s="145">
        <f>$D123*Fleet!AF256/10^7</f>
        <v>0</v>
      </c>
      <c r="AE123" s="145">
        <f>$D123*Fleet!AG256/10^7</f>
        <v>0</v>
      </c>
      <c r="AF123" s="145">
        <f>$D123*Fleet!AH256/10^7</f>
        <v>0</v>
      </c>
      <c r="AG123" s="145">
        <f>$D123*Fleet!AI256/10^7</f>
        <v>0</v>
      </c>
      <c r="AH123" s="145">
        <f>$D123*Fleet!AJ256/10^7</f>
        <v>0</v>
      </c>
      <c r="AI123" s="145">
        <f>$D123*Fleet!AK256/10^7</f>
        <v>0</v>
      </c>
      <c r="AJ123" s="145">
        <f>$D123*Fleet!AL256/10^7</f>
        <v>0</v>
      </c>
      <c r="AK123" s="145">
        <f>$D123*Fleet!AM256/10^7</f>
        <v>0</v>
      </c>
      <c r="AL123" s="145">
        <f>$D123*Fleet!AN256/10^7</f>
        <v>0</v>
      </c>
      <c r="AM123" s="145">
        <f>$D123*Fleet!AO256/10^7</f>
        <v>0</v>
      </c>
      <c r="AN123" s="145">
        <f>$D123*Fleet!AP256/10^7</f>
        <v>0</v>
      </c>
      <c r="AO123" s="145">
        <f>$D123*Fleet!AQ256/10^7</f>
        <v>0</v>
      </c>
      <c r="AP123" s="179"/>
      <c r="AQ123" s="179"/>
      <c r="AR123" s="179"/>
      <c r="AS123" s="179"/>
      <c r="AT123" s="179"/>
      <c r="AU123" s="179"/>
      <c r="AV123" s="179"/>
      <c r="AW123" s="179"/>
      <c r="AX123" s="179"/>
      <c r="AY123" s="179"/>
      <c r="AZ123" s="179"/>
      <c r="BA123" s="179"/>
      <c r="BB123" s="179"/>
      <c r="BC123" s="179"/>
      <c r="BD123" s="179"/>
    </row>
    <row r="124" spans="1:56">
      <c r="A124" s="168" t="str">
        <f t="shared" si="12"/>
        <v/>
      </c>
      <c r="B124" s="165" t="str">
        <f t="shared" si="12"/>
        <v xml:space="preserve">Explosive Van </v>
      </c>
      <c r="C124" s="171" t="s">
        <v>134</v>
      </c>
      <c r="D124" s="174">
        <f>VLOOKUP(B124,Equipment!$C$5:$S$53,Equipment!F$1,FALSE)*VLOOKUP(B33,Equipment!$C$5:$S$53,Equipment!P$1,FALSE)</f>
        <v>312500</v>
      </c>
      <c r="E124" s="145">
        <f>$D124*Fleet!G257/10^7</f>
        <v>0</v>
      </c>
      <c r="F124" s="145">
        <f>$D124*Fleet!H257/10^7</f>
        <v>0</v>
      </c>
      <c r="G124" s="145">
        <f>$D124*Fleet!I257/10^7</f>
        <v>0</v>
      </c>
      <c r="H124" s="145">
        <f>$D124*Fleet!J257/10^7</f>
        <v>0</v>
      </c>
      <c r="I124" s="145">
        <f>$D124*Fleet!K257/10^7</f>
        <v>3.125E-2</v>
      </c>
      <c r="J124" s="145">
        <f>$D124*Fleet!L257/10^7</f>
        <v>3.125E-2</v>
      </c>
      <c r="K124" s="145">
        <f>$D124*Fleet!M257/10^7</f>
        <v>6.25E-2</v>
      </c>
      <c r="L124" s="145">
        <f>$D124*Fleet!N257/10^7</f>
        <v>6.25E-2</v>
      </c>
      <c r="M124" s="145">
        <f>$D124*Fleet!O257/10^7</f>
        <v>6.25E-2</v>
      </c>
      <c r="N124" s="145">
        <f>$D124*Fleet!P257/10^7</f>
        <v>6.25E-2</v>
      </c>
      <c r="O124" s="145">
        <f>$D124*Fleet!Q257/10^7</f>
        <v>6.25E-2</v>
      </c>
      <c r="P124" s="145">
        <f>$D124*Fleet!R257/10^7</f>
        <v>6.25E-2</v>
      </c>
      <c r="Q124" s="145">
        <f>$D124*Fleet!S257/10^7</f>
        <v>6.25E-2</v>
      </c>
      <c r="R124" s="145">
        <f>$D124*Fleet!T257/10^7</f>
        <v>6.25E-2</v>
      </c>
      <c r="S124" s="145">
        <f>$D124*Fleet!U257/10^7</f>
        <v>6.25E-2</v>
      </c>
      <c r="T124" s="145">
        <f>$D124*Fleet!V257/10^7</f>
        <v>6.25E-2</v>
      </c>
      <c r="U124" s="145">
        <f>$D124*Fleet!W257/10^7</f>
        <v>6.25E-2</v>
      </c>
      <c r="V124" s="145">
        <f>$D124*Fleet!X257/10^7</f>
        <v>6.25E-2</v>
      </c>
      <c r="W124" s="145">
        <f>$D124*Fleet!Y257/10^7</f>
        <v>6.25E-2</v>
      </c>
      <c r="X124" s="145">
        <f>$D124*Fleet!Z257/10^7</f>
        <v>6.25E-2</v>
      </c>
      <c r="Y124" s="145">
        <f>$D124*Fleet!AA257/10^7</f>
        <v>6.25E-2</v>
      </c>
      <c r="Z124" s="145">
        <f>$D124*Fleet!AB257/10^7</f>
        <v>3.125E-2</v>
      </c>
      <c r="AA124" s="145">
        <f>$D124*Fleet!AC257/10^7</f>
        <v>3.125E-2</v>
      </c>
      <c r="AB124" s="145">
        <f>$D124*Fleet!AD257/10^7</f>
        <v>0</v>
      </c>
      <c r="AC124" s="145">
        <f>$D124*Fleet!AE257/10^7</f>
        <v>0</v>
      </c>
      <c r="AD124" s="145">
        <f>$D124*Fleet!AF257/10^7</f>
        <v>0</v>
      </c>
      <c r="AE124" s="145">
        <f>$D124*Fleet!AG257/10^7</f>
        <v>0</v>
      </c>
      <c r="AF124" s="145">
        <f>$D124*Fleet!AH257/10^7</f>
        <v>0</v>
      </c>
      <c r="AG124" s="145">
        <f>$D124*Fleet!AI257/10^7</f>
        <v>0</v>
      </c>
      <c r="AH124" s="145">
        <f>$D124*Fleet!AJ257/10^7</f>
        <v>0</v>
      </c>
      <c r="AI124" s="145">
        <f>$D124*Fleet!AK257/10^7</f>
        <v>0</v>
      </c>
      <c r="AJ124" s="145">
        <f>$D124*Fleet!AL257/10^7</f>
        <v>0</v>
      </c>
      <c r="AK124" s="145">
        <f>$D124*Fleet!AM257/10^7</f>
        <v>0</v>
      </c>
      <c r="AL124" s="145">
        <f>$D124*Fleet!AN257/10^7</f>
        <v>0</v>
      </c>
      <c r="AM124" s="145">
        <f>$D124*Fleet!AO257/10^7</f>
        <v>0</v>
      </c>
      <c r="AN124" s="145">
        <f>$D124*Fleet!AP257/10^7</f>
        <v>0</v>
      </c>
      <c r="AO124" s="145">
        <f>$D124*Fleet!AQ257/10^7</f>
        <v>0</v>
      </c>
      <c r="AP124" s="179"/>
      <c r="AQ124" s="179"/>
      <c r="AR124" s="179"/>
      <c r="AS124" s="179"/>
      <c r="AT124" s="179"/>
      <c r="AU124" s="179"/>
      <c r="AV124" s="179"/>
      <c r="AW124" s="179"/>
      <c r="AX124" s="179"/>
      <c r="AY124" s="179"/>
      <c r="AZ124" s="179"/>
      <c r="BA124" s="179"/>
      <c r="BB124" s="179"/>
      <c r="BC124" s="179"/>
      <c r="BD124" s="179"/>
    </row>
    <row r="125" spans="1:56">
      <c r="A125" s="168" t="str">
        <f t="shared" si="12"/>
        <v/>
      </c>
      <c r="B125" s="165" t="str">
        <f t="shared" si="12"/>
        <v>Maintenance Van</v>
      </c>
      <c r="C125" s="171" t="s">
        <v>134</v>
      </c>
      <c r="D125" s="174">
        <f>VLOOKUP(B125,Equipment!$C$5:$S$53,Equipment!F$1,FALSE)*VLOOKUP(B34,Equipment!$C$5:$S$53,Equipment!P$1,FALSE)</f>
        <v>187500</v>
      </c>
      <c r="E125" s="145">
        <f>$D125*Fleet!G258/10^7</f>
        <v>0</v>
      </c>
      <c r="F125" s="145">
        <f>$D125*Fleet!H258/10^7</f>
        <v>0</v>
      </c>
      <c r="G125" s="145">
        <f>$D125*Fleet!I258/10^7</f>
        <v>0</v>
      </c>
      <c r="H125" s="145">
        <f>$D125*Fleet!J258/10^7</f>
        <v>0</v>
      </c>
      <c r="I125" s="145">
        <f>$D125*Fleet!K258/10^7</f>
        <v>1.8749999999999999E-2</v>
      </c>
      <c r="J125" s="145">
        <f>$D125*Fleet!L258/10^7</f>
        <v>1.8749999999999999E-2</v>
      </c>
      <c r="K125" s="145">
        <f>$D125*Fleet!M258/10^7</f>
        <v>3.7499999999999999E-2</v>
      </c>
      <c r="L125" s="145">
        <f>$D125*Fleet!N258/10^7</f>
        <v>3.7499999999999999E-2</v>
      </c>
      <c r="M125" s="145">
        <f>$D125*Fleet!O258/10^7</f>
        <v>3.7499999999999999E-2</v>
      </c>
      <c r="N125" s="145">
        <f>$D125*Fleet!P258/10^7</f>
        <v>3.7499999999999999E-2</v>
      </c>
      <c r="O125" s="145">
        <f>$D125*Fleet!Q258/10^7</f>
        <v>3.7499999999999999E-2</v>
      </c>
      <c r="P125" s="145">
        <f>$D125*Fleet!R258/10^7</f>
        <v>3.7499999999999999E-2</v>
      </c>
      <c r="Q125" s="145">
        <f>$D125*Fleet!S258/10^7</f>
        <v>3.7499999999999999E-2</v>
      </c>
      <c r="R125" s="145">
        <f>$D125*Fleet!T258/10^7</f>
        <v>3.7499999999999999E-2</v>
      </c>
      <c r="S125" s="145">
        <f>$D125*Fleet!U258/10^7</f>
        <v>3.7499999999999999E-2</v>
      </c>
      <c r="T125" s="145">
        <f>$D125*Fleet!V258/10^7</f>
        <v>3.7499999999999999E-2</v>
      </c>
      <c r="U125" s="145">
        <f>$D125*Fleet!W258/10^7</f>
        <v>3.7499999999999999E-2</v>
      </c>
      <c r="V125" s="145">
        <f>$D125*Fleet!X258/10^7</f>
        <v>3.7499999999999999E-2</v>
      </c>
      <c r="W125" s="145">
        <f>$D125*Fleet!Y258/10^7</f>
        <v>3.7499999999999999E-2</v>
      </c>
      <c r="X125" s="145">
        <f>$D125*Fleet!Z258/10^7</f>
        <v>3.7499999999999999E-2</v>
      </c>
      <c r="Y125" s="145">
        <f>$D125*Fleet!AA258/10^7</f>
        <v>3.7499999999999999E-2</v>
      </c>
      <c r="Z125" s="145">
        <f>$D125*Fleet!AB258/10^7</f>
        <v>1.8749999999999999E-2</v>
      </c>
      <c r="AA125" s="145">
        <f>$D125*Fleet!AC258/10^7</f>
        <v>1.8749999999999999E-2</v>
      </c>
      <c r="AB125" s="145">
        <f>$D125*Fleet!AD258/10^7</f>
        <v>0</v>
      </c>
      <c r="AC125" s="145">
        <f>$D125*Fleet!AE258/10^7</f>
        <v>0</v>
      </c>
      <c r="AD125" s="145">
        <f>$D125*Fleet!AF258/10^7</f>
        <v>0</v>
      </c>
      <c r="AE125" s="145">
        <f>$D125*Fleet!AG258/10^7</f>
        <v>0</v>
      </c>
      <c r="AF125" s="145">
        <f>$D125*Fleet!AH258/10^7</f>
        <v>0</v>
      </c>
      <c r="AG125" s="145">
        <f>$D125*Fleet!AI258/10^7</f>
        <v>0</v>
      </c>
      <c r="AH125" s="145">
        <f>$D125*Fleet!AJ258/10^7</f>
        <v>0</v>
      </c>
      <c r="AI125" s="145">
        <f>$D125*Fleet!AK258/10^7</f>
        <v>0</v>
      </c>
      <c r="AJ125" s="145">
        <f>$D125*Fleet!AL258/10^7</f>
        <v>0</v>
      </c>
      <c r="AK125" s="145">
        <f>$D125*Fleet!AM258/10^7</f>
        <v>0</v>
      </c>
      <c r="AL125" s="145">
        <f>$D125*Fleet!AN258/10^7</f>
        <v>0</v>
      </c>
      <c r="AM125" s="145">
        <f>$D125*Fleet!AO258/10^7</f>
        <v>0</v>
      </c>
      <c r="AN125" s="145">
        <f>$D125*Fleet!AP258/10^7</f>
        <v>0</v>
      </c>
      <c r="AO125" s="145">
        <f>$D125*Fleet!AQ258/10^7</f>
        <v>0</v>
      </c>
      <c r="AP125" s="179"/>
      <c r="AQ125" s="179"/>
      <c r="AR125" s="179"/>
      <c r="AS125" s="179"/>
      <c r="AT125" s="179"/>
      <c r="AU125" s="179"/>
      <c r="AV125" s="179"/>
      <c r="AW125" s="179"/>
      <c r="AX125" s="179"/>
      <c r="AY125" s="179"/>
      <c r="AZ125" s="179"/>
      <c r="BA125" s="179"/>
      <c r="BB125" s="179"/>
      <c r="BC125" s="179"/>
      <c r="BD125" s="179"/>
    </row>
    <row r="126" spans="1:56">
      <c r="A126" s="168" t="str">
        <f t="shared" si="12"/>
        <v/>
      </c>
      <c r="B126" s="165" t="str">
        <f t="shared" si="12"/>
        <v>Diesel Hydraulic backhoe/ 1.5cum (Komatsu)</v>
      </c>
      <c r="C126" s="171" t="s">
        <v>134</v>
      </c>
      <c r="D126" s="174">
        <f>VLOOKUP(B126,Equipment!$C$5:$S$53,Equipment!F$1,FALSE)*VLOOKUP(B35,Equipment!$C$5:$S$53,Equipment!P$1,FALSE)</f>
        <v>637536</v>
      </c>
      <c r="E126" s="145">
        <f>$D126*Fleet!G259/10^7</f>
        <v>0</v>
      </c>
      <c r="F126" s="145">
        <f>$D126*Fleet!H259/10^7</f>
        <v>0</v>
      </c>
      <c r="G126" s="145">
        <f>$D126*Fleet!I259/10^7</f>
        <v>0</v>
      </c>
      <c r="H126" s="145">
        <f>$D126*Fleet!J259/10^7</f>
        <v>0</v>
      </c>
      <c r="I126" s="145">
        <f>$D126*Fleet!K259/10^7</f>
        <v>6.3753599999999994E-2</v>
      </c>
      <c r="J126" s="145">
        <f>$D126*Fleet!L259/10^7</f>
        <v>6.3753599999999994E-2</v>
      </c>
      <c r="K126" s="145">
        <f>$D126*Fleet!M259/10^7</f>
        <v>0.12750719999999999</v>
      </c>
      <c r="L126" s="145">
        <f>$D126*Fleet!N259/10^7</f>
        <v>0.12750719999999999</v>
      </c>
      <c r="M126" s="145">
        <f>$D126*Fleet!O259/10^7</f>
        <v>0.12750719999999999</v>
      </c>
      <c r="N126" s="145">
        <f>$D126*Fleet!P259/10^7</f>
        <v>0.12750719999999999</v>
      </c>
      <c r="O126" s="145">
        <f>$D126*Fleet!Q259/10^7</f>
        <v>0.12750719999999999</v>
      </c>
      <c r="P126" s="145">
        <f>$D126*Fleet!R259/10^7</f>
        <v>0.12750719999999999</v>
      </c>
      <c r="Q126" s="145">
        <f>$D126*Fleet!S259/10^7</f>
        <v>0.12750719999999999</v>
      </c>
      <c r="R126" s="145">
        <f>$D126*Fleet!T259/10^7</f>
        <v>0.12750719999999999</v>
      </c>
      <c r="S126" s="145">
        <f>$D126*Fleet!U259/10^7</f>
        <v>0.12750719999999999</v>
      </c>
      <c r="T126" s="145">
        <f>$D126*Fleet!V259/10^7</f>
        <v>0.12750719999999999</v>
      </c>
      <c r="U126" s="145">
        <f>$D126*Fleet!W259/10^7</f>
        <v>0.12750719999999999</v>
      </c>
      <c r="V126" s="145">
        <f>$D126*Fleet!X259/10^7</f>
        <v>0.12750719999999999</v>
      </c>
      <c r="W126" s="145">
        <f>$D126*Fleet!Y259/10^7</f>
        <v>0.12750719999999999</v>
      </c>
      <c r="X126" s="145">
        <f>$D126*Fleet!Z259/10^7</f>
        <v>0.12750719999999999</v>
      </c>
      <c r="Y126" s="145">
        <f>$D126*Fleet!AA259/10^7</f>
        <v>0.12750719999999999</v>
      </c>
      <c r="Z126" s="145">
        <f>$D126*Fleet!AB259/10^7</f>
        <v>6.3753599999999994E-2</v>
      </c>
      <c r="AA126" s="145">
        <f>$D126*Fleet!AC259/10^7</f>
        <v>6.3753599999999994E-2</v>
      </c>
      <c r="AB126" s="145">
        <f>$D126*Fleet!AD259/10^7</f>
        <v>0</v>
      </c>
      <c r="AC126" s="145">
        <f>$D126*Fleet!AE259/10^7</f>
        <v>0</v>
      </c>
      <c r="AD126" s="145">
        <f>$D126*Fleet!AF259/10^7</f>
        <v>0</v>
      </c>
      <c r="AE126" s="145">
        <f>$D126*Fleet!AG259/10^7</f>
        <v>0</v>
      </c>
      <c r="AF126" s="145">
        <f>$D126*Fleet!AH259/10^7</f>
        <v>0</v>
      </c>
      <c r="AG126" s="145">
        <f>$D126*Fleet!AI259/10^7</f>
        <v>0</v>
      </c>
      <c r="AH126" s="145">
        <f>$D126*Fleet!AJ259/10^7</f>
        <v>0</v>
      </c>
      <c r="AI126" s="145">
        <f>$D126*Fleet!AK259/10^7</f>
        <v>0</v>
      </c>
      <c r="AJ126" s="145">
        <f>$D126*Fleet!AL259/10^7</f>
        <v>0</v>
      </c>
      <c r="AK126" s="145">
        <f>$D126*Fleet!AM259/10^7</f>
        <v>0</v>
      </c>
      <c r="AL126" s="145">
        <f>$D126*Fleet!AN259/10^7</f>
        <v>0</v>
      </c>
      <c r="AM126" s="145">
        <f>$D126*Fleet!AO259/10^7</f>
        <v>0</v>
      </c>
      <c r="AN126" s="145">
        <f>$D126*Fleet!AP259/10^7</f>
        <v>0</v>
      </c>
      <c r="AO126" s="145">
        <f>$D126*Fleet!AQ259/10^7</f>
        <v>0</v>
      </c>
      <c r="AP126" s="179"/>
      <c r="AQ126" s="179"/>
      <c r="AR126" s="179"/>
      <c r="AS126" s="179"/>
      <c r="AT126" s="179"/>
      <c r="AU126" s="179"/>
      <c r="AV126" s="179"/>
      <c r="AW126" s="179"/>
      <c r="AX126" s="179"/>
      <c r="AY126" s="179"/>
      <c r="AZ126" s="179"/>
      <c r="BA126" s="179"/>
      <c r="BB126" s="179"/>
      <c r="BC126" s="179"/>
      <c r="BD126" s="179"/>
    </row>
    <row r="127" spans="1:56">
      <c r="A127" s="168" t="str">
        <f t="shared" si="12"/>
        <v/>
      </c>
      <c r="B127" s="165" t="str">
        <f t="shared" si="12"/>
        <v xml:space="preserve">Boom Truck </v>
      </c>
      <c r="C127" s="171" t="s">
        <v>134</v>
      </c>
      <c r="D127" s="174">
        <f>VLOOKUP(B127,Equipment!$C$5:$S$53,Equipment!F$1,FALSE)*VLOOKUP(B36,Equipment!$C$5:$S$53,Equipment!P$1,FALSE)</f>
        <v>150000</v>
      </c>
      <c r="E127" s="145">
        <f>$D127*Fleet!G260/10^7</f>
        <v>0</v>
      </c>
      <c r="F127" s="145">
        <f>$D127*Fleet!H260/10^7</f>
        <v>0</v>
      </c>
      <c r="G127" s="145">
        <f>$D127*Fleet!I260/10^7</f>
        <v>0</v>
      </c>
      <c r="H127" s="145">
        <f>$D127*Fleet!J260/10^7</f>
        <v>0</v>
      </c>
      <c r="I127" s="145">
        <f>$D127*Fleet!K260/10^7</f>
        <v>1.4999999999999999E-2</v>
      </c>
      <c r="J127" s="145">
        <f>$D127*Fleet!L260/10^7</f>
        <v>1.4999999999999999E-2</v>
      </c>
      <c r="K127" s="145">
        <f>$D127*Fleet!M260/10^7</f>
        <v>0.03</v>
      </c>
      <c r="L127" s="145">
        <f>$D127*Fleet!N260/10^7</f>
        <v>0.03</v>
      </c>
      <c r="M127" s="145">
        <f>$D127*Fleet!O260/10^7</f>
        <v>0.03</v>
      </c>
      <c r="N127" s="145">
        <f>$D127*Fleet!P260/10^7</f>
        <v>0.03</v>
      </c>
      <c r="O127" s="145">
        <f>$D127*Fleet!Q260/10^7</f>
        <v>0.03</v>
      </c>
      <c r="P127" s="145">
        <f>$D127*Fleet!R260/10^7</f>
        <v>0.03</v>
      </c>
      <c r="Q127" s="145">
        <f>$D127*Fleet!S260/10^7</f>
        <v>0.03</v>
      </c>
      <c r="R127" s="145">
        <f>$D127*Fleet!T260/10^7</f>
        <v>0.03</v>
      </c>
      <c r="S127" s="145">
        <f>$D127*Fleet!U260/10^7</f>
        <v>0.03</v>
      </c>
      <c r="T127" s="145">
        <f>$D127*Fleet!V260/10^7</f>
        <v>0.03</v>
      </c>
      <c r="U127" s="145">
        <f>$D127*Fleet!W260/10^7</f>
        <v>0.03</v>
      </c>
      <c r="V127" s="145">
        <f>$D127*Fleet!X260/10^7</f>
        <v>0.03</v>
      </c>
      <c r="W127" s="145">
        <f>$D127*Fleet!Y260/10^7</f>
        <v>0.03</v>
      </c>
      <c r="X127" s="145">
        <f>$D127*Fleet!Z260/10^7</f>
        <v>0.03</v>
      </c>
      <c r="Y127" s="145">
        <f>$D127*Fleet!AA260/10^7</f>
        <v>0.03</v>
      </c>
      <c r="Z127" s="145">
        <f>$D127*Fleet!AB260/10^7</f>
        <v>1.4999999999999999E-2</v>
      </c>
      <c r="AA127" s="145">
        <f>$D127*Fleet!AC260/10^7</f>
        <v>1.4999999999999999E-2</v>
      </c>
      <c r="AB127" s="145">
        <f>$D127*Fleet!AD260/10^7</f>
        <v>0</v>
      </c>
      <c r="AC127" s="145">
        <f>$D127*Fleet!AE260/10^7</f>
        <v>0</v>
      </c>
      <c r="AD127" s="145">
        <f>$D127*Fleet!AF260/10^7</f>
        <v>0</v>
      </c>
      <c r="AE127" s="145">
        <f>$D127*Fleet!AG260/10^7</f>
        <v>0</v>
      </c>
      <c r="AF127" s="145">
        <f>$D127*Fleet!AH260/10^7</f>
        <v>0</v>
      </c>
      <c r="AG127" s="145">
        <f>$D127*Fleet!AI260/10^7</f>
        <v>0</v>
      </c>
      <c r="AH127" s="145">
        <f>$D127*Fleet!AJ260/10^7</f>
        <v>0</v>
      </c>
      <c r="AI127" s="145">
        <f>$D127*Fleet!AK260/10^7</f>
        <v>0</v>
      </c>
      <c r="AJ127" s="145">
        <f>$D127*Fleet!AL260/10^7</f>
        <v>0</v>
      </c>
      <c r="AK127" s="145">
        <f>$D127*Fleet!AM260/10^7</f>
        <v>0</v>
      </c>
      <c r="AL127" s="145">
        <f>$D127*Fleet!AN260/10^7</f>
        <v>0</v>
      </c>
      <c r="AM127" s="145">
        <f>$D127*Fleet!AO260/10^7</f>
        <v>0</v>
      </c>
      <c r="AN127" s="145">
        <f>$D127*Fleet!AP260/10^7</f>
        <v>0</v>
      </c>
      <c r="AO127" s="145">
        <f>$D127*Fleet!AQ260/10^7</f>
        <v>0</v>
      </c>
      <c r="AP127" s="179"/>
      <c r="AQ127" s="179"/>
      <c r="AR127" s="179"/>
      <c r="AS127" s="179"/>
      <c r="AT127" s="179"/>
      <c r="AU127" s="179"/>
      <c r="AV127" s="179"/>
      <c r="AW127" s="179"/>
      <c r="AX127" s="179"/>
      <c r="AY127" s="179"/>
      <c r="AZ127" s="179"/>
      <c r="BA127" s="179"/>
      <c r="BB127" s="179"/>
      <c r="BC127" s="179"/>
      <c r="BD127" s="179"/>
    </row>
    <row r="128" spans="1:56">
      <c r="A128" s="168" t="str">
        <f t="shared" si="12"/>
        <v/>
      </c>
      <c r="B128" s="165" t="str">
        <f t="shared" si="12"/>
        <v xml:space="preserve">Heavy duty tow truck </v>
      </c>
      <c r="C128" s="171" t="s">
        <v>134</v>
      </c>
      <c r="D128" s="174">
        <f>VLOOKUP(B128,Equipment!$C$5:$S$53,Equipment!F$1,FALSE)*VLOOKUP(B37,Equipment!$C$5:$S$53,Equipment!P$1,FALSE)</f>
        <v>150000</v>
      </c>
      <c r="E128" s="145">
        <f>$D128*Fleet!G261/10^7</f>
        <v>0</v>
      </c>
      <c r="F128" s="145">
        <f>$D128*Fleet!H261/10^7</f>
        <v>0</v>
      </c>
      <c r="G128" s="145">
        <f>$D128*Fleet!I261/10^7</f>
        <v>0</v>
      </c>
      <c r="H128" s="145">
        <f>$D128*Fleet!J261/10^7</f>
        <v>0</v>
      </c>
      <c r="I128" s="145">
        <f>$D128*Fleet!K261/10^7</f>
        <v>1.4999999999999999E-2</v>
      </c>
      <c r="J128" s="145">
        <f>$D128*Fleet!L261/10^7</f>
        <v>1.4999999999999999E-2</v>
      </c>
      <c r="K128" s="145">
        <f>$D128*Fleet!M261/10^7</f>
        <v>0.03</v>
      </c>
      <c r="L128" s="145">
        <f>$D128*Fleet!N261/10^7</f>
        <v>0.03</v>
      </c>
      <c r="M128" s="145">
        <f>$D128*Fleet!O261/10^7</f>
        <v>0.03</v>
      </c>
      <c r="N128" s="145">
        <f>$D128*Fleet!P261/10^7</f>
        <v>0.03</v>
      </c>
      <c r="O128" s="145">
        <f>$D128*Fleet!Q261/10^7</f>
        <v>0.03</v>
      </c>
      <c r="P128" s="145">
        <f>$D128*Fleet!R261/10^7</f>
        <v>0.03</v>
      </c>
      <c r="Q128" s="145">
        <f>$D128*Fleet!S261/10^7</f>
        <v>0.03</v>
      </c>
      <c r="R128" s="145">
        <f>$D128*Fleet!T261/10^7</f>
        <v>0.03</v>
      </c>
      <c r="S128" s="145">
        <f>$D128*Fleet!U261/10^7</f>
        <v>0.03</v>
      </c>
      <c r="T128" s="145">
        <f>$D128*Fleet!V261/10^7</f>
        <v>0.03</v>
      </c>
      <c r="U128" s="145">
        <f>$D128*Fleet!W261/10^7</f>
        <v>0.03</v>
      </c>
      <c r="V128" s="145">
        <f>$D128*Fleet!X261/10^7</f>
        <v>0.03</v>
      </c>
      <c r="W128" s="145">
        <f>$D128*Fleet!Y261/10^7</f>
        <v>0.03</v>
      </c>
      <c r="X128" s="145">
        <f>$D128*Fleet!Z261/10^7</f>
        <v>0.03</v>
      </c>
      <c r="Y128" s="145">
        <f>$D128*Fleet!AA261/10^7</f>
        <v>0.03</v>
      </c>
      <c r="Z128" s="145">
        <f>$D128*Fleet!AB261/10^7</f>
        <v>1.4999999999999999E-2</v>
      </c>
      <c r="AA128" s="145">
        <f>$D128*Fleet!AC261/10^7</f>
        <v>1.4999999999999999E-2</v>
      </c>
      <c r="AB128" s="145">
        <f>$D128*Fleet!AD261/10^7</f>
        <v>0</v>
      </c>
      <c r="AC128" s="145">
        <f>$D128*Fleet!AE261/10^7</f>
        <v>0</v>
      </c>
      <c r="AD128" s="145">
        <f>$D128*Fleet!AF261/10^7</f>
        <v>0</v>
      </c>
      <c r="AE128" s="145">
        <f>$D128*Fleet!AG261/10^7</f>
        <v>0</v>
      </c>
      <c r="AF128" s="145">
        <f>$D128*Fleet!AH261/10^7</f>
        <v>0</v>
      </c>
      <c r="AG128" s="145">
        <f>$D128*Fleet!AI261/10^7</f>
        <v>0</v>
      </c>
      <c r="AH128" s="145">
        <f>$D128*Fleet!AJ261/10^7</f>
        <v>0</v>
      </c>
      <c r="AI128" s="145">
        <f>$D128*Fleet!AK261/10^7</f>
        <v>0</v>
      </c>
      <c r="AJ128" s="145">
        <f>$D128*Fleet!AL261/10^7</f>
        <v>0</v>
      </c>
      <c r="AK128" s="145">
        <f>$D128*Fleet!AM261/10^7</f>
        <v>0</v>
      </c>
      <c r="AL128" s="145">
        <f>$D128*Fleet!AN261/10^7</f>
        <v>0</v>
      </c>
      <c r="AM128" s="145">
        <f>$D128*Fleet!AO261/10^7</f>
        <v>0</v>
      </c>
      <c r="AN128" s="145">
        <f>$D128*Fleet!AP261/10^7</f>
        <v>0</v>
      </c>
      <c r="AO128" s="145">
        <f>$D128*Fleet!AQ261/10^7</f>
        <v>0</v>
      </c>
      <c r="AP128" s="179"/>
      <c r="AQ128" s="179"/>
      <c r="AR128" s="179"/>
      <c r="AS128" s="179"/>
      <c r="AT128" s="179"/>
      <c r="AU128" s="179"/>
      <c r="AV128" s="179"/>
      <c r="AW128" s="179"/>
      <c r="AX128" s="179"/>
      <c r="AY128" s="179"/>
      <c r="AZ128" s="179"/>
      <c r="BA128" s="179"/>
      <c r="BB128" s="179"/>
      <c r="BC128" s="179"/>
      <c r="BD128" s="179"/>
    </row>
    <row r="129" spans="1:56">
      <c r="A129" s="168" t="str">
        <f t="shared" si="12"/>
        <v/>
      </c>
      <c r="B129" s="165" t="str">
        <f t="shared" si="12"/>
        <v>Tipping Truck/ 8t</v>
      </c>
      <c r="C129" s="171" t="s">
        <v>134</v>
      </c>
      <c r="D129" s="174">
        <f>VLOOKUP(B129,Equipment!$C$5:$S$53,Equipment!F$1,FALSE)*VLOOKUP(B38,Equipment!$C$5:$S$53,Equipment!P$1,FALSE)</f>
        <v>200000</v>
      </c>
      <c r="E129" s="145">
        <f>$D129*Fleet!G262/10^7</f>
        <v>0</v>
      </c>
      <c r="F129" s="145">
        <f>$D129*Fleet!H262/10^7</f>
        <v>0</v>
      </c>
      <c r="G129" s="145">
        <f>$D129*Fleet!I262/10^7</f>
        <v>0</v>
      </c>
      <c r="H129" s="145">
        <f>$D129*Fleet!J262/10^7</f>
        <v>0</v>
      </c>
      <c r="I129" s="145">
        <f>$D129*Fleet!K262/10^7</f>
        <v>0.02</v>
      </c>
      <c r="J129" s="145">
        <f>$D129*Fleet!L262/10^7</f>
        <v>0.02</v>
      </c>
      <c r="K129" s="145">
        <f>$D129*Fleet!M262/10^7</f>
        <v>0.04</v>
      </c>
      <c r="L129" s="145">
        <f>$D129*Fleet!N262/10^7</f>
        <v>0.04</v>
      </c>
      <c r="M129" s="145">
        <f>$D129*Fleet!O262/10^7</f>
        <v>0.04</v>
      </c>
      <c r="N129" s="145">
        <f>$D129*Fleet!P262/10^7</f>
        <v>0.04</v>
      </c>
      <c r="O129" s="145">
        <f>$D129*Fleet!Q262/10^7</f>
        <v>0.04</v>
      </c>
      <c r="P129" s="145">
        <f>$D129*Fleet!R262/10^7</f>
        <v>0.04</v>
      </c>
      <c r="Q129" s="145">
        <f>$D129*Fleet!S262/10^7</f>
        <v>0.04</v>
      </c>
      <c r="R129" s="145">
        <f>$D129*Fleet!T262/10^7</f>
        <v>0.04</v>
      </c>
      <c r="S129" s="145">
        <f>$D129*Fleet!U262/10^7</f>
        <v>0.04</v>
      </c>
      <c r="T129" s="145">
        <f>$D129*Fleet!V262/10^7</f>
        <v>0.04</v>
      </c>
      <c r="U129" s="145">
        <f>$D129*Fleet!W262/10^7</f>
        <v>0.04</v>
      </c>
      <c r="V129" s="145">
        <f>$D129*Fleet!X262/10^7</f>
        <v>0.04</v>
      </c>
      <c r="W129" s="145">
        <f>$D129*Fleet!Y262/10^7</f>
        <v>0.04</v>
      </c>
      <c r="X129" s="145">
        <f>$D129*Fleet!Z262/10^7</f>
        <v>0.04</v>
      </c>
      <c r="Y129" s="145">
        <f>$D129*Fleet!AA262/10^7</f>
        <v>0.04</v>
      </c>
      <c r="Z129" s="145">
        <f>$D129*Fleet!AB262/10^7</f>
        <v>0.02</v>
      </c>
      <c r="AA129" s="145">
        <f>$D129*Fleet!AC262/10^7</f>
        <v>0.02</v>
      </c>
      <c r="AB129" s="145">
        <f>$D129*Fleet!AD262/10^7</f>
        <v>0</v>
      </c>
      <c r="AC129" s="145">
        <f>$D129*Fleet!AE262/10^7</f>
        <v>0</v>
      </c>
      <c r="AD129" s="145">
        <f>$D129*Fleet!AF262/10^7</f>
        <v>0</v>
      </c>
      <c r="AE129" s="145">
        <f>$D129*Fleet!AG262/10^7</f>
        <v>0</v>
      </c>
      <c r="AF129" s="145">
        <f>$D129*Fleet!AH262/10^7</f>
        <v>0</v>
      </c>
      <c r="AG129" s="145">
        <f>$D129*Fleet!AI262/10^7</f>
        <v>0</v>
      </c>
      <c r="AH129" s="145">
        <f>$D129*Fleet!AJ262/10^7</f>
        <v>0</v>
      </c>
      <c r="AI129" s="145">
        <f>$D129*Fleet!AK262/10^7</f>
        <v>0</v>
      </c>
      <c r="AJ129" s="145">
        <f>$D129*Fleet!AL262/10^7</f>
        <v>0</v>
      </c>
      <c r="AK129" s="145">
        <f>$D129*Fleet!AM262/10^7</f>
        <v>0</v>
      </c>
      <c r="AL129" s="145">
        <f>$D129*Fleet!AN262/10^7</f>
        <v>0</v>
      </c>
      <c r="AM129" s="145">
        <f>$D129*Fleet!AO262/10^7</f>
        <v>0</v>
      </c>
      <c r="AN129" s="145">
        <f>$D129*Fleet!AP262/10^7</f>
        <v>0</v>
      </c>
      <c r="AO129" s="145">
        <f>$D129*Fleet!AQ262/10^7</f>
        <v>0</v>
      </c>
      <c r="AP129" s="179"/>
      <c r="AQ129" s="179"/>
      <c r="AR129" s="179"/>
      <c r="AS129" s="179"/>
      <c r="AT129" s="179"/>
      <c r="AU129" s="179"/>
      <c r="AV129" s="179"/>
      <c r="AW129" s="179"/>
      <c r="AX129" s="179"/>
      <c r="AY129" s="179"/>
      <c r="AZ129" s="179"/>
      <c r="BA129" s="179"/>
      <c r="BB129" s="179"/>
      <c r="BC129" s="179"/>
      <c r="BD129" s="179"/>
    </row>
    <row r="130" spans="1:56">
      <c r="A130" s="168" t="str">
        <f t="shared" si="12"/>
        <v/>
      </c>
      <c r="B130" s="165" t="str">
        <f t="shared" si="12"/>
        <v>Fork lift/ 8t</v>
      </c>
      <c r="C130" s="171" t="s">
        <v>134</v>
      </c>
      <c r="D130" s="174">
        <f>VLOOKUP(B130,Equipment!$C$5:$S$53,Equipment!F$1,FALSE)*VLOOKUP(B39,Equipment!$C$5:$S$53,Equipment!P$1,FALSE)</f>
        <v>130000</v>
      </c>
      <c r="E130" s="145">
        <f>$D130*Fleet!G263/10^7</f>
        <v>0</v>
      </c>
      <c r="F130" s="145">
        <f>$D130*Fleet!H263/10^7</f>
        <v>0</v>
      </c>
      <c r="G130" s="145">
        <f>$D130*Fleet!I263/10^7</f>
        <v>0</v>
      </c>
      <c r="H130" s="145">
        <f>$D130*Fleet!J263/10^7</f>
        <v>0</v>
      </c>
      <c r="I130" s="145">
        <f>$D130*Fleet!K263/10^7</f>
        <v>1.2999999999999999E-2</v>
      </c>
      <c r="J130" s="145">
        <f>$D130*Fleet!L263/10^7</f>
        <v>1.2999999999999999E-2</v>
      </c>
      <c r="K130" s="145">
        <f>$D130*Fleet!M263/10^7</f>
        <v>2.5999999999999999E-2</v>
      </c>
      <c r="L130" s="145">
        <f>$D130*Fleet!N263/10^7</f>
        <v>2.5999999999999999E-2</v>
      </c>
      <c r="M130" s="145">
        <f>$D130*Fleet!O263/10^7</f>
        <v>2.5999999999999999E-2</v>
      </c>
      <c r="N130" s="145">
        <f>$D130*Fleet!P263/10^7</f>
        <v>2.5999999999999999E-2</v>
      </c>
      <c r="O130" s="145">
        <f>$D130*Fleet!Q263/10^7</f>
        <v>2.5999999999999999E-2</v>
      </c>
      <c r="P130" s="145">
        <f>$D130*Fleet!R263/10^7</f>
        <v>2.5999999999999999E-2</v>
      </c>
      <c r="Q130" s="145">
        <f>$D130*Fleet!S263/10^7</f>
        <v>2.5999999999999999E-2</v>
      </c>
      <c r="R130" s="145">
        <f>$D130*Fleet!T263/10^7</f>
        <v>2.5999999999999999E-2</v>
      </c>
      <c r="S130" s="145">
        <f>$D130*Fleet!U263/10^7</f>
        <v>2.5999999999999999E-2</v>
      </c>
      <c r="T130" s="145">
        <f>$D130*Fleet!V263/10^7</f>
        <v>2.5999999999999999E-2</v>
      </c>
      <c r="U130" s="145">
        <f>$D130*Fleet!W263/10^7</f>
        <v>2.5999999999999999E-2</v>
      </c>
      <c r="V130" s="145">
        <f>$D130*Fleet!X263/10^7</f>
        <v>2.5999999999999999E-2</v>
      </c>
      <c r="W130" s="145">
        <f>$D130*Fleet!Y263/10^7</f>
        <v>2.5999999999999999E-2</v>
      </c>
      <c r="X130" s="145">
        <f>$D130*Fleet!Z263/10^7</f>
        <v>2.5999999999999999E-2</v>
      </c>
      <c r="Y130" s="145">
        <f>$D130*Fleet!AA263/10^7</f>
        <v>2.5999999999999999E-2</v>
      </c>
      <c r="Z130" s="145">
        <f>$D130*Fleet!AB263/10^7</f>
        <v>1.2999999999999999E-2</v>
      </c>
      <c r="AA130" s="145">
        <f>$D130*Fleet!AC263/10^7</f>
        <v>1.2999999999999999E-2</v>
      </c>
      <c r="AB130" s="145">
        <f>$D130*Fleet!AD263/10^7</f>
        <v>0</v>
      </c>
      <c r="AC130" s="145">
        <f>$D130*Fleet!AE263/10^7</f>
        <v>0</v>
      </c>
      <c r="AD130" s="145">
        <f>$D130*Fleet!AF263/10^7</f>
        <v>0</v>
      </c>
      <c r="AE130" s="145">
        <f>$D130*Fleet!AG263/10^7</f>
        <v>0</v>
      </c>
      <c r="AF130" s="145">
        <f>$D130*Fleet!AH263/10^7</f>
        <v>0</v>
      </c>
      <c r="AG130" s="145">
        <f>$D130*Fleet!AI263/10^7</f>
        <v>0</v>
      </c>
      <c r="AH130" s="145">
        <f>$D130*Fleet!AJ263/10^7</f>
        <v>0</v>
      </c>
      <c r="AI130" s="145">
        <f>$D130*Fleet!AK263/10^7</f>
        <v>0</v>
      </c>
      <c r="AJ130" s="145">
        <f>$D130*Fleet!AL263/10^7</f>
        <v>0</v>
      </c>
      <c r="AK130" s="145">
        <f>$D130*Fleet!AM263/10^7</f>
        <v>0</v>
      </c>
      <c r="AL130" s="145">
        <f>$D130*Fleet!AN263/10^7</f>
        <v>0</v>
      </c>
      <c r="AM130" s="145">
        <f>$D130*Fleet!AO263/10^7</f>
        <v>0</v>
      </c>
      <c r="AN130" s="145">
        <f>$D130*Fleet!AP263/10^7</f>
        <v>0</v>
      </c>
      <c r="AO130" s="145">
        <f>$D130*Fleet!AQ263/10^7</f>
        <v>0</v>
      </c>
      <c r="AP130" s="179"/>
      <c r="AQ130" s="179"/>
      <c r="AR130" s="179"/>
      <c r="AS130" s="179"/>
      <c r="AT130" s="179"/>
      <c r="AU130" s="179"/>
      <c r="AV130" s="179"/>
      <c r="AW130" s="179"/>
      <c r="AX130" s="179"/>
      <c r="AY130" s="179"/>
      <c r="AZ130" s="179"/>
      <c r="BA130" s="179"/>
      <c r="BB130" s="179"/>
      <c r="BC130" s="179"/>
      <c r="BD130" s="179"/>
    </row>
    <row r="131" spans="1:56">
      <c r="A131" s="168" t="str">
        <f t="shared" si="12"/>
        <v/>
      </c>
      <c r="B131" s="165" t="str">
        <f t="shared" si="12"/>
        <v>Tyre handler/ 20t</v>
      </c>
      <c r="C131" s="171" t="s">
        <v>134</v>
      </c>
      <c r="D131" s="174">
        <f>VLOOKUP(B131,Equipment!$C$5:$S$53,Equipment!F$1,FALSE)*VLOOKUP(B40,Equipment!$C$5:$S$53,Equipment!P$1,FALSE)</f>
        <v>6979700</v>
      </c>
      <c r="E131" s="145">
        <f>$D131*Fleet!G264/10^7</f>
        <v>0</v>
      </c>
      <c r="F131" s="145">
        <f>$D131*Fleet!H264/10^7</f>
        <v>0</v>
      </c>
      <c r="G131" s="145">
        <f>$D131*Fleet!I264/10^7</f>
        <v>0</v>
      </c>
      <c r="H131" s="145">
        <f>$D131*Fleet!J264/10^7</f>
        <v>0</v>
      </c>
      <c r="I131" s="145">
        <f>$D131*Fleet!K264/10^7</f>
        <v>0.69796999999999998</v>
      </c>
      <c r="J131" s="145">
        <f>$D131*Fleet!L264/10^7</f>
        <v>0.69796999999999998</v>
      </c>
      <c r="K131" s="145">
        <f>$D131*Fleet!M264/10^7</f>
        <v>1.39594</v>
      </c>
      <c r="L131" s="145">
        <f>$D131*Fleet!N264/10^7</f>
        <v>1.39594</v>
      </c>
      <c r="M131" s="145">
        <f>$D131*Fleet!O264/10^7</f>
        <v>1.39594</v>
      </c>
      <c r="N131" s="145">
        <f>$D131*Fleet!P264/10^7</f>
        <v>1.39594</v>
      </c>
      <c r="O131" s="145">
        <f>$D131*Fleet!Q264/10^7</f>
        <v>1.39594</v>
      </c>
      <c r="P131" s="145">
        <f>$D131*Fleet!R264/10^7</f>
        <v>1.39594</v>
      </c>
      <c r="Q131" s="145">
        <f>$D131*Fleet!S264/10^7</f>
        <v>1.39594</v>
      </c>
      <c r="R131" s="145">
        <f>$D131*Fleet!T264/10^7</f>
        <v>1.39594</v>
      </c>
      <c r="S131" s="145">
        <f>$D131*Fleet!U264/10^7</f>
        <v>1.39594</v>
      </c>
      <c r="T131" s="145">
        <f>$D131*Fleet!V264/10^7</f>
        <v>1.39594</v>
      </c>
      <c r="U131" s="145">
        <f>$D131*Fleet!W264/10^7</f>
        <v>1.39594</v>
      </c>
      <c r="V131" s="145">
        <f>$D131*Fleet!X264/10^7</f>
        <v>1.39594</v>
      </c>
      <c r="W131" s="145">
        <f>$D131*Fleet!Y264/10^7</f>
        <v>1.39594</v>
      </c>
      <c r="X131" s="145">
        <f>$D131*Fleet!Z264/10^7</f>
        <v>1.39594</v>
      </c>
      <c r="Y131" s="145">
        <f>$D131*Fleet!AA264/10^7</f>
        <v>1.39594</v>
      </c>
      <c r="Z131" s="145">
        <f>$D131*Fleet!AB264/10^7</f>
        <v>0.69796999999999998</v>
      </c>
      <c r="AA131" s="145">
        <f>$D131*Fleet!AC264/10^7</f>
        <v>0.69796999999999998</v>
      </c>
      <c r="AB131" s="145">
        <f>$D131*Fleet!AD264/10^7</f>
        <v>0</v>
      </c>
      <c r="AC131" s="145">
        <f>$D131*Fleet!AE264/10^7</f>
        <v>0</v>
      </c>
      <c r="AD131" s="145">
        <f>$D131*Fleet!AF264/10^7</f>
        <v>0</v>
      </c>
      <c r="AE131" s="145">
        <f>$D131*Fleet!AG264/10^7</f>
        <v>0</v>
      </c>
      <c r="AF131" s="145">
        <f>$D131*Fleet!AH264/10^7</f>
        <v>0</v>
      </c>
      <c r="AG131" s="145">
        <f>$D131*Fleet!AI264/10^7</f>
        <v>0</v>
      </c>
      <c r="AH131" s="145">
        <f>$D131*Fleet!AJ264/10^7</f>
        <v>0</v>
      </c>
      <c r="AI131" s="145">
        <f>$D131*Fleet!AK264/10^7</f>
        <v>0</v>
      </c>
      <c r="AJ131" s="145">
        <f>$D131*Fleet!AL264/10^7</f>
        <v>0</v>
      </c>
      <c r="AK131" s="145">
        <f>$D131*Fleet!AM264/10^7</f>
        <v>0</v>
      </c>
      <c r="AL131" s="145">
        <f>$D131*Fleet!AN264/10^7</f>
        <v>0</v>
      </c>
      <c r="AM131" s="145">
        <f>$D131*Fleet!AO264/10^7</f>
        <v>0</v>
      </c>
      <c r="AN131" s="145">
        <f>$D131*Fleet!AP264/10^7</f>
        <v>0</v>
      </c>
      <c r="AO131" s="145">
        <f>$D131*Fleet!AQ264/10^7</f>
        <v>0</v>
      </c>
      <c r="AP131" s="179"/>
      <c r="AQ131" s="179"/>
      <c r="AR131" s="179"/>
      <c r="AS131" s="179"/>
      <c r="AT131" s="179"/>
      <c r="AU131" s="179"/>
      <c r="AV131" s="179"/>
      <c r="AW131" s="179"/>
      <c r="AX131" s="179"/>
      <c r="AY131" s="179"/>
      <c r="AZ131" s="179"/>
      <c r="BA131" s="179"/>
      <c r="BB131" s="179"/>
      <c r="BC131" s="179"/>
      <c r="BD131" s="179"/>
    </row>
    <row r="132" spans="1:56">
      <c r="A132" s="168" t="str">
        <f t="shared" si="12"/>
        <v/>
      </c>
      <c r="B132" s="165" t="str">
        <f t="shared" si="12"/>
        <v xml:space="preserve">Farm tractor </v>
      </c>
      <c r="C132" s="171" t="s">
        <v>134</v>
      </c>
      <c r="D132" s="174">
        <f>VLOOKUP(B132,Equipment!$C$5:$S$53,Equipment!F$1,FALSE)*VLOOKUP(B41,Equipment!$C$5:$S$53,Equipment!P$1,FALSE)</f>
        <v>120000</v>
      </c>
      <c r="E132" s="145">
        <f>$D132*Fleet!G265/10^7</f>
        <v>0</v>
      </c>
      <c r="F132" s="145">
        <f>$D132*Fleet!H265/10^7</f>
        <v>0</v>
      </c>
      <c r="G132" s="145">
        <f>$D132*Fleet!I265/10^7</f>
        <v>0</v>
      </c>
      <c r="H132" s="145">
        <f>$D132*Fleet!J265/10^7</f>
        <v>0</v>
      </c>
      <c r="I132" s="145">
        <f>$D132*Fleet!K265/10^7</f>
        <v>1.2E-2</v>
      </c>
      <c r="J132" s="145">
        <f>$D132*Fleet!L265/10^7</f>
        <v>1.2E-2</v>
      </c>
      <c r="K132" s="145">
        <f>$D132*Fleet!M265/10^7</f>
        <v>2.4E-2</v>
      </c>
      <c r="L132" s="145">
        <f>$D132*Fleet!N265/10^7</f>
        <v>2.4E-2</v>
      </c>
      <c r="M132" s="145">
        <f>$D132*Fleet!O265/10^7</f>
        <v>2.4E-2</v>
      </c>
      <c r="N132" s="145">
        <f>$D132*Fleet!P265/10^7</f>
        <v>2.4E-2</v>
      </c>
      <c r="O132" s="145">
        <f>$D132*Fleet!Q265/10^7</f>
        <v>2.4E-2</v>
      </c>
      <c r="P132" s="145">
        <f>$D132*Fleet!R265/10^7</f>
        <v>2.4E-2</v>
      </c>
      <c r="Q132" s="145">
        <f>$D132*Fleet!S265/10^7</f>
        <v>2.4E-2</v>
      </c>
      <c r="R132" s="145">
        <f>$D132*Fleet!T265/10^7</f>
        <v>2.4E-2</v>
      </c>
      <c r="S132" s="145">
        <f>$D132*Fleet!U265/10^7</f>
        <v>2.4E-2</v>
      </c>
      <c r="T132" s="145">
        <f>$D132*Fleet!V265/10^7</f>
        <v>2.4E-2</v>
      </c>
      <c r="U132" s="145">
        <f>$D132*Fleet!W265/10^7</f>
        <v>2.4E-2</v>
      </c>
      <c r="V132" s="145">
        <f>$D132*Fleet!X265/10^7</f>
        <v>2.4E-2</v>
      </c>
      <c r="W132" s="145">
        <f>$D132*Fleet!Y265/10^7</f>
        <v>2.4E-2</v>
      </c>
      <c r="X132" s="145">
        <f>$D132*Fleet!Z265/10^7</f>
        <v>2.4E-2</v>
      </c>
      <c r="Y132" s="145">
        <f>$D132*Fleet!AA265/10^7</f>
        <v>2.4E-2</v>
      </c>
      <c r="Z132" s="145">
        <f>$D132*Fleet!AB265/10^7</f>
        <v>1.2E-2</v>
      </c>
      <c r="AA132" s="145">
        <f>$D132*Fleet!AC265/10^7</f>
        <v>1.2E-2</v>
      </c>
      <c r="AB132" s="145">
        <f>$D132*Fleet!AD265/10^7</f>
        <v>0</v>
      </c>
      <c r="AC132" s="145">
        <f>$D132*Fleet!AE265/10^7</f>
        <v>0</v>
      </c>
      <c r="AD132" s="145">
        <f>$D132*Fleet!AF265/10^7</f>
        <v>0</v>
      </c>
      <c r="AE132" s="145">
        <f>$D132*Fleet!AG265/10^7</f>
        <v>0</v>
      </c>
      <c r="AF132" s="145">
        <f>$D132*Fleet!AH265/10^7</f>
        <v>0</v>
      </c>
      <c r="AG132" s="145">
        <f>$D132*Fleet!AI265/10^7</f>
        <v>0</v>
      </c>
      <c r="AH132" s="145">
        <f>$D132*Fleet!AJ265/10^7</f>
        <v>0</v>
      </c>
      <c r="AI132" s="145">
        <f>$D132*Fleet!AK265/10^7</f>
        <v>0</v>
      </c>
      <c r="AJ132" s="145">
        <f>$D132*Fleet!AL265/10^7</f>
        <v>0</v>
      </c>
      <c r="AK132" s="145">
        <f>$D132*Fleet!AM265/10^7</f>
        <v>0</v>
      </c>
      <c r="AL132" s="145">
        <f>$D132*Fleet!AN265/10^7</f>
        <v>0</v>
      </c>
      <c r="AM132" s="145">
        <f>$D132*Fleet!AO265/10^7</f>
        <v>0</v>
      </c>
      <c r="AN132" s="145">
        <f>$D132*Fleet!AP265/10^7</f>
        <v>0</v>
      </c>
      <c r="AO132" s="145">
        <f>$D132*Fleet!AQ265/10^7</f>
        <v>0</v>
      </c>
      <c r="AP132" s="179"/>
      <c r="AQ132" s="179"/>
      <c r="AR132" s="179"/>
      <c r="AS132" s="179"/>
      <c r="AT132" s="179"/>
      <c r="AU132" s="179"/>
      <c r="AV132" s="179"/>
      <c r="AW132" s="179"/>
      <c r="AX132" s="179"/>
      <c r="AY132" s="179"/>
      <c r="AZ132" s="179"/>
      <c r="BA132" s="179"/>
      <c r="BB132" s="179"/>
      <c r="BC132" s="179"/>
      <c r="BD132" s="179"/>
    </row>
    <row r="133" spans="1:56">
      <c r="A133" s="168" t="str">
        <f t="shared" si="12"/>
        <v/>
      </c>
      <c r="B133" s="165" t="str">
        <f t="shared" si="12"/>
        <v>Fire Tender</v>
      </c>
      <c r="C133" s="171" t="s">
        <v>134</v>
      </c>
      <c r="D133" s="174">
        <f>VLOOKUP(B133,Equipment!$C$5:$S$53,Equipment!F$1,FALSE)*VLOOKUP(B42,Equipment!$C$5:$S$53,Equipment!P$1,FALSE)</f>
        <v>150000</v>
      </c>
      <c r="E133" s="145">
        <f>$D133*Fleet!G266/10^7</f>
        <v>0</v>
      </c>
      <c r="F133" s="145">
        <f>$D133*Fleet!H266/10^7</f>
        <v>0</v>
      </c>
      <c r="G133" s="145">
        <f>$D133*Fleet!I266/10^7</f>
        <v>0</v>
      </c>
      <c r="H133" s="145">
        <f>$D133*Fleet!J266/10^7</f>
        <v>0</v>
      </c>
      <c r="I133" s="145">
        <f>$D133*Fleet!K266/10^7</f>
        <v>1.4999999999999999E-2</v>
      </c>
      <c r="J133" s="145">
        <f>$D133*Fleet!L266/10^7</f>
        <v>1.4999999999999999E-2</v>
      </c>
      <c r="K133" s="145">
        <f>$D133*Fleet!M266/10^7</f>
        <v>0.03</v>
      </c>
      <c r="L133" s="145">
        <f>$D133*Fleet!N266/10^7</f>
        <v>0.03</v>
      </c>
      <c r="M133" s="145">
        <f>$D133*Fleet!O266/10^7</f>
        <v>0.03</v>
      </c>
      <c r="N133" s="145">
        <f>$D133*Fleet!P266/10^7</f>
        <v>0.03</v>
      </c>
      <c r="O133" s="145">
        <f>$D133*Fleet!Q266/10^7</f>
        <v>0.03</v>
      </c>
      <c r="P133" s="145">
        <f>$D133*Fleet!R266/10^7</f>
        <v>0.03</v>
      </c>
      <c r="Q133" s="145">
        <f>$D133*Fleet!S266/10^7</f>
        <v>0.03</v>
      </c>
      <c r="R133" s="145">
        <f>$D133*Fleet!T266/10^7</f>
        <v>0.03</v>
      </c>
      <c r="S133" s="145">
        <f>$D133*Fleet!U266/10^7</f>
        <v>0.03</v>
      </c>
      <c r="T133" s="145">
        <f>$D133*Fleet!V266/10^7</f>
        <v>0.03</v>
      </c>
      <c r="U133" s="145">
        <f>$D133*Fleet!W266/10^7</f>
        <v>0.03</v>
      </c>
      <c r="V133" s="145">
        <f>$D133*Fleet!X266/10^7</f>
        <v>0.03</v>
      </c>
      <c r="W133" s="145">
        <f>$D133*Fleet!Y266/10^7</f>
        <v>0.03</v>
      </c>
      <c r="X133" s="145">
        <f>$D133*Fleet!Z266/10^7</f>
        <v>0.03</v>
      </c>
      <c r="Y133" s="145">
        <f>$D133*Fleet!AA266/10^7</f>
        <v>0.03</v>
      </c>
      <c r="Z133" s="145">
        <f>$D133*Fleet!AB266/10^7</f>
        <v>1.4999999999999999E-2</v>
      </c>
      <c r="AA133" s="145">
        <f>$D133*Fleet!AC266/10^7</f>
        <v>1.4999999999999999E-2</v>
      </c>
      <c r="AB133" s="145">
        <f>$D133*Fleet!AD266/10^7</f>
        <v>0</v>
      </c>
      <c r="AC133" s="145">
        <f>$D133*Fleet!AE266/10^7</f>
        <v>0</v>
      </c>
      <c r="AD133" s="145">
        <f>$D133*Fleet!AF266/10^7</f>
        <v>0</v>
      </c>
      <c r="AE133" s="145">
        <f>$D133*Fleet!AG266/10^7</f>
        <v>0</v>
      </c>
      <c r="AF133" s="145">
        <f>$D133*Fleet!AH266/10^7</f>
        <v>0</v>
      </c>
      <c r="AG133" s="145">
        <f>$D133*Fleet!AI266/10^7</f>
        <v>0</v>
      </c>
      <c r="AH133" s="145">
        <f>$D133*Fleet!AJ266/10^7</f>
        <v>0</v>
      </c>
      <c r="AI133" s="145">
        <f>$D133*Fleet!AK266/10^7</f>
        <v>0</v>
      </c>
      <c r="AJ133" s="145">
        <f>$D133*Fleet!AL266/10^7</f>
        <v>0</v>
      </c>
      <c r="AK133" s="145">
        <f>$D133*Fleet!AM266/10^7</f>
        <v>0</v>
      </c>
      <c r="AL133" s="145">
        <f>$D133*Fleet!AN266/10^7</f>
        <v>0</v>
      </c>
      <c r="AM133" s="145">
        <f>$D133*Fleet!AO266/10^7</f>
        <v>0</v>
      </c>
      <c r="AN133" s="145">
        <f>$D133*Fleet!AP266/10^7</f>
        <v>0</v>
      </c>
      <c r="AO133" s="145">
        <f>$D133*Fleet!AQ266/10^7</f>
        <v>0</v>
      </c>
      <c r="AP133" s="179"/>
      <c r="AQ133" s="179"/>
      <c r="AR133" s="179"/>
      <c r="AS133" s="179"/>
      <c r="AT133" s="179"/>
      <c r="AU133" s="179"/>
      <c r="AV133" s="179"/>
      <c r="AW133" s="179"/>
      <c r="AX133" s="179"/>
      <c r="AY133" s="179"/>
      <c r="AZ133" s="179"/>
      <c r="BA133" s="179"/>
      <c r="BB133" s="179"/>
      <c r="BC133" s="179"/>
      <c r="BD133" s="179"/>
    </row>
    <row r="134" spans="1:56">
      <c r="A134" s="168" t="str">
        <f t="shared" si="12"/>
        <v/>
      </c>
      <c r="B134" s="165" t="str">
        <f t="shared" si="12"/>
        <v xml:space="preserve">Ambulance </v>
      </c>
      <c r="C134" s="171" t="s">
        <v>134</v>
      </c>
      <c r="D134" s="174">
        <f>VLOOKUP(B134,Equipment!$C$5:$S$53,Equipment!F$1,FALSE)*VLOOKUP(B43,Equipment!$C$5:$S$53,Equipment!P$1,FALSE)</f>
        <v>75000</v>
      </c>
      <c r="E134" s="145">
        <f>$D134*Fleet!G267/10^7</f>
        <v>0</v>
      </c>
      <c r="F134" s="145">
        <f>$D134*Fleet!H267/10^7</f>
        <v>0</v>
      </c>
      <c r="G134" s="145">
        <f>$D134*Fleet!I267/10^7</f>
        <v>0</v>
      </c>
      <c r="H134" s="145">
        <f>$D134*Fleet!J267/10^7</f>
        <v>0</v>
      </c>
      <c r="I134" s="145">
        <f>$D134*Fleet!K267/10^7</f>
        <v>7.4999999999999997E-3</v>
      </c>
      <c r="J134" s="145">
        <f>$D134*Fleet!L267/10^7</f>
        <v>7.4999999999999997E-3</v>
      </c>
      <c r="K134" s="145">
        <f>$D134*Fleet!M267/10^7</f>
        <v>1.4999999999999999E-2</v>
      </c>
      <c r="L134" s="145">
        <f>$D134*Fleet!N267/10^7</f>
        <v>1.4999999999999999E-2</v>
      </c>
      <c r="M134" s="145">
        <f>$D134*Fleet!O267/10^7</f>
        <v>1.4999999999999999E-2</v>
      </c>
      <c r="N134" s="145">
        <f>$D134*Fleet!P267/10^7</f>
        <v>1.4999999999999999E-2</v>
      </c>
      <c r="O134" s="145">
        <f>$D134*Fleet!Q267/10^7</f>
        <v>1.4999999999999999E-2</v>
      </c>
      <c r="P134" s="145">
        <f>$D134*Fleet!R267/10^7</f>
        <v>1.4999999999999999E-2</v>
      </c>
      <c r="Q134" s="145">
        <f>$D134*Fleet!S267/10^7</f>
        <v>1.4999999999999999E-2</v>
      </c>
      <c r="R134" s="145">
        <f>$D134*Fleet!T267/10^7</f>
        <v>1.4999999999999999E-2</v>
      </c>
      <c r="S134" s="145">
        <f>$D134*Fleet!U267/10^7</f>
        <v>1.4999999999999999E-2</v>
      </c>
      <c r="T134" s="145">
        <f>$D134*Fleet!V267/10^7</f>
        <v>1.4999999999999999E-2</v>
      </c>
      <c r="U134" s="145">
        <f>$D134*Fleet!W267/10^7</f>
        <v>1.4999999999999999E-2</v>
      </c>
      <c r="V134" s="145">
        <f>$D134*Fleet!X267/10^7</f>
        <v>1.4999999999999999E-2</v>
      </c>
      <c r="W134" s="145">
        <f>$D134*Fleet!Y267/10^7</f>
        <v>1.4999999999999999E-2</v>
      </c>
      <c r="X134" s="145">
        <f>$D134*Fleet!Z267/10^7</f>
        <v>1.4999999999999999E-2</v>
      </c>
      <c r="Y134" s="145">
        <f>$D134*Fleet!AA267/10^7</f>
        <v>1.4999999999999999E-2</v>
      </c>
      <c r="Z134" s="145">
        <f>$D134*Fleet!AB267/10^7</f>
        <v>7.4999999999999997E-3</v>
      </c>
      <c r="AA134" s="145">
        <f>$D134*Fleet!AC267/10^7</f>
        <v>7.4999999999999997E-3</v>
      </c>
      <c r="AB134" s="145">
        <f>$D134*Fleet!AD267/10^7</f>
        <v>0</v>
      </c>
      <c r="AC134" s="145">
        <f>$D134*Fleet!AE267/10^7</f>
        <v>0</v>
      </c>
      <c r="AD134" s="145">
        <f>$D134*Fleet!AF267/10^7</f>
        <v>0</v>
      </c>
      <c r="AE134" s="145">
        <f>$D134*Fleet!AG267/10^7</f>
        <v>0</v>
      </c>
      <c r="AF134" s="145">
        <f>$D134*Fleet!AH267/10^7</f>
        <v>0</v>
      </c>
      <c r="AG134" s="145">
        <f>$D134*Fleet!AI267/10^7</f>
        <v>0</v>
      </c>
      <c r="AH134" s="145">
        <f>$D134*Fleet!AJ267/10^7</f>
        <v>0</v>
      </c>
      <c r="AI134" s="145">
        <f>$D134*Fleet!AK267/10^7</f>
        <v>0</v>
      </c>
      <c r="AJ134" s="145">
        <f>$D134*Fleet!AL267/10^7</f>
        <v>0</v>
      </c>
      <c r="AK134" s="145">
        <f>$D134*Fleet!AM267/10^7</f>
        <v>0</v>
      </c>
      <c r="AL134" s="145">
        <f>$D134*Fleet!AN267/10^7</f>
        <v>0</v>
      </c>
      <c r="AM134" s="145">
        <f>$D134*Fleet!AO267/10^7</f>
        <v>0</v>
      </c>
      <c r="AN134" s="145">
        <f>$D134*Fleet!AP267/10^7</f>
        <v>0</v>
      </c>
      <c r="AO134" s="145">
        <f>$D134*Fleet!AQ267/10^7</f>
        <v>0</v>
      </c>
      <c r="AP134" s="179"/>
      <c r="AQ134" s="179"/>
      <c r="AR134" s="179"/>
      <c r="AS134" s="179"/>
      <c r="AT134" s="179"/>
      <c r="AU134" s="179"/>
      <c r="AV134" s="179"/>
      <c r="AW134" s="179"/>
      <c r="AX134" s="179"/>
      <c r="AY134" s="179"/>
      <c r="AZ134" s="179"/>
      <c r="BA134" s="179"/>
      <c r="BB134" s="179"/>
      <c r="BC134" s="179"/>
      <c r="BD134" s="179"/>
    </row>
    <row r="135" spans="1:56">
      <c r="A135" s="168" t="str">
        <f t="shared" si="12"/>
        <v/>
      </c>
      <c r="B135" s="165" t="str">
        <f t="shared" si="12"/>
        <v>Worker Transportation bus</v>
      </c>
      <c r="C135" s="171" t="s">
        <v>134</v>
      </c>
      <c r="D135" s="174">
        <f>VLOOKUP(B135,Equipment!$C$5:$S$53,Equipment!F$1,FALSE)*VLOOKUP(B44,Equipment!$C$5:$S$53,Equipment!P$1,FALSE)</f>
        <v>400000</v>
      </c>
      <c r="E135" s="145">
        <f>$D135*Fleet!G268/10^7</f>
        <v>0</v>
      </c>
      <c r="F135" s="145">
        <f>$D135*Fleet!H268/10^7</f>
        <v>0</v>
      </c>
      <c r="G135" s="145">
        <f>$D135*Fleet!I268/10^7</f>
        <v>0</v>
      </c>
      <c r="H135" s="145">
        <f>$D135*Fleet!J268/10^7</f>
        <v>0</v>
      </c>
      <c r="I135" s="145">
        <f>$D135*Fleet!K268/10^7</f>
        <v>0.04</v>
      </c>
      <c r="J135" s="145">
        <f>$D135*Fleet!L268/10^7</f>
        <v>0.04</v>
      </c>
      <c r="K135" s="145">
        <f>$D135*Fleet!M268/10^7</f>
        <v>0.08</v>
      </c>
      <c r="L135" s="145">
        <f>$D135*Fleet!N268/10^7</f>
        <v>0.08</v>
      </c>
      <c r="M135" s="145">
        <f>$D135*Fleet!O268/10^7</f>
        <v>0.08</v>
      </c>
      <c r="N135" s="145">
        <f>$D135*Fleet!P268/10^7</f>
        <v>0.08</v>
      </c>
      <c r="O135" s="145">
        <f>$D135*Fleet!Q268/10^7</f>
        <v>0.08</v>
      </c>
      <c r="P135" s="145">
        <f>$D135*Fleet!R268/10^7</f>
        <v>0.08</v>
      </c>
      <c r="Q135" s="145">
        <f>$D135*Fleet!S268/10^7</f>
        <v>0.08</v>
      </c>
      <c r="R135" s="145">
        <f>$D135*Fleet!T268/10^7</f>
        <v>0.08</v>
      </c>
      <c r="S135" s="145">
        <f>$D135*Fleet!U268/10^7</f>
        <v>0.08</v>
      </c>
      <c r="T135" s="145">
        <f>$D135*Fleet!V268/10^7</f>
        <v>0.08</v>
      </c>
      <c r="U135" s="145">
        <f>$D135*Fleet!W268/10^7</f>
        <v>0.08</v>
      </c>
      <c r="V135" s="145">
        <f>$D135*Fleet!X268/10^7</f>
        <v>0.08</v>
      </c>
      <c r="W135" s="145">
        <f>$D135*Fleet!Y268/10^7</f>
        <v>0.08</v>
      </c>
      <c r="X135" s="145">
        <f>$D135*Fleet!Z268/10^7</f>
        <v>0.08</v>
      </c>
      <c r="Y135" s="145">
        <f>$D135*Fleet!AA268/10^7</f>
        <v>0.08</v>
      </c>
      <c r="Z135" s="145">
        <f>$D135*Fleet!AB268/10^7</f>
        <v>0.04</v>
      </c>
      <c r="AA135" s="145">
        <f>$D135*Fleet!AC268/10^7</f>
        <v>0.04</v>
      </c>
      <c r="AB135" s="145">
        <f>$D135*Fleet!AD268/10^7</f>
        <v>0</v>
      </c>
      <c r="AC135" s="145">
        <f>$D135*Fleet!AE268/10^7</f>
        <v>0</v>
      </c>
      <c r="AD135" s="145">
        <f>$D135*Fleet!AF268/10^7</f>
        <v>0</v>
      </c>
      <c r="AE135" s="145">
        <f>$D135*Fleet!AG268/10^7</f>
        <v>0</v>
      </c>
      <c r="AF135" s="145">
        <f>$D135*Fleet!AH268/10^7</f>
        <v>0</v>
      </c>
      <c r="AG135" s="145">
        <f>$D135*Fleet!AI268/10^7</f>
        <v>0</v>
      </c>
      <c r="AH135" s="145">
        <f>$D135*Fleet!AJ268/10^7</f>
        <v>0</v>
      </c>
      <c r="AI135" s="145">
        <f>$D135*Fleet!AK268/10^7</f>
        <v>0</v>
      </c>
      <c r="AJ135" s="145">
        <f>$D135*Fleet!AL268/10^7</f>
        <v>0</v>
      </c>
      <c r="AK135" s="145">
        <f>$D135*Fleet!AM268/10^7</f>
        <v>0</v>
      </c>
      <c r="AL135" s="145">
        <f>$D135*Fleet!AN268/10^7</f>
        <v>0</v>
      </c>
      <c r="AM135" s="145">
        <f>$D135*Fleet!AO268/10^7</f>
        <v>0</v>
      </c>
      <c r="AN135" s="145">
        <f>$D135*Fleet!AP268/10^7</f>
        <v>0</v>
      </c>
      <c r="AO135" s="145">
        <f>$D135*Fleet!AQ268/10^7</f>
        <v>0</v>
      </c>
      <c r="AP135" s="179"/>
      <c r="AQ135" s="179"/>
      <c r="AR135" s="179"/>
      <c r="AS135" s="179"/>
      <c r="AT135" s="179"/>
      <c r="AU135" s="179"/>
      <c r="AV135" s="179"/>
      <c r="AW135" s="179"/>
      <c r="AX135" s="179"/>
      <c r="AY135" s="179"/>
      <c r="AZ135" s="179"/>
      <c r="BA135" s="179"/>
      <c r="BB135" s="179"/>
      <c r="BC135" s="179"/>
      <c r="BD135" s="179"/>
    </row>
    <row r="136" spans="1:56">
      <c r="A136" s="168" t="str">
        <f t="shared" si="12"/>
        <v/>
      </c>
      <c r="B136" s="165" t="str">
        <f t="shared" si="12"/>
        <v>School bus</v>
      </c>
      <c r="C136" s="171" t="s">
        <v>134</v>
      </c>
      <c r="D136" s="174">
        <f>VLOOKUP(B136,Equipment!$C$5:$S$53,Equipment!F$1,FALSE)*VLOOKUP(B45,Equipment!$C$5:$S$53,Equipment!P$1,FALSE)</f>
        <v>400000</v>
      </c>
      <c r="E136" s="145">
        <f>$D136*Fleet!G269/10^7</f>
        <v>0</v>
      </c>
      <c r="F136" s="145">
        <f>$D136*Fleet!H269/10^7</f>
        <v>0</v>
      </c>
      <c r="G136" s="145">
        <f>$D136*Fleet!I269/10^7</f>
        <v>0</v>
      </c>
      <c r="H136" s="145">
        <f>$D136*Fleet!J269/10^7</f>
        <v>0</v>
      </c>
      <c r="I136" s="145">
        <f>$D136*Fleet!K269/10^7</f>
        <v>0.04</v>
      </c>
      <c r="J136" s="145">
        <f>$D136*Fleet!L269/10^7</f>
        <v>0.04</v>
      </c>
      <c r="K136" s="145">
        <f>$D136*Fleet!M269/10^7</f>
        <v>0.08</v>
      </c>
      <c r="L136" s="145">
        <f>$D136*Fleet!N269/10^7</f>
        <v>0.08</v>
      </c>
      <c r="M136" s="145">
        <f>$D136*Fleet!O269/10^7</f>
        <v>0.08</v>
      </c>
      <c r="N136" s="145">
        <f>$D136*Fleet!P269/10^7</f>
        <v>0.08</v>
      </c>
      <c r="O136" s="145">
        <f>$D136*Fleet!Q269/10^7</f>
        <v>0.08</v>
      </c>
      <c r="P136" s="145">
        <f>$D136*Fleet!R269/10^7</f>
        <v>0.08</v>
      </c>
      <c r="Q136" s="145">
        <f>$D136*Fleet!S269/10^7</f>
        <v>0.08</v>
      </c>
      <c r="R136" s="145">
        <f>$D136*Fleet!T269/10^7</f>
        <v>0.08</v>
      </c>
      <c r="S136" s="145">
        <f>$D136*Fleet!U269/10^7</f>
        <v>0.08</v>
      </c>
      <c r="T136" s="145">
        <f>$D136*Fleet!V269/10^7</f>
        <v>0.08</v>
      </c>
      <c r="U136" s="145">
        <f>$D136*Fleet!W269/10^7</f>
        <v>0.08</v>
      </c>
      <c r="V136" s="145">
        <f>$D136*Fleet!X269/10^7</f>
        <v>0.08</v>
      </c>
      <c r="W136" s="145">
        <f>$D136*Fleet!Y269/10^7</f>
        <v>0.08</v>
      </c>
      <c r="X136" s="145">
        <f>$D136*Fleet!Z269/10^7</f>
        <v>0.08</v>
      </c>
      <c r="Y136" s="145">
        <f>$D136*Fleet!AA269/10^7</f>
        <v>0.08</v>
      </c>
      <c r="Z136" s="145">
        <f>$D136*Fleet!AB269/10^7</f>
        <v>0.04</v>
      </c>
      <c r="AA136" s="145">
        <f>$D136*Fleet!AC269/10^7</f>
        <v>0.04</v>
      </c>
      <c r="AB136" s="145">
        <f>$D136*Fleet!AD269/10^7</f>
        <v>0</v>
      </c>
      <c r="AC136" s="145">
        <f>$D136*Fleet!AE269/10^7</f>
        <v>0</v>
      </c>
      <c r="AD136" s="145">
        <f>$D136*Fleet!AF269/10^7</f>
        <v>0</v>
      </c>
      <c r="AE136" s="145">
        <f>$D136*Fleet!AG269/10^7</f>
        <v>0</v>
      </c>
      <c r="AF136" s="145">
        <f>$D136*Fleet!AH269/10^7</f>
        <v>0</v>
      </c>
      <c r="AG136" s="145">
        <f>$D136*Fleet!AI269/10^7</f>
        <v>0</v>
      </c>
      <c r="AH136" s="145">
        <f>$D136*Fleet!AJ269/10^7</f>
        <v>0</v>
      </c>
      <c r="AI136" s="145">
        <f>$D136*Fleet!AK269/10^7</f>
        <v>0</v>
      </c>
      <c r="AJ136" s="145">
        <f>$D136*Fleet!AL269/10^7</f>
        <v>0</v>
      </c>
      <c r="AK136" s="145">
        <f>$D136*Fleet!AM269/10^7</f>
        <v>0</v>
      </c>
      <c r="AL136" s="145">
        <f>$D136*Fleet!AN269/10^7</f>
        <v>0</v>
      </c>
      <c r="AM136" s="145">
        <f>$D136*Fleet!AO269/10^7</f>
        <v>0</v>
      </c>
      <c r="AN136" s="145">
        <f>$D136*Fleet!AP269/10^7</f>
        <v>0</v>
      </c>
      <c r="AO136" s="145">
        <f>$D136*Fleet!AQ269/10^7</f>
        <v>0</v>
      </c>
      <c r="AP136" s="179"/>
      <c r="AQ136" s="179"/>
      <c r="AR136" s="179"/>
      <c r="AS136" s="179"/>
      <c r="AT136" s="179"/>
      <c r="AU136" s="179"/>
      <c r="AV136" s="179"/>
      <c r="AW136" s="179"/>
      <c r="AX136" s="179"/>
      <c r="AY136" s="179"/>
      <c r="AZ136" s="179"/>
      <c r="BA136" s="179"/>
      <c r="BB136" s="179"/>
      <c r="BC136" s="179"/>
      <c r="BD136" s="179"/>
    </row>
    <row r="137" spans="1:56">
      <c r="A137" s="168" t="str">
        <f t="shared" ref="A137:B137" si="13">A92</f>
        <v/>
      </c>
      <c r="B137" s="165" t="str">
        <f t="shared" si="13"/>
        <v xml:space="preserve">Pickup Van </v>
      </c>
      <c r="C137" s="171" t="s">
        <v>134</v>
      </c>
      <c r="D137" s="174">
        <f>VLOOKUP(B137,Equipment!$C$5:$S$53,Equipment!F$1,FALSE)*VLOOKUP(B46,Equipment!$C$5:$S$53,Equipment!P$1,FALSE)</f>
        <v>200000</v>
      </c>
      <c r="E137" s="145">
        <f>$D137*Fleet!G270/10^7</f>
        <v>0</v>
      </c>
      <c r="F137" s="145">
        <f>$D137*Fleet!H270/10^7</f>
        <v>0</v>
      </c>
      <c r="G137" s="145">
        <f>$D137*Fleet!I270/10^7</f>
        <v>0</v>
      </c>
      <c r="H137" s="145">
        <f>$D137*Fleet!J270/10^7</f>
        <v>0</v>
      </c>
      <c r="I137" s="145">
        <f>$D137*Fleet!K270/10^7</f>
        <v>0.02</v>
      </c>
      <c r="J137" s="145">
        <f>$D137*Fleet!L270/10^7</f>
        <v>0.02</v>
      </c>
      <c r="K137" s="145">
        <f>$D137*Fleet!M270/10^7</f>
        <v>0.04</v>
      </c>
      <c r="L137" s="145">
        <f>$D137*Fleet!N270/10^7</f>
        <v>0.04</v>
      </c>
      <c r="M137" s="145">
        <f>$D137*Fleet!O270/10^7</f>
        <v>0.04</v>
      </c>
      <c r="N137" s="145">
        <f>$D137*Fleet!P270/10^7</f>
        <v>0.04</v>
      </c>
      <c r="O137" s="145">
        <f>$D137*Fleet!Q270/10^7</f>
        <v>0.04</v>
      </c>
      <c r="P137" s="145">
        <f>$D137*Fleet!R270/10^7</f>
        <v>0.04</v>
      </c>
      <c r="Q137" s="145">
        <f>$D137*Fleet!S270/10^7</f>
        <v>0.04</v>
      </c>
      <c r="R137" s="145">
        <f>$D137*Fleet!T270/10^7</f>
        <v>0.04</v>
      </c>
      <c r="S137" s="145">
        <f>$D137*Fleet!U270/10^7</f>
        <v>0.04</v>
      </c>
      <c r="T137" s="145">
        <f>$D137*Fleet!V270/10^7</f>
        <v>0.04</v>
      </c>
      <c r="U137" s="145">
        <f>$D137*Fleet!W270/10^7</f>
        <v>0.04</v>
      </c>
      <c r="V137" s="145">
        <f>$D137*Fleet!X270/10^7</f>
        <v>0.04</v>
      </c>
      <c r="W137" s="145">
        <f>$D137*Fleet!Y270/10^7</f>
        <v>0.04</v>
      </c>
      <c r="X137" s="145">
        <f>$D137*Fleet!Z270/10^7</f>
        <v>0.04</v>
      </c>
      <c r="Y137" s="145">
        <f>$D137*Fleet!AA270/10^7</f>
        <v>0.04</v>
      </c>
      <c r="Z137" s="145">
        <f>$D137*Fleet!AB270/10^7</f>
        <v>0.02</v>
      </c>
      <c r="AA137" s="145">
        <f>$D137*Fleet!AC270/10^7</f>
        <v>0.02</v>
      </c>
      <c r="AB137" s="145">
        <f>$D137*Fleet!AD270/10^7</f>
        <v>0</v>
      </c>
      <c r="AC137" s="145">
        <f>$D137*Fleet!AE270/10^7</f>
        <v>0</v>
      </c>
      <c r="AD137" s="145">
        <f>$D137*Fleet!AF270/10^7</f>
        <v>0</v>
      </c>
      <c r="AE137" s="145">
        <f>$D137*Fleet!AG270/10^7</f>
        <v>0</v>
      </c>
      <c r="AF137" s="145">
        <f>$D137*Fleet!AH270/10^7</f>
        <v>0</v>
      </c>
      <c r="AG137" s="145">
        <f>$D137*Fleet!AI270/10^7</f>
        <v>0</v>
      </c>
      <c r="AH137" s="145">
        <f>$D137*Fleet!AJ270/10^7</f>
        <v>0</v>
      </c>
      <c r="AI137" s="145">
        <f>$D137*Fleet!AK270/10^7</f>
        <v>0</v>
      </c>
      <c r="AJ137" s="145">
        <f>$D137*Fleet!AL270/10^7</f>
        <v>0</v>
      </c>
      <c r="AK137" s="145">
        <f>$D137*Fleet!AM270/10^7</f>
        <v>0</v>
      </c>
      <c r="AL137" s="145">
        <f>$D137*Fleet!AN270/10^7</f>
        <v>0</v>
      </c>
      <c r="AM137" s="145">
        <f>$D137*Fleet!AO270/10^7</f>
        <v>0</v>
      </c>
      <c r="AN137" s="145">
        <f>$D137*Fleet!AP270/10^7</f>
        <v>0</v>
      </c>
      <c r="AO137" s="145">
        <f>$D137*Fleet!AQ270/10^7</f>
        <v>0</v>
      </c>
      <c r="AP137" s="179"/>
      <c r="AQ137" s="179"/>
      <c r="AR137" s="179"/>
      <c r="AS137" s="179"/>
      <c r="AT137" s="179"/>
      <c r="AU137" s="179"/>
      <c r="AV137" s="179"/>
      <c r="AW137" s="179"/>
      <c r="AX137" s="179"/>
      <c r="AY137" s="179"/>
      <c r="AZ137" s="179"/>
      <c r="BA137" s="179"/>
      <c r="BB137" s="179"/>
      <c r="BC137" s="179"/>
      <c r="BD137" s="179"/>
    </row>
    <row r="138" spans="1:56" ht="14" thickBot="1">
      <c r="A138" s="169"/>
      <c r="B138" s="252" t="str">
        <f>B93</f>
        <v>Sub Total</v>
      </c>
      <c r="C138" s="245"/>
      <c r="D138" s="256">
        <f>SUM(E138:AO138)</f>
        <v>1072.4822030263763</v>
      </c>
      <c r="E138" s="247">
        <f t="shared" ref="E138:AO138" si="14">SUM(E97:E137)</f>
        <v>4.2694854578683196E-3</v>
      </c>
      <c r="F138" s="247">
        <f t="shared" si="14"/>
        <v>8.5389690905313814E-3</v>
      </c>
      <c r="G138" s="247">
        <f t="shared" si="14"/>
        <v>1.7077945481883794E-2</v>
      </c>
      <c r="H138" s="247">
        <f t="shared" si="14"/>
        <v>2.5616912747209911E-2</v>
      </c>
      <c r="I138" s="247">
        <f t="shared" si="14"/>
        <v>14.662236192712417</v>
      </c>
      <c r="J138" s="247">
        <f t="shared" si="14"/>
        <v>15.077593904471863</v>
      </c>
      <c r="K138" s="247">
        <f t="shared" si="14"/>
        <v>30.532360945162836</v>
      </c>
      <c r="L138" s="247">
        <f t="shared" si="14"/>
        <v>62.465875541538878</v>
      </c>
      <c r="M138" s="247">
        <f t="shared" si="14"/>
        <v>65.72508074497587</v>
      </c>
      <c r="N138" s="247">
        <f t="shared" si="14"/>
        <v>83.54317420055871</v>
      </c>
      <c r="O138" s="247">
        <f t="shared" si="14"/>
        <v>79.807727968993149</v>
      </c>
      <c r="P138" s="247">
        <f t="shared" si="14"/>
        <v>72.339670804719745</v>
      </c>
      <c r="Q138" s="247">
        <f t="shared" si="14"/>
        <v>75.471834460042984</v>
      </c>
      <c r="R138" s="247">
        <f t="shared" si="14"/>
        <v>71.250588364926458</v>
      </c>
      <c r="S138" s="247">
        <f t="shared" si="14"/>
        <v>76.941311851143681</v>
      </c>
      <c r="T138" s="247">
        <f t="shared" si="14"/>
        <v>65.110184430584582</v>
      </c>
      <c r="U138" s="247">
        <f t="shared" si="14"/>
        <v>60.906019290249652</v>
      </c>
      <c r="V138" s="247">
        <f t="shared" si="14"/>
        <v>68.851251291268625</v>
      </c>
      <c r="W138" s="247">
        <f t="shared" si="14"/>
        <v>68.955198938037412</v>
      </c>
      <c r="X138" s="247">
        <f t="shared" si="14"/>
        <v>79.600411201592692</v>
      </c>
      <c r="Y138" s="247">
        <f t="shared" si="14"/>
        <v>52.844330936610483</v>
      </c>
      <c r="Z138" s="247">
        <f t="shared" si="14"/>
        <v>19.658376823155486</v>
      </c>
      <c r="AA138" s="247">
        <f t="shared" si="14"/>
        <v>8.6834718228531838</v>
      </c>
      <c r="AB138" s="247">
        <f t="shared" si="14"/>
        <v>0</v>
      </c>
      <c r="AC138" s="247">
        <f t="shared" si="14"/>
        <v>0</v>
      </c>
      <c r="AD138" s="247">
        <f t="shared" si="14"/>
        <v>0</v>
      </c>
      <c r="AE138" s="247">
        <f t="shared" si="14"/>
        <v>0</v>
      </c>
      <c r="AF138" s="247">
        <f t="shared" si="14"/>
        <v>0</v>
      </c>
      <c r="AG138" s="247">
        <f t="shared" si="14"/>
        <v>0</v>
      </c>
      <c r="AH138" s="247">
        <f t="shared" si="14"/>
        <v>0</v>
      </c>
      <c r="AI138" s="247">
        <f t="shared" si="14"/>
        <v>0</v>
      </c>
      <c r="AJ138" s="247">
        <f t="shared" si="14"/>
        <v>0</v>
      </c>
      <c r="AK138" s="247">
        <f t="shared" si="14"/>
        <v>0</v>
      </c>
      <c r="AL138" s="247">
        <f t="shared" si="14"/>
        <v>0</v>
      </c>
      <c r="AM138" s="247">
        <f t="shared" si="14"/>
        <v>0</v>
      </c>
      <c r="AN138" s="247">
        <f t="shared" si="14"/>
        <v>0</v>
      </c>
      <c r="AO138" s="247">
        <f t="shared" si="14"/>
        <v>0</v>
      </c>
      <c r="AP138" s="242"/>
      <c r="AQ138" s="242"/>
      <c r="AR138" s="242"/>
      <c r="AS138" s="242"/>
      <c r="AT138" s="242"/>
      <c r="AU138" s="242"/>
      <c r="AV138" s="242"/>
      <c r="AW138" s="242"/>
      <c r="AX138" s="242"/>
      <c r="AY138" s="242"/>
      <c r="AZ138" s="242"/>
      <c r="BA138" s="242"/>
      <c r="BB138" s="242"/>
      <c r="BC138" s="242"/>
      <c r="BD138" s="248"/>
    </row>
    <row r="139" spans="1:56" ht="14" thickTop="1"/>
    <row r="140" spans="1:56">
      <c r="A140" s="191" t="s">
        <v>1063</v>
      </c>
      <c r="C140" s="180"/>
      <c r="D140" s="209"/>
    </row>
    <row r="141" spans="1:56" ht="14">
      <c r="A141" s="1141" t="s">
        <v>971</v>
      </c>
      <c r="B141" s="1141" t="s">
        <v>972</v>
      </c>
      <c r="C141" s="1141" t="s">
        <v>88</v>
      </c>
      <c r="D141" s="1141" t="s">
        <v>1060</v>
      </c>
      <c r="E141" s="789">
        <f t="shared" ref="E141:AO141" si="15">E96</f>
        <v>-4</v>
      </c>
      <c r="F141" s="789">
        <f t="shared" si="15"/>
        <v>-3</v>
      </c>
      <c r="G141" s="789">
        <f t="shared" si="15"/>
        <v>-2</v>
      </c>
      <c r="H141" s="789">
        <f t="shared" si="15"/>
        <v>-1</v>
      </c>
      <c r="I141" s="789">
        <f t="shared" si="15"/>
        <v>1</v>
      </c>
      <c r="J141" s="789">
        <f t="shared" si="15"/>
        <v>2</v>
      </c>
      <c r="K141" s="789">
        <f t="shared" si="15"/>
        <v>3</v>
      </c>
      <c r="L141" s="789">
        <f t="shared" si="15"/>
        <v>4</v>
      </c>
      <c r="M141" s="789">
        <f t="shared" si="15"/>
        <v>5</v>
      </c>
      <c r="N141" s="789">
        <f t="shared" si="15"/>
        <v>6</v>
      </c>
      <c r="O141" s="789">
        <f t="shared" si="15"/>
        <v>7</v>
      </c>
      <c r="P141" s="789">
        <f t="shared" si="15"/>
        <v>8</v>
      </c>
      <c r="Q141" s="789">
        <f t="shared" si="15"/>
        <v>9</v>
      </c>
      <c r="R141" s="789">
        <f t="shared" si="15"/>
        <v>10</v>
      </c>
      <c r="S141" s="789">
        <f t="shared" si="15"/>
        <v>11</v>
      </c>
      <c r="T141" s="789">
        <f t="shared" si="15"/>
        <v>12</v>
      </c>
      <c r="U141" s="789">
        <f t="shared" si="15"/>
        <v>13</v>
      </c>
      <c r="V141" s="789">
        <f t="shared" si="15"/>
        <v>14</v>
      </c>
      <c r="W141" s="789">
        <f t="shared" si="15"/>
        <v>15</v>
      </c>
      <c r="X141" s="789">
        <f t="shared" si="15"/>
        <v>16</v>
      </c>
      <c r="Y141" s="789">
        <f t="shared" si="15"/>
        <v>17</v>
      </c>
      <c r="Z141" s="789">
        <f t="shared" si="15"/>
        <v>18</v>
      </c>
      <c r="AA141" s="789">
        <f t="shared" si="15"/>
        <v>19</v>
      </c>
      <c r="AB141" s="789">
        <f t="shared" si="15"/>
        <v>0</v>
      </c>
      <c r="AC141" s="789">
        <f t="shared" si="15"/>
        <v>0</v>
      </c>
      <c r="AD141" s="789">
        <f t="shared" si="15"/>
        <v>0</v>
      </c>
      <c r="AE141" s="789">
        <f t="shared" si="15"/>
        <v>0</v>
      </c>
      <c r="AF141" s="789">
        <f t="shared" si="15"/>
        <v>0</v>
      </c>
      <c r="AG141" s="789">
        <f t="shared" si="15"/>
        <v>0</v>
      </c>
      <c r="AH141" s="789">
        <f t="shared" si="15"/>
        <v>0</v>
      </c>
      <c r="AI141" s="789">
        <f t="shared" si="15"/>
        <v>0</v>
      </c>
      <c r="AJ141" s="789">
        <f t="shared" si="15"/>
        <v>0</v>
      </c>
      <c r="AK141" s="789">
        <f t="shared" si="15"/>
        <v>0</v>
      </c>
      <c r="AL141" s="789">
        <f t="shared" si="15"/>
        <v>0</v>
      </c>
      <c r="AM141" s="789">
        <f t="shared" si="15"/>
        <v>0</v>
      </c>
      <c r="AN141" s="789">
        <f t="shared" si="15"/>
        <v>0</v>
      </c>
      <c r="AO141" s="789">
        <f t="shared" si="15"/>
        <v>0</v>
      </c>
      <c r="AP141" s="789">
        <f>Fleet!AR140</f>
        <v>0</v>
      </c>
      <c r="AQ141" s="789">
        <f>Fleet!AS140</f>
        <v>0</v>
      </c>
      <c r="AR141" s="789">
        <f>Fleet!AT140</f>
        <v>0</v>
      </c>
      <c r="AS141" s="789">
        <f>Fleet!AU140</f>
        <v>0</v>
      </c>
      <c r="AT141" s="789">
        <f>Fleet!AV140</f>
        <v>0</v>
      </c>
      <c r="AU141" s="789">
        <f>Fleet!AW140</f>
        <v>0</v>
      </c>
      <c r="AV141" s="789">
        <f>Fleet!AX140</f>
        <v>0</v>
      </c>
      <c r="AW141" s="789">
        <f>Fleet!AY140</f>
        <v>0</v>
      </c>
      <c r="AX141" s="789">
        <f>Fleet!AZ140</f>
        <v>0</v>
      </c>
      <c r="AY141" s="789">
        <f>Fleet!BA140</f>
        <v>0</v>
      </c>
      <c r="AZ141" s="789">
        <f>Fleet!BB140</f>
        <v>0</v>
      </c>
      <c r="BA141" s="789">
        <f>Fleet!BC140</f>
        <v>0</v>
      </c>
      <c r="BB141" s="789">
        <f>Fleet!BD140</f>
        <v>0</v>
      </c>
      <c r="BC141" s="789">
        <f>Fleet!BE140</f>
        <v>0</v>
      </c>
      <c r="BD141" s="789">
        <f>Fleet!BF140</f>
        <v>0</v>
      </c>
    </row>
    <row r="142" spans="1:56">
      <c r="A142" s="168" t="str">
        <f t="shared" ref="A142:B161" si="16">A97</f>
        <v>Coal/Ore</v>
      </c>
      <c r="B142" s="165" t="str">
        <f t="shared" si="16"/>
        <v>Drill Machine/ 115mm diameter</v>
      </c>
      <c r="C142" s="171" t="s">
        <v>134</v>
      </c>
      <c r="D142" s="174">
        <f>VLOOKUP(B142,Equipment!$C$5:$V$53,Equipment!U$1,FALSE)*VLOOKUP(B142,Equipment!$C$5:$V$53,Equipment!V$1,FALSE)</f>
        <v>0</v>
      </c>
      <c r="E142" s="145">
        <f>$D142*Fleet!G230/10^7</f>
        <v>0</v>
      </c>
      <c r="F142" s="145">
        <f>$D142*Fleet!H230/10^7</f>
        <v>0</v>
      </c>
      <c r="G142" s="145">
        <f>$D142*Fleet!I230/10^7</f>
        <v>0</v>
      </c>
      <c r="H142" s="145">
        <f>$D142*Fleet!J230/10^7</f>
        <v>0</v>
      </c>
      <c r="I142" s="145">
        <f>$D142*Fleet!K230/10^7</f>
        <v>0</v>
      </c>
      <c r="J142" s="145">
        <f>$D142*Fleet!L230/10^7</f>
        <v>0</v>
      </c>
      <c r="K142" s="145">
        <f>$D142*Fleet!M230/10^7</f>
        <v>0</v>
      </c>
      <c r="L142" s="145">
        <f>$D142*Fleet!N230/10^7</f>
        <v>0</v>
      </c>
      <c r="M142" s="145">
        <f>$D142*Fleet!O230/10^7</f>
        <v>0</v>
      </c>
      <c r="N142" s="145">
        <f>$D142*Fleet!P230/10^7</f>
        <v>0</v>
      </c>
      <c r="O142" s="145">
        <f>$D142*Fleet!Q230/10^7</f>
        <v>0</v>
      </c>
      <c r="P142" s="145">
        <f>$D142*Fleet!R230/10^7</f>
        <v>0</v>
      </c>
      <c r="Q142" s="145">
        <f>$D142*Fleet!S230/10^7</f>
        <v>0</v>
      </c>
      <c r="R142" s="145">
        <f>$D142*Fleet!T230/10^7</f>
        <v>0</v>
      </c>
      <c r="S142" s="145">
        <f>$D142*Fleet!U230/10^7</f>
        <v>0</v>
      </c>
      <c r="T142" s="145">
        <f>$D142*Fleet!V230/10^7</f>
        <v>0</v>
      </c>
      <c r="U142" s="145">
        <f>$D142*Fleet!W230/10^7</f>
        <v>0</v>
      </c>
      <c r="V142" s="145">
        <f>$D142*Fleet!X230/10^7</f>
        <v>0</v>
      </c>
      <c r="W142" s="145">
        <f>$D142*Fleet!Y230/10^7</f>
        <v>0</v>
      </c>
      <c r="X142" s="145">
        <f>$D142*Fleet!Z230/10^7</f>
        <v>0</v>
      </c>
      <c r="Y142" s="145">
        <f>$D142*Fleet!AA230/10^7</f>
        <v>0</v>
      </c>
      <c r="Z142" s="145">
        <f>$D142*Fleet!AB230/10^7</f>
        <v>0</v>
      </c>
      <c r="AA142" s="145">
        <f>$D142*Fleet!AC230/10^7</f>
        <v>0</v>
      </c>
      <c r="AB142" s="145">
        <f>$D142*Fleet!AD230/10^7</f>
        <v>0</v>
      </c>
      <c r="AC142" s="145">
        <f>$D142*Fleet!AE230/10^7</f>
        <v>0</v>
      </c>
      <c r="AD142" s="145">
        <f>$D142*Fleet!AF230/10^7</f>
        <v>0</v>
      </c>
      <c r="AE142" s="145">
        <f>$D142*Fleet!AG230/10^7</f>
        <v>0</v>
      </c>
      <c r="AF142" s="145">
        <f>$D142*Fleet!AH230/10^7</f>
        <v>0</v>
      </c>
      <c r="AG142" s="145">
        <f>$D142*Fleet!AI230/10^7</f>
        <v>0</v>
      </c>
      <c r="AH142" s="145">
        <f>$D142*Fleet!AJ230/10^7</f>
        <v>0</v>
      </c>
      <c r="AI142" s="145">
        <f>$D142*Fleet!AK230/10^7</f>
        <v>0</v>
      </c>
      <c r="AJ142" s="145">
        <f>$D142*Fleet!AL230/10^7</f>
        <v>0</v>
      </c>
      <c r="AK142" s="145">
        <f>$D142*Fleet!AM230/10^7</f>
        <v>0</v>
      </c>
      <c r="AL142" s="145">
        <f>$D142*Fleet!AN230/10^7</f>
        <v>0</v>
      </c>
      <c r="AM142" s="145">
        <f>$D142*Fleet!AO230/10^7</f>
        <v>0</v>
      </c>
      <c r="AN142" s="145">
        <f>$D142*Fleet!AP230/10^7</f>
        <v>0</v>
      </c>
      <c r="AO142" s="145">
        <f>$D142*Fleet!AQ230/10^7</f>
        <v>0</v>
      </c>
      <c r="AP142" s="179"/>
      <c r="AQ142" s="179"/>
      <c r="AR142" s="179"/>
      <c r="AS142" s="179"/>
      <c r="AT142" s="179"/>
      <c r="AU142" s="179"/>
      <c r="AV142" s="179"/>
      <c r="AW142" s="179"/>
      <c r="AX142" s="179"/>
      <c r="AY142" s="179"/>
      <c r="AZ142" s="179"/>
      <c r="BA142" s="179"/>
      <c r="BB142" s="179"/>
      <c r="BC142" s="179"/>
      <c r="BD142" s="179"/>
    </row>
    <row r="143" spans="1:56">
      <c r="A143" s="168" t="str">
        <f t="shared" si="16"/>
        <v xml:space="preserve">Waste (IB Thin Parting) </v>
      </c>
      <c r="B143" s="165" t="str">
        <f t="shared" si="16"/>
        <v>Drill Machine/ 160mm diameter</v>
      </c>
      <c r="C143" s="171" t="s">
        <v>134</v>
      </c>
      <c r="D143" s="174">
        <f>VLOOKUP(B143,Equipment!$C$5:$V$53,Equipment!U$1,FALSE)*VLOOKUP(B143,Equipment!$C$5:$V$53,Equipment!V$1,FALSE)</f>
        <v>0</v>
      </c>
      <c r="E143" s="145">
        <f>$D143*Fleet!G231/10^7</f>
        <v>0</v>
      </c>
      <c r="F143" s="145">
        <f>$D143*Fleet!H231/10^7</f>
        <v>0</v>
      </c>
      <c r="G143" s="145">
        <f>$D143*Fleet!I231/10^7</f>
        <v>0</v>
      </c>
      <c r="H143" s="145">
        <f>$D143*Fleet!J231/10^7</f>
        <v>0</v>
      </c>
      <c r="I143" s="145">
        <f>$D143*Fleet!K231/10^7</f>
        <v>0</v>
      </c>
      <c r="J143" s="145">
        <f>$D143*Fleet!L231/10^7</f>
        <v>0</v>
      </c>
      <c r="K143" s="145">
        <f>$D143*Fleet!M231/10^7</f>
        <v>0</v>
      </c>
      <c r="L143" s="145">
        <f>$D143*Fleet!N231/10^7</f>
        <v>0</v>
      </c>
      <c r="M143" s="145">
        <f>$D143*Fleet!O231/10^7</f>
        <v>0</v>
      </c>
      <c r="N143" s="145">
        <f>$D143*Fleet!P231/10^7</f>
        <v>0</v>
      </c>
      <c r="O143" s="145">
        <f>$D143*Fleet!Q231/10^7</f>
        <v>0</v>
      </c>
      <c r="P143" s="145">
        <f>$D143*Fleet!R231/10^7</f>
        <v>0</v>
      </c>
      <c r="Q143" s="145">
        <f>$D143*Fleet!S231/10^7</f>
        <v>0</v>
      </c>
      <c r="R143" s="145">
        <f>$D143*Fleet!T231/10^7</f>
        <v>0</v>
      </c>
      <c r="S143" s="145">
        <f>$D143*Fleet!U231/10^7</f>
        <v>0</v>
      </c>
      <c r="T143" s="145">
        <f>$D143*Fleet!V231/10^7</f>
        <v>0</v>
      </c>
      <c r="U143" s="145">
        <f>$D143*Fleet!W231/10^7</f>
        <v>0</v>
      </c>
      <c r="V143" s="145">
        <f>$D143*Fleet!X231/10^7</f>
        <v>0</v>
      </c>
      <c r="W143" s="145">
        <f>$D143*Fleet!Y231/10^7</f>
        <v>0</v>
      </c>
      <c r="X143" s="145">
        <f>$D143*Fleet!Z231/10^7</f>
        <v>0</v>
      </c>
      <c r="Y143" s="145">
        <f>$D143*Fleet!AA231/10^7</f>
        <v>0</v>
      </c>
      <c r="Z143" s="145">
        <f>$D143*Fleet!AB231/10^7</f>
        <v>0</v>
      </c>
      <c r="AA143" s="145">
        <f>$D143*Fleet!AC231/10^7</f>
        <v>0</v>
      </c>
      <c r="AB143" s="145">
        <f>$D143*Fleet!AD231/10^7</f>
        <v>0</v>
      </c>
      <c r="AC143" s="145">
        <f>$D143*Fleet!AE231/10^7</f>
        <v>0</v>
      </c>
      <c r="AD143" s="145">
        <f>$D143*Fleet!AF231/10^7</f>
        <v>0</v>
      </c>
      <c r="AE143" s="145">
        <f>$D143*Fleet!AG231/10^7</f>
        <v>0</v>
      </c>
      <c r="AF143" s="145">
        <f>$D143*Fleet!AH231/10^7</f>
        <v>0</v>
      </c>
      <c r="AG143" s="145">
        <f>$D143*Fleet!AI231/10^7</f>
        <v>0</v>
      </c>
      <c r="AH143" s="145">
        <f>$D143*Fleet!AJ231/10^7</f>
        <v>0</v>
      </c>
      <c r="AI143" s="145">
        <f>$D143*Fleet!AK231/10^7</f>
        <v>0</v>
      </c>
      <c r="AJ143" s="145">
        <f>$D143*Fleet!AL231/10^7</f>
        <v>0</v>
      </c>
      <c r="AK143" s="145">
        <f>$D143*Fleet!AM231/10^7</f>
        <v>0</v>
      </c>
      <c r="AL143" s="145">
        <f>$D143*Fleet!AN231/10^7</f>
        <v>0</v>
      </c>
      <c r="AM143" s="145">
        <f>$D143*Fleet!AO231/10^7</f>
        <v>0</v>
      </c>
      <c r="AN143" s="145">
        <f>$D143*Fleet!AP231/10^7</f>
        <v>0</v>
      </c>
      <c r="AO143" s="145">
        <f>$D143*Fleet!AQ231/10^7</f>
        <v>0</v>
      </c>
      <c r="AP143" s="179"/>
      <c r="AQ143" s="179"/>
      <c r="AR143" s="179"/>
      <c r="AS143" s="179"/>
      <c r="AT143" s="179"/>
      <c r="AU143" s="179"/>
      <c r="AV143" s="179"/>
      <c r="AW143" s="179"/>
      <c r="AX143" s="179"/>
      <c r="AY143" s="179"/>
      <c r="AZ143" s="179"/>
      <c r="BA143" s="179"/>
      <c r="BB143" s="179"/>
      <c r="BC143" s="179"/>
      <c r="BD143" s="179"/>
    </row>
    <row r="144" spans="1:56">
      <c r="A144" s="168" t="str">
        <f t="shared" si="16"/>
        <v>Waste Thick Parting (Ob/IB)</v>
      </c>
      <c r="B144" s="165" t="str">
        <f t="shared" si="16"/>
        <v>Drill Machine/ 250mm diameter</v>
      </c>
      <c r="C144" s="171" t="s">
        <v>134</v>
      </c>
      <c r="D144" s="174">
        <f>VLOOKUP(B144,Equipment!$C$5:$V$53,Equipment!U$1,FALSE)*VLOOKUP(B144,Equipment!$C$5:$V$53,Equipment!V$1,FALSE)</f>
        <v>0</v>
      </c>
      <c r="E144" s="145">
        <f>$D144*Fleet!G232/10^7</f>
        <v>0</v>
      </c>
      <c r="F144" s="145">
        <f>$D144*Fleet!H232/10^7</f>
        <v>0</v>
      </c>
      <c r="G144" s="145">
        <f>$D144*Fleet!I232/10^7</f>
        <v>0</v>
      </c>
      <c r="H144" s="145">
        <f>$D144*Fleet!J232/10^7</f>
        <v>0</v>
      </c>
      <c r="I144" s="145">
        <f>$D144*Fleet!K232/10^7</f>
        <v>0</v>
      </c>
      <c r="J144" s="145">
        <f>$D144*Fleet!L232/10^7</f>
        <v>0</v>
      </c>
      <c r="K144" s="145">
        <f>$D144*Fleet!M232/10^7</f>
        <v>0</v>
      </c>
      <c r="L144" s="145">
        <f>$D144*Fleet!N232/10^7</f>
        <v>0</v>
      </c>
      <c r="M144" s="145">
        <f>$D144*Fleet!O232/10^7</f>
        <v>0</v>
      </c>
      <c r="N144" s="145">
        <f>$D144*Fleet!P232/10^7</f>
        <v>0</v>
      </c>
      <c r="O144" s="145">
        <f>$D144*Fleet!Q232/10^7</f>
        <v>0</v>
      </c>
      <c r="P144" s="145">
        <f>$D144*Fleet!R232/10^7</f>
        <v>0</v>
      </c>
      <c r="Q144" s="145">
        <f>$D144*Fleet!S232/10^7</f>
        <v>0</v>
      </c>
      <c r="R144" s="145">
        <f>$D144*Fleet!T232/10^7</f>
        <v>0</v>
      </c>
      <c r="S144" s="145">
        <f>$D144*Fleet!U232/10^7</f>
        <v>0</v>
      </c>
      <c r="T144" s="145">
        <f>$D144*Fleet!V232/10^7</f>
        <v>0</v>
      </c>
      <c r="U144" s="145">
        <f>$D144*Fleet!W232/10^7</f>
        <v>0</v>
      </c>
      <c r="V144" s="145">
        <f>$D144*Fleet!X232/10^7</f>
        <v>0</v>
      </c>
      <c r="W144" s="145">
        <f>$D144*Fleet!Y232/10^7</f>
        <v>0</v>
      </c>
      <c r="X144" s="145">
        <f>$D144*Fleet!Z232/10^7</f>
        <v>0</v>
      </c>
      <c r="Y144" s="145">
        <f>$D144*Fleet!AA232/10^7</f>
        <v>0</v>
      </c>
      <c r="Z144" s="145">
        <f>$D144*Fleet!AB232/10^7</f>
        <v>0</v>
      </c>
      <c r="AA144" s="145">
        <f>$D144*Fleet!AC232/10^7</f>
        <v>0</v>
      </c>
      <c r="AB144" s="145">
        <f>$D144*Fleet!AD232/10^7</f>
        <v>0</v>
      </c>
      <c r="AC144" s="145">
        <f>$D144*Fleet!AE232/10^7</f>
        <v>0</v>
      </c>
      <c r="AD144" s="145">
        <f>$D144*Fleet!AF232/10^7</f>
        <v>0</v>
      </c>
      <c r="AE144" s="145">
        <f>$D144*Fleet!AG232/10^7</f>
        <v>0</v>
      </c>
      <c r="AF144" s="145">
        <f>$D144*Fleet!AH232/10^7</f>
        <v>0</v>
      </c>
      <c r="AG144" s="145">
        <f>$D144*Fleet!AI232/10^7</f>
        <v>0</v>
      </c>
      <c r="AH144" s="145">
        <f>$D144*Fleet!AJ232/10^7</f>
        <v>0</v>
      </c>
      <c r="AI144" s="145">
        <f>$D144*Fleet!AK232/10^7</f>
        <v>0</v>
      </c>
      <c r="AJ144" s="145">
        <f>$D144*Fleet!AL232/10^7</f>
        <v>0</v>
      </c>
      <c r="AK144" s="145">
        <f>$D144*Fleet!AM232/10^7</f>
        <v>0</v>
      </c>
      <c r="AL144" s="145">
        <f>$D144*Fleet!AN232/10^7</f>
        <v>0</v>
      </c>
      <c r="AM144" s="145">
        <f>$D144*Fleet!AO232/10^7</f>
        <v>0</v>
      </c>
      <c r="AN144" s="145">
        <f>$D144*Fleet!AP232/10^7</f>
        <v>0</v>
      </c>
      <c r="AO144" s="145">
        <f>$D144*Fleet!AQ232/10^7</f>
        <v>0</v>
      </c>
      <c r="AP144" s="179"/>
      <c r="AQ144" s="179"/>
      <c r="AR144" s="179"/>
      <c r="AS144" s="179"/>
      <c r="AT144" s="179"/>
      <c r="AU144" s="179"/>
      <c r="AV144" s="179"/>
      <c r="AW144" s="179"/>
      <c r="AX144" s="179"/>
      <c r="AY144" s="179"/>
      <c r="AZ144" s="179"/>
      <c r="BA144" s="179"/>
      <c r="BB144" s="179"/>
      <c r="BC144" s="179"/>
      <c r="BD144" s="179"/>
    </row>
    <row r="145" spans="1:56">
      <c r="A145" s="168" t="str">
        <f t="shared" si="16"/>
        <v>Top Soil</v>
      </c>
      <c r="B145" s="165" t="str">
        <f t="shared" si="16"/>
        <v>Diesel hydraulic Shovel/ 1.0 cum</v>
      </c>
      <c r="C145" s="171" t="s">
        <v>134</v>
      </c>
      <c r="D145" s="174">
        <f>VLOOKUP(B145,Equipment!$C$5:$V$53,Equipment!U$1,FALSE)*VLOOKUP(B145,Equipment!$C$5:$V$53,Equipment!V$1,FALSE)</f>
        <v>0</v>
      </c>
      <c r="E145" s="145">
        <f>$D145*Fleet!G233/10^7</f>
        <v>0</v>
      </c>
      <c r="F145" s="145">
        <f>$D145*Fleet!H233/10^7</f>
        <v>0</v>
      </c>
      <c r="G145" s="145">
        <f>$D145*Fleet!I233/10^7</f>
        <v>0</v>
      </c>
      <c r="H145" s="145">
        <f>$D145*Fleet!J233/10^7</f>
        <v>0</v>
      </c>
      <c r="I145" s="145">
        <f>$D145*Fleet!K233/10^7</f>
        <v>0</v>
      </c>
      <c r="J145" s="145">
        <f>$D145*Fleet!L233/10^7</f>
        <v>0</v>
      </c>
      <c r="K145" s="145">
        <f>$D145*Fleet!M233/10^7</f>
        <v>0</v>
      </c>
      <c r="L145" s="145">
        <f>$D145*Fleet!N233/10^7</f>
        <v>0</v>
      </c>
      <c r="M145" s="145">
        <f>$D145*Fleet!O233/10^7</f>
        <v>0</v>
      </c>
      <c r="N145" s="145">
        <f>$D145*Fleet!P233/10^7</f>
        <v>0</v>
      </c>
      <c r="O145" s="145">
        <f>$D145*Fleet!Q233/10^7</f>
        <v>0</v>
      </c>
      <c r="P145" s="145">
        <f>$D145*Fleet!R233/10^7</f>
        <v>0</v>
      </c>
      <c r="Q145" s="145">
        <f>$D145*Fleet!S233/10^7</f>
        <v>0</v>
      </c>
      <c r="R145" s="145">
        <f>$D145*Fleet!T233/10^7</f>
        <v>0</v>
      </c>
      <c r="S145" s="145">
        <f>$D145*Fleet!U233/10^7</f>
        <v>0</v>
      </c>
      <c r="T145" s="145">
        <f>$D145*Fleet!V233/10^7</f>
        <v>0</v>
      </c>
      <c r="U145" s="145">
        <f>$D145*Fleet!W233/10^7</f>
        <v>0</v>
      </c>
      <c r="V145" s="145">
        <f>$D145*Fleet!X233/10^7</f>
        <v>0</v>
      </c>
      <c r="W145" s="145">
        <f>$D145*Fleet!Y233/10^7</f>
        <v>0</v>
      </c>
      <c r="X145" s="145">
        <f>$D145*Fleet!Z233/10^7</f>
        <v>0</v>
      </c>
      <c r="Y145" s="145">
        <f>$D145*Fleet!AA233/10^7</f>
        <v>0</v>
      </c>
      <c r="Z145" s="145">
        <f>$D145*Fleet!AB233/10^7</f>
        <v>0</v>
      </c>
      <c r="AA145" s="145">
        <f>$D145*Fleet!AC233/10^7</f>
        <v>0</v>
      </c>
      <c r="AB145" s="145">
        <f>$D145*Fleet!AD233/10^7</f>
        <v>0</v>
      </c>
      <c r="AC145" s="145">
        <f>$D145*Fleet!AE233/10^7</f>
        <v>0</v>
      </c>
      <c r="AD145" s="145">
        <f>$D145*Fleet!AF233/10^7</f>
        <v>0</v>
      </c>
      <c r="AE145" s="145">
        <f>$D145*Fleet!AG233/10^7</f>
        <v>0</v>
      </c>
      <c r="AF145" s="145">
        <f>$D145*Fleet!AH233/10^7</f>
        <v>0</v>
      </c>
      <c r="AG145" s="145">
        <f>$D145*Fleet!AI233/10^7</f>
        <v>0</v>
      </c>
      <c r="AH145" s="145">
        <f>$D145*Fleet!AJ233/10^7</f>
        <v>0</v>
      </c>
      <c r="AI145" s="145">
        <f>$D145*Fleet!AK233/10^7</f>
        <v>0</v>
      </c>
      <c r="AJ145" s="145">
        <f>$D145*Fleet!AL233/10^7</f>
        <v>0</v>
      </c>
      <c r="AK145" s="145">
        <f>$D145*Fleet!AM233/10^7</f>
        <v>0</v>
      </c>
      <c r="AL145" s="145">
        <f>$D145*Fleet!AN233/10^7</f>
        <v>0</v>
      </c>
      <c r="AM145" s="145">
        <f>$D145*Fleet!AO233/10^7</f>
        <v>0</v>
      </c>
      <c r="AN145" s="145">
        <f>$D145*Fleet!AP233/10^7</f>
        <v>0</v>
      </c>
      <c r="AO145" s="145">
        <f>$D145*Fleet!AQ233/10^7</f>
        <v>0</v>
      </c>
      <c r="AP145" s="179"/>
      <c r="AQ145" s="179"/>
      <c r="AR145" s="179"/>
      <c r="AS145" s="179"/>
      <c r="AT145" s="179"/>
      <c r="AU145" s="179"/>
      <c r="AV145" s="179"/>
      <c r="AW145" s="179"/>
      <c r="AX145" s="179"/>
      <c r="AY145" s="179"/>
      <c r="AZ145" s="179"/>
      <c r="BA145" s="179"/>
      <c r="BB145" s="179"/>
      <c r="BC145" s="179"/>
      <c r="BD145" s="179"/>
    </row>
    <row r="146" spans="1:56">
      <c r="A146" s="168" t="str">
        <f t="shared" si="16"/>
        <v>Thin Parting, Topsoil &amp; Coal (From Drill &amp; Blast)</v>
      </c>
      <c r="B146" s="165" t="str">
        <f t="shared" si="16"/>
        <v>Diesel hydraulic Shovel/ 4.6 cum</v>
      </c>
      <c r="C146" s="171" t="s">
        <v>134</v>
      </c>
      <c r="D146" s="174">
        <f>VLOOKUP(B146,Equipment!$C$5:$V$53,Equipment!U$1,FALSE)*VLOOKUP(B146,Equipment!$C$5:$V$53,Equipment!V$1,FALSE)</f>
        <v>0</v>
      </c>
      <c r="E146" s="145">
        <f>$D146*Fleet!G234/10^7</f>
        <v>0</v>
      </c>
      <c r="F146" s="145">
        <f>$D146*Fleet!H234/10^7</f>
        <v>0</v>
      </c>
      <c r="G146" s="145">
        <f>$D146*Fleet!I234/10^7</f>
        <v>0</v>
      </c>
      <c r="H146" s="145">
        <f>$D146*Fleet!J234/10^7</f>
        <v>0</v>
      </c>
      <c r="I146" s="145">
        <f>$D146*Fleet!K234/10^7</f>
        <v>0</v>
      </c>
      <c r="J146" s="145">
        <f>$D146*Fleet!L234/10^7</f>
        <v>0</v>
      </c>
      <c r="K146" s="145">
        <f>$D146*Fleet!M234/10^7</f>
        <v>0</v>
      </c>
      <c r="L146" s="145">
        <f>$D146*Fleet!N234/10^7</f>
        <v>0</v>
      </c>
      <c r="M146" s="145">
        <f>$D146*Fleet!O234/10^7</f>
        <v>0</v>
      </c>
      <c r="N146" s="145">
        <f>$D146*Fleet!P234/10^7</f>
        <v>0</v>
      </c>
      <c r="O146" s="145">
        <f>$D146*Fleet!Q234/10^7</f>
        <v>0</v>
      </c>
      <c r="P146" s="145">
        <f>$D146*Fleet!R234/10^7</f>
        <v>0</v>
      </c>
      <c r="Q146" s="145">
        <f>$D146*Fleet!S234/10^7</f>
        <v>0</v>
      </c>
      <c r="R146" s="145">
        <f>$D146*Fleet!T234/10^7</f>
        <v>0</v>
      </c>
      <c r="S146" s="145">
        <f>$D146*Fleet!U234/10^7</f>
        <v>0</v>
      </c>
      <c r="T146" s="145">
        <f>$D146*Fleet!V234/10^7</f>
        <v>0</v>
      </c>
      <c r="U146" s="145">
        <f>$D146*Fleet!W234/10^7</f>
        <v>0</v>
      </c>
      <c r="V146" s="145">
        <f>$D146*Fleet!X234/10^7</f>
        <v>0</v>
      </c>
      <c r="W146" s="145">
        <f>$D146*Fleet!Y234/10^7</f>
        <v>0</v>
      </c>
      <c r="X146" s="145">
        <f>$D146*Fleet!Z234/10^7</f>
        <v>0</v>
      </c>
      <c r="Y146" s="145">
        <f>$D146*Fleet!AA234/10^7</f>
        <v>0</v>
      </c>
      <c r="Z146" s="145">
        <f>$D146*Fleet!AB234/10^7</f>
        <v>0</v>
      </c>
      <c r="AA146" s="145">
        <f>$D146*Fleet!AC234/10^7</f>
        <v>0</v>
      </c>
      <c r="AB146" s="145">
        <f>$D146*Fleet!AD234/10^7</f>
        <v>0</v>
      </c>
      <c r="AC146" s="145">
        <f>$D146*Fleet!AE234/10^7</f>
        <v>0</v>
      </c>
      <c r="AD146" s="145">
        <f>$D146*Fleet!AF234/10^7</f>
        <v>0</v>
      </c>
      <c r="AE146" s="145">
        <f>$D146*Fleet!AG234/10^7</f>
        <v>0</v>
      </c>
      <c r="AF146" s="145">
        <f>$D146*Fleet!AH234/10^7</f>
        <v>0</v>
      </c>
      <c r="AG146" s="145">
        <f>$D146*Fleet!AI234/10^7</f>
        <v>0</v>
      </c>
      <c r="AH146" s="145">
        <f>$D146*Fleet!AJ234/10^7</f>
        <v>0</v>
      </c>
      <c r="AI146" s="145">
        <f>$D146*Fleet!AK234/10^7</f>
        <v>0</v>
      </c>
      <c r="AJ146" s="145">
        <f>$D146*Fleet!AL234/10^7</f>
        <v>0</v>
      </c>
      <c r="AK146" s="145">
        <f>$D146*Fleet!AM234/10^7</f>
        <v>0</v>
      </c>
      <c r="AL146" s="145">
        <f>$D146*Fleet!AN234/10^7</f>
        <v>0</v>
      </c>
      <c r="AM146" s="145">
        <f>$D146*Fleet!AO234/10^7</f>
        <v>0</v>
      </c>
      <c r="AN146" s="145">
        <f>$D146*Fleet!AP234/10^7</f>
        <v>0</v>
      </c>
      <c r="AO146" s="145">
        <f>$D146*Fleet!AQ234/10^7</f>
        <v>0</v>
      </c>
      <c r="AP146" s="179"/>
      <c r="AQ146" s="179"/>
      <c r="AR146" s="179"/>
      <c r="AS146" s="179"/>
      <c r="AT146" s="179"/>
      <c r="AU146" s="179"/>
      <c r="AV146" s="179"/>
      <c r="AW146" s="179"/>
      <c r="AX146" s="179"/>
      <c r="AY146" s="179"/>
      <c r="AZ146" s="179"/>
      <c r="BA146" s="179"/>
      <c r="BB146" s="179"/>
      <c r="BC146" s="179"/>
      <c r="BD146" s="179"/>
    </row>
    <row r="147" spans="1:56">
      <c r="A147" s="168" t="str">
        <f t="shared" si="16"/>
        <v>Waste - OB &amp; Thick Parting</v>
      </c>
      <c r="B147" s="165" t="str">
        <f t="shared" si="16"/>
        <v>Diesel hydraulic shovel/ 10 cum</v>
      </c>
      <c r="C147" s="171" t="s">
        <v>134</v>
      </c>
      <c r="D147" s="174">
        <f>VLOOKUP(B147,Equipment!$C$5:$V$53,Equipment!U$1,FALSE)*VLOOKUP(B147,Equipment!$C$5:$V$53,Equipment!V$1,FALSE)</f>
        <v>0</v>
      </c>
      <c r="E147" s="145">
        <f>$D147*Fleet!G235/10^7</f>
        <v>0</v>
      </c>
      <c r="F147" s="145">
        <f>$D147*Fleet!H235/10^7</f>
        <v>0</v>
      </c>
      <c r="G147" s="145">
        <f>$D147*Fleet!I235/10^7</f>
        <v>0</v>
      </c>
      <c r="H147" s="145">
        <f>$D147*Fleet!J235/10^7</f>
        <v>0</v>
      </c>
      <c r="I147" s="145">
        <f>$D147*Fleet!K235/10^7</f>
        <v>0</v>
      </c>
      <c r="J147" s="145">
        <f>$D147*Fleet!L235/10^7</f>
        <v>0</v>
      </c>
      <c r="K147" s="145">
        <f>$D147*Fleet!M235/10^7</f>
        <v>0</v>
      </c>
      <c r="L147" s="145">
        <f>$D147*Fleet!N235/10^7</f>
        <v>0</v>
      </c>
      <c r="M147" s="145">
        <f>$D147*Fleet!O235/10^7</f>
        <v>0</v>
      </c>
      <c r="N147" s="145">
        <f>$D147*Fleet!P235/10^7</f>
        <v>0</v>
      </c>
      <c r="O147" s="145">
        <f>$D147*Fleet!Q235/10^7</f>
        <v>0</v>
      </c>
      <c r="P147" s="145">
        <f>$D147*Fleet!R235/10^7</f>
        <v>0</v>
      </c>
      <c r="Q147" s="145">
        <f>$D147*Fleet!S235/10^7</f>
        <v>0</v>
      </c>
      <c r="R147" s="145">
        <f>$D147*Fleet!T235/10^7</f>
        <v>0</v>
      </c>
      <c r="S147" s="145">
        <f>$D147*Fleet!U235/10^7</f>
        <v>0</v>
      </c>
      <c r="T147" s="145">
        <f>$D147*Fleet!V235/10^7</f>
        <v>0</v>
      </c>
      <c r="U147" s="145">
        <f>$D147*Fleet!W235/10^7</f>
        <v>0</v>
      </c>
      <c r="V147" s="145">
        <f>$D147*Fleet!X235/10^7</f>
        <v>0</v>
      </c>
      <c r="W147" s="145">
        <f>$D147*Fleet!Y235/10^7</f>
        <v>0</v>
      </c>
      <c r="X147" s="145">
        <f>$D147*Fleet!Z235/10^7</f>
        <v>0</v>
      </c>
      <c r="Y147" s="145">
        <f>$D147*Fleet!AA235/10^7</f>
        <v>0</v>
      </c>
      <c r="Z147" s="145">
        <f>$D147*Fleet!AB235/10^7</f>
        <v>0</v>
      </c>
      <c r="AA147" s="145">
        <f>$D147*Fleet!AC235/10^7</f>
        <v>0</v>
      </c>
      <c r="AB147" s="145">
        <f>$D147*Fleet!AD235/10^7</f>
        <v>0</v>
      </c>
      <c r="AC147" s="145">
        <f>$D147*Fleet!AE235/10^7</f>
        <v>0</v>
      </c>
      <c r="AD147" s="145">
        <f>$D147*Fleet!AF235/10^7</f>
        <v>0</v>
      </c>
      <c r="AE147" s="145">
        <f>$D147*Fleet!AG235/10^7</f>
        <v>0</v>
      </c>
      <c r="AF147" s="145">
        <f>$D147*Fleet!AH235/10^7</f>
        <v>0</v>
      </c>
      <c r="AG147" s="145">
        <f>$D147*Fleet!AI235/10^7</f>
        <v>0</v>
      </c>
      <c r="AH147" s="145">
        <f>$D147*Fleet!AJ235/10^7</f>
        <v>0</v>
      </c>
      <c r="AI147" s="145">
        <f>$D147*Fleet!AK235/10^7</f>
        <v>0</v>
      </c>
      <c r="AJ147" s="145">
        <f>$D147*Fleet!AL235/10^7</f>
        <v>0</v>
      </c>
      <c r="AK147" s="145">
        <f>$D147*Fleet!AM235/10^7</f>
        <v>0</v>
      </c>
      <c r="AL147" s="145">
        <f>$D147*Fleet!AN235/10^7</f>
        <v>0</v>
      </c>
      <c r="AM147" s="145">
        <f>$D147*Fleet!AO235/10^7</f>
        <v>0</v>
      </c>
      <c r="AN147" s="145">
        <f>$D147*Fleet!AP235/10^7</f>
        <v>0</v>
      </c>
      <c r="AO147" s="145">
        <f>$D147*Fleet!AQ235/10^7</f>
        <v>0</v>
      </c>
      <c r="AP147" s="179"/>
      <c r="AQ147" s="179"/>
      <c r="AR147" s="179"/>
      <c r="AS147" s="179"/>
      <c r="AT147" s="179"/>
      <c r="AU147" s="179"/>
      <c r="AV147" s="179"/>
      <c r="AW147" s="179"/>
      <c r="AX147" s="179"/>
      <c r="AY147" s="179"/>
      <c r="AZ147" s="179"/>
      <c r="BA147" s="179"/>
      <c r="BB147" s="179"/>
      <c r="BC147" s="179"/>
      <c r="BD147" s="179"/>
    </row>
    <row r="148" spans="1:56">
      <c r="A148" s="168" t="str">
        <f t="shared" si="16"/>
        <v>Rehandling by Own Trucks and Excavators</v>
      </c>
      <c r="B148" s="165" t="str">
        <f t="shared" si="16"/>
        <v>Diesel hydraulic Shovel/ 3.4 cum</v>
      </c>
      <c r="C148" s="171" t="s">
        <v>134</v>
      </c>
      <c r="D148" s="174">
        <f>VLOOKUP(B148,Equipment!$C$5:$V$53,Equipment!U$1,FALSE)*VLOOKUP(B148,Equipment!$C$5:$V$53,Equipment!V$1,FALSE)</f>
        <v>0</v>
      </c>
      <c r="E148" s="145">
        <f>$D148*Fleet!G236/10^7</f>
        <v>0</v>
      </c>
      <c r="F148" s="145">
        <f>$D148*Fleet!H236/10^7</f>
        <v>0</v>
      </c>
      <c r="G148" s="145">
        <f>$D148*Fleet!I236/10^7</f>
        <v>0</v>
      </c>
      <c r="H148" s="145">
        <f>$D148*Fleet!J236/10^7</f>
        <v>0</v>
      </c>
      <c r="I148" s="145">
        <f>$D148*Fleet!K236/10^7</f>
        <v>0</v>
      </c>
      <c r="J148" s="145">
        <f>$D148*Fleet!L236/10^7</f>
        <v>0</v>
      </c>
      <c r="K148" s="145">
        <f>$D148*Fleet!M236/10^7</f>
        <v>0</v>
      </c>
      <c r="L148" s="145">
        <f>$D148*Fleet!N236/10^7</f>
        <v>0</v>
      </c>
      <c r="M148" s="145">
        <f>$D148*Fleet!O236/10^7</f>
        <v>0</v>
      </c>
      <c r="N148" s="145">
        <f>$D148*Fleet!P236/10^7</f>
        <v>0</v>
      </c>
      <c r="O148" s="145">
        <f>$D148*Fleet!Q236/10^7</f>
        <v>0</v>
      </c>
      <c r="P148" s="145">
        <f>$D148*Fleet!R236/10^7</f>
        <v>0</v>
      </c>
      <c r="Q148" s="145">
        <f>$D148*Fleet!S236/10^7</f>
        <v>0</v>
      </c>
      <c r="R148" s="145">
        <f>$D148*Fleet!T236/10^7</f>
        <v>0</v>
      </c>
      <c r="S148" s="145">
        <f>$D148*Fleet!U236/10^7</f>
        <v>0</v>
      </c>
      <c r="T148" s="145">
        <f>$D148*Fleet!V236/10^7</f>
        <v>0</v>
      </c>
      <c r="U148" s="145">
        <f>$D148*Fleet!W236/10^7</f>
        <v>0</v>
      </c>
      <c r="V148" s="145">
        <f>$D148*Fleet!X236/10^7</f>
        <v>0</v>
      </c>
      <c r="W148" s="145">
        <f>$D148*Fleet!Y236/10^7</f>
        <v>0</v>
      </c>
      <c r="X148" s="145">
        <f>$D148*Fleet!Z236/10^7</f>
        <v>0</v>
      </c>
      <c r="Y148" s="145">
        <f>$D148*Fleet!AA236/10^7</f>
        <v>0</v>
      </c>
      <c r="Z148" s="145">
        <f>$D148*Fleet!AB236/10^7</f>
        <v>0</v>
      </c>
      <c r="AA148" s="145">
        <f>$D148*Fleet!AC236/10^7</f>
        <v>0</v>
      </c>
      <c r="AB148" s="145">
        <f>$D148*Fleet!AD236/10^7</f>
        <v>0</v>
      </c>
      <c r="AC148" s="145">
        <f>$D148*Fleet!AE236/10^7</f>
        <v>0</v>
      </c>
      <c r="AD148" s="145">
        <f>$D148*Fleet!AF236/10^7</f>
        <v>0</v>
      </c>
      <c r="AE148" s="145">
        <f>$D148*Fleet!AG236/10^7</f>
        <v>0</v>
      </c>
      <c r="AF148" s="145">
        <f>$D148*Fleet!AH236/10^7</f>
        <v>0</v>
      </c>
      <c r="AG148" s="145">
        <f>$D148*Fleet!AI236/10^7</f>
        <v>0</v>
      </c>
      <c r="AH148" s="145">
        <f>$D148*Fleet!AJ236/10^7</f>
        <v>0</v>
      </c>
      <c r="AI148" s="145">
        <f>$D148*Fleet!AK236/10^7</f>
        <v>0</v>
      </c>
      <c r="AJ148" s="145">
        <f>$D148*Fleet!AL236/10^7</f>
        <v>0</v>
      </c>
      <c r="AK148" s="145">
        <f>$D148*Fleet!AM236/10^7</f>
        <v>0</v>
      </c>
      <c r="AL148" s="145">
        <f>$D148*Fleet!AN236/10^7</f>
        <v>0</v>
      </c>
      <c r="AM148" s="145">
        <f>$D148*Fleet!AO236/10^7</f>
        <v>0</v>
      </c>
      <c r="AN148" s="145">
        <f>$D148*Fleet!AP236/10^7</f>
        <v>0</v>
      </c>
      <c r="AO148" s="145">
        <f>$D148*Fleet!AQ236/10^7</f>
        <v>0</v>
      </c>
      <c r="AP148" s="179"/>
      <c r="AQ148" s="179"/>
      <c r="AR148" s="179"/>
      <c r="AS148" s="179"/>
      <c r="AT148" s="179"/>
      <c r="AU148" s="179"/>
      <c r="AV148" s="179"/>
      <c r="AW148" s="179"/>
      <c r="AX148" s="179"/>
      <c r="AY148" s="179"/>
      <c r="AZ148" s="179"/>
      <c r="BA148" s="179"/>
      <c r="BB148" s="179"/>
      <c r="BC148" s="179"/>
      <c r="BD148" s="179"/>
    </row>
    <row r="149" spans="1:56">
      <c r="A149" s="168" t="str">
        <f t="shared" si="16"/>
        <v>Miscelleneous</v>
      </c>
      <c r="B149" s="165" t="str">
        <f t="shared" si="16"/>
        <v>Diesel hydraulic Shovel/ 3.4 cum</v>
      </c>
      <c r="C149" s="171" t="s">
        <v>134</v>
      </c>
      <c r="D149" s="174">
        <f>VLOOKUP(B149,Equipment!$C$5:$V$53,Equipment!U$1,FALSE)*VLOOKUP(B149,Equipment!$C$5:$V$53,Equipment!V$1,FALSE)</f>
        <v>0</v>
      </c>
      <c r="E149" s="145">
        <f>$D149*Fleet!G237/10^7</f>
        <v>0</v>
      </c>
      <c r="F149" s="145">
        <f>$D149*Fleet!H237/10^7</f>
        <v>0</v>
      </c>
      <c r="G149" s="145">
        <f>$D149*Fleet!I237/10^7</f>
        <v>0</v>
      </c>
      <c r="H149" s="145">
        <f>$D149*Fleet!J237/10^7</f>
        <v>0</v>
      </c>
      <c r="I149" s="145">
        <f>$D149*Fleet!K237/10^7</f>
        <v>0</v>
      </c>
      <c r="J149" s="145">
        <f>$D149*Fleet!L237/10^7</f>
        <v>0</v>
      </c>
      <c r="K149" s="145">
        <f>$D149*Fleet!M237/10^7</f>
        <v>0</v>
      </c>
      <c r="L149" s="145">
        <f>$D149*Fleet!N237/10^7</f>
        <v>0</v>
      </c>
      <c r="M149" s="145">
        <f>$D149*Fleet!O237/10^7</f>
        <v>0</v>
      </c>
      <c r="N149" s="145">
        <f>$D149*Fleet!P237/10^7</f>
        <v>0</v>
      </c>
      <c r="O149" s="145">
        <f>$D149*Fleet!Q237/10^7</f>
        <v>0</v>
      </c>
      <c r="P149" s="145">
        <f>$D149*Fleet!R237/10^7</f>
        <v>0</v>
      </c>
      <c r="Q149" s="145">
        <f>$D149*Fleet!S237/10^7</f>
        <v>0</v>
      </c>
      <c r="R149" s="145">
        <f>$D149*Fleet!T237/10^7</f>
        <v>0</v>
      </c>
      <c r="S149" s="145">
        <f>$D149*Fleet!U237/10^7</f>
        <v>0</v>
      </c>
      <c r="T149" s="145">
        <f>$D149*Fleet!V237/10^7</f>
        <v>0</v>
      </c>
      <c r="U149" s="145">
        <f>$D149*Fleet!W237/10^7</f>
        <v>0</v>
      </c>
      <c r="V149" s="145">
        <f>$D149*Fleet!X237/10^7</f>
        <v>0</v>
      </c>
      <c r="W149" s="145">
        <f>$D149*Fleet!Y237/10^7</f>
        <v>0</v>
      </c>
      <c r="X149" s="145">
        <f>$D149*Fleet!Z237/10^7</f>
        <v>0</v>
      </c>
      <c r="Y149" s="145">
        <f>$D149*Fleet!AA237/10^7</f>
        <v>0</v>
      </c>
      <c r="Z149" s="145">
        <f>$D149*Fleet!AB237/10^7</f>
        <v>0</v>
      </c>
      <c r="AA149" s="145">
        <f>$D149*Fleet!AC237/10^7</f>
        <v>0</v>
      </c>
      <c r="AB149" s="145">
        <f>$D149*Fleet!AD237/10^7</f>
        <v>0</v>
      </c>
      <c r="AC149" s="145">
        <f>$D149*Fleet!AE237/10^7</f>
        <v>0</v>
      </c>
      <c r="AD149" s="145">
        <f>$D149*Fleet!AF237/10^7</f>
        <v>0</v>
      </c>
      <c r="AE149" s="145">
        <f>$D149*Fleet!AG237/10^7</f>
        <v>0</v>
      </c>
      <c r="AF149" s="145">
        <f>$D149*Fleet!AH237/10^7</f>
        <v>0</v>
      </c>
      <c r="AG149" s="145">
        <f>$D149*Fleet!AI237/10^7</f>
        <v>0</v>
      </c>
      <c r="AH149" s="145">
        <f>$D149*Fleet!AJ237/10^7</f>
        <v>0</v>
      </c>
      <c r="AI149" s="145">
        <f>$D149*Fleet!AK237/10^7</f>
        <v>0</v>
      </c>
      <c r="AJ149" s="145">
        <f>$D149*Fleet!AL237/10^7</f>
        <v>0</v>
      </c>
      <c r="AK149" s="145">
        <f>$D149*Fleet!AM237/10^7</f>
        <v>0</v>
      </c>
      <c r="AL149" s="145">
        <f>$D149*Fleet!AN237/10^7</f>
        <v>0</v>
      </c>
      <c r="AM149" s="145">
        <f>$D149*Fleet!AO237/10^7</f>
        <v>0</v>
      </c>
      <c r="AN149" s="145">
        <f>$D149*Fleet!AP237/10^7</f>
        <v>0</v>
      </c>
      <c r="AO149" s="145">
        <f>$D149*Fleet!AQ237/10^7</f>
        <v>0</v>
      </c>
      <c r="AP149" s="179"/>
      <c r="AQ149" s="179"/>
      <c r="AR149" s="179"/>
      <c r="AS149" s="179"/>
      <c r="AT149" s="179"/>
      <c r="AU149" s="179"/>
      <c r="AV149" s="179"/>
      <c r="AW149" s="179"/>
      <c r="AX149" s="179"/>
      <c r="AY149" s="179"/>
      <c r="AZ149" s="179"/>
      <c r="BA149" s="179"/>
      <c r="BB149" s="179"/>
      <c r="BC149" s="179"/>
      <c r="BD149" s="179"/>
    </row>
    <row r="150" spans="1:56">
      <c r="A150" s="168" t="str">
        <f t="shared" si="16"/>
        <v>Coal/Ore</v>
      </c>
      <c r="B150" s="165" t="str">
        <f t="shared" si="16"/>
        <v>Surface Miner/ 2200 SM</v>
      </c>
      <c r="C150" s="171" t="s">
        <v>134</v>
      </c>
      <c r="D150" s="174">
        <f>VLOOKUP(B150,Equipment!$C$5:$V$53,Equipment!U$1,FALSE)*VLOOKUP(B150,Equipment!$C$5:$V$53,Equipment!V$1,FALSE)</f>
        <v>0</v>
      </c>
      <c r="E150" s="145">
        <f>$D150*Fleet!G238/10^7</f>
        <v>0</v>
      </c>
      <c r="F150" s="145">
        <f>$D150*Fleet!H238/10^7</f>
        <v>0</v>
      </c>
      <c r="G150" s="145">
        <f>$D150*Fleet!I238/10^7</f>
        <v>0</v>
      </c>
      <c r="H150" s="145">
        <f>$D150*Fleet!J238/10^7</f>
        <v>0</v>
      </c>
      <c r="I150" s="145">
        <f>$D150*Fleet!K238/10^7</f>
        <v>0</v>
      </c>
      <c r="J150" s="145">
        <f>$D150*Fleet!L238/10^7</f>
        <v>0</v>
      </c>
      <c r="K150" s="145">
        <f>$D150*Fleet!M238/10^7</f>
        <v>0</v>
      </c>
      <c r="L150" s="145">
        <f>$D150*Fleet!N238/10^7</f>
        <v>0</v>
      </c>
      <c r="M150" s="145">
        <f>$D150*Fleet!O238/10^7</f>
        <v>0</v>
      </c>
      <c r="N150" s="145">
        <f>$D150*Fleet!P238/10^7</f>
        <v>0</v>
      </c>
      <c r="O150" s="145">
        <f>$D150*Fleet!Q238/10^7</f>
        <v>0</v>
      </c>
      <c r="P150" s="145">
        <f>$D150*Fleet!R238/10^7</f>
        <v>0</v>
      </c>
      <c r="Q150" s="145">
        <f>$D150*Fleet!S238/10^7</f>
        <v>0</v>
      </c>
      <c r="R150" s="145">
        <f>$D150*Fleet!T238/10^7</f>
        <v>0</v>
      </c>
      <c r="S150" s="145">
        <f>$D150*Fleet!U238/10^7</f>
        <v>0</v>
      </c>
      <c r="T150" s="145">
        <f>$D150*Fleet!V238/10^7</f>
        <v>0</v>
      </c>
      <c r="U150" s="145">
        <f>$D150*Fleet!W238/10^7</f>
        <v>0</v>
      </c>
      <c r="V150" s="145">
        <f>$D150*Fleet!X238/10^7</f>
        <v>0</v>
      </c>
      <c r="W150" s="145">
        <f>$D150*Fleet!Y238/10^7</f>
        <v>0</v>
      </c>
      <c r="X150" s="145">
        <f>$D150*Fleet!Z238/10^7</f>
        <v>0</v>
      </c>
      <c r="Y150" s="145">
        <f>$D150*Fleet!AA238/10^7</f>
        <v>0</v>
      </c>
      <c r="Z150" s="145">
        <f>$D150*Fleet!AB238/10^7</f>
        <v>0</v>
      </c>
      <c r="AA150" s="145">
        <f>$D150*Fleet!AC238/10^7</f>
        <v>0</v>
      </c>
      <c r="AB150" s="145">
        <f>$D150*Fleet!AD238/10^7</f>
        <v>0</v>
      </c>
      <c r="AC150" s="145">
        <f>$D150*Fleet!AE238/10^7</f>
        <v>0</v>
      </c>
      <c r="AD150" s="145">
        <f>$D150*Fleet!AF238/10^7</f>
        <v>0</v>
      </c>
      <c r="AE150" s="145">
        <f>$D150*Fleet!AG238/10^7</f>
        <v>0</v>
      </c>
      <c r="AF150" s="145">
        <f>$D150*Fleet!AH238/10^7</f>
        <v>0</v>
      </c>
      <c r="AG150" s="145">
        <f>$D150*Fleet!AI238/10^7</f>
        <v>0</v>
      </c>
      <c r="AH150" s="145">
        <f>$D150*Fleet!AJ238/10^7</f>
        <v>0</v>
      </c>
      <c r="AI150" s="145">
        <f>$D150*Fleet!AK238/10^7</f>
        <v>0</v>
      </c>
      <c r="AJ150" s="145">
        <f>$D150*Fleet!AL238/10^7</f>
        <v>0</v>
      </c>
      <c r="AK150" s="145">
        <f>$D150*Fleet!AM238/10^7</f>
        <v>0</v>
      </c>
      <c r="AL150" s="145">
        <f>$D150*Fleet!AN238/10^7</f>
        <v>0</v>
      </c>
      <c r="AM150" s="145">
        <f>$D150*Fleet!AO238/10^7</f>
        <v>0</v>
      </c>
      <c r="AN150" s="145">
        <f>$D150*Fleet!AP238/10^7</f>
        <v>0</v>
      </c>
      <c r="AO150" s="145">
        <f>$D150*Fleet!AQ238/10^7</f>
        <v>0</v>
      </c>
      <c r="AP150" s="179"/>
      <c r="AQ150" s="179"/>
      <c r="AR150" s="179"/>
      <c r="AS150" s="179"/>
      <c r="AT150" s="179"/>
      <c r="AU150" s="179"/>
      <c r="AV150" s="179"/>
      <c r="AW150" s="179"/>
      <c r="AX150" s="179"/>
      <c r="AY150" s="179"/>
      <c r="AZ150" s="179"/>
      <c r="BA150" s="179"/>
      <c r="BB150" s="179"/>
      <c r="BC150" s="179"/>
      <c r="BD150" s="179"/>
    </row>
    <row r="151" spans="1:56">
      <c r="A151" s="168" t="str">
        <f t="shared" si="16"/>
        <v>With SM/Ripper</v>
      </c>
      <c r="B151" s="165" t="str">
        <f t="shared" si="16"/>
        <v>Front End Loader/ 6.4 cum</v>
      </c>
      <c r="C151" s="171" t="s">
        <v>134</v>
      </c>
      <c r="D151" s="174">
        <f>VLOOKUP(B151,Equipment!$C$5:$V$53,Equipment!U$1,FALSE)*VLOOKUP(B151,Equipment!$C$5:$V$53,Equipment!V$1,FALSE)</f>
        <v>600000</v>
      </c>
      <c r="E151" s="145">
        <f>$D151*Fleet!G239/10^7</f>
        <v>0</v>
      </c>
      <c r="F151" s="145">
        <f>$D151*Fleet!H239/10^7</f>
        <v>0</v>
      </c>
      <c r="G151" s="145">
        <f>$D151*Fleet!I239/10^7</f>
        <v>0</v>
      </c>
      <c r="H151" s="145">
        <f>$D151*Fleet!J239/10^7</f>
        <v>0</v>
      </c>
      <c r="I151" s="145">
        <f>$D151*Fleet!K239/10^7</f>
        <v>0</v>
      </c>
      <c r="J151" s="145">
        <f>$D151*Fleet!L239/10^7</f>
        <v>0</v>
      </c>
      <c r="K151" s="145">
        <f>$D151*Fleet!M239/10^7</f>
        <v>0.1109524053335272</v>
      </c>
      <c r="L151" s="145">
        <f>$D151*Fleet!N239/10^7</f>
        <v>0.16642857242617906</v>
      </c>
      <c r="M151" s="145">
        <f>$D151*Fleet!O239/10^7</f>
        <v>0.2080356740295935</v>
      </c>
      <c r="N151" s="145">
        <f>$D151*Fleet!P239/10^7</f>
        <v>0.20803584004211487</v>
      </c>
      <c r="O151" s="145">
        <f>$D151*Fleet!Q239/10^7</f>
        <v>0.20803572146174243</v>
      </c>
      <c r="P151" s="145">
        <f>$D151*Fleet!R239/10^7</f>
        <v>0.20803569774566796</v>
      </c>
      <c r="Q151" s="145">
        <f>$D151*Fleet!S239/10^7</f>
        <v>0.20803579260996588</v>
      </c>
      <c r="R151" s="145">
        <f>$D151*Fleet!T239/10^7</f>
        <v>0.2080356740295935</v>
      </c>
      <c r="S151" s="145">
        <f>$D151*Fleet!U239/10^7</f>
        <v>0.20803569774566796</v>
      </c>
      <c r="T151" s="145">
        <f>$D151*Fleet!V239/10^7</f>
        <v>0.20803576889389139</v>
      </c>
      <c r="U151" s="145">
        <f>$D151*Fleet!W239/10^7</f>
        <v>0.20803595862248719</v>
      </c>
      <c r="V151" s="145">
        <f>$D151*Fleet!X239/10^7</f>
        <v>0.20803576889389139</v>
      </c>
      <c r="W151" s="145">
        <f>$D151*Fleet!Y239/10^7</f>
        <v>0.20803576889389139</v>
      </c>
      <c r="X151" s="145">
        <f>$D151*Fleet!Z239/10^7</f>
        <v>0.20803574517781692</v>
      </c>
      <c r="Y151" s="145">
        <f>$D151*Fleet!AA239/10^7</f>
        <v>0.13869048887985314</v>
      </c>
      <c r="Z151" s="145">
        <f>$D151*Fleet!AB239/10^7</f>
        <v>0.10401790816302017</v>
      </c>
      <c r="AA151" s="145">
        <f>$D151*Fleet!AC239/10^7</f>
        <v>3.0572806638250006E-2</v>
      </c>
      <c r="AB151" s="145">
        <f>$D151*Fleet!AD239/10^7</f>
        <v>0</v>
      </c>
      <c r="AC151" s="145">
        <f>$D151*Fleet!AE239/10^7</f>
        <v>0</v>
      </c>
      <c r="AD151" s="145">
        <f>$D151*Fleet!AF239/10^7</f>
        <v>0</v>
      </c>
      <c r="AE151" s="145">
        <f>$D151*Fleet!AG239/10^7</f>
        <v>0</v>
      </c>
      <c r="AF151" s="145">
        <f>$D151*Fleet!AH239/10^7</f>
        <v>0</v>
      </c>
      <c r="AG151" s="145">
        <f>$D151*Fleet!AI239/10^7</f>
        <v>0</v>
      </c>
      <c r="AH151" s="145">
        <f>$D151*Fleet!AJ239/10^7</f>
        <v>0</v>
      </c>
      <c r="AI151" s="145">
        <f>$D151*Fleet!AK239/10^7</f>
        <v>0</v>
      </c>
      <c r="AJ151" s="145">
        <f>$D151*Fleet!AL239/10^7</f>
        <v>0</v>
      </c>
      <c r="AK151" s="145">
        <f>$D151*Fleet!AM239/10^7</f>
        <v>0</v>
      </c>
      <c r="AL151" s="145">
        <f>$D151*Fleet!AN239/10^7</f>
        <v>0</v>
      </c>
      <c r="AM151" s="145">
        <f>$D151*Fleet!AO239/10^7</f>
        <v>0</v>
      </c>
      <c r="AN151" s="145">
        <f>$D151*Fleet!AP239/10^7</f>
        <v>0</v>
      </c>
      <c r="AO151" s="145">
        <f>$D151*Fleet!AQ239/10^7</f>
        <v>0</v>
      </c>
      <c r="AP151" s="179"/>
      <c r="AQ151" s="179"/>
      <c r="AR151" s="179"/>
      <c r="AS151" s="179"/>
      <c r="AT151" s="179"/>
      <c r="AU151" s="179"/>
      <c r="AV151" s="179"/>
      <c r="AW151" s="179"/>
      <c r="AX151" s="179"/>
      <c r="AY151" s="179"/>
      <c r="AZ151" s="179"/>
      <c r="BA151" s="179"/>
      <c r="BB151" s="179"/>
      <c r="BC151" s="179"/>
      <c r="BD151" s="179"/>
    </row>
    <row r="152" spans="1:56">
      <c r="A152" s="168" t="str">
        <f t="shared" si="16"/>
        <v>Miscelleneous</v>
      </c>
      <c r="B152" s="165" t="str">
        <f t="shared" si="16"/>
        <v>Front End Loader/ 1.7cum</v>
      </c>
      <c r="C152" s="171" t="s">
        <v>134</v>
      </c>
      <c r="D152" s="174">
        <f>VLOOKUP(B152,Equipment!$C$5:$V$53,Equipment!U$1,FALSE)*VLOOKUP(B152,Equipment!$C$5:$V$53,Equipment!V$1,FALSE)</f>
        <v>307200</v>
      </c>
      <c r="E152" s="145">
        <f>$D152*Fleet!G240/10^7</f>
        <v>2.7136260675665125E-3</v>
      </c>
      <c r="F152" s="145">
        <f>$D152*Fleet!H240/10^7</f>
        <v>5.4272509750577392E-3</v>
      </c>
      <c r="G152" s="145">
        <f>$D152*Fleet!I240/10^7</f>
        <v>1.0854506590416623E-2</v>
      </c>
      <c r="H152" s="145">
        <f>$D152*Fleet!J240/10^7</f>
        <v>1.628175640539907E-2</v>
      </c>
      <c r="I152" s="145">
        <f>$D152*Fleet!K240/10^7</f>
        <v>2.0352191446485344E-2</v>
      </c>
      <c r="J152" s="145">
        <f>$D152*Fleet!L240/10^7</f>
        <v>2.0352207687539352E-2</v>
      </c>
      <c r="K152" s="145">
        <f>$D152*Fleet!M240/10^7</f>
        <v>2.0352196086786491E-2</v>
      </c>
      <c r="L152" s="145">
        <f>$D152*Fleet!N240/10^7</f>
        <v>2.0352193766635916E-2</v>
      </c>
      <c r="M152" s="145">
        <f>$D152*Fleet!O240/10^7</f>
        <v>2.0352203047238199E-2</v>
      </c>
      <c r="N152" s="145">
        <f>$D152*Fleet!P240/10^7</f>
        <v>2.0352191446485344E-2</v>
      </c>
      <c r="O152" s="145">
        <f>$D152*Fleet!Q240/10^7</f>
        <v>2.0352193766635916E-2</v>
      </c>
      <c r="P152" s="145">
        <f>$D152*Fleet!R240/10^7</f>
        <v>2.0352200727087631E-2</v>
      </c>
      <c r="Q152" s="145">
        <f>$D152*Fleet!S240/10^7</f>
        <v>2.0352219288292211E-2</v>
      </c>
      <c r="R152" s="145">
        <f>$D152*Fleet!T240/10^7</f>
        <v>2.0352200727087631E-2</v>
      </c>
      <c r="S152" s="145">
        <f>$D152*Fleet!U240/10^7</f>
        <v>2.0352200727087631E-2</v>
      </c>
      <c r="T152" s="145">
        <f>$D152*Fleet!V240/10^7</f>
        <v>2.0352198406937059E-2</v>
      </c>
      <c r="U152" s="145">
        <f>$D152*Fleet!W240/10^7</f>
        <v>1.3568131497907848E-2</v>
      </c>
      <c r="V152" s="145">
        <f>$D152*Fleet!X240/10^7</f>
        <v>1.0176102683694387E-2</v>
      </c>
      <c r="W152" s="145">
        <f>$D152*Fleet!Y240/10^7</f>
        <v>2.9909467049844991E-3</v>
      </c>
      <c r="X152" s="145">
        <f>$D152*Fleet!Z240/10^7</f>
        <v>0</v>
      </c>
      <c r="Y152" s="145">
        <f>$D152*Fleet!AA240/10^7</f>
        <v>0</v>
      </c>
      <c r="Z152" s="145">
        <f>$D152*Fleet!AB240/10^7</f>
        <v>0</v>
      </c>
      <c r="AA152" s="145">
        <f>$D152*Fleet!AC240/10^7</f>
        <v>0</v>
      </c>
      <c r="AB152" s="145">
        <f>$D152*Fleet!AD240/10^7</f>
        <v>0</v>
      </c>
      <c r="AC152" s="145">
        <f>$D152*Fleet!AE240/10^7</f>
        <v>0</v>
      </c>
      <c r="AD152" s="145">
        <f>$D152*Fleet!AF240/10^7</f>
        <v>0</v>
      </c>
      <c r="AE152" s="145">
        <f>$D152*Fleet!AG240/10^7</f>
        <v>0</v>
      </c>
      <c r="AF152" s="145">
        <f>$D152*Fleet!AH240/10^7</f>
        <v>0</v>
      </c>
      <c r="AG152" s="145">
        <f>$D152*Fleet!AI240/10^7</f>
        <v>0</v>
      </c>
      <c r="AH152" s="145">
        <f>$D152*Fleet!AJ240/10^7</f>
        <v>0</v>
      </c>
      <c r="AI152" s="145">
        <f>$D152*Fleet!AK240/10^7</f>
        <v>0</v>
      </c>
      <c r="AJ152" s="145">
        <f>$D152*Fleet!AL240/10^7</f>
        <v>0</v>
      </c>
      <c r="AK152" s="145">
        <f>$D152*Fleet!AM240/10^7</f>
        <v>0</v>
      </c>
      <c r="AL152" s="145">
        <f>$D152*Fleet!AN240/10^7</f>
        <v>0</v>
      </c>
      <c r="AM152" s="145">
        <f>$D152*Fleet!AO240/10^7</f>
        <v>0</v>
      </c>
      <c r="AN152" s="145">
        <f>$D152*Fleet!AP240/10^7</f>
        <v>0</v>
      </c>
      <c r="AO152" s="145">
        <f>$D152*Fleet!AQ240/10^7</f>
        <v>0</v>
      </c>
      <c r="AP152" s="179"/>
      <c r="AQ152" s="179"/>
      <c r="AR152" s="179"/>
      <c r="AS152" s="179"/>
      <c r="AT152" s="179"/>
      <c r="AU152" s="179"/>
      <c r="AV152" s="179"/>
      <c r="AW152" s="179"/>
      <c r="AX152" s="179"/>
      <c r="AY152" s="179"/>
      <c r="AZ152" s="179"/>
      <c r="BA152" s="179"/>
      <c r="BB152" s="179"/>
      <c r="BC152" s="179"/>
      <c r="BD152" s="179"/>
    </row>
    <row r="153" spans="1:56">
      <c r="A153" s="168" t="str">
        <f t="shared" si="16"/>
        <v>Topsoil</v>
      </c>
      <c r="B153" s="165" t="str">
        <f t="shared" si="16"/>
        <v>Tipper/ 20t</v>
      </c>
      <c r="C153" s="171" t="s">
        <v>134</v>
      </c>
      <c r="D153" s="174">
        <f>VLOOKUP(B153,Equipment!$C$5:$V$53,Equipment!U$1,FALSE)*VLOOKUP(B153,Equipment!$C$5:$V$53,Equipment!V$1,FALSE)</f>
        <v>300000</v>
      </c>
      <c r="E153" s="145">
        <f>$D153*Fleet!G241/10^7</f>
        <v>0</v>
      </c>
      <c r="F153" s="145">
        <f>$D153*Fleet!H241/10^7</f>
        <v>0</v>
      </c>
      <c r="G153" s="145">
        <f>$D153*Fleet!I241/10^7</f>
        <v>0</v>
      </c>
      <c r="H153" s="145">
        <f>$D153*Fleet!J241/10^7</f>
        <v>0</v>
      </c>
      <c r="I153" s="145">
        <f>$D153*Fleet!K241/10^7</f>
        <v>0</v>
      </c>
      <c r="J153" s="145">
        <f>$D153*Fleet!L241/10^7</f>
        <v>0</v>
      </c>
      <c r="K153" s="145">
        <f>$D153*Fleet!M241/10^7</f>
        <v>0</v>
      </c>
      <c r="L153" s="145">
        <f>$D153*Fleet!N241/10^7</f>
        <v>0</v>
      </c>
      <c r="M153" s="145">
        <f>$D153*Fleet!O241/10^7</f>
        <v>0</v>
      </c>
      <c r="N153" s="145">
        <f>$D153*Fleet!P241/10^7</f>
        <v>0</v>
      </c>
      <c r="O153" s="145">
        <f>$D153*Fleet!Q241/10^7</f>
        <v>0</v>
      </c>
      <c r="P153" s="145">
        <f>$D153*Fleet!R241/10^7</f>
        <v>0</v>
      </c>
      <c r="Q153" s="145">
        <f>$D153*Fleet!S241/10^7</f>
        <v>0</v>
      </c>
      <c r="R153" s="145">
        <f>$D153*Fleet!T241/10^7</f>
        <v>0</v>
      </c>
      <c r="S153" s="145">
        <f>$D153*Fleet!U241/10^7</f>
        <v>0</v>
      </c>
      <c r="T153" s="145">
        <f>$D153*Fleet!V241/10^7</f>
        <v>0</v>
      </c>
      <c r="U153" s="145">
        <f>$D153*Fleet!W241/10^7</f>
        <v>0</v>
      </c>
      <c r="V153" s="145">
        <f>$D153*Fleet!X241/10^7</f>
        <v>0</v>
      </c>
      <c r="W153" s="145">
        <f>$D153*Fleet!Y241/10^7</f>
        <v>0</v>
      </c>
      <c r="X153" s="145">
        <f>$D153*Fleet!Z241/10^7</f>
        <v>0</v>
      </c>
      <c r="Y153" s="145">
        <f>$D153*Fleet!AA241/10^7</f>
        <v>0</v>
      </c>
      <c r="Z153" s="145">
        <f>$D153*Fleet!AB241/10^7</f>
        <v>0</v>
      </c>
      <c r="AA153" s="145">
        <f>$D153*Fleet!AC241/10^7</f>
        <v>0</v>
      </c>
      <c r="AB153" s="145">
        <f>$D153*Fleet!AD241/10^7</f>
        <v>0</v>
      </c>
      <c r="AC153" s="145">
        <f>$D153*Fleet!AE241/10^7</f>
        <v>0</v>
      </c>
      <c r="AD153" s="145">
        <f>$D153*Fleet!AF241/10^7</f>
        <v>0</v>
      </c>
      <c r="AE153" s="145">
        <f>$D153*Fleet!AG241/10^7</f>
        <v>0</v>
      </c>
      <c r="AF153" s="145">
        <f>$D153*Fleet!AH241/10^7</f>
        <v>0</v>
      </c>
      <c r="AG153" s="145">
        <f>$D153*Fleet!AI241/10^7</f>
        <v>0</v>
      </c>
      <c r="AH153" s="145">
        <f>$D153*Fleet!AJ241/10^7</f>
        <v>0</v>
      </c>
      <c r="AI153" s="145">
        <f>$D153*Fleet!AK241/10^7</f>
        <v>0</v>
      </c>
      <c r="AJ153" s="145">
        <f>$D153*Fleet!AL241/10^7</f>
        <v>0</v>
      </c>
      <c r="AK153" s="145">
        <f>$D153*Fleet!AM241/10^7</f>
        <v>0</v>
      </c>
      <c r="AL153" s="145">
        <f>$D153*Fleet!AN241/10^7</f>
        <v>0</v>
      </c>
      <c r="AM153" s="145">
        <f>$D153*Fleet!AO241/10^7</f>
        <v>0</v>
      </c>
      <c r="AN153" s="145">
        <f>$D153*Fleet!AP241/10^7</f>
        <v>0</v>
      </c>
      <c r="AO153" s="145">
        <f>$D153*Fleet!AQ241/10^7</f>
        <v>0</v>
      </c>
      <c r="AP153" s="179"/>
      <c r="AQ153" s="179"/>
      <c r="AR153" s="179"/>
      <c r="AS153" s="179"/>
      <c r="AT153" s="179"/>
      <c r="AU153" s="179"/>
      <c r="AV153" s="179"/>
      <c r="AW153" s="179"/>
      <c r="AX153" s="179"/>
      <c r="AY153" s="179"/>
      <c r="AZ153" s="179"/>
      <c r="BA153" s="179"/>
      <c r="BB153" s="179"/>
      <c r="BC153" s="179"/>
      <c r="BD153" s="179"/>
    </row>
    <row r="154" spans="1:56">
      <c r="A154" s="168" t="str">
        <f t="shared" si="16"/>
        <v>Thin  Parting + Rehandling</v>
      </c>
      <c r="B154" s="165" t="str">
        <f t="shared" si="16"/>
        <v>Tipper/ 35t</v>
      </c>
      <c r="C154" s="171" t="s">
        <v>134</v>
      </c>
      <c r="D154" s="174">
        <f>VLOOKUP(B154,Equipment!$C$5:$V$53,Equipment!U$1,FALSE)*VLOOKUP(B154,Equipment!$C$5:$V$53,Equipment!V$1,FALSE)</f>
        <v>900000</v>
      </c>
      <c r="E154" s="145">
        <f>$D154*Fleet!G242/10^7</f>
        <v>0</v>
      </c>
      <c r="F154" s="145">
        <f>$D154*Fleet!H242/10^7</f>
        <v>0</v>
      </c>
      <c r="G154" s="145">
        <f>$D154*Fleet!I242/10^7</f>
        <v>0</v>
      </c>
      <c r="H154" s="145">
        <f>$D154*Fleet!J242/10^7</f>
        <v>0</v>
      </c>
      <c r="I154" s="145">
        <f>$D154*Fleet!K242/10^7</f>
        <v>0</v>
      </c>
      <c r="J154" s="145">
        <f>$D154*Fleet!L242/10^7</f>
        <v>0</v>
      </c>
      <c r="K154" s="145">
        <f>$D154*Fleet!M242/10^7</f>
        <v>0</v>
      </c>
      <c r="L154" s="145">
        <f>$D154*Fleet!N242/10^7</f>
        <v>1.1687998777777775</v>
      </c>
      <c r="M154" s="145">
        <f>$D154*Fleet!O242/10^7</f>
        <v>1.2428271896686158</v>
      </c>
      <c r="N154" s="145">
        <f>$D154*Fleet!P242/10^7</f>
        <v>2.028359458052809</v>
      </c>
      <c r="O154" s="145">
        <f>$D154*Fleet!Q242/10^7</f>
        <v>1.9570931183683682</v>
      </c>
      <c r="P154" s="145">
        <f>$D154*Fleet!R242/10^7</f>
        <v>1.7303559555555552</v>
      </c>
      <c r="Q154" s="145">
        <f>$D154*Fleet!S242/10^7</f>
        <v>1.8838403836373687</v>
      </c>
      <c r="R154" s="145">
        <f>$D154*Fleet!T242/10^7</f>
        <v>1.7593202179352883</v>
      </c>
      <c r="S154" s="145">
        <f>$D154*Fleet!U242/10^7</f>
        <v>1.9514606331471138</v>
      </c>
      <c r="T154" s="145">
        <f>$D154*Fleet!V242/10^7</f>
        <v>1.4863161452513964</v>
      </c>
      <c r="U154" s="145">
        <f>$D154*Fleet!W242/10^7</f>
        <v>1.2853474812369492</v>
      </c>
      <c r="V154" s="145">
        <f>$D154*Fleet!X242/10^7</f>
        <v>1.5729129767364292</v>
      </c>
      <c r="W154" s="145">
        <f>$D154*Fleet!Y242/10^7</f>
        <v>1.5448664130315046</v>
      </c>
      <c r="X154" s="145">
        <f>$D154*Fleet!Z242/10^7</f>
        <v>1.9106365077581593</v>
      </c>
      <c r="Y154" s="145">
        <f>$D154*Fleet!AA242/10^7</f>
        <v>1.160873013713164</v>
      </c>
      <c r="Z154" s="145">
        <f>$D154*Fleet!AB242/10^7</f>
        <v>0.19616624027085927</v>
      </c>
      <c r="AA154" s="145">
        <f>$D154*Fleet!AC242/10^7</f>
        <v>5.598569478247642E-2</v>
      </c>
      <c r="AB154" s="145">
        <f>$D154*Fleet!AD242/10^7</f>
        <v>0</v>
      </c>
      <c r="AC154" s="145">
        <f>$D154*Fleet!AE242/10^7</f>
        <v>0</v>
      </c>
      <c r="AD154" s="145">
        <f>$D154*Fleet!AF242/10^7</f>
        <v>0</v>
      </c>
      <c r="AE154" s="145">
        <f>$D154*Fleet!AG242/10^7</f>
        <v>0</v>
      </c>
      <c r="AF154" s="145">
        <f>$D154*Fleet!AH242/10^7</f>
        <v>0</v>
      </c>
      <c r="AG154" s="145">
        <f>$D154*Fleet!AI242/10^7</f>
        <v>0</v>
      </c>
      <c r="AH154" s="145">
        <f>$D154*Fleet!AJ242/10^7</f>
        <v>0</v>
      </c>
      <c r="AI154" s="145">
        <f>$D154*Fleet!AK242/10^7</f>
        <v>0</v>
      </c>
      <c r="AJ154" s="145">
        <f>$D154*Fleet!AL242/10^7</f>
        <v>0</v>
      </c>
      <c r="AK154" s="145">
        <f>$D154*Fleet!AM242/10^7</f>
        <v>0</v>
      </c>
      <c r="AL154" s="145">
        <f>$D154*Fleet!AN242/10^7</f>
        <v>0</v>
      </c>
      <c r="AM154" s="145">
        <f>$D154*Fleet!AO242/10^7</f>
        <v>0</v>
      </c>
      <c r="AN154" s="145">
        <f>$D154*Fleet!AP242/10^7</f>
        <v>0</v>
      </c>
      <c r="AO154" s="145">
        <f>$D154*Fleet!AQ242/10^7</f>
        <v>0</v>
      </c>
      <c r="AP154" s="179"/>
      <c r="AQ154" s="179"/>
      <c r="AR154" s="179"/>
      <c r="AS154" s="179"/>
      <c r="AT154" s="179"/>
      <c r="AU154" s="179"/>
      <c r="AV154" s="179"/>
      <c r="AW154" s="179"/>
      <c r="AX154" s="179"/>
      <c r="AY154" s="179"/>
      <c r="AZ154" s="179"/>
      <c r="BA154" s="179"/>
      <c r="BB154" s="179"/>
      <c r="BC154" s="179"/>
      <c r="BD154" s="179"/>
    </row>
    <row r="155" spans="1:56">
      <c r="A155" s="168" t="str">
        <f t="shared" si="16"/>
        <v>Waste - OB &amp; Thick Parting</v>
      </c>
      <c r="B155" s="165" t="str">
        <f t="shared" si="16"/>
        <v>Dumper/ 100t</v>
      </c>
      <c r="C155" s="171" t="s">
        <v>134</v>
      </c>
      <c r="D155" s="174">
        <f>VLOOKUP(B155,Equipment!$C$5:$V$53,Equipment!U$1,FALSE)*VLOOKUP(B155,Equipment!$C$5:$V$53,Equipment!V$1,FALSE)</f>
        <v>4800000</v>
      </c>
      <c r="E155" s="145">
        <f>$D155*Fleet!G243/10^7</f>
        <v>0</v>
      </c>
      <c r="F155" s="145">
        <f>$D155*Fleet!H243/10^7</f>
        <v>0</v>
      </c>
      <c r="G155" s="145">
        <f>$D155*Fleet!I243/10^7</f>
        <v>0</v>
      </c>
      <c r="H155" s="145">
        <f>$D155*Fleet!J243/10^7</f>
        <v>0</v>
      </c>
      <c r="I155" s="145">
        <f>$D155*Fleet!K243/10^7</f>
        <v>0</v>
      </c>
      <c r="J155" s="145">
        <f>$D155*Fleet!L243/10^7</f>
        <v>0</v>
      </c>
      <c r="K155" s="145">
        <f>$D155*Fleet!M243/10^7</f>
        <v>0</v>
      </c>
      <c r="L155" s="145">
        <f>$D155*Fleet!N243/10^7</f>
        <v>9.7328417036709958</v>
      </c>
      <c r="M155" s="145">
        <f>$D155*Fleet!O243/10^7</f>
        <v>10.325469338868535</v>
      </c>
      <c r="N155" s="145">
        <f>$D155*Fleet!P243/10^7</f>
        <v>16.696871458485809</v>
      </c>
      <c r="O155" s="145">
        <f>$D155*Fleet!Q243/10^7</f>
        <v>15.926050157584486</v>
      </c>
      <c r="P155" s="145">
        <f>$D155*Fleet!R243/10^7</f>
        <v>14.107210072681445</v>
      </c>
      <c r="Q155" s="145">
        <f>$D155*Fleet!S243/10^7</f>
        <v>15.391493021887207</v>
      </c>
      <c r="R155" s="145">
        <f>$D155*Fleet!T243/10^7</f>
        <v>14.400115964979365</v>
      </c>
      <c r="S155" s="145">
        <f>$D155*Fleet!U243/10^7</f>
        <v>15.987021518709899</v>
      </c>
      <c r="T155" s="145">
        <f>$D155*Fleet!V243/10^7</f>
        <v>11.975643558851081</v>
      </c>
      <c r="U155" s="145">
        <f>$D155*Fleet!W243/10^7</f>
        <v>10.511888171749515</v>
      </c>
      <c r="V155" s="145">
        <f>$D155*Fleet!X243/10^7</f>
        <v>12.862019115971306</v>
      </c>
      <c r="W155" s="145">
        <f>$D155*Fleet!Y243/10^7</f>
        <v>12.623878160373801</v>
      </c>
      <c r="X155" s="145">
        <f>$D155*Fleet!Z243/10^7</f>
        <v>15.840015785491691</v>
      </c>
      <c r="Y155" s="145">
        <f>$D155*Fleet!AA243/10^7</f>
        <v>9.4646270269178352</v>
      </c>
      <c r="Z155" s="145">
        <f>$D155*Fleet!AB243/10^7</f>
        <v>1.5995586485149924</v>
      </c>
      <c r="AA155" s="145">
        <f>$D155*Fleet!AC243/10^7</f>
        <v>0.43834281614954956</v>
      </c>
      <c r="AB155" s="145">
        <f>$D155*Fleet!AD243/10^7</f>
        <v>0</v>
      </c>
      <c r="AC155" s="145">
        <f>$D155*Fleet!AE243/10^7</f>
        <v>0</v>
      </c>
      <c r="AD155" s="145">
        <f>$D155*Fleet!AF243/10^7</f>
        <v>0</v>
      </c>
      <c r="AE155" s="145">
        <f>$D155*Fleet!AG243/10^7</f>
        <v>0</v>
      </c>
      <c r="AF155" s="145">
        <f>$D155*Fleet!AH243/10^7</f>
        <v>0</v>
      </c>
      <c r="AG155" s="145">
        <f>$D155*Fleet!AI243/10^7</f>
        <v>0</v>
      </c>
      <c r="AH155" s="145">
        <f>$D155*Fleet!AJ243/10^7</f>
        <v>0</v>
      </c>
      <c r="AI155" s="145">
        <f>$D155*Fleet!AK243/10^7</f>
        <v>0</v>
      </c>
      <c r="AJ155" s="145">
        <f>$D155*Fleet!AL243/10^7</f>
        <v>0</v>
      </c>
      <c r="AK155" s="145">
        <f>$D155*Fleet!AM243/10^7</f>
        <v>0</v>
      </c>
      <c r="AL155" s="145">
        <f>$D155*Fleet!AN243/10^7</f>
        <v>0</v>
      </c>
      <c r="AM155" s="145">
        <f>$D155*Fleet!AO243/10^7</f>
        <v>0</v>
      </c>
      <c r="AN155" s="145">
        <f>$D155*Fleet!AP243/10^7</f>
        <v>0</v>
      </c>
      <c r="AO155" s="145">
        <f>$D155*Fleet!AQ243/10^7</f>
        <v>0</v>
      </c>
      <c r="AP155" s="179"/>
      <c r="AQ155" s="179"/>
      <c r="AR155" s="179"/>
      <c r="AS155" s="179"/>
      <c r="AT155" s="179"/>
      <c r="AU155" s="179"/>
      <c r="AV155" s="179"/>
      <c r="AW155" s="179"/>
      <c r="AX155" s="179"/>
      <c r="AY155" s="179"/>
      <c r="AZ155" s="179"/>
      <c r="BA155" s="179"/>
      <c r="BB155" s="179"/>
      <c r="BC155" s="179"/>
      <c r="BD155" s="179"/>
    </row>
    <row r="156" spans="1:56">
      <c r="A156" s="168" t="str">
        <f t="shared" si="16"/>
        <v>Coal/Ore</v>
      </c>
      <c r="B156" s="165" t="str">
        <f t="shared" si="16"/>
        <v>Dumper/ 40t</v>
      </c>
      <c r="C156" s="171" t="s">
        <v>134</v>
      </c>
      <c r="D156" s="174">
        <f>VLOOKUP(B156,Equipment!$C$5:$V$53,Equipment!U$1,FALSE)*VLOOKUP(B156,Equipment!$C$5:$V$53,Equipment!V$1,FALSE)</f>
        <v>921600</v>
      </c>
      <c r="E156" s="145">
        <f>$D156*Fleet!G244/10^7</f>
        <v>0</v>
      </c>
      <c r="F156" s="145">
        <f>$D156*Fleet!H244/10^7</f>
        <v>0</v>
      </c>
      <c r="G156" s="145">
        <f>$D156*Fleet!I244/10^7</f>
        <v>0</v>
      </c>
      <c r="H156" s="145">
        <f>$D156*Fleet!J244/10^7</f>
        <v>0</v>
      </c>
      <c r="I156" s="145">
        <f>$D156*Fleet!K244/10^7</f>
        <v>0.23536688382022566</v>
      </c>
      <c r="J156" s="145">
        <f>$D156*Fleet!L244/10^7</f>
        <v>0.4707336670210962</v>
      </c>
      <c r="K156" s="145">
        <f>$D156*Fleet!M244/10^7</f>
        <v>1.0738616369676834</v>
      </c>
      <c r="L156" s="145">
        <f>$D156*Fleet!N244/10^7</f>
        <v>1.874376274786524</v>
      </c>
      <c r="M156" s="145">
        <f>$D156*Fleet!O244/10^7</f>
        <v>2.4313838336477032</v>
      </c>
      <c r="N156" s="145">
        <f>$D156*Fleet!P244/10^7</f>
        <v>2.5772689203261847</v>
      </c>
      <c r="O156" s="145">
        <f>$D156*Fleet!Q244/10^7</f>
        <v>2.6846535950870831</v>
      </c>
      <c r="P156" s="145">
        <f>$D156*Fleet!R244/10^7</f>
        <v>2.8013773450816108</v>
      </c>
      <c r="Q156" s="145">
        <f>$D156*Fleet!S244/10^7</f>
        <v>2.9287140144422161</v>
      </c>
      <c r="R156" s="145">
        <f>$D156*Fleet!T244/10^7</f>
        <v>2.9968219344960065</v>
      </c>
      <c r="S156" s="145">
        <f>$D156*Fleet!U244/10^7</f>
        <v>3.1430087286281498</v>
      </c>
      <c r="T156" s="145">
        <f>$D156*Fleet!V244/10^7</f>
        <v>3.221585048625792</v>
      </c>
      <c r="U156" s="145">
        <f>$D156*Fleet!W244/10^7</f>
        <v>3.3911452491694347</v>
      </c>
      <c r="V156" s="145">
        <f>$D156*Fleet!X244/10^7</f>
        <v>3.4827946471630185</v>
      </c>
      <c r="W156" s="145">
        <f>$D156*Fleet!Y244/10^7</f>
        <v>3.6818114841437621</v>
      </c>
      <c r="X156" s="145">
        <f>$D156*Fleet!Z244/10^7</f>
        <v>3.6818110644173085</v>
      </c>
      <c r="Y156" s="145">
        <f>$D156*Fleet!AA244/10^7</f>
        <v>2.4545405697027221</v>
      </c>
      <c r="Z156" s="145">
        <f>$D156*Fleet!AB244/10^7</f>
        <v>1.8409061617983342</v>
      </c>
      <c r="AA156" s="145">
        <f>$D156*Fleet!AC244/10^7</f>
        <v>0.54107671570953952</v>
      </c>
      <c r="AB156" s="145">
        <f>$D156*Fleet!AD244/10^7</f>
        <v>0</v>
      </c>
      <c r="AC156" s="145">
        <f>$D156*Fleet!AE244/10^7</f>
        <v>0</v>
      </c>
      <c r="AD156" s="145">
        <f>$D156*Fleet!AF244/10^7</f>
        <v>0</v>
      </c>
      <c r="AE156" s="145">
        <f>$D156*Fleet!AG244/10^7</f>
        <v>0</v>
      </c>
      <c r="AF156" s="145">
        <f>$D156*Fleet!AH244/10^7</f>
        <v>0</v>
      </c>
      <c r="AG156" s="145">
        <f>$D156*Fleet!AI244/10^7</f>
        <v>0</v>
      </c>
      <c r="AH156" s="145">
        <f>$D156*Fleet!AJ244/10^7</f>
        <v>0</v>
      </c>
      <c r="AI156" s="145">
        <f>$D156*Fleet!AK244/10^7</f>
        <v>0</v>
      </c>
      <c r="AJ156" s="145">
        <f>$D156*Fleet!AL244/10^7</f>
        <v>0</v>
      </c>
      <c r="AK156" s="145">
        <f>$D156*Fleet!AM244/10^7</f>
        <v>0</v>
      </c>
      <c r="AL156" s="145">
        <f>$D156*Fleet!AN244/10^7</f>
        <v>0</v>
      </c>
      <c r="AM156" s="145">
        <f>$D156*Fleet!AO244/10^7</f>
        <v>0</v>
      </c>
      <c r="AN156" s="145">
        <f>$D156*Fleet!AP244/10^7</f>
        <v>0</v>
      </c>
      <c r="AO156" s="145">
        <f>$D156*Fleet!AQ244/10^7</f>
        <v>0</v>
      </c>
      <c r="AP156" s="179"/>
      <c r="AQ156" s="179"/>
      <c r="AR156" s="179"/>
      <c r="AS156" s="179"/>
      <c r="AT156" s="179"/>
      <c r="AU156" s="179"/>
      <c r="AV156" s="179"/>
      <c r="AW156" s="179"/>
      <c r="AX156" s="179"/>
      <c r="AY156" s="179"/>
      <c r="AZ156" s="179"/>
      <c r="BA156" s="179"/>
      <c r="BB156" s="179"/>
      <c r="BC156" s="179"/>
      <c r="BD156" s="179"/>
    </row>
    <row r="157" spans="1:56">
      <c r="A157" s="168" t="str">
        <f t="shared" si="16"/>
        <v/>
      </c>
      <c r="B157" s="165" t="str">
        <f t="shared" si="16"/>
        <v>Track Dozer/ 405 HP</v>
      </c>
      <c r="C157" s="171" t="s">
        <v>134</v>
      </c>
      <c r="D157" s="174">
        <f>VLOOKUP(B157,Equipment!$C$5:$V$53,Equipment!U$1,FALSE)*VLOOKUP(B157,Equipment!$C$5:$V$53,Equipment!V$1,FALSE)</f>
        <v>0</v>
      </c>
      <c r="E157" s="145">
        <f>$D157*Fleet!G245/10^7</f>
        <v>0</v>
      </c>
      <c r="F157" s="145">
        <f>$D157*Fleet!H245/10^7</f>
        <v>0</v>
      </c>
      <c r="G157" s="145">
        <f>$D157*Fleet!I245/10^7</f>
        <v>0</v>
      </c>
      <c r="H157" s="145">
        <f>$D157*Fleet!J245/10^7</f>
        <v>0</v>
      </c>
      <c r="I157" s="145">
        <f>$D157*Fleet!K245/10^7</f>
        <v>0</v>
      </c>
      <c r="J157" s="145">
        <f>$D157*Fleet!L245/10^7</f>
        <v>0</v>
      </c>
      <c r="K157" s="145">
        <f>$D157*Fleet!M245/10^7</f>
        <v>0</v>
      </c>
      <c r="L157" s="145">
        <f>$D157*Fleet!N245/10^7</f>
        <v>0</v>
      </c>
      <c r="M157" s="145">
        <f>$D157*Fleet!O245/10^7</f>
        <v>0</v>
      </c>
      <c r="N157" s="145">
        <f>$D157*Fleet!P245/10^7</f>
        <v>0</v>
      </c>
      <c r="O157" s="145">
        <f>$D157*Fleet!Q245/10^7</f>
        <v>0</v>
      </c>
      <c r="P157" s="145">
        <f>$D157*Fleet!R245/10^7</f>
        <v>0</v>
      </c>
      <c r="Q157" s="145">
        <f>$D157*Fleet!S245/10^7</f>
        <v>0</v>
      </c>
      <c r="R157" s="145">
        <f>$D157*Fleet!T245/10^7</f>
        <v>0</v>
      </c>
      <c r="S157" s="145">
        <f>$D157*Fleet!U245/10^7</f>
        <v>0</v>
      </c>
      <c r="T157" s="145">
        <f>$D157*Fleet!V245/10^7</f>
        <v>0</v>
      </c>
      <c r="U157" s="145">
        <f>$D157*Fleet!W245/10^7</f>
        <v>0</v>
      </c>
      <c r="V157" s="145">
        <f>$D157*Fleet!X245/10^7</f>
        <v>0</v>
      </c>
      <c r="W157" s="145">
        <f>$D157*Fleet!Y245/10^7</f>
        <v>0</v>
      </c>
      <c r="X157" s="145">
        <f>$D157*Fleet!Z245/10^7</f>
        <v>0</v>
      </c>
      <c r="Y157" s="145">
        <f>$D157*Fleet!AA245/10^7</f>
        <v>0</v>
      </c>
      <c r="Z157" s="145">
        <f>$D157*Fleet!AB245/10^7</f>
        <v>0</v>
      </c>
      <c r="AA157" s="145">
        <f>$D157*Fleet!AC245/10^7</f>
        <v>0</v>
      </c>
      <c r="AB157" s="145">
        <f>$D157*Fleet!AD245/10^7</f>
        <v>0</v>
      </c>
      <c r="AC157" s="145">
        <f>$D157*Fleet!AE245/10^7</f>
        <v>0</v>
      </c>
      <c r="AD157" s="145">
        <f>$D157*Fleet!AF245/10^7</f>
        <v>0</v>
      </c>
      <c r="AE157" s="145">
        <f>$D157*Fleet!AG245/10^7</f>
        <v>0</v>
      </c>
      <c r="AF157" s="145">
        <f>$D157*Fleet!AH245/10^7</f>
        <v>0</v>
      </c>
      <c r="AG157" s="145">
        <f>$D157*Fleet!AI245/10^7</f>
        <v>0</v>
      </c>
      <c r="AH157" s="145">
        <f>$D157*Fleet!AJ245/10^7</f>
        <v>0</v>
      </c>
      <c r="AI157" s="145">
        <f>$D157*Fleet!AK245/10^7</f>
        <v>0</v>
      </c>
      <c r="AJ157" s="145">
        <f>$D157*Fleet!AL245/10^7</f>
        <v>0</v>
      </c>
      <c r="AK157" s="145">
        <f>$D157*Fleet!AM245/10^7</f>
        <v>0</v>
      </c>
      <c r="AL157" s="145">
        <f>$D157*Fleet!AN245/10^7</f>
        <v>0</v>
      </c>
      <c r="AM157" s="145">
        <f>$D157*Fleet!AO245/10^7</f>
        <v>0</v>
      </c>
      <c r="AN157" s="145">
        <f>$D157*Fleet!AP245/10^7</f>
        <v>0</v>
      </c>
      <c r="AO157" s="145">
        <f>$D157*Fleet!AQ245/10^7</f>
        <v>0</v>
      </c>
      <c r="AP157" s="179"/>
      <c r="AQ157" s="179"/>
      <c r="AR157" s="179"/>
      <c r="AS157" s="179"/>
      <c r="AT157" s="179"/>
      <c r="AU157" s="179"/>
      <c r="AV157" s="179"/>
      <c r="AW157" s="179"/>
      <c r="AX157" s="179"/>
      <c r="AY157" s="179"/>
      <c r="AZ157" s="179"/>
      <c r="BA157" s="179"/>
      <c r="BB157" s="179"/>
      <c r="BC157" s="179"/>
      <c r="BD157" s="179"/>
    </row>
    <row r="158" spans="1:56">
      <c r="A158" s="168" t="str">
        <f t="shared" si="16"/>
        <v/>
      </c>
      <c r="B158" s="165" t="str">
        <f t="shared" si="16"/>
        <v>Wheel Dozer</v>
      </c>
      <c r="C158" s="171" t="s">
        <v>134</v>
      </c>
      <c r="D158" s="174">
        <f>VLOOKUP(B158,Equipment!$C$5:$V$53,Equipment!U$1,FALSE)*VLOOKUP(B158,Equipment!$C$5:$V$53,Equipment!V$1,FALSE)</f>
        <v>1280000</v>
      </c>
      <c r="E158" s="145">
        <f>$D158*Fleet!G246/10^7</f>
        <v>0</v>
      </c>
      <c r="F158" s="145">
        <f>$D158*Fleet!H246/10^7</f>
        <v>0</v>
      </c>
      <c r="G158" s="145">
        <f>$D158*Fleet!I246/10^7</f>
        <v>0</v>
      </c>
      <c r="H158" s="145">
        <f>$D158*Fleet!J246/10^7</f>
        <v>0</v>
      </c>
      <c r="I158" s="145">
        <f>$D158*Fleet!K246/10^7</f>
        <v>0.128</v>
      </c>
      <c r="J158" s="145">
        <f>$D158*Fleet!L246/10^7</f>
        <v>0.128</v>
      </c>
      <c r="K158" s="145">
        <f>$D158*Fleet!M246/10^7</f>
        <v>0.25600000000000001</v>
      </c>
      <c r="L158" s="145">
        <f>$D158*Fleet!N246/10^7</f>
        <v>0.25600000000000001</v>
      </c>
      <c r="M158" s="145">
        <f>$D158*Fleet!O246/10^7</f>
        <v>0.25600000000000001</v>
      </c>
      <c r="N158" s="145">
        <f>$D158*Fleet!P246/10^7</f>
        <v>0.25600000000000001</v>
      </c>
      <c r="O158" s="145">
        <f>$D158*Fleet!Q246/10^7</f>
        <v>0.25600000000000001</v>
      </c>
      <c r="P158" s="145">
        <f>$D158*Fleet!R246/10^7</f>
        <v>0.25600000000000001</v>
      </c>
      <c r="Q158" s="145">
        <f>$D158*Fleet!S246/10^7</f>
        <v>0.25600000000000001</v>
      </c>
      <c r="R158" s="145">
        <f>$D158*Fleet!T246/10^7</f>
        <v>0.25600000000000001</v>
      </c>
      <c r="S158" s="145">
        <f>$D158*Fleet!U246/10^7</f>
        <v>0.25600000000000001</v>
      </c>
      <c r="T158" s="145">
        <f>$D158*Fleet!V246/10^7</f>
        <v>0.25600000000000001</v>
      </c>
      <c r="U158" s="145">
        <f>$D158*Fleet!W246/10^7</f>
        <v>0.25600000000000001</v>
      </c>
      <c r="V158" s="145">
        <f>$D158*Fleet!X246/10^7</f>
        <v>0.25600000000000001</v>
      </c>
      <c r="W158" s="145">
        <f>$D158*Fleet!Y246/10^7</f>
        <v>0.25600000000000001</v>
      </c>
      <c r="X158" s="145">
        <f>$D158*Fleet!Z246/10^7</f>
        <v>0.25600000000000001</v>
      </c>
      <c r="Y158" s="145">
        <f>$D158*Fleet!AA246/10^7</f>
        <v>0.25600000000000001</v>
      </c>
      <c r="Z158" s="145">
        <f>$D158*Fleet!AB246/10^7</f>
        <v>0.128</v>
      </c>
      <c r="AA158" s="145">
        <f>$D158*Fleet!AC246/10^7</f>
        <v>0.128</v>
      </c>
      <c r="AB158" s="145">
        <f>$D158*Fleet!AD246/10^7</f>
        <v>0</v>
      </c>
      <c r="AC158" s="145">
        <f>$D158*Fleet!AE246/10^7</f>
        <v>0</v>
      </c>
      <c r="AD158" s="145">
        <f>$D158*Fleet!AF246/10^7</f>
        <v>0</v>
      </c>
      <c r="AE158" s="145">
        <f>$D158*Fleet!AG246/10^7</f>
        <v>0</v>
      </c>
      <c r="AF158" s="145">
        <f>$D158*Fleet!AH246/10^7</f>
        <v>0</v>
      </c>
      <c r="AG158" s="145">
        <f>$D158*Fleet!AI246/10^7</f>
        <v>0</v>
      </c>
      <c r="AH158" s="145">
        <f>$D158*Fleet!AJ246/10^7</f>
        <v>0</v>
      </c>
      <c r="AI158" s="145">
        <f>$D158*Fleet!AK246/10^7</f>
        <v>0</v>
      </c>
      <c r="AJ158" s="145">
        <f>$D158*Fleet!AL246/10^7</f>
        <v>0</v>
      </c>
      <c r="AK158" s="145">
        <f>$D158*Fleet!AM246/10^7</f>
        <v>0</v>
      </c>
      <c r="AL158" s="145">
        <f>$D158*Fleet!AN246/10^7</f>
        <v>0</v>
      </c>
      <c r="AM158" s="145">
        <f>$D158*Fleet!AO246/10^7</f>
        <v>0</v>
      </c>
      <c r="AN158" s="145">
        <f>$D158*Fleet!AP246/10^7</f>
        <v>0</v>
      </c>
      <c r="AO158" s="145">
        <f>$D158*Fleet!AQ246/10^7</f>
        <v>0</v>
      </c>
      <c r="AP158" s="179"/>
      <c r="AQ158" s="179"/>
      <c r="AR158" s="179"/>
      <c r="AS158" s="179"/>
      <c r="AT158" s="179"/>
      <c r="AU158" s="179"/>
      <c r="AV158" s="179"/>
      <c r="AW158" s="179"/>
      <c r="AX158" s="179"/>
      <c r="AY158" s="179"/>
      <c r="AZ158" s="179"/>
      <c r="BA158" s="179"/>
      <c r="BB158" s="179"/>
      <c r="BC158" s="179"/>
      <c r="BD158" s="179"/>
    </row>
    <row r="159" spans="1:56">
      <c r="A159" s="168" t="str">
        <f t="shared" si="16"/>
        <v/>
      </c>
      <c r="B159" s="165" t="str">
        <f t="shared" si="16"/>
        <v>Ripper Dozer/ 450TPH</v>
      </c>
      <c r="C159" s="171" t="s">
        <v>134</v>
      </c>
      <c r="D159" s="174">
        <f>VLOOKUP(B159,Equipment!$C$5:$V$53,Equipment!U$1,FALSE)*VLOOKUP(B159,Equipment!$C$5:$V$53,Equipment!V$1,FALSE)</f>
        <v>0</v>
      </c>
      <c r="E159" s="145">
        <f>$D159*Fleet!G247/10^7</f>
        <v>0</v>
      </c>
      <c r="F159" s="145">
        <f>$D159*Fleet!H247/10^7</f>
        <v>0</v>
      </c>
      <c r="G159" s="145">
        <f>$D159*Fleet!I247/10^7</f>
        <v>0</v>
      </c>
      <c r="H159" s="145">
        <f>$D159*Fleet!J247/10^7</f>
        <v>0</v>
      </c>
      <c r="I159" s="145">
        <f>$D159*Fleet!K247/10^7</f>
        <v>0</v>
      </c>
      <c r="J159" s="145">
        <f>$D159*Fleet!L247/10^7</f>
        <v>0</v>
      </c>
      <c r="K159" s="145">
        <f>$D159*Fleet!M247/10^7</f>
        <v>0</v>
      </c>
      <c r="L159" s="145">
        <f>$D159*Fleet!N247/10^7</f>
        <v>0</v>
      </c>
      <c r="M159" s="145">
        <f>$D159*Fleet!O247/10^7</f>
        <v>0</v>
      </c>
      <c r="N159" s="145">
        <f>$D159*Fleet!P247/10^7</f>
        <v>0</v>
      </c>
      <c r="O159" s="145">
        <f>$D159*Fleet!Q247/10^7</f>
        <v>0</v>
      </c>
      <c r="P159" s="145">
        <f>$D159*Fleet!R247/10^7</f>
        <v>0</v>
      </c>
      <c r="Q159" s="145">
        <f>$D159*Fleet!S247/10^7</f>
        <v>0</v>
      </c>
      <c r="R159" s="145">
        <f>$D159*Fleet!T247/10^7</f>
        <v>0</v>
      </c>
      <c r="S159" s="145">
        <f>$D159*Fleet!U247/10^7</f>
        <v>0</v>
      </c>
      <c r="T159" s="145">
        <f>$D159*Fleet!V247/10^7</f>
        <v>0</v>
      </c>
      <c r="U159" s="145">
        <f>$D159*Fleet!W247/10^7</f>
        <v>0</v>
      </c>
      <c r="V159" s="145">
        <f>$D159*Fleet!X247/10^7</f>
        <v>0</v>
      </c>
      <c r="W159" s="145">
        <f>$D159*Fleet!Y247/10^7</f>
        <v>0</v>
      </c>
      <c r="X159" s="145">
        <f>$D159*Fleet!Z247/10^7</f>
        <v>0</v>
      </c>
      <c r="Y159" s="145">
        <f>$D159*Fleet!AA247/10^7</f>
        <v>0</v>
      </c>
      <c r="Z159" s="145">
        <f>$D159*Fleet!AB247/10^7</f>
        <v>0</v>
      </c>
      <c r="AA159" s="145">
        <f>$D159*Fleet!AC247/10^7</f>
        <v>0</v>
      </c>
      <c r="AB159" s="145">
        <f>$D159*Fleet!AD247/10^7</f>
        <v>0</v>
      </c>
      <c r="AC159" s="145">
        <f>$D159*Fleet!AE247/10^7</f>
        <v>0</v>
      </c>
      <c r="AD159" s="145">
        <f>$D159*Fleet!AF247/10^7</f>
        <v>0</v>
      </c>
      <c r="AE159" s="145">
        <f>$D159*Fleet!AG247/10^7</f>
        <v>0</v>
      </c>
      <c r="AF159" s="145">
        <f>$D159*Fleet!AH247/10^7</f>
        <v>0</v>
      </c>
      <c r="AG159" s="145">
        <f>$D159*Fleet!AI247/10^7</f>
        <v>0</v>
      </c>
      <c r="AH159" s="145">
        <f>$D159*Fleet!AJ247/10^7</f>
        <v>0</v>
      </c>
      <c r="AI159" s="145">
        <f>$D159*Fleet!AK247/10^7</f>
        <v>0</v>
      </c>
      <c r="AJ159" s="145">
        <f>$D159*Fleet!AL247/10^7</f>
        <v>0</v>
      </c>
      <c r="AK159" s="145">
        <f>$D159*Fleet!AM247/10^7</f>
        <v>0</v>
      </c>
      <c r="AL159" s="145">
        <f>$D159*Fleet!AN247/10^7</f>
        <v>0</v>
      </c>
      <c r="AM159" s="145">
        <f>$D159*Fleet!AO247/10^7</f>
        <v>0</v>
      </c>
      <c r="AN159" s="145">
        <f>$D159*Fleet!AP247/10^7</f>
        <v>0</v>
      </c>
      <c r="AO159" s="145">
        <f>$D159*Fleet!AQ247/10^7</f>
        <v>0</v>
      </c>
      <c r="AP159" s="179"/>
      <c r="AQ159" s="179"/>
      <c r="AR159" s="179"/>
      <c r="AS159" s="179"/>
      <c r="AT159" s="179"/>
      <c r="AU159" s="179"/>
      <c r="AV159" s="179"/>
      <c r="AW159" s="179"/>
      <c r="AX159" s="179"/>
      <c r="AY159" s="179"/>
      <c r="AZ159" s="179"/>
      <c r="BA159" s="179"/>
      <c r="BB159" s="179"/>
      <c r="BC159" s="179"/>
      <c r="BD159" s="179"/>
    </row>
    <row r="160" spans="1:56">
      <c r="A160" s="168" t="str">
        <f t="shared" si="16"/>
        <v/>
      </c>
      <c r="B160" s="165" t="str">
        <f t="shared" si="16"/>
        <v>Track Dozer/ 192 HP</v>
      </c>
      <c r="C160" s="171" t="s">
        <v>134</v>
      </c>
      <c r="D160" s="174">
        <f>VLOOKUP(B160,Equipment!$C$5:$V$53,Equipment!U$1,FALSE)*VLOOKUP(B160,Equipment!$C$5:$V$53,Equipment!V$1,FALSE)</f>
        <v>0</v>
      </c>
      <c r="E160" s="145">
        <f>$D160*Fleet!G248/10^7</f>
        <v>0</v>
      </c>
      <c r="F160" s="145">
        <f>$D160*Fleet!H248/10^7</f>
        <v>0</v>
      </c>
      <c r="G160" s="145">
        <f>$D160*Fleet!I248/10^7</f>
        <v>0</v>
      </c>
      <c r="H160" s="145">
        <f>$D160*Fleet!J248/10^7</f>
        <v>0</v>
      </c>
      <c r="I160" s="145">
        <f>$D160*Fleet!K248/10^7</f>
        <v>0</v>
      </c>
      <c r="J160" s="145">
        <f>$D160*Fleet!L248/10^7</f>
        <v>0</v>
      </c>
      <c r="K160" s="145">
        <f>$D160*Fleet!M248/10^7</f>
        <v>0</v>
      </c>
      <c r="L160" s="145">
        <f>$D160*Fleet!N248/10^7</f>
        <v>0</v>
      </c>
      <c r="M160" s="145">
        <f>$D160*Fleet!O248/10^7</f>
        <v>0</v>
      </c>
      <c r="N160" s="145">
        <f>$D160*Fleet!P248/10^7</f>
        <v>0</v>
      </c>
      <c r="O160" s="145">
        <f>$D160*Fleet!Q248/10^7</f>
        <v>0</v>
      </c>
      <c r="P160" s="145">
        <f>$D160*Fleet!R248/10^7</f>
        <v>0</v>
      </c>
      <c r="Q160" s="145">
        <f>$D160*Fleet!S248/10^7</f>
        <v>0</v>
      </c>
      <c r="R160" s="145">
        <f>$D160*Fleet!T248/10^7</f>
        <v>0</v>
      </c>
      <c r="S160" s="145">
        <f>$D160*Fleet!U248/10^7</f>
        <v>0</v>
      </c>
      <c r="T160" s="145">
        <f>$D160*Fleet!V248/10^7</f>
        <v>0</v>
      </c>
      <c r="U160" s="145">
        <f>$D160*Fleet!W248/10^7</f>
        <v>0</v>
      </c>
      <c r="V160" s="145">
        <f>$D160*Fleet!X248/10^7</f>
        <v>0</v>
      </c>
      <c r="W160" s="145">
        <f>$D160*Fleet!Y248/10^7</f>
        <v>0</v>
      </c>
      <c r="X160" s="145">
        <f>$D160*Fleet!Z248/10^7</f>
        <v>0</v>
      </c>
      <c r="Y160" s="145">
        <f>$D160*Fleet!AA248/10^7</f>
        <v>0</v>
      </c>
      <c r="Z160" s="145">
        <f>$D160*Fleet!AB248/10^7</f>
        <v>0</v>
      </c>
      <c r="AA160" s="145">
        <f>$D160*Fleet!AC248/10^7</f>
        <v>0</v>
      </c>
      <c r="AB160" s="145">
        <f>$D160*Fleet!AD248/10^7</f>
        <v>0</v>
      </c>
      <c r="AC160" s="145">
        <f>$D160*Fleet!AE248/10^7</f>
        <v>0</v>
      </c>
      <c r="AD160" s="145">
        <f>$D160*Fleet!AF248/10^7</f>
        <v>0</v>
      </c>
      <c r="AE160" s="145">
        <f>$D160*Fleet!AG248/10^7</f>
        <v>0</v>
      </c>
      <c r="AF160" s="145">
        <f>$D160*Fleet!AH248/10^7</f>
        <v>0</v>
      </c>
      <c r="AG160" s="145">
        <f>$D160*Fleet!AI248/10^7</f>
        <v>0</v>
      </c>
      <c r="AH160" s="145">
        <f>$D160*Fleet!AJ248/10^7</f>
        <v>0</v>
      </c>
      <c r="AI160" s="145">
        <f>$D160*Fleet!AK248/10^7</f>
        <v>0</v>
      </c>
      <c r="AJ160" s="145">
        <f>$D160*Fleet!AL248/10^7</f>
        <v>0</v>
      </c>
      <c r="AK160" s="145">
        <f>$D160*Fleet!AM248/10^7</f>
        <v>0</v>
      </c>
      <c r="AL160" s="145">
        <f>$D160*Fleet!AN248/10^7</f>
        <v>0</v>
      </c>
      <c r="AM160" s="145">
        <f>$D160*Fleet!AO248/10^7</f>
        <v>0</v>
      </c>
      <c r="AN160" s="145">
        <f>$D160*Fleet!AP248/10^7</f>
        <v>0</v>
      </c>
      <c r="AO160" s="145">
        <f>$D160*Fleet!AQ248/10^7</f>
        <v>0</v>
      </c>
      <c r="AP160" s="179"/>
      <c r="AQ160" s="179"/>
      <c r="AR160" s="179"/>
      <c r="AS160" s="179"/>
      <c r="AT160" s="179"/>
      <c r="AU160" s="179"/>
      <c r="AV160" s="179"/>
      <c r="AW160" s="179"/>
      <c r="AX160" s="179"/>
      <c r="AY160" s="179"/>
      <c r="AZ160" s="179"/>
      <c r="BA160" s="179"/>
      <c r="BB160" s="179"/>
      <c r="BC160" s="179"/>
      <c r="BD160" s="179"/>
    </row>
    <row r="161" spans="1:56">
      <c r="A161" s="168" t="str">
        <f t="shared" si="16"/>
        <v/>
      </c>
      <c r="B161" s="165" t="str">
        <f t="shared" si="16"/>
        <v>Motor Grader/ 290 - 348 HP</v>
      </c>
      <c r="C161" s="171" t="s">
        <v>134</v>
      </c>
      <c r="D161" s="174">
        <f>VLOOKUP(B161,Equipment!$C$5:$V$53,Equipment!U$1,FALSE)*VLOOKUP(B161,Equipment!$C$5:$V$53,Equipment!V$1,FALSE)</f>
        <v>1024000</v>
      </c>
      <c r="E161" s="145">
        <f>$D161*Fleet!G249/10^7</f>
        <v>0</v>
      </c>
      <c r="F161" s="145">
        <f>$D161*Fleet!H249/10^7</f>
        <v>0</v>
      </c>
      <c r="G161" s="145">
        <f>$D161*Fleet!I249/10^7</f>
        <v>0</v>
      </c>
      <c r="H161" s="145">
        <f>$D161*Fleet!J249/10^7</f>
        <v>0</v>
      </c>
      <c r="I161" s="145">
        <f>$D161*Fleet!K249/10^7</f>
        <v>0.1024</v>
      </c>
      <c r="J161" s="145">
        <f>$D161*Fleet!L249/10^7</f>
        <v>0.1024</v>
      </c>
      <c r="K161" s="145">
        <f>$D161*Fleet!M249/10^7</f>
        <v>0.20480000000000001</v>
      </c>
      <c r="L161" s="145">
        <f>$D161*Fleet!N249/10^7</f>
        <v>0.20480000000000001</v>
      </c>
      <c r="M161" s="145">
        <f>$D161*Fleet!O249/10^7</f>
        <v>0.20480000000000001</v>
      </c>
      <c r="N161" s="145">
        <f>$D161*Fleet!P249/10^7</f>
        <v>0.20480000000000001</v>
      </c>
      <c r="O161" s="145">
        <f>$D161*Fleet!Q249/10^7</f>
        <v>0.20480000000000001</v>
      </c>
      <c r="P161" s="145">
        <f>$D161*Fleet!R249/10^7</f>
        <v>0.20480000000000001</v>
      </c>
      <c r="Q161" s="145">
        <f>$D161*Fleet!S249/10^7</f>
        <v>0.20480000000000001</v>
      </c>
      <c r="R161" s="145">
        <f>$D161*Fleet!T249/10^7</f>
        <v>0.20480000000000001</v>
      </c>
      <c r="S161" s="145">
        <f>$D161*Fleet!U249/10^7</f>
        <v>0.20480000000000001</v>
      </c>
      <c r="T161" s="145">
        <f>$D161*Fleet!V249/10^7</f>
        <v>0.20480000000000001</v>
      </c>
      <c r="U161" s="145">
        <f>$D161*Fleet!W249/10^7</f>
        <v>0.20480000000000001</v>
      </c>
      <c r="V161" s="145">
        <f>$D161*Fleet!X249/10^7</f>
        <v>0.20480000000000001</v>
      </c>
      <c r="W161" s="145">
        <f>$D161*Fleet!Y249/10^7</f>
        <v>0.20480000000000001</v>
      </c>
      <c r="X161" s="145">
        <f>$D161*Fleet!Z249/10^7</f>
        <v>0.20480000000000001</v>
      </c>
      <c r="Y161" s="145">
        <f>$D161*Fleet!AA249/10^7</f>
        <v>0.20480000000000001</v>
      </c>
      <c r="Z161" s="145">
        <f>$D161*Fleet!AB249/10^7</f>
        <v>0.1024</v>
      </c>
      <c r="AA161" s="145">
        <f>$D161*Fleet!AC249/10^7</f>
        <v>0.1024</v>
      </c>
      <c r="AB161" s="145">
        <f>$D161*Fleet!AD249/10^7</f>
        <v>0</v>
      </c>
      <c r="AC161" s="145">
        <f>$D161*Fleet!AE249/10^7</f>
        <v>0</v>
      </c>
      <c r="AD161" s="145">
        <f>$D161*Fleet!AF249/10^7</f>
        <v>0</v>
      </c>
      <c r="AE161" s="145">
        <f>$D161*Fleet!AG249/10^7</f>
        <v>0</v>
      </c>
      <c r="AF161" s="145">
        <f>$D161*Fleet!AH249/10^7</f>
        <v>0</v>
      </c>
      <c r="AG161" s="145">
        <f>$D161*Fleet!AI249/10^7</f>
        <v>0</v>
      </c>
      <c r="AH161" s="145">
        <f>$D161*Fleet!AJ249/10^7</f>
        <v>0</v>
      </c>
      <c r="AI161" s="145">
        <f>$D161*Fleet!AK249/10^7</f>
        <v>0</v>
      </c>
      <c r="AJ161" s="145">
        <f>$D161*Fleet!AL249/10^7</f>
        <v>0</v>
      </c>
      <c r="AK161" s="145">
        <f>$D161*Fleet!AM249/10^7</f>
        <v>0</v>
      </c>
      <c r="AL161" s="145">
        <f>$D161*Fleet!AN249/10^7</f>
        <v>0</v>
      </c>
      <c r="AM161" s="145">
        <f>$D161*Fleet!AO249/10^7</f>
        <v>0</v>
      </c>
      <c r="AN161" s="145">
        <f>$D161*Fleet!AP249/10^7</f>
        <v>0</v>
      </c>
      <c r="AO161" s="145">
        <f>$D161*Fleet!AQ249/10^7</f>
        <v>0</v>
      </c>
      <c r="AP161" s="179"/>
      <c r="AQ161" s="179"/>
      <c r="AR161" s="179"/>
      <c r="AS161" s="179"/>
      <c r="AT161" s="179"/>
      <c r="AU161" s="179"/>
      <c r="AV161" s="179"/>
      <c r="AW161" s="179"/>
      <c r="AX161" s="179"/>
      <c r="AY161" s="179"/>
      <c r="AZ161" s="179"/>
      <c r="BA161" s="179"/>
      <c r="BB161" s="179"/>
      <c r="BC161" s="179"/>
      <c r="BD161" s="179"/>
    </row>
    <row r="162" spans="1:56">
      <c r="A162" s="168" t="str">
        <f t="shared" ref="A162:B181" si="17">A117</f>
        <v/>
      </c>
      <c r="B162" s="165" t="str">
        <f t="shared" si="17"/>
        <v>Motor Grader/ 145 HP</v>
      </c>
      <c r="C162" s="171" t="s">
        <v>134</v>
      </c>
      <c r="D162" s="174">
        <f>VLOOKUP(B162,Equipment!$C$5:$V$53,Equipment!U$1,FALSE)*VLOOKUP(B162,Equipment!$C$5:$V$53,Equipment!V$1,FALSE)</f>
        <v>768000</v>
      </c>
      <c r="E162" s="145">
        <f>$D162*Fleet!G250/10^7</f>
        <v>0</v>
      </c>
      <c r="F162" s="145">
        <f>$D162*Fleet!H250/10^7</f>
        <v>0</v>
      </c>
      <c r="G162" s="145">
        <f>$D162*Fleet!I250/10^7</f>
        <v>0</v>
      </c>
      <c r="H162" s="145">
        <f>$D162*Fleet!J250/10^7</f>
        <v>0</v>
      </c>
      <c r="I162" s="145">
        <f>$D162*Fleet!K250/10^7</f>
        <v>7.6799999999999993E-2</v>
      </c>
      <c r="J162" s="145">
        <f>$D162*Fleet!L250/10^7</f>
        <v>7.6799999999999993E-2</v>
      </c>
      <c r="K162" s="145">
        <f>$D162*Fleet!M250/10^7</f>
        <v>0.15359999999999999</v>
      </c>
      <c r="L162" s="145">
        <f>$D162*Fleet!N250/10^7</f>
        <v>0.15359999999999999</v>
      </c>
      <c r="M162" s="145">
        <f>$D162*Fleet!O250/10^7</f>
        <v>0.15359999999999999</v>
      </c>
      <c r="N162" s="145">
        <f>$D162*Fleet!P250/10^7</f>
        <v>0.15359999999999999</v>
      </c>
      <c r="O162" s="145">
        <f>$D162*Fleet!Q250/10^7</f>
        <v>0.15359999999999999</v>
      </c>
      <c r="P162" s="145">
        <f>$D162*Fleet!R250/10^7</f>
        <v>0.15359999999999999</v>
      </c>
      <c r="Q162" s="145">
        <f>$D162*Fleet!S250/10^7</f>
        <v>0.15359999999999999</v>
      </c>
      <c r="R162" s="145">
        <f>$D162*Fleet!T250/10^7</f>
        <v>0.15359999999999999</v>
      </c>
      <c r="S162" s="145">
        <f>$D162*Fleet!U250/10^7</f>
        <v>0.15359999999999999</v>
      </c>
      <c r="T162" s="145">
        <f>$D162*Fleet!V250/10^7</f>
        <v>0.15359999999999999</v>
      </c>
      <c r="U162" s="145">
        <f>$D162*Fleet!W250/10^7</f>
        <v>0.15359999999999999</v>
      </c>
      <c r="V162" s="145">
        <f>$D162*Fleet!X250/10^7</f>
        <v>0.15359999999999999</v>
      </c>
      <c r="W162" s="145">
        <f>$D162*Fleet!Y250/10^7</f>
        <v>0.15359999999999999</v>
      </c>
      <c r="X162" s="145">
        <f>$D162*Fleet!Z250/10^7</f>
        <v>0.15359999999999999</v>
      </c>
      <c r="Y162" s="145">
        <f>$D162*Fleet!AA250/10^7</f>
        <v>0.15359999999999999</v>
      </c>
      <c r="Z162" s="145">
        <f>$D162*Fleet!AB250/10^7</f>
        <v>7.6799999999999993E-2</v>
      </c>
      <c r="AA162" s="145">
        <f>$D162*Fleet!AC250/10^7</f>
        <v>7.6799999999999993E-2</v>
      </c>
      <c r="AB162" s="145">
        <f>$D162*Fleet!AD250/10^7</f>
        <v>0</v>
      </c>
      <c r="AC162" s="145">
        <f>$D162*Fleet!AE250/10^7</f>
        <v>0</v>
      </c>
      <c r="AD162" s="145">
        <f>$D162*Fleet!AF250/10^7</f>
        <v>0</v>
      </c>
      <c r="AE162" s="145">
        <f>$D162*Fleet!AG250/10^7</f>
        <v>0</v>
      </c>
      <c r="AF162" s="145">
        <f>$D162*Fleet!AH250/10^7</f>
        <v>0</v>
      </c>
      <c r="AG162" s="145">
        <f>$D162*Fleet!AI250/10^7</f>
        <v>0</v>
      </c>
      <c r="AH162" s="145">
        <f>$D162*Fleet!AJ250/10^7</f>
        <v>0</v>
      </c>
      <c r="AI162" s="145">
        <f>$D162*Fleet!AK250/10^7</f>
        <v>0</v>
      </c>
      <c r="AJ162" s="145">
        <f>$D162*Fleet!AL250/10^7</f>
        <v>0</v>
      </c>
      <c r="AK162" s="145">
        <f>$D162*Fleet!AM250/10^7</f>
        <v>0</v>
      </c>
      <c r="AL162" s="145">
        <f>$D162*Fleet!AN250/10^7</f>
        <v>0</v>
      </c>
      <c r="AM162" s="145">
        <f>$D162*Fleet!AO250/10^7</f>
        <v>0</v>
      </c>
      <c r="AN162" s="145">
        <f>$D162*Fleet!AP250/10^7</f>
        <v>0</v>
      </c>
      <c r="AO162" s="145">
        <f>$D162*Fleet!AQ250/10^7</f>
        <v>0</v>
      </c>
      <c r="AP162" s="179"/>
      <c r="AQ162" s="179"/>
      <c r="AR162" s="179"/>
      <c r="AS162" s="179"/>
      <c r="AT162" s="179"/>
      <c r="AU162" s="179"/>
      <c r="AV162" s="179"/>
      <c r="AW162" s="179"/>
      <c r="AX162" s="179"/>
      <c r="AY162" s="179"/>
      <c r="AZ162" s="179"/>
      <c r="BA162" s="179"/>
      <c r="BB162" s="179"/>
      <c r="BC162" s="179"/>
      <c r="BD162" s="179"/>
    </row>
    <row r="163" spans="1:56">
      <c r="A163" s="168" t="str">
        <f t="shared" si="17"/>
        <v/>
      </c>
      <c r="B163" s="165" t="str">
        <f t="shared" si="17"/>
        <v>Crane/ 120t</v>
      </c>
      <c r="C163" s="171" t="s">
        <v>134</v>
      </c>
      <c r="D163" s="174">
        <f>VLOOKUP(B163,Equipment!$C$5:$V$53,Equipment!U$1,FALSE)*VLOOKUP(B163,Equipment!$C$5:$V$53,Equipment!V$1,FALSE)</f>
        <v>307200</v>
      </c>
      <c r="E163" s="145">
        <f>$D163*Fleet!G251/10^7</f>
        <v>0</v>
      </c>
      <c r="F163" s="145">
        <f>$D163*Fleet!H251/10^7</f>
        <v>0</v>
      </c>
      <c r="G163" s="145">
        <f>$D163*Fleet!I251/10^7</f>
        <v>0</v>
      </c>
      <c r="H163" s="145">
        <f>$D163*Fleet!J251/10^7</f>
        <v>0</v>
      </c>
      <c r="I163" s="145">
        <f>$D163*Fleet!K251/10^7</f>
        <v>3.0720000000000001E-2</v>
      </c>
      <c r="J163" s="145">
        <f>$D163*Fleet!L251/10^7</f>
        <v>3.0720000000000001E-2</v>
      </c>
      <c r="K163" s="145">
        <f>$D163*Fleet!M251/10^7</f>
        <v>6.1440000000000002E-2</v>
      </c>
      <c r="L163" s="145">
        <f>$D163*Fleet!N251/10^7</f>
        <v>6.1440000000000002E-2</v>
      </c>
      <c r="M163" s="145">
        <f>$D163*Fleet!O251/10^7</f>
        <v>6.1440000000000002E-2</v>
      </c>
      <c r="N163" s="145">
        <f>$D163*Fleet!P251/10^7</f>
        <v>6.1440000000000002E-2</v>
      </c>
      <c r="O163" s="145">
        <f>$D163*Fleet!Q251/10^7</f>
        <v>6.1440000000000002E-2</v>
      </c>
      <c r="P163" s="145">
        <f>$D163*Fleet!R251/10^7</f>
        <v>6.1440000000000002E-2</v>
      </c>
      <c r="Q163" s="145">
        <f>$D163*Fleet!S251/10^7</f>
        <v>6.1440000000000002E-2</v>
      </c>
      <c r="R163" s="145">
        <f>$D163*Fleet!T251/10^7</f>
        <v>6.1440000000000002E-2</v>
      </c>
      <c r="S163" s="145">
        <f>$D163*Fleet!U251/10^7</f>
        <v>6.1440000000000002E-2</v>
      </c>
      <c r="T163" s="145">
        <f>$D163*Fleet!V251/10^7</f>
        <v>6.1440000000000002E-2</v>
      </c>
      <c r="U163" s="145">
        <f>$D163*Fleet!W251/10^7</f>
        <v>6.1440000000000002E-2</v>
      </c>
      <c r="V163" s="145">
        <f>$D163*Fleet!X251/10^7</f>
        <v>6.1440000000000002E-2</v>
      </c>
      <c r="W163" s="145">
        <f>$D163*Fleet!Y251/10^7</f>
        <v>6.1440000000000002E-2</v>
      </c>
      <c r="X163" s="145">
        <f>$D163*Fleet!Z251/10^7</f>
        <v>6.1440000000000002E-2</v>
      </c>
      <c r="Y163" s="145">
        <f>$D163*Fleet!AA251/10^7</f>
        <v>6.1440000000000002E-2</v>
      </c>
      <c r="Z163" s="145">
        <f>$D163*Fleet!AB251/10^7</f>
        <v>3.0720000000000001E-2</v>
      </c>
      <c r="AA163" s="145">
        <f>$D163*Fleet!AC251/10^7</f>
        <v>3.0720000000000001E-2</v>
      </c>
      <c r="AB163" s="145">
        <f>$D163*Fleet!AD251/10^7</f>
        <v>0</v>
      </c>
      <c r="AC163" s="145">
        <f>$D163*Fleet!AE251/10^7</f>
        <v>0</v>
      </c>
      <c r="AD163" s="145">
        <f>$D163*Fleet!AF251/10^7</f>
        <v>0</v>
      </c>
      <c r="AE163" s="145">
        <f>$D163*Fleet!AG251/10^7</f>
        <v>0</v>
      </c>
      <c r="AF163" s="145">
        <f>$D163*Fleet!AH251/10^7</f>
        <v>0</v>
      </c>
      <c r="AG163" s="145">
        <f>$D163*Fleet!AI251/10^7</f>
        <v>0</v>
      </c>
      <c r="AH163" s="145">
        <f>$D163*Fleet!AJ251/10^7</f>
        <v>0</v>
      </c>
      <c r="AI163" s="145">
        <f>$D163*Fleet!AK251/10^7</f>
        <v>0</v>
      </c>
      <c r="AJ163" s="145">
        <f>$D163*Fleet!AL251/10^7</f>
        <v>0</v>
      </c>
      <c r="AK163" s="145">
        <f>$D163*Fleet!AM251/10^7</f>
        <v>0</v>
      </c>
      <c r="AL163" s="145">
        <f>$D163*Fleet!AN251/10^7</f>
        <v>0</v>
      </c>
      <c r="AM163" s="145">
        <f>$D163*Fleet!AO251/10^7</f>
        <v>0</v>
      </c>
      <c r="AN163" s="145">
        <f>$D163*Fleet!AP251/10^7</f>
        <v>0</v>
      </c>
      <c r="AO163" s="145">
        <f>$D163*Fleet!AQ251/10^7</f>
        <v>0</v>
      </c>
      <c r="AP163" s="179"/>
      <c r="AQ163" s="179"/>
      <c r="AR163" s="179"/>
      <c r="AS163" s="179"/>
      <c r="AT163" s="179"/>
      <c r="AU163" s="179"/>
      <c r="AV163" s="179"/>
      <c r="AW163" s="179"/>
      <c r="AX163" s="179"/>
      <c r="AY163" s="179"/>
      <c r="AZ163" s="179"/>
      <c r="BA163" s="179"/>
      <c r="BB163" s="179"/>
      <c r="BC163" s="179"/>
      <c r="BD163" s="179"/>
    </row>
    <row r="164" spans="1:56">
      <c r="A164" s="168" t="str">
        <f t="shared" si="17"/>
        <v/>
      </c>
      <c r="B164" s="165" t="str">
        <f t="shared" si="17"/>
        <v>Crane/ 60t</v>
      </c>
      <c r="C164" s="171" t="s">
        <v>134</v>
      </c>
      <c r="D164" s="174">
        <f>VLOOKUP(B164,Equipment!$C$5:$V$53,Equipment!U$1,FALSE)*VLOOKUP(B164,Equipment!$C$5:$V$53,Equipment!V$1,FALSE)</f>
        <v>307200</v>
      </c>
      <c r="E164" s="145">
        <f>$D164*Fleet!G252/10^7</f>
        <v>0</v>
      </c>
      <c r="F164" s="145">
        <f>$D164*Fleet!H252/10^7</f>
        <v>0</v>
      </c>
      <c r="G164" s="145">
        <f>$D164*Fleet!I252/10^7</f>
        <v>0</v>
      </c>
      <c r="H164" s="145">
        <f>$D164*Fleet!J252/10^7</f>
        <v>0</v>
      </c>
      <c r="I164" s="145">
        <f>$D164*Fleet!K252/10^7</f>
        <v>3.0720000000000001E-2</v>
      </c>
      <c r="J164" s="145">
        <f>$D164*Fleet!L252/10^7</f>
        <v>3.0720000000000001E-2</v>
      </c>
      <c r="K164" s="145">
        <f>$D164*Fleet!M252/10^7</f>
        <v>6.1440000000000002E-2</v>
      </c>
      <c r="L164" s="145">
        <f>$D164*Fleet!N252/10^7</f>
        <v>6.1440000000000002E-2</v>
      </c>
      <c r="M164" s="145">
        <f>$D164*Fleet!O252/10^7</f>
        <v>6.1440000000000002E-2</v>
      </c>
      <c r="N164" s="145">
        <f>$D164*Fleet!P252/10^7</f>
        <v>6.1440000000000002E-2</v>
      </c>
      <c r="O164" s="145">
        <f>$D164*Fleet!Q252/10^7</f>
        <v>6.1440000000000002E-2</v>
      </c>
      <c r="P164" s="145">
        <f>$D164*Fleet!R252/10^7</f>
        <v>6.1440000000000002E-2</v>
      </c>
      <c r="Q164" s="145">
        <f>$D164*Fleet!S252/10^7</f>
        <v>6.1440000000000002E-2</v>
      </c>
      <c r="R164" s="145">
        <f>$D164*Fleet!T252/10^7</f>
        <v>6.1440000000000002E-2</v>
      </c>
      <c r="S164" s="145">
        <f>$D164*Fleet!U252/10^7</f>
        <v>6.1440000000000002E-2</v>
      </c>
      <c r="T164" s="145">
        <f>$D164*Fleet!V252/10^7</f>
        <v>6.1440000000000002E-2</v>
      </c>
      <c r="U164" s="145">
        <f>$D164*Fleet!W252/10^7</f>
        <v>6.1440000000000002E-2</v>
      </c>
      <c r="V164" s="145">
        <f>$D164*Fleet!X252/10^7</f>
        <v>6.1440000000000002E-2</v>
      </c>
      <c r="W164" s="145">
        <f>$D164*Fleet!Y252/10^7</f>
        <v>6.1440000000000002E-2</v>
      </c>
      <c r="X164" s="145">
        <f>$D164*Fleet!Z252/10^7</f>
        <v>6.1440000000000002E-2</v>
      </c>
      <c r="Y164" s="145">
        <f>$D164*Fleet!AA252/10^7</f>
        <v>6.1440000000000002E-2</v>
      </c>
      <c r="Z164" s="145">
        <f>$D164*Fleet!AB252/10^7</f>
        <v>3.0720000000000001E-2</v>
      </c>
      <c r="AA164" s="145">
        <f>$D164*Fleet!AC252/10^7</f>
        <v>3.0720000000000001E-2</v>
      </c>
      <c r="AB164" s="145">
        <f>$D164*Fleet!AD252/10^7</f>
        <v>0</v>
      </c>
      <c r="AC164" s="145">
        <f>$D164*Fleet!AE252/10^7</f>
        <v>0</v>
      </c>
      <c r="AD164" s="145">
        <f>$D164*Fleet!AF252/10^7</f>
        <v>0</v>
      </c>
      <c r="AE164" s="145">
        <f>$D164*Fleet!AG252/10^7</f>
        <v>0</v>
      </c>
      <c r="AF164" s="145">
        <f>$D164*Fleet!AH252/10^7</f>
        <v>0</v>
      </c>
      <c r="AG164" s="145">
        <f>$D164*Fleet!AI252/10^7</f>
        <v>0</v>
      </c>
      <c r="AH164" s="145">
        <f>$D164*Fleet!AJ252/10^7</f>
        <v>0</v>
      </c>
      <c r="AI164" s="145">
        <f>$D164*Fleet!AK252/10^7</f>
        <v>0</v>
      </c>
      <c r="AJ164" s="145">
        <f>$D164*Fleet!AL252/10^7</f>
        <v>0</v>
      </c>
      <c r="AK164" s="145">
        <f>$D164*Fleet!AM252/10^7</f>
        <v>0</v>
      </c>
      <c r="AL164" s="145">
        <f>$D164*Fleet!AN252/10^7</f>
        <v>0</v>
      </c>
      <c r="AM164" s="145">
        <f>$D164*Fleet!AO252/10^7</f>
        <v>0</v>
      </c>
      <c r="AN164" s="145">
        <f>$D164*Fleet!AP252/10^7</f>
        <v>0</v>
      </c>
      <c r="AO164" s="145">
        <f>$D164*Fleet!AQ252/10^7</f>
        <v>0</v>
      </c>
      <c r="AP164" s="179"/>
      <c r="AQ164" s="179"/>
      <c r="AR164" s="179"/>
      <c r="AS164" s="179"/>
      <c r="AT164" s="179"/>
      <c r="AU164" s="179"/>
      <c r="AV164" s="179"/>
      <c r="AW164" s="179"/>
      <c r="AX164" s="179"/>
      <c r="AY164" s="179"/>
      <c r="AZ164" s="179"/>
      <c r="BA164" s="179"/>
      <c r="BB164" s="179"/>
      <c r="BC164" s="179"/>
      <c r="BD164" s="179"/>
    </row>
    <row r="165" spans="1:56">
      <c r="A165" s="168" t="str">
        <f t="shared" si="17"/>
        <v/>
      </c>
      <c r="B165" s="165" t="str">
        <f t="shared" si="17"/>
        <v>Crane/ 12t</v>
      </c>
      <c r="C165" s="171" t="s">
        <v>134</v>
      </c>
      <c r="D165" s="174">
        <f>VLOOKUP(B165,Equipment!$C$5:$V$53,Equipment!U$1,FALSE)*VLOOKUP(B165,Equipment!$C$5:$V$53,Equipment!V$1,FALSE)</f>
        <v>307200</v>
      </c>
      <c r="E165" s="145">
        <f>$D165*Fleet!G253/10^7</f>
        <v>0</v>
      </c>
      <c r="F165" s="145">
        <f>$D165*Fleet!H253/10^7</f>
        <v>0</v>
      </c>
      <c r="G165" s="145">
        <f>$D165*Fleet!I253/10^7</f>
        <v>0</v>
      </c>
      <c r="H165" s="145">
        <f>$D165*Fleet!J253/10^7</f>
        <v>0</v>
      </c>
      <c r="I165" s="145">
        <f>$D165*Fleet!K253/10^7</f>
        <v>3.0720000000000001E-2</v>
      </c>
      <c r="J165" s="145">
        <f>$D165*Fleet!L253/10^7</f>
        <v>3.0720000000000001E-2</v>
      </c>
      <c r="K165" s="145">
        <f>$D165*Fleet!M253/10^7</f>
        <v>6.1440000000000002E-2</v>
      </c>
      <c r="L165" s="145">
        <f>$D165*Fleet!N253/10^7</f>
        <v>6.1440000000000002E-2</v>
      </c>
      <c r="M165" s="145">
        <f>$D165*Fleet!O253/10^7</f>
        <v>6.1440000000000002E-2</v>
      </c>
      <c r="N165" s="145">
        <f>$D165*Fleet!P253/10^7</f>
        <v>6.1440000000000002E-2</v>
      </c>
      <c r="O165" s="145">
        <f>$D165*Fleet!Q253/10^7</f>
        <v>6.1440000000000002E-2</v>
      </c>
      <c r="P165" s="145">
        <f>$D165*Fleet!R253/10^7</f>
        <v>6.1440000000000002E-2</v>
      </c>
      <c r="Q165" s="145">
        <f>$D165*Fleet!S253/10^7</f>
        <v>6.1440000000000002E-2</v>
      </c>
      <c r="R165" s="145">
        <f>$D165*Fleet!T253/10^7</f>
        <v>6.1440000000000002E-2</v>
      </c>
      <c r="S165" s="145">
        <f>$D165*Fleet!U253/10^7</f>
        <v>6.1440000000000002E-2</v>
      </c>
      <c r="T165" s="145">
        <f>$D165*Fleet!V253/10^7</f>
        <v>6.1440000000000002E-2</v>
      </c>
      <c r="U165" s="145">
        <f>$D165*Fleet!W253/10^7</f>
        <v>6.1440000000000002E-2</v>
      </c>
      <c r="V165" s="145">
        <f>$D165*Fleet!X253/10^7</f>
        <v>6.1440000000000002E-2</v>
      </c>
      <c r="W165" s="145">
        <f>$D165*Fleet!Y253/10^7</f>
        <v>6.1440000000000002E-2</v>
      </c>
      <c r="X165" s="145">
        <f>$D165*Fleet!Z253/10^7</f>
        <v>6.1440000000000002E-2</v>
      </c>
      <c r="Y165" s="145">
        <f>$D165*Fleet!AA253/10^7</f>
        <v>6.1440000000000002E-2</v>
      </c>
      <c r="Z165" s="145">
        <f>$D165*Fleet!AB253/10^7</f>
        <v>3.0720000000000001E-2</v>
      </c>
      <c r="AA165" s="145">
        <f>$D165*Fleet!AC253/10^7</f>
        <v>3.0720000000000001E-2</v>
      </c>
      <c r="AB165" s="145">
        <f>$D165*Fleet!AD253/10^7</f>
        <v>0</v>
      </c>
      <c r="AC165" s="145">
        <f>$D165*Fleet!AE253/10^7</f>
        <v>0</v>
      </c>
      <c r="AD165" s="145">
        <f>$D165*Fleet!AF253/10^7</f>
        <v>0</v>
      </c>
      <c r="AE165" s="145">
        <f>$D165*Fleet!AG253/10^7</f>
        <v>0</v>
      </c>
      <c r="AF165" s="145">
        <f>$D165*Fleet!AH253/10^7</f>
        <v>0</v>
      </c>
      <c r="AG165" s="145">
        <f>$D165*Fleet!AI253/10^7</f>
        <v>0</v>
      </c>
      <c r="AH165" s="145">
        <f>$D165*Fleet!AJ253/10^7</f>
        <v>0</v>
      </c>
      <c r="AI165" s="145">
        <f>$D165*Fleet!AK253/10^7</f>
        <v>0</v>
      </c>
      <c r="AJ165" s="145">
        <f>$D165*Fleet!AL253/10^7</f>
        <v>0</v>
      </c>
      <c r="AK165" s="145">
        <f>$D165*Fleet!AM253/10^7</f>
        <v>0</v>
      </c>
      <c r="AL165" s="145">
        <f>$D165*Fleet!AN253/10^7</f>
        <v>0</v>
      </c>
      <c r="AM165" s="145">
        <f>$D165*Fleet!AO253/10^7</f>
        <v>0</v>
      </c>
      <c r="AN165" s="145">
        <f>$D165*Fleet!AP253/10^7</f>
        <v>0</v>
      </c>
      <c r="AO165" s="145">
        <f>$D165*Fleet!AQ253/10^7</f>
        <v>0</v>
      </c>
      <c r="AP165" s="179"/>
      <c r="AQ165" s="179"/>
      <c r="AR165" s="179"/>
      <c r="AS165" s="179"/>
      <c r="AT165" s="179"/>
      <c r="AU165" s="179"/>
      <c r="AV165" s="179"/>
      <c r="AW165" s="179"/>
      <c r="AX165" s="179"/>
      <c r="AY165" s="179"/>
      <c r="AZ165" s="179"/>
      <c r="BA165" s="179"/>
      <c r="BB165" s="179"/>
      <c r="BC165" s="179"/>
      <c r="BD165" s="179"/>
    </row>
    <row r="166" spans="1:56">
      <c r="A166" s="168" t="str">
        <f t="shared" si="17"/>
        <v/>
      </c>
      <c r="B166" s="165" t="str">
        <f t="shared" si="17"/>
        <v>Crane/ 8t</v>
      </c>
      <c r="C166" s="171" t="s">
        <v>134</v>
      </c>
      <c r="D166" s="174">
        <f>VLOOKUP(B166,Equipment!$C$5:$V$53,Equipment!U$1,FALSE)*VLOOKUP(B166,Equipment!$C$5:$V$53,Equipment!V$1,FALSE)</f>
        <v>230400</v>
      </c>
      <c r="E166" s="145">
        <f>$D166*Fleet!G254/10^7</f>
        <v>0</v>
      </c>
      <c r="F166" s="145">
        <f>$D166*Fleet!H254/10^7</f>
        <v>0</v>
      </c>
      <c r="G166" s="145">
        <f>$D166*Fleet!I254/10^7</f>
        <v>0</v>
      </c>
      <c r="H166" s="145">
        <f>$D166*Fleet!J254/10^7</f>
        <v>0</v>
      </c>
      <c r="I166" s="145">
        <f>$D166*Fleet!K254/10^7</f>
        <v>2.3040000000000001E-2</v>
      </c>
      <c r="J166" s="145">
        <f>$D166*Fleet!L254/10^7</f>
        <v>2.3040000000000001E-2</v>
      </c>
      <c r="K166" s="145">
        <f>$D166*Fleet!M254/10^7</f>
        <v>4.6080000000000003E-2</v>
      </c>
      <c r="L166" s="145">
        <f>$D166*Fleet!N254/10^7</f>
        <v>4.6080000000000003E-2</v>
      </c>
      <c r="M166" s="145">
        <f>$D166*Fleet!O254/10^7</f>
        <v>4.6080000000000003E-2</v>
      </c>
      <c r="N166" s="145">
        <f>$D166*Fleet!P254/10^7</f>
        <v>4.6080000000000003E-2</v>
      </c>
      <c r="O166" s="145">
        <f>$D166*Fleet!Q254/10^7</f>
        <v>4.6080000000000003E-2</v>
      </c>
      <c r="P166" s="145">
        <f>$D166*Fleet!R254/10^7</f>
        <v>4.6080000000000003E-2</v>
      </c>
      <c r="Q166" s="145">
        <f>$D166*Fleet!S254/10^7</f>
        <v>4.6080000000000003E-2</v>
      </c>
      <c r="R166" s="145">
        <f>$D166*Fleet!T254/10^7</f>
        <v>4.6080000000000003E-2</v>
      </c>
      <c r="S166" s="145">
        <f>$D166*Fleet!U254/10^7</f>
        <v>4.6080000000000003E-2</v>
      </c>
      <c r="T166" s="145">
        <f>$D166*Fleet!V254/10^7</f>
        <v>4.6080000000000003E-2</v>
      </c>
      <c r="U166" s="145">
        <f>$D166*Fleet!W254/10^7</f>
        <v>4.6080000000000003E-2</v>
      </c>
      <c r="V166" s="145">
        <f>$D166*Fleet!X254/10^7</f>
        <v>4.6080000000000003E-2</v>
      </c>
      <c r="W166" s="145">
        <f>$D166*Fleet!Y254/10^7</f>
        <v>4.6080000000000003E-2</v>
      </c>
      <c r="X166" s="145">
        <f>$D166*Fleet!Z254/10^7</f>
        <v>4.6080000000000003E-2</v>
      </c>
      <c r="Y166" s="145">
        <f>$D166*Fleet!AA254/10^7</f>
        <v>4.6080000000000003E-2</v>
      </c>
      <c r="Z166" s="145">
        <f>$D166*Fleet!AB254/10^7</f>
        <v>2.3040000000000001E-2</v>
      </c>
      <c r="AA166" s="145">
        <f>$D166*Fleet!AC254/10^7</f>
        <v>2.3040000000000001E-2</v>
      </c>
      <c r="AB166" s="145">
        <f>$D166*Fleet!AD254/10^7</f>
        <v>0</v>
      </c>
      <c r="AC166" s="145">
        <f>$D166*Fleet!AE254/10^7</f>
        <v>0</v>
      </c>
      <c r="AD166" s="145">
        <f>$D166*Fleet!AF254/10^7</f>
        <v>0</v>
      </c>
      <c r="AE166" s="145">
        <f>$D166*Fleet!AG254/10^7</f>
        <v>0</v>
      </c>
      <c r="AF166" s="145">
        <f>$D166*Fleet!AH254/10^7</f>
        <v>0</v>
      </c>
      <c r="AG166" s="145">
        <f>$D166*Fleet!AI254/10^7</f>
        <v>0</v>
      </c>
      <c r="AH166" s="145">
        <f>$D166*Fleet!AJ254/10^7</f>
        <v>0</v>
      </c>
      <c r="AI166" s="145">
        <f>$D166*Fleet!AK254/10^7</f>
        <v>0</v>
      </c>
      <c r="AJ166" s="145">
        <f>$D166*Fleet!AL254/10^7</f>
        <v>0</v>
      </c>
      <c r="AK166" s="145">
        <f>$D166*Fleet!AM254/10^7</f>
        <v>0</v>
      </c>
      <c r="AL166" s="145">
        <f>$D166*Fleet!AN254/10^7</f>
        <v>0</v>
      </c>
      <c r="AM166" s="145">
        <f>$D166*Fleet!AO254/10^7</f>
        <v>0</v>
      </c>
      <c r="AN166" s="145">
        <f>$D166*Fleet!AP254/10^7</f>
        <v>0</v>
      </c>
      <c r="AO166" s="145">
        <f>$D166*Fleet!AQ254/10^7</f>
        <v>0</v>
      </c>
      <c r="AP166" s="179"/>
      <c r="AQ166" s="179"/>
      <c r="AR166" s="179"/>
      <c r="AS166" s="179"/>
      <c r="AT166" s="179"/>
      <c r="AU166" s="179"/>
      <c r="AV166" s="179"/>
      <c r="AW166" s="179"/>
      <c r="AX166" s="179"/>
      <c r="AY166" s="179"/>
      <c r="AZ166" s="179"/>
      <c r="BA166" s="179"/>
      <c r="BB166" s="179"/>
      <c r="BC166" s="179"/>
      <c r="BD166" s="179"/>
    </row>
    <row r="167" spans="1:56">
      <c r="A167" s="168" t="str">
        <f t="shared" si="17"/>
        <v/>
      </c>
      <c r="B167" s="165" t="str">
        <f t="shared" si="17"/>
        <v>Water Sprinkler/ 28KL</v>
      </c>
      <c r="C167" s="171" t="s">
        <v>134</v>
      </c>
      <c r="D167" s="174">
        <f>VLOOKUP(B167,Equipment!$C$5:$V$53,Equipment!U$1,FALSE)*VLOOKUP(B167,Equipment!$C$5:$V$53,Equipment!V$1,FALSE)</f>
        <v>1382400</v>
      </c>
      <c r="E167" s="145">
        <f>$D167*Fleet!G255/10^7</f>
        <v>0</v>
      </c>
      <c r="F167" s="145">
        <f>$D167*Fleet!H255/10^7</f>
        <v>0</v>
      </c>
      <c r="G167" s="145">
        <f>$D167*Fleet!I255/10^7</f>
        <v>0</v>
      </c>
      <c r="H167" s="145">
        <f>$D167*Fleet!J255/10^7</f>
        <v>0</v>
      </c>
      <c r="I167" s="145">
        <f>$D167*Fleet!K255/10^7</f>
        <v>0.13824</v>
      </c>
      <c r="J167" s="145">
        <f>$D167*Fleet!L255/10^7</f>
        <v>0.13824</v>
      </c>
      <c r="K167" s="145">
        <f>$D167*Fleet!M255/10^7</f>
        <v>0.27648</v>
      </c>
      <c r="L167" s="145">
        <f>$D167*Fleet!N255/10^7</f>
        <v>0.27648</v>
      </c>
      <c r="M167" s="145">
        <f>$D167*Fleet!O255/10^7</f>
        <v>0.27648</v>
      </c>
      <c r="N167" s="145">
        <f>$D167*Fleet!P255/10^7</f>
        <v>0.27648</v>
      </c>
      <c r="O167" s="145">
        <f>$D167*Fleet!Q255/10^7</f>
        <v>0.27648</v>
      </c>
      <c r="P167" s="145">
        <f>$D167*Fleet!R255/10^7</f>
        <v>0.27648</v>
      </c>
      <c r="Q167" s="145">
        <f>$D167*Fleet!S255/10^7</f>
        <v>0.27648</v>
      </c>
      <c r="R167" s="145">
        <f>$D167*Fleet!T255/10^7</f>
        <v>0.27648</v>
      </c>
      <c r="S167" s="145">
        <f>$D167*Fleet!U255/10^7</f>
        <v>0.27648</v>
      </c>
      <c r="T167" s="145">
        <f>$D167*Fleet!V255/10^7</f>
        <v>0.27648</v>
      </c>
      <c r="U167" s="145">
        <f>$D167*Fleet!W255/10^7</f>
        <v>0.27648</v>
      </c>
      <c r="V167" s="145">
        <f>$D167*Fleet!X255/10^7</f>
        <v>0.27648</v>
      </c>
      <c r="W167" s="145">
        <f>$D167*Fleet!Y255/10^7</f>
        <v>0.27648</v>
      </c>
      <c r="X167" s="145">
        <f>$D167*Fleet!Z255/10^7</f>
        <v>0.27648</v>
      </c>
      <c r="Y167" s="145">
        <f>$D167*Fleet!AA255/10^7</f>
        <v>0.27648</v>
      </c>
      <c r="Z167" s="145">
        <f>$D167*Fleet!AB255/10^7</f>
        <v>0.13824</v>
      </c>
      <c r="AA167" s="145">
        <f>$D167*Fleet!AC255/10^7</f>
        <v>0.13824</v>
      </c>
      <c r="AB167" s="145">
        <f>$D167*Fleet!AD255/10^7</f>
        <v>0</v>
      </c>
      <c r="AC167" s="145">
        <f>$D167*Fleet!AE255/10^7</f>
        <v>0</v>
      </c>
      <c r="AD167" s="145">
        <f>$D167*Fleet!AF255/10^7</f>
        <v>0</v>
      </c>
      <c r="AE167" s="145">
        <f>$D167*Fleet!AG255/10^7</f>
        <v>0</v>
      </c>
      <c r="AF167" s="145">
        <f>$D167*Fleet!AH255/10^7</f>
        <v>0</v>
      </c>
      <c r="AG167" s="145">
        <f>$D167*Fleet!AI255/10^7</f>
        <v>0</v>
      </c>
      <c r="AH167" s="145">
        <f>$D167*Fleet!AJ255/10^7</f>
        <v>0</v>
      </c>
      <c r="AI167" s="145">
        <f>$D167*Fleet!AK255/10^7</f>
        <v>0</v>
      </c>
      <c r="AJ167" s="145">
        <f>$D167*Fleet!AL255/10^7</f>
        <v>0</v>
      </c>
      <c r="AK167" s="145">
        <f>$D167*Fleet!AM255/10^7</f>
        <v>0</v>
      </c>
      <c r="AL167" s="145">
        <f>$D167*Fleet!AN255/10^7</f>
        <v>0</v>
      </c>
      <c r="AM167" s="145">
        <f>$D167*Fleet!AO255/10^7</f>
        <v>0</v>
      </c>
      <c r="AN167" s="145">
        <f>$D167*Fleet!AP255/10^7</f>
        <v>0</v>
      </c>
      <c r="AO167" s="145">
        <f>$D167*Fleet!AQ255/10^7</f>
        <v>0</v>
      </c>
      <c r="AP167" s="179"/>
      <c r="AQ167" s="179"/>
      <c r="AR167" s="179"/>
      <c r="AS167" s="179"/>
      <c r="AT167" s="179"/>
      <c r="AU167" s="179"/>
      <c r="AV167" s="179"/>
      <c r="AW167" s="179"/>
      <c r="AX167" s="179"/>
      <c r="AY167" s="179"/>
      <c r="AZ167" s="179"/>
      <c r="BA167" s="179"/>
      <c r="BB167" s="179"/>
      <c r="BC167" s="179"/>
      <c r="BD167" s="179"/>
    </row>
    <row r="168" spans="1:56">
      <c r="A168" s="168" t="str">
        <f t="shared" si="17"/>
        <v/>
      </c>
      <c r="B168" s="165" t="str">
        <f t="shared" si="17"/>
        <v>Diesel Bowser/ 9KL</v>
      </c>
      <c r="C168" s="171" t="s">
        <v>134</v>
      </c>
      <c r="D168" s="174">
        <f>VLOOKUP(B168,Equipment!$C$5:$V$53,Equipment!U$1,FALSE)*VLOOKUP(B168,Equipment!$C$5:$V$53,Equipment!V$1,FALSE)</f>
        <v>153600</v>
      </c>
      <c r="E168" s="145">
        <f>$D168*Fleet!G256/10^7</f>
        <v>0</v>
      </c>
      <c r="F168" s="145">
        <f>$D168*Fleet!H256/10^7</f>
        <v>0</v>
      </c>
      <c r="G168" s="145">
        <f>$D168*Fleet!I256/10^7</f>
        <v>0</v>
      </c>
      <c r="H168" s="145">
        <f>$D168*Fleet!J256/10^7</f>
        <v>0</v>
      </c>
      <c r="I168" s="145">
        <f>$D168*Fleet!K256/10^7</f>
        <v>1.536E-2</v>
      </c>
      <c r="J168" s="145">
        <f>$D168*Fleet!L256/10^7</f>
        <v>1.536E-2</v>
      </c>
      <c r="K168" s="145">
        <f>$D168*Fleet!M256/10^7</f>
        <v>3.0720000000000001E-2</v>
      </c>
      <c r="L168" s="145">
        <f>$D168*Fleet!N256/10^7</f>
        <v>3.0720000000000001E-2</v>
      </c>
      <c r="M168" s="145">
        <f>$D168*Fleet!O256/10^7</f>
        <v>3.0720000000000001E-2</v>
      </c>
      <c r="N168" s="145">
        <f>$D168*Fleet!P256/10^7</f>
        <v>3.0720000000000001E-2</v>
      </c>
      <c r="O168" s="145">
        <f>$D168*Fleet!Q256/10^7</f>
        <v>3.0720000000000001E-2</v>
      </c>
      <c r="P168" s="145">
        <f>$D168*Fleet!R256/10^7</f>
        <v>3.0720000000000001E-2</v>
      </c>
      <c r="Q168" s="145">
        <f>$D168*Fleet!S256/10^7</f>
        <v>3.0720000000000001E-2</v>
      </c>
      <c r="R168" s="145">
        <f>$D168*Fleet!T256/10^7</f>
        <v>3.0720000000000001E-2</v>
      </c>
      <c r="S168" s="145">
        <f>$D168*Fleet!U256/10^7</f>
        <v>3.0720000000000001E-2</v>
      </c>
      <c r="T168" s="145">
        <f>$D168*Fleet!V256/10^7</f>
        <v>3.0720000000000001E-2</v>
      </c>
      <c r="U168" s="145">
        <f>$D168*Fleet!W256/10^7</f>
        <v>3.0720000000000001E-2</v>
      </c>
      <c r="V168" s="145">
        <f>$D168*Fleet!X256/10^7</f>
        <v>3.0720000000000001E-2</v>
      </c>
      <c r="W168" s="145">
        <f>$D168*Fleet!Y256/10^7</f>
        <v>3.0720000000000001E-2</v>
      </c>
      <c r="X168" s="145">
        <f>$D168*Fleet!Z256/10^7</f>
        <v>3.0720000000000001E-2</v>
      </c>
      <c r="Y168" s="145">
        <f>$D168*Fleet!AA256/10^7</f>
        <v>3.0720000000000001E-2</v>
      </c>
      <c r="Z168" s="145">
        <f>$D168*Fleet!AB256/10^7</f>
        <v>1.536E-2</v>
      </c>
      <c r="AA168" s="145">
        <f>$D168*Fleet!AC256/10^7</f>
        <v>1.536E-2</v>
      </c>
      <c r="AB168" s="145">
        <f>$D168*Fleet!AD256/10^7</f>
        <v>0</v>
      </c>
      <c r="AC168" s="145">
        <f>$D168*Fleet!AE256/10^7</f>
        <v>0</v>
      </c>
      <c r="AD168" s="145">
        <f>$D168*Fleet!AF256/10^7</f>
        <v>0</v>
      </c>
      <c r="AE168" s="145">
        <f>$D168*Fleet!AG256/10^7</f>
        <v>0</v>
      </c>
      <c r="AF168" s="145">
        <f>$D168*Fleet!AH256/10^7</f>
        <v>0</v>
      </c>
      <c r="AG168" s="145">
        <f>$D168*Fleet!AI256/10^7</f>
        <v>0</v>
      </c>
      <c r="AH168" s="145">
        <f>$D168*Fleet!AJ256/10^7</f>
        <v>0</v>
      </c>
      <c r="AI168" s="145">
        <f>$D168*Fleet!AK256/10^7</f>
        <v>0</v>
      </c>
      <c r="AJ168" s="145">
        <f>$D168*Fleet!AL256/10^7</f>
        <v>0</v>
      </c>
      <c r="AK168" s="145">
        <f>$D168*Fleet!AM256/10^7</f>
        <v>0</v>
      </c>
      <c r="AL168" s="145">
        <f>$D168*Fleet!AN256/10^7</f>
        <v>0</v>
      </c>
      <c r="AM168" s="145">
        <f>$D168*Fleet!AO256/10^7</f>
        <v>0</v>
      </c>
      <c r="AN168" s="145">
        <f>$D168*Fleet!AP256/10^7</f>
        <v>0</v>
      </c>
      <c r="AO168" s="145">
        <f>$D168*Fleet!AQ256/10^7</f>
        <v>0</v>
      </c>
      <c r="AP168" s="179"/>
      <c r="AQ168" s="179"/>
      <c r="AR168" s="179"/>
      <c r="AS168" s="179"/>
      <c r="AT168" s="179"/>
      <c r="AU168" s="179"/>
      <c r="AV168" s="179"/>
      <c r="AW168" s="179"/>
      <c r="AX168" s="179"/>
      <c r="AY168" s="179"/>
      <c r="AZ168" s="179"/>
      <c r="BA168" s="179"/>
      <c r="BB168" s="179"/>
      <c r="BC168" s="179"/>
      <c r="BD168" s="179"/>
    </row>
    <row r="169" spans="1:56">
      <c r="A169" s="168" t="str">
        <f t="shared" si="17"/>
        <v/>
      </c>
      <c r="B169" s="165" t="str">
        <f t="shared" si="17"/>
        <v xml:space="preserve">Explosive Van </v>
      </c>
      <c r="C169" s="171" t="s">
        <v>134</v>
      </c>
      <c r="D169" s="174">
        <f>VLOOKUP(B169,Equipment!$C$5:$V$53,Equipment!U$1,FALSE)*VLOOKUP(B169,Equipment!$C$5:$V$53,Equipment!V$1,FALSE)</f>
        <v>115200</v>
      </c>
      <c r="E169" s="145">
        <f>$D169*Fleet!G257/10^7</f>
        <v>0</v>
      </c>
      <c r="F169" s="145">
        <f>$D169*Fleet!H257/10^7</f>
        <v>0</v>
      </c>
      <c r="G169" s="145">
        <f>$D169*Fleet!I257/10^7</f>
        <v>0</v>
      </c>
      <c r="H169" s="145">
        <f>$D169*Fleet!J257/10^7</f>
        <v>0</v>
      </c>
      <c r="I169" s="145">
        <f>$D169*Fleet!K257/10^7</f>
        <v>1.1520000000000001E-2</v>
      </c>
      <c r="J169" s="145">
        <f>$D169*Fleet!L257/10^7</f>
        <v>1.1520000000000001E-2</v>
      </c>
      <c r="K169" s="145">
        <f>$D169*Fleet!M257/10^7</f>
        <v>2.3040000000000001E-2</v>
      </c>
      <c r="L169" s="145">
        <f>$D169*Fleet!N257/10^7</f>
        <v>2.3040000000000001E-2</v>
      </c>
      <c r="M169" s="145">
        <f>$D169*Fleet!O257/10^7</f>
        <v>2.3040000000000001E-2</v>
      </c>
      <c r="N169" s="145">
        <f>$D169*Fleet!P257/10^7</f>
        <v>2.3040000000000001E-2</v>
      </c>
      <c r="O169" s="145">
        <f>$D169*Fleet!Q257/10^7</f>
        <v>2.3040000000000001E-2</v>
      </c>
      <c r="P169" s="145">
        <f>$D169*Fleet!R257/10^7</f>
        <v>2.3040000000000001E-2</v>
      </c>
      <c r="Q169" s="145">
        <f>$D169*Fleet!S257/10^7</f>
        <v>2.3040000000000001E-2</v>
      </c>
      <c r="R169" s="145">
        <f>$D169*Fleet!T257/10^7</f>
        <v>2.3040000000000001E-2</v>
      </c>
      <c r="S169" s="145">
        <f>$D169*Fleet!U257/10^7</f>
        <v>2.3040000000000001E-2</v>
      </c>
      <c r="T169" s="145">
        <f>$D169*Fleet!V257/10^7</f>
        <v>2.3040000000000001E-2</v>
      </c>
      <c r="U169" s="145">
        <f>$D169*Fleet!W257/10^7</f>
        <v>2.3040000000000001E-2</v>
      </c>
      <c r="V169" s="145">
        <f>$D169*Fleet!X257/10^7</f>
        <v>2.3040000000000001E-2</v>
      </c>
      <c r="W169" s="145">
        <f>$D169*Fleet!Y257/10^7</f>
        <v>2.3040000000000001E-2</v>
      </c>
      <c r="X169" s="145">
        <f>$D169*Fleet!Z257/10^7</f>
        <v>2.3040000000000001E-2</v>
      </c>
      <c r="Y169" s="145">
        <f>$D169*Fleet!AA257/10^7</f>
        <v>2.3040000000000001E-2</v>
      </c>
      <c r="Z169" s="145">
        <f>$D169*Fleet!AB257/10^7</f>
        <v>1.1520000000000001E-2</v>
      </c>
      <c r="AA169" s="145">
        <f>$D169*Fleet!AC257/10^7</f>
        <v>1.1520000000000001E-2</v>
      </c>
      <c r="AB169" s="145">
        <f>$D169*Fleet!AD257/10^7</f>
        <v>0</v>
      </c>
      <c r="AC169" s="145">
        <f>$D169*Fleet!AE257/10^7</f>
        <v>0</v>
      </c>
      <c r="AD169" s="145">
        <f>$D169*Fleet!AF257/10^7</f>
        <v>0</v>
      </c>
      <c r="AE169" s="145">
        <f>$D169*Fleet!AG257/10^7</f>
        <v>0</v>
      </c>
      <c r="AF169" s="145">
        <f>$D169*Fleet!AH257/10^7</f>
        <v>0</v>
      </c>
      <c r="AG169" s="145">
        <f>$D169*Fleet!AI257/10^7</f>
        <v>0</v>
      </c>
      <c r="AH169" s="145">
        <f>$D169*Fleet!AJ257/10^7</f>
        <v>0</v>
      </c>
      <c r="AI169" s="145">
        <f>$D169*Fleet!AK257/10^7</f>
        <v>0</v>
      </c>
      <c r="AJ169" s="145">
        <f>$D169*Fleet!AL257/10^7</f>
        <v>0</v>
      </c>
      <c r="AK169" s="145">
        <f>$D169*Fleet!AM257/10^7</f>
        <v>0</v>
      </c>
      <c r="AL169" s="145">
        <f>$D169*Fleet!AN257/10^7</f>
        <v>0</v>
      </c>
      <c r="AM169" s="145">
        <f>$D169*Fleet!AO257/10^7</f>
        <v>0</v>
      </c>
      <c r="AN169" s="145">
        <f>$D169*Fleet!AP257/10^7</f>
        <v>0</v>
      </c>
      <c r="AO169" s="145">
        <f>$D169*Fleet!AQ257/10^7</f>
        <v>0</v>
      </c>
      <c r="AP169" s="179"/>
      <c r="AQ169" s="179"/>
      <c r="AR169" s="179"/>
      <c r="AS169" s="179"/>
      <c r="AT169" s="179"/>
      <c r="AU169" s="179"/>
      <c r="AV169" s="179"/>
      <c r="AW169" s="179"/>
      <c r="AX169" s="179"/>
      <c r="AY169" s="179"/>
      <c r="AZ169" s="179"/>
      <c r="BA169" s="179"/>
      <c r="BB169" s="179"/>
      <c r="BC169" s="179"/>
      <c r="BD169" s="179"/>
    </row>
    <row r="170" spans="1:56">
      <c r="A170" s="168" t="str">
        <f t="shared" si="17"/>
        <v/>
      </c>
      <c r="B170" s="165" t="str">
        <f t="shared" si="17"/>
        <v>Maintenance Van</v>
      </c>
      <c r="C170" s="171" t="s">
        <v>134</v>
      </c>
      <c r="D170" s="174">
        <f>VLOOKUP(B170,Equipment!$C$5:$V$53,Equipment!U$1,FALSE)*VLOOKUP(B170,Equipment!$C$5:$V$53,Equipment!V$1,FALSE)</f>
        <v>153600</v>
      </c>
      <c r="E170" s="145">
        <f>$D170*Fleet!G258/10^7</f>
        <v>0</v>
      </c>
      <c r="F170" s="145">
        <f>$D170*Fleet!H258/10^7</f>
        <v>0</v>
      </c>
      <c r="G170" s="145">
        <f>$D170*Fleet!I258/10^7</f>
        <v>0</v>
      </c>
      <c r="H170" s="145">
        <f>$D170*Fleet!J258/10^7</f>
        <v>0</v>
      </c>
      <c r="I170" s="145">
        <f>$D170*Fleet!K258/10^7</f>
        <v>1.536E-2</v>
      </c>
      <c r="J170" s="145">
        <f>$D170*Fleet!L258/10^7</f>
        <v>1.536E-2</v>
      </c>
      <c r="K170" s="145">
        <f>$D170*Fleet!M258/10^7</f>
        <v>3.0720000000000001E-2</v>
      </c>
      <c r="L170" s="145">
        <f>$D170*Fleet!N258/10^7</f>
        <v>3.0720000000000001E-2</v>
      </c>
      <c r="M170" s="145">
        <f>$D170*Fleet!O258/10^7</f>
        <v>3.0720000000000001E-2</v>
      </c>
      <c r="N170" s="145">
        <f>$D170*Fleet!P258/10^7</f>
        <v>3.0720000000000001E-2</v>
      </c>
      <c r="O170" s="145">
        <f>$D170*Fleet!Q258/10^7</f>
        <v>3.0720000000000001E-2</v>
      </c>
      <c r="P170" s="145">
        <f>$D170*Fleet!R258/10^7</f>
        <v>3.0720000000000001E-2</v>
      </c>
      <c r="Q170" s="145">
        <f>$D170*Fleet!S258/10^7</f>
        <v>3.0720000000000001E-2</v>
      </c>
      <c r="R170" s="145">
        <f>$D170*Fleet!T258/10^7</f>
        <v>3.0720000000000001E-2</v>
      </c>
      <c r="S170" s="145">
        <f>$D170*Fleet!U258/10^7</f>
        <v>3.0720000000000001E-2</v>
      </c>
      <c r="T170" s="145">
        <f>$D170*Fleet!V258/10^7</f>
        <v>3.0720000000000001E-2</v>
      </c>
      <c r="U170" s="145">
        <f>$D170*Fleet!W258/10^7</f>
        <v>3.0720000000000001E-2</v>
      </c>
      <c r="V170" s="145">
        <f>$D170*Fleet!X258/10^7</f>
        <v>3.0720000000000001E-2</v>
      </c>
      <c r="W170" s="145">
        <f>$D170*Fleet!Y258/10^7</f>
        <v>3.0720000000000001E-2</v>
      </c>
      <c r="X170" s="145">
        <f>$D170*Fleet!Z258/10^7</f>
        <v>3.0720000000000001E-2</v>
      </c>
      <c r="Y170" s="145">
        <f>$D170*Fleet!AA258/10^7</f>
        <v>3.0720000000000001E-2</v>
      </c>
      <c r="Z170" s="145">
        <f>$D170*Fleet!AB258/10^7</f>
        <v>1.536E-2</v>
      </c>
      <c r="AA170" s="145">
        <f>$D170*Fleet!AC258/10^7</f>
        <v>1.536E-2</v>
      </c>
      <c r="AB170" s="145">
        <f>$D170*Fleet!AD258/10^7</f>
        <v>0</v>
      </c>
      <c r="AC170" s="145">
        <f>$D170*Fleet!AE258/10^7</f>
        <v>0</v>
      </c>
      <c r="AD170" s="145">
        <f>$D170*Fleet!AF258/10^7</f>
        <v>0</v>
      </c>
      <c r="AE170" s="145">
        <f>$D170*Fleet!AG258/10^7</f>
        <v>0</v>
      </c>
      <c r="AF170" s="145">
        <f>$D170*Fleet!AH258/10^7</f>
        <v>0</v>
      </c>
      <c r="AG170" s="145">
        <f>$D170*Fleet!AI258/10^7</f>
        <v>0</v>
      </c>
      <c r="AH170" s="145">
        <f>$D170*Fleet!AJ258/10^7</f>
        <v>0</v>
      </c>
      <c r="AI170" s="145">
        <f>$D170*Fleet!AK258/10^7</f>
        <v>0</v>
      </c>
      <c r="AJ170" s="145">
        <f>$D170*Fleet!AL258/10^7</f>
        <v>0</v>
      </c>
      <c r="AK170" s="145">
        <f>$D170*Fleet!AM258/10^7</f>
        <v>0</v>
      </c>
      <c r="AL170" s="145">
        <f>$D170*Fleet!AN258/10^7</f>
        <v>0</v>
      </c>
      <c r="AM170" s="145">
        <f>$D170*Fleet!AO258/10^7</f>
        <v>0</v>
      </c>
      <c r="AN170" s="145">
        <f>$D170*Fleet!AP258/10^7</f>
        <v>0</v>
      </c>
      <c r="AO170" s="145">
        <f>$D170*Fleet!AQ258/10^7</f>
        <v>0</v>
      </c>
      <c r="AP170" s="179"/>
      <c r="AQ170" s="179"/>
      <c r="AR170" s="179"/>
      <c r="AS170" s="179"/>
      <c r="AT170" s="179"/>
      <c r="AU170" s="179"/>
      <c r="AV170" s="179"/>
      <c r="AW170" s="179"/>
      <c r="AX170" s="179"/>
      <c r="AY170" s="179"/>
      <c r="AZ170" s="179"/>
      <c r="BA170" s="179"/>
      <c r="BB170" s="179"/>
      <c r="BC170" s="179"/>
      <c r="BD170" s="179"/>
    </row>
    <row r="171" spans="1:56">
      <c r="A171" s="168" t="str">
        <f t="shared" si="17"/>
        <v/>
      </c>
      <c r="B171" s="165" t="str">
        <f t="shared" si="17"/>
        <v>Diesel Hydraulic backhoe/ 1.5cum (Komatsu)</v>
      </c>
      <c r="C171" s="171" t="s">
        <v>134</v>
      </c>
      <c r="D171" s="174">
        <f>VLOOKUP(B171,Equipment!$C$5:$V$53,Equipment!U$1,FALSE)*VLOOKUP(B171,Equipment!$C$5:$V$53,Equipment!V$1,FALSE)</f>
        <v>0</v>
      </c>
      <c r="E171" s="145">
        <f>$D171*Fleet!G259/10^7</f>
        <v>0</v>
      </c>
      <c r="F171" s="145">
        <f>$D171*Fleet!H259/10^7</f>
        <v>0</v>
      </c>
      <c r="G171" s="145">
        <f>$D171*Fleet!I259/10^7</f>
        <v>0</v>
      </c>
      <c r="H171" s="145">
        <f>$D171*Fleet!J259/10^7</f>
        <v>0</v>
      </c>
      <c r="I171" s="145">
        <f>$D171*Fleet!K259/10^7</f>
        <v>0</v>
      </c>
      <c r="J171" s="145">
        <f>$D171*Fleet!L259/10^7</f>
        <v>0</v>
      </c>
      <c r="K171" s="145">
        <f>$D171*Fleet!M259/10^7</f>
        <v>0</v>
      </c>
      <c r="L171" s="145">
        <f>$D171*Fleet!N259/10^7</f>
        <v>0</v>
      </c>
      <c r="M171" s="145">
        <f>$D171*Fleet!O259/10^7</f>
        <v>0</v>
      </c>
      <c r="N171" s="145">
        <f>$D171*Fleet!P259/10^7</f>
        <v>0</v>
      </c>
      <c r="O171" s="145">
        <f>$D171*Fleet!Q259/10^7</f>
        <v>0</v>
      </c>
      <c r="P171" s="145">
        <f>$D171*Fleet!R259/10^7</f>
        <v>0</v>
      </c>
      <c r="Q171" s="145">
        <f>$D171*Fleet!S259/10^7</f>
        <v>0</v>
      </c>
      <c r="R171" s="145">
        <f>$D171*Fleet!T259/10^7</f>
        <v>0</v>
      </c>
      <c r="S171" s="145">
        <f>$D171*Fleet!U259/10^7</f>
        <v>0</v>
      </c>
      <c r="T171" s="145">
        <f>$D171*Fleet!V259/10^7</f>
        <v>0</v>
      </c>
      <c r="U171" s="145">
        <f>$D171*Fleet!W259/10^7</f>
        <v>0</v>
      </c>
      <c r="V171" s="145">
        <f>$D171*Fleet!X259/10^7</f>
        <v>0</v>
      </c>
      <c r="W171" s="145">
        <f>$D171*Fleet!Y259/10^7</f>
        <v>0</v>
      </c>
      <c r="X171" s="145">
        <f>$D171*Fleet!Z259/10^7</f>
        <v>0</v>
      </c>
      <c r="Y171" s="145">
        <f>$D171*Fleet!AA259/10^7</f>
        <v>0</v>
      </c>
      <c r="Z171" s="145">
        <f>$D171*Fleet!AB259/10^7</f>
        <v>0</v>
      </c>
      <c r="AA171" s="145">
        <f>$D171*Fleet!AC259/10^7</f>
        <v>0</v>
      </c>
      <c r="AB171" s="145">
        <f>$D171*Fleet!AD259/10^7</f>
        <v>0</v>
      </c>
      <c r="AC171" s="145">
        <f>$D171*Fleet!AE259/10^7</f>
        <v>0</v>
      </c>
      <c r="AD171" s="145">
        <f>$D171*Fleet!AF259/10^7</f>
        <v>0</v>
      </c>
      <c r="AE171" s="145">
        <f>$D171*Fleet!AG259/10^7</f>
        <v>0</v>
      </c>
      <c r="AF171" s="145">
        <f>$D171*Fleet!AH259/10^7</f>
        <v>0</v>
      </c>
      <c r="AG171" s="145">
        <f>$D171*Fleet!AI259/10^7</f>
        <v>0</v>
      </c>
      <c r="AH171" s="145">
        <f>$D171*Fleet!AJ259/10^7</f>
        <v>0</v>
      </c>
      <c r="AI171" s="145">
        <f>$D171*Fleet!AK259/10^7</f>
        <v>0</v>
      </c>
      <c r="AJ171" s="145">
        <f>$D171*Fleet!AL259/10^7</f>
        <v>0</v>
      </c>
      <c r="AK171" s="145">
        <f>$D171*Fleet!AM259/10^7</f>
        <v>0</v>
      </c>
      <c r="AL171" s="145">
        <f>$D171*Fleet!AN259/10^7</f>
        <v>0</v>
      </c>
      <c r="AM171" s="145">
        <f>$D171*Fleet!AO259/10^7</f>
        <v>0</v>
      </c>
      <c r="AN171" s="145">
        <f>$D171*Fleet!AP259/10^7</f>
        <v>0</v>
      </c>
      <c r="AO171" s="145">
        <f>$D171*Fleet!AQ259/10^7</f>
        <v>0</v>
      </c>
      <c r="AP171" s="179"/>
      <c r="AQ171" s="179"/>
      <c r="AR171" s="179"/>
      <c r="AS171" s="179"/>
      <c r="AT171" s="179"/>
      <c r="AU171" s="179"/>
      <c r="AV171" s="179"/>
      <c r="AW171" s="179"/>
      <c r="AX171" s="179"/>
      <c r="AY171" s="179"/>
      <c r="AZ171" s="179"/>
      <c r="BA171" s="179"/>
      <c r="BB171" s="179"/>
      <c r="BC171" s="179"/>
      <c r="BD171" s="179"/>
    </row>
    <row r="172" spans="1:56">
      <c r="A172" s="168" t="str">
        <f t="shared" si="17"/>
        <v/>
      </c>
      <c r="B172" s="165" t="str">
        <f t="shared" si="17"/>
        <v xml:space="preserve">Boom Truck </v>
      </c>
      <c r="C172" s="171" t="s">
        <v>134</v>
      </c>
      <c r="D172" s="174">
        <f>VLOOKUP(B172,Equipment!$C$5:$V$53,Equipment!U$1,FALSE)*VLOOKUP(B172,Equipment!$C$5:$V$53,Equipment!V$1,FALSE)</f>
        <v>153600</v>
      </c>
      <c r="E172" s="145">
        <f>$D172*Fleet!G260/10^7</f>
        <v>0</v>
      </c>
      <c r="F172" s="145">
        <f>$D172*Fleet!H260/10^7</f>
        <v>0</v>
      </c>
      <c r="G172" s="145">
        <f>$D172*Fleet!I260/10^7</f>
        <v>0</v>
      </c>
      <c r="H172" s="145">
        <f>$D172*Fleet!J260/10^7</f>
        <v>0</v>
      </c>
      <c r="I172" s="145">
        <f>$D172*Fleet!K260/10^7</f>
        <v>1.536E-2</v>
      </c>
      <c r="J172" s="145">
        <f>$D172*Fleet!L260/10^7</f>
        <v>1.536E-2</v>
      </c>
      <c r="K172" s="145">
        <f>$D172*Fleet!M260/10^7</f>
        <v>3.0720000000000001E-2</v>
      </c>
      <c r="L172" s="145">
        <f>$D172*Fleet!N260/10^7</f>
        <v>3.0720000000000001E-2</v>
      </c>
      <c r="M172" s="145">
        <f>$D172*Fleet!O260/10^7</f>
        <v>3.0720000000000001E-2</v>
      </c>
      <c r="N172" s="145">
        <f>$D172*Fleet!P260/10^7</f>
        <v>3.0720000000000001E-2</v>
      </c>
      <c r="O172" s="145">
        <f>$D172*Fleet!Q260/10^7</f>
        <v>3.0720000000000001E-2</v>
      </c>
      <c r="P172" s="145">
        <f>$D172*Fleet!R260/10^7</f>
        <v>3.0720000000000001E-2</v>
      </c>
      <c r="Q172" s="145">
        <f>$D172*Fleet!S260/10^7</f>
        <v>3.0720000000000001E-2</v>
      </c>
      <c r="R172" s="145">
        <f>$D172*Fleet!T260/10^7</f>
        <v>3.0720000000000001E-2</v>
      </c>
      <c r="S172" s="145">
        <f>$D172*Fleet!U260/10^7</f>
        <v>3.0720000000000001E-2</v>
      </c>
      <c r="T172" s="145">
        <f>$D172*Fleet!V260/10^7</f>
        <v>3.0720000000000001E-2</v>
      </c>
      <c r="U172" s="145">
        <f>$D172*Fleet!W260/10^7</f>
        <v>3.0720000000000001E-2</v>
      </c>
      <c r="V172" s="145">
        <f>$D172*Fleet!X260/10^7</f>
        <v>3.0720000000000001E-2</v>
      </c>
      <c r="W172" s="145">
        <f>$D172*Fleet!Y260/10^7</f>
        <v>3.0720000000000001E-2</v>
      </c>
      <c r="X172" s="145">
        <f>$D172*Fleet!Z260/10^7</f>
        <v>3.0720000000000001E-2</v>
      </c>
      <c r="Y172" s="145">
        <f>$D172*Fleet!AA260/10^7</f>
        <v>3.0720000000000001E-2</v>
      </c>
      <c r="Z172" s="145">
        <f>$D172*Fleet!AB260/10^7</f>
        <v>1.536E-2</v>
      </c>
      <c r="AA172" s="145">
        <f>$D172*Fleet!AC260/10^7</f>
        <v>1.536E-2</v>
      </c>
      <c r="AB172" s="145">
        <f>$D172*Fleet!AD260/10^7</f>
        <v>0</v>
      </c>
      <c r="AC172" s="145">
        <f>$D172*Fleet!AE260/10^7</f>
        <v>0</v>
      </c>
      <c r="AD172" s="145">
        <f>$D172*Fleet!AF260/10^7</f>
        <v>0</v>
      </c>
      <c r="AE172" s="145">
        <f>$D172*Fleet!AG260/10^7</f>
        <v>0</v>
      </c>
      <c r="AF172" s="145">
        <f>$D172*Fleet!AH260/10^7</f>
        <v>0</v>
      </c>
      <c r="AG172" s="145">
        <f>$D172*Fleet!AI260/10^7</f>
        <v>0</v>
      </c>
      <c r="AH172" s="145">
        <f>$D172*Fleet!AJ260/10^7</f>
        <v>0</v>
      </c>
      <c r="AI172" s="145">
        <f>$D172*Fleet!AK260/10^7</f>
        <v>0</v>
      </c>
      <c r="AJ172" s="145">
        <f>$D172*Fleet!AL260/10^7</f>
        <v>0</v>
      </c>
      <c r="AK172" s="145">
        <f>$D172*Fleet!AM260/10^7</f>
        <v>0</v>
      </c>
      <c r="AL172" s="145">
        <f>$D172*Fleet!AN260/10^7</f>
        <v>0</v>
      </c>
      <c r="AM172" s="145">
        <f>$D172*Fleet!AO260/10^7</f>
        <v>0</v>
      </c>
      <c r="AN172" s="145">
        <f>$D172*Fleet!AP260/10^7</f>
        <v>0</v>
      </c>
      <c r="AO172" s="145">
        <f>$D172*Fleet!AQ260/10^7</f>
        <v>0</v>
      </c>
      <c r="AP172" s="179"/>
      <c r="AQ172" s="179"/>
      <c r="AR172" s="179"/>
      <c r="AS172" s="179"/>
      <c r="AT172" s="179"/>
      <c r="AU172" s="179"/>
      <c r="AV172" s="179"/>
      <c r="AW172" s="179"/>
      <c r="AX172" s="179"/>
      <c r="AY172" s="179"/>
      <c r="AZ172" s="179"/>
      <c r="BA172" s="179"/>
      <c r="BB172" s="179"/>
      <c r="BC172" s="179"/>
      <c r="BD172" s="179"/>
    </row>
    <row r="173" spans="1:56">
      <c r="A173" s="168" t="str">
        <f t="shared" si="17"/>
        <v/>
      </c>
      <c r="B173" s="165" t="str">
        <f t="shared" si="17"/>
        <v xml:space="preserve">Heavy duty tow truck </v>
      </c>
      <c r="C173" s="171" t="s">
        <v>134</v>
      </c>
      <c r="D173" s="174">
        <f>VLOOKUP(B173,Equipment!$C$5:$V$53,Equipment!U$1,FALSE)*VLOOKUP(B173,Equipment!$C$5:$V$53,Equipment!V$1,FALSE)</f>
        <v>153600</v>
      </c>
      <c r="E173" s="145">
        <f>$D173*Fleet!G261/10^7</f>
        <v>0</v>
      </c>
      <c r="F173" s="145">
        <f>$D173*Fleet!H261/10^7</f>
        <v>0</v>
      </c>
      <c r="G173" s="145">
        <f>$D173*Fleet!I261/10^7</f>
        <v>0</v>
      </c>
      <c r="H173" s="145">
        <f>$D173*Fleet!J261/10^7</f>
        <v>0</v>
      </c>
      <c r="I173" s="145">
        <f>$D173*Fleet!K261/10^7</f>
        <v>1.536E-2</v>
      </c>
      <c r="J173" s="145">
        <f>$D173*Fleet!L261/10^7</f>
        <v>1.536E-2</v>
      </c>
      <c r="K173" s="145">
        <f>$D173*Fleet!M261/10^7</f>
        <v>3.0720000000000001E-2</v>
      </c>
      <c r="L173" s="145">
        <f>$D173*Fleet!N261/10^7</f>
        <v>3.0720000000000001E-2</v>
      </c>
      <c r="M173" s="145">
        <f>$D173*Fleet!O261/10^7</f>
        <v>3.0720000000000001E-2</v>
      </c>
      <c r="N173" s="145">
        <f>$D173*Fleet!P261/10^7</f>
        <v>3.0720000000000001E-2</v>
      </c>
      <c r="O173" s="145">
        <f>$D173*Fleet!Q261/10^7</f>
        <v>3.0720000000000001E-2</v>
      </c>
      <c r="P173" s="145">
        <f>$D173*Fleet!R261/10^7</f>
        <v>3.0720000000000001E-2</v>
      </c>
      <c r="Q173" s="145">
        <f>$D173*Fleet!S261/10^7</f>
        <v>3.0720000000000001E-2</v>
      </c>
      <c r="R173" s="145">
        <f>$D173*Fleet!T261/10^7</f>
        <v>3.0720000000000001E-2</v>
      </c>
      <c r="S173" s="145">
        <f>$D173*Fleet!U261/10^7</f>
        <v>3.0720000000000001E-2</v>
      </c>
      <c r="T173" s="145">
        <f>$D173*Fleet!V261/10^7</f>
        <v>3.0720000000000001E-2</v>
      </c>
      <c r="U173" s="145">
        <f>$D173*Fleet!W261/10^7</f>
        <v>3.0720000000000001E-2</v>
      </c>
      <c r="V173" s="145">
        <f>$D173*Fleet!X261/10^7</f>
        <v>3.0720000000000001E-2</v>
      </c>
      <c r="W173" s="145">
        <f>$D173*Fleet!Y261/10^7</f>
        <v>3.0720000000000001E-2</v>
      </c>
      <c r="X173" s="145">
        <f>$D173*Fleet!Z261/10^7</f>
        <v>3.0720000000000001E-2</v>
      </c>
      <c r="Y173" s="145">
        <f>$D173*Fleet!AA261/10^7</f>
        <v>3.0720000000000001E-2</v>
      </c>
      <c r="Z173" s="145">
        <f>$D173*Fleet!AB261/10^7</f>
        <v>1.536E-2</v>
      </c>
      <c r="AA173" s="145">
        <f>$D173*Fleet!AC261/10^7</f>
        <v>1.536E-2</v>
      </c>
      <c r="AB173" s="145">
        <f>$D173*Fleet!AD261/10^7</f>
        <v>0</v>
      </c>
      <c r="AC173" s="145">
        <f>$D173*Fleet!AE261/10^7</f>
        <v>0</v>
      </c>
      <c r="AD173" s="145">
        <f>$D173*Fleet!AF261/10^7</f>
        <v>0</v>
      </c>
      <c r="AE173" s="145">
        <f>$D173*Fleet!AG261/10^7</f>
        <v>0</v>
      </c>
      <c r="AF173" s="145">
        <f>$D173*Fleet!AH261/10^7</f>
        <v>0</v>
      </c>
      <c r="AG173" s="145">
        <f>$D173*Fleet!AI261/10^7</f>
        <v>0</v>
      </c>
      <c r="AH173" s="145">
        <f>$D173*Fleet!AJ261/10^7</f>
        <v>0</v>
      </c>
      <c r="AI173" s="145">
        <f>$D173*Fleet!AK261/10^7</f>
        <v>0</v>
      </c>
      <c r="AJ173" s="145">
        <f>$D173*Fleet!AL261/10^7</f>
        <v>0</v>
      </c>
      <c r="AK173" s="145">
        <f>$D173*Fleet!AM261/10^7</f>
        <v>0</v>
      </c>
      <c r="AL173" s="145">
        <f>$D173*Fleet!AN261/10^7</f>
        <v>0</v>
      </c>
      <c r="AM173" s="145">
        <f>$D173*Fleet!AO261/10^7</f>
        <v>0</v>
      </c>
      <c r="AN173" s="145">
        <f>$D173*Fleet!AP261/10^7</f>
        <v>0</v>
      </c>
      <c r="AO173" s="145">
        <f>$D173*Fleet!AQ261/10^7</f>
        <v>0</v>
      </c>
      <c r="AP173" s="179"/>
      <c r="AQ173" s="179"/>
      <c r="AR173" s="179"/>
      <c r="AS173" s="179"/>
      <c r="AT173" s="179"/>
      <c r="AU173" s="179"/>
      <c r="AV173" s="179"/>
      <c r="AW173" s="179"/>
      <c r="AX173" s="179"/>
      <c r="AY173" s="179"/>
      <c r="AZ173" s="179"/>
      <c r="BA173" s="179"/>
      <c r="BB173" s="179"/>
      <c r="BC173" s="179"/>
      <c r="BD173" s="179"/>
    </row>
    <row r="174" spans="1:56">
      <c r="A174" s="168" t="str">
        <f t="shared" si="17"/>
        <v/>
      </c>
      <c r="B174" s="165" t="str">
        <f t="shared" si="17"/>
        <v>Tipping Truck/ 8t</v>
      </c>
      <c r="C174" s="171" t="s">
        <v>134</v>
      </c>
      <c r="D174" s="174">
        <f>VLOOKUP(B174,Equipment!$C$5:$V$53,Equipment!U$1,FALSE)*VLOOKUP(B174,Equipment!$C$5:$V$53,Equipment!V$1,FALSE)</f>
        <v>153600</v>
      </c>
      <c r="E174" s="145">
        <f>$D174*Fleet!G262/10^7</f>
        <v>0</v>
      </c>
      <c r="F174" s="145">
        <f>$D174*Fleet!H262/10^7</f>
        <v>0</v>
      </c>
      <c r="G174" s="145">
        <f>$D174*Fleet!I262/10^7</f>
        <v>0</v>
      </c>
      <c r="H174" s="145">
        <f>$D174*Fleet!J262/10^7</f>
        <v>0</v>
      </c>
      <c r="I174" s="145">
        <f>$D174*Fleet!K262/10^7</f>
        <v>1.536E-2</v>
      </c>
      <c r="J174" s="145">
        <f>$D174*Fleet!L262/10^7</f>
        <v>1.536E-2</v>
      </c>
      <c r="K174" s="145">
        <f>$D174*Fleet!M262/10^7</f>
        <v>3.0720000000000001E-2</v>
      </c>
      <c r="L174" s="145">
        <f>$D174*Fleet!N262/10^7</f>
        <v>3.0720000000000001E-2</v>
      </c>
      <c r="M174" s="145">
        <f>$D174*Fleet!O262/10^7</f>
        <v>3.0720000000000001E-2</v>
      </c>
      <c r="N174" s="145">
        <f>$D174*Fleet!P262/10^7</f>
        <v>3.0720000000000001E-2</v>
      </c>
      <c r="O174" s="145">
        <f>$D174*Fleet!Q262/10^7</f>
        <v>3.0720000000000001E-2</v>
      </c>
      <c r="P174" s="145">
        <f>$D174*Fleet!R262/10^7</f>
        <v>3.0720000000000001E-2</v>
      </c>
      <c r="Q174" s="145">
        <f>$D174*Fleet!S262/10^7</f>
        <v>3.0720000000000001E-2</v>
      </c>
      <c r="R174" s="145">
        <f>$D174*Fleet!T262/10^7</f>
        <v>3.0720000000000001E-2</v>
      </c>
      <c r="S174" s="145">
        <f>$D174*Fleet!U262/10^7</f>
        <v>3.0720000000000001E-2</v>
      </c>
      <c r="T174" s="145">
        <f>$D174*Fleet!V262/10^7</f>
        <v>3.0720000000000001E-2</v>
      </c>
      <c r="U174" s="145">
        <f>$D174*Fleet!W262/10^7</f>
        <v>3.0720000000000001E-2</v>
      </c>
      <c r="V174" s="145">
        <f>$D174*Fleet!X262/10^7</f>
        <v>3.0720000000000001E-2</v>
      </c>
      <c r="W174" s="145">
        <f>$D174*Fleet!Y262/10^7</f>
        <v>3.0720000000000001E-2</v>
      </c>
      <c r="X174" s="145">
        <f>$D174*Fleet!Z262/10^7</f>
        <v>3.0720000000000001E-2</v>
      </c>
      <c r="Y174" s="145">
        <f>$D174*Fleet!AA262/10^7</f>
        <v>3.0720000000000001E-2</v>
      </c>
      <c r="Z174" s="145">
        <f>$D174*Fleet!AB262/10^7</f>
        <v>1.536E-2</v>
      </c>
      <c r="AA174" s="145">
        <f>$D174*Fleet!AC262/10^7</f>
        <v>1.536E-2</v>
      </c>
      <c r="AB174" s="145">
        <f>$D174*Fleet!AD262/10^7</f>
        <v>0</v>
      </c>
      <c r="AC174" s="145">
        <f>$D174*Fleet!AE262/10^7</f>
        <v>0</v>
      </c>
      <c r="AD174" s="145">
        <f>$D174*Fleet!AF262/10^7</f>
        <v>0</v>
      </c>
      <c r="AE174" s="145">
        <f>$D174*Fleet!AG262/10^7</f>
        <v>0</v>
      </c>
      <c r="AF174" s="145">
        <f>$D174*Fleet!AH262/10^7</f>
        <v>0</v>
      </c>
      <c r="AG174" s="145">
        <f>$D174*Fleet!AI262/10^7</f>
        <v>0</v>
      </c>
      <c r="AH174" s="145">
        <f>$D174*Fleet!AJ262/10^7</f>
        <v>0</v>
      </c>
      <c r="AI174" s="145">
        <f>$D174*Fleet!AK262/10^7</f>
        <v>0</v>
      </c>
      <c r="AJ174" s="145">
        <f>$D174*Fleet!AL262/10^7</f>
        <v>0</v>
      </c>
      <c r="AK174" s="145">
        <f>$D174*Fleet!AM262/10^7</f>
        <v>0</v>
      </c>
      <c r="AL174" s="145">
        <f>$D174*Fleet!AN262/10^7</f>
        <v>0</v>
      </c>
      <c r="AM174" s="145">
        <f>$D174*Fleet!AO262/10^7</f>
        <v>0</v>
      </c>
      <c r="AN174" s="145">
        <f>$D174*Fleet!AP262/10^7</f>
        <v>0</v>
      </c>
      <c r="AO174" s="145">
        <f>$D174*Fleet!AQ262/10^7</f>
        <v>0</v>
      </c>
      <c r="AP174" s="179"/>
      <c r="AQ174" s="179"/>
      <c r="AR174" s="179"/>
      <c r="AS174" s="179"/>
      <c r="AT174" s="179"/>
      <c r="AU174" s="179"/>
      <c r="AV174" s="179"/>
      <c r="AW174" s="179"/>
      <c r="AX174" s="179"/>
      <c r="AY174" s="179"/>
      <c r="AZ174" s="179"/>
      <c r="BA174" s="179"/>
      <c r="BB174" s="179"/>
      <c r="BC174" s="179"/>
      <c r="BD174" s="179"/>
    </row>
    <row r="175" spans="1:56">
      <c r="A175" s="168" t="str">
        <f t="shared" si="17"/>
        <v/>
      </c>
      <c r="B175" s="165" t="str">
        <f t="shared" si="17"/>
        <v>Fork lift/ 8t</v>
      </c>
      <c r="C175" s="171" t="s">
        <v>134</v>
      </c>
      <c r="D175" s="174">
        <f>VLOOKUP(B175,Equipment!$C$5:$V$53,Equipment!U$1,FALSE)*VLOOKUP(B175,Equipment!$C$5:$V$53,Equipment!V$1,FALSE)</f>
        <v>76800</v>
      </c>
      <c r="E175" s="145">
        <f>$D175*Fleet!G263/10^7</f>
        <v>0</v>
      </c>
      <c r="F175" s="145">
        <f>$D175*Fleet!H263/10^7</f>
        <v>0</v>
      </c>
      <c r="G175" s="145">
        <f>$D175*Fleet!I263/10^7</f>
        <v>0</v>
      </c>
      <c r="H175" s="145">
        <f>$D175*Fleet!J263/10^7</f>
        <v>0</v>
      </c>
      <c r="I175" s="145">
        <f>$D175*Fleet!K263/10^7</f>
        <v>7.6800000000000002E-3</v>
      </c>
      <c r="J175" s="145">
        <f>$D175*Fleet!L263/10^7</f>
        <v>7.6800000000000002E-3</v>
      </c>
      <c r="K175" s="145">
        <f>$D175*Fleet!M263/10^7</f>
        <v>1.536E-2</v>
      </c>
      <c r="L175" s="145">
        <f>$D175*Fleet!N263/10^7</f>
        <v>1.536E-2</v>
      </c>
      <c r="M175" s="145">
        <f>$D175*Fleet!O263/10^7</f>
        <v>1.536E-2</v>
      </c>
      <c r="N175" s="145">
        <f>$D175*Fleet!P263/10^7</f>
        <v>1.536E-2</v>
      </c>
      <c r="O175" s="145">
        <f>$D175*Fleet!Q263/10^7</f>
        <v>1.536E-2</v>
      </c>
      <c r="P175" s="145">
        <f>$D175*Fleet!R263/10^7</f>
        <v>1.536E-2</v>
      </c>
      <c r="Q175" s="145">
        <f>$D175*Fleet!S263/10^7</f>
        <v>1.536E-2</v>
      </c>
      <c r="R175" s="145">
        <f>$D175*Fleet!T263/10^7</f>
        <v>1.536E-2</v>
      </c>
      <c r="S175" s="145">
        <f>$D175*Fleet!U263/10^7</f>
        <v>1.536E-2</v>
      </c>
      <c r="T175" s="145">
        <f>$D175*Fleet!V263/10^7</f>
        <v>1.536E-2</v>
      </c>
      <c r="U175" s="145">
        <f>$D175*Fleet!W263/10^7</f>
        <v>1.536E-2</v>
      </c>
      <c r="V175" s="145">
        <f>$D175*Fleet!X263/10^7</f>
        <v>1.536E-2</v>
      </c>
      <c r="W175" s="145">
        <f>$D175*Fleet!Y263/10^7</f>
        <v>1.536E-2</v>
      </c>
      <c r="X175" s="145">
        <f>$D175*Fleet!Z263/10^7</f>
        <v>1.536E-2</v>
      </c>
      <c r="Y175" s="145">
        <f>$D175*Fleet!AA263/10^7</f>
        <v>1.536E-2</v>
      </c>
      <c r="Z175" s="145">
        <f>$D175*Fleet!AB263/10^7</f>
        <v>7.6800000000000002E-3</v>
      </c>
      <c r="AA175" s="145">
        <f>$D175*Fleet!AC263/10^7</f>
        <v>7.6800000000000002E-3</v>
      </c>
      <c r="AB175" s="145">
        <f>$D175*Fleet!AD263/10^7</f>
        <v>0</v>
      </c>
      <c r="AC175" s="145">
        <f>$D175*Fleet!AE263/10^7</f>
        <v>0</v>
      </c>
      <c r="AD175" s="145">
        <f>$D175*Fleet!AF263/10^7</f>
        <v>0</v>
      </c>
      <c r="AE175" s="145">
        <f>$D175*Fleet!AG263/10^7</f>
        <v>0</v>
      </c>
      <c r="AF175" s="145">
        <f>$D175*Fleet!AH263/10^7</f>
        <v>0</v>
      </c>
      <c r="AG175" s="145">
        <f>$D175*Fleet!AI263/10^7</f>
        <v>0</v>
      </c>
      <c r="AH175" s="145">
        <f>$D175*Fleet!AJ263/10^7</f>
        <v>0</v>
      </c>
      <c r="AI175" s="145">
        <f>$D175*Fleet!AK263/10^7</f>
        <v>0</v>
      </c>
      <c r="AJ175" s="145">
        <f>$D175*Fleet!AL263/10^7</f>
        <v>0</v>
      </c>
      <c r="AK175" s="145">
        <f>$D175*Fleet!AM263/10^7</f>
        <v>0</v>
      </c>
      <c r="AL175" s="145">
        <f>$D175*Fleet!AN263/10^7</f>
        <v>0</v>
      </c>
      <c r="AM175" s="145">
        <f>$D175*Fleet!AO263/10^7</f>
        <v>0</v>
      </c>
      <c r="AN175" s="145">
        <f>$D175*Fleet!AP263/10^7</f>
        <v>0</v>
      </c>
      <c r="AO175" s="145">
        <f>$D175*Fleet!AQ263/10^7</f>
        <v>0</v>
      </c>
      <c r="AP175" s="179"/>
      <c r="AQ175" s="179"/>
      <c r="AR175" s="179"/>
      <c r="AS175" s="179"/>
      <c r="AT175" s="179"/>
      <c r="AU175" s="179"/>
      <c r="AV175" s="179"/>
      <c r="AW175" s="179"/>
      <c r="AX175" s="179"/>
      <c r="AY175" s="179"/>
      <c r="AZ175" s="179"/>
      <c r="BA175" s="179"/>
      <c r="BB175" s="179"/>
      <c r="BC175" s="179"/>
      <c r="BD175" s="179"/>
    </row>
    <row r="176" spans="1:56">
      <c r="A176" s="168" t="str">
        <f t="shared" si="17"/>
        <v/>
      </c>
      <c r="B176" s="165" t="str">
        <f t="shared" si="17"/>
        <v>Tyre handler/ 20t</v>
      </c>
      <c r="C176" s="171" t="s">
        <v>134</v>
      </c>
      <c r="D176" s="174">
        <f>VLOOKUP(B176,Equipment!$C$5:$V$53,Equipment!U$1,FALSE)*VLOOKUP(B176,Equipment!$C$5:$V$53,Equipment!V$1,FALSE)</f>
        <v>153600</v>
      </c>
      <c r="E176" s="145">
        <f>$D176*Fleet!G264/10^7</f>
        <v>0</v>
      </c>
      <c r="F176" s="145">
        <f>$D176*Fleet!H264/10^7</f>
        <v>0</v>
      </c>
      <c r="G176" s="145">
        <f>$D176*Fleet!I264/10^7</f>
        <v>0</v>
      </c>
      <c r="H176" s="145">
        <f>$D176*Fleet!J264/10^7</f>
        <v>0</v>
      </c>
      <c r="I176" s="145">
        <f>$D176*Fleet!K264/10^7</f>
        <v>1.536E-2</v>
      </c>
      <c r="J176" s="145">
        <f>$D176*Fleet!L264/10^7</f>
        <v>1.536E-2</v>
      </c>
      <c r="K176" s="145">
        <f>$D176*Fleet!M264/10^7</f>
        <v>3.0720000000000001E-2</v>
      </c>
      <c r="L176" s="145">
        <f>$D176*Fleet!N264/10^7</f>
        <v>3.0720000000000001E-2</v>
      </c>
      <c r="M176" s="145">
        <f>$D176*Fleet!O264/10^7</f>
        <v>3.0720000000000001E-2</v>
      </c>
      <c r="N176" s="145">
        <f>$D176*Fleet!P264/10^7</f>
        <v>3.0720000000000001E-2</v>
      </c>
      <c r="O176" s="145">
        <f>$D176*Fleet!Q264/10^7</f>
        <v>3.0720000000000001E-2</v>
      </c>
      <c r="P176" s="145">
        <f>$D176*Fleet!R264/10^7</f>
        <v>3.0720000000000001E-2</v>
      </c>
      <c r="Q176" s="145">
        <f>$D176*Fleet!S264/10^7</f>
        <v>3.0720000000000001E-2</v>
      </c>
      <c r="R176" s="145">
        <f>$D176*Fleet!T264/10^7</f>
        <v>3.0720000000000001E-2</v>
      </c>
      <c r="S176" s="145">
        <f>$D176*Fleet!U264/10^7</f>
        <v>3.0720000000000001E-2</v>
      </c>
      <c r="T176" s="145">
        <f>$D176*Fleet!V264/10^7</f>
        <v>3.0720000000000001E-2</v>
      </c>
      <c r="U176" s="145">
        <f>$D176*Fleet!W264/10^7</f>
        <v>3.0720000000000001E-2</v>
      </c>
      <c r="V176" s="145">
        <f>$D176*Fleet!X264/10^7</f>
        <v>3.0720000000000001E-2</v>
      </c>
      <c r="W176" s="145">
        <f>$D176*Fleet!Y264/10^7</f>
        <v>3.0720000000000001E-2</v>
      </c>
      <c r="X176" s="145">
        <f>$D176*Fleet!Z264/10^7</f>
        <v>3.0720000000000001E-2</v>
      </c>
      <c r="Y176" s="145">
        <f>$D176*Fleet!AA264/10^7</f>
        <v>3.0720000000000001E-2</v>
      </c>
      <c r="Z176" s="145">
        <f>$D176*Fleet!AB264/10^7</f>
        <v>1.536E-2</v>
      </c>
      <c r="AA176" s="145">
        <f>$D176*Fleet!AC264/10^7</f>
        <v>1.536E-2</v>
      </c>
      <c r="AB176" s="145">
        <f>$D176*Fleet!AD264/10^7</f>
        <v>0</v>
      </c>
      <c r="AC176" s="145">
        <f>$D176*Fleet!AE264/10^7</f>
        <v>0</v>
      </c>
      <c r="AD176" s="145">
        <f>$D176*Fleet!AF264/10^7</f>
        <v>0</v>
      </c>
      <c r="AE176" s="145">
        <f>$D176*Fleet!AG264/10^7</f>
        <v>0</v>
      </c>
      <c r="AF176" s="145">
        <f>$D176*Fleet!AH264/10^7</f>
        <v>0</v>
      </c>
      <c r="AG176" s="145">
        <f>$D176*Fleet!AI264/10^7</f>
        <v>0</v>
      </c>
      <c r="AH176" s="145">
        <f>$D176*Fleet!AJ264/10^7</f>
        <v>0</v>
      </c>
      <c r="AI176" s="145">
        <f>$D176*Fleet!AK264/10^7</f>
        <v>0</v>
      </c>
      <c r="AJ176" s="145">
        <f>$D176*Fleet!AL264/10^7</f>
        <v>0</v>
      </c>
      <c r="AK176" s="145">
        <f>$D176*Fleet!AM264/10^7</f>
        <v>0</v>
      </c>
      <c r="AL176" s="145">
        <f>$D176*Fleet!AN264/10^7</f>
        <v>0</v>
      </c>
      <c r="AM176" s="145">
        <f>$D176*Fleet!AO264/10^7</f>
        <v>0</v>
      </c>
      <c r="AN176" s="145">
        <f>$D176*Fleet!AP264/10^7</f>
        <v>0</v>
      </c>
      <c r="AO176" s="145">
        <f>$D176*Fleet!AQ264/10^7</f>
        <v>0</v>
      </c>
      <c r="AP176" s="179"/>
      <c r="AQ176" s="179"/>
      <c r="AR176" s="179"/>
      <c r="AS176" s="179"/>
      <c r="AT176" s="179"/>
      <c r="AU176" s="179"/>
      <c r="AV176" s="179"/>
      <c r="AW176" s="179"/>
      <c r="AX176" s="179"/>
      <c r="AY176" s="179"/>
      <c r="AZ176" s="179"/>
      <c r="BA176" s="179"/>
      <c r="BB176" s="179"/>
      <c r="BC176" s="179"/>
      <c r="BD176" s="179"/>
    </row>
    <row r="177" spans="1:56">
      <c r="A177" s="168" t="str">
        <f t="shared" si="17"/>
        <v/>
      </c>
      <c r="B177" s="165" t="str">
        <f t="shared" si="17"/>
        <v xml:space="preserve">Farm tractor </v>
      </c>
      <c r="C177" s="171" t="s">
        <v>134</v>
      </c>
      <c r="D177" s="174">
        <f>VLOOKUP(B177,Equipment!$C$5:$V$53,Equipment!U$1,FALSE)*VLOOKUP(B177,Equipment!$C$5:$V$53,Equipment!V$1,FALSE)</f>
        <v>76800</v>
      </c>
      <c r="E177" s="145">
        <f>$D177*Fleet!G265/10^7</f>
        <v>0</v>
      </c>
      <c r="F177" s="145">
        <f>$D177*Fleet!H265/10^7</f>
        <v>0</v>
      </c>
      <c r="G177" s="145">
        <f>$D177*Fleet!I265/10^7</f>
        <v>0</v>
      </c>
      <c r="H177" s="145">
        <f>$D177*Fleet!J265/10^7</f>
        <v>0</v>
      </c>
      <c r="I177" s="145">
        <f>$D177*Fleet!K265/10^7</f>
        <v>7.6800000000000002E-3</v>
      </c>
      <c r="J177" s="145">
        <f>$D177*Fleet!L265/10^7</f>
        <v>7.6800000000000002E-3</v>
      </c>
      <c r="K177" s="145">
        <f>$D177*Fleet!M265/10^7</f>
        <v>1.536E-2</v>
      </c>
      <c r="L177" s="145">
        <f>$D177*Fleet!N265/10^7</f>
        <v>1.536E-2</v>
      </c>
      <c r="M177" s="145">
        <f>$D177*Fleet!O265/10^7</f>
        <v>1.536E-2</v>
      </c>
      <c r="N177" s="145">
        <f>$D177*Fleet!P265/10^7</f>
        <v>1.536E-2</v>
      </c>
      <c r="O177" s="145">
        <f>$D177*Fleet!Q265/10^7</f>
        <v>1.536E-2</v>
      </c>
      <c r="P177" s="145">
        <f>$D177*Fleet!R265/10^7</f>
        <v>1.536E-2</v>
      </c>
      <c r="Q177" s="145">
        <f>$D177*Fleet!S265/10^7</f>
        <v>1.536E-2</v>
      </c>
      <c r="R177" s="145">
        <f>$D177*Fleet!T265/10^7</f>
        <v>1.536E-2</v>
      </c>
      <c r="S177" s="145">
        <f>$D177*Fleet!U265/10^7</f>
        <v>1.536E-2</v>
      </c>
      <c r="T177" s="145">
        <f>$D177*Fleet!V265/10^7</f>
        <v>1.536E-2</v>
      </c>
      <c r="U177" s="145">
        <f>$D177*Fleet!W265/10^7</f>
        <v>1.536E-2</v>
      </c>
      <c r="V177" s="145">
        <f>$D177*Fleet!X265/10^7</f>
        <v>1.536E-2</v>
      </c>
      <c r="W177" s="145">
        <f>$D177*Fleet!Y265/10^7</f>
        <v>1.536E-2</v>
      </c>
      <c r="X177" s="145">
        <f>$D177*Fleet!Z265/10^7</f>
        <v>1.536E-2</v>
      </c>
      <c r="Y177" s="145">
        <f>$D177*Fleet!AA265/10^7</f>
        <v>1.536E-2</v>
      </c>
      <c r="Z177" s="145">
        <f>$D177*Fleet!AB265/10^7</f>
        <v>7.6800000000000002E-3</v>
      </c>
      <c r="AA177" s="145">
        <f>$D177*Fleet!AC265/10^7</f>
        <v>7.6800000000000002E-3</v>
      </c>
      <c r="AB177" s="145">
        <f>$D177*Fleet!AD265/10^7</f>
        <v>0</v>
      </c>
      <c r="AC177" s="145">
        <f>$D177*Fleet!AE265/10^7</f>
        <v>0</v>
      </c>
      <c r="AD177" s="145">
        <f>$D177*Fleet!AF265/10^7</f>
        <v>0</v>
      </c>
      <c r="AE177" s="145">
        <f>$D177*Fleet!AG265/10^7</f>
        <v>0</v>
      </c>
      <c r="AF177" s="145">
        <f>$D177*Fleet!AH265/10^7</f>
        <v>0</v>
      </c>
      <c r="AG177" s="145">
        <f>$D177*Fleet!AI265/10^7</f>
        <v>0</v>
      </c>
      <c r="AH177" s="145">
        <f>$D177*Fleet!AJ265/10^7</f>
        <v>0</v>
      </c>
      <c r="AI177" s="145">
        <f>$D177*Fleet!AK265/10^7</f>
        <v>0</v>
      </c>
      <c r="AJ177" s="145">
        <f>$D177*Fleet!AL265/10^7</f>
        <v>0</v>
      </c>
      <c r="AK177" s="145">
        <f>$D177*Fleet!AM265/10^7</f>
        <v>0</v>
      </c>
      <c r="AL177" s="145">
        <f>$D177*Fleet!AN265/10^7</f>
        <v>0</v>
      </c>
      <c r="AM177" s="145">
        <f>$D177*Fleet!AO265/10^7</f>
        <v>0</v>
      </c>
      <c r="AN177" s="145">
        <f>$D177*Fleet!AP265/10^7</f>
        <v>0</v>
      </c>
      <c r="AO177" s="145">
        <f>$D177*Fleet!AQ265/10^7</f>
        <v>0</v>
      </c>
      <c r="AP177" s="179"/>
      <c r="AQ177" s="179"/>
      <c r="AR177" s="179"/>
      <c r="AS177" s="179"/>
      <c r="AT177" s="179"/>
      <c r="AU177" s="179"/>
      <c r="AV177" s="179"/>
      <c r="AW177" s="179"/>
      <c r="AX177" s="179"/>
      <c r="AY177" s="179"/>
      <c r="AZ177" s="179"/>
      <c r="BA177" s="179"/>
      <c r="BB177" s="179"/>
      <c r="BC177" s="179"/>
      <c r="BD177" s="179"/>
    </row>
    <row r="178" spans="1:56">
      <c r="A178" s="168" t="str">
        <f t="shared" si="17"/>
        <v/>
      </c>
      <c r="B178" s="165" t="str">
        <f t="shared" si="17"/>
        <v>Fire Tender</v>
      </c>
      <c r="C178" s="171" t="s">
        <v>134</v>
      </c>
      <c r="D178" s="174">
        <f>VLOOKUP(B178,Equipment!$C$5:$V$53,Equipment!U$1,FALSE)*VLOOKUP(B178,Equipment!$C$5:$V$53,Equipment!V$1,FALSE)</f>
        <v>115200</v>
      </c>
      <c r="E178" s="145">
        <f>$D178*Fleet!G266/10^7</f>
        <v>0</v>
      </c>
      <c r="F178" s="145">
        <f>$D178*Fleet!H266/10^7</f>
        <v>0</v>
      </c>
      <c r="G178" s="145">
        <f>$D178*Fleet!I266/10^7</f>
        <v>0</v>
      </c>
      <c r="H178" s="145">
        <f>$D178*Fleet!J266/10^7</f>
        <v>0</v>
      </c>
      <c r="I178" s="145">
        <f>$D178*Fleet!K266/10^7</f>
        <v>1.1520000000000001E-2</v>
      </c>
      <c r="J178" s="145">
        <f>$D178*Fleet!L266/10^7</f>
        <v>1.1520000000000001E-2</v>
      </c>
      <c r="K178" s="145">
        <f>$D178*Fleet!M266/10^7</f>
        <v>2.3040000000000001E-2</v>
      </c>
      <c r="L178" s="145">
        <f>$D178*Fleet!N266/10^7</f>
        <v>2.3040000000000001E-2</v>
      </c>
      <c r="M178" s="145">
        <f>$D178*Fleet!O266/10^7</f>
        <v>2.3040000000000001E-2</v>
      </c>
      <c r="N178" s="145">
        <f>$D178*Fleet!P266/10^7</f>
        <v>2.3040000000000001E-2</v>
      </c>
      <c r="O178" s="145">
        <f>$D178*Fleet!Q266/10^7</f>
        <v>2.3040000000000001E-2</v>
      </c>
      <c r="P178" s="145">
        <f>$D178*Fleet!R266/10^7</f>
        <v>2.3040000000000001E-2</v>
      </c>
      <c r="Q178" s="145">
        <f>$D178*Fleet!S266/10^7</f>
        <v>2.3040000000000001E-2</v>
      </c>
      <c r="R178" s="145">
        <f>$D178*Fleet!T266/10^7</f>
        <v>2.3040000000000001E-2</v>
      </c>
      <c r="S178" s="145">
        <f>$D178*Fleet!U266/10^7</f>
        <v>2.3040000000000001E-2</v>
      </c>
      <c r="T178" s="145">
        <f>$D178*Fleet!V266/10^7</f>
        <v>2.3040000000000001E-2</v>
      </c>
      <c r="U178" s="145">
        <f>$D178*Fleet!W266/10^7</f>
        <v>2.3040000000000001E-2</v>
      </c>
      <c r="V178" s="145">
        <f>$D178*Fleet!X266/10^7</f>
        <v>2.3040000000000001E-2</v>
      </c>
      <c r="W178" s="145">
        <f>$D178*Fleet!Y266/10^7</f>
        <v>2.3040000000000001E-2</v>
      </c>
      <c r="X178" s="145">
        <f>$D178*Fleet!Z266/10^7</f>
        <v>2.3040000000000001E-2</v>
      </c>
      <c r="Y178" s="145">
        <f>$D178*Fleet!AA266/10^7</f>
        <v>2.3040000000000001E-2</v>
      </c>
      <c r="Z178" s="145">
        <f>$D178*Fleet!AB266/10^7</f>
        <v>1.1520000000000001E-2</v>
      </c>
      <c r="AA178" s="145">
        <f>$D178*Fleet!AC266/10^7</f>
        <v>1.1520000000000001E-2</v>
      </c>
      <c r="AB178" s="145">
        <f>$D178*Fleet!AD266/10^7</f>
        <v>0</v>
      </c>
      <c r="AC178" s="145">
        <f>$D178*Fleet!AE266/10^7</f>
        <v>0</v>
      </c>
      <c r="AD178" s="145">
        <f>$D178*Fleet!AF266/10^7</f>
        <v>0</v>
      </c>
      <c r="AE178" s="145">
        <f>$D178*Fleet!AG266/10^7</f>
        <v>0</v>
      </c>
      <c r="AF178" s="145">
        <f>$D178*Fleet!AH266/10^7</f>
        <v>0</v>
      </c>
      <c r="AG178" s="145">
        <f>$D178*Fleet!AI266/10^7</f>
        <v>0</v>
      </c>
      <c r="AH178" s="145">
        <f>$D178*Fleet!AJ266/10^7</f>
        <v>0</v>
      </c>
      <c r="AI178" s="145">
        <f>$D178*Fleet!AK266/10^7</f>
        <v>0</v>
      </c>
      <c r="AJ178" s="145">
        <f>$D178*Fleet!AL266/10^7</f>
        <v>0</v>
      </c>
      <c r="AK178" s="145">
        <f>$D178*Fleet!AM266/10^7</f>
        <v>0</v>
      </c>
      <c r="AL178" s="145">
        <f>$D178*Fleet!AN266/10^7</f>
        <v>0</v>
      </c>
      <c r="AM178" s="145">
        <f>$D178*Fleet!AO266/10^7</f>
        <v>0</v>
      </c>
      <c r="AN178" s="145">
        <f>$D178*Fleet!AP266/10^7</f>
        <v>0</v>
      </c>
      <c r="AO178" s="145">
        <f>$D178*Fleet!AQ266/10^7</f>
        <v>0</v>
      </c>
      <c r="AP178" s="179"/>
      <c r="AQ178" s="179"/>
      <c r="AR178" s="179"/>
      <c r="AS178" s="179"/>
      <c r="AT178" s="179"/>
      <c r="AU178" s="179"/>
      <c r="AV178" s="179"/>
      <c r="AW178" s="179"/>
      <c r="AX178" s="179"/>
      <c r="AY178" s="179"/>
      <c r="AZ178" s="179"/>
      <c r="BA178" s="179"/>
      <c r="BB178" s="179"/>
      <c r="BC178" s="179"/>
      <c r="BD178" s="179"/>
    </row>
    <row r="179" spans="1:56">
      <c r="A179" s="168" t="str">
        <f t="shared" si="17"/>
        <v/>
      </c>
      <c r="B179" s="165" t="str">
        <f t="shared" si="17"/>
        <v xml:space="preserve">Ambulance </v>
      </c>
      <c r="C179" s="171" t="s">
        <v>134</v>
      </c>
      <c r="D179" s="174">
        <f>VLOOKUP(B179,Equipment!$C$5:$V$53,Equipment!U$1,FALSE)*VLOOKUP(B179,Equipment!$C$5:$V$53,Equipment!V$1,FALSE)</f>
        <v>51200</v>
      </c>
      <c r="E179" s="145">
        <f>$D179*Fleet!G267/10^7</f>
        <v>0</v>
      </c>
      <c r="F179" s="145">
        <f>$D179*Fleet!H267/10^7</f>
        <v>0</v>
      </c>
      <c r="G179" s="145">
        <f>$D179*Fleet!I267/10^7</f>
        <v>0</v>
      </c>
      <c r="H179" s="145">
        <f>$D179*Fleet!J267/10^7</f>
        <v>0</v>
      </c>
      <c r="I179" s="145">
        <f>$D179*Fleet!K267/10^7</f>
        <v>5.1200000000000004E-3</v>
      </c>
      <c r="J179" s="145">
        <f>$D179*Fleet!L267/10^7</f>
        <v>5.1200000000000004E-3</v>
      </c>
      <c r="K179" s="145">
        <f>$D179*Fleet!M267/10^7</f>
        <v>1.0240000000000001E-2</v>
      </c>
      <c r="L179" s="145">
        <f>$D179*Fleet!N267/10^7</f>
        <v>1.0240000000000001E-2</v>
      </c>
      <c r="M179" s="145">
        <f>$D179*Fleet!O267/10^7</f>
        <v>1.0240000000000001E-2</v>
      </c>
      <c r="N179" s="145">
        <f>$D179*Fleet!P267/10^7</f>
        <v>1.0240000000000001E-2</v>
      </c>
      <c r="O179" s="145">
        <f>$D179*Fleet!Q267/10^7</f>
        <v>1.0240000000000001E-2</v>
      </c>
      <c r="P179" s="145">
        <f>$D179*Fleet!R267/10^7</f>
        <v>1.0240000000000001E-2</v>
      </c>
      <c r="Q179" s="145">
        <f>$D179*Fleet!S267/10^7</f>
        <v>1.0240000000000001E-2</v>
      </c>
      <c r="R179" s="145">
        <f>$D179*Fleet!T267/10^7</f>
        <v>1.0240000000000001E-2</v>
      </c>
      <c r="S179" s="145">
        <f>$D179*Fleet!U267/10^7</f>
        <v>1.0240000000000001E-2</v>
      </c>
      <c r="T179" s="145">
        <f>$D179*Fleet!V267/10^7</f>
        <v>1.0240000000000001E-2</v>
      </c>
      <c r="U179" s="145">
        <f>$D179*Fleet!W267/10^7</f>
        <v>1.0240000000000001E-2</v>
      </c>
      <c r="V179" s="145">
        <f>$D179*Fleet!X267/10^7</f>
        <v>1.0240000000000001E-2</v>
      </c>
      <c r="W179" s="145">
        <f>$D179*Fleet!Y267/10^7</f>
        <v>1.0240000000000001E-2</v>
      </c>
      <c r="X179" s="145">
        <f>$D179*Fleet!Z267/10^7</f>
        <v>1.0240000000000001E-2</v>
      </c>
      <c r="Y179" s="145">
        <f>$D179*Fleet!AA267/10^7</f>
        <v>1.0240000000000001E-2</v>
      </c>
      <c r="Z179" s="145">
        <f>$D179*Fleet!AB267/10^7</f>
        <v>5.1200000000000004E-3</v>
      </c>
      <c r="AA179" s="145">
        <f>$D179*Fleet!AC267/10^7</f>
        <v>5.1200000000000004E-3</v>
      </c>
      <c r="AB179" s="145">
        <f>$D179*Fleet!AD267/10^7</f>
        <v>0</v>
      </c>
      <c r="AC179" s="145">
        <f>$D179*Fleet!AE267/10^7</f>
        <v>0</v>
      </c>
      <c r="AD179" s="145">
        <f>$D179*Fleet!AF267/10^7</f>
        <v>0</v>
      </c>
      <c r="AE179" s="145">
        <f>$D179*Fleet!AG267/10^7</f>
        <v>0</v>
      </c>
      <c r="AF179" s="145">
        <f>$D179*Fleet!AH267/10^7</f>
        <v>0</v>
      </c>
      <c r="AG179" s="145">
        <f>$D179*Fleet!AI267/10^7</f>
        <v>0</v>
      </c>
      <c r="AH179" s="145">
        <f>$D179*Fleet!AJ267/10^7</f>
        <v>0</v>
      </c>
      <c r="AI179" s="145">
        <f>$D179*Fleet!AK267/10^7</f>
        <v>0</v>
      </c>
      <c r="AJ179" s="145">
        <f>$D179*Fleet!AL267/10^7</f>
        <v>0</v>
      </c>
      <c r="AK179" s="145">
        <f>$D179*Fleet!AM267/10^7</f>
        <v>0</v>
      </c>
      <c r="AL179" s="145">
        <f>$D179*Fleet!AN267/10^7</f>
        <v>0</v>
      </c>
      <c r="AM179" s="145">
        <f>$D179*Fleet!AO267/10^7</f>
        <v>0</v>
      </c>
      <c r="AN179" s="145">
        <f>$D179*Fleet!AP267/10^7</f>
        <v>0</v>
      </c>
      <c r="AO179" s="145">
        <f>$D179*Fleet!AQ267/10^7</f>
        <v>0</v>
      </c>
      <c r="AP179" s="179"/>
      <c r="AQ179" s="179"/>
      <c r="AR179" s="179"/>
      <c r="AS179" s="179"/>
      <c r="AT179" s="179"/>
      <c r="AU179" s="179"/>
      <c r="AV179" s="179"/>
      <c r="AW179" s="179"/>
      <c r="AX179" s="179"/>
      <c r="AY179" s="179"/>
      <c r="AZ179" s="179"/>
      <c r="BA179" s="179"/>
      <c r="BB179" s="179"/>
      <c r="BC179" s="179"/>
      <c r="BD179" s="179"/>
    </row>
    <row r="180" spans="1:56">
      <c r="A180" s="168" t="str">
        <f t="shared" si="17"/>
        <v/>
      </c>
      <c r="B180" s="165" t="str">
        <f t="shared" si="17"/>
        <v>Worker Transportation bus</v>
      </c>
      <c r="C180" s="171" t="s">
        <v>134</v>
      </c>
      <c r="D180" s="174">
        <f>VLOOKUP(B180,Equipment!$C$5:$V$53,Equipment!U$1,FALSE)*VLOOKUP(B180,Equipment!$C$5:$V$53,Equipment!V$1,FALSE)</f>
        <v>153600</v>
      </c>
      <c r="E180" s="145">
        <f>$D180*Fleet!G268/10^7</f>
        <v>0</v>
      </c>
      <c r="F180" s="145">
        <f>$D180*Fleet!H268/10^7</f>
        <v>0</v>
      </c>
      <c r="G180" s="145">
        <f>$D180*Fleet!I268/10^7</f>
        <v>0</v>
      </c>
      <c r="H180" s="145">
        <f>$D180*Fleet!J268/10^7</f>
        <v>0</v>
      </c>
      <c r="I180" s="145">
        <f>$D180*Fleet!K268/10^7</f>
        <v>1.536E-2</v>
      </c>
      <c r="J180" s="145">
        <f>$D180*Fleet!L268/10^7</f>
        <v>1.536E-2</v>
      </c>
      <c r="K180" s="145">
        <f>$D180*Fleet!M268/10^7</f>
        <v>3.0720000000000001E-2</v>
      </c>
      <c r="L180" s="145">
        <f>$D180*Fleet!N268/10^7</f>
        <v>3.0720000000000001E-2</v>
      </c>
      <c r="M180" s="145">
        <f>$D180*Fleet!O268/10^7</f>
        <v>3.0720000000000001E-2</v>
      </c>
      <c r="N180" s="145">
        <f>$D180*Fleet!P268/10^7</f>
        <v>3.0720000000000001E-2</v>
      </c>
      <c r="O180" s="145">
        <f>$D180*Fleet!Q268/10^7</f>
        <v>3.0720000000000001E-2</v>
      </c>
      <c r="P180" s="145">
        <f>$D180*Fleet!R268/10^7</f>
        <v>3.0720000000000001E-2</v>
      </c>
      <c r="Q180" s="145">
        <f>$D180*Fleet!S268/10^7</f>
        <v>3.0720000000000001E-2</v>
      </c>
      <c r="R180" s="145">
        <f>$D180*Fleet!T268/10^7</f>
        <v>3.0720000000000001E-2</v>
      </c>
      <c r="S180" s="145">
        <f>$D180*Fleet!U268/10^7</f>
        <v>3.0720000000000001E-2</v>
      </c>
      <c r="T180" s="145">
        <f>$D180*Fleet!V268/10^7</f>
        <v>3.0720000000000001E-2</v>
      </c>
      <c r="U180" s="145">
        <f>$D180*Fleet!W268/10^7</f>
        <v>3.0720000000000001E-2</v>
      </c>
      <c r="V180" s="145">
        <f>$D180*Fleet!X268/10^7</f>
        <v>3.0720000000000001E-2</v>
      </c>
      <c r="W180" s="145">
        <f>$D180*Fleet!Y268/10^7</f>
        <v>3.0720000000000001E-2</v>
      </c>
      <c r="X180" s="145">
        <f>$D180*Fleet!Z268/10^7</f>
        <v>3.0720000000000001E-2</v>
      </c>
      <c r="Y180" s="145">
        <f>$D180*Fleet!AA268/10^7</f>
        <v>3.0720000000000001E-2</v>
      </c>
      <c r="Z180" s="145">
        <f>$D180*Fleet!AB268/10^7</f>
        <v>1.536E-2</v>
      </c>
      <c r="AA180" s="145">
        <f>$D180*Fleet!AC268/10^7</f>
        <v>1.536E-2</v>
      </c>
      <c r="AB180" s="145">
        <f>$D180*Fleet!AD268/10^7</f>
        <v>0</v>
      </c>
      <c r="AC180" s="145">
        <f>$D180*Fleet!AE268/10^7</f>
        <v>0</v>
      </c>
      <c r="AD180" s="145">
        <f>$D180*Fleet!AF268/10^7</f>
        <v>0</v>
      </c>
      <c r="AE180" s="145">
        <f>$D180*Fleet!AG268/10^7</f>
        <v>0</v>
      </c>
      <c r="AF180" s="145">
        <f>$D180*Fleet!AH268/10^7</f>
        <v>0</v>
      </c>
      <c r="AG180" s="145">
        <f>$D180*Fleet!AI268/10^7</f>
        <v>0</v>
      </c>
      <c r="AH180" s="145">
        <f>$D180*Fleet!AJ268/10^7</f>
        <v>0</v>
      </c>
      <c r="AI180" s="145">
        <f>$D180*Fleet!AK268/10^7</f>
        <v>0</v>
      </c>
      <c r="AJ180" s="145">
        <f>$D180*Fleet!AL268/10^7</f>
        <v>0</v>
      </c>
      <c r="AK180" s="145">
        <f>$D180*Fleet!AM268/10^7</f>
        <v>0</v>
      </c>
      <c r="AL180" s="145">
        <f>$D180*Fleet!AN268/10^7</f>
        <v>0</v>
      </c>
      <c r="AM180" s="145">
        <f>$D180*Fleet!AO268/10^7</f>
        <v>0</v>
      </c>
      <c r="AN180" s="145">
        <f>$D180*Fleet!AP268/10^7</f>
        <v>0</v>
      </c>
      <c r="AO180" s="145">
        <f>$D180*Fleet!AQ268/10^7</f>
        <v>0</v>
      </c>
      <c r="AP180" s="179"/>
      <c r="AQ180" s="179"/>
      <c r="AR180" s="179"/>
      <c r="AS180" s="179"/>
      <c r="AT180" s="179"/>
      <c r="AU180" s="179"/>
      <c r="AV180" s="179"/>
      <c r="AW180" s="179"/>
      <c r="AX180" s="179"/>
      <c r="AY180" s="179"/>
      <c r="AZ180" s="179"/>
      <c r="BA180" s="179"/>
      <c r="BB180" s="179"/>
      <c r="BC180" s="179"/>
      <c r="BD180" s="179"/>
    </row>
    <row r="181" spans="1:56">
      <c r="A181" s="168" t="str">
        <f t="shared" si="17"/>
        <v/>
      </c>
      <c r="B181" s="165" t="str">
        <f t="shared" si="17"/>
        <v>School bus</v>
      </c>
      <c r="C181" s="171" t="s">
        <v>134</v>
      </c>
      <c r="D181" s="174">
        <f>VLOOKUP(B181,Equipment!$C$5:$V$53,Equipment!U$1,FALSE)*VLOOKUP(B181,Equipment!$C$5:$V$53,Equipment!V$1,FALSE)</f>
        <v>153600</v>
      </c>
      <c r="E181" s="145">
        <f>$D181*Fleet!G269/10^7</f>
        <v>0</v>
      </c>
      <c r="F181" s="145">
        <f>$D181*Fleet!H269/10^7</f>
        <v>0</v>
      </c>
      <c r="G181" s="145">
        <f>$D181*Fleet!I269/10^7</f>
        <v>0</v>
      </c>
      <c r="H181" s="145">
        <f>$D181*Fleet!J269/10^7</f>
        <v>0</v>
      </c>
      <c r="I181" s="145">
        <f>$D181*Fleet!K269/10^7</f>
        <v>1.536E-2</v>
      </c>
      <c r="J181" s="145">
        <f>$D181*Fleet!L269/10^7</f>
        <v>1.536E-2</v>
      </c>
      <c r="K181" s="145">
        <f>$D181*Fleet!M269/10^7</f>
        <v>3.0720000000000001E-2</v>
      </c>
      <c r="L181" s="145">
        <f>$D181*Fleet!N269/10^7</f>
        <v>3.0720000000000001E-2</v>
      </c>
      <c r="M181" s="145">
        <f>$D181*Fleet!O269/10^7</f>
        <v>3.0720000000000001E-2</v>
      </c>
      <c r="N181" s="145">
        <f>$D181*Fleet!P269/10^7</f>
        <v>3.0720000000000001E-2</v>
      </c>
      <c r="O181" s="145">
        <f>$D181*Fleet!Q269/10^7</f>
        <v>3.0720000000000001E-2</v>
      </c>
      <c r="P181" s="145">
        <f>$D181*Fleet!R269/10^7</f>
        <v>3.0720000000000001E-2</v>
      </c>
      <c r="Q181" s="145">
        <f>$D181*Fleet!S269/10^7</f>
        <v>3.0720000000000001E-2</v>
      </c>
      <c r="R181" s="145">
        <f>$D181*Fleet!T269/10^7</f>
        <v>3.0720000000000001E-2</v>
      </c>
      <c r="S181" s="145">
        <f>$D181*Fleet!U269/10^7</f>
        <v>3.0720000000000001E-2</v>
      </c>
      <c r="T181" s="145">
        <f>$D181*Fleet!V269/10^7</f>
        <v>3.0720000000000001E-2</v>
      </c>
      <c r="U181" s="145">
        <f>$D181*Fleet!W269/10^7</f>
        <v>3.0720000000000001E-2</v>
      </c>
      <c r="V181" s="145">
        <f>$D181*Fleet!X269/10^7</f>
        <v>3.0720000000000001E-2</v>
      </c>
      <c r="W181" s="145">
        <f>$D181*Fleet!Y269/10^7</f>
        <v>3.0720000000000001E-2</v>
      </c>
      <c r="X181" s="145">
        <f>$D181*Fleet!Z269/10^7</f>
        <v>3.0720000000000001E-2</v>
      </c>
      <c r="Y181" s="145">
        <f>$D181*Fleet!AA269/10^7</f>
        <v>3.0720000000000001E-2</v>
      </c>
      <c r="Z181" s="145">
        <f>$D181*Fleet!AB269/10^7</f>
        <v>1.536E-2</v>
      </c>
      <c r="AA181" s="145">
        <f>$D181*Fleet!AC269/10^7</f>
        <v>1.536E-2</v>
      </c>
      <c r="AB181" s="145">
        <f>$D181*Fleet!AD269/10^7</f>
        <v>0</v>
      </c>
      <c r="AC181" s="145">
        <f>$D181*Fleet!AE269/10^7</f>
        <v>0</v>
      </c>
      <c r="AD181" s="145">
        <f>$D181*Fleet!AF269/10^7</f>
        <v>0</v>
      </c>
      <c r="AE181" s="145">
        <f>$D181*Fleet!AG269/10^7</f>
        <v>0</v>
      </c>
      <c r="AF181" s="145">
        <f>$D181*Fleet!AH269/10^7</f>
        <v>0</v>
      </c>
      <c r="AG181" s="145">
        <f>$D181*Fleet!AI269/10^7</f>
        <v>0</v>
      </c>
      <c r="AH181" s="145">
        <f>$D181*Fleet!AJ269/10^7</f>
        <v>0</v>
      </c>
      <c r="AI181" s="145">
        <f>$D181*Fleet!AK269/10^7</f>
        <v>0</v>
      </c>
      <c r="AJ181" s="145">
        <f>$D181*Fleet!AL269/10^7</f>
        <v>0</v>
      </c>
      <c r="AK181" s="145">
        <f>$D181*Fleet!AM269/10^7</f>
        <v>0</v>
      </c>
      <c r="AL181" s="145">
        <f>$D181*Fleet!AN269/10^7</f>
        <v>0</v>
      </c>
      <c r="AM181" s="145">
        <f>$D181*Fleet!AO269/10^7</f>
        <v>0</v>
      </c>
      <c r="AN181" s="145">
        <f>$D181*Fleet!AP269/10^7</f>
        <v>0</v>
      </c>
      <c r="AO181" s="145">
        <f>$D181*Fleet!AQ269/10^7</f>
        <v>0</v>
      </c>
      <c r="AP181" s="179"/>
      <c r="AQ181" s="179"/>
      <c r="AR181" s="179"/>
      <c r="AS181" s="179"/>
      <c r="AT181" s="179"/>
      <c r="AU181" s="179"/>
      <c r="AV181" s="179"/>
      <c r="AW181" s="179"/>
      <c r="AX181" s="179"/>
      <c r="AY181" s="179"/>
      <c r="AZ181" s="179"/>
      <c r="BA181" s="179"/>
      <c r="BB181" s="179"/>
      <c r="BC181" s="179"/>
      <c r="BD181" s="179"/>
    </row>
    <row r="182" spans="1:56">
      <c r="A182" s="168" t="str">
        <f t="shared" ref="A182:B182" si="18">A137</f>
        <v/>
      </c>
      <c r="B182" s="165" t="str">
        <f t="shared" si="18"/>
        <v xml:space="preserve">Pickup Van </v>
      </c>
      <c r="C182" s="171" t="s">
        <v>134</v>
      </c>
      <c r="D182" s="174">
        <f>VLOOKUP(B182,Equipment!$C$5:$V$53,Equipment!U$1,FALSE)*VLOOKUP(B182,Equipment!$C$5:$V$53,Equipment!V$1,FALSE)</f>
        <v>51200</v>
      </c>
      <c r="E182" s="145">
        <f>$D182*Fleet!G270/10^7</f>
        <v>0</v>
      </c>
      <c r="F182" s="145">
        <f>$D182*Fleet!H270/10^7</f>
        <v>0</v>
      </c>
      <c r="G182" s="145">
        <f>$D182*Fleet!I270/10^7</f>
        <v>0</v>
      </c>
      <c r="H182" s="145">
        <f>$D182*Fleet!J270/10^7</f>
        <v>0</v>
      </c>
      <c r="I182" s="145">
        <f>$D182*Fleet!K270/10^7</f>
        <v>5.1200000000000004E-3</v>
      </c>
      <c r="J182" s="145">
        <f>$D182*Fleet!L270/10^7</f>
        <v>5.1200000000000004E-3</v>
      </c>
      <c r="K182" s="145">
        <f>$D182*Fleet!M270/10^7</f>
        <v>1.0240000000000001E-2</v>
      </c>
      <c r="L182" s="145">
        <f>$D182*Fleet!N270/10^7</f>
        <v>1.0240000000000001E-2</v>
      </c>
      <c r="M182" s="145">
        <f>$D182*Fleet!O270/10^7</f>
        <v>1.0240000000000001E-2</v>
      </c>
      <c r="N182" s="145">
        <f>$D182*Fleet!P270/10^7</f>
        <v>1.0240000000000001E-2</v>
      </c>
      <c r="O182" s="145">
        <f>$D182*Fleet!Q270/10^7</f>
        <v>1.0240000000000001E-2</v>
      </c>
      <c r="P182" s="145">
        <f>$D182*Fleet!R270/10^7</f>
        <v>1.0240000000000001E-2</v>
      </c>
      <c r="Q182" s="145">
        <f>$D182*Fleet!S270/10^7</f>
        <v>1.0240000000000001E-2</v>
      </c>
      <c r="R182" s="145">
        <f>$D182*Fleet!T270/10^7</f>
        <v>1.0240000000000001E-2</v>
      </c>
      <c r="S182" s="145">
        <f>$D182*Fleet!U270/10^7</f>
        <v>1.0240000000000001E-2</v>
      </c>
      <c r="T182" s="145">
        <f>$D182*Fleet!V270/10^7</f>
        <v>1.0240000000000001E-2</v>
      </c>
      <c r="U182" s="145">
        <f>$D182*Fleet!W270/10^7</f>
        <v>1.0240000000000001E-2</v>
      </c>
      <c r="V182" s="145">
        <f>$D182*Fleet!X270/10^7</f>
        <v>1.0240000000000001E-2</v>
      </c>
      <c r="W182" s="145">
        <f>$D182*Fleet!Y270/10^7</f>
        <v>1.0240000000000001E-2</v>
      </c>
      <c r="X182" s="145">
        <f>$D182*Fleet!Z270/10^7</f>
        <v>1.0240000000000001E-2</v>
      </c>
      <c r="Y182" s="145">
        <f>$D182*Fleet!AA270/10^7</f>
        <v>1.0240000000000001E-2</v>
      </c>
      <c r="Z182" s="145">
        <f>$D182*Fleet!AB270/10^7</f>
        <v>5.1200000000000004E-3</v>
      </c>
      <c r="AA182" s="145">
        <f>$D182*Fleet!AC270/10^7</f>
        <v>5.1200000000000004E-3</v>
      </c>
      <c r="AB182" s="145">
        <f>$D182*Fleet!AD270/10^7</f>
        <v>0</v>
      </c>
      <c r="AC182" s="145">
        <f>$D182*Fleet!AE270/10^7</f>
        <v>0</v>
      </c>
      <c r="AD182" s="145">
        <f>$D182*Fleet!AF270/10^7</f>
        <v>0</v>
      </c>
      <c r="AE182" s="145">
        <f>$D182*Fleet!AG270/10^7</f>
        <v>0</v>
      </c>
      <c r="AF182" s="145">
        <f>$D182*Fleet!AH270/10^7</f>
        <v>0</v>
      </c>
      <c r="AG182" s="145">
        <f>$D182*Fleet!AI270/10^7</f>
        <v>0</v>
      </c>
      <c r="AH182" s="145">
        <f>$D182*Fleet!AJ270/10^7</f>
        <v>0</v>
      </c>
      <c r="AI182" s="145">
        <f>$D182*Fleet!AK270/10^7</f>
        <v>0</v>
      </c>
      <c r="AJ182" s="145">
        <f>$D182*Fleet!AL270/10^7</f>
        <v>0</v>
      </c>
      <c r="AK182" s="145">
        <f>$D182*Fleet!AM270/10^7</f>
        <v>0</v>
      </c>
      <c r="AL182" s="145">
        <f>$D182*Fleet!AN270/10^7</f>
        <v>0</v>
      </c>
      <c r="AM182" s="145">
        <f>$D182*Fleet!AO270/10^7</f>
        <v>0</v>
      </c>
      <c r="AN182" s="145">
        <f>$D182*Fleet!AP270/10^7</f>
        <v>0</v>
      </c>
      <c r="AO182" s="145">
        <f>$D182*Fleet!AQ270/10^7</f>
        <v>0</v>
      </c>
      <c r="AP182" s="179"/>
      <c r="AQ182" s="179"/>
      <c r="AR182" s="179"/>
      <c r="AS182" s="179"/>
      <c r="AT182" s="179"/>
      <c r="AU182" s="179"/>
      <c r="AV182" s="179"/>
      <c r="AW182" s="179"/>
      <c r="AX182" s="179"/>
      <c r="AY182" s="179"/>
      <c r="AZ182" s="179"/>
      <c r="BA182" s="179"/>
      <c r="BB182" s="179"/>
      <c r="BC182" s="179"/>
      <c r="BD182" s="179"/>
    </row>
    <row r="183" spans="1:56" ht="14" thickBot="1">
      <c r="A183" s="169"/>
      <c r="B183" s="252" t="str">
        <f>B138</f>
        <v>Sub Total</v>
      </c>
      <c r="C183" s="245"/>
      <c r="D183" s="256">
        <f>SUM(E183:AO183)</f>
        <v>284.57821561048223</v>
      </c>
      <c r="E183" s="247">
        <f t="shared" ref="E183:AO183" si="19">SUM(E142:E182)</f>
        <v>2.7136260675665125E-3</v>
      </c>
      <c r="F183" s="247">
        <f t="shared" si="19"/>
        <v>5.4272509750577392E-3</v>
      </c>
      <c r="G183" s="247">
        <f t="shared" si="19"/>
        <v>1.0854506590416623E-2</v>
      </c>
      <c r="H183" s="247">
        <f t="shared" si="19"/>
        <v>1.628175640539907E-2</v>
      </c>
      <c r="I183" s="247">
        <f t="shared" si="19"/>
        <v>0.98787907526671126</v>
      </c>
      <c r="J183" s="247">
        <f t="shared" si="19"/>
        <v>1.2232458747086357</v>
      </c>
      <c r="K183" s="247">
        <f t="shared" si="19"/>
        <v>2.6694862383879969</v>
      </c>
      <c r="L183" s="247">
        <f t="shared" si="19"/>
        <v>14.427118622428113</v>
      </c>
      <c r="M183" s="247">
        <f t="shared" si="19"/>
        <v>15.692388239261685</v>
      </c>
      <c r="N183" s="247">
        <f t="shared" si="19"/>
        <v>22.9952078683534</v>
      </c>
      <c r="O183" s="247">
        <f t="shared" si="19"/>
        <v>22.260504786268314</v>
      </c>
      <c r="P183" s="247">
        <f t="shared" si="19"/>
        <v>20.331651271791365</v>
      </c>
      <c r="Q183" s="247">
        <f t="shared" si="19"/>
        <v>21.896755431865049</v>
      </c>
      <c r="R183" s="247">
        <f t="shared" si="19"/>
        <v>20.84896599216734</v>
      </c>
      <c r="S183" s="247">
        <f t="shared" si="19"/>
        <v>22.774198778957913</v>
      </c>
      <c r="T183" s="247">
        <f t="shared" si="19"/>
        <v>18.376252720029093</v>
      </c>
      <c r="U183" s="247">
        <f t="shared" si="19"/>
        <v>16.874304992276294</v>
      </c>
      <c r="V183" s="247">
        <f t="shared" si="19"/>
        <v>19.600258611448336</v>
      </c>
      <c r="W183" s="247">
        <f t="shared" si="19"/>
        <v>19.525902773147941</v>
      </c>
      <c r="X183" s="247">
        <f t="shared" si="19"/>
        <v>23.104819102844974</v>
      </c>
      <c r="Y183" s="247">
        <f t="shared" si="19"/>
        <v>14.683051099213575</v>
      </c>
      <c r="Z183" s="247">
        <f t="shared" si="19"/>
        <v>4.4728089587472057</v>
      </c>
      <c r="AA183" s="247">
        <f t="shared" si="19"/>
        <v>1.798138033279816</v>
      </c>
      <c r="AB183" s="247">
        <f t="shared" si="19"/>
        <v>0</v>
      </c>
      <c r="AC183" s="247">
        <f t="shared" si="19"/>
        <v>0</v>
      </c>
      <c r="AD183" s="247">
        <f t="shared" si="19"/>
        <v>0</v>
      </c>
      <c r="AE183" s="247">
        <f t="shared" si="19"/>
        <v>0</v>
      </c>
      <c r="AF183" s="247">
        <f t="shared" si="19"/>
        <v>0</v>
      </c>
      <c r="AG183" s="247">
        <f t="shared" si="19"/>
        <v>0</v>
      </c>
      <c r="AH183" s="247">
        <f t="shared" si="19"/>
        <v>0</v>
      </c>
      <c r="AI183" s="247">
        <f t="shared" si="19"/>
        <v>0</v>
      </c>
      <c r="AJ183" s="247">
        <f t="shared" si="19"/>
        <v>0</v>
      </c>
      <c r="AK183" s="247">
        <f t="shared" si="19"/>
        <v>0</v>
      </c>
      <c r="AL183" s="247">
        <f t="shared" si="19"/>
        <v>0</v>
      </c>
      <c r="AM183" s="247">
        <f t="shared" si="19"/>
        <v>0</v>
      </c>
      <c r="AN183" s="247">
        <f t="shared" si="19"/>
        <v>0</v>
      </c>
      <c r="AO183" s="247">
        <f t="shared" si="19"/>
        <v>0</v>
      </c>
      <c r="AP183" s="242"/>
      <c r="AQ183" s="242"/>
      <c r="AR183" s="242"/>
      <c r="AS183" s="242"/>
      <c r="AT183" s="242"/>
      <c r="AU183" s="242"/>
      <c r="AV183" s="242"/>
      <c r="AW183" s="242"/>
      <c r="AX183" s="242"/>
      <c r="AY183" s="242"/>
      <c r="AZ183" s="242"/>
      <c r="BA183" s="242"/>
      <c r="BB183" s="242"/>
      <c r="BC183" s="242"/>
      <c r="BD183" s="248"/>
    </row>
    <row r="184" spans="1:56" ht="14" thickTop="1"/>
    <row r="185" spans="1:56">
      <c r="A185" s="191" t="s">
        <v>1064</v>
      </c>
      <c r="B185" s="96">
        <v>0.3</v>
      </c>
      <c r="C185" s="180"/>
      <c r="D185" s="209"/>
    </row>
    <row r="186" spans="1:56" ht="14">
      <c r="A186" s="1141" t="s">
        <v>971</v>
      </c>
      <c r="B186" s="1141" t="s">
        <v>972</v>
      </c>
      <c r="C186" s="1141" t="s">
        <v>88</v>
      </c>
      <c r="D186" s="1141" t="s">
        <v>1060</v>
      </c>
      <c r="E186" s="789">
        <f t="shared" ref="E186:AO186" si="20">E141</f>
        <v>-4</v>
      </c>
      <c r="F186" s="789">
        <f t="shared" si="20"/>
        <v>-3</v>
      </c>
      <c r="G186" s="789">
        <f t="shared" si="20"/>
        <v>-2</v>
      </c>
      <c r="H186" s="789">
        <f t="shared" si="20"/>
        <v>-1</v>
      </c>
      <c r="I186" s="789">
        <f t="shared" si="20"/>
        <v>1</v>
      </c>
      <c r="J186" s="789">
        <f t="shared" si="20"/>
        <v>2</v>
      </c>
      <c r="K186" s="789">
        <f t="shared" si="20"/>
        <v>3</v>
      </c>
      <c r="L186" s="789">
        <f t="shared" si="20"/>
        <v>4</v>
      </c>
      <c r="M186" s="789">
        <f t="shared" si="20"/>
        <v>5</v>
      </c>
      <c r="N186" s="789">
        <f t="shared" si="20"/>
        <v>6</v>
      </c>
      <c r="O186" s="789">
        <f t="shared" si="20"/>
        <v>7</v>
      </c>
      <c r="P186" s="789">
        <f t="shared" si="20"/>
        <v>8</v>
      </c>
      <c r="Q186" s="789">
        <f t="shared" si="20"/>
        <v>9</v>
      </c>
      <c r="R186" s="789">
        <f t="shared" si="20"/>
        <v>10</v>
      </c>
      <c r="S186" s="789">
        <f t="shared" si="20"/>
        <v>11</v>
      </c>
      <c r="T186" s="789">
        <f t="shared" si="20"/>
        <v>12</v>
      </c>
      <c r="U186" s="789">
        <f t="shared" si="20"/>
        <v>13</v>
      </c>
      <c r="V186" s="789">
        <f t="shared" si="20"/>
        <v>14</v>
      </c>
      <c r="W186" s="789">
        <f t="shared" si="20"/>
        <v>15</v>
      </c>
      <c r="X186" s="789">
        <f t="shared" si="20"/>
        <v>16</v>
      </c>
      <c r="Y186" s="789">
        <f t="shared" si="20"/>
        <v>17</v>
      </c>
      <c r="Z186" s="789">
        <f t="shared" si="20"/>
        <v>18</v>
      </c>
      <c r="AA186" s="789">
        <f t="shared" si="20"/>
        <v>19</v>
      </c>
      <c r="AB186" s="789">
        <f t="shared" si="20"/>
        <v>0</v>
      </c>
      <c r="AC186" s="789">
        <f t="shared" si="20"/>
        <v>0</v>
      </c>
      <c r="AD186" s="789">
        <f t="shared" si="20"/>
        <v>0</v>
      </c>
      <c r="AE186" s="789">
        <f t="shared" si="20"/>
        <v>0</v>
      </c>
      <c r="AF186" s="789">
        <f t="shared" si="20"/>
        <v>0</v>
      </c>
      <c r="AG186" s="789">
        <f t="shared" si="20"/>
        <v>0</v>
      </c>
      <c r="AH186" s="789">
        <f t="shared" si="20"/>
        <v>0</v>
      </c>
      <c r="AI186" s="789">
        <f t="shared" si="20"/>
        <v>0</v>
      </c>
      <c r="AJ186" s="789">
        <f t="shared" si="20"/>
        <v>0</v>
      </c>
      <c r="AK186" s="789">
        <f t="shared" si="20"/>
        <v>0</v>
      </c>
      <c r="AL186" s="789">
        <f t="shared" si="20"/>
        <v>0</v>
      </c>
      <c r="AM186" s="789">
        <f t="shared" si="20"/>
        <v>0</v>
      </c>
      <c r="AN186" s="789">
        <f t="shared" si="20"/>
        <v>0</v>
      </c>
      <c r="AO186" s="789">
        <f t="shared" si="20"/>
        <v>0</v>
      </c>
      <c r="AP186" s="789">
        <f>Fleet!AR185</f>
        <v>0</v>
      </c>
      <c r="AQ186" s="789">
        <f>Fleet!AS185</f>
        <v>0</v>
      </c>
      <c r="AR186" s="789">
        <f>Fleet!AT185</f>
        <v>0</v>
      </c>
      <c r="AS186" s="789">
        <f>Fleet!AU185</f>
        <v>0</v>
      </c>
      <c r="AT186" s="789">
        <f>Fleet!AV185</f>
        <v>0</v>
      </c>
      <c r="AU186" s="789">
        <f>Fleet!AW185</f>
        <v>0</v>
      </c>
      <c r="AV186" s="789">
        <f>Fleet!AX185</f>
        <v>0</v>
      </c>
      <c r="AW186" s="789">
        <f>Fleet!AY185</f>
        <v>0</v>
      </c>
      <c r="AX186" s="789">
        <f>Fleet!AZ185</f>
        <v>0</v>
      </c>
      <c r="AY186" s="789">
        <f>Fleet!BA185</f>
        <v>0</v>
      </c>
      <c r="AZ186" s="789">
        <f>Fleet!BB185</f>
        <v>0</v>
      </c>
      <c r="BA186" s="789">
        <f>Fleet!BC185</f>
        <v>0</v>
      </c>
      <c r="BB186" s="789">
        <f>Fleet!BD185</f>
        <v>0</v>
      </c>
      <c r="BC186" s="789">
        <f>Fleet!BE185</f>
        <v>0</v>
      </c>
      <c r="BD186" s="789">
        <f>Fleet!BF185</f>
        <v>0</v>
      </c>
    </row>
    <row r="187" spans="1:56">
      <c r="A187" s="168" t="str">
        <f t="shared" ref="A187:B189" si="21">A142</f>
        <v>Coal/Ore</v>
      </c>
      <c r="B187" s="165" t="str">
        <f t="shared" si="21"/>
        <v>Drill Machine/ 115mm diameter</v>
      </c>
      <c r="C187" s="171" t="s">
        <v>134</v>
      </c>
      <c r="D187" s="174">
        <f>VLOOKUP(B187,Equipment!$C$5:$V$53,Equipment!F$1,FALSE)*$B$185</f>
        <v>1740000</v>
      </c>
      <c r="E187" s="145">
        <f>$D187*Fleet!G230/10^7</f>
        <v>0</v>
      </c>
      <c r="F187" s="145">
        <f>$D187*Fleet!H230/10^7</f>
        <v>0</v>
      </c>
      <c r="G187" s="145">
        <f>$D187*Fleet!I230/10^7</f>
        <v>0</v>
      </c>
      <c r="H187" s="145">
        <f>$D187*Fleet!J230/10^7</f>
        <v>0</v>
      </c>
      <c r="I187" s="145">
        <f>$D187*Fleet!K230/10^7</f>
        <v>7.1685642223095619E-2</v>
      </c>
      <c r="J187" s="145">
        <f>$D187*Fleet!L230/10^7</f>
        <v>0.14337125380057544</v>
      </c>
      <c r="K187" s="145">
        <f>$D187*Fleet!M230/10^7</f>
        <v>4.3011394527542109E-2</v>
      </c>
      <c r="L187" s="145">
        <f>$D187*Fleet!N230/10^7</f>
        <v>6.4517078000786057E-2</v>
      </c>
      <c r="M187" s="145">
        <f>$D187*Fleet!O230/10^7</f>
        <v>8.0646331412034283E-2</v>
      </c>
      <c r="N187" s="145">
        <f>$D187*Fleet!P230/10^7</f>
        <v>8.0646395767827478E-2</v>
      </c>
      <c r="O187" s="145">
        <f>$D187*Fleet!Q230/10^7</f>
        <v>8.0646349799403744E-2</v>
      </c>
      <c r="P187" s="145">
        <f>$D187*Fleet!R230/10^7</f>
        <v>8.0646340605719014E-2</v>
      </c>
      <c r="Q187" s="145">
        <f>$D187*Fleet!S230/10^7</f>
        <v>8.0646377380457962E-2</v>
      </c>
      <c r="R187" s="145">
        <f>$D187*Fleet!T230/10^7</f>
        <v>8.0646331412034283E-2</v>
      </c>
      <c r="S187" s="145">
        <f>$D187*Fleet!U230/10^7</f>
        <v>8.0646340605719014E-2</v>
      </c>
      <c r="T187" s="145">
        <f>$D187*Fleet!V230/10^7</f>
        <v>8.0646368186773232E-2</v>
      </c>
      <c r="U187" s="145">
        <f>$D187*Fleet!W230/10^7</f>
        <v>8.064644173625117E-2</v>
      </c>
      <c r="V187" s="145">
        <f>$D187*Fleet!X230/10^7</f>
        <v>8.0646368186773232E-2</v>
      </c>
      <c r="W187" s="145">
        <f>$D187*Fleet!Y230/10^7</f>
        <v>8.0646368186773232E-2</v>
      </c>
      <c r="X187" s="145">
        <f>$D187*Fleet!Z230/10^7</f>
        <v>8.0646358993088488E-2</v>
      </c>
      <c r="Y187" s="145">
        <f>$D187*Fleet!AA230/10^7</f>
        <v>5.3764236264164079E-2</v>
      </c>
      <c r="Z187" s="145">
        <f>$D187*Fleet!AB230/10^7</f>
        <v>4.0323193287071367E-2</v>
      </c>
      <c r="AA187" s="145">
        <f>$D187*Fleet!AC230/10^7</f>
        <v>1.1851739889542297E-2</v>
      </c>
      <c r="AB187" s="145">
        <f>$D187*Fleet!AD230/10^7</f>
        <v>0</v>
      </c>
      <c r="AC187" s="145">
        <f>$D187*Fleet!AE230/10^7</f>
        <v>0</v>
      </c>
      <c r="AD187" s="145">
        <f>$D187*Fleet!AF230/10^7</f>
        <v>0</v>
      </c>
      <c r="AE187" s="145">
        <f>$D187*Fleet!AG230/10^7</f>
        <v>0</v>
      </c>
      <c r="AF187" s="145">
        <f>$D187*Fleet!AH230/10^7</f>
        <v>0</v>
      </c>
      <c r="AG187" s="145">
        <f>$D187*Fleet!AI230/10^7</f>
        <v>0</v>
      </c>
      <c r="AH187" s="145">
        <f>$D187*Fleet!AJ230/10^7</f>
        <v>0</v>
      </c>
      <c r="AI187" s="145">
        <f>$D187*Fleet!AK230/10^7</f>
        <v>0</v>
      </c>
      <c r="AJ187" s="145">
        <f>$D187*Fleet!AL230/10^7</f>
        <v>0</v>
      </c>
      <c r="AK187" s="145">
        <f>$D187*Fleet!AM230/10^7</f>
        <v>0</v>
      </c>
      <c r="AL187" s="145">
        <f>$D187*Fleet!AN230/10^7</f>
        <v>0</v>
      </c>
      <c r="AM187" s="145">
        <f>$D187*Fleet!AO230/10^7</f>
        <v>0</v>
      </c>
      <c r="AN187" s="145">
        <f>$D187*Fleet!AP230/10^7</f>
        <v>0</v>
      </c>
      <c r="AO187" s="145">
        <f>$D187*Fleet!AQ230/10^7</f>
        <v>0</v>
      </c>
      <c r="AP187" s="179"/>
      <c r="AQ187" s="179"/>
      <c r="AR187" s="179"/>
      <c r="AS187" s="179"/>
      <c r="AT187" s="179"/>
      <c r="AU187" s="179"/>
      <c r="AV187" s="179"/>
      <c r="AW187" s="179"/>
      <c r="AX187" s="179"/>
      <c r="AY187" s="179"/>
      <c r="AZ187" s="179"/>
      <c r="BA187" s="179"/>
      <c r="BB187" s="179"/>
      <c r="BC187" s="179"/>
      <c r="BD187" s="179"/>
    </row>
    <row r="188" spans="1:56">
      <c r="A188" s="168" t="str">
        <f t="shared" si="21"/>
        <v xml:space="preserve">Waste (IB Thin Parting) </v>
      </c>
      <c r="B188" s="165" t="str">
        <f t="shared" si="21"/>
        <v>Drill Machine/ 160mm diameter</v>
      </c>
      <c r="C188" s="171" t="s">
        <v>134</v>
      </c>
      <c r="D188" s="174">
        <f>VLOOKUP(B188,Equipment!$C$5:$V$53,Equipment!F$1,FALSE)*$B$185</f>
        <v>3570000</v>
      </c>
      <c r="E188" s="145">
        <f>$D188*Fleet!G231/10^7</f>
        <v>0</v>
      </c>
      <c r="F188" s="145">
        <f>$D188*Fleet!H231/10^7</f>
        <v>0</v>
      </c>
      <c r="G188" s="145">
        <f>$D188*Fleet!I231/10^7</f>
        <v>0</v>
      </c>
      <c r="H188" s="145">
        <f>$D188*Fleet!J231/10^7</f>
        <v>0</v>
      </c>
      <c r="I188" s="145">
        <f>$D188*Fleet!K231/10^7</f>
        <v>0.28952650191602658</v>
      </c>
      <c r="J188" s="145">
        <f>$D188*Fleet!L231/10^7</f>
        <v>0.24033226935167065</v>
      </c>
      <c r="K188" s="145">
        <f>$D188*Fleet!M231/10^7</f>
        <v>0.43533630591897721</v>
      </c>
      <c r="L188" s="145">
        <f>$D188*Fleet!N231/10^7</f>
        <v>0.92966261111786253</v>
      </c>
      <c r="M188" s="145">
        <f>$D188*Fleet!O231/10^7</f>
        <v>0.89439684705579137</v>
      </c>
      <c r="N188" s="145">
        <f>$D188*Fleet!P231/10^7</f>
        <v>1.1984928089473841</v>
      </c>
      <c r="O188" s="145">
        <f>$D188*Fleet!Q231/10^7</f>
        <v>1.0970820717816572</v>
      </c>
      <c r="P188" s="145">
        <f>$D188*Fleet!R231/10^7</f>
        <v>0.91754928360853905</v>
      </c>
      <c r="Q188" s="145">
        <f>$D188*Fleet!S231/10^7</f>
        <v>0.95612530767446868</v>
      </c>
      <c r="R188" s="145">
        <f>$D188*Fleet!T231/10^7</f>
        <v>0.85294450565825664</v>
      </c>
      <c r="S188" s="145">
        <f>$D188*Fleet!U231/10^7</f>
        <v>0.96087979150070701</v>
      </c>
      <c r="T188" s="145">
        <f>$D188*Fleet!V231/10^7</f>
        <v>0.73184727557126772</v>
      </c>
      <c r="U188" s="145">
        <f>$D188*Fleet!W231/10^7</f>
        <v>0.6426291104975983</v>
      </c>
      <c r="V188" s="145">
        <f>$D188*Fleet!X231/10^7</f>
        <v>0.79831705323330493</v>
      </c>
      <c r="W188" s="145">
        <f>$D188*Fleet!Y231/10^7</f>
        <v>0.79578500669421459</v>
      </c>
      <c r="X188" s="145">
        <f>$D188*Fleet!Z231/10^7</f>
        <v>1.0131459676266212</v>
      </c>
      <c r="Y188" s="145">
        <f>$D188*Fleet!AA231/10^7</f>
        <v>0.62436560776323935</v>
      </c>
      <c r="Z188" s="145">
        <f>$D188*Fleet!AB231/10^7</f>
        <v>0.10847834155996816</v>
      </c>
      <c r="AA188" s="145">
        <f>$D188*Fleet!AC231/10^7</f>
        <v>3.2231949419790996E-2</v>
      </c>
      <c r="AB188" s="145">
        <f>$D188*Fleet!AD231/10^7</f>
        <v>0</v>
      </c>
      <c r="AC188" s="145">
        <f>$D188*Fleet!AE231/10^7</f>
        <v>0</v>
      </c>
      <c r="AD188" s="145">
        <f>$D188*Fleet!AF231/10^7</f>
        <v>0</v>
      </c>
      <c r="AE188" s="145">
        <f>$D188*Fleet!AG231/10^7</f>
        <v>0</v>
      </c>
      <c r="AF188" s="145">
        <f>$D188*Fleet!AH231/10^7</f>
        <v>0</v>
      </c>
      <c r="AG188" s="145">
        <f>$D188*Fleet!AI231/10^7</f>
        <v>0</v>
      </c>
      <c r="AH188" s="145">
        <f>$D188*Fleet!AJ231/10^7</f>
        <v>0</v>
      </c>
      <c r="AI188" s="145">
        <f>$D188*Fleet!AK231/10^7</f>
        <v>0</v>
      </c>
      <c r="AJ188" s="145">
        <f>$D188*Fleet!AL231/10^7</f>
        <v>0</v>
      </c>
      <c r="AK188" s="145">
        <f>$D188*Fleet!AM231/10^7</f>
        <v>0</v>
      </c>
      <c r="AL188" s="145">
        <f>$D188*Fleet!AN231/10^7</f>
        <v>0</v>
      </c>
      <c r="AM188" s="145">
        <f>$D188*Fleet!AO231/10^7</f>
        <v>0</v>
      </c>
      <c r="AN188" s="145">
        <f>$D188*Fleet!AP231/10^7</f>
        <v>0</v>
      </c>
      <c r="AO188" s="145">
        <f>$D188*Fleet!AQ231/10^7</f>
        <v>0</v>
      </c>
      <c r="AP188" s="179"/>
      <c r="AQ188" s="179"/>
      <c r="AR188" s="179"/>
      <c r="AS188" s="179"/>
      <c r="AT188" s="179"/>
      <c r="AU188" s="179"/>
      <c r="AV188" s="179"/>
      <c r="AW188" s="179"/>
      <c r="AX188" s="179"/>
      <c r="AY188" s="179"/>
      <c r="AZ188" s="179"/>
      <c r="BA188" s="179"/>
      <c r="BB188" s="179"/>
      <c r="BC188" s="179"/>
      <c r="BD188" s="179"/>
    </row>
    <row r="189" spans="1:56">
      <c r="A189" s="168" t="str">
        <f t="shared" si="21"/>
        <v>Waste Thick Parting (Ob/IB)</v>
      </c>
      <c r="B189" s="165" t="str">
        <f t="shared" si="21"/>
        <v>Drill Machine/ 250mm diameter</v>
      </c>
      <c r="C189" s="171" t="s">
        <v>134</v>
      </c>
      <c r="D189" s="174">
        <f>VLOOKUP(B189,Equipment!$C$5:$V$53,Equipment!F$1,FALSE)*$B$185</f>
        <v>14160000</v>
      </c>
      <c r="E189" s="145">
        <f>$D189*Fleet!G232/10^7</f>
        <v>0</v>
      </c>
      <c r="F189" s="145">
        <f>$D189*Fleet!H232/10^7</f>
        <v>0</v>
      </c>
      <c r="G189" s="145">
        <f>$D189*Fleet!I232/10^7</f>
        <v>0</v>
      </c>
      <c r="H189" s="145">
        <f>$D189*Fleet!J232/10^7</f>
        <v>0</v>
      </c>
      <c r="I189" s="145">
        <f>$D189*Fleet!K232/10^7</f>
        <v>3.5433336297513036</v>
      </c>
      <c r="J189" s="145">
        <f>$D189*Fleet!L232/10^7</f>
        <v>2.9268409914810833</v>
      </c>
      <c r="K189" s="145">
        <f>$D189*Fleet!M232/10^7</f>
        <v>5.2926212257658269</v>
      </c>
      <c r="L189" s="145">
        <f>$D189*Fleet!N232/10^7</f>
        <v>11.372505107967422</v>
      </c>
      <c r="M189" s="145">
        <f>$D189*Fleet!O232/10^7</f>
        <v>10.956963449485329</v>
      </c>
      <c r="N189" s="145">
        <f>$D189*Fleet!P232/10^7</f>
        <v>14.731847969305548</v>
      </c>
      <c r="O189" s="145">
        <f>$D189*Fleet!Q232/10^7</f>
        <v>13.482077917609779</v>
      </c>
      <c r="P189" s="145">
        <f>$D189*Fleet!R232/10^7</f>
        <v>11.269543937213536</v>
      </c>
      <c r="Q189" s="145">
        <f>$D189*Fleet!S232/10^7</f>
        <v>11.744948819758728</v>
      </c>
      <c r="R189" s="145">
        <f>$D189*Fleet!T232/10^7</f>
        <v>10.473364765901824</v>
      </c>
      <c r="S189" s="145">
        <f>$D189*Fleet!U232/10^7</f>
        <v>11.81815424511039</v>
      </c>
      <c r="T189" s="145">
        <f>$D189*Fleet!V232/10^7</f>
        <v>8.9955933677017956</v>
      </c>
      <c r="U189" s="145">
        <f>$D189*Fleet!W232/10^7</f>
        <v>7.8960826660479588</v>
      </c>
      <c r="V189" s="145">
        <f>$D189*Fleet!X232/10^7</f>
        <v>9.8147565035454161</v>
      </c>
      <c r="W189" s="145">
        <f>$D189*Fleet!Y232/10^7</f>
        <v>9.7835519583217376</v>
      </c>
      <c r="X189" s="145">
        <f>$D189*Fleet!Z232/10^7</f>
        <v>12.464933056947219</v>
      </c>
      <c r="Y189" s="145">
        <f>$D189*Fleet!AA232/10^7</f>
        <v>7.67366475514289</v>
      </c>
      <c r="Z189" s="145">
        <f>$D189*Fleet!AB232/10^7</f>
        <v>1.3159508347874389</v>
      </c>
      <c r="AA189" s="145">
        <f>$D189*Fleet!AC232/10^7</f>
        <v>0.37630223238235133</v>
      </c>
      <c r="AB189" s="145">
        <f>$D189*Fleet!AD232/10^7</f>
        <v>0</v>
      </c>
      <c r="AC189" s="145">
        <f>$D189*Fleet!AE232/10^7</f>
        <v>0</v>
      </c>
      <c r="AD189" s="145">
        <f>$D189*Fleet!AF232/10^7</f>
        <v>0</v>
      </c>
      <c r="AE189" s="145">
        <f>$D189*Fleet!AG232/10^7</f>
        <v>0</v>
      </c>
      <c r="AF189" s="145">
        <f>$D189*Fleet!AH232/10^7</f>
        <v>0</v>
      </c>
      <c r="AG189" s="145">
        <f>$D189*Fleet!AI232/10^7</f>
        <v>0</v>
      </c>
      <c r="AH189" s="145">
        <f>$D189*Fleet!AJ232/10^7</f>
        <v>0</v>
      </c>
      <c r="AI189" s="145">
        <f>$D189*Fleet!AK232/10^7</f>
        <v>0</v>
      </c>
      <c r="AJ189" s="145">
        <f>$D189*Fleet!AL232/10^7</f>
        <v>0</v>
      </c>
      <c r="AK189" s="145">
        <f>$D189*Fleet!AM232/10^7</f>
        <v>0</v>
      </c>
      <c r="AL189" s="145">
        <f>$D189*Fleet!AN232/10^7</f>
        <v>0</v>
      </c>
      <c r="AM189" s="145">
        <f>$D189*Fleet!AO232/10^7</f>
        <v>0</v>
      </c>
      <c r="AN189" s="145">
        <f>$D189*Fleet!AP232/10^7</f>
        <v>0</v>
      </c>
      <c r="AO189" s="145">
        <f>$D189*Fleet!AQ232/10^7</f>
        <v>0</v>
      </c>
      <c r="AP189" s="179"/>
      <c r="AQ189" s="179"/>
      <c r="AR189" s="179"/>
      <c r="AS189" s="179"/>
      <c r="AT189" s="179"/>
      <c r="AU189" s="179"/>
      <c r="AV189" s="179"/>
      <c r="AW189" s="179"/>
      <c r="AX189" s="179"/>
      <c r="AY189" s="179"/>
      <c r="AZ189" s="179"/>
      <c r="BA189" s="179"/>
      <c r="BB189" s="179"/>
      <c r="BC189" s="179"/>
      <c r="BD189" s="179"/>
    </row>
    <row r="190" spans="1:56" ht="14" thickBot="1">
      <c r="A190" s="169"/>
      <c r="B190" s="252" t="str">
        <f>B183</f>
        <v>Sub Total</v>
      </c>
      <c r="C190" s="245"/>
      <c r="D190" s="256">
        <f>SUM(E190:AO190)</f>
        <v>180.84844696139055</v>
      </c>
      <c r="E190" s="247">
        <f t="shared" ref="E190:AO190" si="22">SUM(E187:E189)</f>
        <v>0</v>
      </c>
      <c r="F190" s="247">
        <f t="shared" si="22"/>
        <v>0</v>
      </c>
      <c r="G190" s="247">
        <f t="shared" si="22"/>
        <v>0</v>
      </c>
      <c r="H190" s="247">
        <f t="shared" si="22"/>
        <v>0</v>
      </c>
      <c r="I190" s="247">
        <f t="shared" si="22"/>
        <v>3.9045457738904257</v>
      </c>
      <c r="J190" s="247">
        <f t="shared" si="22"/>
        <v>3.3105445146333294</v>
      </c>
      <c r="K190" s="247">
        <f t="shared" si="22"/>
        <v>5.7709689262123458</v>
      </c>
      <c r="L190" s="247">
        <f t="shared" si="22"/>
        <v>12.366684797086071</v>
      </c>
      <c r="M190" s="247">
        <f t="shared" si="22"/>
        <v>11.932006627953154</v>
      </c>
      <c r="N190" s="247">
        <f t="shared" si="22"/>
        <v>16.010987174020759</v>
      </c>
      <c r="O190" s="247">
        <f t="shared" si="22"/>
        <v>14.65980633919084</v>
      </c>
      <c r="P190" s="247">
        <f t="shared" si="22"/>
        <v>12.267739561427794</v>
      </c>
      <c r="Q190" s="247">
        <f t="shared" si="22"/>
        <v>12.781720504813654</v>
      </c>
      <c r="R190" s="247">
        <f t="shared" si="22"/>
        <v>11.406955602972115</v>
      </c>
      <c r="S190" s="247">
        <f t="shared" si="22"/>
        <v>12.859680377216817</v>
      </c>
      <c r="T190" s="247">
        <f t="shared" si="22"/>
        <v>9.8080870114598362</v>
      </c>
      <c r="U190" s="247">
        <f t="shared" si="22"/>
        <v>8.6193582182818087</v>
      </c>
      <c r="V190" s="247">
        <f t="shared" si="22"/>
        <v>10.693719924965494</v>
      </c>
      <c r="W190" s="247">
        <f t="shared" si="22"/>
        <v>10.659983333202725</v>
      </c>
      <c r="X190" s="247">
        <f t="shared" si="22"/>
        <v>13.558725383566928</v>
      </c>
      <c r="Y190" s="247">
        <f t="shared" si="22"/>
        <v>8.3517945991702938</v>
      </c>
      <c r="Z190" s="247">
        <f t="shared" si="22"/>
        <v>1.4647523696344784</v>
      </c>
      <c r="AA190" s="247">
        <f t="shared" si="22"/>
        <v>0.42038592169168465</v>
      </c>
      <c r="AB190" s="247">
        <f t="shared" si="22"/>
        <v>0</v>
      </c>
      <c r="AC190" s="247">
        <f t="shared" si="22"/>
        <v>0</v>
      </c>
      <c r="AD190" s="247">
        <f t="shared" si="22"/>
        <v>0</v>
      </c>
      <c r="AE190" s="247">
        <f t="shared" si="22"/>
        <v>0</v>
      </c>
      <c r="AF190" s="247">
        <f t="shared" si="22"/>
        <v>0</v>
      </c>
      <c r="AG190" s="247">
        <f t="shared" si="22"/>
        <v>0</v>
      </c>
      <c r="AH190" s="247">
        <f t="shared" si="22"/>
        <v>0</v>
      </c>
      <c r="AI190" s="247">
        <f t="shared" si="22"/>
        <v>0</v>
      </c>
      <c r="AJ190" s="247">
        <f t="shared" si="22"/>
        <v>0</v>
      </c>
      <c r="AK190" s="247">
        <f t="shared" si="22"/>
        <v>0</v>
      </c>
      <c r="AL190" s="247">
        <f t="shared" si="22"/>
        <v>0</v>
      </c>
      <c r="AM190" s="247">
        <f t="shared" si="22"/>
        <v>0</v>
      </c>
      <c r="AN190" s="247">
        <f t="shared" si="22"/>
        <v>0</v>
      </c>
      <c r="AO190" s="247">
        <f t="shared" si="22"/>
        <v>0</v>
      </c>
      <c r="AP190" s="242"/>
      <c r="AQ190" s="242"/>
      <c r="AR190" s="242"/>
      <c r="AS190" s="242"/>
      <c r="AT190" s="242"/>
      <c r="AU190" s="242"/>
      <c r="AV190" s="242"/>
      <c r="AW190" s="242"/>
      <c r="AX190" s="242"/>
      <c r="AY190" s="242"/>
      <c r="AZ190" s="242"/>
      <c r="BA190" s="242"/>
      <c r="BB190" s="242"/>
      <c r="BC190" s="242"/>
      <c r="BD190" s="248"/>
    </row>
    <row r="191" spans="1:56" ht="14" thickTop="1"/>
    <row r="192" spans="1:56" ht="14" thickBot="1">
      <c r="A192" s="261"/>
      <c r="B192" s="260" t="s">
        <v>614</v>
      </c>
      <c r="C192" s="245" t="s">
        <v>134</v>
      </c>
      <c r="D192" s="262">
        <f t="shared" ref="D192:AO192" si="23">D48+D93+D138+D183+D190</f>
        <v>4610.8880234550788</v>
      </c>
      <c r="E192" s="247">
        <f t="shared" si="23"/>
        <v>4.5265591273629398E-2</v>
      </c>
      <c r="F192" s="247">
        <f t="shared" si="23"/>
        <v>9.053116319621618E-2</v>
      </c>
      <c r="G192" s="247">
        <f t="shared" si="23"/>
        <v>0.18106240379660291</v>
      </c>
      <c r="H192" s="247">
        <f t="shared" si="23"/>
        <v>0.2715935476417764</v>
      </c>
      <c r="I192" s="247">
        <f t="shared" si="23"/>
        <v>48.027922565395855</v>
      </c>
      <c r="J192" s="247">
        <f t="shared" si="23"/>
        <v>52.51636445050768</v>
      </c>
      <c r="K192" s="247">
        <f t="shared" si="23"/>
        <v>108.76771332798363</v>
      </c>
      <c r="L192" s="247">
        <f t="shared" si="23"/>
        <v>256.12057820850333</v>
      </c>
      <c r="M192" s="247">
        <f t="shared" si="23"/>
        <v>275.26438138220567</v>
      </c>
      <c r="N192" s="247">
        <f t="shared" si="23"/>
        <v>357.75446941724726</v>
      </c>
      <c r="O192" s="247">
        <f t="shared" si="23"/>
        <v>344.37554612110438</v>
      </c>
      <c r="P192" s="247">
        <f t="shared" si="23"/>
        <v>315.20295349996576</v>
      </c>
      <c r="Q192" s="247">
        <f t="shared" si="23"/>
        <v>331.17728897632639</v>
      </c>
      <c r="R192" s="247">
        <f t="shared" si="23"/>
        <v>314.87762361598249</v>
      </c>
      <c r="S192" s="247">
        <f t="shared" si="23"/>
        <v>339.64240952875849</v>
      </c>
      <c r="T192" s="247">
        <f t="shared" si="23"/>
        <v>287.35181525247054</v>
      </c>
      <c r="U192" s="247">
        <f t="shared" si="23"/>
        <v>269.2220425908227</v>
      </c>
      <c r="V192" s="247">
        <f t="shared" si="23"/>
        <v>303.70466272398011</v>
      </c>
      <c r="W192" s="247">
        <f t="shared" si="23"/>
        <v>304.08642899470584</v>
      </c>
      <c r="X192" s="247">
        <f t="shared" si="23"/>
        <v>349.59191726061812</v>
      </c>
      <c r="Y192" s="247">
        <f t="shared" si="23"/>
        <v>229.42213647357988</v>
      </c>
      <c r="Z192" s="247">
        <f t="shared" si="23"/>
        <v>87.173898305270512</v>
      </c>
      <c r="AA192" s="247">
        <f t="shared" si="23"/>
        <v>36.019418053742918</v>
      </c>
      <c r="AB192" s="247">
        <f t="shared" si="23"/>
        <v>0</v>
      </c>
      <c r="AC192" s="247">
        <f t="shared" si="23"/>
        <v>0</v>
      </c>
      <c r="AD192" s="247">
        <f t="shared" si="23"/>
        <v>0</v>
      </c>
      <c r="AE192" s="247">
        <f t="shared" si="23"/>
        <v>0</v>
      </c>
      <c r="AF192" s="247">
        <f t="shared" si="23"/>
        <v>0</v>
      </c>
      <c r="AG192" s="247">
        <f t="shared" si="23"/>
        <v>0</v>
      </c>
      <c r="AH192" s="247">
        <f t="shared" si="23"/>
        <v>0</v>
      </c>
      <c r="AI192" s="247">
        <f t="shared" si="23"/>
        <v>0</v>
      </c>
      <c r="AJ192" s="247">
        <f t="shared" si="23"/>
        <v>0</v>
      </c>
      <c r="AK192" s="247">
        <f t="shared" si="23"/>
        <v>0</v>
      </c>
      <c r="AL192" s="247">
        <f t="shared" si="23"/>
        <v>0</v>
      </c>
      <c r="AM192" s="247">
        <f t="shared" si="23"/>
        <v>0</v>
      </c>
      <c r="AN192" s="247">
        <f t="shared" si="23"/>
        <v>0</v>
      </c>
      <c r="AO192" s="247">
        <f t="shared" si="23"/>
        <v>0</v>
      </c>
      <c r="AP192" s="242"/>
      <c r="AQ192" s="242"/>
      <c r="AR192" s="242"/>
      <c r="AS192" s="242"/>
      <c r="AT192" s="242"/>
      <c r="AU192" s="242"/>
      <c r="AV192" s="242"/>
      <c r="AW192" s="242"/>
      <c r="AX192" s="242"/>
      <c r="AY192" s="242"/>
      <c r="AZ192" s="242"/>
      <c r="BA192" s="242"/>
      <c r="BB192" s="242"/>
      <c r="BC192" s="242"/>
      <c r="BD192" s="248"/>
    </row>
    <row r="194" spans="2:41" ht="14" thickBot="1">
      <c r="B194" s="252" t="s">
        <v>1065</v>
      </c>
      <c r="C194" s="245" t="s">
        <v>275</v>
      </c>
      <c r="D194" s="256"/>
      <c r="E194" s="247">
        <f>IFERROR(E$192*10^7/('Production Schedule'!E$5*10^6),0)</f>
        <v>0</v>
      </c>
      <c r="F194" s="247">
        <f>IFERROR(F$192*10^7/('Production Schedule'!F$5*10^6),0)</f>
        <v>0</v>
      </c>
      <c r="G194" s="247">
        <f>IFERROR(G$192*10^7/('Production Schedule'!G$5*10^6),0)</f>
        <v>0</v>
      </c>
      <c r="H194" s="247">
        <f>IFERROR(H$192*10^7/('Production Schedule'!H$5*10^6),0)</f>
        <v>0</v>
      </c>
      <c r="I194" s="247">
        <f>IFERROR(I$192*10^7/('Production Schedule'!I$5*10^6),0)</f>
        <v>240.13964224408548</v>
      </c>
      <c r="J194" s="247">
        <f>IFERROR(J$192*10^7/('Production Schedule'!J$5*10^6),0)</f>
        <v>131.29095527285293</v>
      </c>
      <c r="K194" s="247">
        <f>IFERROR(K$192*10^7/('Production Schedule'!K$5*10^6),0)</f>
        <v>135.95962925366334</v>
      </c>
      <c r="L194" s="247">
        <f>IFERROR(L$192*10^7/('Production Schedule'!L$5*10^6),0)</f>
        <v>213.43384131939837</v>
      </c>
      <c r="M194" s="247">
        <f>IFERROR(M$192*10^7/('Production Schedule'!M$5*10^6),0)</f>
        <v>183.50964667824334</v>
      </c>
      <c r="N194" s="247">
        <f>IFERROR(N$192*10^7/('Production Schedule'!N$5*10^6),0)</f>
        <v>238.5028660841339</v>
      </c>
      <c r="O194" s="247">
        <f>IFERROR(O$192*10^7/('Production Schedule'!O$5*10^6),0)</f>
        <v>229.58371899493918</v>
      </c>
      <c r="P194" s="247">
        <f>IFERROR(P$192*10^7/('Production Schedule'!P$5*10^6),0)</f>
        <v>210.1353460414625</v>
      </c>
      <c r="Q194" s="247">
        <f>IFERROR(Q$192*10^7/('Production Schedule'!Q$5*10^6),0)</f>
        <v>220.78480456291942</v>
      </c>
      <c r="R194" s="247">
        <f>IFERROR(R$192*10^7/('Production Schedule'!R$5*10^6),0)</f>
        <v>209.91848333773996</v>
      </c>
      <c r="S194" s="247">
        <f>IFERROR(S$192*10^7/('Production Schedule'!S$5*10^6),0)</f>
        <v>226.42832011626291</v>
      </c>
      <c r="T194" s="247">
        <f>IFERROR(T$192*10^7/('Production Schedule'!T$5*10^6),0)</f>
        <v>191.56785116488831</v>
      </c>
      <c r="U194" s="247">
        <f>IFERROR(U$192*10^7/('Production Schedule'!U$5*10^6),0)</f>
        <v>179.48117398990715</v>
      </c>
      <c r="V194" s="247">
        <f>IFERROR(V$192*10^7/('Production Schedule'!V$5*10^6),0)</f>
        <v>202.46974801837382</v>
      </c>
      <c r="W194" s="247">
        <f>IFERROR(W$192*10^7/('Production Schedule'!W$5*10^6),0)</f>
        <v>202.72425883141986</v>
      </c>
      <c r="X194" s="247">
        <f>IFERROR(X$192*10^7/('Production Schedule'!X$5*10^6),0)</f>
        <v>233.06127351251996</v>
      </c>
      <c r="Y194" s="247">
        <f>IFERROR(Y$192*10^7/('Production Schedule'!Y$5*10^6),0)</f>
        <v>229.42214496219927</v>
      </c>
      <c r="Z194" s="247">
        <f>IFERROR(Z$192*10^7/('Production Schedule'!Z$5*10^6),0)</f>
        <v>116.23182233110768</v>
      </c>
      <c r="AA194" s="247">
        <f>IFERROR(AA$192*10^7/('Production Schedule'!AA$5*10^6),0)</f>
        <v>163.39850452679084</v>
      </c>
      <c r="AB194" s="247">
        <f>IFERROR(AB$192*10^7/('Production Schedule'!AB$5*10^6),0)</f>
        <v>0</v>
      </c>
      <c r="AC194" s="247">
        <f>IFERROR(AC$192*10^7/('Production Schedule'!AC$5*10^6),0)</f>
        <v>0</v>
      </c>
      <c r="AD194" s="247">
        <f>IFERROR(AD$192*10^7/('Production Schedule'!AD$5*10^6),0)</f>
        <v>0</v>
      </c>
      <c r="AE194" s="247">
        <f>IFERROR(AE$192*10^7/('Production Schedule'!AE$5*10^6),0)</f>
        <v>0</v>
      </c>
      <c r="AF194" s="247">
        <f>IFERROR(AF$192*10^7/('Production Schedule'!AF$5*10^6),0)</f>
        <v>0</v>
      </c>
      <c r="AG194" s="247">
        <f>IFERROR(AG$192*10^7/('Production Schedule'!AG$5*10^6),0)</f>
        <v>0</v>
      </c>
      <c r="AH194" s="247">
        <f>IFERROR(AH$192*10^7/('Production Schedule'!AH$5*10^6),0)</f>
        <v>0</v>
      </c>
      <c r="AI194" s="247">
        <f>IFERROR(AI$192*10^7/('Production Schedule'!AI$5*10^6),0)</f>
        <v>0</v>
      </c>
      <c r="AJ194" s="247">
        <f>IFERROR(AJ$192*10^7/('Production Schedule'!AJ$5*10^6),0)</f>
        <v>0</v>
      </c>
      <c r="AK194" s="247">
        <f>IFERROR(AK$192*10^7/('Production Schedule'!AK$5*10^6),0)</f>
        <v>0</v>
      </c>
      <c r="AL194" s="247">
        <f>IFERROR(AL$192*10^7/('Production Schedule'!AL$5*10^6),0)</f>
        <v>0</v>
      </c>
      <c r="AM194" s="247">
        <f>IFERROR(AM$192*10^7/('Production Schedule'!AM$5*10^6),0)</f>
        <v>0</v>
      </c>
      <c r="AN194" s="247">
        <f>IFERROR(AN$192*10^7/('Production Schedule'!AN$5*10^6),0)</f>
        <v>0</v>
      </c>
      <c r="AO194" s="247">
        <f>IFERROR(AO$192*10^7/('Production Schedule'!AO$5*10^6),0)</f>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A58CC-7505-4E81-AE6E-DE615AF44F44}">
  <sheetPr codeName="Sheet22">
    <tabColor rgb="FF0070C0"/>
  </sheetPr>
  <dimension ref="A2:AM112"/>
  <sheetViews>
    <sheetView showGridLines="0" topLeftCell="A28" workbookViewId="0"/>
  </sheetViews>
  <sheetFormatPr baseColWidth="10" defaultColWidth="8.83203125" defaultRowHeight="13"/>
  <cols>
    <col min="1" max="1" width="29.33203125" customWidth="1"/>
    <col min="2" max="2" width="48.33203125" customWidth="1"/>
    <col min="3" max="3" width="14.33203125" bestFit="1" customWidth="1"/>
    <col min="4" max="4" width="16.5" customWidth="1"/>
    <col min="5" max="5" width="17.33203125" customWidth="1"/>
    <col min="6" max="6" width="13" customWidth="1"/>
    <col min="7" max="7" width="14.83203125" customWidth="1"/>
    <col min="8" max="8" width="15.5" customWidth="1"/>
    <col min="9" max="9" width="15.6640625" customWidth="1"/>
    <col min="10" max="10" width="13.6640625" customWidth="1"/>
    <col min="11" max="11" width="14.6640625" customWidth="1"/>
    <col min="12" max="12" width="15.83203125" customWidth="1"/>
  </cols>
  <sheetData>
    <row r="2" spans="2:6">
      <c r="B2" s="191" t="s">
        <v>1066</v>
      </c>
    </row>
    <row r="4" spans="2:6" ht="14">
      <c r="B4" s="1326" t="s">
        <v>1067</v>
      </c>
      <c r="C4" s="1326" t="s">
        <v>95</v>
      </c>
      <c r="D4" s="192" t="s">
        <v>89</v>
      </c>
      <c r="E4" s="1327" t="s">
        <v>90</v>
      </c>
    </row>
    <row r="5" spans="2:6">
      <c r="B5" s="535" t="s">
        <v>1068</v>
      </c>
      <c r="C5" s="1328" t="s">
        <v>131</v>
      </c>
      <c r="D5" s="1329">
        <v>0.9</v>
      </c>
      <c r="E5" s="1330" t="s">
        <v>178</v>
      </c>
    </row>
    <row r="6" spans="2:6">
      <c r="B6" s="1331" t="s">
        <v>1069</v>
      </c>
      <c r="C6" s="1332" t="s">
        <v>1070</v>
      </c>
      <c r="D6" s="1333">
        <v>35</v>
      </c>
      <c r="E6" s="415" t="s">
        <v>178</v>
      </c>
    </row>
    <row r="7" spans="2:6">
      <c r="B7" s="1331" t="s">
        <v>1071</v>
      </c>
      <c r="C7" s="1332" t="s">
        <v>1070</v>
      </c>
      <c r="D7" s="1333">
        <v>45</v>
      </c>
      <c r="E7" s="415" t="s">
        <v>178</v>
      </c>
    </row>
    <row r="8" spans="2:6">
      <c r="B8" s="1331" t="s">
        <v>1072</v>
      </c>
      <c r="C8" s="1332" t="s">
        <v>131</v>
      </c>
      <c r="D8" s="1334">
        <v>0.9</v>
      </c>
      <c r="E8" s="415" t="s">
        <v>178</v>
      </c>
    </row>
    <row r="9" spans="2:6">
      <c r="B9" s="1331" t="s">
        <v>1073</v>
      </c>
      <c r="C9" s="1332" t="s">
        <v>1074</v>
      </c>
      <c r="D9" s="1335">
        <v>30</v>
      </c>
      <c r="E9" s="415" t="s">
        <v>178</v>
      </c>
    </row>
    <row r="10" spans="2:6">
      <c r="B10" s="1331" t="s">
        <v>1075</v>
      </c>
      <c r="C10" s="1332" t="s">
        <v>1076</v>
      </c>
      <c r="D10" s="1335">
        <v>25</v>
      </c>
      <c r="E10" s="415" t="s">
        <v>178</v>
      </c>
    </row>
    <row r="11" spans="2:6">
      <c r="B11" s="1336" t="s">
        <v>1077</v>
      </c>
      <c r="C11" s="1337" t="s">
        <v>1076</v>
      </c>
      <c r="D11" s="1338">
        <v>30</v>
      </c>
      <c r="E11" s="1339" t="s">
        <v>178</v>
      </c>
    </row>
    <row r="14" spans="2:6" ht="14">
      <c r="B14" s="193" t="s">
        <v>1078</v>
      </c>
    </row>
    <row r="15" spans="2:6" ht="14">
      <c r="B15" s="182" t="s">
        <v>1079</v>
      </c>
      <c r="C15" s="117"/>
    </row>
    <row r="16" spans="2:6" ht="28">
      <c r="B16" s="1326" t="s">
        <v>34</v>
      </c>
      <c r="C16" s="1326" t="s">
        <v>88</v>
      </c>
      <c r="D16" s="1340" t="s">
        <v>885</v>
      </c>
      <c r="E16" s="1340" t="s">
        <v>851</v>
      </c>
      <c r="F16" s="1340" t="s">
        <v>1080</v>
      </c>
    </row>
    <row r="17" spans="2:6">
      <c r="B17" s="1332" t="s">
        <v>1081</v>
      </c>
      <c r="C17" s="1341" t="s">
        <v>432</v>
      </c>
      <c r="D17" s="1342">
        <f>'Production Schedule'!D32</f>
        <v>10</v>
      </c>
      <c r="E17" s="1342">
        <f>'Production Schedule'!D30</f>
        <v>5</v>
      </c>
      <c r="F17" s="1342">
        <f>'Production Schedule'!D32</f>
        <v>10</v>
      </c>
    </row>
    <row r="18" spans="2:6">
      <c r="B18" s="1332" t="s">
        <v>1082</v>
      </c>
      <c r="C18" s="1341" t="s">
        <v>1083</v>
      </c>
      <c r="D18" s="1342">
        <f>VLOOKUP(Fleet!$C19,Equipment!$C$5:$H$7,6,FALSE)</f>
        <v>250</v>
      </c>
      <c r="E18" s="1342">
        <f>VLOOKUP(Fleet!$C11,Equipment!$C$5:$H$7,6,FALSE)</f>
        <v>115</v>
      </c>
      <c r="F18" s="1342">
        <f>VLOOKUP(Fleet!$C15,Equipment!$C$5:$H$7,6,FALSE)</f>
        <v>160</v>
      </c>
    </row>
    <row r="19" spans="2:6">
      <c r="B19" s="1332" t="s">
        <v>1084</v>
      </c>
      <c r="C19" s="1341" t="s">
        <v>432</v>
      </c>
      <c r="D19" s="1343">
        <v>4.5</v>
      </c>
      <c r="E19" s="1343">
        <v>4</v>
      </c>
      <c r="F19" s="1343">
        <v>4.5</v>
      </c>
    </row>
    <row r="20" spans="2:6">
      <c r="B20" s="1332" t="s">
        <v>1085</v>
      </c>
      <c r="C20" s="1341" t="s">
        <v>432</v>
      </c>
      <c r="D20" s="1343">
        <v>6</v>
      </c>
      <c r="E20" s="1343">
        <v>5</v>
      </c>
      <c r="F20" s="1343">
        <v>6</v>
      </c>
    </row>
    <row r="21" spans="2:6">
      <c r="B21" s="1332" t="s">
        <v>1086</v>
      </c>
      <c r="C21" s="1341" t="s">
        <v>131</v>
      </c>
      <c r="D21" s="1344">
        <v>0.1</v>
      </c>
      <c r="E21" s="1344">
        <v>0.1</v>
      </c>
      <c r="F21" s="1344">
        <v>0.1</v>
      </c>
    </row>
    <row r="22" spans="2:6">
      <c r="B22" s="1332" t="s">
        <v>1087</v>
      </c>
      <c r="C22" s="1341" t="s">
        <v>1088</v>
      </c>
      <c r="D22" s="1343">
        <v>30</v>
      </c>
      <c r="E22" s="1343">
        <v>35</v>
      </c>
      <c r="F22" s="1343">
        <v>30</v>
      </c>
    </row>
    <row r="23" spans="2:6">
      <c r="B23" s="1332" t="s">
        <v>1089</v>
      </c>
      <c r="C23" s="1341" t="s">
        <v>1090</v>
      </c>
      <c r="D23" s="1345">
        <f>D17*D19*D20/(D17+(D17*D21))</f>
        <v>24.545454545454547</v>
      </c>
      <c r="E23" s="1345">
        <f>E17*E19*E20/(E17+(E17*E21))</f>
        <v>18.181818181818183</v>
      </c>
      <c r="F23" s="1345">
        <f>F17*F19*F20/(F17+(F17*F21))</f>
        <v>24.545454545454547</v>
      </c>
    </row>
    <row r="24" spans="2:6">
      <c r="B24" s="1332" t="s">
        <v>1091</v>
      </c>
      <c r="C24" s="1341" t="s">
        <v>157</v>
      </c>
      <c r="D24" s="1345">
        <f>VLOOKUP(Fleet!$C19,Equipment!$C$5:$M$7,11,FALSE)</f>
        <v>14.4</v>
      </c>
      <c r="E24" s="1345">
        <f>VLOOKUP(Fleet!$C11,Equipment!$C$5:$M$7,11,FALSE)</f>
        <v>13.44</v>
      </c>
      <c r="F24" s="1345">
        <f>VLOOKUP(Fleet!$C15,Equipment!$C$5:$M$7,11,FALSE)</f>
        <v>13.44</v>
      </c>
    </row>
    <row r="25" spans="2:6">
      <c r="B25" s="1332" t="s">
        <v>1092</v>
      </c>
      <c r="C25" s="1341" t="s">
        <v>1093</v>
      </c>
      <c r="D25" s="1346">
        <f>D22*Equipment!$M$7</f>
        <v>432</v>
      </c>
      <c r="E25" s="1346">
        <f>E22*Equipment!$M$6</f>
        <v>470.4</v>
      </c>
      <c r="F25" s="1346">
        <f>F22*Equipment!$M$6</f>
        <v>403.2</v>
      </c>
    </row>
    <row r="26" spans="2:6">
      <c r="B26" s="1337" t="s">
        <v>1094</v>
      </c>
      <c r="C26" s="1347" t="s">
        <v>1095</v>
      </c>
      <c r="D26" s="1348">
        <f>D$25*Assumptions_Dashboard!$D$28*D$23</f>
        <v>3499200</v>
      </c>
      <c r="E26" s="1348">
        <f>E$25*Assumptions_Dashboard!$D$28*E$23</f>
        <v>2822400.0000000005</v>
      </c>
      <c r="F26" s="1348">
        <f>F$25*Assumptions_Dashboard!$D$28*F$23</f>
        <v>3265920</v>
      </c>
    </row>
    <row r="27" spans="2:6">
      <c r="D27" s="209"/>
      <c r="E27" s="209"/>
      <c r="F27" s="209"/>
    </row>
    <row r="28" spans="2:6" ht="14">
      <c r="B28" s="182" t="s">
        <v>1096</v>
      </c>
      <c r="C28" s="121"/>
      <c r="D28" s="94"/>
      <c r="E28" s="94"/>
    </row>
    <row r="29" spans="2:6">
      <c r="B29" s="1326" t="s">
        <v>34</v>
      </c>
      <c r="C29" s="1326" t="s">
        <v>88</v>
      </c>
      <c r="D29" s="1349" t="s">
        <v>851</v>
      </c>
      <c r="E29" s="94"/>
    </row>
    <row r="30" spans="2:6">
      <c r="B30" s="1332" t="s">
        <v>1097</v>
      </c>
      <c r="C30" s="1341" t="s">
        <v>1098</v>
      </c>
      <c r="D30" s="1350">
        <f>'Productivity - SM'!B36</f>
        <v>928.8</v>
      </c>
    </row>
    <row r="31" spans="2:6">
      <c r="B31" s="1332" t="s">
        <v>1099</v>
      </c>
      <c r="C31" s="1341" t="s">
        <v>139</v>
      </c>
      <c r="D31" s="1351">
        <f>Assumptions_Dashboard!$D$29</f>
        <v>7920</v>
      </c>
      <c r="F31" s="434"/>
    </row>
    <row r="32" spans="2:6">
      <c r="B32" s="1332" t="s">
        <v>1100</v>
      </c>
      <c r="C32" s="1341" t="s">
        <v>131</v>
      </c>
      <c r="D32" s="1352">
        <f>VLOOKUP(Fleet!$C$49,Equipment!$C$13:$K$13,8,FALSE)</f>
        <v>0.85</v>
      </c>
      <c r="F32" s="209"/>
    </row>
    <row r="33" spans="2:12">
      <c r="B33" s="1332" t="s">
        <v>1101</v>
      </c>
      <c r="C33" s="1341" t="s">
        <v>131</v>
      </c>
      <c r="D33" s="1352">
        <f>VLOOKUP(Fleet!$C$49,Equipment!$C$13:$K$13,9,FALSE)</f>
        <v>0.8</v>
      </c>
    </row>
    <row r="34" spans="2:12">
      <c r="B34" s="1332" t="s">
        <v>1102</v>
      </c>
      <c r="C34" s="1341" t="s">
        <v>139</v>
      </c>
      <c r="D34" s="1346">
        <f>D31*D32*D33</f>
        <v>5385.6</v>
      </c>
    </row>
    <row r="35" spans="2:12">
      <c r="B35" s="1337" t="s">
        <v>1103</v>
      </c>
      <c r="C35" s="1347" t="s">
        <v>1104</v>
      </c>
      <c r="D35" s="1348">
        <f>D30*D34</f>
        <v>5002145.28</v>
      </c>
    </row>
    <row r="36" spans="2:12">
      <c r="B36" s="121"/>
      <c r="C36" s="183"/>
      <c r="D36" s="184"/>
    </row>
    <row r="38" spans="2:12" ht="14">
      <c r="B38" s="182" t="s">
        <v>1105</v>
      </c>
      <c r="C38" s="117"/>
      <c r="K38" s="182" t="s">
        <v>956</v>
      </c>
    </row>
    <row r="39" spans="2:12" ht="28">
      <c r="B39" s="1326" t="s">
        <v>1106</v>
      </c>
      <c r="C39" s="1326" t="s">
        <v>88</v>
      </c>
      <c r="D39" s="1340" t="s">
        <v>1107</v>
      </c>
      <c r="E39" s="1340" t="s">
        <v>948</v>
      </c>
      <c r="F39" s="1349" t="s">
        <v>408</v>
      </c>
      <c r="G39" s="1349" t="s">
        <v>851</v>
      </c>
      <c r="H39" s="1340" t="s">
        <v>1108</v>
      </c>
      <c r="I39" s="1340" t="s">
        <v>1109</v>
      </c>
      <c r="K39" s="1349" t="s">
        <v>851</v>
      </c>
      <c r="L39" s="1349" t="s">
        <v>734</v>
      </c>
    </row>
    <row r="40" spans="2:12">
      <c r="B40" s="1332" t="s">
        <v>1110</v>
      </c>
      <c r="C40" s="1341" t="s">
        <v>1051</v>
      </c>
      <c r="D40" s="1345">
        <f>VLOOKUP(Fleet!$C29,Equipment!$C$8:$V$12,Equipment!$H$1,FALSE)</f>
        <v>4.5999999999999996</v>
      </c>
      <c r="E40" s="1345">
        <f>VLOOKUP(Fleet!$C33,Equipment!$C$8:$V$12,Equipment!$H$1,FALSE)</f>
        <v>10</v>
      </c>
      <c r="F40" s="1345">
        <f>VLOOKUP(Fleet!$C24,Equipment!$C$8:$V$12,Equipment!$H$1,FALSE)</f>
        <v>1</v>
      </c>
      <c r="G40" s="1345">
        <f>VLOOKUP(Fleet!$C29,Equipment!$C$8:$V$12,Equipment!$H$1,FALSE)</f>
        <v>4.5999999999999996</v>
      </c>
      <c r="H40" s="1345">
        <f>VLOOKUP(Fleet!$C38,Equipment!$C$8:$V$12,Equipment!$H$1,FALSE)</f>
        <v>3.4</v>
      </c>
      <c r="I40" s="1345">
        <f>VLOOKUP(Fleet!$C43,Equipment!$C$8:$V$12,Equipment!$H$1,FALSE)</f>
        <v>3.4</v>
      </c>
      <c r="K40" s="1345">
        <f>VLOOKUP(Fleet!$C54,Equipment!$C$15:$V$16,Equipment!$H$1,FALSE)</f>
        <v>6.4</v>
      </c>
      <c r="L40" s="1345">
        <f>VLOOKUP(Fleet!$C59,Equipment!$C$15:$V$16,Equipment!$H$1,FALSE)</f>
        <v>1.7</v>
      </c>
    </row>
    <row r="41" spans="2:12">
      <c r="B41" s="1332" t="s">
        <v>1111</v>
      </c>
      <c r="C41" s="1341" t="s">
        <v>131</v>
      </c>
      <c r="D41" s="1344">
        <v>0.9</v>
      </c>
      <c r="E41" s="1353">
        <f>$D$41</f>
        <v>0.9</v>
      </c>
      <c r="F41" s="1353">
        <f t="shared" ref="F41:I41" si="0">$D$41</f>
        <v>0.9</v>
      </c>
      <c r="G41" s="1353">
        <f t="shared" si="0"/>
        <v>0.9</v>
      </c>
      <c r="H41" s="1353">
        <f t="shared" si="0"/>
        <v>0.9</v>
      </c>
      <c r="I41" s="1353">
        <f t="shared" si="0"/>
        <v>0.9</v>
      </c>
      <c r="K41" s="1353">
        <v>0.9</v>
      </c>
      <c r="L41" s="1353">
        <v>0.9</v>
      </c>
    </row>
    <row r="42" spans="2:12">
      <c r="B42" s="1332" t="s">
        <v>1112</v>
      </c>
      <c r="C42" s="1341" t="s">
        <v>1113</v>
      </c>
      <c r="D42" s="1345">
        <f>D40*D41/(1+Assumptions_Dashboard!$D$35)</f>
        <v>3.4499999999999997</v>
      </c>
      <c r="E42" s="1345">
        <f>E40*E41/(1+Assumptions_Dashboard!$D$35)</f>
        <v>7.5</v>
      </c>
      <c r="F42" s="1345">
        <f>F40*F41/(1+Assumptions_Dashboard!$D$35)</f>
        <v>0.75</v>
      </c>
      <c r="G42" s="1345">
        <f>G40*G41/(1+Assumptions_Dashboard!$D$34)</f>
        <v>3.4499999999999997</v>
      </c>
      <c r="H42" s="1345">
        <f>H40*H41/(1+Assumptions_Dashboard!$D$35)</f>
        <v>2.5500000000000003</v>
      </c>
      <c r="I42" s="1345">
        <f>I40*I41/(1+Assumptions_Dashboard!$D$35)</f>
        <v>2.5500000000000003</v>
      </c>
      <c r="K42" s="1345">
        <v>4.8000000000000007</v>
      </c>
      <c r="L42" s="1345">
        <v>1.2750000000000001</v>
      </c>
    </row>
    <row r="43" spans="2:12">
      <c r="B43" s="1332" t="s">
        <v>1112</v>
      </c>
      <c r="C43" s="1341" t="s">
        <v>1114</v>
      </c>
      <c r="D43" s="1345">
        <f>D42*Assumptions_Dashboard!$D$33</f>
        <v>7.2450000000000001</v>
      </c>
      <c r="E43" s="1345">
        <f>E42*Assumptions_Dashboard!$D$33</f>
        <v>15.75</v>
      </c>
      <c r="F43" s="1345">
        <f>F42*Assumptions_Dashboard!$D$33</f>
        <v>1.5750000000000002</v>
      </c>
      <c r="G43" s="1345">
        <f>G42*Assumptions_Dashboard!$D$32</f>
        <v>5.9339999999999993</v>
      </c>
      <c r="H43" s="1345">
        <f>H42*Assumptions_Dashboard!$D$33</f>
        <v>5.3550000000000004</v>
      </c>
      <c r="I43" s="1345">
        <f>I42*Assumptions_Dashboard!$D$33</f>
        <v>5.3550000000000004</v>
      </c>
      <c r="K43" s="1345">
        <f>K42*Assumptions_Dashboard!$D$32</f>
        <v>8.2560000000000002</v>
      </c>
      <c r="L43" s="1345">
        <f>L42*Assumptions_Dashboard!$D$33</f>
        <v>2.6775000000000002</v>
      </c>
    </row>
    <row r="44" spans="2:12">
      <c r="B44" s="1332" t="s">
        <v>1115</v>
      </c>
      <c r="C44" s="1341" t="s">
        <v>1070</v>
      </c>
      <c r="D44" s="1343">
        <v>35</v>
      </c>
      <c r="E44" s="1354">
        <f>$D$44</f>
        <v>35</v>
      </c>
      <c r="F44" s="1354">
        <f t="shared" ref="F44:G44" si="1">$D$44</f>
        <v>35</v>
      </c>
      <c r="G44" s="1354">
        <f t="shared" si="1"/>
        <v>35</v>
      </c>
      <c r="H44" s="1354">
        <f>$D$44</f>
        <v>35</v>
      </c>
      <c r="I44" s="1354">
        <f>$D$44</f>
        <v>35</v>
      </c>
      <c r="K44" s="1354">
        <f>$D$44</f>
        <v>35</v>
      </c>
      <c r="L44" s="1354">
        <f>$D$44</f>
        <v>35</v>
      </c>
    </row>
    <row r="45" spans="2:12">
      <c r="B45" s="1332" t="s">
        <v>1116</v>
      </c>
      <c r="C45" s="1341" t="s">
        <v>1070</v>
      </c>
      <c r="D45" s="1343">
        <v>45</v>
      </c>
      <c r="E45" s="1354">
        <f>$D$45</f>
        <v>45</v>
      </c>
      <c r="F45" s="1354">
        <f t="shared" ref="F45:H45" si="2">$D$45</f>
        <v>45</v>
      </c>
      <c r="G45" s="1354">
        <f t="shared" si="2"/>
        <v>45</v>
      </c>
      <c r="H45" s="1354">
        <f t="shared" si="2"/>
        <v>45</v>
      </c>
      <c r="I45" s="1354">
        <f>$D$45</f>
        <v>45</v>
      </c>
      <c r="K45" s="1354">
        <f t="shared" ref="K45:L45" si="3">$D$45</f>
        <v>45</v>
      </c>
      <c r="L45" s="1354">
        <f t="shared" si="3"/>
        <v>45</v>
      </c>
    </row>
    <row r="46" spans="2:12">
      <c r="B46" s="1332" t="s">
        <v>1117</v>
      </c>
      <c r="C46" s="1341" t="s">
        <v>896</v>
      </c>
      <c r="D46" s="1355">
        <f>ROUND(MIN(D55:D56)/D42,0)</f>
        <v>5</v>
      </c>
      <c r="E46" s="1355">
        <f>ROUND(MIN(E55:E56)/E42,0)</f>
        <v>6</v>
      </c>
      <c r="F46" s="1355">
        <f>ROUND(MIN(F55:F56)/F42,0)</f>
        <v>11</v>
      </c>
      <c r="G46" s="1355">
        <f>ROUND(MIN($G$55:$G$56)/G42,0)</f>
        <v>5</v>
      </c>
      <c r="H46" s="1355">
        <f>ROUND(MIN(H55:H56)/H42,0)</f>
        <v>3</v>
      </c>
      <c r="I46" s="1355">
        <f>ROUND(MIN(I55:I56)/I42,0)</f>
        <v>3</v>
      </c>
      <c r="K46" s="1355">
        <f>ROUND(MIN($G$55:$G$56)/K42,0)</f>
        <v>4</v>
      </c>
      <c r="L46" s="1355">
        <f>ROUND(MIN($G$55:$G$56)/L42,0)</f>
        <v>15</v>
      </c>
    </row>
    <row r="47" spans="2:12">
      <c r="B47" s="1332" t="s">
        <v>1118</v>
      </c>
      <c r="C47" s="1341" t="s">
        <v>1119</v>
      </c>
      <c r="D47" s="1355">
        <f>((D44*D46)+D45)/60</f>
        <v>3.6666666666666665</v>
      </c>
      <c r="E47" s="1355">
        <f>((E44*E46)+E45)/60</f>
        <v>4.25</v>
      </c>
      <c r="F47" s="1355">
        <f t="shared" ref="F47:I47" si="4">((F44*F46)+F45)/60</f>
        <v>7.166666666666667</v>
      </c>
      <c r="G47" s="1355">
        <f t="shared" si="4"/>
        <v>3.6666666666666665</v>
      </c>
      <c r="H47" s="1355">
        <f t="shared" si="4"/>
        <v>2.5</v>
      </c>
      <c r="I47" s="1355">
        <f t="shared" si="4"/>
        <v>2.5</v>
      </c>
      <c r="K47" s="1355">
        <f>((K44*K46)+K45)/60</f>
        <v>3.0833333333333335</v>
      </c>
      <c r="L47" s="1355">
        <f t="shared" ref="L47" si="5">((L44*L46)+L45)/60</f>
        <v>9.5</v>
      </c>
    </row>
    <row r="48" spans="2:12">
      <c r="B48" s="1332" t="s">
        <v>1120</v>
      </c>
      <c r="C48" s="1341" t="s">
        <v>896</v>
      </c>
      <c r="D48" s="1356">
        <f>VLOOKUP(Fleet!$C$29,Equipment!$C$8:$V$12,Equipment!$M$1,FALSE)*60/D47</f>
        <v>235.63636363636365</v>
      </c>
      <c r="E48" s="1356">
        <f>VLOOKUP(Fleet!$C$33,Equipment!$C$8:$V$12,Equipment!$M$1,FALSE)*60/E47</f>
        <v>216.84705882352941</v>
      </c>
      <c r="F48" s="1356">
        <f>VLOOKUP(Fleet!$C$24,Equipment!$C$8:$V$12,Equipment!$M$1,FALSE)*60/F47</f>
        <v>120.55813953488372</v>
      </c>
      <c r="G48" s="1356">
        <f>VLOOKUP(Fleet!$C$29,Equipment!$C$8:$V$12,Equipment!$M$1,FALSE)*60/G47</f>
        <v>235.63636363636365</v>
      </c>
      <c r="H48" s="1356">
        <f>VLOOKUP(Fleet!$C$38,Equipment!$C$8:$V$12,Equipment!$M$1,FALSE)*60/H47</f>
        <v>345.6</v>
      </c>
      <c r="I48" s="1356">
        <f>VLOOKUP(Fleet!$C$43,Equipment!$C$8:$V$12,Equipment!$M$1,FALSE)*60/I47</f>
        <v>345.6</v>
      </c>
      <c r="J48" s="1356"/>
      <c r="K48" s="1356">
        <f>VLOOKUP(Fleet!$C$54,Equipment!$C$15:$V$16,Equipment!$M$1,FALSE)*60/K47</f>
        <v>337.42702702702707</v>
      </c>
      <c r="L48" s="1356">
        <f>VLOOKUP(Fleet!$C$59,Equipment!$C$15:$V$16,Equipment!$M$1,FALSE)*60/L47</f>
        <v>60.631578947368418</v>
      </c>
    </row>
    <row r="49" spans="1:39">
      <c r="B49" s="1337" t="s">
        <v>1121</v>
      </c>
      <c r="C49" s="1347" t="s">
        <v>1122</v>
      </c>
      <c r="D49" s="1357">
        <f>D42*D48*D46*Assumptions_Dashboard!$D$28</f>
        <v>1341360</v>
      </c>
      <c r="E49" s="1357">
        <f>E42*E48*E46*Assumptions_Dashboard!$D$28</f>
        <v>3220178.8235294116</v>
      </c>
      <c r="F49" s="1357">
        <f>F42*F48*F46*Assumptions_Dashboard!$D$28</f>
        <v>328219.53488372097</v>
      </c>
      <c r="G49" s="1357">
        <f>G42*G48*G46*Assumptions_Dashboard!$D$28</f>
        <v>1341360</v>
      </c>
      <c r="H49" s="1357">
        <f>H42*H48*H46*Assumptions_Dashboard!$D$28</f>
        <v>872467.20000000019</v>
      </c>
      <c r="I49" s="1357">
        <f>I42*I48*I46*Assumptions_Dashboard!$D$28</f>
        <v>872467.20000000019</v>
      </c>
      <c r="K49" s="1357">
        <f>K42*K48*K46*Assumptions_Dashboard!$D$28</f>
        <v>2137937.6432432439</v>
      </c>
      <c r="L49" s="1357">
        <f>L42*L48*L46*Assumptions_Dashboard!$D$28</f>
        <v>382661.05263157893</v>
      </c>
    </row>
    <row r="50" spans="1:39">
      <c r="D50" s="209"/>
      <c r="E50" s="209"/>
      <c r="F50" s="209"/>
      <c r="G50" s="209"/>
      <c r="H50" s="209"/>
      <c r="I50" s="209"/>
    </row>
    <row r="51" spans="1:39" ht="28">
      <c r="B51" s="1326" t="s">
        <v>960</v>
      </c>
      <c r="C51" s="1326" t="s">
        <v>95</v>
      </c>
      <c r="D51" s="1340" t="str">
        <f t="shared" ref="D51:I51" si="6">D39</f>
        <v xml:space="preserve">Thin Parting(IB) </v>
      </c>
      <c r="E51" s="1340" t="str">
        <f t="shared" si="6"/>
        <v>Waste - OB &amp; Thick Parting</v>
      </c>
      <c r="F51" s="1349" t="str">
        <f t="shared" si="6"/>
        <v>Top Soil</v>
      </c>
      <c r="G51" s="1349" t="str">
        <f t="shared" si="6"/>
        <v>Coal/Ore</v>
      </c>
      <c r="H51" s="1340" t="str">
        <f t="shared" si="6"/>
        <v>Miscelleneous (01)</v>
      </c>
      <c r="I51" s="1340" t="str">
        <f t="shared" si="6"/>
        <v>Miscelleneous (02)</v>
      </c>
      <c r="K51" s="209">
        <f>K49*Assumptions_Dashboard!D32</f>
        <v>3677252.7463783794</v>
      </c>
      <c r="L51" s="209"/>
    </row>
    <row r="52" spans="1:39">
      <c r="B52" s="1332" t="s">
        <v>1123</v>
      </c>
      <c r="C52" s="1341" t="s">
        <v>1124</v>
      </c>
      <c r="D52" s="1358">
        <f>VLOOKUP(Fleet!$C80,Equipment!$C$17:$V$20,Equipment!$H$1,FALSE)</f>
        <v>38.6</v>
      </c>
      <c r="E52" s="1345">
        <f>VLOOKUP(Fleet!$C75,Equipment!$C$17:$V$20,Equipment!$H$1,FALSE)</f>
        <v>100</v>
      </c>
      <c r="F52" s="1345">
        <f>VLOOKUP(Fleet!$C65,Equipment!$C$17:$V$20,Equipment!$H$1,FALSE)</f>
        <v>20</v>
      </c>
      <c r="G52" s="1345">
        <f>VLOOKUP(Fleet!$C80,Equipment!$C$17:$V$20,Equipment!$H$1,FALSE)</f>
        <v>38.6</v>
      </c>
      <c r="H52" s="1345">
        <f>VLOOKUP(Fleet!$C65,Equipment!$C$17:$V$20,Equipment!$H$1,FALSE)</f>
        <v>20</v>
      </c>
      <c r="I52" s="1345">
        <f>VLOOKUP(Fleet!$C65,Equipment!$C$17:$V$20,Equipment!$H$1,FALSE)</f>
        <v>20</v>
      </c>
    </row>
    <row r="53" spans="1:39">
      <c r="B53" s="1332" t="s">
        <v>1125</v>
      </c>
      <c r="C53" s="1341" t="s">
        <v>1126</v>
      </c>
      <c r="D53" s="1345">
        <f>VLOOKUP(Fleet!$C80,Equipment!$C$17:$V$20,Equipment!$I$1,FALSE)</f>
        <v>25.2</v>
      </c>
      <c r="E53" s="1345">
        <f>VLOOKUP(Fleet!$C75,Equipment!$C$17:$V$20,Equipment!$I$1,FALSE)</f>
        <v>60.1</v>
      </c>
      <c r="F53" s="1345">
        <f>VLOOKUP(Fleet!$C65,Equipment!$C$17:$V$20,Equipment!$I$1,FALSE)</f>
        <v>14</v>
      </c>
      <c r="G53" s="1345">
        <f>VLOOKUP(Fleet!$C80,Equipment!$C$17:$V$20,Equipment!$I$1,FALSE)</f>
        <v>25.2</v>
      </c>
      <c r="H53" s="1345">
        <f>VLOOKUP(Fleet!$C65,Equipment!$C$17:$V$20,Equipment!$I$1,FALSE)</f>
        <v>14</v>
      </c>
      <c r="I53" s="1345">
        <f>VLOOKUP(Fleet!$C65,Equipment!$C$17:$V$20,Equipment!$I$1,FALSE)</f>
        <v>14</v>
      </c>
    </row>
    <row r="54" spans="1:39">
      <c r="B54" s="1332" t="s">
        <v>1127</v>
      </c>
      <c r="C54" s="1341" t="s">
        <v>131</v>
      </c>
      <c r="D54" s="1344">
        <v>0.9</v>
      </c>
      <c r="E54" s="1359">
        <f>$D$54</f>
        <v>0.9</v>
      </c>
      <c r="F54" s="1359">
        <f t="shared" ref="F54:I54" si="7">$D$54</f>
        <v>0.9</v>
      </c>
      <c r="G54" s="1359">
        <f t="shared" si="7"/>
        <v>0.9</v>
      </c>
      <c r="H54" s="1359">
        <f t="shared" si="7"/>
        <v>0.9</v>
      </c>
      <c r="I54" s="1359">
        <f t="shared" si="7"/>
        <v>0.9</v>
      </c>
    </row>
    <row r="55" spans="1:39">
      <c r="B55" s="1332" t="s">
        <v>1128</v>
      </c>
      <c r="C55" s="1341" t="s">
        <v>1113</v>
      </c>
      <c r="D55" s="1345">
        <f>D53*D54/(1+Assumptions_Dashboard!$D$35)</f>
        <v>18.900000000000002</v>
      </c>
      <c r="E55" s="1345">
        <f>E53*E54/(1+Assumptions_Dashboard!$D$35)</f>
        <v>45.075000000000003</v>
      </c>
      <c r="F55" s="1345">
        <f>F53*F54/(1+Assumptions_Dashboard!$D$35)</f>
        <v>10.5</v>
      </c>
      <c r="G55" s="1345">
        <f>G53*G54/(1+Assumptions_Dashboard!$D$34)</f>
        <v>18.900000000000002</v>
      </c>
      <c r="H55" s="1345">
        <f>H53*H54/(1+Assumptions_Dashboard!$D$35)</f>
        <v>10.5</v>
      </c>
      <c r="I55" s="1345">
        <f>I53*I54/(1+Assumptions_Dashboard!$D$35)</f>
        <v>10.5</v>
      </c>
    </row>
    <row r="56" spans="1:39">
      <c r="B56" s="1332" t="s">
        <v>1129</v>
      </c>
      <c r="C56" s="1341" t="s">
        <v>1113</v>
      </c>
      <c r="D56" s="1345">
        <f>D52*D54/Assumptions_Dashboard!D33</f>
        <v>16.542857142857144</v>
      </c>
      <c r="E56" s="1345">
        <f>E52*E54/Assumptions_Dashboard!D33</f>
        <v>42.857142857142854</v>
      </c>
      <c r="F56" s="1345">
        <f>F52*F54/Assumptions_Dashboard!D33</f>
        <v>8.5714285714285712</v>
      </c>
      <c r="G56" s="1360">
        <f>G52*G54/Assumptions_Dashboard!D32</f>
        <v>20.197674418604652</v>
      </c>
      <c r="H56" s="1360">
        <f>H52*H54/Assumptions_Dashboard!D33</f>
        <v>8.5714285714285712</v>
      </c>
      <c r="I56" s="1360">
        <f>I52*I54/Assumptions_Dashboard!D33</f>
        <v>8.5714285714285712</v>
      </c>
    </row>
    <row r="57" spans="1:39">
      <c r="B57" s="1332" t="s">
        <v>1073</v>
      </c>
      <c r="C57" s="1341" t="s">
        <v>1074</v>
      </c>
      <c r="D57" s="1343">
        <v>30</v>
      </c>
      <c r="E57" s="1361">
        <f>$D$57</f>
        <v>30</v>
      </c>
      <c r="F57" s="1361">
        <f t="shared" ref="F57:I57" si="8">$D$57</f>
        <v>30</v>
      </c>
      <c r="G57" s="1361">
        <f t="shared" si="8"/>
        <v>30</v>
      </c>
      <c r="H57" s="1361">
        <f t="shared" si="8"/>
        <v>30</v>
      </c>
      <c r="I57" s="1361">
        <f t="shared" si="8"/>
        <v>30</v>
      </c>
      <c r="K57" s="210"/>
    </row>
    <row r="58" spans="1:39">
      <c r="B58" s="1332" t="s">
        <v>1130</v>
      </c>
      <c r="C58" s="1341" t="s">
        <v>1074</v>
      </c>
      <c r="D58" s="1343">
        <v>30</v>
      </c>
      <c r="E58" s="1345">
        <f>$D$58</f>
        <v>30</v>
      </c>
      <c r="F58" s="1345">
        <f t="shared" ref="F58:I58" si="9">$D$58</f>
        <v>30</v>
      </c>
      <c r="G58" s="1345">
        <f t="shared" si="9"/>
        <v>30</v>
      </c>
      <c r="H58" s="1345">
        <f t="shared" si="9"/>
        <v>30</v>
      </c>
      <c r="I58" s="1345">
        <f t="shared" si="9"/>
        <v>30</v>
      </c>
    </row>
    <row r="59" spans="1:39">
      <c r="B59" s="1332" t="s">
        <v>1075</v>
      </c>
      <c r="C59" s="1341" t="s">
        <v>1076</v>
      </c>
      <c r="D59" s="1343">
        <v>25</v>
      </c>
      <c r="E59" s="1361">
        <f>$D$59</f>
        <v>25</v>
      </c>
      <c r="F59" s="1361">
        <f t="shared" ref="F59:I59" si="10">$D$59</f>
        <v>25</v>
      </c>
      <c r="G59" s="1361">
        <f t="shared" si="10"/>
        <v>25</v>
      </c>
      <c r="H59" s="1361">
        <f t="shared" si="10"/>
        <v>25</v>
      </c>
      <c r="I59" s="1361">
        <f t="shared" si="10"/>
        <v>25</v>
      </c>
    </row>
    <row r="60" spans="1:39">
      <c r="B60" s="1337" t="s">
        <v>1077</v>
      </c>
      <c r="C60" s="1347" t="s">
        <v>1076</v>
      </c>
      <c r="D60" s="1362">
        <v>30</v>
      </c>
      <c r="E60" s="1363">
        <f>$D$60</f>
        <v>30</v>
      </c>
      <c r="F60" s="1363">
        <f t="shared" ref="F60:I60" si="11">$D$60</f>
        <v>30</v>
      </c>
      <c r="G60" s="1363">
        <f t="shared" si="11"/>
        <v>30</v>
      </c>
      <c r="H60" s="1363">
        <f t="shared" si="11"/>
        <v>30</v>
      </c>
      <c r="I60" s="1363">
        <f t="shared" si="11"/>
        <v>30</v>
      </c>
    </row>
    <row r="62" spans="1:39">
      <c r="D62" s="206"/>
      <c r="E62" s="532"/>
      <c r="F62" s="209"/>
      <c r="G62" s="209"/>
      <c r="H62" s="206"/>
    </row>
    <row r="63" spans="1:39">
      <c r="D63" s="185">
        <v>1</v>
      </c>
      <c r="E63" s="185">
        <v>2</v>
      </c>
      <c r="F63" s="185">
        <v>3</v>
      </c>
      <c r="G63" s="185">
        <v>4</v>
      </c>
      <c r="H63" s="185">
        <v>5</v>
      </c>
      <c r="I63" s="185">
        <v>6</v>
      </c>
      <c r="J63" s="185">
        <v>7</v>
      </c>
      <c r="K63" s="185">
        <v>8</v>
      </c>
      <c r="L63" s="185">
        <v>9</v>
      </c>
      <c r="M63" s="185">
        <v>10</v>
      </c>
      <c r="N63" s="185">
        <v>11</v>
      </c>
      <c r="O63" s="185">
        <v>12</v>
      </c>
      <c r="P63" s="185">
        <v>13</v>
      </c>
      <c r="Q63" s="185">
        <v>14</v>
      </c>
      <c r="R63" s="185">
        <v>15</v>
      </c>
      <c r="S63" s="185">
        <v>16</v>
      </c>
      <c r="T63" s="185">
        <v>17</v>
      </c>
      <c r="U63" s="185">
        <v>18</v>
      </c>
      <c r="V63" s="185">
        <v>19</v>
      </c>
      <c r="W63" s="185">
        <v>20</v>
      </c>
      <c r="X63" s="185">
        <v>21</v>
      </c>
      <c r="Y63" s="185">
        <v>22</v>
      </c>
      <c r="Z63" s="185">
        <v>23</v>
      </c>
      <c r="AA63" s="185">
        <v>24</v>
      </c>
      <c r="AB63" s="185">
        <v>25</v>
      </c>
      <c r="AC63" s="185">
        <v>26</v>
      </c>
      <c r="AD63" s="185">
        <v>27</v>
      </c>
      <c r="AE63" s="185">
        <v>28</v>
      </c>
      <c r="AF63" s="185">
        <v>29</v>
      </c>
      <c r="AG63" s="185">
        <v>30</v>
      </c>
      <c r="AH63" s="185">
        <v>31</v>
      </c>
      <c r="AI63" s="185">
        <v>32</v>
      </c>
      <c r="AJ63" s="185">
        <v>33</v>
      </c>
      <c r="AK63" s="185">
        <v>34</v>
      </c>
      <c r="AL63" s="185">
        <v>35</v>
      </c>
      <c r="AM63" s="185">
        <v>36</v>
      </c>
    </row>
    <row r="64" spans="1:39">
      <c r="A64" s="186"/>
      <c r="B64" s="1364" t="s">
        <v>34</v>
      </c>
      <c r="C64" s="1364" t="s">
        <v>88</v>
      </c>
      <c r="D64" s="1365">
        <v>-4</v>
      </c>
      <c r="E64" s="1365">
        <v>-3</v>
      </c>
      <c r="F64" s="1365">
        <v>-2</v>
      </c>
      <c r="G64" s="1365">
        <v>-1</v>
      </c>
      <c r="H64" s="1365">
        <v>1</v>
      </c>
      <c r="I64" s="1365">
        <v>2</v>
      </c>
      <c r="J64" s="1365">
        <v>3</v>
      </c>
      <c r="K64" s="1365">
        <v>4</v>
      </c>
      <c r="L64" s="1365">
        <v>5</v>
      </c>
      <c r="M64" s="1365">
        <v>6</v>
      </c>
      <c r="N64" s="1365">
        <v>7</v>
      </c>
      <c r="O64" s="1365">
        <v>8</v>
      </c>
      <c r="P64" s="1365">
        <v>9</v>
      </c>
      <c r="Q64" s="1365">
        <v>10</v>
      </c>
      <c r="R64" s="1365">
        <v>11</v>
      </c>
      <c r="S64" s="1365">
        <v>12</v>
      </c>
      <c r="T64" s="1365">
        <v>13</v>
      </c>
      <c r="U64" s="1365">
        <v>14</v>
      </c>
      <c r="V64" s="1365">
        <v>15</v>
      </c>
      <c r="W64" s="1365">
        <v>16</v>
      </c>
      <c r="X64" s="1365">
        <v>17</v>
      </c>
      <c r="Y64" s="1365">
        <v>18</v>
      </c>
      <c r="Z64" s="1365">
        <v>19</v>
      </c>
      <c r="AA64" s="1365">
        <v>20</v>
      </c>
      <c r="AB64" s="1365">
        <v>21</v>
      </c>
      <c r="AC64" s="1365">
        <v>22</v>
      </c>
      <c r="AD64" s="1365">
        <v>23</v>
      </c>
      <c r="AE64" s="1365">
        <v>24</v>
      </c>
      <c r="AF64" s="1365">
        <v>25</v>
      </c>
      <c r="AG64" s="1365">
        <v>26</v>
      </c>
      <c r="AH64" s="1365">
        <v>27</v>
      </c>
      <c r="AI64" s="1365">
        <v>28</v>
      </c>
      <c r="AJ64" s="1365">
        <v>29</v>
      </c>
      <c r="AK64" s="1365">
        <v>30</v>
      </c>
      <c r="AL64" s="1365">
        <v>31</v>
      </c>
      <c r="AM64" s="1366">
        <v>32</v>
      </c>
    </row>
    <row r="65" spans="1:39">
      <c r="A65" s="187" t="s">
        <v>698</v>
      </c>
      <c r="B65" s="1367" t="str">
        <f>G51</f>
        <v>Coal/Ore</v>
      </c>
      <c r="C65" s="1332"/>
      <c r="AM65" s="1368"/>
    </row>
    <row r="66" spans="1:39">
      <c r="A66" s="187"/>
      <c r="B66" s="1369" t="s">
        <v>1131</v>
      </c>
      <c r="C66" s="1332" t="s">
        <v>425</v>
      </c>
      <c r="D66" s="188">
        <f>'Production Schedule'!E23</f>
        <v>0</v>
      </c>
      <c r="E66" s="188">
        <f>'Production Schedule'!F23</f>
        <v>0</v>
      </c>
      <c r="F66" s="188">
        <f>'Production Schedule'!G23</f>
        <v>0</v>
      </c>
      <c r="G66" s="188">
        <f>'Production Schedule'!H23</f>
        <v>0</v>
      </c>
      <c r="H66" s="188">
        <f>'Production Schedule'!I23</f>
        <v>1.6</v>
      </c>
      <c r="I66" s="188">
        <f>'Production Schedule'!J23</f>
        <v>1.6</v>
      </c>
      <c r="J66" s="188">
        <f>'Production Schedule'!K23</f>
        <v>2</v>
      </c>
      <c r="K66" s="188">
        <f>'Production Schedule'!L23</f>
        <v>2.5</v>
      </c>
      <c r="L66" s="188">
        <f>'Production Schedule'!M23</f>
        <v>2.6</v>
      </c>
      <c r="M66" s="188">
        <f>'Production Schedule'!N23</f>
        <v>2.8</v>
      </c>
      <c r="N66" s="188">
        <f>'Production Schedule'!O23</f>
        <v>3</v>
      </c>
      <c r="O66" s="188">
        <f>'Production Schedule'!P23</f>
        <v>3.2</v>
      </c>
      <c r="P66" s="188">
        <f>'Production Schedule'!Q23</f>
        <v>3.4</v>
      </c>
      <c r="Q66" s="188">
        <f>'Production Schedule'!R23</f>
        <v>3.5</v>
      </c>
      <c r="R66" s="188">
        <f>'Production Schedule'!S23</f>
        <v>3.7</v>
      </c>
      <c r="S66" s="188">
        <f>'Production Schedule'!T23</f>
        <v>3.8</v>
      </c>
      <c r="T66" s="188">
        <f>'Production Schedule'!U23</f>
        <v>4</v>
      </c>
      <c r="U66" s="188">
        <f>'Production Schedule'!V23</f>
        <v>4.2</v>
      </c>
      <c r="V66" s="188">
        <f>'Production Schedule'!W23</f>
        <v>4.4000000000000004</v>
      </c>
      <c r="W66" s="188">
        <f>'Production Schedule'!X23</f>
        <v>4.4000000000000004</v>
      </c>
      <c r="X66" s="188">
        <f>'Production Schedule'!Y23</f>
        <v>4.4000000000000004</v>
      </c>
      <c r="Y66" s="188">
        <f>'Production Schedule'!Z23</f>
        <v>4.4000000000000004</v>
      </c>
      <c r="Z66" s="188">
        <f>'Production Schedule'!AA23</f>
        <v>4.4000000000000004</v>
      </c>
      <c r="AA66" s="188">
        <f>'Production Schedule'!AB23</f>
        <v>0</v>
      </c>
      <c r="AB66" s="188">
        <f>'Production Schedule'!AC23</f>
        <v>0</v>
      </c>
      <c r="AC66" s="188">
        <f>'Production Schedule'!AD23</f>
        <v>0</v>
      </c>
      <c r="AD66" s="188">
        <f>'Production Schedule'!AE23</f>
        <v>0</v>
      </c>
      <c r="AE66" s="188">
        <f>'Production Schedule'!AF23</f>
        <v>0</v>
      </c>
      <c r="AF66" s="188">
        <f>'Production Schedule'!AG23</f>
        <v>0</v>
      </c>
      <c r="AG66" s="188">
        <f>'Production Schedule'!AH23</f>
        <v>0</v>
      </c>
      <c r="AH66" s="188">
        <f>'Production Schedule'!AI23</f>
        <v>0</v>
      </c>
      <c r="AI66" s="188">
        <f>'Production Schedule'!AJ23</f>
        <v>0</v>
      </c>
      <c r="AJ66" s="188">
        <f>'Production Schedule'!AK23</f>
        <v>0</v>
      </c>
      <c r="AK66" s="188">
        <f>'Production Schedule'!AL23</f>
        <v>0</v>
      </c>
      <c r="AL66" s="188">
        <f>'Production Schedule'!AM23</f>
        <v>0</v>
      </c>
      <c r="AM66" s="188">
        <f>'Production Schedule'!AN23</f>
        <v>0</v>
      </c>
    </row>
    <row r="67" spans="1:39">
      <c r="A67" s="121"/>
      <c r="B67" s="1332" t="s">
        <v>1132</v>
      </c>
      <c r="C67" s="1341" t="s">
        <v>1119</v>
      </c>
      <c r="D67" s="189">
        <f>IF(D$64&lt;=0,0,(D66/$G$59+D66/$G$60)*60)</f>
        <v>0</v>
      </c>
      <c r="E67" s="189">
        <f t="shared" ref="E67:G67" si="12">IF(E$64&lt;=0,0,(E66/$G$59+E66/$G$60)*60)</f>
        <v>0</v>
      </c>
      <c r="F67" s="189">
        <f t="shared" si="12"/>
        <v>0</v>
      </c>
      <c r="G67" s="189">
        <f t="shared" si="12"/>
        <v>0</v>
      </c>
      <c r="H67" s="189">
        <f>IF(H$64&lt;=0,0,(H66/$G$59+H66/$G$60)*60)</f>
        <v>7.0400000000000009</v>
      </c>
      <c r="I67" s="189">
        <f>IF(I$64&lt;=0,0,(I66/$G$59+I66/$G$60)*60)</f>
        <v>7.0400000000000009</v>
      </c>
      <c r="J67" s="189">
        <f t="shared" ref="J67" si="13">IF(J$64&lt;=0,0,(J66/$G$59+J66/$G$60)*60)</f>
        <v>8.8000000000000007</v>
      </c>
      <c r="K67" s="189">
        <f>IF(K$64&lt;=0,0,(K66/$G$59+K66/$G$60)*60)</f>
        <v>11</v>
      </c>
      <c r="L67" s="189">
        <f t="shared" ref="L67" si="14">IF(L$64&lt;=0,0,(L66/$G$59+L66/$G$60)*60)</f>
        <v>11.440000000000001</v>
      </c>
      <c r="M67" s="189">
        <f t="shared" ref="M67" si="15">IF(M$64&lt;=0,0,(M66/$G$59+M66/$G$60)*60)</f>
        <v>12.319999999999999</v>
      </c>
      <c r="N67" s="189">
        <f t="shared" ref="N67" si="16">IF(N$64&lt;=0,0,(N66/$G$59+N66/$G$60)*60)</f>
        <v>13.2</v>
      </c>
      <c r="O67" s="189">
        <f t="shared" ref="O67" si="17">IF(O$64&lt;=0,0,(O66/$G$59+O66/$G$60)*60)</f>
        <v>14.080000000000002</v>
      </c>
      <c r="P67" s="189">
        <f t="shared" ref="P67" si="18">IF(P$64&lt;=0,0,(P66/$G$59+P66/$G$60)*60)</f>
        <v>14.96</v>
      </c>
      <c r="Q67" s="189">
        <f t="shared" ref="Q67" si="19">IF(Q$64&lt;=0,0,(Q66/$G$59+Q66/$G$60)*60)</f>
        <v>15.400000000000002</v>
      </c>
      <c r="R67" s="189">
        <f t="shared" ref="R67" si="20">IF(R$64&lt;=0,0,(R66/$G$59+R66/$G$60)*60)</f>
        <v>16.28</v>
      </c>
      <c r="S67" s="189">
        <f t="shared" ref="S67" si="21">IF(S$64&lt;=0,0,(S66/$G$59+S66/$G$60)*60)</f>
        <v>16.72</v>
      </c>
      <c r="T67" s="189">
        <f t="shared" ref="T67" si="22">IF(T$64&lt;=0,0,(T66/$G$59+T66/$G$60)*60)</f>
        <v>17.600000000000001</v>
      </c>
      <c r="U67" s="711">
        <f t="shared" ref="U67" si="23">IF(U$64&lt;=0,0,(U66/$G$59+U66/$G$60)*60)</f>
        <v>18.480000000000004</v>
      </c>
      <c r="V67" s="711">
        <f t="shared" ref="V67" si="24">IF(V$64&lt;=0,0,(V66/$G$59+V66/$G$60)*60)</f>
        <v>19.36</v>
      </c>
      <c r="W67" s="189">
        <f t="shared" ref="W67" si="25">IF(W$64&lt;=0,0,(W66/$G$59+W66/$G$60)*60)</f>
        <v>19.36</v>
      </c>
      <c r="X67" s="189">
        <f t="shared" ref="X67" si="26">IF(X$64&lt;=0,0,(X66/$G$59+X66/$G$60)*60)</f>
        <v>19.36</v>
      </c>
      <c r="Y67" s="189">
        <f t="shared" ref="Y67" si="27">IF(Y$64&lt;=0,0,(Y66/$G$59+Y66/$G$60)*60)</f>
        <v>19.36</v>
      </c>
      <c r="Z67" s="189">
        <f t="shared" ref="Z67" si="28">IF(Z$64&lt;=0,0,(Z66/$G$59+Z66/$G$60)*60)</f>
        <v>19.36</v>
      </c>
      <c r="AA67" s="189">
        <f t="shared" ref="AA67" si="29">IF(AA$64&lt;=0,0,(AA66/$G$59+AA66/$G$60)*60)</f>
        <v>0</v>
      </c>
      <c r="AB67" s="189">
        <f t="shared" ref="AB67" si="30">IF(AB$64&lt;=0,0,(AB66/$G$59+AB66/$G$60)*60)</f>
        <v>0</v>
      </c>
      <c r="AC67" s="189">
        <f t="shared" ref="AC67" si="31">IF(AC$64&lt;=0,0,(AC66/$G$59+AC66/$G$60)*60)</f>
        <v>0</v>
      </c>
      <c r="AD67" s="189">
        <f t="shared" ref="AD67" si="32">IF(AD$64&lt;=0,0,(AD66/$G$59+AD66/$G$60)*60)</f>
        <v>0</v>
      </c>
      <c r="AE67" s="189">
        <f t="shared" ref="AE67" si="33">IF(AE$64&lt;=0,0,(AE66/$G$59+AE66/$G$60)*60)</f>
        <v>0</v>
      </c>
      <c r="AF67" s="189">
        <f t="shared" ref="AF67" si="34">IF(AF$64&lt;=0,0,(AF66/$G$59+AF66/$G$60)*60)</f>
        <v>0</v>
      </c>
      <c r="AG67" s="189">
        <f t="shared" ref="AG67" si="35">IF(AG$64&lt;=0,0,(AG66/$G$59+AG66/$G$60)*60)</f>
        <v>0</v>
      </c>
      <c r="AH67" s="189">
        <f t="shared" ref="AH67" si="36">IF(AH$64&lt;=0,0,(AH66/$G$59+AH66/$G$60)*60)</f>
        <v>0</v>
      </c>
      <c r="AI67" s="189">
        <f t="shared" ref="AI67" si="37">IF(AI$64&lt;=0,0,(AI66/$G$59+AI66/$G$60)*60)</f>
        <v>0</v>
      </c>
      <c r="AJ67" s="189">
        <f t="shared" ref="AJ67" si="38">IF(AJ$64&lt;=0,0,(AJ66/$G$59+AJ66/$G$60)*60)</f>
        <v>0</v>
      </c>
      <c r="AK67" s="189">
        <f t="shared" ref="AK67" si="39">IF(AK$64&lt;=0,0,(AK66/$G$59+AK66/$G$60)*60)</f>
        <v>0</v>
      </c>
      <c r="AL67" s="189">
        <f>IF(AL$64&lt;=0,0,(AL66/$G$59+AL66/$G$60)*60)</f>
        <v>0</v>
      </c>
      <c r="AM67" s="189">
        <f t="shared" ref="AM67" si="40">IF(AM$64&lt;=0,0,(AM66/$G$59+AM66/$G$60)*60)</f>
        <v>0</v>
      </c>
    </row>
    <row r="68" spans="1:39">
      <c r="A68" s="121"/>
      <c r="B68" s="1332" t="s">
        <v>1133</v>
      </c>
      <c r="C68" s="1341" t="s">
        <v>1119</v>
      </c>
      <c r="D68" s="190">
        <f>IF(D$67=0,0,D67+$G$47+($G$57+$G$58)/60)</f>
        <v>0</v>
      </c>
      <c r="E68" s="190">
        <f t="shared" ref="E68:AM68" si="41">IF(E$67=0,0,E67+$G$47+($G$57+$G$58)/60)</f>
        <v>0</v>
      </c>
      <c r="F68" s="190">
        <f t="shared" si="41"/>
        <v>0</v>
      </c>
      <c r="G68" s="190">
        <f t="shared" si="41"/>
        <v>0</v>
      </c>
      <c r="H68" s="190">
        <f>IF(H$67=0,0,H67+$G$47+($G$57+$G$58)/60)</f>
        <v>11.706666666666667</v>
      </c>
      <c r="I68" s="190">
        <f t="shared" si="41"/>
        <v>11.706666666666667</v>
      </c>
      <c r="J68" s="190">
        <f t="shared" si="41"/>
        <v>13.466666666666667</v>
      </c>
      <c r="K68" s="190">
        <f t="shared" si="41"/>
        <v>15.666666666666666</v>
      </c>
      <c r="L68" s="190">
        <f t="shared" si="41"/>
        <v>16.106666666666669</v>
      </c>
      <c r="M68" s="190">
        <f t="shared" si="41"/>
        <v>16.986666666666665</v>
      </c>
      <c r="N68" s="190">
        <f t="shared" si="41"/>
        <v>17.866666666666667</v>
      </c>
      <c r="O68" s="190">
        <f t="shared" si="41"/>
        <v>18.74666666666667</v>
      </c>
      <c r="P68" s="190">
        <f t="shared" si="41"/>
        <v>19.626666666666669</v>
      </c>
      <c r="Q68" s="190">
        <f t="shared" si="41"/>
        <v>20.06666666666667</v>
      </c>
      <c r="R68" s="190">
        <f t="shared" si="41"/>
        <v>20.946666666666669</v>
      </c>
      <c r="S68" s="190">
        <f t="shared" si="41"/>
        <v>21.386666666666667</v>
      </c>
      <c r="T68" s="190">
        <f t="shared" si="41"/>
        <v>22.266666666666669</v>
      </c>
      <c r="U68" s="190">
        <f t="shared" si="41"/>
        <v>23.146666666666672</v>
      </c>
      <c r="V68" s="190">
        <f t="shared" si="41"/>
        <v>24.026666666666667</v>
      </c>
      <c r="W68" s="190">
        <f t="shared" si="41"/>
        <v>24.026666666666667</v>
      </c>
      <c r="X68" s="190">
        <f t="shared" si="41"/>
        <v>24.026666666666667</v>
      </c>
      <c r="Y68" s="190">
        <f t="shared" si="41"/>
        <v>24.026666666666667</v>
      </c>
      <c r="Z68" s="190">
        <f t="shared" si="41"/>
        <v>24.026666666666667</v>
      </c>
      <c r="AA68" s="190">
        <f t="shared" si="41"/>
        <v>0</v>
      </c>
      <c r="AB68" s="190">
        <f t="shared" si="41"/>
        <v>0</v>
      </c>
      <c r="AC68" s="190">
        <f t="shared" si="41"/>
        <v>0</v>
      </c>
      <c r="AD68" s="190">
        <f t="shared" si="41"/>
        <v>0</v>
      </c>
      <c r="AE68" s="190">
        <f t="shared" si="41"/>
        <v>0</v>
      </c>
      <c r="AF68" s="190">
        <f t="shared" si="41"/>
        <v>0</v>
      </c>
      <c r="AG68" s="190">
        <f t="shared" si="41"/>
        <v>0</v>
      </c>
      <c r="AH68" s="190">
        <f t="shared" si="41"/>
        <v>0</v>
      </c>
      <c r="AI68" s="190">
        <f t="shared" si="41"/>
        <v>0</v>
      </c>
      <c r="AJ68" s="190">
        <f t="shared" si="41"/>
        <v>0</v>
      </c>
      <c r="AK68" s="190">
        <f t="shared" si="41"/>
        <v>0</v>
      </c>
      <c r="AL68" s="190">
        <f t="shared" si="41"/>
        <v>0</v>
      </c>
      <c r="AM68" s="1370">
        <f t="shared" si="41"/>
        <v>0</v>
      </c>
    </row>
    <row r="69" spans="1:39">
      <c r="A69" s="121"/>
      <c r="B69" s="1332" t="s">
        <v>1134</v>
      </c>
      <c r="C69" s="1341" t="s">
        <v>740</v>
      </c>
      <c r="D69" s="189">
        <f>IFERROR(ROUNDDOWN(VLOOKUP(Fleet!$C$80,Equipment!$C$17:$V$20,Equipment!$M$1,FALSE)*60/D68,0),0)</f>
        <v>0</v>
      </c>
      <c r="E69" s="189">
        <f>IFERROR(ROUNDDOWN(VLOOKUP(Fleet!$C$80,Equipment!$C$17:$V$20,Equipment!$M$1,FALSE)*60/E68,0),0)</f>
        <v>0</v>
      </c>
      <c r="F69" s="189">
        <f>IFERROR(ROUNDDOWN(VLOOKUP(Fleet!$C$80,Equipment!$C$17:$V$20,Equipment!$M$1,FALSE)*60/F68,0),0)</f>
        <v>0</v>
      </c>
      <c r="G69" s="189">
        <f>IFERROR(ROUNDDOWN(VLOOKUP(Fleet!$C$80,Equipment!$C$17:$V$20,Equipment!$M$1,FALSE)*60/G68,0),0)</f>
        <v>0</v>
      </c>
      <c r="H69" s="189">
        <f>IFERROR(ROUNDDOWN(VLOOKUP(Fleet!$C$80,Equipment!$C$17:$V$20,Equipment!$M$1,FALSE)*60/H68,0),0)</f>
        <v>73</v>
      </c>
      <c r="I69" s="189">
        <f>IFERROR(ROUNDDOWN(VLOOKUP(Fleet!$C$80,Equipment!$C$17:$V$20,Equipment!$M$1,FALSE)*60/I68,0),0)</f>
        <v>73</v>
      </c>
      <c r="J69" s="189">
        <f>IFERROR(ROUNDDOWN(VLOOKUP(Fleet!$C$80,Equipment!$C$17:$V$20,Equipment!$M$1,FALSE)*60/J68,0),0)</f>
        <v>64</v>
      </c>
      <c r="K69" s="189">
        <f>IFERROR(ROUNDDOWN(VLOOKUP(Fleet!$C$80,Equipment!$C$17:$V$20,Equipment!$M$1,FALSE)*60/K68,0),0)</f>
        <v>55</v>
      </c>
      <c r="L69" s="189">
        <f>IFERROR(ROUNDDOWN(VLOOKUP(Fleet!$C$80,Equipment!$C$17:$V$20,Equipment!$M$1,FALSE)*60/L68,0),0)</f>
        <v>53</v>
      </c>
      <c r="M69" s="189">
        <f>IFERROR(ROUNDDOWN(VLOOKUP(Fleet!$C$80,Equipment!$C$17:$V$20,Equipment!$M$1,FALSE)*60/M68,0),0)</f>
        <v>50</v>
      </c>
      <c r="N69" s="189">
        <f>IFERROR(ROUNDDOWN(VLOOKUP(Fleet!$C$80,Equipment!$C$17:$V$20,Equipment!$M$1,FALSE)*60/N68,0),0)</f>
        <v>48</v>
      </c>
      <c r="O69" s="189">
        <f>IFERROR(ROUNDDOWN(VLOOKUP(Fleet!$C$80,Equipment!$C$17:$V$20,Equipment!$M$1,FALSE)*60/O68,0),0)</f>
        <v>46</v>
      </c>
      <c r="P69" s="189">
        <f>IFERROR(ROUNDDOWN(VLOOKUP(Fleet!$C$80,Equipment!$C$17:$V$20,Equipment!$M$1,FALSE)*60/P68,0),0)</f>
        <v>44</v>
      </c>
      <c r="Q69" s="189">
        <f>IFERROR(ROUNDDOWN(VLOOKUP(Fleet!$C$80,Equipment!$C$17:$V$20,Equipment!$M$1,FALSE)*60/Q68,0),0)</f>
        <v>43</v>
      </c>
      <c r="R69" s="189">
        <f>IFERROR(ROUNDDOWN(VLOOKUP(Fleet!$C$80,Equipment!$C$17:$V$20,Equipment!$M$1,FALSE)*60/R68,0),0)</f>
        <v>41</v>
      </c>
      <c r="S69" s="189">
        <f>IFERROR(ROUNDDOWN(VLOOKUP(Fleet!$C$80,Equipment!$C$17:$V$20,Equipment!$M$1,FALSE)*60/S68,0),0)</f>
        <v>40</v>
      </c>
      <c r="T69" s="189">
        <f>IFERROR(ROUNDDOWN(VLOOKUP(Fleet!$C$80,Equipment!$C$17:$V$20,Equipment!$M$1,FALSE)*60/T68,0),0)</f>
        <v>38</v>
      </c>
      <c r="U69" s="711">
        <f>IFERROR(ROUNDDOWN(VLOOKUP(Fleet!$C$80,Equipment!$C$17:$V$20,Equipment!$M$1,FALSE)*60/U68,0),0)</f>
        <v>37</v>
      </c>
      <c r="V69" s="711">
        <f>IFERROR(ROUNDDOWN(VLOOKUP(Fleet!$C$80,Equipment!$C$17:$V$20,Equipment!$M$1,FALSE)*60/V68,0),0)</f>
        <v>35</v>
      </c>
      <c r="W69" s="189">
        <f>IFERROR(ROUNDDOWN(VLOOKUP(Fleet!$C$80,Equipment!$C$17:$V$20,Equipment!$M$1,FALSE)*60/W68,0),0)</f>
        <v>35</v>
      </c>
      <c r="X69" s="189">
        <f>IFERROR(ROUNDDOWN(VLOOKUP(Fleet!$C$80,Equipment!$C$17:$V$20,Equipment!$M$1,FALSE)*60/X68,0),0)</f>
        <v>35</v>
      </c>
      <c r="Y69" s="189">
        <f>IFERROR(ROUNDDOWN(VLOOKUP(Fleet!$C$80,Equipment!$C$17:$V$20,Equipment!$M$1,FALSE)*60/Y68,0),0)</f>
        <v>35</v>
      </c>
      <c r="Z69" s="189">
        <f>IFERROR(ROUNDDOWN(VLOOKUP(Fleet!$C$80,Equipment!$C$17:$V$20,Equipment!$M$1,FALSE)*60/Z68,0),0)</f>
        <v>35</v>
      </c>
      <c r="AA69" s="189">
        <f>IFERROR(ROUNDDOWN(VLOOKUP(Fleet!$C$80,Equipment!$C$17:$V$20,Equipment!$M$1,FALSE)*60/AA68,0),0)</f>
        <v>0</v>
      </c>
      <c r="AB69" s="189">
        <f>IFERROR(ROUNDDOWN(VLOOKUP(Fleet!$C$80,Equipment!$C$17:$V$20,Equipment!$M$1,FALSE)*60/AB68,0),0)</f>
        <v>0</v>
      </c>
      <c r="AC69" s="189">
        <f>IFERROR(ROUNDDOWN(VLOOKUP(Fleet!$C$80,Equipment!$C$17:$V$20,Equipment!$M$1,FALSE)*60/AC68,0),0)</f>
        <v>0</v>
      </c>
      <c r="AD69" s="189">
        <f>IFERROR(ROUNDDOWN(VLOOKUP(Fleet!$C$80,Equipment!$C$17:$V$20,Equipment!$M$1,FALSE)*60/AD68,0),0)</f>
        <v>0</v>
      </c>
      <c r="AE69" s="189">
        <f>IFERROR(ROUNDDOWN(VLOOKUP(Fleet!$C$80,Equipment!$C$17:$V$20,Equipment!$M$1,FALSE)*60/AE68,0),0)</f>
        <v>0</v>
      </c>
      <c r="AF69" s="189">
        <f>IFERROR(ROUNDDOWN(VLOOKUP(Fleet!$C$80,Equipment!$C$17:$V$20,Equipment!$M$1,FALSE)*60/AF68,0),0)</f>
        <v>0</v>
      </c>
      <c r="AG69" s="189">
        <f>IFERROR(ROUNDDOWN(VLOOKUP(Fleet!$C$80,Equipment!$C$17:$V$20,Equipment!$M$1,FALSE)*60/AG68,0),0)</f>
        <v>0</v>
      </c>
      <c r="AH69" s="189">
        <f>IFERROR(ROUNDDOWN(VLOOKUP(Fleet!$C$80,Equipment!$C$17:$V$20,Equipment!$M$1,FALSE)*60/AH68,0),0)</f>
        <v>0</v>
      </c>
      <c r="AI69" s="189">
        <f>IFERROR(ROUNDDOWN(VLOOKUP(Fleet!$C$80,Equipment!$C$17:$V$20,Equipment!$M$1,FALSE)*60/AI68,0),0)</f>
        <v>0</v>
      </c>
      <c r="AJ69" s="189">
        <f>IFERROR(ROUNDDOWN(VLOOKUP(Fleet!$C$80,Equipment!$C$17:$V$20,Equipment!$M$1,FALSE)*60/AJ68,0),0)</f>
        <v>0</v>
      </c>
      <c r="AK69" s="189">
        <f>IFERROR(ROUNDDOWN(VLOOKUP(Fleet!$C$80,Equipment!$C$17:$V$20,Equipment!$M$1,FALSE)*60/AK68,0),0)</f>
        <v>0</v>
      </c>
      <c r="AL69" s="189">
        <f>IFERROR(ROUNDDOWN(VLOOKUP(Fleet!$C$80,Equipment!$C$17:$V$20,Equipment!$M$1,FALSE)*60/AL68,0),0)</f>
        <v>0</v>
      </c>
      <c r="AM69" s="189">
        <f>IFERROR(ROUNDDOWN(VLOOKUP(Fleet!$C$80,Equipment!$C$17:$V$20,Equipment!$M$1,FALSE)*60/AM68,0),0)</f>
        <v>0</v>
      </c>
    </row>
    <row r="70" spans="1:39">
      <c r="A70" s="121"/>
      <c r="B70" s="1337" t="s">
        <v>1135</v>
      </c>
      <c r="C70" s="1347" t="s">
        <v>1136</v>
      </c>
      <c r="D70" s="1371">
        <f>D69*MIN($G$55:$G$56)*Assumptions_Dashboard!$D$28</f>
        <v>0</v>
      </c>
      <c r="E70" s="1371">
        <f>E69*MIN($G$55:$G$56)*Assumptions_Dashboard!$D$28</f>
        <v>0</v>
      </c>
      <c r="F70" s="1371">
        <f>F69*MIN($G$55:$G$56)*Assumptions_Dashboard!$D$28</f>
        <v>0</v>
      </c>
      <c r="G70" s="1371">
        <f>G69*MIN($G$55:$G$56)*Assumptions_Dashboard!$D$28</f>
        <v>0</v>
      </c>
      <c r="H70" s="1371">
        <f>H69*MIN($G$55:$G$56)*Assumptions_Dashboard!$D$28</f>
        <v>455301</v>
      </c>
      <c r="I70" s="1371">
        <f>I69*MIN($G$55:$G$56)*Assumptions_Dashboard!$D$28</f>
        <v>455301</v>
      </c>
      <c r="J70" s="1371">
        <f>J69*MIN($G$55:$G$56)*Assumptions_Dashboard!$D$28</f>
        <v>399168.00000000006</v>
      </c>
      <c r="K70" s="1371">
        <f>K69*MIN($G$55:$G$56)*Assumptions_Dashboard!$D$28</f>
        <v>343035.00000000006</v>
      </c>
      <c r="L70" s="1371">
        <f>L69*MIN($G$55:$G$56)*Assumptions_Dashboard!$D$28</f>
        <v>330561.00000000006</v>
      </c>
      <c r="M70" s="1371">
        <f>M69*MIN($G$55:$G$56)*Assumptions_Dashboard!$D$28</f>
        <v>311850.00000000006</v>
      </c>
      <c r="N70" s="1371">
        <f>N69*MIN($G$55:$G$56)*Assumptions_Dashboard!$D$28</f>
        <v>299376</v>
      </c>
      <c r="O70" s="1371">
        <f>O69*MIN($G$55:$G$56)*Assumptions_Dashboard!$D$28</f>
        <v>286902.00000000006</v>
      </c>
      <c r="P70" s="1371">
        <f>P69*MIN($G$55:$G$56)*Assumptions_Dashboard!$D$28</f>
        <v>274428.00000000006</v>
      </c>
      <c r="Q70" s="1371">
        <f>Q69*MIN($G$55:$G$56)*Assumptions_Dashboard!$D$28</f>
        <v>268191</v>
      </c>
      <c r="R70" s="1371">
        <f>R69*MIN($G$55:$G$56)*Assumptions_Dashboard!$D$28</f>
        <v>255717.00000000003</v>
      </c>
      <c r="S70" s="1371">
        <f>S69*MIN($G$55:$G$56)*Assumptions_Dashboard!$D$28</f>
        <v>249480.00000000003</v>
      </c>
      <c r="T70" s="1371">
        <f>T69*MIN($G$55:$G$56)*Assumptions_Dashboard!$D$28</f>
        <v>237006.00000000003</v>
      </c>
      <c r="U70" s="1372">
        <f>U69*MIN($G$55:$G$56)*Assumptions_Dashboard!$D$28</f>
        <v>230769.00000000003</v>
      </c>
      <c r="V70" s="1372">
        <f>V69*MIN($G$55:$G$56)*Assumptions_Dashboard!$D$28</f>
        <v>218295.00000000003</v>
      </c>
      <c r="W70" s="1371">
        <f>W69*MIN($G$55:$G$56)*Assumptions_Dashboard!$D$28</f>
        <v>218295.00000000003</v>
      </c>
      <c r="X70" s="1371">
        <f>X69*MIN($G$55:$G$56)*Assumptions_Dashboard!$D$28</f>
        <v>218295.00000000003</v>
      </c>
      <c r="Y70" s="1371">
        <f>Y69*MIN($G$55:$G$56)*Assumptions_Dashboard!$D$28</f>
        <v>218295.00000000003</v>
      </c>
      <c r="Z70" s="1371">
        <f>Z69*MIN($G$55:$G$56)*Assumptions_Dashboard!$D$28</f>
        <v>218295.00000000003</v>
      </c>
      <c r="AA70" s="1371">
        <f>AA69*MIN($G$55:$G$56)*Assumptions_Dashboard!$D$28</f>
        <v>0</v>
      </c>
      <c r="AB70" s="1371">
        <f>AB69*MIN($G$55:$G$56)*Assumptions_Dashboard!$D$28</f>
        <v>0</v>
      </c>
      <c r="AC70" s="1371">
        <f>AC69*MIN($G$55:$G$56)*Assumptions_Dashboard!$D$28</f>
        <v>0</v>
      </c>
      <c r="AD70" s="1371">
        <f>AD69*MIN($G$55:$G$56)*Assumptions_Dashboard!$D$28</f>
        <v>0</v>
      </c>
      <c r="AE70" s="1371">
        <f>AE69*MIN($G$55:$G$56)*Assumptions_Dashboard!$D$28</f>
        <v>0</v>
      </c>
      <c r="AF70" s="1371">
        <f>AF69*MIN($G$55:$G$56)*Assumptions_Dashboard!$D$28</f>
        <v>0</v>
      </c>
      <c r="AG70" s="1371">
        <f>AG69*MIN($G$55:$G$56)*Assumptions_Dashboard!$D$28</f>
        <v>0</v>
      </c>
      <c r="AH70" s="1371">
        <f>AH69*MIN($G$55:$G$56)*Assumptions_Dashboard!$D$28</f>
        <v>0</v>
      </c>
      <c r="AI70" s="1371">
        <f>AI69*MIN($G$55:$G$56)*Assumptions_Dashboard!$D$28</f>
        <v>0</v>
      </c>
      <c r="AJ70" s="1371">
        <f>AJ69*MIN($G$55:$G$56)*Assumptions_Dashboard!$D$28</f>
        <v>0</v>
      </c>
      <c r="AK70" s="1371">
        <f>AK69*MIN($G$55:$G$56)*Assumptions_Dashboard!$D$28</f>
        <v>0</v>
      </c>
      <c r="AL70" s="1371">
        <f>AL69*MIN($G$55:$G$56)*Assumptions_Dashboard!$D$28</f>
        <v>0</v>
      </c>
      <c r="AM70" s="1371">
        <f>AM69*MIN($G$55:$G$56)*Assumptions_Dashboard!$D$28</f>
        <v>0</v>
      </c>
    </row>
    <row r="71" spans="1:39">
      <c r="A71" s="187" t="s">
        <v>1137</v>
      </c>
      <c r="B71" s="1367" t="str">
        <f>A71</f>
        <v>Coal- Rehandle</v>
      </c>
      <c r="C71" s="1332"/>
      <c r="AM71" s="1373"/>
    </row>
    <row r="72" spans="1:39">
      <c r="A72" s="187"/>
      <c r="B72" s="1369" t="s">
        <v>1131</v>
      </c>
      <c r="C72" s="1332" t="s">
        <v>425</v>
      </c>
      <c r="D72" s="188">
        <f>'Production Schedule'!I24</f>
        <v>1.4757639816533545</v>
      </c>
      <c r="E72" s="188">
        <f>'Production Schedule'!J24</f>
        <v>1.8169713233676761</v>
      </c>
      <c r="F72" s="188">
        <f>'Production Schedule'!K24</f>
        <v>1.7860171818200261</v>
      </c>
      <c r="G72" s="188">
        <f>'Production Schedule'!L24</f>
        <v>1.5927860719688907</v>
      </c>
      <c r="H72" s="188">
        <f>'Production Schedule'!M24</f>
        <v>1.2863678700347738</v>
      </c>
      <c r="I72" s="188">
        <f>'Production Schedule'!N24</f>
        <v>1.429094296027819</v>
      </c>
      <c r="J72" s="188">
        <f>'Production Schedule'!O24</f>
        <v>1.5718207220208642</v>
      </c>
      <c r="K72" s="188">
        <f>'Production Schedule'!P24</f>
        <v>1.7145471480139094</v>
      </c>
      <c r="L72" s="188">
        <f>'Production Schedule'!Q24</f>
        <v>1.8572735740069546</v>
      </c>
      <c r="M72" s="188">
        <f>'Production Schedule'!R24</f>
        <v>2</v>
      </c>
      <c r="N72" s="188">
        <f>'Production Schedule'!S24</f>
        <v>1.96</v>
      </c>
      <c r="O72" s="188">
        <f>'Production Schedule'!T24</f>
        <v>1.92</v>
      </c>
      <c r="P72" s="188">
        <f>'Production Schedule'!U24</f>
        <v>1.88</v>
      </c>
      <c r="Q72" s="188">
        <f>'Production Schedule'!V24</f>
        <v>1.8399999999999999</v>
      </c>
      <c r="R72" s="188">
        <f>'Production Schedule'!W24</f>
        <v>1.8</v>
      </c>
      <c r="S72" s="188">
        <f>'Production Schedule'!X24</f>
        <v>1.74</v>
      </c>
      <c r="T72" s="188">
        <f>'Production Schedule'!Y24</f>
        <v>1.68</v>
      </c>
      <c r="U72" s="188">
        <f>'Production Schedule'!Z24</f>
        <v>1.6199999999999999</v>
      </c>
      <c r="V72" s="188">
        <f>'Production Schedule'!AA24</f>
        <v>1.5</v>
      </c>
      <c r="W72" s="188">
        <f>'Production Schedule'!AB24</f>
        <v>0</v>
      </c>
      <c r="X72" s="188">
        <f>'Production Schedule'!AC24</f>
        <v>0</v>
      </c>
      <c r="Y72" s="188">
        <f>'Production Schedule'!AD24</f>
        <v>0</v>
      </c>
      <c r="Z72" s="188">
        <f>'Production Schedule'!AE24</f>
        <v>0</v>
      </c>
      <c r="AA72" s="188">
        <f>'Production Schedule'!AF24</f>
        <v>0</v>
      </c>
      <c r="AB72" s="188">
        <f>'Production Schedule'!AG24</f>
        <v>0</v>
      </c>
      <c r="AC72" s="188">
        <f>'Production Schedule'!AH24</f>
        <v>0</v>
      </c>
      <c r="AD72" s="188">
        <f>'Production Schedule'!AI24</f>
        <v>0</v>
      </c>
      <c r="AE72" s="188">
        <f>'Production Schedule'!AJ24</f>
        <v>0</v>
      </c>
      <c r="AF72" s="188">
        <f>'Production Schedule'!AK24</f>
        <v>0</v>
      </c>
      <c r="AG72" s="188">
        <f>'Production Schedule'!AL24</f>
        <v>0</v>
      </c>
      <c r="AH72" s="188">
        <f>'Production Schedule'!AM24</f>
        <v>0</v>
      </c>
      <c r="AI72" s="188">
        <f>'Production Schedule'!AN24</f>
        <v>0</v>
      </c>
      <c r="AJ72" s="188">
        <f>'Production Schedule'!AO24</f>
        <v>0</v>
      </c>
      <c r="AK72" s="188">
        <f>'Production Schedule'!AP24</f>
        <v>0</v>
      </c>
      <c r="AL72" s="188">
        <f>'Production Schedule'!AQ24</f>
        <v>0</v>
      </c>
      <c r="AM72" s="188">
        <f>'Production Schedule'!AR24</f>
        <v>0</v>
      </c>
    </row>
    <row r="73" spans="1:39">
      <c r="A73" s="121"/>
      <c r="B73" s="1332" t="s">
        <v>1132</v>
      </c>
      <c r="C73" s="1341" t="s">
        <v>1119</v>
      </c>
      <c r="D73" s="189">
        <f>IF(D$64&lt;=0,0,(D72/$G$59+D72/$G$60)*60)</f>
        <v>0</v>
      </c>
      <c r="E73" s="189">
        <f t="shared" ref="E73:AM73" si="42">IF(E$64&lt;=0,0,(E72/$G$59+E72/$G$60)*60)</f>
        <v>0</v>
      </c>
      <c r="F73" s="189">
        <f t="shared" si="42"/>
        <v>0</v>
      </c>
      <c r="G73" s="189">
        <f t="shared" si="42"/>
        <v>0</v>
      </c>
      <c r="H73" s="189">
        <f t="shared" si="42"/>
        <v>5.6600186281530043</v>
      </c>
      <c r="I73" s="189">
        <f t="shared" si="42"/>
        <v>6.288014902522403</v>
      </c>
      <c r="J73" s="189">
        <f t="shared" si="42"/>
        <v>6.9160111768918027</v>
      </c>
      <c r="K73" s="189">
        <f t="shared" si="42"/>
        <v>7.5440074512612014</v>
      </c>
      <c r="L73" s="189">
        <f t="shared" si="42"/>
        <v>8.1720037256305993</v>
      </c>
      <c r="M73" s="189">
        <f t="shared" si="42"/>
        <v>8.8000000000000007</v>
      </c>
      <c r="N73" s="189">
        <f t="shared" si="42"/>
        <v>8.6239999999999988</v>
      </c>
      <c r="O73" s="189">
        <f t="shared" si="42"/>
        <v>8.4479999999999986</v>
      </c>
      <c r="P73" s="189">
        <f t="shared" si="42"/>
        <v>8.2719999999999985</v>
      </c>
      <c r="Q73" s="189">
        <f t="shared" si="42"/>
        <v>8.0960000000000001</v>
      </c>
      <c r="R73" s="189">
        <f t="shared" si="42"/>
        <v>7.92</v>
      </c>
      <c r="S73" s="189">
        <f t="shared" si="42"/>
        <v>7.6559999999999997</v>
      </c>
      <c r="T73" s="189">
        <f t="shared" si="42"/>
        <v>7.3920000000000003</v>
      </c>
      <c r="U73" s="189">
        <f t="shared" si="42"/>
        <v>7.1279999999999992</v>
      </c>
      <c r="V73" s="189">
        <f t="shared" si="42"/>
        <v>6.6</v>
      </c>
      <c r="W73" s="189">
        <f t="shared" si="42"/>
        <v>0</v>
      </c>
      <c r="X73" s="189">
        <f t="shared" si="42"/>
        <v>0</v>
      </c>
      <c r="Y73" s="189">
        <f t="shared" si="42"/>
        <v>0</v>
      </c>
      <c r="Z73" s="189">
        <f t="shared" si="42"/>
        <v>0</v>
      </c>
      <c r="AA73" s="189">
        <f t="shared" si="42"/>
        <v>0</v>
      </c>
      <c r="AB73" s="189">
        <f t="shared" si="42"/>
        <v>0</v>
      </c>
      <c r="AC73" s="189">
        <f t="shared" si="42"/>
        <v>0</v>
      </c>
      <c r="AD73" s="189">
        <f t="shared" si="42"/>
        <v>0</v>
      </c>
      <c r="AE73" s="189">
        <f t="shared" si="42"/>
        <v>0</v>
      </c>
      <c r="AF73" s="189">
        <f t="shared" si="42"/>
        <v>0</v>
      </c>
      <c r="AG73" s="189">
        <f t="shared" si="42"/>
        <v>0</v>
      </c>
      <c r="AH73" s="189">
        <f t="shared" si="42"/>
        <v>0</v>
      </c>
      <c r="AI73" s="189">
        <f t="shared" si="42"/>
        <v>0</v>
      </c>
      <c r="AJ73" s="189">
        <f t="shared" si="42"/>
        <v>0</v>
      </c>
      <c r="AK73" s="189">
        <f t="shared" si="42"/>
        <v>0</v>
      </c>
      <c r="AL73" s="189">
        <f t="shared" si="42"/>
        <v>0</v>
      </c>
      <c r="AM73" s="189">
        <f t="shared" si="42"/>
        <v>0</v>
      </c>
    </row>
    <row r="74" spans="1:39">
      <c r="A74" s="121"/>
      <c r="B74" s="1332" t="s">
        <v>1133</v>
      </c>
      <c r="C74" s="1341" t="s">
        <v>1119</v>
      </c>
      <c r="D74" s="190">
        <f>IF(D$73=0,0,D73+$G$47+($G$57+$G$58)/60)</f>
        <v>0</v>
      </c>
      <c r="E74" s="190">
        <f t="shared" ref="E74:AM74" si="43">IF(E$73=0,0,E73+$G$47+($G$57+$G$58)/60)</f>
        <v>0</v>
      </c>
      <c r="F74" s="190">
        <f t="shared" si="43"/>
        <v>0</v>
      </c>
      <c r="G74" s="190">
        <f t="shared" si="43"/>
        <v>0</v>
      </c>
      <c r="H74" s="190">
        <f>IF(H$73=0,0,H73+$G$47+($G$57+$G$58)/60)</f>
        <v>10.32668529481967</v>
      </c>
      <c r="I74" s="190">
        <f t="shared" si="43"/>
        <v>10.95468156918907</v>
      </c>
      <c r="J74" s="190">
        <f t="shared" si="43"/>
        <v>11.58267784355847</v>
      </c>
      <c r="K74" s="190">
        <f t="shared" si="43"/>
        <v>12.210674117927867</v>
      </c>
      <c r="L74" s="190">
        <f t="shared" si="43"/>
        <v>12.838670392297265</v>
      </c>
      <c r="M74" s="190">
        <f t="shared" si="43"/>
        <v>13.466666666666667</v>
      </c>
      <c r="N74" s="190">
        <f t="shared" si="43"/>
        <v>13.290666666666665</v>
      </c>
      <c r="O74" s="190">
        <f t="shared" si="43"/>
        <v>13.114666666666665</v>
      </c>
      <c r="P74" s="190">
        <f t="shared" si="43"/>
        <v>12.938666666666665</v>
      </c>
      <c r="Q74" s="190">
        <f t="shared" si="43"/>
        <v>12.762666666666666</v>
      </c>
      <c r="R74" s="190">
        <f t="shared" si="43"/>
        <v>12.586666666666666</v>
      </c>
      <c r="S74" s="190">
        <f t="shared" si="43"/>
        <v>12.322666666666667</v>
      </c>
      <c r="T74" s="190">
        <f t="shared" si="43"/>
        <v>12.058666666666667</v>
      </c>
      <c r="U74" s="190">
        <f t="shared" si="43"/>
        <v>11.794666666666666</v>
      </c>
      <c r="V74" s="190">
        <f t="shared" si="43"/>
        <v>11.266666666666666</v>
      </c>
      <c r="W74" s="190">
        <f t="shared" si="43"/>
        <v>0</v>
      </c>
      <c r="X74" s="190">
        <f t="shared" si="43"/>
        <v>0</v>
      </c>
      <c r="Y74" s="190">
        <f t="shared" si="43"/>
        <v>0</v>
      </c>
      <c r="Z74" s="190">
        <f t="shared" si="43"/>
        <v>0</v>
      </c>
      <c r="AA74" s="190">
        <f t="shared" si="43"/>
        <v>0</v>
      </c>
      <c r="AB74" s="190">
        <f t="shared" si="43"/>
        <v>0</v>
      </c>
      <c r="AC74" s="190">
        <f t="shared" si="43"/>
        <v>0</v>
      </c>
      <c r="AD74" s="190">
        <f t="shared" si="43"/>
        <v>0</v>
      </c>
      <c r="AE74" s="190">
        <f t="shared" si="43"/>
        <v>0</v>
      </c>
      <c r="AF74" s="190">
        <f t="shared" si="43"/>
        <v>0</v>
      </c>
      <c r="AG74" s="190">
        <f t="shared" si="43"/>
        <v>0</v>
      </c>
      <c r="AH74" s="190">
        <f t="shared" si="43"/>
        <v>0</v>
      </c>
      <c r="AI74" s="190">
        <f t="shared" si="43"/>
        <v>0</v>
      </c>
      <c r="AJ74" s="190">
        <f t="shared" si="43"/>
        <v>0</v>
      </c>
      <c r="AK74" s="190">
        <f t="shared" si="43"/>
        <v>0</v>
      </c>
      <c r="AL74" s="190">
        <f t="shared" si="43"/>
        <v>0</v>
      </c>
      <c r="AM74" s="190">
        <f t="shared" si="43"/>
        <v>0</v>
      </c>
    </row>
    <row r="75" spans="1:39">
      <c r="A75" s="121"/>
      <c r="B75" s="1332" t="s">
        <v>1134</v>
      </c>
      <c r="C75" s="1341" t="s">
        <v>740</v>
      </c>
      <c r="D75" s="189">
        <f>IFERROR(ROUNDDOWN(VLOOKUP(Fleet!$C$80,Equipment!$C$17:$V$20,Equipment!$M$1,FALSE)*60/D74,0),0)</f>
        <v>0</v>
      </c>
      <c r="E75" s="189">
        <f>IFERROR(ROUNDDOWN(VLOOKUP(Fleet!$C$80,Equipment!$C$17:$V$20,Equipment!$M$1,FALSE)*60/E74,0),0)</f>
        <v>0</v>
      </c>
      <c r="F75" s="189">
        <f>IFERROR(ROUNDDOWN(VLOOKUP(Fleet!$C$80,Equipment!$C$17:$V$20,Equipment!$M$1,FALSE)*60/F74,0),0)</f>
        <v>0</v>
      </c>
      <c r="G75" s="189">
        <f>IFERROR(ROUNDDOWN(VLOOKUP(Fleet!$C$80,Equipment!$C$17:$V$20,Equipment!$M$1,FALSE)*60/G74,0),0)</f>
        <v>0</v>
      </c>
      <c r="H75" s="189">
        <f>IFERROR(ROUNDDOWN(VLOOKUP(Fleet!$C$80,Equipment!$C$17:$V$20,Equipment!$M$1,FALSE)*60/H74,0),0)</f>
        <v>83</v>
      </c>
      <c r="I75" s="189">
        <f>IFERROR(ROUNDDOWN(VLOOKUP(Fleet!$C$80,Equipment!$C$17:$V$20,Equipment!$M$1,FALSE)*60/I74,0),0)</f>
        <v>78</v>
      </c>
      <c r="J75" s="189">
        <f>IFERROR(ROUNDDOWN(VLOOKUP(Fleet!$C$80,Equipment!$C$17:$V$20,Equipment!$M$1,FALSE)*60/J74,0),0)</f>
        <v>74</v>
      </c>
      <c r="K75" s="189">
        <f>IFERROR(ROUNDDOWN(VLOOKUP(Fleet!$C$80,Equipment!$C$17:$V$20,Equipment!$M$1,FALSE)*60/K74,0),0)</f>
        <v>70</v>
      </c>
      <c r="L75" s="189">
        <f>IFERROR(ROUNDDOWN(VLOOKUP(Fleet!$C$80,Equipment!$C$17:$V$20,Equipment!$M$1,FALSE)*60/L74,0),0)</f>
        <v>67</v>
      </c>
      <c r="M75" s="189">
        <f>IFERROR(ROUNDDOWN(VLOOKUP(Fleet!$C$80,Equipment!$C$17:$V$20,Equipment!$M$1,FALSE)*60/M74,0),0)</f>
        <v>64</v>
      </c>
      <c r="N75" s="189">
        <f>IFERROR(ROUNDDOWN(VLOOKUP(Fleet!$C$80,Equipment!$C$17:$V$20,Equipment!$M$1,FALSE)*60/N74,0),0)</f>
        <v>65</v>
      </c>
      <c r="O75" s="189">
        <f>IFERROR(ROUNDDOWN(VLOOKUP(Fleet!$C$80,Equipment!$C$17:$V$20,Equipment!$M$1,FALSE)*60/O74,0),0)</f>
        <v>65</v>
      </c>
      <c r="P75" s="189">
        <f>IFERROR(ROUNDDOWN(VLOOKUP(Fleet!$C$80,Equipment!$C$17:$V$20,Equipment!$M$1,FALSE)*60/P74,0),0)</f>
        <v>66</v>
      </c>
      <c r="Q75" s="189">
        <f>IFERROR(ROUNDDOWN(VLOOKUP(Fleet!$C$80,Equipment!$C$17:$V$20,Equipment!$M$1,FALSE)*60/Q74,0),0)</f>
        <v>67</v>
      </c>
      <c r="R75" s="189">
        <f>IFERROR(ROUNDDOWN(VLOOKUP(Fleet!$C$80,Equipment!$C$17:$V$20,Equipment!$M$1,FALSE)*60/R74,0),0)</f>
        <v>68</v>
      </c>
      <c r="S75" s="189">
        <f>IFERROR(ROUNDDOWN(VLOOKUP(Fleet!$C$80,Equipment!$C$17:$V$20,Equipment!$M$1,FALSE)*60/S74,0),0)</f>
        <v>70</v>
      </c>
      <c r="T75" s="189">
        <f>IFERROR(ROUNDDOWN(VLOOKUP(Fleet!$C$80,Equipment!$C$17:$V$20,Equipment!$M$1,FALSE)*60/T74,0),0)</f>
        <v>71</v>
      </c>
      <c r="U75" s="189">
        <f>IFERROR(ROUNDDOWN(VLOOKUP(Fleet!$C$80,Equipment!$C$17:$V$20,Equipment!$M$1,FALSE)*60/U74,0),0)</f>
        <v>73</v>
      </c>
      <c r="V75" s="189">
        <f>IFERROR(ROUNDDOWN(VLOOKUP(Fleet!$C$80,Equipment!$C$17:$V$20,Equipment!$M$1,FALSE)*60/V74,0),0)</f>
        <v>76</v>
      </c>
      <c r="W75" s="189">
        <f>IFERROR(ROUNDDOWN(VLOOKUP(Fleet!$C$80,Equipment!$C$17:$V$20,Equipment!$M$1,FALSE)*60/W74,0),0)</f>
        <v>0</v>
      </c>
      <c r="X75" s="189">
        <f>IFERROR(ROUNDDOWN(VLOOKUP(Fleet!$C$80,Equipment!$C$17:$V$20,Equipment!$M$1,FALSE)*60/X74,0),0)</f>
        <v>0</v>
      </c>
      <c r="Y75" s="189">
        <f>IFERROR(ROUNDDOWN(VLOOKUP(Fleet!$C$80,Equipment!$C$17:$V$20,Equipment!$M$1,FALSE)*60/Y74,0),0)</f>
        <v>0</v>
      </c>
      <c r="Z75" s="189">
        <f>IFERROR(ROUNDDOWN(VLOOKUP(Fleet!$C$80,Equipment!$C$17:$V$20,Equipment!$M$1,FALSE)*60/Z74,0),0)</f>
        <v>0</v>
      </c>
      <c r="AA75" s="189">
        <f>IFERROR(ROUNDDOWN(VLOOKUP(Fleet!$C$80,Equipment!$C$17:$V$20,Equipment!$M$1,FALSE)*60/AA74,0),0)</f>
        <v>0</v>
      </c>
      <c r="AB75" s="189">
        <f>IFERROR(ROUNDDOWN(VLOOKUP(Fleet!$C$80,Equipment!$C$17:$V$20,Equipment!$M$1,FALSE)*60/AB74,0),0)</f>
        <v>0</v>
      </c>
      <c r="AC75" s="189">
        <f>IFERROR(ROUNDDOWN(VLOOKUP(Fleet!$C$80,Equipment!$C$17:$V$20,Equipment!$M$1,FALSE)*60/AC74,0),0)</f>
        <v>0</v>
      </c>
      <c r="AD75" s="189">
        <f>IFERROR(ROUNDDOWN(VLOOKUP(Fleet!$C$80,Equipment!$C$17:$V$20,Equipment!$M$1,FALSE)*60/AD74,0),0)</f>
        <v>0</v>
      </c>
      <c r="AE75" s="189">
        <f>IFERROR(ROUNDDOWN(VLOOKUP(Fleet!$C$80,Equipment!$C$17:$V$20,Equipment!$M$1,FALSE)*60/AE74,0),0)</f>
        <v>0</v>
      </c>
      <c r="AF75" s="189">
        <f>IFERROR(ROUNDDOWN(VLOOKUP(Fleet!$C$80,Equipment!$C$17:$V$20,Equipment!$M$1,FALSE)*60/AF74,0),0)</f>
        <v>0</v>
      </c>
      <c r="AG75" s="189">
        <f>IFERROR(ROUNDDOWN(VLOOKUP(Fleet!$C$80,Equipment!$C$17:$V$20,Equipment!$M$1,FALSE)*60/AG74,0),0)</f>
        <v>0</v>
      </c>
      <c r="AH75" s="189">
        <f>IFERROR(ROUNDDOWN(VLOOKUP(Fleet!$C$80,Equipment!$C$17:$V$20,Equipment!$M$1,FALSE)*60/AH74,0),0)</f>
        <v>0</v>
      </c>
      <c r="AI75" s="189">
        <f>IFERROR(ROUNDDOWN(VLOOKUP(Fleet!$C$80,Equipment!$C$17:$V$20,Equipment!$M$1,FALSE)*60/AI74,0),0)</f>
        <v>0</v>
      </c>
      <c r="AJ75" s="189">
        <f>IFERROR(ROUNDDOWN(VLOOKUP(Fleet!$C$80,Equipment!$C$17:$V$20,Equipment!$M$1,FALSE)*60/AJ74,0),0)</f>
        <v>0</v>
      </c>
      <c r="AK75" s="189">
        <f>IFERROR(ROUNDDOWN(VLOOKUP(Fleet!$C$80,Equipment!$C$17:$V$20,Equipment!$M$1,FALSE)*60/AK74,0),0)</f>
        <v>0</v>
      </c>
      <c r="AL75" s="189">
        <f>IFERROR(ROUNDDOWN(VLOOKUP(Fleet!$C$80,Equipment!$C$17:$V$20,Equipment!$M$1,FALSE)*60/AL74,0),0)</f>
        <v>0</v>
      </c>
      <c r="AM75" s="189">
        <f>IFERROR(ROUNDDOWN(VLOOKUP(Fleet!$C$80,Equipment!$C$17:$V$20,Equipment!$M$1,FALSE)*60/AM74,0),0)</f>
        <v>0</v>
      </c>
    </row>
    <row r="76" spans="1:39">
      <c r="A76" s="121"/>
      <c r="B76" s="1337" t="s">
        <v>1135</v>
      </c>
      <c r="C76" s="1347" t="s">
        <v>1136</v>
      </c>
      <c r="D76" s="1371">
        <f>D75*MIN($G$55:$G$56)*Assumptions_Dashboard!$D$28</f>
        <v>0</v>
      </c>
      <c r="E76" s="1371">
        <f>E75*MIN($G$55:$G$56)*Assumptions_Dashboard!$D$28</f>
        <v>0</v>
      </c>
      <c r="F76" s="1371">
        <f>F75*MIN($G$55:$G$56)*Assumptions_Dashboard!$D$28</f>
        <v>0</v>
      </c>
      <c r="G76" s="1371">
        <f>G75*MIN($G$55:$G$56)*Assumptions_Dashboard!$D$28</f>
        <v>0</v>
      </c>
      <c r="H76" s="1371">
        <f>H75*MIN($G$55:$G$56)*Assumptions_Dashboard!$D$28</f>
        <v>517671.00000000012</v>
      </c>
      <c r="I76" s="1371">
        <f>I75*MIN($G$55:$G$56)*Assumptions_Dashboard!$D$28</f>
        <v>486486.00000000012</v>
      </c>
      <c r="J76" s="1371">
        <f>J75*MIN($G$55:$G$56)*Assumptions_Dashboard!$D$28</f>
        <v>461538.00000000006</v>
      </c>
      <c r="K76" s="1371">
        <f>K75*MIN($G$55:$G$56)*Assumptions_Dashboard!$D$28</f>
        <v>436590.00000000006</v>
      </c>
      <c r="L76" s="1371">
        <f>L75*MIN($G$55:$G$56)*Assumptions_Dashboard!$D$28</f>
        <v>417879.00000000006</v>
      </c>
      <c r="M76" s="1371">
        <f>M75*MIN($G$55:$G$56)*Assumptions_Dashboard!$D$28</f>
        <v>399168.00000000006</v>
      </c>
      <c r="N76" s="1371">
        <f>N75*MIN($G$55:$G$56)*Assumptions_Dashboard!$D$28</f>
        <v>405405.00000000006</v>
      </c>
      <c r="O76" s="1371">
        <f>O75*MIN($G$55:$G$56)*Assumptions_Dashboard!$D$28</f>
        <v>405405.00000000006</v>
      </c>
      <c r="P76" s="1371">
        <f>P75*MIN($G$55:$G$56)*Assumptions_Dashboard!$D$28</f>
        <v>411642.00000000006</v>
      </c>
      <c r="Q76" s="1371">
        <f>Q75*MIN($G$55:$G$56)*Assumptions_Dashboard!$D$28</f>
        <v>417879.00000000006</v>
      </c>
      <c r="R76" s="1371">
        <f>R75*MIN($G$55:$G$56)*Assumptions_Dashboard!$D$28</f>
        <v>424116</v>
      </c>
      <c r="S76" s="1371">
        <f>S75*MIN($G$55:$G$56)*Assumptions_Dashboard!$D$28</f>
        <v>436590.00000000006</v>
      </c>
      <c r="T76" s="1371">
        <f>T75*MIN($G$55:$G$56)*Assumptions_Dashboard!$D$28</f>
        <v>442827.00000000006</v>
      </c>
      <c r="U76" s="1371">
        <f>U75*MIN($G$55:$G$56)*Assumptions_Dashboard!$D$28</f>
        <v>455301</v>
      </c>
      <c r="V76" s="1371">
        <f>V75*MIN($G$55:$G$56)*Assumptions_Dashboard!$D$28</f>
        <v>474012.00000000006</v>
      </c>
      <c r="W76" s="1371">
        <f>W75*MIN($G$55:$G$56)*Assumptions_Dashboard!$D$28</f>
        <v>0</v>
      </c>
      <c r="X76" s="1371">
        <f>X75*MIN($G$55:$G$56)*Assumptions_Dashboard!$D$28</f>
        <v>0</v>
      </c>
      <c r="Y76" s="1371">
        <f>Y75*MIN($G$55:$G$56)*Assumptions_Dashboard!$D$28</f>
        <v>0</v>
      </c>
      <c r="Z76" s="1371">
        <f>Z75*MIN($G$55:$G$56)*Assumptions_Dashboard!$D$28</f>
        <v>0</v>
      </c>
      <c r="AA76" s="1371">
        <f>AA75*MIN($G$55:$G$56)*Assumptions_Dashboard!$D$28</f>
        <v>0</v>
      </c>
      <c r="AB76" s="1371">
        <f>AB75*MIN($G$55:$G$56)*Assumptions_Dashboard!$D$28</f>
        <v>0</v>
      </c>
      <c r="AC76" s="1371">
        <f>AC75*MIN($G$55:$G$56)*Assumptions_Dashboard!$D$28</f>
        <v>0</v>
      </c>
      <c r="AD76" s="1371">
        <f>AD75*MIN($G$55:$G$56)*Assumptions_Dashboard!$D$28</f>
        <v>0</v>
      </c>
      <c r="AE76" s="1371">
        <f>AE75*MIN($G$55:$G$56)*Assumptions_Dashboard!$D$28</f>
        <v>0</v>
      </c>
      <c r="AF76" s="1371">
        <f>AF75*MIN($G$55:$G$56)*Assumptions_Dashboard!$D$28</f>
        <v>0</v>
      </c>
      <c r="AG76" s="1371">
        <f>AG75*MIN($G$55:$G$56)*Assumptions_Dashboard!$D$28</f>
        <v>0</v>
      </c>
      <c r="AH76" s="1371">
        <f>AH75*MIN($G$55:$G$56)*Assumptions_Dashboard!$D$28</f>
        <v>0</v>
      </c>
      <c r="AI76" s="1371">
        <f>AI75*MIN($G$55:$G$56)*Assumptions_Dashboard!$D$28</f>
        <v>0</v>
      </c>
      <c r="AJ76" s="1371">
        <f>AJ75*MIN($G$55:$G$56)*Assumptions_Dashboard!$D$28</f>
        <v>0</v>
      </c>
      <c r="AK76" s="1371">
        <f>AK75*MIN($G$55:$G$56)*Assumptions_Dashboard!$D$28</f>
        <v>0</v>
      </c>
      <c r="AL76" s="1371">
        <f>AL75*MIN($G$55:$G$56)*Assumptions_Dashboard!$D$28</f>
        <v>0</v>
      </c>
      <c r="AM76" s="1371">
        <f>AM75*MIN($G$55:$G$56)*Assumptions_Dashboard!$D$28</f>
        <v>0</v>
      </c>
    </row>
    <row r="77" spans="1:39">
      <c r="A77" s="187" t="str">
        <f>D51</f>
        <v xml:space="preserve">Thin Parting(IB) </v>
      </c>
      <c r="B77" s="1367" t="str">
        <f>A77</f>
        <v xml:space="preserve">Thin Parting(IB) </v>
      </c>
      <c r="C77" s="1332"/>
      <c r="AM77" s="1373"/>
    </row>
    <row r="78" spans="1:39">
      <c r="A78" s="187"/>
      <c r="B78" s="1369" t="s">
        <v>1131</v>
      </c>
      <c r="C78" s="1332" t="s">
        <v>425</v>
      </c>
      <c r="D78" s="188">
        <f>'Production Schedule'!E25</f>
        <v>0</v>
      </c>
      <c r="E78" s="188">
        <f>'Production Schedule'!F25</f>
        <v>0</v>
      </c>
      <c r="F78" s="188">
        <f>'Production Schedule'!G25</f>
        <v>0</v>
      </c>
      <c r="G78" s="188">
        <f>'Production Schedule'!H25</f>
        <v>0</v>
      </c>
      <c r="H78" s="188">
        <f>'Production Schedule'!I25</f>
        <v>0</v>
      </c>
      <c r="I78" s="188">
        <f>'Production Schedule'!J25</f>
        <v>0</v>
      </c>
      <c r="J78" s="188">
        <f>'Production Schedule'!K25</f>
        <v>0</v>
      </c>
      <c r="K78" s="188">
        <f>'Production Schedule'!L25</f>
        <v>0.8</v>
      </c>
      <c r="L78" s="188">
        <f>'Production Schedule'!M25</f>
        <v>1</v>
      </c>
      <c r="M78" s="188">
        <f>'Production Schedule'!N25</f>
        <v>1.429094296027819</v>
      </c>
      <c r="N78" s="188">
        <f>'Production Schedule'!O25</f>
        <v>1.5718207220208642</v>
      </c>
      <c r="O78" s="188">
        <f>'Production Schedule'!P25</f>
        <v>1.7145471480139094</v>
      </c>
      <c r="P78" s="188">
        <f>'Production Schedule'!Q25</f>
        <v>1.8572735740069546</v>
      </c>
      <c r="Q78" s="188">
        <f>'Production Schedule'!R25</f>
        <v>2</v>
      </c>
      <c r="R78" s="188">
        <f>'Production Schedule'!S25</f>
        <v>1.96</v>
      </c>
      <c r="S78" s="188">
        <f>'Production Schedule'!T25</f>
        <v>1.92</v>
      </c>
      <c r="T78" s="188">
        <f>'Production Schedule'!U25</f>
        <v>1.88</v>
      </c>
      <c r="U78" s="188">
        <f>'Production Schedule'!V25</f>
        <v>1.8399999999999999</v>
      </c>
      <c r="V78" s="188">
        <f>'Production Schedule'!W25</f>
        <v>1.8</v>
      </c>
      <c r="W78" s="188">
        <f>'Production Schedule'!X25</f>
        <v>1.74</v>
      </c>
      <c r="X78" s="188">
        <f>'Production Schedule'!Y25</f>
        <v>1.68</v>
      </c>
      <c r="Y78" s="188">
        <f>'Production Schedule'!Z25</f>
        <v>1.6199999999999999</v>
      </c>
      <c r="Z78" s="188">
        <f>'Production Schedule'!AA25</f>
        <v>1.5</v>
      </c>
      <c r="AA78" s="188">
        <f>'Production Schedule'!AB25</f>
        <v>0</v>
      </c>
      <c r="AB78" s="188">
        <f>'Production Schedule'!AC25</f>
        <v>0</v>
      </c>
      <c r="AC78" s="188">
        <f>'Production Schedule'!AD25</f>
        <v>0</v>
      </c>
      <c r="AD78" s="188">
        <f>'Production Schedule'!AE25</f>
        <v>0</v>
      </c>
      <c r="AE78" s="188">
        <f>'Production Schedule'!AF25</f>
        <v>0</v>
      </c>
      <c r="AF78" s="188">
        <f>'Production Schedule'!AG25</f>
        <v>0</v>
      </c>
      <c r="AG78" s="188">
        <f>'Production Schedule'!AH25</f>
        <v>0</v>
      </c>
      <c r="AH78" s="188">
        <f>'Production Schedule'!AI25</f>
        <v>0</v>
      </c>
      <c r="AI78" s="188">
        <f>'Production Schedule'!AJ25</f>
        <v>0</v>
      </c>
      <c r="AJ78" s="188">
        <f>'Production Schedule'!AK25</f>
        <v>0</v>
      </c>
      <c r="AK78" s="188">
        <f>'Production Schedule'!AL25</f>
        <v>0</v>
      </c>
      <c r="AL78" s="188">
        <f>'Production Schedule'!AM25</f>
        <v>0</v>
      </c>
      <c r="AM78" s="188">
        <f>'Production Schedule'!AN25</f>
        <v>0</v>
      </c>
    </row>
    <row r="79" spans="1:39">
      <c r="A79" s="121"/>
      <c r="B79" s="1332" t="s">
        <v>1132</v>
      </c>
      <c r="C79" s="1341" t="s">
        <v>1119</v>
      </c>
      <c r="D79" s="189">
        <f>IF(D$64&lt;=0,0,(D78/$D$59+D78/$D$60)*60)</f>
        <v>0</v>
      </c>
      <c r="E79" s="189">
        <f t="shared" ref="E79:I79" si="44">IF(E$64&lt;=0,0,(E78/$D$59+E78/$D$60)*60)</f>
        <v>0</v>
      </c>
      <c r="F79" s="189">
        <f t="shared" si="44"/>
        <v>0</v>
      </c>
      <c r="G79" s="189">
        <f t="shared" si="44"/>
        <v>0</v>
      </c>
      <c r="H79" s="189">
        <f t="shared" si="44"/>
        <v>0</v>
      </c>
      <c r="I79" s="189">
        <f t="shared" si="44"/>
        <v>0</v>
      </c>
      <c r="J79" s="189">
        <f t="shared" ref="J79" si="45">IF(J$64&lt;=0,0,(J78/$D$59+J78/$D$60)*60)</f>
        <v>0</v>
      </c>
      <c r="K79" s="189">
        <f t="shared" ref="K79" si="46">IF(K$64&lt;=0,0,(K78/$D$59+K78/$D$60)*60)</f>
        <v>3.5200000000000005</v>
      </c>
      <c r="L79" s="189">
        <f t="shared" ref="L79" si="47">IF(L$64&lt;=0,0,(L78/$D$59+L78/$D$60)*60)</f>
        <v>4.4000000000000004</v>
      </c>
      <c r="M79" s="189">
        <f t="shared" ref="M79:N79" si="48">IF(M$64&lt;=0,0,(M78/$D$59+M78/$D$60)*60)</f>
        <v>6.288014902522403</v>
      </c>
      <c r="N79" s="189">
        <f t="shared" si="48"/>
        <v>6.9160111768918027</v>
      </c>
      <c r="O79" s="189">
        <f t="shared" ref="O79" si="49">IF(O$64&lt;=0,0,(O78/$D$59+O78/$D$60)*60)</f>
        <v>7.5440074512612014</v>
      </c>
      <c r="P79" s="189">
        <f t="shared" ref="P79" si="50">IF(P$64&lt;=0,0,(P78/$D$59+P78/$D$60)*60)</f>
        <v>8.1720037256305993</v>
      </c>
      <c r="Q79" s="189">
        <f t="shared" ref="Q79" si="51">IF(Q$64&lt;=0,0,(Q78/$D$59+Q78/$D$60)*60)</f>
        <v>8.8000000000000007</v>
      </c>
      <c r="R79" s="189">
        <f t="shared" ref="R79:S79" si="52">IF(R$64&lt;=0,0,(R78/$D$59+R78/$D$60)*60)</f>
        <v>8.6239999999999988</v>
      </c>
      <c r="S79" s="189">
        <f t="shared" si="52"/>
        <v>8.4479999999999986</v>
      </c>
      <c r="T79" s="189">
        <f t="shared" ref="T79" si="53">IF(T$64&lt;=0,0,(T78/$D$59+T78/$D$60)*60)</f>
        <v>8.2719999999999985</v>
      </c>
      <c r="U79" s="189">
        <f t="shared" ref="U79" si="54">IF(U$64&lt;=0,0,(U78/$D$59+U78/$D$60)*60)</f>
        <v>8.0960000000000001</v>
      </c>
      <c r="V79" s="189">
        <f t="shared" ref="V79" si="55">IF(V$64&lt;=0,0,(V78/$D$59+V78/$D$60)*60)</f>
        <v>7.92</v>
      </c>
      <c r="W79" s="189">
        <f t="shared" ref="W79:X79" si="56">IF(W$64&lt;=0,0,(W78/$D$59+W78/$D$60)*60)</f>
        <v>7.6559999999999997</v>
      </c>
      <c r="X79" s="189">
        <f t="shared" si="56"/>
        <v>7.3920000000000003</v>
      </c>
      <c r="Y79" s="189">
        <f t="shared" ref="Y79" si="57">IF(Y$64&lt;=0,0,(Y78/$D$59+Y78/$D$60)*60)</f>
        <v>7.1279999999999992</v>
      </c>
      <c r="Z79" s="189">
        <f t="shared" ref="Z79" si="58">IF(Z$64&lt;=0,0,(Z78/$D$59+Z78/$D$60)*60)</f>
        <v>6.6</v>
      </c>
      <c r="AA79" s="189">
        <f t="shared" ref="AA79" si="59">IF(AA$64&lt;=0,0,(AA78/$D$59+AA78/$D$60)*60)</f>
        <v>0</v>
      </c>
      <c r="AB79" s="189">
        <f t="shared" ref="AB79:AC79" si="60">IF(AB$64&lt;=0,0,(AB78/$D$59+AB78/$D$60)*60)</f>
        <v>0</v>
      </c>
      <c r="AC79" s="189">
        <f t="shared" si="60"/>
        <v>0</v>
      </c>
      <c r="AD79" s="189">
        <f t="shared" ref="AD79" si="61">IF(AD$64&lt;=0,0,(AD78/$D$59+AD78/$D$60)*60)</f>
        <v>0</v>
      </c>
      <c r="AE79" s="189">
        <f t="shared" ref="AE79" si="62">IF(AE$64&lt;=0,0,(AE78/$D$59+AE78/$D$60)*60)</f>
        <v>0</v>
      </c>
      <c r="AF79" s="189">
        <f t="shared" ref="AF79" si="63">IF(AF$64&lt;=0,0,(AF78/$D$59+AF78/$D$60)*60)</f>
        <v>0</v>
      </c>
      <c r="AG79" s="189">
        <f t="shared" ref="AG79:AH79" si="64">IF(AG$64&lt;=0,0,(AG78/$D$59+AG78/$D$60)*60)</f>
        <v>0</v>
      </c>
      <c r="AH79" s="189">
        <f t="shared" si="64"/>
        <v>0</v>
      </c>
      <c r="AI79" s="189">
        <f t="shared" ref="AI79" si="65">IF(AI$64&lt;=0,0,(AI78/$D$59+AI78/$D$60)*60)</f>
        <v>0</v>
      </c>
      <c r="AJ79" s="189">
        <f t="shared" ref="AJ79" si="66">IF(AJ$64&lt;=0,0,(AJ78/$D$59+AJ78/$D$60)*60)</f>
        <v>0</v>
      </c>
      <c r="AK79" s="189">
        <f t="shared" ref="AK79" si="67">IF(AK$64&lt;=0,0,(AK78/$D$59+AK78/$D$60)*60)</f>
        <v>0</v>
      </c>
      <c r="AL79" s="189">
        <f t="shared" ref="AL79:AM79" si="68">IF(AL$64&lt;=0,0,(AL78/$D$59+AL78/$D$60)*60)</f>
        <v>0</v>
      </c>
      <c r="AM79" s="189">
        <f t="shared" si="68"/>
        <v>0</v>
      </c>
    </row>
    <row r="80" spans="1:39">
      <c r="A80" s="121"/>
      <c r="B80" s="1332" t="s">
        <v>1133</v>
      </c>
      <c r="C80" s="1341" t="s">
        <v>1119</v>
      </c>
      <c r="D80" s="190">
        <f>IF(D$79=0,0,D79+$D$47+($D$57+$D$58)/60)</f>
        <v>0</v>
      </c>
      <c r="E80" s="190">
        <f t="shared" ref="E80:AM80" si="69">IF(E$79=0,0,E79+$D$47+($D$57+$D$58)/60)</f>
        <v>0</v>
      </c>
      <c r="F80" s="190">
        <f t="shared" si="69"/>
        <v>0</v>
      </c>
      <c r="G80" s="190">
        <f t="shared" si="69"/>
        <v>0</v>
      </c>
      <c r="H80" s="190">
        <f>IF(H$79=0,0,H79+$D$47+($D$57+$D$58)/60)</f>
        <v>0</v>
      </c>
      <c r="I80" s="190">
        <f t="shared" si="69"/>
        <v>0</v>
      </c>
      <c r="J80" s="190">
        <f t="shared" si="69"/>
        <v>0</v>
      </c>
      <c r="K80" s="190">
        <f t="shared" si="69"/>
        <v>8.1866666666666674</v>
      </c>
      <c r="L80" s="190">
        <f t="shared" si="69"/>
        <v>9.0666666666666664</v>
      </c>
      <c r="M80" s="190">
        <f t="shared" si="69"/>
        <v>10.95468156918907</v>
      </c>
      <c r="N80" s="190">
        <f t="shared" si="69"/>
        <v>11.58267784355847</v>
      </c>
      <c r="O80" s="190">
        <f t="shared" si="69"/>
        <v>12.210674117927867</v>
      </c>
      <c r="P80" s="190">
        <f t="shared" si="69"/>
        <v>12.838670392297265</v>
      </c>
      <c r="Q80" s="190">
        <f t="shared" si="69"/>
        <v>13.466666666666667</v>
      </c>
      <c r="R80" s="190">
        <f t="shared" si="69"/>
        <v>13.290666666666665</v>
      </c>
      <c r="S80" s="190">
        <f t="shared" si="69"/>
        <v>13.114666666666665</v>
      </c>
      <c r="T80" s="190">
        <f t="shared" si="69"/>
        <v>12.938666666666665</v>
      </c>
      <c r="U80" s="190">
        <f t="shared" si="69"/>
        <v>12.762666666666666</v>
      </c>
      <c r="V80" s="190">
        <f t="shared" si="69"/>
        <v>12.586666666666666</v>
      </c>
      <c r="W80" s="190">
        <f t="shared" si="69"/>
        <v>12.322666666666667</v>
      </c>
      <c r="X80" s="190">
        <f t="shared" si="69"/>
        <v>12.058666666666667</v>
      </c>
      <c r="Y80" s="190">
        <f t="shared" si="69"/>
        <v>11.794666666666666</v>
      </c>
      <c r="Z80" s="190">
        <f t="shared" si="69"/>
        <v>11.266666666666666</v>
      </c>
      <c r="AA80" s="190">
        <f t="shared" si="69"/>
        <v>0</v>
      </c>
      <c r="AB80" s="190">
        <f t="shared" si="69"/>
        <v>0</v>
      </c>
      <c r="AC80" s="190">
        <f t="shared" si="69"/>
        <v>0</v>
      </c>
      <c r="AD80" s="190">
        <f t="shared" si="69"/>
        <v>0</v>
      </c>
      <c r="AE80" s="190">
        <f t="shared" si="69"/>
        <v>0</v>
      </c>
      <c r="AF80" s="190">
        <f t="shared" si="69"/>
        <v>0</v>
      </c>
      <c r="AG80" s="190">
        <f t="shared" si="69"/>
        <v>0</v>
      </c>
      <c r="AH80" s="190">
        <f t="shared" si="69"/>
        <v>0</v>
      </c>
      <c r="AI80" s="190">
        <f t="shared" si="69"/>
        <v>0</v>
      </c>
      <c r="AJ80" s="190">
        <f t="shared" si="69"/>
        <v>0</v>
      </c>
      <c r="AK80" s="190">
        <f t="shared" si="69"/>
        <v>0</v>
      </c>
      <c r="AL80" s="190">
        <f t="shared" si="69"/>
        <v>0</v>
      </c>
      <c r="AM80" s="1370">
        <f t="shared" si="69"/>
        <v>0</v>
      </c>
    </row>
    <row r="81" spans="1:39">
      <c r="A81" s="121"/>
      <c r="B81" s="1332" t="s">
        <v>1134</v>
      </c>
      <c r="C81" s="1341" t="s">
        <v>740</v>
      </c>
      <c r="D81" s="189">
        <f>IFERROR(ROUNDDOWN(VLOOKUP(Fleet!$C$80,Equipment!$C$17:$V$20,Equipment!$M$1,FALSE)*60/D80,0),0)</f>
        <v>0</v>
      </c>
      <c r="E81" s="189">
        <f>IFERROR(ROUNDDOWN(VLOOKUP(Fleet!$C$80,Equipment!$C$17:$V$20,Equipment!$M$1,FALSE)*60/E80,0),0)</f>
        <v>0</v>
      </c>
      <c r="F81" s="189">
        <f>IFERROR(ROUNDDOWN(VLOOKUP(Fleet!$C$80,Equipment!$C$17:$V$20,Equipment!$M$1,FALSE)*60/F80,0),0)</f>
        <v>0</v>
      </c>
      <c r="G81" s="189">
        <f>IFERROR(ROUNDDOWN(VLOOKUP(Fleet!$C$80,Equipment!$C$17:$V$20,Equipment!$M$1,FALSE)*60/G80,0),0)</f>
        <v>0</v>
      </c>
      <c r="H81" s="189">
        <f>IFERROR(ROUNDDOWN(VLOOKUP(Fleet!$C$80,Equipment!$C$17:$V$20,Equipment!$M$1,FALSE)*60/H80,0),0)</f>
        <v>0</v>
      </c>
      <c r="I81" s="189">
        <f>IFERROR(ROUNDDOWN(VLOOKUP(Fleet!$C$80,Equipment!$C$17:$V$20,Equipment!$M$1,FALSE)*60/I80,0),0)</f>
        <v>0</v>
      </c>
      <c r="J81" s="189">
        <f>IFERROR(ROUNDDOWN(VLOOKUP(Fleet!$C$80,Equipment!$C$17:$V$20,Equipment!$M$1,FALSE)*60/J80,0),0)</f>
        <v>0</v>
      </c>
      <c r="K81" s="189">
        <f>IFERROR(ROUNDDOWN(VLOOKUP(Fleet!$C$80,Equipment!$C$17:$V$20,Equipment!$M$1,FALSE)*60/K80,0),0)</f>
        <v>105</v>
      </c>
      <c r="L81" s="189">
        <f>IFERROR(ROUNDDOWN(VLOOKUP(Fleet!$C$80,Equipment!$C$17:$V$20,Equipment!$M$1,FALSE)*60/L80,0),0)</f>
        <v>95</v>
      </c>
      <c r="M81" s="189">
        <f>IFERROR(ROUNDDOWN(VLOOKUP(Fleet!$C$80,Equipment!$C$17:$V$20,Equipment!$M$1,FALSE)*60/M80,0),0)</f>
        <v>78</v>
      </c>
      <c r="N81" s="189">
        <f>IFERROR(ROUNDDOWN(VLOOKUP(Fleet!$C$80,Equipment!$C$17:$V$20,Equipment!$M$1,FALSE)*60/N80,0),0)</f>
        <v>74</v>
      </c>
      <c r="O81" s="189">
        <f>IFERROR(ROUNDDOWN(VLOOKUP(Fleet!$C$80,Equipment!$C$17:$V$20,Equipment!$M$1,FALSE)*60/O80,0),0)</f>
        <v>70</v>
      </c>
      <c r="P81" s="189">
        <f>IFERROR(ROUNDDOWN(VLOOKUP(Fleet!$C$80,Equipment!$C$17:$V$20,Equipment!$M$1,FALSE)*60/P80,0),0)</f>
        <v>67</v>
      </c>
      <c r="Q81" s="189">
        <f>IFERROR(ROUNDDOWN(VLOOKUP(Fleet!$C$80,Equipment!$C$17:$V$20,Equipment!$M$1,FALSE)*60/Q80,0),0)</f>
        <v>64</v>
      </c>
      <c r="R81" s="189">
        <f>IFERROR(ROUNDDOWN(VLOOKUP(Fleet!$C$80,Equipment!$C$17:$V$20,Equipment!$M$1,FALSE)*60/R80,0),0)</f>
        <v>65</v>
      </c>
      <c r="S81" s="189">
        <f>IFERROR(ROUNDDOWN(VLOOKUP(Fleet!$C$80,Equipment!$C$17:$V$20,Equipment!$M$1,FALSE)*60/S80,0),0)</f>
        <v>65</v>
      </c>
      <c r="T81" s="189">
        <f>IFERROR(ROUNDDOWN(VLOOKUP(Fleet!$C$80,Equipment!$C$17:$V$20,Equipment!$M$1,FALSE)*60/T80,0),0)</f>
        <v>66</v>
      </c>
      <c r="U81" s="189">
        <f>IFERROR(ROUNDDOWN(VLOOKUP(Fleet!$C$80,Equipment!$C$17:$V$20,Equipment!$M$1,FALSE)*60/U80,0),0)</f>
        <v>67</v>
      </c>
      <c r="V81" s="189">
        <f>IFERROR(ROUNDDOWN(VLOOKUP(Fleet!$C$80,Equipment!$C$17:$V$20,Equipment!$M$1,FALSE)*60/V80,0),0)</f>
        <v>68</v>
      </c>
      <c r="W81" s="189">
        <f>IFERROR(ROUNDDOWN(VLOOKUP(Fleet!$C$80,Equipment!$C$17:$V$20,Equipment!$M$1,FALSE)*60/W80,0),0)</f>
        <v>70</v>
      </c>
      <c r="X81" s="189">
        <f>IFERROR(ROUNDDOWN(VLOOKUP(Fleet!$C$80,Equipment!$C$17:$V$20,Equipment!$M$1,FALSE)*60/X80,0),0)</f>
        <v>71</v>
      </c>
      <c r="Y81" s="189">
        <f>IFERROR(ROUNDDOWN(VLOOKUP(Fleet!$C$80,Equipment!$C$17:$V$20,Equipment!$M$1,FALSE)*60/Y80,0),0)</f>
        <v>73</v>
      </c>
      <c r="Z81" s="189">
        <f>IFERROR(ROUNDDOWN(VLOOKUP(Fleet!$C$80,Equipment!$C$17:$V$20,Equipment!$M$1,FALSE)*60/Z80,0),0)</f>
        <v>76</v>
      </c>
      <c r="AA81" s="189">
        <f>IFERROR(ROUNDDOWN(VLOOKUP(Fleet!$C$80,Equipment!$C$17:$V$20,Equipment!$M$1,FALSE)*60/AA80,0),0)</f>
        <v>0</v>
      </c>
      <c r="AB81" s="189">
        <f>IFERROR(ROUNDDOWN(VLOOKUP(Fleet!$C$80,Equipment!$C$17:$V$20,Equipment!$M$1,FALSE)*60/AB80,0),0)</f>
        <v>0</v>
      </c>
      <c r="AC81" s="189">
        <f>IFERROR(ROUNDDOWN(VLOOKUP(Fleet!$C$80,Equipment!$C$17:$V$20,Equipment!$M$1,FALSE)*60/AC80,0),0)</f>
        <v>0</v>
      </c>
      <c r="AD81" s="189">
        <f>IFERROR(ROUNDDOWN(VLOOKUP(Fleet!$C$80,Equipment!$C$17:$V$20,Equipment!$M$1,FALSE)*60/AD80,0),0)</f>
        <v>0</v>
      </c>
      <c r="AE81" s="189">
        <f>IFERROR(ROUNDDOWN(VLOOKUP(Fleet!$C$80,Equipment!$C$17:$V$20,Equipment!$M$1,FALSE)*60/AE80,0),0)</f>
        <v>0</v>
      </c>
      <c r="AF81" s="189">
        <f>IFERROR(ROUNDDOWN(VLOOKUP(Fleet!$C$80,Equipment!$C$17:$V$20,Equipment!$M$1,FALSE)*60/AF80,0),0)</f>
        <v>0</v>
      </c>
      <c r="AG81" s="189">
        <f>IFERROR(ROUNDDOWN(VLOOKUP(Fleet!$C$80,Equipment!$C$17:$V$20,Equipment!$M$1,FALSE)*60/AG80,0),0)</f>
        <v>0</v>
      </c>
      <c r="AH81" s="189">
        <f>IFERROR(ROUNDDOWN(VLOOKUP(Fleet!$C$80,Equipment!$C$17:$V$20,Equipment!$M$1,FALSE)*60/AH80,0),0)</f>
        <v>0</v>
      </c>
      <c r="AI81" s="189">
        <f>IFERROR(ROUNDDOWN(VLOOKUP(Fleet!$C$80,Equipment!$C$17:$V$20,Equipment!$M$1,FALSE)*60/AI80,0),0)</f>
        <v>0</v>
      </c>
      <c r="AJ81" s="189">
        <f>IFERROR(ROUNDDOWN(VLOOKUP(Fleet!$C$80,Equipment!$C$17:$V$20,Equipment!$M$1,FALSE)*60/AJ80,0),0)</f>
        <v>0</v>
      </c>
      <c r="AK81" s="189">
        <f>IFERROR(ROUNDDOWN(VLOOKUP(Fleet!$C$80,Equipment!$C$17:$V$20,Equipment!$M$1,FALSE)*60/AK80,0),0)</f>
        <v>0</v>
      </c>
      <c r="AL81" s="189">
        <f>IFERROR(ROUNDDOWN(VLOOKUP(Fleet!$C$80,Equipment!$C$17:$V$20,Equipment!$M$1,FALSE)*60/AL80,0),0)</f>
        <v>0</v>
      </c>
      <c r="AM81" s="189">
        <f>IFERROR(ROUNDDOWN(VLOOKUP(Fleet!$C$80,Equipment!$C$17:$V$20,Equipment!$M$1,FALSE)*60/AM80,0),0)</f>
        <v>0</v>
      </c>
    </row>
    <row r="82" spans="1:39">
      <c r="A82" s="121"/>
      <c r="B82" s="1337" t="s">
        <v>1138</v>
      </c>
      <c r="C82" s="1347" t="s">
        <v>1136</v>
      </c>
      <c r="D82" s="1371">
        <f>D81*MIN($G$55:$G$56)*Assumptions_Dashboard!$D$28</f>
        <v>0</v>
      </c>
      <c r="E82" s="1371">
        <f>E81*MIN($G$55:$G$56)*Assumptions_Dashboard!$D$28</f>
        <v>0</v>
      </c>
      <c r="F82" s="1371">
        <f>F81*MIN($G$55:$G$56)*Assumptions_Dashboard!$D$28</f>
        <v>0</v>
      </c>
      <c r="G82" s="1371">
        <f>G81*MIN($G$55:$G$56)*Assumptions_Dashboard!$D$28</f>
        <v>0</v>
      </c>
      <c r="H82" s="1371">
        <f>H81*MIN($G$55:$G$56)*Assumptions_Dashboard!$D$28</f>
        <v>0</v>
      </c>
      <c r="I82" s="1371">
        <f>I81*MIN($G$55:$G$56)*Assumptions_Dashboard!$D$28</f>
        <v>0</v>
      </c>
      <c r="J82" s="1371">
        <f>J81*MIN($G$55:$G$56)*Assumptions_Dashboard!$D$28</f>
        <v>0</v>
      </c>
      <c r="K82" s="1371">
        <f>K81*MIN($G$55:$G$56)*Assumptions_Dashboard!$D$28</f>
        <v>654885.00000000012</v>
      </c>
      <c r="L82" s="1371">
        <f>L81*MIN($G$55:$G$56)*Assumptions_Dashboard!$D$28</f>
        <v>592515.00000000012</v>
      </c>
      <c r="M82" s="1371">
        <f>M81*MIN($G$55:$G$56)*Assumptions_Dashboard!$D$28</f>
        <v>486486.00000000012</v>
      </c>
      <c r="N82" s="1371">
        <f>N81*MIN($G$55:$G$56)*Assumptions_Dashboard!$D$28</f>
        <v>461538.00000000006</v>
      </c>
      <c r="O82" s="1371">
        <f>O81*MIN($G$55:$G$56)*Assumptions_Dashboard!$D$28</f>
        <v>436590.00000000006</v>
      </c>
      <c r="P82" s="1371">
        <f>P81*MIN($G$55:$G$56)*Assumptions_Dashboard!$D$28</f>
        <v>417879.00000000006</v>
      </c>
      <c r="Q82" s="1371">
        <f>Q81*MIN($G$55:$G$56)*Assumptions_Dashboard!$D$28</f>
        <v>399168.00000000006</v>
      </c>
      <c r="R82" s="1371">
        <f>R81*MIN($G$55:$G$56)*Assumptions_Dashboard!$D$28</f>
        <v>405405.00000000006</v>
      </c>
      <c r="S82" s="1371">
        <f>S81*MIN($G$55:$G$56)*Assumptions_Dashboard!$D$28</f>
        <v>405405.00000000006</v>
      </c>
      <c r="T82" s="1371">
        <f>T81*MIN($G$55:$G$56)*Assumptions_Dashboard!$D$28</f>
        <v>411642.00000000006</v>
      </c>
      <c r="U82" s="1371">
        <f>U81*MIN($G$55:$G$56)*Assumptions_Dashboard!$D$28</f>
        <v>417879.00000000006</v>
      </c>
      <c r="V82" s="1371">
        <f>V81*MIN($G$55:$G$56)*Assumptions_Dashboard!$D$28</f>
        <v>424116</v>
      </c>
      <c r="W82" s="1371">
        <f>W81*MIN($G$55:$G$56)*Assumptions_Dashboard!$D$28</f>
        <v>436590.00000000006</v>
      </c>
      <c r="X82" s="1371">
        <f>X81*MIN($G$55:$G$56)*Assumptions_Dashboard!$D$28</f>
        <v>442827.00000000006</v>
      </c>
      <c r="Y82" s="1371">
        <f>Y81*MIN($G$55:$G$56)*Assumptions_Dashboard!$D$28</f>
        <v>455301</v>
      </c>
      <c r="Z82" s="1371">
        <f>Z81*MIN($G$55:$G$56)*Assumptions_Dashboard!$D$28</f>
        <v>474012.00000000006</v>
      </c>
      <c r="AA82" s="1371">
        <f>AA81*MIN($G$55:$G$56)*Assumptions_Dashboard!$D$28</f>
        <v>0</v>
      </c>
      <c r="AB82" s="1371">
        <f>AB81*MIN($G$55:$G$56)*Assumptions_Dashboard!$D$28</f>
        <v>0</v>
      </c>
      <c r="AC82" s="1371">
        <f>AC81*MIN($G$55:$G$56)*Assumptions_Dashboard!$D$28</f>
        <v>0</v>
      </c>
      <c r="AD82" s="1371">
        <f>AD81*MIN($G$55:$G$56)*Assumptions_Dashboard!$D$28</f>
        <v>0</v>
      </c>
      <c r="AE82" s="1371">
        <f>AE81*MIN($G$55:$G$56)*Assumptions_Dashboard!$D$28</f>
        <v>0</v>
      </c>
      <c r="AF82" s="1371">
        <f>AF81*MIN($G$55:$G$56)*Assumptions_Dashboard!$D$28</f>
        <v>0</v>
      </c>
      <c r="AG82" s="1371">
        <f>AG81*MIN($G$55:$G$56)*Assumptions_Dashboard!$D$28</f>
        <v>0</v>
      </c>
      <c r="AH82" s="1371">
        <f>AH81*MIN($G$55:$G$56)*Assumptions_Dashboard!$D$28</f>
        <v>0</v>
      </c>
      <c r="AI82" s="1371">
        <f>AI81*MIN($G$55:$G$56)*Assumptions_Dashboard!$D$28</f>
        <v>0</v>
      </c>
      <c r="AJ82" s="1371">
        <f>AJ81*MIN($G$55:$G$56)*Assumptions_Dashboard!$D$28</f>
        <v>0</v>
      </c>
      <c r="AK82" s="1371">
        <f>AK81*MIN($G$55:$G$56)*Assumptions_Dashboard!$D$28</f>
        <v>0</v>
      </c>
      <c r="AL82" s="1371">
        <f>AL81*MIN($G$55:$G$56)*Assumptions_Dashboard!$D$28</f>
        <v>0</v>
      </c>
      <c r="AM82" s="1371">
        <f>AM81*MIN($G$55:$G$56)*Assumptions_Dashboard!$D$28</f>
        <v>0</v>
      </c>
    </row>
    <row r="83" spans="1:39">
      <c r="A83" s="187" t="str">
        <f>F51</f>
        <v>Top Soil</v>
      </c>
      <c r="B83" s="1367" t="str">
        <f>A83</f>
        <v>Top Soil</v>
      </c>
      <c r="C83" s="1332"/>
      <c r="AM83" s="1373"/>
    </row>
    <row r="84" spans="1:39">
      <c r="A84" s="187"/>
      <c r="B84" s="1369" t="s">
        <v>1131</v>
      </c>
      <c r="C84" s="1332" t="s">
        <v>425</v>
      </c>
      <c r="D84" s="188">
        <f>D78</f>
        <v>0</v>
      </c>
      <c r="E84" s="188">
        <f t="shared" ref="E84:AM84" si="70">E78</f>
        <v>0</v>
      </c>
      <c r="F84" s="188">
        <f t="shared" si="70"/>
        <v>0</v>
      </c>
      <c r="G84" s="188">
        <f t="shared" si="70"/>
        <v>0</v>
      </c>
      <c r="H84" s="188">
        <f t="shared" si="70"/>
        <v>0</v>
      </c>
      <c r="I84" s="188">
        <f t="shared" si="70"/>
        <v>0</v>
      </c>
      <c r="J84" s="188">
        <f t="shared" si="70"/>
        <v>0</v>
      </c>
      <c r="K84" s="188">
        <f t="shared" si="70"/>
        <v>0.8</v>
      </c>
      <c r="L84" s="188">
        <f t="shared" si="70"/>
        <v>1</v>
      </c>
      <c r="M84" s="188">
        <f t="shared" si="70"/>
        <v>1.429094296027819</v>
      </c>
      <c r="N84" s="188">
        <f t="shared" si="70"/>
        <v>1.5718207220208642</v>
      </c>
      <c r="O84" s="188">
        <f t="shared" si="70"/>
        <v>1.7145471480139094</v>
      </c>
      <c r="P84" s="188">
        <f t="shared" si="70"/>
        <v>1.8572735740069546</v>
      </c>
      <c r="Q84" s="188">
        <f t="shared" si="70"/>
        <v>2</v>
      </c>
      <c r="R84" s="188">
        <f t="shared" si="70"/>
        <v>1.96</v>
      </c>
      <c r="S84" s="188">
        <f t="shared" si="70"/>
        <v>1.92</v>
      </c>
      <c r="T84" s="188">
        <f t="shared" si="70"/>
        <v>1.88</v>
      </c>
      <c r="U84" s="188">
        <f t="shared" si="70"/>
        <v>1.8399999999999999</v>
      </c>
      <c r="V84" s="188">
        <f t="shared" si="70"/>
        <v>1.8</v>
      </c>
      <c r="W84" s="188">
        <f t="shared" si="70"/>
        <v>1.74</v>
      </c>
      <c r="X84" s="188">
        <f t="shared" si="70"/>
        <v>1.68</v>
      </c>
      <c r="Y84" s="188">
        <f t="shared" si="70"/>
        <v>1.6199999999999999</v>
      </c>
      <c r="Z84" s="188">
        <f t="shared" si="70"/>
        <v>1.5</v>
      </c>
      <c r="AA84" s="188">
        <f t="shared" si="70"/>
        <v>0</v>
      </c>
      <c r="AB84" s="188">
        <f t="shared" si="70"/>
        <v>0</v>
      </c>
      <c r="AC84" s="188">
        <f t="shared" si="70"/>
        <v>0</v>
      </c>
      <c r="AD84" s="188">
        <f t="shared" si="70"/>
        <v>0</v>
      </c>
      <c r="AE84" s="188">
        <f t="shared" si="70"/>
        <v>0</v>
      </c>
      <c r="AF84" s="188">
        <f t="shared" si="70"/>
        <v>0</v>
      </c>
      <c r="AG84" s="188">
        <f>AG78</f>
        <v>0</v>
      </c>
      <c r="AH84" s="188">
        <f t="shared" si="70"/>
        <v>0</v>
      </c>
      <c r="AI84" s="188">
        <f t="shared" si="70"/>
        <v>0</v>
      </c>
      <c r="AJ84" s="188">
        <f t="shared" si="70"/>
        <v>0</v>
      </c>
      <c r="AK84" s="188">
        <f t="shared" si="70"/>
        <v>0</v>
      </c>
      <c r="AL84" s="188">
        <f t="shared" si="70"/>
        <v>0</v>
      </c>
      <c r="AM84" s="188">
        <f t="shared" si="70"/>
        <v>0</v>
      </c>
    </row>
    <row r="85" spans="1:39">
      <c r="A85" s="121"/>
      <c r="B85" s="1332" t="s">
        <v>1132</v>
      </c>
      <c r="C85" s="1341" t="s">
        <v>1119</v>
      </c>
      <c r="D85" s="189">
        <f>IF(D$64&lt;=0,0,(D84/$F$59+D84/$F$60)*60)</f>
        <v>0</v>
      </c>
      <c r="E85" s="189">
        <f>IF(E$64&lt;=0,0,(E84/$F$59+E84/$F$60)*60)</f>
        <v>0</v>
      </c>
      <c r="F85" s="189">
        <f t="shared" ref="F85:AM85" si="71">IF(F$64&lt;=0,0,(F84/$F$59+F84/$F$60)*60)</f>
        <v>0</v>
      </c>
      <c r="G85" s="189">
        <f t="shared" si="71"/>
        <v>0</v>
      </c>
      <c r="H85" s="189">
        <f t="shared" si="71"/>
        <v>0</v>
      </c>
      <c r="I85" s="189">
        <f t="shared" si="71"/>
        <v>0</v>
      </c>
      <c r="J85" s="189">
        <f t="shared" si="71"/>
        <v>0</v>
      </c>
      <c r="K85" s="189">
        <f t="shared" si="71"/>
        <v>3.5200000000000005</v>
      </c>
      <c r="L85" s="189">
        <f t="shared" si="71"/>
        <v>4.4000000000000004</v>
      </c>
      <c r="M85" s="189">
        <f t="shared" si="71"/>
        <v>6.288014902522403</v>
      </c>
      <c r="N85" s="189">
        <f t="shared" si="71"/>
        <v>6.9160111768918027</v>
      </c>
      <c r="O85" s="189">
        <f t="shared" si="71"/>
        <v>7.5440074512612014</v>
      </c>
      <c r="P85" s="189">
        <f t="shared" si="71"/>
        <v>8.1720037256305993</v>
      </c>
      <c r="Q85" s="189">
        <f t="shared" si="71"/>
        <v>8.8000000000000007</v>
      </c>
      <c r="R85" s="189">
        <f t="shared" si="71"/>
        <v>8.6239999999999988</v>
      </c>
      <c r="S85" s="189">
        <f t="shared" si="71"/>
        <v>8.4479999999999986</v>
      </c>
      <c r="T85" s="189">
        <f t="shared" si="71"/>
        <v>8.2719999999999985</v>
      </c>
      <c r="U85" s="189">
        <f t="shared" si="71"/>
        <v>8.0960000000000001</v>
      </c>
      <c r="V85" s="189">
        <f t="shared" si="71"/>
        <v>7.92</v>
      </c>
      <c r="W85" s="189">
        <f t="shared" si="71"/>
        <v>7.6559999999999997</v>
      </c>
      <c r="X85" s="189">
        <f t="shared" si="71"/>
        <v>7.3920000000000003</v>
      </c>
      <c r="Y85" s="189">
        <f t="shared" si="71"/>
        <v>7.1279999999999992</v>
      </c>
      <c r="Z85" s="189">
        <f t="shared" si="71"/>
        <v>6.6</v>
      </c>
      <c r="AA85" s="189">
        <f t="shared" si="71"/>
        <v>0</v>
      </c>
      <c r="AB85" s="189">
        <f t="shared" si="71"/>
        <v>0</v>
      </c>
      <c r="AC85" s="189">
        <f t="shared" si="71"/>
        <v>0</v>
      </c>
      <c r="AD85" s="189">
        <f t="shared" si="71"/>
        <v>0</v>
      </c>
      <c r="AE85" s="189">
        <f t="shared" si="71"/>
        <v>0</v>
      </c>
      <c r="AF85" s="189">
        <f t="shared" si="71"/>
        <v>0</v>
      </c>
      <c r="AG85" s="189">
        <f t="shared" si="71"/>
        <v>0</v>
      </c>
      <c r="AH85" s="189">
        <f t="shared" si="71"/>
        <v>0</v>
      </c>
      <c r="AI85" s="189">
        <f t="shared" si="71"/>
        <v>0</v>
      </c>
      <c r="AJ85" s="189">
        <f t="shared" si="71"/>
        <v>0</v>
      </c>
      <c r="AK85" s="189">
        <f t="shared" si="71"/>
        <v>0</v>
      </c>
      <c r="AL85" s="189">
        <f t="shared" si="71"/>
        <v>0</v>
      </c>
      <c r="AM85" s="189">
        <f t="shared" si="71"/>
        <v>0</v>
      </c>
    </row>
    <row r="86" spans="1:39">
      <c r="A86" s="121"/>
      <c r="B86" s="1332" t="s">
        <v>1133</v>
      </c>
      <c r="C86" s="1341" t="s">
        <v>1119</v>
      </c>
      <c r="D86" s="190">
        <f>IF(D$85=0,0,D85+$F$47+($F$57+$F$58)/60)</f>
        <v>0</v>
      </c>
      <c r="E86" s="190">
        <f t="shared" ref="E86:AM86" si="72">IF(E$85=0,0,E85+$F$47+($F$57+$F$58)/60)</f>
        <v>0</v>
      </c>
      <c r="F86" s="190">
        <f t="shared" si="72"/>
        <v>0</v>
      </c>
      <c r="G86" s="190">
        <f t="shared" si="72"/>
        <v>0</v>
      </c>
      <c r="H86" s="190">
        <f>IF(H$85=0,0,H85+$F$47+($F$57+$F$58)/60)</f>
        <v>0</v>
      </c>
      <c r="I86" s="190">
        <f t="shared" si="72"/>
        <v>0</v>
      </c>
      <c r="J86" s="190">
        <f t="shared" si="72"/>
        <v>0</v>
      </c>
      <c r="K86" s="190">
        <f t="shared" si="72"/>
        <v>11.686666666666667</v>
      </c>
      <c r="L86" s="190">
        <f t="shared" si="72"/>
        <v>12.566666666666666</v>
      </c>
      <c r="M86" s="190">
        <f t="shared" si="72"/>
        <v>14.45468156918907</v>
      </c>
      <c r="N86" s="190">
        <f t="shared" si="72"/>
        <v>15.08267784355847</v>
      </c>
      <c r="O86" s="190">
        <f t="shared" si="72"/>
        <v>15.710674117927869</v>
      </c>
      <c r="P86" s="190">
        <f t="shared" si="72"/>
        <v>16.338670392297267</v>
      </c>
      <c r="Q86" s="190">
        <f t="shared" si="72"/>
        <v>16.966666666666669</v>
      </c>
      <c r="R86" s="190">
        <f t="shared" si="72"/>
        <v>16.790666666666667</v>
      </c>
      <c r="S86" s="190">
        <f t="shared" si="72"/>
        <v>16.614666666666665</v>
      </c>
      <c r="T86" s="190">
        <f t="shared" si="72"/>
        <v>16.438666666666666</v>
      </c>
      <c r="U86" s="190">
        <f t="shared" si="72"/>
        <v>16.262666666666668</v>
      </c>
      <c r="V86" s="190">
        <f t="shared" si="72"/>
        <v>16.086666666666666</v>
      </c>
      <c r="W86" s="190">
        <f t="shared" si="72"/>
        <v>15.822666666666667</v>
      </c>
      <c r="X86" s="190">
        <f t="shared" si="72"/>
        <v>15.558666666666667</v>
      </c>
      <c r="Y86" s="190">
        <f t="shared" si="72"/>
        <v>15.294666666666666</v>
      </c>
      <c r="Z86" s="190">
        <f t="shared" si="72"/>
        <v>14.766666666666666</v>
      </c>
      <c r="AA86" s="190">
        <f t="shared" si="72"/>
        <v>0</v>
      </c>
      <c r="AB86" s="190">
        <f t="shared" si="72"/>
        <v>0</v>
      </c>
      <c r="AC86" s="190">
        <f t="shared" si="72"/>
        <v>0</v>
      </c>
      <c r="AD86" s="190">
        <f t="shared" si="72"/>
        <v>0</v>
      </c>
      <c r="AE86" s="190">
        <f t="shared" si="72"/>
        <v>0</v>
      </c>
      <c r="AF86" s="190">
        <f t="shared" si="72"/>
        <v>0</v>
      </c>
      <c r="AG86" s="190">
        <f t="shared" si="72"/>
        <v>0</v>
      </c>
      <c r="AH86" s="190">
        <f t="shared" si="72"/>
        <v>0</v>
      </c>
      <c r="AI86" s="190">
        <f t="shared" si="72"/>
        <v>0</v>
      </c>
      <c r="AJ86" s="190">
        <f t="shared" si="72"/>
        <v>0</v>
      </c>
      <c r="AK86" s="190">
        <f t="shared" si="72"/>
        <v>0</v>
      </c>
      <c r="AL86" s="190">
        <f t="shared" si="72"/>
        <v>0</v>
      </c>
      <c r="AM86" s="1370">
        <f t="shared" si="72"/>
        <v>0</v>
      </c>
    </row>
    <row r="87" spans="1:39">
      <c r="A87" s="121"/>
      <c r="B87" s="1332" t="s">
        <v>1134</v>
      </c>
      <c r="C87" s="1341" t="s">
        <v>740</v>
      </c>
      <c r="D87" s="189">
        <f>IFERROR(ROUNDDOWN(VLOOKUP(Fleet!$C$65,Equipment!$C$17:$V$20,Equipment!$M$1,FALSE)*60/D86,0),0)</f>
        <v>0</v>
      </c>
      <c r="E87" s="189">
        <f>IFERROR(ROUNDDOWN(VLOOKUP(Fleet!$C$65,Equipment!$C$17:$V$20,Equipment!$M$1,FALSE)*60/E86,0),0)</f>
        <v>0</v>
      </c>
      <c r="F87" s="189">
        <f>IFERROR(ROUNDDOWN(VLOOKUP(Fleet!$C$65,Equipment!$C$17:$V$20,Equipment!$M$1,FALSE)*60/F86,0),0)</f>
        <v>0</v>
      </c>
      <c r="G87" s="189">
        <f>IFERROR(ROUNDDOWN(VLOOKUP(Fleet!$C$65,Equipment!$C$17:$V$20,Equipment!$M$1,FALSE)*60/G86,0),0)</f>
        <v>0</v>
      </c>
      <c r="H87" s="189">
        <f>IFERROR(ROUNDDOWN(VLOOKUP(Fleet!$C$65,Equipment!$C$17:$V$20,Equipment!$M$1,FALSE)*60/H86,0),0)</f>
        <v>0</v>
      </c>
      <c r="I87" s="189">
        <f>IFERROR(ROUNDDOWN(VLOOKUP(Fleet!$C$65,Equipment!$C$17:$V$20,Equipment!$M$1,FALSE)*60/I86,0),0)</f>
        <v>0</v>
      </c>
      <c r="J87" s="189">
        <f>IFERROR(ROUNDDOWN(VLOOKUP(Fleet!$C$65,Equipment!$C$17:$V$20,Equipment!$M$1,FALSE)*60/J86,0),0)</f>
        <v>0</v>
      </c>
      <c r="K87" s="189">
        <f>IFERROR(ROUNDDOWN(VLOOKUP(Fleet!$C$65,Equipment!$C$17:$V$20,Equipment!$M$1,FALSE)*60/K86,0),0)</f>
        <v>73</v>
      </c>
      <c r="L87" s="189">
        <f>IFERROR(ROUNDDOWN(VLOOKUP(Fleet!$C$65,Equipment!$C$17:$V$20,Equipment!$M$1,FALSE)*60/L86,0),0)</f>
        <v>68</v>
      </c>
      <c r="M87" s="189">
        <f>IFERROR(ROUNDDOWN(VLOOKUP(Fleet!$C$65,Equipment!$C$17:$V$20,Equipment!$M$1,FALSE)*60/M86,0),0)</f>
        <v>59</v>
      </c>
      <c r="N87" s="189">
        <f>IFERROR(ROUNDDOWN(VLOOKUP(Fleet!$C$65,Equipment!$C$17:$V$20,Equipment!$M$1,FALSE)*60/N86,0),0)</f>
        <v>57</v>
      </c>
      <c r="O87" s="189">
        <f>IFERROR(ROUNDDOWN(VLOOKUP(Fleet!$C$65,Equipment!$C$17:$V$20,Equipment!$M$1,FALSE)*60/O86,0),0)</f>
        <v>54</v>
      </c>
      <c r="P87" s="189">
        <f>IFERROR(ROUNDDOWN(VLOOKUP(Fleet!$C$65,Equipment!$C$17:$V$20,Equipment!$M$1,FALSE)*60/P86,0),0)</f>
        <v>52</v>
      </c>
      <c r="Q87" s="189">
        <f>IFERROR(ROUNDDOWN(VLOOKUP(Fleet!$C$65,Equipment!$C$17:$V$20,Equipment!$M$1,FALSE)*60/Q86,0),0)</f>
        <v>50</v>
      </c>
      <c r="R87" s="189">
        <f>IFERROR(ROUNDDOWN(VLOOKUP(Fleet!$C$65,Equipment!$C$17:$V$20,Equipment!$M$1,FALSE)*60/R86,0),0)</f>
        <v>51</v>
      </c>
      <c r="S87" s="189">
        <f>IFERROR(ROUNDDOWN(VLOOKUP(Fleet!$C$65,Equipment!$C$17:$V$20,Equipment!$M$1,FALSE)*60/S86,0),0)</f>
        <v>52</v>
      </c>
      <c r="T87" s="189">
        <f>IFERROR(ROUNDDOWN(VLOOKUP(Fleet!$C$65,Equipment!$C$17:$V$20,Equipment!$M$1,FALSE)*60/T86,0),0)</f>
        <v>52</v>
      </c>
      <c r="U87" s="189">
        <f>IFERROR(ROUNDDOWN(VLOOKUP(Fleet!$C$65,Equipment!$C$17:$V$20,Equipment!$M$1,FALSE)*60/U86,0),0)</f>
        <v>53</v>
      </c>
      <c r="V87" s="189">
        <f>IFERROR(ROUNDDOWN(VLOOKUP(Fleet!$C$65,Equipment!$C$17:$V$20,Equipment!$M$1,FALSE)*60/V86,0),0)</f>
        <v>53</v>
      </c>
      <c r="W87" s="189">
        <f>IFERROR(ROUNDDOWN(VLOOKUP(Fleet!$C$65,Equipment!$C$17:$V$20,Equipment!$M$1,FALSE)*60/W86,0),0)</f>
        <v>54</v>
      </c>
      <c r="X87" s="189">
        <f>IFERROR(ROUNDDOWN(VLOOKUP(Fleet!$C$65,Equipment!$C$17:$V$20,Equipment!$M$1,FALSE)*60/X86,0),0)</f>
        <v>55</v>
      </c>
      <c r="Y87" s="189">
        <f>IFERROR(ROUNDDOWN(VLOOKUP(Fleet!$C$65,Equipment!$C$17:$V$20,Equipment!$M$1,FALSE)*60/Y86,0),0)</f>
        <v>56</v>
      </c>
      <c r="Z87" s="189">
        <f>IFERROR(ROUNDDOWN(VLOOKUP(Fleet!$C$65,Equipment!$C$17:$V$20,Equipment!$M$1,FALSE)*60/Z86,0),0)</f>
        <v>58</v>
      </c>
      <c r="AA87" s="189">
        <f>IFERROR(ROUNDDOWN(VLOOKUP(Fleet!$C$65,Equipment!$C$17:$V$20,Equipment!$M$1,FALSE)*60/AA86,0),0)</f>
        <v>0</v>
      </c>
      <c r="AB87" s="189">
        <f>IFERROR(ROUNDDOWN(VLOOKUP(Fleet!$C$65,Equipment!$C$17:$V$20,Equipment!$M$1,FALSE)*60/AB86,0),0)</f>
        <v>0</v>
      </c>
      <c r="AC87" s="189">
        <f>IFERROR(ROUNDDOWN(VLOOKUP(Fleet!$C$65,Equipment!$C$17:$V$20,Equipment!$M$1,FALSE)*60/AC86,0),0)</f>
        <v>0</v>
      </c>
      <c r="AD87" s="189">
        <f>IFERROR(ROUNDDOWN(VLOOKUP(Fleet!$C$65,Equipment!$C$17:$V$20,Equipment!$M$1,FALSE)*60/AD86,0),0)</f>
        <v>0</v>
      </c>
      <c r="AE87" s="189">
        <f>IFERROR(ROUNDDOWN(VLOOKUP(Fleet!$C$65,Equipment!$C$17:$V$20,Equipment!$M$1,FALSE)*60/AE86,0),0)</f>
        <v>0</v>
      </c>
      <c r="AF87" s="189">
        <f>IFERROR(ROUNDDOWN(VLOOKUP(Fleet!$C$65,Equipment!$C$17:$V$20,Equipment!$M$1,FALSE)*60/AF86,0),0)</f>
        <v>0</v>
      </c>
      <c r="AG87" s="189">
        <f>IFERROR(ROUNDDOWN(VLOOKUP(Fleet!$C$65,Equipment!$C$17:$V$20,Equipment!$M$1,FALSE)*60/AG86,0),0)</f>
        <v>0</v>
      </c>
      <c r="AH87" s="189">
        <f>IFERROR(ROUNDDOWN(VLOOKUP(Fleet!$C$65,Equipment!$C$17:$V$20,Equipment!$M$1,FALSE)*60/AH86,0),0)</f>
        <v>0</v>
      </c>
      <c r="AI87" s="189">
        <f>IFERROR(ROUNDDOWN(VLOOKUP(Fleet!$C$65,Equipment!$C$17:$V$20,Equipment!$M$1,FALSE)*60/AI86,0),0)</f>
        <v>0</v>
      </c>
      <c r="AJ87" s="189">
        <f>IFERROR(ROUNDDOWN(VLOOKUP(Fleet!$C$65,Equipment!$C$17:$V$20,Equipment!$M$1,FALSE)*60/AJ86,0),0)</f>
        <v>0</v>
      </c>
      <c r="AK87" s="189">
        <f>IFERROR(ROUNDDOWN(VLOOKUP(Fleet!$C$65,Equipment!$C$17:$V$20,Equipment!$M$1,FALSE)*60/AK86,0),0)</f>
        <v>0</v>
      </c>
      <c r="AL87" s="189">
        <f>IFERROR(ROUNDDOWN(VLOOKUP(Fleet!$C$65,Equipment!$C$17:$V$20,Equipment!$M$1,FALSE)*60/AL86,0),0)</f>
        <v>0</v>
      </c>
      <c r="AM87" s="189">
        <f>IFERROR(ROUNDDOWN(VLOOKUP(Fleet!$C$65,Equipment!$C$17:$V$20,Equipment!$M$1,FALSE)*60/AM86,0),0)</f>
        <v>0</v>
      </c>
    </row>
    <row r="88" spans="1:39">
      <c r="A88" s="121"/>
      <c r="B88" s="1337" t="s">
        <v>1138</v>
      </c>
      <c r="C88" s="1347" t="s">
        <v>1136</v>
      </c>
      <c r="D88" s="1371">
        <f>D87*MIN($F$55:$F$56)*Assumptions_Dashboard!$D$28</f>
        <v>0</v>
      </c>
      <c r="E88" s="1371">
        <f>E87*MIN($F$55:$F$56)*Assumptions_Dashboard!$D$28</f>
        <v>0</v>
      </c>
      <c r="F88" s="1371">
        <f>F87*MIN($F$55:$F$56)*Assumptions_Dashboard!$D$28</f>
        <v>0</v>
      </c>
      <c r="G88" s="1371">
        <f>G87*MIN($F$55:$F$56)*Assumptions_Dashboard!$D$28</f>
        <v>0</v>
      </c>
      <c r="H88" s="1371">
        <f>H87*MIN($F$55:$F$56)*Assumptions_Dashboard!$D$28</f>
        <v>0</v>
      </c>
      <c r="I88" s="1371">
        <f>I87*MIN($F$55:$F$56)*Assumptions_Dashboard!$D$28</f>
        <v>0</v>
      </c>
      <c r="J88" s="1371">
        <f>J87*MIN($F$55:$F$56)*Assumptions_Dashboard!$D$28</f>
        <v>0</v>
      </c>
      <c r="K88" s="1371">
        <f>K87*MIN($F$55:$F$56)*Assumptions_Dashboard!$D$28</f>
        <v>206485.71428571426</v>
      </c>
      <c r="L88" s="1371">
        <f>L87*MIN($F$55:$F$56)*Assumptions_Dashboard!$D$28</f>
        <v>192342.85714285716</v>
      </c>
      <c r="M88" s="1371">
        <f>M87*MIN($F$55:$F$56)*Assumptions_Dashboard!$D$28</f>
        <v>166885.71428571429</v>
      </c>
      <c r="N88" s="1371">
        <f>N87*MIN($F$55:$F$56)*Assumptions_Dashboard!$D$28</f>
        <v>161228.57142857142</v>
      </c>
      <c r="O88" s="1371">
        <f>O87*MIN($F$55:$F$56)*Assumptions_Dashboard!$D$28</f>
        <v>152742.85714285713</v>
      </c>
      <c r="P88" s="1371">
        <f>P87*MIN($F$55:$F$56)*Assumptions_Dashboard!$D$28</f>
        <v>147085.71428571429</v>
      </c>
      <c r="Q88" s="1371">
        <f>Q87*MIN($F$55:$F$56)*Assumptions_Dashboard!$D$28</f>
        <v>141428.57142857142</v>
      </c>
      <c r="R88" s="1371">
        <f>R87*MIN($F$55:$F$56)*Assumptions_Dashboard!$D$28</f>
        <v>144257.14285714284</v>
      </c>
      <c r="S88" s="1371">
        <f>S87*MIN($F$55:$F$56)*Assumptions_Dashboard!$D$28</f>
        <v>147085.71428571429</v>
      </c>
      <c r="T88" s="1371">
        <f>T87*MIN($F$55:$F$56)*Assumptions_Dashboard!$D$28</f>
        <v>147085.71428571429</v>
      </c>
      <c r="U88" s="1371">
        <f>U87*MIN($F$55:$F$56)*Assumptions_Dashboard!$D$28</f>
        <v>149914.28571428571</v>
      </c>
      <c r="V88" s="1371">
        <f>V87*MIN($F$55:$F$56)*Assumptions_Dashboard!$D$28</f>
        <v>149914.28571428571</v>
      </c>
      <c r="W88" s="1371">
        <f>W87*MIN($F$55:$F$56)*Assumptions_Dashboard!$D$28</f>
        <v>152742.85714285713</v>
      </c>
      <c r="X88" s="1371">
        <f>X87*MIN($F$55:$F$56)*Assumptions_Dashboard!$D$28</f>
        <v>155571.42857142855</v>
      </c>
      <c r="Y88" s="1371">
        <f>Y87*MIN($F$55:$F$56)*Assumptions_Dashboard!$D$28</f>
        <v>158400</v>
      </c>
      <c r="Z88" s="1371">
        <f>Z87*MIN($F$55:$F$56)*Assumptions_Dashboard!$D$28</f>
        <v>164057.14285714284</v>
      </c>
      <c r="AA88" s="1371">
        <f>AA87*MIN($F$55:$F$56)*Assumptions_Dashboard!$D$28</f>
        <v>0</v>
      </c>
      <c r="AB88" s="1371">
        <f>AB87*MIN($F$55:$F$56)*Assumptions_Dashboard!$D$28</f>
        <v>0</v>
      </c>
      <c r="AC88" s="1371">
        <f>AC87*MIN($F$55:$F$56)*Assumptions_Dashboard!$D$28</f>
        <v>0</v>
      </c>
      <c r="AD88" s="1371">
        <f>AD87*MIN($F$55:$F$56)*Assumptions_Dashboard!$D$28</f>
        <v>0</v>
      </c>
      <c r="AE88" s="1371">
        <f>AE87*MIN($F$55:$F$56)*Assumptions_Dashboard!$D$28</f>
        <v>0</v>
      </c>
      <c r="AF88" s="1371">
        <f>AF87*MIN($F$55:$F$56)*Assumptions_Dashboard!$D$28</f>
        <v>0</v>
      </c>
      <c r="AG88" s="1371">
        <f>AG87*MIN($F$55:$F$56)*Assumptions_Dashboard!$D$28</f>
        <v>0</v>
      </c>
      <c r="AH88" s="1371">
        <f>AH87*MIN($F$55:$F$56)*Assumptions_Dashboard!$D$28</f>
        <v>0</v>
      </c>
      <c r="AI88" s="1371">
        <f>AI87*MIN($F$55:$F$56)*Assumptions_Dashboard!$D$28</f>
        <v>0</v>
      </c>
      <c r="AJ88" s="1371">
        <f>AJ87*MIN($F$55:$F$56)*Assumptions_Dashboard!$D$28</f>
        <v>0</v>
      </c>
      <c r="AK88" s="1371">
        <f>AK87*MIN($F$55:$F$56)*Assumptions_Dashboard!$D$28</f>
        <v>0</v>
      </c>
      <c r="AL88" s="1371">
        <f>AL87*MIN($F$55:$F$56)*Assumptions_Dashboard!$D$28</f>
        <v>0</v>
      </c>
      <c r="AM88" s="1371">
        <f>AM87*MIN($F$55:$F$56)*Assumptions_Dashboard!$D$28</f>
        <v>0</v>
      </c>
    </row>
    <row r="89" spans="1:39">
      <c r="A89" s="187" t="str">
        <f>E51</f>
        <v>Waste - OB &amp; Thick Parting</v>
      </c>
      <c r="B89" s="1367" t="str">
        <f>A89</f>
        <v>Waste - OB &amp; Thick Parting</v>
      </c>
      <c r="C89" s="1332"/>
      <c r="AM89" s="1373"/>
    </row>
    <row r="90" spans="1:39">
      <c r="A90" s="187"/>
      <c r="B90" s="1369" t="s">
        <v>1131</v>
      </c>
      <c r="C90" s="1332" t="s">
        <v>425</v>
      </c>
      <c r="D90" s="188">
        <f>'Production Schedule'!E25</f>
        <v>0</v>
      </c>
      <c r="E90" s="188">
        <f>'Production Schedule'!F25</f>
        <v>0</v>
      </c>
      <c r="F90" s="188">
        <f>'Production Schedule'!G25</f>
        <v>0</v>
      </c>
      <c r="G90" s="188">
        <f>'Production Schedule'!H25</f>
        <v>0</v>
      </c>
      <c r="H90" s="188">
        <f>'Production Schedule'!I25</f>
        <v>0</v>
      </c>
      <c r="I90" s="188">
        <f>'Production Schedule'!J25</f>
        <v>0</v>
      </c>
      <c r="J90" s="188">
        <f>'Production Schedule'!K25</f>
        <v>0</v>
      </c>
      <c r="K90" s="188">
        <f>'Production Schedule'!L25</f>
        <v>0.8</v>
      </c>
      <c r="L90" s="188">
        <f>'Production Schedule'!M25</f>
        <v>1</v>
      </c>
      <c r="M90" s="188">
        <f>'Production Schedule'!N25</f>
        <v>1.429094296027819</v>
      </c>
      <c r="N90" s="188">
        <f>'Production Schedule'!O25</f>
        <v>1.5718207220208642</v>
      </c>
      <c r="O90" s="188">
        <f>'Production Schedule'!P25</f>
        <v>1.7145471480139094</v>
      </c>
      <c r="P90" s="188">
        <f>'Production Schedule'!Q25</f>
        <v>1.8572735740069546</v>
      </c>
      <c r="Q90" s="188">
        <f>'Production Schedule'!R25</f>
        <v>2</v>
      </c>
      <c r="R90" s="188">
        <f>'Production Schedule'!S25</f>
        <v>1.96</v>
      </c>
      <c r="S90" s="188">
        <f>'Production Schedule'!T25</f>
        <v>1.92</v>
      </c>
      <c r="T90" s="188">
        <f>'Production Schedule'!U25</f>
        <v>1.88</v>
      </c>
      <c r="U90" s="188">
        <f>'Production Schedule'!V25</f>
        <v>1.8399999999999999</v>
      </c>
      <c r="V90" s="188">
        <f>'Production Schedule'!W25</f>
        <v>1.8</v>
      </c>
      <c r="W90" s="188">
        <f>'Production Schedule'!X25</f>
        <v>1.74</v>
      </c>
      <c r="X90" s="188">
        <f>'Production Schedule'!Y25</f>
        <v>1.68</v>
      </c>
      <c r="Y90" s="188">
        <f>'Production Schedule'!Z25</f>
        <v>1.6199999999999999</v>
      </c>
      <c r="Z90" s="188">
        <f>'Production Schedule'!AA25</f>
        <v>1.5</v>
      </c>
      <c r="AA90" s="188">
        <f>'Production Schedule'!AB25</f>
        <v>0</v>
      </c>
      <c r="AB90" s="188">
        <f>'Production Schedule'!AC25</f>
        <v>0</v>
      </c>
      <c r="AC90" s="188">
        <f>'Production Schedule'!AD25</f>
        <v>0</v>
      </c>
      <c r="AD90" s="188">
        <f>'Production Schedule'!AE25</f>
        <v>0</v>
      </c>
      <c r="AE90" s="188">
        <f>'Production Schedule'!AF25</f>
        <v>0</v>
      </c>
      <c r="AF90" s="188">
        <f>'Production Schedule'!AG25</f>
        <v>0</v>
      </c>
      <c r="AG90" s="188">
        <f>'Production Schedule'!AH25</f>
        <v>0</v>
      </c>
      <c r="AH90" s="188">
        <f>'Production Schedule'!AI25</f>
        <v>0</v>
      </c>
      <c r="AI90" s="188">
        <f>'Production Schedule'!AJ25</f>
        <v>0</v>
      </c>
      <c r="AJ90" s="188">
        <f>'Production Schedule'!AK25</f>
        <v>0</v>
      </c>
      <c r="AK90" s="188">
        <f>'Production Schedule'!AL25</f>
        <v>0</v>
      </c>
      <c r="AL90" s="188">
        <f>'Production Schedule'!AM25</f>
        <v>0</v>
      </c>
      <c r="AM90" s="188">
        <f>'Production Schedule'!AN25</f>
        <v>0</v>
      </c>
    </row>
    <row r="91" spans="1:39">
      <c r="A91" s="121"/>
      <c r="B91" s="1332" t="s">
        <v>1132</v>
      </c>
      <c r="C91" s="1341" t="s">
        <v>1119</v>
      </c>
      <c r="D91" s="189">
        <f>IF(D$64&lt;=0,0,(D90/$E$59+D90/$E$60)*60)</f>
        <v>0</v>
      </c>
      <c r="E91" s="189">
        <f t="shared" ref="E91:AM91" si="73">IF(E$64&lt;=0,0,(E90/$E$59+E90/$E$60)*60)</f>
        <v>0</v>
      </c>
      <c r="F91" s="189">
        <f t="shared" si="73"/>
        <v>0</v>
      </c>
      <c r="G91" s="189">
        <f t="shared" si="73"/>
        <v>0</v>
      </c>
      <c r="H91" s="189">
        <f>IF(H$64&lt;=0,0,(H90/$E$59+H90/$E$60)*60)</f>
        <v>0</v>
      </c>
      <c r="I91" s="189">
        <f t="shared" si="73"/>
        <v>0</v>
      </c>
      <c r="J91" s="189">
        <f t="shared" si="73"/>
        <v>0</v>
      </c>
      <c r="K91" s="189">
        <f t="shared" si="73"/>
        <v>3.5200000000000005</v>
      </c>
      <c r="L91" s="189">
        <f t="shared" si="73"/>
        <v>4.4000000000000004</v>
      </c>
      <c r="M91" s="189">
        <f t="shared" si="73"/>
        <v>6.288014902522403</v>
      </c>
      <c r="N91" s="189">
        <f t="shared" si="73"/>
        <v>6.9160111768918027</v>
      </c>
      <c r="O91" s="189">
        <f t="shared" si="73"/>
        <v>7.5440074512612014</v>
      </c>
      <c r="P91" s="189">
        <f t="shared" si="73"/>
        <v>8.1720037256305993</v>
      </c>
      <c r="Q91" s="189">
        <f t="shared" si="73"/>
        <v>8.8000000000000007</v>
      </c>
      <c r="R91" s="189">
        <f t="shared" si="73"/>
        <v>8.6239999999999988</v>
      </c>
      <c r="S91" s="189">
        <f t="shared" si="73"/>
        <v>8.4479999999999986</v>
      </c>
      <c r="T91" s="189">
        <f t="shared" si="73"/>
        <v>8.2719999999999985</v>
      </c>
      <c r="U91" s="189">
        <f t="shared" si="73"/>
        <v>8.0960000000000001</v>
      </c>
      <c r="V91" s="189">
        <f t="shared" si="73"/>
        <v>7.92</v>
      </c>
      <c r="W91" s="189">
        <f t="shared" si="73"/>
        <v>7.6559999999999997</v>
      </c>
      <c r="X91" s="189">
        <f t="shared" si="73"/>
        <v>7.3920000000000003</v>
      </c>
      <c r="Y91" s="189">
        <f t="shared" si="73"/>
        <v>7.1279999999999992</v>
      </c>
      <c r="Z91" s="189">
        <f t="shared" si="73"/>
        <v>6.6</v>
      </c>
      <c r="AA91" s="189">
        <f t="shared" si="73"/>
        <v>0</v>
      </c>
      <c r="AB91" s="189">
        <f t="shared" si="73"/>
        <v>0</v>
      </c>
      <c r="AC91" s="189">
        <f t="shared" si="73"/>
        <v>0</v>
      </c>
      <c r="AD91" s="189">
        <f t="shared" si="73"/>
        <v>0</v>
      </c>
      <c r="AE91" s="189">
        <f t="shared" si="73"/>
        <v>0</v>
      </c>
      <c r="AF91" s="189">
        <f t="shared" si="73"/>
        <v>0</v>
      </c>
      <c r="AG91" s="189">
        <f t="shared" si="73"/>
        <v>0</v>
      </c>
      <c r="AH91" s="189">
        <f t="shared" si="73"/>
        <v>0</v>
      </c>
      <c r="AI91" s="189">
        <f t="shared" si="73"/>
        <v>0</v>
      </c>
      <c r="AJ91" s="189">
        <f t="shared" si="73"/>
        <v>0</v>
      </c>
      <c r="AK91" s="189">
        <f t="shared" si="73"/>
        <v>0</v>
      </c>
      <c r="AL91" s="189">
        <f t="shared" si="73"/>
        <v>0</v>
      </c>
      <c r="AM91" s="189">
        <f t="shared" si="73"/>
        <v>0</v>
      </c>
    </row>
    <row r="92" spans="1:39">
      <c r="A92" s="121"/>
      <c r="B92" s="1332" t="s">
        <v>1133</v>
      </c>
      <c r="C92" s="1341" t="s">
        <v>1119</v>
      </c>
      <c r="D92" s="190">
        <f>IF(D$91=0,0,D91+$E$47+($E$57+$E$58)/60)</f>
        <v>0</v>
      </c>
      <c r="E92" s="190">
        <f>IF(E$91=0,0,E91+$E$47+($E$57+$E$58)/60)</f>
        <v>0</v>
      </c>
      <c r="F92" s="190">
        <f t="shared" ref="F92:AM92" si="74">IF(F$91=0,0,F91+$E$47+($E$57+$E$58)/60)</f>
        <v>0</v>
      </c>
      <c r="G92" s="190">
        <f t="shared" si="74"/>
        <v>0</v>
      </c>
      <c r="H92" s="190">
        <f>IF(H$91=0,0,H91+$E$47+($E$57+$E$58)/60)</f>
        <v>0</v>
      </c>
      <c r="I92" s="190">
        <f t="shared" si="74"/>
        <v>0</v>
      </c>
      <c r="J92" s="190">
        <f t="shared" si="74"/>
        <v>0</v>
      </c>
      <c r="K92" s="190">
        <f t="shared" si="74"/>
        <v>8.77</v>
      </c>
      <c r="L92" s="190">
        <f t="shared" si="74"/>
        <v>9.65</v>
      </c>
      <c r="M92" s="190">
        <f t="shared" si="74"/>
        <v>11.538014902522402</v>
      </c>
      <c r="N92" s="190">
        <f t="shared" si="74"/>
        <v>12.166011176891804</v>
      </c>
      <c r="O92" s="190">
        <f t="shared" si="74"/>
        <v>12.794007451261201</v>
      </c>
      <c r="P92" s="190">
        <f t="shared" si="74"/>
        <v>13.422003725630599</v>
      </c>
      <c r="Q92" s="190">
        <f t="shared" si="74"/>
        <v>14.05</v>
      </c>
      <c r="R92" s="190">
        <f t="shared" si="74"/>
        <v>13.873999999999999</v>
      </c>
      <c r="S92" s="190">
        <f t="shared" si="74"/>
        <v>13.697999999999999</v>
      </c>
      <c r="T92" s="190">
        <f t="shared" si="74"/>
        <v>13.521999999999998</v>
      </c>
      <c r="U92" s="190">
        <f t="shared" si="74"/>
        <v>13.346</v>
      </c>
      <c r="V92" s="190">
        <f t="shared" si="74"/>
        <v>13.17</v>
      </c>
      <c r="W92" s="190">
        <f t="shared" si="74"/>
        <v>12.905999999999999</v>
      </c>
      <c r="X92" s="190">
        <f t="shared" si="74"/>
        <v>12.641999999999999</v>
      </c>
      <c r="Y92" s="190">
        <f t="shared" si="74"/>
        <v>12.378</v>
      </c>
      <c r="Z92" s="190">
        <f t="shared" si="74"/>
        <v>11.85</v>
      </c>
      <c r="AA92" s="190">
        <f t="shared" si="74"/>
        <v>0</v>
      </c>
      <c r="AB92" s="190">
        <f t="shared" si="74"/>
        <v>0</v>
      </c>
      <c r="AC92" s="190">
        <f t="shared" si="74"/>
        <v>0</v>
      </c>
      <c r="AD92" s="190">
        <f t="shared" si="74"/>
        <v>0</v>
      </c>
      <c r="AE92" s="190">
        <f t="shared" si="74"/>
        <v>0</v>
      </c>
      <c r="AF92" s="190">
        <f t="shared" si="74"/>
        <v>0</v>
      </c>
      <c r="AG92" s="190">
        <f t="shared" si="74"/>
        <v>0</v>
      </c>
      <c r="AH92" s="190">
        <f t="shared" si="74"/>
        <v>0</v>
      </c>
      <c r="AI92" s="190">
        <f t="shared" si="74"/>
        <v>0</v>
      </c>
      <c r="AJ92" s="190">
        <f t="shared" si="74"/>
        <v>0</v>
      </c>
      <c r="AK92" s="190">
        <f t="shared" si="74"/>
        <v>0</v>
      </c>
      <c r="AL92" s="190">
        <f t="shared" si="74"/>
        <v>0</v>
      </c>
      <c r="AM92" s="1370">
        <f t="shared" si="74"/>
        <v>0</v>
      </c>
    </row>
    <row r="93" spans="1:39">
      <c r="A93" s="121"/>
      <c r="B93" s="1332" t="s">
        <v>1134</v>
      </c>
      <c r="C93" s="1341" t="s">
        <v>740</v>
      </c>
      <c r="D93" s="189">
        <f>IFERROR(ROUNDDOWN(VLOOKUP(Fleet!$C$75,Equipment!$C$17:$V$20,Equipment!$M$1,FALSE)*60/D92,0),0)</f>
        <v>0</v>
      </c>
      <c r="E93" s="189">
        <f>IFERROR(ROUNDDOWN(VLOOKUP(Fleet!$C$75,Equipment!$C$17:$V$20,Equipment!$M$1,FALSE)*60/E92,0),0)</f>
        <v>0</v>
      </c>
      <c r="F93" s="189">
        <f>IFERROR(ROUNDDOWN(VLOOKUP(Fleet!$C$75,Equipment!$C$17:$V$20,Equipment!$M$1,FALSE)*60/F92,0),0)</f>
        <v>0</v>
      </c>
      <c r="G93" s="189">
        <f>IFERROR(ROUNDDOWN(VLOOKUP(Fleet!$C$75,Equipment!$C$17:$V$20,Equipment!$M$1,FALSE)*60/G92,0),0)</f>
        <v>0</v>
      </c>
      <c r="H93" s="189">
        <f>IFERROR(ROUNDDOWN(VLOOKUP(Fleet!$C$75,Equipment!$C$17:$V$20,Equipment!$M$1,FALSE)*60/H92,0),0)</f>
        <v>0</v>
      </c>
      <c r="I93" s="189">
        <f>IFERROR(ROUNDDOWN(VLOOKUP(Fleet!$C$75,Equipment!$C$17:$V$20,Equipment!$M$1,FALSE)*60/I92,0),0)</f>
        <v>0</v>
      </c>
      <c r="J93" s="189">
        <f>IFERROR(ROUNDDOWN(VLOOKUP(Fleet!$C$75,Equipment!$C$17:$V$20,Equipment!$M$1,FALSE)*60/J92,0),0)</f>
        <v>0</v>
      </c>
      <c r="K93" s="189">
        <f>IFERROR(ROUNDDOWN(VLOOKUP(Fleet!$C$75,Equipment!$C$17:$V$20,Equipment!$M$1,FALSE)*60/K92,0),0)</f>
        <v>98</v>
      </c>
      <c r="L93" s="189">
        <f>IFERROR(ROUNDDOWN(VLOOKUP(Fleet!$C$75,Equipment!$C$17:$V$20,Equipment!$M$1,FALSE)*60/L92,0),0)</f>
        <v>89</v>
      </c>
      <c r="M93" s="189">
        <f>IFERROR(ROUNDDOWN(VLOOKUP(Fleet!$C$75,Equipment!$C$17:$V$20,Equipment!$M$1,FALSE)*60/M92,0),0)</f>
        <v>74</v>
      </c>
      <c r="N93" s="189">
        <f>IFERROR(ROUNDDOWN(VLOOKUP(Fleet!$C$75,Equipment!$C$17:$V$20,Equipment!$M$1,FALSE)*60/N92,0),0)</f>
        <v>71</v>
      </c>
      <c r="O93" s="189">
        <f>IFERROR(ROUNDDOWN(VLOOKUP(Fleet!$C$75,Equipment!$C$17:$V$20,Equipment!$M$1,FALSE)*60/O92,0),0)</f>
        <v>67</v>
      </c>
      <c r="P93" s="189">
        <f>IFERROR(ROUNDDOWN(VLOOKUP(Fleet!$C$75,Equipment!$C$17:$V$20,Equipment!$M$1,FALSE)*60/P92,0),0)</f>
        <v>64</v>
      </c>
      <c r="Q93" s="189">
        <f>IFERROR(ROUNDDOWN(VLOOKUP(Fleet!$C$75,Equipment!$C$17:$V$20,Equipment!$M$1,FALSE)*60/Q92,0),0)</f>
        <v>61</v>
      </c>
      <c r="R93" s="189">
        <f>IFERROR(ROUNDDOWN(VLOOKUP(Fleet!$C$75,Equipment!$C$17:$V$20,Equipment!$M$1,FALSE)*60/R92,0),0)</f>
        <v>62</v>
      </c>
      <c r="S93" s="189">
        <f>IFERROR(ROUNDDOWN(VLOOKUP(Fleet!$C$75,Equipment!$C$17:$V$20,Equipment!$M$1,FALSE)*60/S92,0),0)</f>
        <v>63</v>
      </c>
      <c r="T93" s="189">
        <f>IFERROR(ROUNDDOWN(VLOOKUP(Fleet!$C$75,Equipment!$C$17:$V$20,Equipment!$M$1,FALSE)*60/T92,0),0)</f>
        <v>63</v>
      </c>
      <c r="U93" s="189">
        <f>IFERROR(ROUNDDOWN(VLOOKUP(Fleet!$C$75,Equipment!$C$17:$V$20,Equipment!$M$1,FALSE)*60/U92,0),0)</f>
        <v>64</v>
      </c>
      <c r="V93" s="189">
        <f>IFERROR(ROUNDDOWN(VLOOKUP(Fleet!$C$75,Equipment!$C$17:$V$20,Equipment!$M$1,FALSE)*60/V92,0),0)</f>
        <v>65</v>
      </c>
      <c r="W93" s="189">
        <f>IFERROR(ROUNDDOWN(VLOOKUP(Fleet!$C$75,Equipment!$C$17:$V$20,Equipment!$M$1,FALSE)*60/W92,0),0)</f>
        <v>66</v>
      </c>
      <c r="X93" s="189">
        <f>IFERROR(ROUNDDOWN(VLOOKUP(Fleet!$C$75,Equipment!$C$17:$V$20,Equipment!$M$1,FALSE)*60/X92,0),0)</f>
        <v>68</v>
      </c>
      <c r="Y93" s="189">
        <f>IFERROR(ROUNDDOWN(VLOOKUP(Fleet!$C$75,Equipment!$C$17:$V$20,Equipment!$M$1,FALSE)*60/Y92,0),0)</f>
        <v>69</v>
      </c>
      <c r="Z93" s="189">
        <f>IFERROR(ROUNDDOWN(VLOOKUP(Fleet!$C$75,Equipment!$C$17:$V$20,Equipment!$M$1,FALSE)*60/Z92,0),0)</f>
        <v>72</v>
      </c>
      <c r="AA93" s="189">
        <f>IFERROR(ROUNDDOWN(VLOOKUP(Fleet!$C$75,Equipment!$C$17:$V$20,Equipment!$M$1,FALSE)*60/AA92,0),0)</f>
        <v>0</v>
      </c>
      <c r="AB93" s="189">
        <f>IFERROR(ROUNDDOWN(VLOOKUP(Fleet!$C$75,Equipment!$C$17:$V$20,Equipment!$M$1,FALSE)*60/AB92,0),0)</f>
        <v>0</v>
      </c>
      <c r="AC93" s="189">
        <f>IFERROR(ROUNDDOWN(VLOOKUP(Fleet!$C$75,Equipment!$C$17:$V$20,Equipment!$M$1,FALSE)*60/AC92,0),0)</f>
        <v>0</v>
      </c>
      <c r="AD93" s="189">
        <f>IFERROR(ROUNDDOWN(VLOOKUP(Fleet!$C$75,Equipment!$C$17:$V$20,Equipment!$M$1,FALSE)*60/AD92,0),0)</f>
        <v>0</v>
      </c>
      <c r="AE93" s="189">
        <f>IFERROR(ROUNDDOWN(VLOOKUP(Fleet!$C$75,Equipment!$C$17:$V$20,Equipment!$M$1,FALSE)*60/AE92,0),0)</f>
        <v>0</v>
      </c>
      <c r="AF93" s="189">
        <f>IFERROR(ROUNDDOWN(VLOOKUP(Fleet!$C$75,Equipment!$C$17:$V$20,Equipment!$M$1,FALSE)*60/AF92,0),0)</f>
        <v>0</v>
      </c>
      <c r="AG93" s="189">
        <f>IFERROR(ROUNDDOWN(VLOOKUP(Fleet!$C$75,Equipment!$C$17:$V$20,Equipment!$M$1,FALSE)*60/AG92,0),0)</f>
        <v>0</v>
      </c>
      <c r="AH93" s="189">
        <f>IFERROR(ROUNDDOWN(VLOOKUP(Fleet!$C$75,Equipment!$C$17:$V$20,Equipment!$M$1,FALSE)*60/AH92,0),0)</f>
        <v>0</v>
      </c>
      <c r="AI93" s="189">
        <f>IFERROR(ROUNDDOWN(VLOOKUP(Fleet!$C$75,Equipment!$C$17:$V$20,Equipment!$M$1,FALSE)*60/AI92,0),0)</f>
        <v>0</v>
      </c>
      <c r="AJ93" s="189">
        <f>IFERROR(ROUNDDOWN(VLOOKUP(Fleet!$C$75,Equipment!$C$17:$V$20,Equipment!$M$1,FALSE)*60/AJ92,0),0)</f>
        <v>0</v>
      </c>
      <c r="AK93" s="189">
        <f>IFERROR(ROUNDDOWN(VLOOKUP(Fleet!$C$75,Equipment!$C$17:$V$20,Equipment!$M$1,FALSE)*60/AK92,0),0)</f>
        <v>0</v>
      </c>
      <c r="AL93" s="189">
        <f>IFERROR(ROUNDDOWN(VLOOKUP(Fleet!$C$75,Equipment!$C$17:$V$20,Equipment!$M$1,FALSE)*60/AL92,0),0)</f>
        <v>0</v>
      </c>
      <c r="AM93" s="189">
        <f>IFERROR(ROUNDDOWN(VLOOKUP(Fleet!$C$75,Equipment!$C$17:$V$20,Equipment!$M$1,FALSE)*60/AM92,0),0)</f>
        <v>0</v>
      </c>
    </row>
    <row r="94" spans="1:39">
      <c r="A94" s="121"/>
      <c r="B94" s="1337" t="s">
        <v>1138</v>
      </c>
      <c r="C94" s="1347" t="s">
        <v>1136</v>
      </c>
      <c r="D94" s="1371">
        <f>D93*MIN($E$55:$E$56)*Assumptions_Dashboard!$D$28</f>
        <v>0</v>
      </c>
      <c r="E94" s="1371">
        <f>E93*MIN($E$55:$E$56)*Assumptions_Dashboard!$D$28</f>
        <v>0</v>
      </c>
      <c r="F94" s="1371">
        <f>F93*MIN($E$55:$E$56)*Assumptions_Dashboard!$D$28</f>
        <v>0</v>
      </c>
      <c r="G94" s="1371">
        <f>G93*MIN($E$55:$E$56)*Assumptions_Dashboard!$D$28</f>
        <v>0</v>
      </c>
      <c r="H94" s="1371">
        <f>H93*MIN($E$55:$E$56)*Assumptions_Dashboard!$D$28</f>
        <v>0</v>
      </c>
      <c r="I94" s="1371">
        <f>I93*MIN($E$55:$E$56)*Assumptions_Dashboard!$D$28</f>
        <v>0</v>
      </c>
      <c r="J94" s="1371">
        <f>J93*MIN($E$55:$E$56)*Assumptions_Dashboard!$D$28</f>
        <v>0</v>
      </c>
      <c r="K94" s="1371">
        <f>K93*MIN($E$55:$E$56)*Assumptions_Dashboard!$D$28</f>
        <v>1386000</v>
      </c>
      <c r="L94" s="1371">
        <f>L93*MIN($E$55:$E$56)*Assumptions_Dashboard!$D$28</f>
        <v>1258714.2857142857</v>
      </c>
      <c r="M94" s="1371">
        <f>M93*MIN($E$55:$E$56)*Assumptions_Dashboard!$D$28</f>
        <v>1046571.4285714285</v>
      </c>
      <c r="N94" s="1371">
        <f>N93*MIN($E$55:$E$56)*Assumptions_Dashboard!$D$28</f>
        <v>1004142.857142857</v>
      </c>
      <c r="O94" s="1371">
        <f>O93*MIN($E$55:$E$56)*Assumptions_Dashboard!$D$28</f>
        <v>947571.42857142852</v>
      </c>
      <c r="P94" s="1371">
        <f>P93*MIN($E$55:$E$56)*Assumptions_Dashboard!$D$28</f>
        <v>905142.85714285704</v>
      </c>
      <c r="Q94" s="1371">
        <f>Q93*MIN($E$55:$E$56)*Assumptions_Dashboard!$D$28</f>
        <v>862714.28571428568</v>
      </c>
      <c r="R94" s="1371">
        <f>R93*MIN($E$55:$E$56)*Assumptions_Dashboard!$D$28</f>
        <v>876857.14285714272</v>
      </c>
      <c r="S94" s="1371">
        <f>S93*MIN($E$55:$E$56)*Assumptions_Dashboard!$D$28</f>
        <v>891000</v>
      </c>
      <c r="T94" s="1371">
        <f>T93*MIN($E$55:$E$56)*Assumptions_Dashboard!$D$28</f>
        <v>891000</v>
      </c>
      <c r="U94" s="1371">
        <f>U93*MIN($E$55:$E$56)*Assumptions_Dashboard!$D$28</f>
        <v>905142.85714285704</v>
      </c>
      <c r="V94" s="1371">
        <f>V93*MIN($E$55:$E$56)*Assumptions_Dashboard!$D$28</f>
        <v>919285.7142857142</v>
      </c>
      <c r="W94" s="1371">
        <f>W93*MIN($E$55:$E$56)*Assumptions_Dashboard!$D$28</f>
        <v>933428.57142857136</v>
      </c>
      <c r="X94" s="1371">
        <f>X93*MIN($E$55:$E$56)*Assumptions_Dashboard!$D$28</f>
        <v>961714.28571428568</v>
      </c>
      <c r="Y94" s="1371">
        <f>Y93*MIN($E$55:$E$56)*Assumptions_Dashboard!$D$28</f>
        <v>975857.14285714272</v>
      </c>
      <c r="Z94" s="1371">
        <f>Z93*MIN($E$55:$E$56)*Assumptions_Dashboard!$D$28</f>
        <v>1018285.7142857142</v>
      </c>
      <c r="AA94" s="1371">
        <f>AA93*MIN($E$55:$E$56)*Assumptions_Dashboard!$D$28</f>
        <v>0</v>
      </c>
      <c r="AB94" s="1371">
        <f>AB93*MIN($E$55:$E$56)*Assumptions_Dashboard!$D$28</f>
        <v>0</v>
      </c>
      <c r="AC94" s="1371">
        <f>AC93*MIN($E$55:$E$56)*Assumptions_Dashboard!$D$28</f>
        <v>0</v>
      </c>
      <c r="AD94" s="1371">
        <f>AD93*MIN($E$55:$E$56)*Assumptions_Dashboard!$D$28</f>
        <v>0</v>
      </c>
      <c r="AE94" s="1371">
        <f>AE93*MIN($E$55:$E$56)*Assumptions_Dashboard!$D$28</f>
        <v>0</v>
      </c>
      <c r="AF94" s="1371">
        <f>AF93*MIN($E$55:$E$56)*Assumptions_Dashboard!$D$28</f>
        <v>0</v>
      </c>
      <c r="AG94" s="1371">
        <f>AG93*MIN($E$55:$E$56)*Assumptions_Dashboard!$D$28</f>
        <v>0</v>
      </c>
      <c r="AH94" s="1371">
        <f>AH93*MIN($E$55:$E$56)*Assumptions_Dashboard!$D$28</f>
        <v>0</v>
      </c>
      <c r="AI94" s="1371">
        <f>AI93*MIN($E$55:$E$56)*Assumptions_Dashboard!$D$28</f>
        <v>0</v>
      </c>
      <c r="AJ94" s="1371">
        <f>AJ93*MIN($E$55:$E$56)*Assumptions_Dashboard!$D$28</f>
        <v>0</v>
      </c>
      <c r="AK94" s="1371">
        <f>AK93*MIN($E$55:$E$56)*Assumptions_Dashboard!$D$28</f>
        <v>0</v>
      </c>
      <c r="AL94" s="1371">
        <f>AL93*MIN($E$55:$E$56)*Assumptions_Dashboard!$D$28</f>
        <v>0</v>
      </c>
      <c r="AM94" s="1371">
        <f>AM93*MIN($E$55:$E$56)*Assumptions_Dashboard!$D$28</f>
        <v>0</v>
      </c>
    </row>
    <row r="95" spans="1:39">
      <c r="A95" s="187" t="s">
        <v>1139</v>
      </c>
      <c r="B95" s="1367" t="str">
        <f>A95</f>
        <v xml:space="preserve">Waste - Rehandle </v>
      </c>
      <c r="C95" s="1332"/>
      <c r="AM95" s="1373"/>
    </row>
    <row r="96" spans="1:39">
      <c r="A96" s="187"/>
      <c r="B96" s="1369" t="s">
        <v>1131</v>
      </c>
      <c r="C96" s="1332" t="s">
        <v>425</v>
      </c>
      <c r="D96" s="188">
        <f>'Production Schedule'!E26</f>
        <v>0</v>
      </c>
      <c r="E96" s="188">
        <f>'Production Schedule'!F26</f>
        <v>0</v>
      </c>
      <c r="F96" s="188">
        <f>'Production Schedule'!G26</f>
        <v>0</v>
      </c>
      <c r="G96" s="188">
        <f>'Production Schedule'!H26</f>
        <v>0</v>
      </c>
      <c r="H96" s="188">
        <f>'Production Schedule'!I26</f>
        <v>1.4757639816533545</v>
      </c>
      <c r="I96" s="188">
        <f>'Production Schedule'!J26</f>
        <v>1.8169713233676761</v>
      </c>
      <c r="J96" s="188">
        <f>'Production Schedule'!K26</f>
        <v>1.7860171818200261</v>
      </c>
      <c r="K96" s="188">
        <f>'Production Schedule'!L26</f>
        <v>1.8</v>
      </c>
      <c r="L96" s="188">
        <f>'Production Schedule'!M26</f>
        <v>1.8</v>
      </c>
      <c r="M96" s="188">
        <f>'Production Schedule'!N26</f>
        <v>0</v>
      </c>
      <c r="N96" s="188">
        <f>'Production Schedule'!O26</f>
        <v>0</v>
      </c>
      <c r="O96" s="188">
        <f>'Production Schedule'!P26</f>
        <v>0</v>
      </c>
      <c r="P96" s="188">
        <f>'Production Schedule'!Q26</f>
        <v>0</v>
      </c>
      <c r="Q96" s="188">
        <f>'Production Schedule'!R26</f>
        <v>0</v>
      </c>
      <c r="R96" s="188">
        <f>'Production Schedule'!S26</f>
        <v>0</v>
      </c>
      <c r="S96" s="188">
        <f>'Production Schedule'!T26</f>
        <v>0</v>
      </c>
      <c r="T96" s="188">
        <f>'Production Schedule'!U26</f>
        <v>0</v>
      </c>
      <c r="U96" s="188">
        <f>'Production Schedule'!V26</f>
        <v>0</v>
      </c>
      <c r="V96" s="188">
        <f>'Production Schedule'!W26</f>
        <v>0</v>
      </c>
      <c r="W96" s="188">
        <f>'Production Schedule'!X26</f>
        <v>0</v>
      </c>
      <c r="X96" s="188">
        <f>'Production Schedule'!Y26</f>
        <v>0</v>
      </c>
      <c r="Y96" s="188">
        <f>'Production Schedule'!Z26</f>
        <v>0</v>
      </c>
      <c r="Z96" s="188">
        <f>'Production Schedule'!AA26</f>
        <v>0</v>
      </c>
      <c r="AA96" s="188">
        <f>'Production Schedule'!AB26</f>
        <v>0</v>
      </c>
      <c r="AB96" s="188">
        <f>'Production Schedule'!AC26</f>
        <v>0</v>
      </c>
      <c r="AC96" s="188">
        <f>'Production Schedule'!AD26</f>
        <v>0</v>
      </c>
      <c r="AD96" s="188">
        <f>'Production Schedule'!AE26</f>
        <v>0</v>
      </c>
      <c r="AE96" s="188">
        <f>'Production Schedule'!AF26</f>
        <v>0</v>
      </c>
      <c r="AF96" s="188">
        <f>'Production Schedule'!AG26</f>
        <v>0</v>
      </c>
      <c r="AG96" s="188">
        <f>'Production Schedule'!AH26</f>
        <v>0</v>
      </c>
      <c r="AH96" s="188">
        <f>'Production Schedule'!AI26</f>
        <v>0</v>
      </c>
      <c r="AI96" s="188">
        <f>'Production Schedule'!AJ26</f>
        <v>0</v>
      </c>
      <c r="AJ96" s="188">
        <f>'Production Schedule'!AK26</f>
        <v>0</v>
      </c>
      <c r="AK96" s="188">
        <f>'Production Schedule'!AL26</f>
        <v>0</v>
      </c>
      <c r="AL96" s="188">
        <f>'Production Schedule'!AM26</f>
        <v>0</v>
      </c>
      <c r="AM96" s="188">
        <f>'Production Schedule'!AN26</f>
        <v>0</v>
      </c>
    </row>
    <row r="97" spans="1:39">
      <c r="A97" s="121"/>
      <c r="B97" s="1332" t="s">
        <v>1132</v>
      </c>
      <c r="C97" s="1341" t="s">
        <v>1119</v>
      </c>
      <c r="D97" s="189">
        <f>IF(D$64&lt;=0,0,(D96/$E$59+D96/$E$60)*60)</f>
        <v>0</v>
      </c>
      <c r="E97" s="189">
        <f t="shared" ref="E97:AM97" si="75">IF(E$64&lt;=0,0,(E96/$E$59+E96/$E$60)*60)</f>
        <v>0</v>
      </c>
      <c r="F97" s="189">
        <f t="shared" si="75"/>
        <v>0</v>
      </c>
      <c r="G97" s="189">
        <f t="shared" si="75"/>
        <v>0</v>
      </c>
      <c r="H97" s="189">
        <f>IF(H$64&lt;=0,0,(H96/$E$59+H96/$E$60)*60)</f>
        <v>6.4933615192747602</v>
      </c>
      <c r="I97" s="189">
        <f t="shared" si="75"/>
        <v>7.9946738228177754</v>
      </c>
      <c r="J97" s="189">
        <f t="shared" si="75"/>
        <v>7.8584756000081155</v>
      </c>
      <c r="K97" s="189">
        <f t="shared" si="75"/>
        <v>7.92</v>
      </c>
      <c r="L97" s="189">
        <f t="shared" si="75"/>
        <v>7.92</v>
      </c>
      <c r="M97" s="189">
        <f t="shared" si="75"/>
        <v>0</v>
      </c>
      <c r="N97" s="189">
        <f t="shared" si="75"/>
        <v>0</v>
      </c>
      <c r="O97" s="189">
        <f t="shared" si="75"/>
        <v>0</v>
      </c>
      <c r="P97" s="189">
        <f t="shared" si="75"/>
        <v>0</v>
      </c>
      <c r="Q97" s="189">
        <f t="shared" si="75"/>
        <v>0</v>
      </c>
      <c r="R97" s="189">
        <f t="shared" si="75"/>
        <v>0</v>
      </c>
      <c r="S97" s="189">
        <f t="shared" si="75"/>
        <v>0</v>
      </c>
      <c r="T97" s="189">
        <f t="shared" si="75"/>
        <v>0</v>
      </c>
      <c r="U97" s="189">
        <f t="shared" si="75"/>
        <v>0</v>
      </c>
      <c r="V97" s="189">
        <f t="shared" si="75"/>
        <v>0</v>
      </c>
      <c r="W97" s="189">
        <f t="shared" si="75"/>
        <v>0</v>
      </c>
      <c r="X97" s="189">
        <f t="shared" si="75"/>
        <v>0</v>
      </c>
      <c r="Y97" s="189">
        <f t="shared" si="75"/>
        <v>0</v>
      </c>
      <c r="Z97" s="189">
        <f t="shared" si="75"/>
        <v>0</v>
      </c>
      <c r="AA97" s="189">
        <f t="shared" si="75"/>
        <v>0</v>
      </c>
      <c r="AB97" s="189">
        <f t="shared" si="75"/>
        <v>0</v>
      </c>
      <c r="AC97" s="189">
        <f t="shared" si="75"/>
        <v>0</v>
      </c>
      <c r="AD97" s="189">
        <f t="shared" si="75"/>
        <v>0</v>
      </c>
      <c r="AE97" s="189">
        <f t="shared" si="75"/>
        <v>0</v>
      </c>
      <c r="AF97" s="189">
        <f t="shared" si="75"/>
        <v>0</v>
      </c>
      <c r="AG97" s="189">
        <f t="shared" si="75"/>
        <v>0</v>
      </c>
      <c r="AH97" s="189">
        <f t="shared" si="75"/>
        <v>0</v>
      </c>
      <c r="AI97" s="189">
        <f t="shared" si="75"/>
        <v>0</v>
      </c>
      <c r="AJ97" s="189">
        <f t="shared" si="75"/>
        <v>0</v>
      </c>
      <c r="AK97" s="189">
        <f t="shared" si="75"/>
        <v>0</v>
      </c>
      <c r="AL97" s="189">
        <f t="shared" si="75"/>
        <v>0</v>
      </c>
      <c r="AM97" s="189">
        <f t="shared" si="75"/>
        <v>0</v>
      </c>
    </row>
    <row r="98" spans="1:39">
      <c r="A98" s="121"/>
      <c r="B98" s="1332" t="s">
        <v>1133</v>
      </c>
      <c r="C98" s="1341" t="s">
        <v>1119</v>
      </c>
      <c r="D98" s="190">
        <f>IF(D$97=0,0,D97+$E$47+($D$57+$D$58)/60)</f>
        <v>0</v>
      </c>
      <c r="E98" s="190">
        <f t="shared" ref="E98:AM98" si="76">IF(E$97=0,0,E97+$E$47+($D$57+$D$58)/60)</f>
        <v>0</v>
      </c>
      <c r="F98" s="190">
        <f t="shared" si="76"/>
        <v>0</v>
      </c>
      <c r="G98" s="190">
        <f t="shared" si="76"/>
        <v>0</v>
      </c>
      <c r="H98" s="190">
        <f t="shared" si="76"/>
        <v>11.74336151927476</v>
      </c>
      <c r="I98" s="190">
        <f t="shared" si="76"/>
        <v>13.244673822817775</v>
      </c>
      <c r="J98" s="190">
        <f t="shared" si="76"/>
        <v>13.108475600008116</v>
      </c>
      <c r="K98" s="190">
        <f t="shared" si="76"/>
        <v>13.17</v>
      </c>
      <c r="L98" s="190">
        <f t="shared" si="76"/>
        <v>13.17</v>
      </c>
      <c r="M98" s="190">
        <f t="shared" si="76"/>
        <v>0</v>
      </c>
      <c r="N98" s="190">
        <f t="shared" si="76"/>
        <v>0</v>
      </c>
      <c r="O98" s="190">
        <f t="shared" si="76"/>
        <v>0</v>
      </c>
      <c r="P98" s="190">
        <f t="shared" si="76"/>
        <v>0</v>
      </c>
      <c r="Q98" s="190">
        <f t="shared" si="76"/>
        <v>0</v>
      </c>
      <c r="R98" s="190">
        <f t="shared" si="76"/>
        <v>0</v>
      </c>
      <c r="S98" s="190">
        <f t="shared" si="76"/>
        <v>0</v>
      </c>
      <c r="T98" s="190">
        <f t="shared" si="76"/>
        <v>0</v>
      </c>
      <c r="U98" s="190">
        <f t="shared" si="76"/>
        <v>0</v>
      </c>
      <c r="V98" s="190">
        <f t="shared" si="76"/>
        <v>0</v>
      </c>
      <c r="W98" s="190">
        <f t="shared" si="76"/>
        <v>0</v>
      </c>
      <c r="X98" s="190">
        <f t="shared" si="76"/>
        <v>0</v>
      </c>
      <c r="Y98" s="190">
        <f t="shared" si="76"/>
        <v>0</v>
      </c>
      <c r="Z98" s="190">
        <f t="shared" si="76"/>
        <v>0</v>
      </c>
      <c r="AA98" s="190">
        <f t="shared" si="76"/>
        <v>0</v>
      </c>
      <c r="AB98" s="190">
        <f t="shared" si="76"/>
        <v>0</v>
      </c>
      <c r="AC98" s="190">
        <f t="shared" si="76"/>
        <v>0</v>
      </c>
      <c r="AD98" s="190">
        <f t="shared" si="76"/>
        <v>0</v>
      </c>
      <c r="AE98" s="190">
        <f t="shared" si="76"/>
        <v>0</v>
      </c>
      <c r="AF98" s="190">
        <f t="shared" si="76"/>
        <v>0</v>
      </c>
      <c r="AG98" s="190">
        <f t="shared" si="76"/>
        <v>0</v>
      </c>
      <c r="AH98" s="190">
        <f t="shared" si="76"/>
        <v>0</v>
      </c>
      <c r="AI98" s="190">
        <f t="shared" si="76"/>
        <v>0</v>
      </c>
      <c r="AJ98" s="190">
        <f t="shared" si="76"/>
        <v>0</v>
      </c>
      <c r="AK98" s="190">
        <f t="shared" si="76"/>
        <v>0</v>
      </c>
      <c r="AL98" s="190">
        <f t="shared" si="76"/>
        <v>0</v>
      </c>
      <c r="AM98" s="190">
        <f t="shared" si="76"/>
        <v>0</v>
      </c>
    </row>
    <row r="99" spans="1:39">
      <c r="A99" s="121"/>
      <c r="B99" s="1332" t="s">
        <v>1134</v>
      </c>
      <c r="C99" s="1341" t="s">
        <v>740</v>
      </c>
      <c r="D99" s="189">
        <f>IFERROR(ROUNDDOWN(VLOOKUP(Fleet!$C$75,Equipment!$C$17:$V$20,Equipment!$M$1,FALSE)*60/D98,0),0)</f>
        <v>0</v>
      </c>
      <c r="E99" s="189">
        <f>IFERROR(ROUNDDOWN(VLOOKUP(Fleet!$C$75,Equipment!$C$17:$V$20,Equipment!$M$1,FALSE)*60/E98,0),0)</f>
        <v>0</v>
      </c>
      <c r="F99" s="189">
        <f>IFERROR(ROUNDDOWN(VLOOKUP(Fleet!$C$75,Equipment!$C$17:$V$20,Equipment!$M$1,FALSE)*60/F98,0),0)</f>
        <v>0</v>
      </c>
      <c r="G99" s="189">
        <f>IFERROR(ROUNDDOWN(VLOOKUP(Fleet!$C$75,Equipment!$C$17:$V$20,Equipment!$M$1,FALSE)*60/G98,0),0)</f>
        <v>0</v>
      </c>
      <c r="H99" s="189">
        <f>IFERROR(ROUNDDOWN(VLOOKUP(Fleet!$C$75,Equipment!$C$17:$V$20,Equipment!$M$1,FALSE)*60/H98,0),0)</f>
        <v>73</v>
      </c>
      <c r="I99" s="189">
        <f>IFERROR(ROUNDDOWN(VLOOKUP(Fleet!$C$75,Equipment!$C$17:$V$20,Equipment!$M$1,FALSE)*60/I98,0),0)</f>
        <v>65</v>
      </c>
      <c r="J99" s="189">
        <f>IFERROR(ROUNDDOWN(VLOOKUP(Fleet!$C$75,Equipment!$C$17:$V$20,Equipment!$M$1,FALSE)*60/J98,0),0)</f>
        <v>65</v>
      </c>
      <c r="K99" s="189">
        <f>IFERROR(ROUNDDOWN(VLOOKUP(Fleet!$C$75,Equipment!$C$17:$V$20,Equipment!$M$1,FALSE)*60/K98,0),0)</f>
        <v>65</v>
      </c>
      <c r="L99" s="189">
        <f>IFERROR(ROUNDDOWN(VLOOKUP(Fleet!$C$75,Equipment!$C$17:$V$20,Equipment!$M$1,FALSE)*60/L98,0),0)</f>
        <v>65</v>
      </c>
      <c r="M99" s="189">
        <f>IFERROR(ROUNDDOWN(VLOOKUP(Fleet!$C$75,Equipment!$C$17:$V$20,Equipment!$M$1,FALSE)*60/M98,0),0)</f>
        <v>0</v>
      </c>
      <c r="N99" s="189">
        <f>IFERROR(ROUNDDOWN(VLOOKUP(Fleet!$C$75,Equipment!$C$17:$V$20,Equipment!$M$1,FALSE)*60/N98,0),0)</f>
        <v>0</v>
      </c>
      <c r="O99" s="189">
        <f>IFERROR(ROUNDDOWN(VLOOKUP(Fleet!$C$75,Equipment!$C$17:$V$20,Equipment!$M$1,FALSE)*60/O98,0),0)</f>
        <v>0</v>
      </c>
      <c r="P99" s="189">
        <f>IFERROR(ROUNDDOWN(VLOOKUP(Fleet!$C$75,Equipment!$C$17:$V$20,Equipment!$M$1,FALSE)*60/P98,0),0)</f>
        <v>0</v>
      </c>
      <c r="Q99" s="189">
        <f>IFERROR(ROUNDDOWN(VLOOKUP(Fleet!$C$75,Equipment!$C$17:$V$20,Equipment!$M$1,FALSE)*60/Q98,0),0)</f>
        <v>0</v>
      </c>
      <c r="R99" s="189">
        <f>IFERROR(ROUNDDOWN(VLOOKUP(Fleet!$C$75,Equipment!$C$17:$V$20,Equipment!$M$1,FALSE)*60/R98,0),0)</f>
        <v>0</v>
      </c>
      <c r="S99" s="189">
        <f>IFERROR(ROUNDDOWN(VLOOKUP(Fleet!$C$75,Equipment!$C$17:$V$20,Equipment!$M$1,FALSE)*60/S98,0),0)</f>
        <v>0</v>
      </c>
      <c r="T99" s="189">
        <f>IFERROR(ROUNDDOWN(VLOOKUP(Fleet!$C$75,Equipment!$C$17:$V$20,Equipment!$M$1,FALSE)*60/T98,0),0)</f>
        <v>0</v>
      </c>
      <c r="U99" s="189">
        <f>IFERROR(ROUNDDOWN(VLOOKUP(Fleet!$C$75,Equipment!$C$17:$V$20,Equipment!$M$1,FALSE)*60/U98,0),0)</f>
        <v>0</v>
      </c>
      <c r="V99" s="189">
        <f>IFERROR(ROUNDDOWN(VLOOKUP(Fleet!$C$75,Equipment!$C$17:$V$20,Equipment!$M$1,FALSE)*60/V98,0),0)</f>
        <v>0</v>
      </c>
      <c r="W99" s="189">
        <f>IFERROR(ROUNDDOWN(VLOOKUP(Fleet!$C$75,Equipment!$C$17:$V$20,Equipment!$M$1,FALSE)*60/W98,0),0)</f>
        <v>0</v>
      </c>
      <c r="X99" s="189">
        <f>IFERROR(ROUNDDOWN(VLOOKUP(Fleet!$C$75,Equipment!$C$17:$V$20,Equipment!$M$1,FALSE)*60/X98,0),0)</f>
        <v>0</v>
      </c>
      <c r="Y99" s="189">
        <f>IFERROR(ROUNDDOWN(VLOOKUP(Fleet!$C$75,Equipment!$C$17:$V$20,Equipment!$M$1,FALSE)*60/Y98,0),0)</f>
        <v>0</v>
      </c>
      <c r="Z99" s="189">
        <f>IFERROR(ROUNDDOWN(VLOOKUP(Fleet!$C$75,Equipment!$C$17:$V$20,Equipment!$M$1,FALSE)*60/Z98,0),0)</f>
        <v>0</v>
      </c>
      <c r="AA99" s="189">
        <f>IFERROR(ROUNDDOWN(VLOOKUP(Fleet!$C$75,Equipment!$C$17:$V$20,Equipment!$M$1,FALSE)*60/AA98,0),0)</f>
        <v>0</v>
      </c>
      <c r="AB99" s="189">
        <f>IFERROR(ROUNDDOWN(VLOOKUP(Fleet!$C$75,Equipment!$C$17:$V$20,Equipment!$M$1,FALSE)*60/AB98,0),0)</f>
        <v>0</v>
      </c>
      <c r="AC99" s="189">
        <f>IFERROR(ROUNDDOWN(VLOOKUP(Fleet!$C$75,Equipment!$C$17:$V$20,Equipment!$M$1,FALSE)*60/AC98,0),0)</f>
        <v>0</v>
      </c>
      <c r="AD99" s="189">
        <f>IFERROR(ROUNDDOWN(VLOOKUP(Fleet!$C$75,Equipment!$C$17:$V$20,Equipment!$M$1,FALSE)*60/AD98,0),0)</f>
        <v>0</v>
      </c>
      <c r="AE99" s="189">
        <f>IFERROR(ROUNDDOWN(VLOOKUP(Fleet!$C$75,Equipment!$C$17:$V$20,Equipment!$M$1,FALSE)*60/AE98,0),0)</f>
        <v>0</v>
      </c>
      <c r="AF99" s="189">
        <f>IFERROR(ROUNDDOWN(VLOOKUP(Fleet!$C$75,Equipment!$C$17:$V$20,Equipment!$M$1,FALSE)*60/AF98,0),0)</f>
        <v>0</v>
      </c>
      <c r="AG99" s="189">
        <f>IFERROR(ROUNDDOWN(VLOOKUP(Fleet!$C$75,Equipment!$C$17:$V$20,Equipment!$M$1,FALSE)*60/AG98,0),0)</f>
        <v>0</v>
      </c>
      <c r="AH99" s="189">
        <f>IFERROR(ROUNDDOWN(VLOOKUP(Fleet!$C$75,Equipment!$C$17:$V$20,Equipment!$M$1,FALSE)*60/AH98,0),0)</f>
        <v>0</v>
      </c>
      <c r="AI99" s="189">
        <f>IFERROR(ROUNDDOWN(VLOOKUP(Fleet!$C$75,Equipment!$C$17:$V$20,Equipment!$M$1,FALSE)*60/AI98,0),0)</f>
        <v>0</v>
      </c>
      <c r="AJ99" s="189">
        <f>IFERROR(ROUNDDOWN(VLOOKUP(Fleet!$C$75,Equipment!$C$17:$V$20,Equipment!$M$1,FALSE)*60/AJ98,0),0)</f>
        <v>0</v>
      </c>
      <c r="AK99" s="189">
        <f>IFERROR(ROUNDDOWN(VLOOKUP(Fleet!$C$75,Equipment!$C$17:$V$20,Equipment!$M$1,FALSE)*60/AK98,0),0)</f>
        <v>0</v>
      </c>
      <c r="AL99" s="189">
        <f>IFERROR(ROUNDDOWN(VLOOKUP(Fleet!$C$75,Equipment!$C$17:$V$20,Equipment!$M$1,FALSE)*60/AL98,0),0)</f>
        <v>0</v>
      </c>
      <c r="AM99" s="189">
        <f>IFERROR(ROUNDDOWN(VLOOKUP(Fleet!$C$75,Equipment!$C$17:$V$20,Equipment!$M$1,FALSE)*60/AM98,0),0)</f>
        <v>0</v>
      </c>
    </row>
    <row r="100" spans="1:39">
      <c r="A100" s="121"/>
      <c r="B100" s="1337" t="s">
        <v>1138</v>
      </c>
      <c r="C100" s="1347" t="s">
        <v>1136</v>
      </c>
      <c r="D100" s="1371">
        <f>D99*MIN($D$55:$D$56)*Assumptions_Dashboard!$D$28</f>
        <v>0</v>
      </c>
      <c r="E100" s="1371">
        <f>E99*MIN($D$55:$D$56)*Assumptions_Dashboard!$D$28</f>
        <v>0</v>
      </c>
      <c r="F100" s="1371">
        <f>F99*MIN($D$55:$D$56)*Assumptions_Dashboard!$D$28</f>
        <v>0</v>
      </c>
      <c r="G100" s="1371">
        <f>G99*MIN($D$55:$D$56)*Assumptions_Dashboard!$D$28</f>
        <v>0</v>
      </c>
      <c r="H100" s="1371">
        <f>H99*MIN($D$55:$D$56)*Assumptions_Dashboard!$D$28</f>
        <v>398517.42857142864</v>
      </c>
      <c r="I100" s="1371">
        <f>I99*MIN($D$55:$D$56)*Assumptions_Dashboard!$D$28</f>
        <v>354844.28571428574</v>
      </c>
      <c r="J100" s="1371">
        <f>J99*MIN($D$55:$D$56)*Assumptions_Dashboard!$D$28</f>
        <v>354844.28571428574</v>
      </c>
      <c r="K100" s="1371">
        <f>K99*MIN($D$55:$D$56)*Assumptions_Dashboard!$D$28</f>
        <v>354844.28571428574</v>
      </c>
      <c r="L100" s="1371">
        <f>L99*MIN($D$55:$D$56)*Assumptions_Dashboard!$D$28</f>
        <v>354844.28571428574</v>
      </c>
      <c r="M100" s="1371">
        <f>M99*MIN($D$55:$D$56)*Assumptions_Dashboard!$D$28</f>
        <v>0</v>
      </c>
      <c r="N100" s="1371">
        <f>N99*MIN($D$55:$D$56)*Assumptions_Dashboard!$D$28</f>
        <v>0</v>
      </c>
      <c r="O100" s="1371">
        <f>O99*MIN($D$55:$D$56)*Assumptions_Dashboard!$D$28</f>
        <v>0</v>
      </c>
      <c r="P100" s="1371">
        <f>P99*MIN($D$55:$D$56)*Assumptions_Dashboard!$D$28</f>
        <v>0</v>
      </c>
      <c r="Q100" s="1371">
        <f>Q99*MIN($D$55:$D$56)*Assumptions_Dashboard!$D$28</f>
        <v>0</v>
      </c>
      <c r="R100" s="1371">
        <f>R99*MIN($D$55:$D$56)*Assumptions_Dashboard!$D$28</f>
        <v>0</v>
      </c>
      <c r="S100" s="1371">
        <f>S99*MIN($D$55:$D$56)*Assumptions_Dashboard!$D$28</f>
        <v>0</v>
      </c>
      <c r="T100" s="1371">
        <f>T99*MIN($D$55:$D$56)*Assumptions_Dashboard!$D$28</f>
        <v>0</v>
      </c>
      <c r="U100" s="1371">
        <f>U99*MIN($D$55:$D$56)*Assumptions_Dashboard!$D$28</f>
        <v>0</v>
      </c>
      <c r="V100" s="1371">
        <f>V99*MIN($D$55:$D$56)*Assumptions_Dashboard!$D$28</f>
        <v>0</v>
      </c>
      <c r="W100" s="1371">
        <f>W99*MIN($D$55:$D$56)*Assumptions_Dashboard!$D$28</f>
        <v>0</v>
      </c>
      <c r="X100" s="1371">
        <f>X99*MIN($D$55:$D$56)*Assumptions_Dashboard!$D$28</f>
        <v>0</v>
      </c>
      <c r="Y100" s="1371">
        <f>Y99*MIN($D$55:$D$56)*Assumptions_Dashboard!$D$28</f>
        <v>0</v>
      </c>
      <c r="Z100" s="1371">
        <f>Z99*MIN($D$55:$D$56)*Assumptions_Dashboard!$D$28</f>
        <v>0</v>
      </c>
      <c r="AA100" s="1371">
        <f>AA99*MIN($D$55:$D$56)*Assumptions_Dashboard!$D$28</f>
        <v>0</v>
      </c>
      <c r="AB100" s="1371">
        <f>AB99*MIN($D$55:$D$56)*Assumptions_Dashboard!$D$28</f>
        <v>0</v>
      </c>
      <c r="AC100" s="1371">
        <f>AC99*MIN($D$55:$D$56)*Assumptions_Dashboard!$D$28</f>
        <v>0</v>
      </c>
      <c r="AD100" s="1371">
        <f>AD99*MIN($D$55:$D$56)*Assumptions_Dashboard!$D$28</f>
        <v>0</v>
      </c>
      <c r="AE100" s="1371">
        <f>AE99*MIN($D$55:$D$56)*Assumptions_Dashboard!$D$28</f>
        <v>0</v>
      </c>
      <c r="AF100" s="1371">
        <f>AF99*MIN($D$55:$D$56)*Assumptions_Dashboard!$D$28</f>
        <v>0</v>
      </c>
      <c r="AG100" s="1371">
        <f>AG99*MIN($D$55:$D$56)*Assumptions_Dashboard!$D$28</f>
        <v>0</v>
      </c>
      <c r="AH100" s="1371">
        <f>AH99*MIN($D$55:$D$56)*Assumptions_Dashboard!$D$28</f>
        <v>0</v>
      </c>
      <c r="AI100" s="1371">
        <f>AI99*MIN($D$55:$D$56)*Assumptions_Dashboard!$D$28</f>
        <v>0</v>
      </c>
      <c r="AJ100" s="1371">
        <f>AJ99*MIN($D$55:$D$56)*Assumptions_Dashboard!$D$28</f>
        <v>0</v>
      </c>
      <c r="AK100" s="1371">
        <f>AK99*MIN($D$55:$D$56)*Assumptions_Dashboard!$D$28</f>
        <v>0</v>
      </c>
      <c r="AL100" s="1371">
        <f>AL99*MIN($D$55:$D$56)*Assumptions_Dashboard!$D$28</f>
        <v>0</v>
      </c>
      <c r="AM100" s="1371">
        <f>AM99*MIN($D$55:$D$56)*Assumptions_Dashboard!$D$28</f>
        <v>0</v>
      </c>
    </row>
    <row r="101" spans="1:39">
      <c r="A101" s="187" t="str">
        <f>H51</f>
        <v>Miscelleneous (01)</v>
      </c>
      <c r="B101" s="1367" t="str">
        <f>A101</f>
        <v>Miscelleneous (01)</v>
      </c>
      <c r="C101" s="1332"/>
      <c r="AM101" s="1373"/>
    </row>
    <row r="102" spans="1:39">
      <c r="A102" s="187"/>
      <c r="B102" s="1369" t="s">
        <v>1131</v>
      </c>
      <c r="C102" s="1332" t="s">
        <v>425</v>
      </c>
      <c r="D102" s="188">
        <f>'Production Schedule'!E27</f>
        <v>0</v>
      </c>
      <c r="E102" s="188">
        <f>'Production Schedule'!F27</f>
        <v>0</v>
      </c>
      <c r="F102" s="188">
        <f>'Production Schedule'!G27</f>
        <v>0</v>
      </c>
      <c r="G102" s="188">
        <f>'Production Schedule'!H27</f>
        <v>0</v>
      </c>
      <c r="H102" s="188">
        <f>'Production Schedule'!I27</f>
        <v>0</v>
      </c>
      <c r="I102" s="188">
        <f>'Production Schedule'!J27</f>
        <v>0</v>
      </c>
      <c r="J102" s="188">
        <f>'Production Schedule'!K27</f>
        <v>0</v>
      </c>
      <c r="K102" s="188">
        <f>'Production Schedule'!L27</f>
        <v>0</v>
      </c>
      <c r="L102" s="188">
        <f>'Production Schedule'!M27</f>
        <v>0</v>
      </c>
      <c r="M102" s="188">
        <f>'Production Schedule'!N27</f>
        <v>0</v>
      </c>
      <c r="N102" s="188">
        <f>'Production Schedule'!O27</f>
        <v>3</v>
      </c>
      <c r="O102" s="188">
        <f>'Production Schedule'!P27</f>
        <v>3</v>
      </c>
      <c r="P102" s="188">
        <f>'Production Schedule'!Q27</f>
        <v>3</v>
      </c>
      <c r="Q102" s="188">
        <f>'Production Schedule'!R27</f>
        <v>3</v>
      </c>
      <c r="R102" s="188">
        <f>'Production Schedule'!S27</f>
        <v>3</v>
      </c>
      <c r="S102" s="188">
        <f>'Production Schedule'!T27</f>
        <v>3</v>
      </c>
      <c r="T102" s="188">
        <f>'Production Schedule'!U27</f>
        <v>3</v>
      </c>
      <c r="U102" s="188">
        <f>'Production Schedule'!V27</f>
        <v>3</v>
      </c>
      <c r="V102" s="188">
        <f>'Production Schedule'!W27</f>
        <v>0</v>
      </c>
      <c r="W102" s="188">
        <f>'Production Schedule'!X27</f>
        <v>0</v>
      </c>
      <c r="X102" s="188">
        <f>'Production Schedule'!Y27</f>
        <v>0</v>
      </c>
      <c r="Y102" s="188">
        <f>'Production Schedule'!Z27</f>
        <v>0</v>
      </c>
      <c r="Z102" s="188">
        <f>'Production Schedule'!AA27</f>
        <v>0</v>
      </c>
      <c r="AA102" s="188">
        <f>'Production Schedule'!AB27</f>
        <v>0</v>
      </c>
      <c r="AB102" s="188">
        <f>'Production Schedule'!AC27</f>
        <v>0</v>
      </c>
      <c r="AC102" s="188">
        <f>'Production Schedule'!AD27</f>
        <v>0</v>
      </c>
      <c r="AD102" s="188">
        <f>'Production Schedule'!AE27</f>
        <v>0</v>
      </c>
      <c r="AE102" s="188">
        <f>'Production Schedule'!AF27</f>
        <v>0</v>
      </c>
      <c r="AF102" s="188">
        <f>'Production Schedule'!AG27</f>
        <v>0</v>
      </c>
      <c r="AG102" s="188">
        <f>'Production Schedule'!AH27</f>
        <v>0</v>
      </c>
      <c r="AH102" s="188">
        <f>'Production Schedule'!AI27</f>
        <v>0</v>
      </c>
      <c r="AI102" s="188">
        <f>'Production Schedule'!AJ27</f>
        <v>0</v>
      </c>
      <c r="AJ102" s="188">
        <f>'Production Schedule'!AK27</f>
        <v>0</v>
      </c>
      <c r="AK102" s="188">
        <f>'Production Schedule'!AL27</f>
        <v>0</v>
      </c>
      <c r="AL102" s="188">
        <f>'Production Schedule'!AM27</f>
        <v>0</v>
      </c>
      <c r="AM102" s="188">
        <f>'Production Schedule'!AN27</f>
        <v>0</v>
      </c>
    </row>
    <row r="103" spans="1:39">
      <c r="A103" s="121"/>
      <c r="B103" s="1332" t="s">
        <v>1132</v>
      </c>
      <c r="C103" s="1341" t="s">
        <v>1119</v>
      </c>
      <c r="D103" s="189">
        <f>IF(D$64&lt;=0,0,(D102/$H$59+D102/$H$60)*60)</f>
        <v>0</v>
      </c>
      <c r="E103" s="189">
        <f>IF(E$64&lt;=0,0,(E102/$H$59+E102/$H$60)*60)</f>
        <v>0</v>
      </c>
      <c r="F103" s="189">
        <f t="shared" ref="F103:AM103" si="77">IF(F$64&lt;=0,0,(F102/$H$59+F102/$H$60)*60)</f>
        <v>0</v>
      </c>
      <c r="G103" s="189">
        <f t="shared" si="77"/>
        <v>0</v>
      </c>
      <c r="H103" s="189">
        <f t="shared" si="77"/>
        <v>0</v>
      </c>
      <c r="I103" s="189">
        <f t="shared" si="77"/>
        <v>0</v>
      </c>
      <c r="J103" s="189">
        <f t="shared" si="77"/>
        <v>0</v>
      </c>
      <c r="K103" s="189">
        <f t="shared" si="77"/>
        <v>0</v>
      </c>
      <c r="L103" s="189">
        <f t="shared" si="77"/>
        <v>0</v>
      </c>
      <c r="M103" s="189">
        <f t="shared" si="77"/>
        <v>0</v>
      </c>
      <c r="N103" s="189">
        <f t="shared" si="77"/>
        <v>13.2</v>
      </c>
      <c r="O103" s="189">
        <f t="shared" si="77"/>
        <v>13.2</v>
      </c>
      <c r="P103" s="189">
        <f t="shared" si="77"/>
        <v>13.2</v>
      </c>
      <c r="Q103" s="189">
        <f t="shared" si="77"/>
        <v>13.2</v>
      </c>
      <c r="R103" s="189">
        <f t="shared" si="77"/>
        <v>13.2</v>
      </c>
      <c r="S103" s="189">
        <f t="shared" si="77"/>
        <v>13.2</v>
      </c>
      <c r="T103" s="189">
        <f t="shared" si="77"/>
        <v>13.2</v>
      </c>
      <c r="U103" s="189">
        <f t="shared" si="77"/>
        <v>13.2</v>
      </c>
      <c r="V103" s="189">
        <f t="shared" si="77"/>
        <v>0</v>
      </c>
      <c r="W103" s="189">
        <f t="shared" si="77"/>
        <v>0</v>
      </c>
      <c r="X103" s="189">
        <f t="shared" si="77"/>
        <v>0</v>
      </c>
      <c r="Y103" s="189">
        <f t="shared" si="77"/>
        <v>0</v>
      </c>
      <c r="Z103" s="189">
        <f t="shared" si="77"/>
        <v>0</v>
      </c>
      <c r="AA103" s="189">
        <f t="shared" si="77"/>
        <v>0</v>
      </c>
      <c r="AB103" s="189">
        <f t="shared" si="77"/>
        <v>0</v>
      </c>
      <c r="AC103" s="189">
        <f t="shared" si="77"/>
        <v>0</v>
      </c>
      <c r="AD103" s="189">
        <f t="shared" si="77"/>
        <v>0</v>
      </c>
      <c r="AE103" s="189">
        <f t="shared" si="77"/>
        <v>0</v>
      </c>
      <c r="AF103" s="189">
        <f t="shared" si="77"/>
        <v>0</v>
      </c>
      <c r="AG103" s="189">
        <f t="shared" si="77"/>
        <v>0</v>
      </c>
      <c r="AH103" s="189">
        <f t="shared" si="77"/>
        <v>0</v>
      </c>
      <c r="AI103" s="189">
        <f t="shared" si="77"/>
        <v>0</v>
      </c>
      <c r="AJ103" s="189">
        <f t="shared" si="77"/>
        <v>0</v>
      </c>
      <c r="AK103" s="189">
        <f t="shared" si="77"/>
        <v>0</v>
      </c>
      <c r="AL103" s="189">
        <f t="shared" si="77"/>
        <v>0</v>
      </c>
      <c r="AM103" s="189">
        <f t="shared" si="77"/>
        <v>0</v>
      </c>
    </row>
    <row r="104" spans="1:39">
      <c r="A104" s="121"/>
      <c r="B104" s="1332" t="s">
        <v>1133</v>
      </c>
      <c r="C104" s="1341" t="s">
        <v>1119</v>
      </c>
      <c r="D104" s="190">
        <f>IF(D$103=0,0,D103+$H$47+($H$57+$H$58)/60)</f>
        <v>0</v>
      </c>
      <c r="E104" s="190">
        <f>IF(E$103=0,0,E103+$H$47+($H$57+$H$58)/60)</f>
        <v>0</v>
      </c>
      <c r="F104" s="190">
        <f t="shared" ref="F104:AM104" si="78">IF(F$103=0,0,F103+$H$47+($H$57+$H$58)/60)</f>
        <v>0</v>
      </c>
      <c r="G104" s="190">
        <f t="shared" si="78"/>
        <v>0</v>
      </c>
      <c r="H104" s="190">
        <f t="shared" si="78"/>
        <v>0</v>
      </c>
      <c r="I104" s="190">
        <f t="shared" si="78"/>
        <v>0</v>
      </c>
      <c r="J104" s="190">
        <f t="shared" si="78"/>
        <v>0</v>
      </c>
      <c r="K104" s="190">
        <f t="shared" si="78"/>
        <v>0</v>
      </c>
      <c r="L104" s="190">
        <f t="shared" si="78"/>
        <v>0</v>
      </c>
      <c r="M104" s="190">
        <f t="shared" si="78"/>
        <v>0</v>
      </c>
      <c r="N104" s="190">
        <f t="shared" si="78"/>
        <v>16.7</v>
      </c>
      <c r="O104" s="190">
        <f t="shared" si="78"/>
        <v>16.7</v>
      </c>
      <c r="P104" s="190">
        <f t="shared" si="78"/>
        <v>16.7</v>
      </c>
      <c r="Q104" s="190">
        <f t="shared" si="78"/>
        <v>16.7</v>
      </c>
      <c r="R104" s="190">
        <f t="shared" si="78"/>
        <v>16.7</v>
      </c>
      <c r="S104" s="190">
        <f t="shared" si="78"/>
        <v>16.7</v>
      </c>
      <c r="T104" s="190">
        <f t="shared" si="78"/>
        <v>16.7</v>
      </c>
      <c r="U104" s="190">
        <f t="shared" si="78"/>
        <v>16.7</v>
      </c>
      <c r="V104" s="190">
        <f t="shared" si="78"/>
        <v>0</v>
      </c>
      <c r="W104" s="190">
        <f t="shared" si="78"/>
        <v>0</v>
      </c>
      <c r="X104" s="190">
        <f t="shared" si="78"/>
        <v>0</v>
      </c>
      <c r="Y104" s="190">
        <f t="shared" si="78"/>
        <v>0</v>
      </c>
      <c r="Z104" s="190">
        <f t="shared" si="78"/>
        <v>0</v>
      </c>
      <c r="AA104" s="190">
        <f t="shared" si="78"/>
        <v>0</v>
      </c>
      <c r="AB104" s="190">
        <f t="shared" si="78"/>
        <v>0</v>
      </c>
      <c r="AC104" s="190">
        <f t="shared" si="78"/>
        <v>0</v>
      </c>
      <c r="AD104" s="190">
        <f t="shared" si="78"/>
        <v>0</v>
      </c>
      <c r="AE104" s="190">
        <f t="shared" si="78"/>
        <v>0</v>
      </c>
      <c r="AF104" s="190">
        <f t="shared" si="78"/>
        <v>0</v>
      </c>
      <c r="AG104" s="190">
        <f t="shared" si="78"/>
        <v>0</v>
      </c>
      <c r="AH104" s="190">
        <f t="shared" si="78"/>
        <v>0</v>
      </c>
      <c r="AI104" s="190">
        <f t="shared" si="78"/>
        <v>0</v>
      </c>
      <c r="AJ104" s="190">
        <f t="shared" si="78"/>
        <v>0</v>
      </c>
      <c r="AK104" s="190">
        <f t="shared" si="78"/>
        <v>0</v>
      </c>
      <c r="AL104" s="190">
        <f t="shared" si="78"/>
        <v>0</v>
      </c>
      <c r="AM104" s="1370">
        <f t="shared" si="78"/>
        <v>0</v>
      </c>
    </row>
    <row r="105" spans="1:39">
      <c r="A105" s="121"/>
      <c r="B105" s="1332" t="s">
        <v>1134</v>
      </c>
      <c r="C105" s="1341" t="s">
        <v>740</v>
      </c>
      <c r="D105" s="189">
        <f>IFERROR(ROUNDDOWN(VLOOKUP(Fleet!$C$65,Equipment!$C$17:$V$20,Equipment!$M$1,FALSE)*60/D104,0),0)</f>
        <v>0</v>
      </c>
      <c r="E105" s="189">
        <f>IFERROR(ROUNDDOWN(VLOOKUP(Fleet!$C$65,Equipment!$C$17:$V$20,Equipment!$M$1,FALSE)*60/E104,0),0)</f>
        <v>0</v>
      </c>
      <c r="F105" s="189">
        <f>IFERROR(ROUNDDOWN(VLOOKUP(Fleet!$C$65,Equipment!$C$17:$V$20,Equipment!$M$1,FALSE)*60/F104,0),0)</f>
        <v>0</v>
      </c>
      <c r="G105" s="189">
        <f>IFERROR(ROUNDDOWN(VLOOKUP(Fleet!$C$65,Equipment!$C$17:$V$20,Equipment!$M$1,FALSE)*60/G104,0),0)</f>
        <v>0</v>
      </c>
      <c r="H105" s="189">
        <f>IFERROR(ROUNDDOWN(VLOOKUP(Fleet!$C$65,Equipment!$C$17:$V$20,Equipment!$M$1,FALSE)*60/H104,0),0)</f>
        <v>0</v>
      </c>
      <c r="I105" s="189">
        <f>IFERROR(ROUNDDOWN(VLOOKUP(Fleet!$C$65,Equipment!$C$17:$V$20,Equipment!$M$1,FALSE)*60/I104,0),0)</f>
        <v>0</v>
      </c>
      <c r="J105" s="189">
        <f>IFERROR(ROUNDDOWN(VLOOKUP(Fleet!$C$65,Equipment!$C$17:$V$20,Equipment!$M$1,FALSE)*60/J104,0),0)</f>
        <v>0</v>
      </c>
      <c r="K105" s="189">
        <f>IFERROR(ROUNDDOWN(VLOOKUP(Fleet!$C$65,Equipment!$C$17:$V$20,Equipment!$M$1,FALSE)*60/K104,0),0)</f>
        <v>0</v>
      </c>
      <c r="L105" s="189">
        <f>IFERROR(ROUNDDOWN(VLOOKUP(Fleet!$C$65,Equipment!$C$17:$V$20,Equipment!$M$1,FALSE)*60/L104,0),0)</f>
        <v>0</v>
      </c>
      <c r="M105" s="189">
        <f>IFERROR(ROUNDDOWN(VLOOKUP(Fleet!$C$65,Equipment!$C$17:$V$20,Equipment!$M$1,FALSE)*60/M104,0),0)</f>
        <v>0</v>
      </c>
      <c r="N105" s="189">
        <f>IFERROR(ROUNDDOWN(VLOOKUP(Fleet!$C$65,Equipment!$C$17:$V$20,Equipment!$M$1,FALSE)*60/N104,0),0)</f>
        <v>51</v>
      </c>
      <c r="O105" s="189">
        <f>IFERROR(ROUNDDOWN(VLOOKUP(Fleet!$C$65,Equipment!$C$17:$V$20,Equipment!$M$1,FALSE)*60/O104,0),0)</f>
        <v>51</v>
      </c>
      <c r="P105" s="189">
        <f>IFERROR(ROUNDDOWN(VLOOKUP(Fleet!$C$65,Equipment!$C$17:$V$20,Equipment!$M$1,FALSE)*60/P104,0),0)</f>
        <v>51</v>
      </c>
      <c r="Q105" s="189">
        <f>IFERROR(ROUNDDOWN(VLOOKUP(Fleet!$C$65,Equipment!$C$17:$V$20,Equipment!$M$1,FALSE)*60/Q104,0),0)</f>
        <v>51</v>
      </c>
      <c r="R105" s="189">
        <f>IFERROR(ROUNDDOWN(VLOOKUP(Fleet!$C$65,Equipment!$C$17:$V$20,Equipment!$M$1,FALSE)*60/R104,0),0)</f>
        <v>51</v>
      </c>
      <c r="S105" s="189">
        <f>IFERROR(ROUNDDOWN(VLOOKUP(Fleet!$C$65,Equipment!$C$17:$V$20,Equipment!$M$1,FALSE)*60/S104,0),0)</f>
        <v>51</v>
      </c>
      <c r="T105" s="189">
        <f>IFERROR(ROUNDDOWN(VLOOKUP(Fleet!$C$65,Equipment!$C$17:$V$20,Equipment!$M$1,FALSE)*60/T104,0),0)</f>
        <v>51</v>
      </c>
      <c r="U105" s="189">
        <f>IFERROR(ROUNDDOWN(VLOOKUP(Fleet!$C$65,Equipment!$C$17:$V$20,Equipment!$M$1,FALSE)*60/U104,0),0)</f>
        <v>51</v>
      </c>
      <c r="V105" s="189">
        <f>IFERROR(ROUNDDOWN(VLOOKUP(Fleet!$C$65,Equipment!$C$17:$V$20,Equipment!$M$1,FALSE)*60/V104,0),0)</f>
        <v>0</v>
      </c>
      <c r="W105" s="189">
        <f>IFERROR(ROUNDDOWN(VLOOKUP(Fleet!$C$65,Equipment!$C$17:$V$20,Equipment!$M$1,FALSE)*60/W104,0),0)</f>
        <v>0</v>
      </c>
      <c r="X105" s="189">
        <f>IFERROR(ROUNDDOWN(VLOOKUP(Fleet!$C$65,Equipment!$C$17:$V$20,Equipment!$M$1,FALSE)*60/X104,0),0)</f>
        <v>0</v>
      </c>
      <c r="Y105" s="189">
        <f>IFERROR(ROUNDDOWN(VLOOKUP(Fleet!$C$65,Equipment!$C$17:$V$20,Equipment!$M$1,FALSE)*60/Y104,0),0)</f>
        <v>0</v>
      </c>
      <c r="Z105" s="189">
        <f>IFERROR(ROUNDDOWN(VLOOKUP(Fleet!$C$65,Equipment!$C$17:$V$20,Equipment!$M$1,FALSE)*60/Z104,0),0)</f>
        <v>0</v>
      </c>
      <c r="AA105" s="189">
        <f>IFERROR(ROUNDDOWN(VLOOKUP(Fleet!$C$65,Equipment!$C$17:$V$20,Equipment!$M$1,FALSE)*60/AA104,0),0)</f>
        <v>0</v>
      </c>
      <c r="AB105" s="189">
        <f>IFERROR(ROUNDDOWN(VLOOKUP(Fleet!$C$65,Equipment!$C$17:$V$20,Equipment!$M$1,FALSE)*60/AB104,0),0)</f>
        <v>0</v>
      </c>
      <c r="AC105" s="189">
        <f>IFERROR(ROUNDDOWN(VLOOKUP(Fleet!$C$65,Equipment!$C$17:$V$20,Equipment!$M$1,FALSE)*60/AC104,0),0)</f>
        <v>0</v>
      </c>
      <c r="AD105" s="189">
        <f>IFERROR(ROUNDDOWN(VLOOKUP(Fleet!$C$65,Equipment!$C$17:$V$20,Equipment!$M$1,FALSE)*60/AD104,0),0)</f>
        <v>0</v>
      </c>
      <c r="AE105" s="189">
        <f>IFERROR(ROUNDDOWN(VLOOKUP(Fleet!$C$65,Equipment!$C$17:$V$20,Equipment!$M$1,FALSE)*60/AE104,0),0)</f>
        <v>0</v>
      </c>
      <c r="AF105" s="189">
        <f>IFERROR(ROUNDDOWN(VLOOKUP(Fleet!$C$65,Equipment!$C$17:$V$20,Equipment!$M$1,FALSE)*60/AF104,0),0)</f>
        <v>0</v>
      </c>
      <c r="AG105" s="189">
        <f>IFERROR(ROUNDDOWN(VLOOKUP(Fleet!$C$65,Equipment!$C$17:$V$20,Equipment!$M$1,FALSE)*60/AG104,0),0)</f>
        <v>0</v>
      </c>
      <c r="AH105" s="189">
        <f>IFERROR(ROUNDDOWN(VLOOKUP(Fleet!$C$65,Equipment!$C$17:$V$20,Equipment!$M$1,FALSE)*60/AH104,0),0)</f>
        <v>0</v>
      </c>
      <c r="AI105" s="189">
        <f>IFERROR(ROUNDDOWN(VLOOKUP(Fleet!$C$65,Equipment!$C$17:$V$20,Equipment!$M$1,FALSE)*60/AI104,0),0)</f>
        <v>0</v>
      </c>
      <c r="AJ105" s="189">
        <f>IFERROR(ROUNDDOWN(VLOOKUP(Fleet!$C$65,Equipment!$C$17:$V$20,Equipment!$M$1,FALSE)*60/AJ104,0),0)</f>
        <v>0</v>
      </c>
      <c r="AK105" s="189">
        <f>IFERROR(ROUNDDOWN(VLOOKUP(Fleet!$C$65,Equipment!$C$17:$V$20,Equipment!$M$1,FALSE)*60/AK104,0),0)</f>
        <v>0</v>
      </c>
      <c r="AL105" s="189">
        <f>IFERROR(ROUNDDOWN(VLOOKUP(Fleet!$C$65,Equipment!$C$17:$V$20,Equipment!$M$1,FALSE)*60/AL104,0),0)</f>
        <v>0</v>
      </c>
      <c r="AM105" s="189">
        <f>IFERROR(ROUNDDOWN(VLOOKUP(Fleet!$C$65,Equipment!$C$17:$V$20,Equipment!$M$1,FALSE)*60/AM104,0),0)</f>
        <v>0</v>
      </c>
    </row>
    <row r="106" spans="1:39">
      <c r="A106" s="121"/>
      <c r="B106" s="1337" t="s">
        <v>1138</v>
      </c>
      <c r="C106" s="1347" t="s">
        <v>1136</v>
      </c>
      <c r="D106" s="1371">
        <f>D105*MIN($H$55:$H$56)*Assumptions_Dashboard!$D$28</f>
        <v>0</v>
      </c>
      <c r="E106" s="1371">
        <f>E105*MIN($G$55:$G$56)*Assumptions_Dashboard!$D$28</f>
        <v>0</v>
      </c>
      <c r="F106" s="1371">
        <f>F105*MIN($G$55:$G$56)*Assumptions_Dashboard!$D$28</f>
        <v>0</v>
      </c>
      <c r="G106" s="1371">
        <f>G105*MIN($G$55:$G$56)*Assumptions_Dashboard!$D$28</f>
        <v>0</v>
      </c>
      <c r="H106" s="1371">
        <f>H105*MIN($G$55:$G$56)*Assumptions_Dashboard!$D$28</f>
        <v>0</v>
      </c>
      <c r="I106" s="1371">
        <f>I105*MIN($G$55:$G$56)*Assumptions_Dashboard!$D$28</f>
        <v>0</v>
      </c>
      <c r="J106" s="1371">
        <f>J105*MIN($G$55:$G$56)*Assumptions_Dashboard!$D$28</f>
        <v>0</v>
      </c>
      <c r="K106" s="1371">
        <f>K105*MIN($G$55:$G$56)*Assumptions_Dashboard!$D$28</f>
        <v>0</v>
      </c>
      <c r="L106" s="1371">
        <f>L105*MIN($G$55:$G$56)*Assumptions_Dashboard!$D$28</f>
        <v>0</v>
      </c>
      <c r="M106" s="1371">
        <f>M105*MIN($G$55:$G$56)*Assumptions_Dashboard!$D$28</f>
        <v>0</v>
      </c>
      <c r="N106" s="1371">
        <f>N105*MIN($G$55:$G$56)*Assumptions_Dashboard!$D$28</f>
        <v>318087.00000000006</v>
      </c>
      <c r="O106" s="1371">
        <f>O105*MIN($G$55:$G$56)*Assumptions_Dashboard!$D$28</f>
        <v>318087.00000000006</v>
      </c>
      <c r="P106" s="1371">
        <f>P105*MIN($G$55:$G$56)*Assumptions_Dashboard!$D$28</f>
        <v>318087.00000000006</v>
      </c>
      <c r="Q106" s="1371">
        <f>Q105*MIN($G$55:$G$56)*Assumptions_Dashboard!$D$28</f>
        <v>318087.00000000006</v>
      </c>
      <c r="R106" s="1371">
        <f>R105*MIN($G$55:$G$56)*Assumptions_Dashboard!$D$28</f>
        <v>318087.00000000006</v>
      </c>
      <c r="S106" s="1371">
        <f>S105*MIN($G$55:$G$56)*Assumptions_Dashboard!$D$28</f>
        <v>318087.00000000006</v>
      </c>
      <c r="T106" s="1371">
        <f>T105*MIN($G$55:$G$56)*Assumptions_Dashboard!$D$28</f>
        <v>318087.00000000006</v>
      </c>
      <c r="U106" s="1371">
        <f>U105*MIN($G$55:$G$56)*Assumptions_Dashboard!$D$28</f>
        <v>318087.00000000006</v>
      </c>
      <c r="V106" s="1371">
        <f>V105*MIN($G$55:$G$56)*Assumptions_Dashboard!$D$28</f>
        <v>0</v>
      </c>
      <c r="W106" s="1371">
        <f>W105*MIN($G$55:$G$56)*Assumptions_Dashboard!$D$28</f>
        <v>0</v>
      </c>
      <c r="X106" s="1371">
        <f>X105*MIN($G$55:$G$56)*Assumptions_Dashboard!$D$28</f>
        <v>0</v>
      </c>
      <c r="Y106" s="1371">
        <f>Y105*MIN($G$55:$G$56)*Assumptions_Dashboard!$D$28</f>
        <v>0</v>
      </c>
      <c r="Z106" s="1371">
        <f>Z105*MIN($G$55:$G$56)*Assumptions_Dashboard!$D$28</f>
        <v>0</v>
      </c>
      <c r="AA106" s="1371">
        <f>AA105*MIN($G$55:$G$56)*Assumptions_Dashboard!$D$28</f>
        <v>0</v>
      </c>
      <c r="AB106" s="1371">
        <f>AB105*MIN($G$55:$G$56)*Assumptions_Dashboard!$D$28</f>
        <v>0</v>
      </c>
      <c r="AC106" s="1371">
        <f>AC105*MIN($G$55:$G$56)*Assumptions_Dashboard!$D$28</f>
        <v>0</v>
      </c>
      <c r="AD106" s="1371">
        <f>AD105*MIN($G$55:$G$56)*Assumptions_Dashboard!$D$28</f>
        <v>0</v>
      </c>
      <c r="AE106" s="1371">
        <f>AE105*MIN($G$55:$G$56)*Assumptions_Dashboard!$D$28</f>
        <v>0</v>
      </c>
      <c r="AF106" s="1371">
        <f>AF105*MIN($G$55:$G$56)*Assumptions_Dashboard!$D$28</f>
        <v>0</v>
      </c>
      <c r="AG106" s="1371">
        <f>AG105*MIN($G$55:$G$56)*Assumptions_Dashboard!$D$28</f>
        <v>0</v>
      </c>
      <c r="AH106" s="1371">
        <f>AH105*MIN($G$55:$G$56)*Assumptions_Dashboard!$D$28</f>
        <v>0</v>
      </c>
      <c r="AI106" s="1371">
        <f>AI105*MIN($G$55:$G$56)*Assumptions_Dashboard!$D$28</f>
        <v>0</v>
      </c>
      <c r="AJ106" s="1371">
        <f>AJ105*MIN($G$55:$G$56)*Assumptions_Dashboard!$D$28</f>
        <v>0</v>
      </c>
      <c r="AK106" s="1371">
        <f>AK105*MIN($G$55:$G$56)*Assumptions_Dashboard!$D$28</f>
        <v>0</v>
      </c>
      <c r="AL106" s="1371">
        <f>AL105*MIN($G$55:$G$56)*Assumptions_Dashboard!$D$28</f>
        <v>0</v>
      </c>
      <c r="AM106" s="1371">
        <f>AM105*MIN($G$55:$G$56)*Assumptions_Dashboard!$D$28</f>
        <v>0</v>
      </c>
    </row>
    <row r="107" spans="1:39">
      <c r="A107" s="187" t="str">
        <f>I51</f>
        <v>Miscelleneous (02)</v>
      </c>
      <c r="B107" s="1367" t="str">
        <f>A107</f>
        <v>Miscelleneous (02)</v>
      </c>
      <c r="C107" s="1332"/>
      <c r="AM107" s="1373"/>
    </row>
    <row r="108" spans="1:39">
      <c r="A108" s="187"/>
      <c r="B108" s="1369" t="s">
        <v>1131</v>
      </c>
      <c r="C108" s="1332" t="s">
        <v>425</v>
      </c>
      <c r="D108" s="188">
        <f>'Production Schedule'!E27</f>
        <v>0</v>
      </c>
      <c r="E108" s="188">
        <f>'Production Schedule'!F27</f>
        <v>0</v>
      </c>
      <c r="F108" s="188">
        <f>'Production Schedule'!G27</f>
        <v>0</v>
      </c>
      <c r="G108" s="188">
        <f>'Production Schedule'!H27</f>
        <v>0</v>
      </c>
      <c r="H108" s="188">
        <f>'Production Schedule'!I27</f>
        <v>0</v>
      </c>
      <c r="I108" s="188">
        <f>'Production Schedule'!J27</f>
        <v>0</v>
      </c>
      <c r="J108" s="188">
        <f>'Production Schedule'!K27</f>
        <v>0</v>
      </c>
      <c r="K108" s="188">
        <f>'Production Schedule'!L27</f>
        <v>0</v>
      </c>
      <c r="L108" s="188">
        <f>'Production Schedule'!M27</f>
        <v>0</v>
      </c>
      <c r="M108" s="188">
        <f>'Production Schedule'!N27</f>
        <v>0</v>
      </c>
      <c r="N108" s="188">
        <f>'Production Schedule'!O27</f>
        <v>3</v>
      </c>
      <c r="O108" s="188">
        <f>'Production Schedule'!P27</f>
        <v>3</v>
      </c>
      <c r="P108" s="188">
        <f>'Production Schedule'!Q27</f>
        <v>3</v>
      </c>
      <c r="Q108" s="188">
        <f>'Production Schedule'!R27</f>
        <v>3</v>
      </c>
      <c r="R108" s="188">
        <f>'Production Schedule'!S27</f>
        <v>3</v>
      </c>
      <c r="S108" s="188">
        <f>'Production Schedule'!T27</f>
        <v>3</v>
      </c>
      <c r="T108" s="188">
        <f>'Production Schedule'!U27</f>
        <v>3</v>
      </c>
      <c r="U108" s="188">
        <f>'Production Schedule'!V27</f>
        <v>3</v>
      </c>
      <c r="V108" s="188">
        <f>'Production Schedule'!W27</f>
        <v>0</v>
      </c>
      <c r="W108" s="188">
        <f>'Production Schedule'!X27</f>
        <v>0</v>
      </c>
      <c r="X108" s="188">
        <f>'Production Schedule'!Y27</f>
        <v>0</v>
      </c>
      <c r="Y108" s="188">
        <f>'Production Schedule'!Z27</f>
        <v>0</v>
      </c>
      <c r="Z108" s="188">
        <f>'Production Schedule'!AA27</f>
        <v>0</v>
      </c>
      <c r="AA108" s="188">
        <f>'Production Schedule'!AB27</f>
        <v>0</v>
      </c>
      <c r="AB108" s="188">
        <f>'Production Schedule'!AC27</f>
        <v>0</v>
      </c>
      <c r="AC108" s="188">
        <f>'Production Schedule'!AD27</f>
        <v>0</v>
      </c>
      <c r="AD108" s="188">
        <f>'Production Schedule'!AE27</f>
        <v>0</v>
      </c>
      <c r="AE108" s="188">
        <f>'Production Schedule'!AF27</f>
        <v>0</v>
      </c>
      <c r="AF108" s="188">
        <f>'Production Schedule'!AG27</f>
        <v>0</v>
      </c>
      <c r="AG108" s="188">
        <f>'Production Schedule'!AH27</f>
        <v>0</v>
      </c>
      <c r="AH108" s="188">
        <f>'Production Schedule'!AI27</f>
        <v>0</v>
      </c>
      <c r="AI108" s="188">
        <f>'Production Schedule'!AJ27</f>
        <v>0</v>
      </c>
      <c r="AJ108" s="188">
        <f>'Production Schedule'!AK27</f>
        <v>0</v>
      </c>
      <c r="AK108" s="188">
        <f>'Production Schedule'!AL27</f>
        <v>0</v>
      </c>
      <c r="AL108" s="188">
        <f>'Production Schedule'!AM27</f>
        <v>0</v>
      </c>
      <c r="AM108" s="188">
        <f>'Production Schedule'!AN27</f>
        <v>0</v>
      </c>
    </row>
    <row r="109" spans="1:39">
      <c r="A109" s="121"/>
      <c r="B109" s="1332" t="s">
        <v>1132</v>
      </c>
      <c r="C109" s="1341" t="s">
        <v>1119</v>
      </c>
      <c r="D109" s="189">
        <f>IF(D$64&lt;=0,0,(D108/$I$59+D108/$I$60)*60)</f>
        <v>0</v>
      </c>
      <c r="E109" s="189">
        <f>IF(E$64&lt;=0,0,(E108/$I$59+E108/$I$60)*60)</f>
        <v>0</v>
      </c>
      <c r="F109" s="189">
        <f>IF(F$64&lt;=0,0,(F108/$I$59+F108/$I$60)*60)</f>
        <v>0</v>
      </c>
      <c r="G109" s="189">
        <f>IF(G$64&lt;=0,0,(G108/$I$59+G108/$I$60)*60)</f>
        <v>0</v>
      </c>
      <c r="H109" s="189">
        <f>IF(H$64&lt;=0,0,(H108/$I$59+H108/$I$60)*60)</f>
        <v>0</v>
      </c>
      <c r="I109" s="189">
        <f t="shared" ref="I109:AM109" si="79">IF(I$64&lt;=0,0,(I108/$I$59+I108/$I$60)*60)</f>
        <v>0</v>
      </c>
      <c r="J109" s="189">
        <f t="shared" si="79"/>
        <v>0</v>
      </c>
      <c r="K109" s="189">
        <f t="shared" si="79"/>
        <v>0</v>
      </c>
      <c r="L109" s="189">
        <f t="shared" si="79"/>
        <v>0</v>
      </c>
      <c r="M109" s="189">
        <f t="shared" si="79"/>
        <v>0</v>
      </c>
      <c r="N109" s="189">
        <f t="shared" si="79"/>
        <v>13.2</v>
      </c>
      <c r="O109" s="189">
        <f t="shared" si="79"/>
        <v>13.2</v>
      </c>
      <c r="P109" s="189">
        <f t="shared" si="79"/>
        <v>13.2</v>
      </c>
      <c r="Q109" s="189">
        <f t="shared" si="79"/>
        <v>13.2</v>
      </c>
      <c r="R109" s="189">
        <f t="shared" si="79"/>
        <v>13.2</v>
      </c>
      <c r="S109" s="189">
        <f t="shared" si="79"/>
        <v>13.2</v>
      </c>
      <c r="T109" s="189">
        <f t="shared" si="79"/>
        <v>13.2</v>
      </c>
      <c r="U109" s="189">
        <f t="shared" si="79"/>
        <v>13.2</v>
      </c>
      <c r="V109" s="189">
        <f t="shared" si="79"/>
        <v>0</v>
      </c>
      <c r="W109" s="189">
        <f t="shared" si="79"/>
        <v>0</v>
      </c>
      <c r="X109" s="189">
        <f t="shared" si="79"/>
        <v>0</v>
      </c>
      <c r="Y109" s="189">
        <f t="shared" si="79"/>
        <v>0</v>
      </c>
      <c r="Z109" s="189">
        <f t="shared" si="79"/>
        <v>0</v>
      </c>
      <c r="AA109" s="189">
        <f t="shared" si="79"/>
        <v>0</v>
      </c>
      <c r="AB109" s="189">
        <f t="shared" si="79"/>
        <v>0</v>
      </c>
      <c r="AC109" s="189">
        <f t="shared" si="79"/>
        <v>0</v>
      </c>
      <c r="AD109" s="189">
        <f t="shared" si="79"/>
        <v>0</v>
      </c>
      <c r="AE109" s="189">
        <f t="shared" si="79"/>
        <v>0</v>
      </c>
      <c r="AF109" s="189">
        <f t="shared" si="79"/>
        <v>0</v>
      </c>
      <c r="AG109" s="189">
        <f t="shared" si="79"/>
        <v>0</v>
      </c>
      <c r="AH109" s="189">
        <f t="shared" si="79"/>
        <v>0</v>
      </c>
      <c r="AI109" s="189">
        <f t="shared" si="79"/>
        <v>0</v>
      </c>
      <c r="AJ109" s="189">
        <f t="shared" si="79"/>
        <v>0</v>
      </c>
      <c r="AK109" s="189">
        <f t="shared" si="79"/>
        <v>0</v>
      </c>
      <c r="AL109" s="189">
        <f t="shared" si="79"/>
        <v>0</v>
      </c>
      <c r="AM109" s="189">
        <f t="shared" si="79"/>
        <v>0</v>
      </c>
    </row>
    <row r="110" spans="1:39">
      <c r="A110" s="121"/>
      <c r="B110" s="1332" t="s">
        <v>1133</v>
      </c>
      <c r="C110" s="1341" t="s">
        <v>1119</v>
      </c>
      <c r="D110" s="190">
        <f>IF(D$109=0,0,D109+$I$47+($I$57+$I$58)/60)</f>
        <v>0</v>
      </c>
      <c r="E110" s="190">
        <f t="shared" ref="E110:AM110" si="80">IF(E$109=0,0,E109+$I$47+($I$57+$I$58)/60)</f>
        <v>0</v>
      </c>
      <c r="F110" s="190">
        <f t="shared" si="80"/>
        <v>0</v>
      </c>
      <c r="G110" s="190">
        <f t="shared" si="80"/>
        <v>0</v>
      </c>
      <c r="H110" s="190">
        <f t="shared" si="80"/>
        <v>0</v>
      </c>
      <c r="I110" s="190">
        <f t="shared" si="80"/>
        <v>0</v>
      </c>
      <c r="J110" s="190">
        <f t="shared" si="80"/>
        <v>0</v>
      </c>
      <c r="K110" s="190">
        <f t="shared" si="80"/>
        <v>0</v>
      </c>
      <c r="L110" s="190">
        <f t="shared" si="80"/>
        <v>0</v>
      </c>
      <c r="M110" s="190">
        <f t="shared" si="80"/>
        <v>0</v>
      </c>
      <c r="N110" s="190">
        <f t="shared" si="80"/>
        <v>16.7</v>
      </c>
      <c r="O110" s="190">
        <f t="shared" si="80"/>
        <v>16.7</v>
      </c>
      <c r="P110" s="190">
        <f t="shared" si="80"/>
        <v>16.7</v>
      </c>
      <c r="Q110" s="190">
        <f t="shared" si="80"/>
        <v>16.7</v>
      </c>
      <c r="R110" s="190">
        <f t="shared" si="80"/>
        <v>16.7</v>
      </c>
      <c r="S110" s="190">
        <f t="shared" si="80"/>
        <v>16.7</v>
      </c>
      <c r="T110" s="190">
        <f t="shared" si="80"/>
        <v>16.7</v>
      </c>
      <c r="U110" s="190">
        <f t="shared" si="80"/>
        <v>16.7</v>
      </c>
      <c r="V110" s="190">
        <f t="shared" si="80"/>
        <v>0</v>
      </c>
      <c r="W110" s="190">
        <f t="shared" si="80"/>
        <v>0</v>
      </c>
      <c r="X110" s="190">
        <f t="shared" si="80"/>
        <v>0</v>
      </c>
      <c r="Y110" s="190">
        <f t="shared" si="80"/>
        <v>0</v>
      </c>
      <c r="Z110" s="190">
        <f t="shared" si="80"/>
        <v>0</v>
      </c>
      <c r="AA110" s="190">
        <f t="shared" si="80"/>
        <v>0</v>
      </c>
      <c r="AB110" s="190">
        <f t="shared" si="80"/>
        <v>0</v>
      </c>
      <c r="AC110" s="190">
        <f t="shared" si="80"/>
        <v>0</v>
      </c>
      <c r="AD110" s="190">
        <f t="shared" si="80"/>
        <v>0</v>
      </c>
      <c r="AE110" s="190">
        <f t="shared" si="80"/>
        <v>0</v>
      </c>
      <c r="AF110" s="190">
        <f t="shared" si="80"/>
        <v>0</v>
      </c>
      <c r="AG110" s="190">
        <f t="shared" si="80"/>
        <v>0</v>
      </c>
      <c r="AH110" s="190">
        <f t="shared" si="80"/>
        <v>0</v>
      </c>
      <c r="AI110" s="190">
        <f t="shared" si="80"/>
        <v>0</v>
      </c>
      <c r="AJ110" s="190">
        <f t="shared" si="80"/>
        <v>0</v>
      </c>
      <c r="AK110" s="190">
        <f t="shared" si="80"/>
        <v>0</v>
      </c>
      <c r="AL110" s="190">
        <f t="shared" si="80"/>
        <v>0</v>
      </c>
      <c r="AM110" s="1370">
        <f t="shared" si="80"/>
        <v>0</v>
      </c>
    </row>
    <row r="111" spans="1:39">
      <c r="A111" s="121"/>
      <c r="B111" s="1332" t="s">
        <v>1134</v>
      </c>
      <c r="C111" s="1341" t="s">
        <v>740</v>
      </c>
      <c r="D111" s="189">
        <f>IFERROR(ROUNDDOWN(VLOOKUP(Fleet!$C$65,Equipment!$C$17:$V$20,Equipment!$M$1,FALSE)*60/D110,0),0)</f>
        <v>0</v>
      </c>
      <c r="E111" s="189">
        <f>IFERROR(ROUNDDOWN(VLOOKUP(Fleet!$C$65,Equipment!$C$17:$V$20,Equipment!$M$1,FALSE)*60/E110,0),0)</f>
        <v>0</v>
      </c>
      <c r="F111" s="189">
        <f>IFERROR(ROUNDDOWN(VLOOKUP(Fleet!$C$65,Equipment!$C$17:$V$20,Equipment!$M$1,FALSE)*60/F110,0),0)</f>
        <v>0</v>
      </c>
      <c r="G111" s="189">
        <f>IFERROR(ROUNDDOWN(VLOOKUP(Fleet!$C$65,Equipment!$C$17:$V$20,Equipment!$M$1,FALSE)*60/G110,0),0)</f>
        <v>0</v>
      </c>
      <c r="H111" s="189">
        <f>IFERROR(ROUNDDOWN(VLOOKUP(Fleet!$C$65,Equipment!$C$17:$V$20,Equipment!$M$1,FALSE)*60/H110,0),0)</f>
        <v>0</v>
      </c>
      <c r="I111" s="189">
        <f>IFERROR(ROUNDDOWN(VLOOKUP(Fleet!$C$65,Equipment!$C$17:$V$20,Equipment!$M$1,FALSE)*60/I110,0),0)</f>
        <v>0</v>
      </c>
      <c r="J111" s="189">
        <f>IFERROR(ROUNDDOWN(VLOOKUP(Fleet!$C$65,Equipment!$C$17:$V$20,Equipment!$M$1,FALSE)*60/J110,0),0)</f>
        <v>0</v>
      </c>
      <c r="K111" s="189">
        <f>IFERROR(ROUNDDOWN(VLOOKUP(Fleet!$C$65,Equipment!$C$17:$V$20,Equipment!$M$1,FALSE)*60/K110,0),0)</f>
        <v>0</v>
      </c>
      <c r="L111" s="189">
        <f>IFERROR(ROUNDDOWN(VLOOKUP(Fleet!$C$65,Equipment!$C$17:$V$20,Equipment!$M$1,FALSE)*60/L110,0),0)</f>
        <v>0</v>
      </c>
      <c r="M111" s="189">
        <f>IFERROR(ROUNDDOWN(VLOOKUP(Fleet!$C$65,Equipment!$C$17:$V$20,Equipment!$M$1,FALSE)*60/M110,0),0)</f>
        <v>0</v>
      </c>
      <c r="N111" s="189">
        <f>IFERROR(ROUNDDOWN(VLOOKUP(Fleet!$C$65,Equipment!$C$17:$V$20,Equipment!$M$1,FALSE)*60/N110,0),0)</f>
        <v>51</v>
      </c>
      <c r="O111" s="189">
        <f>IFERROR(ROUNDDOWN(VLOOKUP(Fleet!$C$65,Equipment!$C$17:$V$20,Equipment!$M$1,FALSE)*60/O110,0),0)</f>
        <v>51</v>
      </c>
      <c r="P111" s="189">
        <f>IFERROR(ROUNDDOWN(VLOOKUP(Fleet!$C$65,Equipment!$C$17:$V$20,Equipment!$M$1,FALSE)*60/P110,0),0)</f>
        <v>51</v>
      </c>
      <c r="Q111" s="189">
        <f>IFERROR(ROUNDDOWN(VLOOKUP(Fleet!$C$65,Equipment!$C$17:$V$20,Equipment!$M$1,FALSE)*60/Q110,0),0)</f>
        <v>51</v>
      </c>
      <c r="R111" s="189">
        <f>IFERROR(ROUNDDOWN(VLOOKUP(Fleet!$C$65,Equipment!$C$17:$V$20,Equipment!$M$1,FALSE)*60/R110,0),0)</f>
        <v>51</v>
      </c>
      <c r="S111" s="189">
        <f>IFERROR(ROUNDDOWN(VLOOKUP(Fleet!$C$65,Equipment!$C$17:$V$20,Equipment!$M$1,FALSE)*60/S110,0),0)</f>
        <v>51</v>
      </c>
      <c r="T111" s="189">
        <f>IFERROR(ROUNDDOWN(VLOOKUP(Fleet!$C$65,Equipment!$C$17:$V$20,Equipment!$M$1,FALSE)*60/T110,0),0)</f>
        <v>51</v>
      </c>
      <c r="U111" s="189">
        <f>IFERROR(ROUNDDOWN(VLOOKUP(Fleet!$C$65,Equipment!$C$17:$V$20,Equipment!$M$1,FALSE)*60/U110,0),0)</f>
        <v>51</v>
      </c>
      <c r="V111" s="189">
        <f>IFERROR(ROUNDDOWN(VLOOKUP(Fleet!$C$65,Equipment!$C$17:$V$20,Equipment!$M$1,FALSE)*60/V110,0),0)</f>
        <v>0</v>
      </c>
      <c r="W111" s="189">
        <f>IFERROR(ROUNDDOWN(VLOOKUP(Fleet!$C$65,Equipment!$C$17:$V$20,Equipment!$M$1,FALSE)*60/W110,0),0)</f>
        <v>0</v>
      </c>
      <c r="X111" s="189">
        <f>IFERROR(ROUNDDOWN(VLOOKUP(Fleet!$C$65,Equipment!$C$17:$V$20,Equipment!$M$1,FALSE)*60/X110,0),0)</f>
        <v>0</v>
      </c>
      <c r="Y111" s="189">
        <f>IFERROR(ROUNDDOWN(VLOOKUP(Fleet!$C$65,Equipment!$C$17:$V$20,Equipment!$M$1,FALSE)*60/Y110,0),0)</f>
        <v>0</v>
      </c>
      <c r="Z111" s="189">
        <f>IFERROR(ROUNDDOWN(VLOOKUP(Fleet!$C$65,Equipment!$C$17:$V$20,Equipment!$M$1,FALSE)*60/Z110,0),0)</f>
        <v>0</v>
      </c>
      <c r="AA111" s="189">
        <f>IFERROR(ROUNDDOWN(VLOOKUP(Fleet!$C$65,Equipment!$C$17:$V$20,Equipment!$M$1,FALSE)*60/AA110,0),0)</f>
        <v>0</v>
      </c>
      <c r="AB111" s="189">
        <f>IFERROR(ROUNDDOWN(VLOOKUP(Fleet!$C$65,Equipment!$C$17:$V$20,Equipment!$M$1,FALSE)*60/AB110,0),0)</f>
        <v>0</v>
      </c>
      <c r="AC111" s="189">
        <f>IFERROR(ROUNDDOWN(VLOOKUP(Fleet!$C$65,Equipment!$C$17:$V$20,Equipment!$M$1,FALSE)*60/AC110,0),0)</f>
        <v>0</v>
      </c>
      <c r="AD111" s="189">
        <f>IFERROR(ROUNDDOWN(VLOOKUP(Fleet!$C$65,Equipment!$C$17:$V$20,Equipment!$M$1,FALSE)*60/AD110,0),0)</f>
        <v>0</v>
      </c>
      <c r="AE111" s="189">
        <f>IFERROR(ROUNDDOWN(VLOOKUP(Fleet!$C$65,Equipment!$C$17:$V$20,Equipment!$M$1,FALSE)*60/AE110,0),0)</f>
        <v>0</v>
      </c>
      <c r="AF111" s="189">
        <f>IFERROR(ROUNDDOWN(VLOOKUP(Fleet!$C$65,Equipment!$C$17:$V$20,Equipment!$M$1,FALSE)*60/AF110,0),0)</f>
        <v>0</v>
      </c>
      <c r="AG111" s="189">
        <f>IFERROR(ROUNDDOWN(VLOOKUP(Fleet!$C$65,Equipment!$C$17:$V$20,Equipment!$M$1,FALSE)*60/AG110,0),0)</f>
        <v>0</v>
      </c>
      <c r="AH111" s="189">
        <f>IFERROR(ROUNDDOWN(VLOOKUP(Fleet!$C$65,Equipment!$C$17:$V$20,Equipment!$M$1,FALSE)*60/AH110,0),0)</f>
        <v>0</v>
      </c>
      <c r="AI111" s="189">
        <f>IFERROR(ROUNDDOWN(VLOOKUP(Fleet!$C$65,Equipment!$C$17:$V$20,Equipment!$M$1,FALSE)*60/AI110,0),0)</f>
        <v>0</v>
      </c>
      <c r="AJ111" s="189">
        <f>IFERROR(ROUNDDOWN(VLOOKUP(Fleet!$C$65,Equipment!$C$17:$V$20,Equipment!$M$1,FALSE)*60/AJ110,0),0)</f>
        <v>0</v>
      </c>
      <c r="AK111" s="189">
        <f>IFERROR(ROUNDDOWN(VLOOKUP(Fleet!$C$65,Equipment!$C$17:$V$20,Equipment!$M$1,FALSE)*60/AK110,0),0)</f>
        <v>0</v>
      </c>
      <c r="AL111" s="189">
        <f>IFERROR(ROUNDDOWN(VLOOKUP(Fleet!$C$65,Equipment!$C$17:$V$20,Equipment!$M$1,FALSE)*60/AL110,0),0)</f>
        <v>0</v>
      </c>
      <c r="AM111" s="189">
        <f>IFERROR(ROUNDDOWN(VLOOKUP(Fleet!$C$65,Equipment!$C$17:$V$20,Equipment!$M$1,FALSE)*60/AM110,0),0)</f>
        <v>0</v>
      </c>
    </row>
    <row r="112" spans="1:39">
      <c r="A112" s="121"/>
      <c r="B112" s="1337" t="s">
        <v>1138</v>
      </c>
      <c r="C112" s="1347" t="s">
        <v>1136</v>
      </c>
      <c r="D112" s="1371">
        <f>D111*MIN($I$55:$I$56)*Assumptions_Dashboard!$D$28</f>
        <v>0</v>
      </c>
      <c r="E112" s="1371">
        <f>E111*MIN($I$55:$I$56)*Assumptions_Dashboard!$D$28</f>
        <v>0</v>
      </c>
      <c r="F112" s="1371">
        <f>F111*MIN($I$55:$I$56)*Assumptions_Dashboard!$D$28</f>
        <v>0</v>
      </c>
      <c r="G112" s="1371">
        <f>G111*MIN($I$55:$I$56)*Assumptions_Dashboard!$D$28</f>
        <v>0</v>
      </c>
      <c r="H112" s="1371">
        <f>H111*MIN($I$55:$I$56)*Assumptions_Dashboard!$D$28</f>
        <v>0</v>
      </c>
      <c r="I112" s="1371">
        <f>I111*MIN($I$55:$I$56)*Assumptions_Dashboard!$D$28</f>
        <v>0</v>
      </c>
      <c r="J112" s="1371">
        <f>J111*MIN($I$55:$I$56)*Assumptions_Dashboard!$D$28</f>
        <v>0</v>
      </c>
      <c r="K112" s="1371">
        <f>K111*MIN($I$55:$I$56)*Assumptions_Dashboard!$D$28</f>
        <v>0</v>
      </c>
      <c r="L112" s="1371">
        <f>L111*MIN($I$55:$I$56)*Assumptions_Dashboard!$D$28</f>
        <v>0</v>
      </c>
      <c r="M112" s="1371">
        <f>M111*MIN($I$55:$I$56)*Assumptions_Dashboard!$D$28</f>
        <v>0</v>
      </c>
      <c r="N112" s="1371">
        <f>N111*MIN($I$55:$I$56)*Assumptions_Dashboard!$D$28</f>
        <v>144257.14285714284</v>
      </c>
      <c r="O112" s="1371">
        <f>O111*MIN($I$55:$I$56)*Assumptions_Dashboard!$D$28</f>
        <v>144257.14285714284</v>
      </c>
      <c r="P112" s="1371">
        <f>P111*MIN($I$55:$I$56)*Assumptions_Dashboard!$D$28</f>
        <v>144257.14285714284</v>
      </c>
      <c r="Q112" s="1371">
        <f>Q111*MIN($I$55:$I$56)*Assumptions_Dashboard!$D$28</f>
        <v>144257.14285714284</v>
      </c>
      <c r="R112" s="1371">
        <f>R111*MIN($I$55:$I$56)*Assumptions_Dashboard!$D$28</f>
        <v>144257.14285714284</v>
      </c>
      <c r="S112" s="1371">
        <f>S111*MIN($I$55:$I$56)*Assumptions_Dashboard!$D$28</f>
        <v>144257.14285714284</v>
      </c>
      <c r="T112" s="1371">
        <f>T111*MIN($I$55:$I$56)*Assumptions_Dashboard!$D$28</f>
        <v>144257.14285714284</v>
      </c>
      <c r="U112" s="1371">
        <f>U111*MIN($I$55:$I$56)*Assumptions_Dashboard!$D$28</f>
        <v>144257.14285714284</v>
      </c>
      <c r="V112" s="1371">
        <f>V111*MIN($I$55:$I$56)*Assumptions_Dashboard!$D$28</f>
        <v>0</v>
      </c>
      <c r="W112" s="1371">
        <f>W111*MIN($I$55:$I$56)*Assumptions_Dashboard!$D$28</f>
        <v>0</v>
      </c>
      <c r="X112" s="1371">
        <f>X111*MIN($I$55:$I$56)*Assumptions_Dashboard!$D$28</f>
        <v>0</v>
      </c>
      <c r="Y112" s="1371">
        <f>Y111*MIN($I$55:$I$56)*Assumptions_Dashboard!$D$28</f>
        <v>0</v>
      </c>
      <c r="Z112" s="1371">
        <f>Z111*MIN($I$55:$I$56)*Assumptions_Dashboard!$D$28</f>
        <v>0</v>
      </c>
      <c r="AA112" s="1371">
        <f>AA111*MIN($I$55:$I$56)*Assumptions_Dashboard!$D$28</f>
        <v>0</v>
      </c>
      <c r="AB112" s="1371">
        <f>AB111*MIN($I$55:$I$56)*Assumptions_Dashboard!$D$28</f>
        <v>0</v>
      </c>
      <c r="AC112" s="1371">
        <f>AC111*MIN($I$55:$I$56)*Assumptions_Dashboard!$D$28</f>
        <v>0</v>
      </c>
      <c r="AD112" s="1371">
        <f>AD111*MIN($I$55:$I$56)*Assumptions_Dashboard!$D$28</f>
        <v>0</v>
      </c>
      <c r="AE112" s="1371">
        <f>AE111*MIN($I$55:$I$56)*Assumptions_Dashboard!$D$28</f>
        <v>0</v>
      </c>
      <c r="AF112" s="1371">
        <f>AF111*MIN($I$55:$I$56)*Assumptions_Dashboard!$D$28</f>
        <v>0</v>
      </c>
      <c r="AG112" s="1371">
        <f>AG111*MIN($I$55:$I$56)*Assumptions_Dashboard!$D$28</f>
        <v>0</v>
      </c>
      <c r="AH112" s="1371">
        <f>AH111*MIN($I$55:$I$56)*Assumptions_Dashboard!$D$28</f>
        <v>0</v>
      </c>
      <c r="AI112" s="1371">
        <f>AI111*MIN($I$55:$I$56)*Assumptions_Dashboard!$D$28</f>
        <v>0</v>
      </c>
      <c r="AJ112" s="1371">
        <f>AJ111*MIN($I$55:$I$56)*Assumptions_Dashboard!$D$28</f>
        <v>0</v>
      </c>
      <c r="AK112" s="1371">
        <f>AK111*MIN($I$55:$I$56)*Assumptions_Dashboard!$D$28</f>
        <v>0</v>
      </c>
      <c r="AL112" s="1371">
        <f>AL111*MIN($I$55:$I$56)*Assumptions_Dashboard!$D$28</f>
        <v>0</v>
      </c>
      <c r="AM112" s="1371">
        <f>AM111*MIN($I$55:$I$56)*Assumptions_Dashboard!$D$28</f>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BD0F-609B-4353-B8A6-9996887BF8CE}">
  <sheetPr codeName="Sheet23">
    <tabColor rgb="FF00B050"/>
  </sheetPr>
  <dimension ref="A1:E43"/>
  <sheetViews>
    <sheetView showGridLines="0" workbookViewId="0"/>
  </sheetViews>
  <sheetFormatPr baseColWidth="10" defaultColWidth="9.1640625" defaultRowHeight="13"/>
  <cols>
    <col min="1" max="1" width="45.5" style="94" bestFit="1" customWidth="1"/>
    <col min="2" max="2" width="18.1640625" style="94" customWidth="1"/>
    <col min="3" max="3" width="14.6640625" style="94" customWidth="1"/>
    <col min="4" max="4" width="31" style="94" bestFit="1" customWidth="1"/>
    <col min="5" max="5" width="14.6640625" style="94" customWidth="1"/>
    <col min="6" max="16384" width="9.1640625" style="94"/>
  </cols>
  <sheetData>
    <row r="1" spans="1:5" ht="16">
      <c r="A1" s="521" t="s">
        <v>1140</v>
      </c>
    </row>
    <row r="2" spans="1:5">
      <c r="A2" s="94" t="s">
        <v>1019</v>
      </c>
    </row>
    <row r="3" spans="1:5" ht="16">
      <c r="A3" s="521" t="s">
        <v>1141</v>
      </c>
    </row>
    <row r="4" spans="1:5" ht="16">
      <c r="A4" s="609" t="s">
        <v>821</v>
      </c>
      <c r="B4" s="522" t="s">
        <v>89</v>
      </c>
      <c r="C4" s="523" t="s">
        <v>88</v>
      </c>
      <c r="D4" s="543" t="s">
        <v>704</v>
      </c>
    </row>
    <row r="5" spans="1:5">
      <c r="A5" s="524" t="s">
        <v>1142</v>
      </c>
      <c r="B5" s="1375">
        <v>2200</v>
      </c>
      <c r="C5" s="1330" t="s">
        <v>1083</v>
      </c>
      <c r="D5" s="1376" t="s">
        <v>1143</v>
      </c>
      <c r="E5" s="608">
        <v>2200</v>
      </c>
    </row>
    <row r="6" spans="1:5">
      <c r="A6" s="1317" t="s">
        <v>1144</v>
      </c>
      <c r="B6" s="1377">
        <v>300</v>
      </c>
      <c r="C6" s="415" t="s">
        <v>1083</v>
      </c>
      <c r="D6" s="546" t="s">
        <v>1143</v>
      </c>
      <c r="E6" s="608">
        <v>3800</v>
      </c>
    </row>
    <row r="7" spans="1:5">
      <c r="A7" s="1317" t="s">
        <v>1145</v>
      </c>
      <c r="B7" s="1377">
        <v>300</v>
      </c>
      <c r="C7" s="415" t="s">
        <v>432</v>
      </c>
      <c r="D7" s="546" t="s">
        <v>1146</v>
      </c>
    </row>
    <row r="8" spans="1:5">
      <c r="A8" s="525" t="s">
        <v>1147</v>
      </c>
      <c r="B8" s="610">
        <v>1</v>
      </c>
      <c r="C8" s="1339" t="s">
        <v>1148</v>
      </c>
      <c r="D8" s="1378" t="s">
        <v>1146</v>
      </c>
    </row>
    <row r="9" spans="1:5">
      <c r="A9" s="94" t="s">
        <v>1019</v>
      </c>
    </row>
    <row r="10" spans="1:5" ht="16">
      <c r="A10" s="521" t="s">
        <v>1149</v>
      </c>
    </row>
    <row r="11" spans="1:5" s="521" customFormat="1" ht="16">
      <c r="A11" s="609" t="s">
        <v>821</v>
      </c>
      <c r="B11" s="522" t="s">
        <v>89</v>
      </c>
      <c r="C11" s="523" t="s">
        <v>88</v>
      </c>
      <c r="D11" s="94"/>
      <c r="E11" s="94"/>
    </row>
    <row r="12" spans="1:5">
      <c r="A12" s="525" t="s">
        <v>1150</v>
      </c>
      <c r="B12" s="534">
        <f>Assumptions_Dashboard!D32</f>
        <v>1.72</v>
      </c>
      <c r="C12" s="530" t="s">
        <v>1151</v>
      </c>
    </row>
    <row r="13" spans="1:5">
      <c r="A13" s="94" t="s">
        <v>1019</v>
      </c>
    </row>
    <row r="14" spans="1:5" ht="16">
      <c r="A14" s="521" t="s">
        <v>1152</v>
      </c>
    </row>
    <row r="15" spans="1:5" ht="16">
      <c r="A15" s="609" t="s">
        <v>821</v>
      </c>
      <c r="B15" s="522" t="s">
        <v>89</v>
      </c>
      <c r="C15" s="523" t="s">
        <v>88</v>
      </c>
    </row>
    <row r="16" spans="1:5" ht="16">
      <c r="A16" s="535" t="s">
        <v>1100</v>
      </c>
      <c r="B16" s="536">
        <f>VLOOKUP(Fleet!$C$49,Equipment!$C$13:$K$13,8,FALSE)</f>
        <v>0.85</v>
      </c>
      <c r="C16" s="1379"/>
      <c r="D16" s="99" t="s">
        <v>1146</v>
      </c>
    </row>
    <row r="17" spans="1:4" ht="16">
      <c r="A17" s="1331" t="s">
        <v>1101</v>
      </c>
      <c r="B17" s="1380">
        <f>VLOOKUP(Fleet!$C$49,Equipment!$C$13:$K$13,9,FALSE)</f>
        <v>0.8</v>
      </c>
      <c r="C17" s="533"/>
      <c r="D17" s="99" t="s">
        <v>1146</v>
      </c>
    </row>
    <row r="18" spans="1:4">
      <c r="A18" s="1317" t="s">
        <v>1153</v>
      </c>
      <c r="B18" s="1381">
        <f>24*B16*B17</f>
        <v>16.32</v>
      </c>
      <c r="C18" s="415" t="s">
        <v>1054</v>
      </c>
    </row>
    <row r="19" spans="1:4">
      <c r="A19" s="525" t="s">
        <v>1154</v>
      </c>
      <c r="B19" s="539">
        <f>Assumptions_Dashboard!D28</f>
        <v>330</v>
      </c>
      <c r="C19" s="1339" t="s">
        <v>745</v>
      </c>
    </row>
    <row r="20" spans="1:4">
      <c r="A20" s="94" t="s">
        <v>1019</v>
      </c>
    </row>
    <row r="21" spans="1:4" ht="16">
      <c r="A21" s="521" t="s">
        <v>1155</v>
      </c>
    </row>
    <row r="22" spans="1:4">
      <c r="A22" s="609" t="s">
        <v>1156</v>
      </c>
      <c r="B22" s="527" t="s">
        <v>89</v>
      </c>
      <c r="C22" s="528" t="s">
        <v>88</v>
      </c>
    </row>
    <row r="23" spans="1:4">
      <c r="A23" s="524" t="s">
        <v>1157</v>
      </c>
      <c r="B23" s="611">
        <f>(B7/B8/1000)*60</f>
        <v>18</v>
      </c>
      <c r="C23" s="1330" t="s">
        <v>1158</v>
      </c>
    </row>
    <row r="24" spans="1:4">
      <c r="A24" s="1317" t="s">
        <v>1159</v>
      </c>
      <c r="B24" s="1382">
        <v>3</v>
      </c>
      <c r="C24" s="415" t="s">
        <v>1158</v>
      </c>
      <c r="D24" s="99" t="s">
        <v>1146</v>
      </c>
    </row>
    <row r="25" spans="1:4">
      <c r="A25" s="1317" t="s">
        <v>1160</v>
      </c>
      <c r="B25" s="1382">
        <v>1</v>
      </c>
      <c r="C25" s="415" t="s">
        <v>1158</v>
      </c>
      <c r="D25" s="99" t="s">
        <v>1146</v>
      </c>
    </row>
    <row r="26" spans="1:4">
      <c r="A26" s="1317" t="s">
        <v>1161</v>
      </c>
      <c r="B26" s="1381">
        <f>SUM(B23:B25)</f>
        <v>22</v>
      </c>
      <c r="C26" s="415" t="s">
        <v>1158</v>
      </c>
    </row>
    <row r="27" spans="1:4">
      <c r="A27" s="525" t="s">
        <v>1162</v>
      </c>
      <c r="B27" s="612">
        <f>60/B26</f>
        <v>2.7272727272727271</v>
      </c>
      <c r="C27" s="1339" t="s">
        <v>1163</v>
      </c>
    </row>
    <row r="28" spans="1:4">
      <c r="A28" s="94" t="s">
        <v>1019</v>
      </c>
    </row>
    <row r="29" spans="1:4" ht="16">
      <c r="A29" s="521" t="s">
        <v>1164</v>
      </c>
    </row>
    <row r="30" spans="1:4">
      <c r="A30" s="609" t="s">
        <v>821</v>
      </c>
      <c r="B30" s="526" t="s">
        <v>89</v>
      </c>
      <c r="C30" s="528" t="s">
        <v>88</v>
      </c>
    </row>
    <row r="31" spans="1:4">
      <c r="A31" s="529" t="s">
        <v>1165</v>
      </c>
      <c r="B31" s="537">
        <f>(B5/1000)*(B6/1000)*B7</f>
        <v>198</v>
      </c>
      <c r="C31" s="530" t="s">
        <v>1166</v>
      </c>
    </row>
    <row r="32" spans="1:4">
      <c r="A32" s="94" t="s">
        <v>1019</v>
      </c>
    </row>
    <row r="33" spans="1:4" ht="16">
      <c r="A33" s="521" t="s">
        <v>1167</v>
      </c>
    </row>
    <row r="34" spans="1:4">
      <c r="A34" s="609" t="s">
        <v>821</v>
      </c>
      <c r="B34" s="531" t="s">
        <v>89</v>
      </c>
      <c r="C34" s="1383" t="s">
        <v>88</v>
      </c>
    </row>
    <row r="35" spans="1:4">
      <c r="A35" s="524" t="s">
        <v>1168</v>
      </c>
      <c r="B35" s="538">
        <f>B31*B27</f>
        <v>540</v>
      </c>
      <c r="C35" s="1330" t="s">
        <v>1169</v>
      </c>
    </row>
    <row r="36" spans="1:4">
      <c r="A36" s="526" t="s">
        <v>1170</v>
      </c>
      <c r="B36" s="542">
        <f>B35*B12</f>
        <v>928.8</v>
      </c>
      <c r="C36" s="528" t="s">
        <v>1171</v>
      </c>
      <c r="D36" s="544"/>
    </row>
    <row r="37" spans="1:4">
      <c r="A37" s="1317" t="s">
        <v>1172</v>
      </c>
      <c r="B37" s="1384">
        <f>B35*B18</f>
        <v>8812.7999999999993</v>
      </c>
      <c r="C37" s="415" t="s">
        <v>1173</v>
      </c>
    </row>
    <row r="38" spans="1:4">
      <c r="A38" s="1317" t="s">
        <v>1174</v>
      </c>
      <c r="B38" s="1384">
        <f>B36*B18</f>
        <v>15158.016</v>
      </c>
      <c r="C38" s="415" t="s">
        <v>1175</v>
      </c>
    </row>
    <row r="39" spans="1:4">
      <c r="A39" s="1317" t="s">
        <v>1176</v>
      </c>
      <c r="B39" s="1384">
        <f>B37*B19</f>
        <v>2908223.9999999995</v>
      </c>
      <c r="C39" s="415" t="s">
        <v>1177</v>
      </c>
    </row>
    <row r="40" spans="1:4">
      <c r="A40" s="1317" t="s">
        <v>1176</v>
      </c>
      <c r="B40" s="1385">
        <f>B39/10^6</f>
        <v>2.9082239999999997</v>
      </c>
      <c r="C40" s="415" t="s">
        <v>1178</v>
      </c>
    </row>
    <row r="41" spans="1:4">
      <c r="A41" s="1317" t="s">
        <v>1179</v>
      </c>
      <c r="B41" s="1384">
        <f>B39*$B$12</f>
        <v>5002145.2799999993</v>
      </c>
      <c r="C41" s="415" t="s">
        <v>1180</v>
      </c>
    </row>
    <row r="42" spans="1:4">
      <c r="A42" s="540" t="s">
        <v>1181</v>
      </c>
      <c r="B42" s="541">
        <f>B40*$B$12</f>
        <v>5.0021452799999997</v>
      </c>
      <c r="C42" s="1386" t="s">
        <v>1182</v>
      </c>
    </row>
    <row r="43" spans="1:4">
      <c r="A43" s="94" t="s">
        <v>1019</v>
      </c>
    </row>
  </sheetData>
  <dataValidations count="1">
    <dataValidation type="list" allowBlank="1" showInputMessage="1" showErrorMessage="1" sqref="B5" xr:uid="{D97FECC1-FE47-4A85-ADC5-7CDE8474DBCD}">
      <formula1>$E$5:$E$6</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0796-7A00-4F67-8560-FD84E48331D6}">
  <sheetPr codeName="Sheet24">
    <tabColor rgb="FF00B050"/>
  </sheetPr>
  <dimension ref="B1:W100"/>
  <sheetViews>
    <sheetView showGridLines="0" topLeftCell="A35" workbookViewId="0">
      <selection activeCell="E44" sqref="E44"/>
    </sheetView>
  </sheetViews>
  <sheetFormatPr baseColWidth="10" defaultColWidth="9.33203125" defaultRowHeight="13" zeroHeight="1"/>
  <cols>
    <col min="1" max="1" width="9.33203125" style="94"/>
    <col min="2" max="2" width="44.6640625" style="94" customWidth="1"/>
    <col min="3" max="3" width="11.33203125" style="94" bestFit="1" customWidth="1"/>
    <col min="4" max="4" width="14.33203125" style="94" bestFit="1" customWidth="1"/>
    <col min="5" max="5" width="16.5" style="94" bestFit="1" customWidth="1"/>
    <col min="6" max="6" width="11.6640625" style="94" bestFit="1" customWidth="1"/>
    <col min="7" max="7" width="15.6640625" style="94" bestFit="1" customWidth="1"/>
    <col min="8" max="8" width="12.33203125" style="94" customWidth="1"/>
    <col min="9" max="9" width="12.33203125" style="94" bestFit="1" customWidth="1"/>
    <col min="10" max="10" width="11" style="94" customWidth="1"/>
    <col min="11" max="11" width="11.6640625" style="94" bestFit="1" customWidth="1"/>
    <col min="12" max="12" width="11" style="94" bestFit="1" customWidth="1"/>
    <col min="13" max="13" width="12.6640625" style="94" bestFit="1" customWidth="1"/>
    <col min="14" max="15" width="12.33203125" style="94" bestFit="1" customWidth="1"/>
    <col min="16" max="16" width="14.33203125" style="94" customWidth="1"/>
    <col min="17" max="17" width="7.33203125" style="94" bestFit="1" customWidth="1"/>
    <col min="18" max="18" width="8.6640625" style="94" bestFit="1" customWidth="1"/>
    <col min="19" max="19" width="8.5" style="94" bestFit="1" customWidth="1"/>
    <col min="20" max="20" width="8.6640625" style="94" bestFit="1" customWidth="1"/>
    <col min="21" max="21" width="10" style="94" bestFit="1" customWidth="1"/>
    <col min="22" max="22" width="12.33203125" style="94" customWidth="1"/>
    <col min="23" max="23" width="11.5" style="94" bestFit="1" customWidth="1"/>
    <col min="24" max="25" width="8.33203125" style="94" customWidth="1"/>
    <col min="26" max="27" width="12.33203125" style="94" bestFit="1" customWidth="1"/>
    <col min="28" max="16384" width="9.33203125" style="94"/>
  </cols>
  <sheetData>
    <row r="1" spans="2:23">
      <c r="B1" s="99">
        <v>1</v>
      </c>
      <c r="C1" s="99">
        <v>2</v>
      </c>
      <c r="D1" s="99">
        <v>3</v>
      </c>
      <c r="E1" s="99">
        <v>4</v>
      </c>
      <c r="F1" s="99">
        <v>5</v>
      </c>
      <c r="G1" s="99">
        <v>6</v>
      </c>
      <c r="H1" s="99">
        <v>7</v>
      </c>
      <c r="I1" s="99">
        <v>8</v>
      </c>
      <c r="J1" s="99">
        <v>9</v>
      </c>
      <c r="K1" s="99">
        <v>10</v>
      </c>
      <c r="L1" s="99">
        <v>11</v>
      </c>
      <c r="M1" s="99">
        <v>12</v>
      </c>
      <c r="N1" s="99">
        <v>13</v>
      </c>
      <c r="O1" s="99">
        <v>14</v>
      </c>
      <c r="P1" s="99">
        <v>15</v>
      </c>
      <c r="Q1" s="99">
        <v>16</v>
      </c>
      <c r="R1" s="99">
        <v>17</v>
      </c>
      <c r="S1" s="99">
        <v>18</v>
      </c>
      <c r="T1" s="99">
        <v>19</v>
      </c>
      <c r="U1" s="99">
        <v>20</v>
      </c>
      <c r="V1" s="99">
        <v>21</v>
      </c>
      <c r="W1" s="99">
        <v>22</v>
      </c>
    </row>
    <row r="2" spans="2:23">
      <c r="B2" s="117" t="s">
        <v>1034</v>
      </c>
      <c r="C2" s="117"/>
      <c r="D2" s="117"/>
      <c r="E2" s="118"/>
      <c r="F2" s="118"/>
      <c r="G2" s="118"/>
      <c r="H2" s="119"/>
      <c r="I2" s="118"/>
      <c r="J2" s="118"/>
      <c r="K2" s="118"/>
      <c r="L2" s="118"/>
      <c r="M2" s="118"/>
      <c r="N2" s="554">
        <f>M17/330</f>
        <v>15.360000000000001</v>
      </c>
      <c r="O2" s="118"/>
      <c r="P2" s="118"/>
      <c r="Q2" s="118"/>
      <c r="R2" s="1752" t="s">
        <v>1035</v>
      </c>
      <c r="S2" s="1753"/>
      <c r="T2" s="1754"/>
      <c r="U2" s="118"/>
      <c r="V2" s="118"/>
      <c r="W2" s="118"/>
    </row>
    <row r="3" spans="2:23">
      <c r="B3" s="1387" t="s">
        <v>94</v>
      </c>
      <c r="C3" s="1387" t="s">
        <v>1100</v>
      </c>
      <c r="D3" s="1387" t="s">
        <v>1183</v>
      </c>
      <c r="E3" s="1387" t="s">
        <v>1036</v>
      </c>
      <c r="F3" s="1387" t="s">
        <v>1037</v>
      </c>
      <c r="G3" s="1387" t="s">
        <v>1038</v>
      </c>
      <c r="H3" s="1387" t="s">
        <v>1039</v>
      </c>
      <c r="I3" s="1387" t="s">
        <v>1040</v>
      </c>
      <c r="J3" s="1387" t="s">
        <v>1041</v>
      </c>
      <c r="K3" s="1387" t="s">
        <v>1042</v>
      </c>
      <c r="L3" s="1387" t="s">
        <v>1043</v>
      </c>
      <c r="M3" s="1755" t="s">
        <v>1044</v>
      </c>
      <c r="N3" s="1755"/>
      <c r="O3" s="1755" t="s">
        <v>1045</v>
      </c>
      <c r="P3" s="1755"/>
      <c r="Q3" s="1387" t="s">
        <v>1046</v>
      </c>
      <c r="R3" s="1387"/>
      <c r="S3" s="1387"/>
      <c r="T3" s="1387" t="s">
        <v>1035</v>
      </c>
      <c r="U3" s="1387" t="s">
        <v>670</v>
      </c>
      <c r="V3" s="1756" t="s">
        <v>1047</v>
      </c>
      <c r="W3" s="1756"/>
    </row>
    <row r="4" spans="2:23">
      <c r="B4" s="1388"/>
      <c r="C4" s="1388"/>
      <c r="D4" s="1388"/>
      <c r="E4" s="1389"/>
      <c r="F4" s="1389"/>
      <c r="G4" s="1389" t="s">
        <v>1048</v>
      </c>
      <c r="H4" s="1389" t="s">
        <v>1049</v>
      </c>
      <c r="I4" s="1389" t="s">
        <v>1050</v>
      </c>
      <c r="J4" s="1389" t="s">
        <v>1051</v>
      </c>
      <c r="K4" s="1389" t="s">
        <v>131</v>
      </c>
      <c r="L4" s="1389" t="s">
        <v>131</v>
      </c>
      <c r="M4" s="1389" t="s">
        <v>1052</v>
      </c>
      <c r="N4" s="1389" t="s">
        <v>1053</v>
      </c>
      <c r="O4" s="1389" t="s">
        <v>1054</v>
      </c>
      <c r="P4" s="1389" t="s">
        <v>125</v>
      </c>
      <c r="Q4" s="1389" t="s">
        <v>131</v>
      </c>
      <c r="R4" s="1389" t="s">
        <v>1055</v>
      </c>
      <c r="S4" s="1389" t="s">
        <v>1055</v>
      </c>
      <c r="T4" s="1389" t="s">
        <v>1055</v>
      </c>
      <c r="U4" s="1389" t="s">
        <v>1056</v>
      </c>
      <c r="V4" s="1389" t="s">
        <v>1057</v>
      </c>
      <c r="W4" s="1389" t="s">
        <v>292</v>
      </c>
    </row>
    <row r="5" spans="2:23">
      <c r="B5" s="121" t="s">
        <v>842</v>
      </c>
      <c r="C5" s="121"/>
      <c r="D5" s="121"/>
      <c r="E5" s="126" t="s">
        <v>1184</v>
      </c>
      <c r="F5" s="126" t="s">
        <v>1185</v>
      </c>
      <c r="G5" s="127">
        <v>47200000</v>
      </c>
      <c r="H5" s="127">
        <v>500</v>
      </c>
      <c r="I5" s="128">
        <v>250</v>
      </c>
      <c r="J5" s="128"/>
      <c r="K5" s="129">
        <v>0.8</v>
      </c>
      <c r="L5" s="129">
        <v>0.75</v>
      </c>
      <c r="M5" s="122">
        <f>Assumptions_Dashboard!$D$29*K5*L5</f>
        <v>4752</v>
      </c>
      <c r="N5" s="125">
        <f>M5/Assumptions_Dashboard!$D$28</f>
        <v>14.4</v>
      </c>
      <c r="O5" s="130">
        <v>24000</v>
      </c>
      <c r="P5" s="123">
        <f>ROUNDDOWN(O5/M5,0)</f>
        <v>5</v>
      </c>
      <c r="Q5" s="131">
        <f>1/10</f>
        <v>0.1</v>
      </c>
      <c r="R5" s="132">
        <v>60</v>
      </c>
      <c r="S5" s="132">
        <f t="shared" ref="S5:S75" si="0">ROUNDUP(H5*0.1,0)</f>
        <v>50</v>
      </c>
      <c r="T5" s="132">
        <f>MIN(R5,S5)</f>
        <v>50</v>
      </c>
      <c r="U5" s="130"/>
      <c r="V5" s="130">
        <v>0</v>
      </c>
      <c r="W5" s="130">
        <v>0</v>
      </c>
    </row>
    <row r="6" spans="2:23">
      <c r="B6" s="121" t="s">
        <v>852</v>
      </c>
      <c r="C6" s="121"/>
      <c r="D6" s="121"/>
      <c r="E6" s="126" t="s">
        <v>1186</v>
      </c>
      <c r="F6" s="126" t="s">
        <v>1187</v>
      </c>
      <c r="G6" s="127">
        <v>11900000</v>
      </c>
      <c r="H6" s="127">
        <v>425</v>
      </c>
      <c r="I6" s="128">
        <v>160</v>
      </c>
      <c r="J6" s="128"/>
      <c r="K6" s="129">
        <v>0.8</v>
      </c>
      <c r="L6" s="129">
        <v>0.7</v>
      </c>
      <c r="M6" s="122">
        <f>Assumptions_Dashboard!$D$29*K6*L6</f>
        <v>4435.2</v>
      </c>
      <c r="N6" s="125">
        <f>M6/Assumptions_Dashboard!$D$28</f>
        <v>13.44</v>
      </c>
      <c r="O6" s="130">
        <v>24000</v>
      </c>
      <c r="P6" s="123">
        <f t="shared" ref="P6:P100" si="1">ROUNDDOWN(O6/M6,0)</f>
        <v>5</v>
      </c>
      <c r="Q6" s="131">
        <f t="shared" ref="Q6:Q7" si="2">1/10</f>
        <v>0.1</v>
      </c>
      <c r="R6" s="132">
        <v>38</v>
      </c>
      <c r="S6" s="132">
        <f t="shared" si="0"/>
        <v>43</v>
      </c>
      <c r="T6" s="132">
        <f t="shared" ref="T6:T93" si="3">MIN(R6,S6)</f>
        <v>38</v>
      </c>
      <c r="U6" s="130"/>
      <c r="V6" s="130">
        <v>0</v>
      </c>
      <c r="W6" s="130">
        <v>0</v>
      </c>
    </row>
    <row r="7" spans="2:23">
      <c r="B7" s="121" t="s">
        <v>862</v>
      </c>
      <c r="C7" s="121"/>
      <c r="D7" s="121"/>
      <c r="E7" s="126" t="s">
        <v>1186</v>
      </c>
      <c r="F7" s="126" t="s">
        <v>1188</v>
      </c>
      <c r="G7" s="127">
        <v>5800000</v>
      </c>
      <c r="H7" s="127">
        <v>295</v>
      </c>
      <c r="I7" s="128">
        <v>115</v>
      </c>
      <c r="J7" s="128"/>
      <c r="K7" s="129">
        <v>0.8</v>
      </c>
      <c r="L7" s="129">
        <v>0.7</v>
      </c>
      <c r="M7" s="122">
        <f>Assumptions_Dashboard!$D$29*K7*L7</f>
        <v>4435.2</v>
      </c>
      <c r="N7" s="125">
        <f>M7/Assumptions_Dashboard!$D$28</f>
        <v>13.44</v>
      </c>
      <c r="O7" s="130">
        <v>24000</v>
      </c>
      <c r="P7" s="123">
        <f>ROUNDDOWN(O7/M7,0)</f>
        <v>5</v>
      </c>
      <c r="Q7" s="131">
        <f t="shared" si="2"/>
        <v>0.1</v>
      </c>
      <c r="R7" s="132">
        <v>28</v>
      </c>
      <c r="S7" s="132">
        <f t="shared" si="0"/>
        <v>30</v>
      </c>
      <c r="T7" s="132">
        <f t="shared" si="3"/>
        <v>28</v>
      </c>
      <c r="U7" s="130"/>
      <c r="V7" s="130">
        <v>0</v>
      </c>
      <c r="W7" s="130">
        <v>0</v>
      </c>
    </row>
    <row r="8" spans="2:23">
      <c r="B8" s="121" t="s">
        <v>843</v>
      </c>
      <c r="C8" s="121" t="s">
        <v>1189</v>
      </c>
      <c r="D8" s="124">
        <v>42736</v>
      </c>
      <c r="E8" s="126" t="s">
        <v>1190</v>
      </c>
      <c r="F8" s="126">
        <v>7295</v>
      </c>
      <c r="G8" s="127">
        <v>1430000000</v>
      </c>
      <c r="H8" s="127">
        <f>2152*1.34102</f>
        <v>2885.8750400000004</v>
      </c>
      <c r="I8" s="128">
        <v>38.299999999999997</v>
      </c>
      <c r="J8" s="128"/>
      <c r="K8" s="129">
        <v>0.8</v>
      </c>
      <c r="L8" s="129">
        <v>0.8</v>
      </c>
      <c r="M8" s="122">
        <f>Assumptions_Dashboard!$D$29*K8*L8</f>
        <v>5068.8</v>
      </c>
      <c r="N8" s="125">
        <f>M8/Assumptions_Dashboard!$D$28</f>
        <v>15.360000000000001</v>
      </c>
      <c r="O8" s="130">
        <v>60000</v>
      </c>
      <c r="P8" s="123">
        <f t="shared" si="1"/>
        <v>11</v>
      </c>
      <c r="Q8" s="131">
        <f>1/8</f>
        <v>0.125</v>
      </c>
      <c r="R8" s="132">
        <v>0</v>
      </c>
      <c r="S8" s="132">
        <f t="shared" si="0"/>
        <v>289</v>
      </c>
      <c r="T8" s="132">
        <f t="shared" si="3"/>
        <v>0</v>
      </c>
      <c r="U8" s="130">
        <v>2152</v>
      </c>
      <c r="V8" s="130">
        <v>0</v>
      </c>
      <c r="W8" s="130">
        <v>0</v>
      </c>
    </row>
    <row r="9" spans="2:23">
      <c r="B9" s="121" t="s">
        <v>853</v>
      </c>
      <c r="C9" s="121"/>
      <c r="D9" s="121"/>
      <c r="E9" s="126" t="s">
        <v>1190</v>
      </c>
      <c r="F9" s="126">
        <v>7295</v>
      </c>
      <c r="G9" s="127">
        <v>1008000000</v>
      </c>
      <c r="H9" s="127">
        <f>2152*1.34102</f>
        <v>2885.8750400000004</v>
      </c>
      <c r="I9" s="128">
        <v>26.7</v>
      </c>
      <c r="J9" s="128"/>
      <c r="K9" s="129">
        <v>0.8</v>
      </c>
      <c r="L9" s="129">
        <v>0.8</v>
      </c>
      <c r="M9" s="122">
        <f>Assumptions_Dashboard!$D$29*K9*L9</f>
        <v>5068.8</v>
      </c>
      <c r="N9" s="125">
        <f>M9/Assumptions_Dashboard!$D$28</f>
        <v>15.360000000000001</v>
      </c>
      <c r="O9" s="130">
        <v>60000</v>
      </c>
      <c r="P9" s="123">
        <f t="shared" si="1"/>
        <v>11</v>
      </c>
      <c r="Q9" s="131">
        <f t="shared" ref="Q9:Q26" si="4">1/8</f>
        <v>0.125</v>
      </c>
      <c r="R9" s="132">
        <v>0</v>
      </c>
      <c r="S9" s="132">
        <f t="shared" si="0"/>
        <v>289</v>
      </c>
      <c r="T9" s="132">
        <f t="shared" si="3"/>
        <v>0</v>
      </c>
      <c r="U9" s="130">
        <f>2152</f>
        <v>2152</v>
      </c>
      <c r="V9" s="130">
        <v>0</v>
      </c>
      <c r="W9" s="130">
        <v>0</v>
      </c>
    </row>
    <row r="10" spans="2:23">
      <c r="B10" s="121" t="s">
        <v>863</v>
      </c>
      <c r="C10" s="121" t="s">
        <v>1189</v>
      </c>
      <c r="D10" s="124">
        <v>42736</v>
      </c>
      <c r="E10" s="126" t="s">
        <v>1190</v>
      </c>
      <c r="F10" s="126" t="s">
        <v>1191</v>
      </c>
      <c r="G10" s="127">
        <v>490000000</v>
      </c>
      <c r="H10" s="127">
        <f>1516*1.34102</f>
        <v>2032.9863200000002</v>
      </c>
      <c r="I10" s="128">
        <v>22</v>
      </c>
      <c r="J10" s="128"/>
      <c r="K10" s="129">
        <v>0.8</v>
      </c>
      <c r="L10" s="129">
        <v>0.8</v>
      </c>
      <c r="M10" s="122">
        <f>Assumptions_Dashboard!$D$29*K10*L10</f>
        <v>5068.8</v>
      </c>
      <c r="N10" s="125">
        <f>M10/Assumptions_Dashboard!$D$28</f>
        <v>15.360000000000001</v>
      </c>
      <c r="O10" s="130">
        <v>60000</v>
      </c>
      <c r="P10" s="123">
        <f t="shared" si="1"/>
        <v>11</v>
      </c>
      <c r="Q10" s="131">
        <f t="shared" si="4"/>
        <v>0.125</v>
      </c>
      <c r="R10" s="132">
        <v>0</v>
      </c>
      <c r="S10" s="132">
        <f t="shared" si="0"/>
        <v>204</v>
      </c>
      <c r="T10" s="132">
        <f t="shared" si="3"/>
        <v>0</v>
      </c>
      <c r="U10" s="127">
        <f>1516</f>
        <v>1516</v>
      </c>
      <c r="V10" s="130">
        <v>0</v>
      </c>
      <c r="W10" s="130">
        <v>0</v>
      </c>
    </row>
    <row r="11" spans="2:23">
      <c r="B11" s="121" t="s">
        <v>872</v>
      </c>
      <c r="C11" s="121"/>
      <c r="D11" s="124">
        <v>44409</v>
      </c>
      <c r="E11" s="126" t="s">
        <v>1190</v>
      </c>
      <c r="F11" s="126">
        <v>6040</v>
      </c>
      <c r="G11" s="127">
        <v>450000000</v>
      </c>
      <c r="H11" s="127">
        <f>1516*1.34102</f>
        <v>2032.9863200000002</v>
      </c>
      <c r="I11" s="128">
        <v>22</v>
      </c>
      <c r="J11" s="128"/>
      <c r="K11" s="129">
        <v>0.8</v>
      </c>
      <c r="L11" s="129">
        <v>0.8</v>
      </c>
      <c r="M11" s="122">
        <f>Assumptions_Dashboard!$D$29*K11*L11</f>
        <v>5068.8</v>
      </c>
      <c r="N11" s="125">
        <f>M11/Assumptions_Dashboard!$D$28</f>
        <v>15.360000000000001</v>
      </c>
      <c r="O11" s="130">
        <v>60000</v>
      </c>
      <c r="P11" s="123">
        <f t="shared" si="1"/>
        <v>11</v>
      </c>
      <c r="Q11" s="131">
        <f t="shared" si="4"/>
        <v>0.125</v>
      </c>
      <c r="R11" s="132"/>
      <c r="S11" s="132">
        <f t="shared" si="0"/>
        <v>204</v>
      </c>
      <c r="T11" s="132"/>
      <c r="U11" s="127">
        <f>1516</f>
        <v>1516</v>
      </c>
      <c r="V11" s="130"/>
      <c r="W11" s="130"/>
    </row>
    <row r="12" spans="2:23">
      <c r="B12" s="121" t="s">
        <v>879</v>
      </c>
      <c r="C12" s="121"/>
      <c r="D12" s="121"/>
      <c r="E12" s="126" t="s">
        <v>1192</v>
      </c>
      <c r="F12" s="126" t="s">
        <v>1193</v>
      </c>
      <c r="G12" s="127">
        <v>535000000</v>
      </c>
      <c r="H12" s="127">
        <f>1516*1.34102</f>
        <v>2032.9863200000002</v>
      </c>
      <c r="I12" s="128">
        <v>20</v>
      </c>
      <c r="J12" s="128"/>
      <c r="K12" s="129">
        <v>0.8</v>
      </c>
      <c r="L12" s="129">
        <v>0.8</v>
      </c>
      <c r="M12" s="122">
        <f>Assumptions_Dashboard!$D$29*K12*L12</f>
        <v>5068.8</v>
      </c>
      <c r="N12" s="125">
        <f>M12/Assumptions_Dashboard!$D$28</f>
        <v>15.360000000000001</v>
      </c>
      <c r="O12" s="130">
        <v>60000</v>
      </c>
      <c r="P12" s="123">
        <f t="shared" si="1"/>
        <v>11</v>
      </c>
      <c r="Q12" s="131">
        <f t="shared" si="4"/>
        <v>0.125</v>
      </c>
      <c r="R12" s="132">
        <v>0</v>
      </c>
      <c r="S12" s="132">
        <f t="shared" si="0"/>
        <v>204</v>
      </c>
      <c r="T12" s="132">
        <f t="shared" si="3"/>
        <v>0</v>
      </c>
      <c r="U12" s="127">
        <f>1516</f>
        <v>1516</v>
      </c>
      <c r="V12" s="130">
        <v>0</v>
      </c>
      <c r="W12" s="130">
        <v>0</v>
      </c>
    </row>
    <row r="13" spans="2:23">
      <c r="B13" s="121" t="s">
        <v>887</v>
      </c>
      <c r="C13" s="121" t="s">
        <v>1189</v>
      </c>
      <c r="D13" s="124">
        <v>42736</v>
      </c>
      <c r="E13" s="126" t="s">
        <v>1190</v>
      </c>
      <c r="F13" s="126" t="s">
        <v>1194</v>
      </c>
      <c r="G13" s="127">
        <v>358000000</v>
      </c>
      <c r="H13" s="127">
        <f>1141*1.34102</f>
        <v>1530.10382</v>
      </c>
      <c r="I13" s="128">
        <v>17</v>
      </c>
      <c r="J13" s="128"/>
      <c r="K13" s="129">
        <v>0.8</v>
      </c>
      <c r="L13" s="129">
        <v>0.8</v>
      </c>
      <c r="M13" s="122">
        <f>Assumptions_Dashboard!$D$29*K13*L13</f>
        <v>5068.8</v>
      </c>
      <c r="N13" s="125">
        <f>M13/Assumptions_Dashboard!$D$28</f>
        <v>15.360000000000001</v>
      </c>
      <c r="O13" s="130">
        <v>60000</v>
      </c>
      <c r="P13" s="123">
        <f t="shared" si="1"/>
        <v>11</v>
      </c>
      <c r="Q13" s="131">
        <f t="shared" si="4"/>
        <v>0.125</v>
      </c>
      <c r="R13" s="132">
        <v>0</v>
      </c>
      <c r="S13" s="132">
        <f t="shared" si="0"/>
        <v>154</v>
      </c>
      <c r="T13" s="132">
        <f t="shared" si="3"/>
        <v>0</v>
      </c>
      <c r="U13" s="127">
        <f>1141</f>
        <v>1141</v>
      </c>
      <c r="V13" s="130">
        <v>0</v>
      </c>
      <c r="W13" s="130">
        <v>0</v>
      </c>
    </row>
    <row r="14" spans="2:23">
      <c r="B14" s="121" t="s">
        <v>891</v>
      </c>
      <c r="C14" s="121" t="s">
        <v>1189</v>
      </c>
      <c r="D14" s="124">
        <v>44713</v>
      </c>
      <c r="E14" s="126" t="s">
        <v>1190</v>
      </c>
      <c r="F14" s="126" t="s">
        <v>1195</v>
      </c>
      <c r="G14" s="127">
        <v>255000000</v>
      </c>
      <c r="H14" s="127">
        <v>1043</v>
      </c>
      <c r="I14" s="128">
        <v>12</v>
      </c>
      <c r="J14" s="128"/>
      <c r="K14" s="129">
        <v>0.8</v>
      </c>
      <c r="L14" s="129">
        <v>0.8</v>
      </c>
      <c r="M14" s="122">
        <f>Assumptions_Dashboard!$D$29*K14*L14</f>
        <v>5068.8</v>
      </c>
      <c r="N14" s="125">
        <f>M14/Assumptions_Dashboard!$D$28</f>
        <v>15.360000000000001</v>
      </c>
      <c r="O14" s="130">
        <v>60000</v>
      </c>
      <c r="P14" s="123">
        <f t="shared" si="1"/>
        <v>11</v>
      </c>
      <c r="Q14" s="131">
        <f t="shared" si="4"/>
        <v>0.125</v>
      </c>
      <c r="R14" s="132">
        <f>ROUNDUP(H14*0.1,-1)</f>
        <v>110</v>
      </c>
      <c r="S14" s="132">
        <f>ROUNDUP(H14*0.1,0)</f>
        <v>105</v>
      </c>
      <c r="T14" s="132">
        <f>MIN(R14,S14)</f>
        <v>105</v>
      </c>
      <c r="U14" s="130">
        <v>778</v>
      </c>
      <c r="V14" s="130">
        <v>0</v>
      </c>
      <c r="W14" s="130">
        <v>0</v>
      </c>
    </row>
    <row r="15" spans="2:23">
      <c r="B15" s="121" t="s">
        <v>897</v>
      </c>
      <c r="C15" s="121"/>
      <c r="D15" s="121"/>
      <c r="E15" s="126" t="s">
        <v>1190</v>
      </c>
      <c r="F15" s="126" t="s">
        <v>1196</v>
      </c>
      <c r="G15" s="127">
        <v>185500000</v>
      </c>
      <c r="H15" s="127">
        <v>1150</v>
      </c>
      <c r="I15" s="128">
        <v>10</v>
      </c>
      <c r="J15" s="128"/>
      <c r="K15" s="129">
        <v>0.8</v>
      </c>
      <c r="L15" s="129">
        <v>0.8</v>
      </c>
      <c r="M15" s="122">
        <f>Assumptions_Dashboard!$D$29*K15*L15</f>
        <v>5068.8</v>
      </c>
      <c r="N15" s="125">
        <f>M15/Assumptions_Dashboard!$D$28</f>
        <v>15.360000000000001</v>
      </c>
      <c r="O15" s="130">
        <v>30000</v>
      </c>
      <c r="P15" s="123">
        <f t="shared" si="1"/>
        <v>5</v>
      </c>
      <c r="Q15" s="131">
        <f t="shared" si="4"/>
        <v>0.125</v>
      </c>
      <c r="R15" s="132">
        <v>0</v>
      </c>
      <c r="S15" s="132">
        <f t="shared" si="0"/>
        <v>115</v>
      </c>
      <c r="T15" s="132">
        <f t="shared" si="3"/>
        <v>0</v>
      </c>
      <c r="U15" s="130">
        <f>1150/1.34102</f>
        <v>857.55618857287732</v>
      </c>
      <c r="V15" s="130">
        <v>0</v>
      </c>
      <c r="W15" s="130">
        <v>0</v>
      </c>
    </row>
    <row r="16" spans="2:23">
      <c r="B16" s="121" t="s">
        <v>903</v>
      </c>
      <c r="C16" s="121" t="s">
        <v>1189</v>
      </c>
      <c r="D16" s="124">
        <v>42736</v>
      </c>
      <c r="E16" s="126" t="s">
        <v>1190</v>
      </c>
      <c r="F16" s="126" t="s">
        <v>1197</v>
      </c>
      <c r="G16" s="127">
        <v>250000000</v>
      </c>
      <c r="H16" s="127">
        <v>1150</v>
      </c>
      <c r="I16" s="128">
        <v>10</v>
      </c>
      <c r="J16" s="128"/>
      <c r="K16" s="129">
        <v>0.8</v>
      </c>
      <c r="L16" s="129">
        <v>0.8</v>
      </c>
      <c r="M16" s="122">
        <f>Assumptions_Dashboard!$D$29*K16*L16</f>
        <v>5068.8</v>
      </c>
      <c r="N16" s="125">
        <f>M16/Assumptions_Dashboard!$D$28</f>
        <v>15.360000000000001</v>
      </c>
      <c r="O16" s="130">
        <v>30000</v>
      </c>
      <c r="P16" s="123">
        <f t="shared" si="1"/>
        <v>5</v>
      </c>
      <c r="Q16" s="131">
        <f t="shared" si="4"/>
        <v>0.125</v>
      </c>
      <c r="R16" s="132">
        <v>120</v>
      </c>
      <c r="S16" s="132">
        <f t="shared" si="0"/>
        <v>115</v>
      </c>
      <c r="T16" s="132">
        <f t="shared" si="3"/>
        <v>115</v>
      </c>
      <c r="U16" s="130"/>
      <c r="V16" s="130">
        <v>0</v>
      </c>
      <c r="W16" s="130">
        <v>0</v>
      </c>
    </row>
    <row r="17" spans="2:23">
      <c r="B17" s="121" t="s">
        <v>906</v>
      </c>
      <c r="C17" s="121"/>
      <c r="D17" s="121"/>
      <c r="E17" s="126" t="s">
        <v>1198</v>
      </c>
      <c r="F17" s="126" t="s">
        <v>1199</v>
      </c>
      <c r="G17" s="127">
        <v>160000000</v>
      </c>
      <c r="H17" s="127">
        <v>956</v>
      </c>
      <c r="I17" s="128">
        <v>12</v>
      </c>
      <c r="J17" s="128"/>
      <c r="K17" s="129">
        <v>0.8</v>
      </c>
      <c r="L17" s="129">
        <v>0.8</v>
      </c>
      <c r="M17" s="122">
        <f>Assumptions_Dashboard!$D$29*K17*L17</f>
        <v>5068.8</v>
      </c>
      <c r="N17" s="125">
        <f>M17/Assumptions_Dashboard!$D$28</f>
        <v>15.360000000000001</v>
      </c>
      <c r="O17" s="130">
        <v>30000</v>
      </c>
      <c r="P17" s="123">
        <f>ROUNDDOWN(O17/M17,0)</f>
        <v>5</v>
      </c>
      <c r="Q17" s="131">
        <f t="shared" si="4"/>
        <v>0.125</v>
      </c>
      <c r="R17" s="132">
        <v>120</v>
      </c>
      <c r="S17" s="132">
        <f t="shared" si="0"/>
        <v>96</v>
      </c>
      <c r="T17" s="132">
        <f t="shared" si="3"/>
        <v>96</v>
      </c>
      <c r="U17" s="130"/>
      <c r="V17" s="130">
        <v>0</v>
      </c>
      <c r="W17" s="130">
        <v>0</v>
      </c>
    </row>
    <row r="18" spans="2:23">
      <c r="B18" s="121" t="s">
        <v>910</v>
      </c>
      <c r="C18" s="121" t="s">
        <v>1189</v>
      </c>
      <c r="D18" s="124">
        <v>44713</v>
      </c>
      <c r="E18" s="126" t="s">
        <v>1190</v>
      </c>
      <c r="F18" s="126" t="s">
        <v>1195</v>
      </c>
      <c r="G18" s="127">
        <v>255000000</v>
      </c>
      <c r="H18" s="127">
        <v>1043</v>
      </c>
      <c r="I18" s="128">
        <v>12</v>
      </c>
      <c r="J18" s="128"/>
      <c r="K18" s="129">
        <v>0.8</v>
      </c>
      <c r="L18" s="129">
        <v>0.8</v>
      </c>
      <c r="M18" s="122">
        <f>Assumptions_Dashboard!$D$29*K18*L18</f>
        <v>5068.8</v>
      </c>
      <c r="N18" s="125">
        <f>M18/Assumptions_Dashboard!$D$28</f>
        <v>15.360000000000001</v>
      </c>
      <c r="O18" s="130">
        <v>30000</v>
      </c>
      <c r="P18" s="123">
        <f>ROUNDDOWN(O18/M18,0)</f>
        <v>5</v>
      </c>
      <c r="Q18" s="131">
        <f t="shared" si="4"/>
        <v>0.125</v>
      </c>
      <c r="R18" s="132">
        <f>ROUNDUP(H18*0.1,-1)</f>
        <v>110</v>
      </c>
      <c r="S18" s="132">
        <f t="shared" si="0"/>
        <v>105</v>
      </c>
      <c r="T18" s="132">
        <f t="shared" si="3"/>
        <v>105</v>
      </c>
      <c r="U18" s="130">
        <v>778</v>
      </c>
      <c r="V18" s="130">
        <v>0</v>
      </c>
      <c r="W18" s="130">
        <v>0</v>
      </c>
    </row>
    <row r="19" spans="2:23">
      <c r="B19" s="121" t="s">
        <v>914</v>
      </c>
      <c r="C19" s="121" t="s">
        <v>1189</v>
      </c>
      <c r="D19" s="124">
        <v>42736</v>
      </c>
      <c r="E19" s="126" t="s">
        <v>1190</v>
      </c>
      <c r="F19" s="126" t="s">
        <v>1200</v>
      </c>
      <c r="G19" s="127">
        <v>98000000</v>
      </c>
      <c r="H19" s="127">
        <f>606*1.34102</f>
        <v>812.65812000000005</v>
      </c>
      <c r="I19" s="128">
        <v>8.1</v>
      </c>
      <c r="J19" s="128"/>
      <c r="K19" s="129">
        <v>0.8</v>
      </c>
      <c r="L19" s="129">
        <v>0.8</v>
      </c>
      <c r="M19" s="122">
        <f>Assumptions_Dashboard!$D$29*K19*L19</f>
        <v>5068.8</v>
      </c>
      <c r="N19" s="125">
        <f>M19/Assumptions_Dashboard!$D$28</f>
        <v>15.360000000000001</v>
      </c>
      <c r="O19" s="130">
        <v>30000</v>
      </c>
      <c r="P19" s="123">
        <f t="shared" ref="P19" si="5">ROUNDDOWN(O19/M19,0)</f>
        <v>5</v>
      </c>
      <c r="Q19" s="131">
        <f t="shared" si="4"/>
        <v>0.125</v>
      </c>
      <c r="R19" s="132">
        <f>ROUNDUP(H19*0.1,-1)</f>
        <v>90</v>
      </c>
      <c r="S19" s="132">
        <f t="shared" si="0"/>
        <v>82</v>
      </c>
      <c r="T19" s="132">
        <f t="shared" si="3"/>
        <v>82</v>
      </c>
      <c r="U19" s="130"/>
      <c r="V19" s="130">
        <v>0</v>
      </c>
      <c r="W19" s="130">
        <v>0</v>
      </c>
    </row>
    <row r="20" spans="2:23">
      <c r="B20" s="121" t="s">
        <v>917</v>
      </c>
      <c r="C20" s="121"/>
      <c r="D20" s="121">
        <v>2024</v>
      </c>
      <c r="E20" s="126" t="s">
        <v>1190</v>
      </c>
      <c r="F20" s="126">
        <v>6015</v>
      </c>
      <c r="G20" s="127">
        <v>50000000</v>
      </c>
      <c r="H20" s="127">
        <v>532</v>
      </c>
      <c r="I20" s="128">
        <v>6.5</v>
      </c>
      <c r="J20" s="128"/>
      <c r="K20" s="129">
        <v>0.8</v>
      </c>
      <c r="L20" s="129">
        <v>0.8</v>
      </c>
      <c r="M20" s="122">
        <f>Assumptions_Dashboard!$D$29*K20*L20</f>
        <v>5068.8</v>
      </c>
      <c r="N20" s="125">
        <f>M20/Assumptions_Dashboard!$D$28</f>
        <v>15.360000000000001</v>
      </c>
      <c r="O20" s="130">
        <v>30000</v>
      </c>
      <c r="P20" s="123">
        <f>ROUNDDOWN(O20/M20,0)</f>
        <v>5</v>
      </c>
      <c r="Q20" s="131">
        <f t="shared" si="4"/>
        <v>0.125</v>
      </c>
      <c r="R20" s="132">
        <f t="shared" ref="R20" si="6">ROUNDUP(F20*0.1,-1)</f>
        <v>610</v>
      </c>
      <c r="S20" s="132">
        <f t="shared" si="0"/>
        <v>54</v>
      </c>
      <c r="T20" s="132">
        <f t="shared" si="3"/>
        <v>54</v>
      </c>
      <c r="U20" s="130"/>
      <c r="V20" s="130">
        <v>0</v>
      </c>
      <c r="W20" s="130">
        <v>0</v>
      </c>
    </row>
    <row r="21" spans="2:23">
      <c r="B21" s="121" t="s">
        <v>920</v>
      </c>
      <c r="C21" s="121" t="s">
        <v>1189</v>
      </c>
      <c r="D21" s="124">
        <v>42736</v>
      </c>
      <c r="E21" s="126" t="s">
        <v>1190</v>
      </c>
      <c r="F21" s="126" t="s">
        <v>1201</v>
      </c>
      <c r="G21" s="127">
        <v>54000000</v>
      </c>
      <c r="H21" s="127">
        <f>391*1.34102</f>
        <v>524.33882000000006</v>
      </c>
      <c r="I21" s="128">
        <v>6</v>
      </c>
      <c r="J21" s="128"/>
      <c r="K21" s="129">
        <v>0.8</v>
      </c>
      <c r="L21" s="129">
        <v>0.8</v>
      </c>
      <c r="M21" s="122">
        <f>Assumptions_Dashboard!$D$29*K21*L21</f>
        <v>5068.8</v>
      </c>
      <c r="N21" s="125">
        <f>M21/Assumptions_Dashboard!$D$28</f>
        <v>15.360000000000001</v>
      </c>
      <c r="O21" s="130">
        <v>30000</v>
      </c>
      <c r="P21" s="123">
        <f t="shared" ref="P21" si="7">ROUNDDOWN(O21/M21,0)</f>
        <v>5</v>
      </c>
      <c r="Q21" s="131">
        <f t="shared" si="4"/>
        <v>0.125</v>
      </c>
      <c r="R21" s="132">
        <f t="shared" ref="R21:R26" si="8">ROUNDUP(H21*0.1,-1)</f>
        <v>60</v>
      </c>
      <c r="S21" s="132">
        <f t="shared" si="0"/>
        <v>53</v>
      </c>
      <c r="T21" s="132">
        <f t="shared" si="3"/>
        <v>53</v>
      </c>
      <c r="U21" s="130"/>
      <c r="V21" s="130">
        <v>0</v>
      </c>
      <c r="W21" s="130">
        <v>0</v>
      </c>
    </row>
    <row r="22" spans="2:23">
      <c r="B22" s="121" t="s">
        <v>923</v>
      </c>
      <c r="C22" s="121" t="s">
        <v>1189</v>
      </c>
      <c r="D22" s="124">
        <v>42736</v>
      </c>
      <c r="E22" s="126" t="s">
        <v>1190</v>
      </c>
      <c r="F22" s="126" t="s">
        <v>1202</v>
      </c>
      <c r="G22" s="127">
        <v>43500000</v>
      </c>
      <c r="H22" s="127">
        <f>352*1.34102</f>
        <v>472.03904000000006</v>
      </c>
      <c r="I22" s="128">
        <v>4.5999999999999996</v>
      </c>
      <c r="J22" s="128"/>
      <c r="K22" s="129">
        <v>0.8</v>
      </c>
      <c r="L22" s="129">
        <v>0.75</v>
      </c>
      <c r="M22" s="122">
        <f>Assumptions_Dashboard!$D$29*K22*L22</f>
        <v>4752</v>
      </c>
      <c r="N22" s="125">
        <f>M22/Assumptions_Dashboard!$D$28</f>
        <v>14.4</v>
      </c>
      <c r="O22" s="130">
        <v>30000</v>
      </c>
      <c r="P22" s="123">
        <f t="shared" si="1"/>
        <v>6</v>
      </c>
      <c r="Q22" s="131">
        <f t="shared" si="4"/>
        <v>0.125</v>
      </c>
      <c r="R22" s="132">
        <f t="shared" si="8"/>
        <v>50</v>
      </c>
      <c r="S22" s="132">
        <f t="shared" si="0"/>
        <v>48</v>
      </c>
      <c r="T22" s="132">
        <f t="shared" si="3"/>
        <v>48</v>
      </c>
      <c r="U22" s="130"/>
      <c r="V22" s="130">
        <v>0</v>
      </c>
      <c r="W22" s="130">
        <v>0</v>
      </c>
    </row>
    <row r="23" spans="2:23">
      <c r="B23" s="121" t="s">
        <v>925</v>
      </c>
      <c r="C23" s="121" t="s">
        <v>1203</v>
      </c>
      <c r="D23" s="124">
        <v>42736</v>
      </c>
      <c r="E23" s="126" t="s">
        <v>1190</v>
      </c>
      <c r="F23" s="126" t="s">
        <v>1204</v>
      </c>
      <c r="G23" s="127">
        <v>22500000</v>
      </c>
      <c r="H23" s="127">
        <v>295</v>
      </c>
      <c r="I23" s="128">
        <v>3.4</v>
      </c>
      <c r="J23" s="128"/>
      <c r="K23" s="129">
        <v>0.8</v>
      </c>
      <c r="L23" s="129">
        <v>0.75</v>
      </c>
      <c r="M23" s="122">
        <f>Assumptions_Dashboard!$D$29*K23*L23</f>
        <v>4752</v>
      </c>
      <c r="N23" s="125">
        <f>M23/Assumptions_Dashboard!$D$28</f>
        <v>14.4</v>
      </c>
      <c r="O23" s="130">
        <v>30000</v>
      </c>
      <c r="P23" s="123">
        <f t="shared" si="1"/>
        <v>6</v>
      </c>
      <c r="Q23" s="131">
        <f t="shared" si="4"/>
        <v>0.125</v>
      </c>
      <c r="R23" s="132">
        <f t="shared" si="8"/>
        <v>30</v>
      </c>
      <c r="S23" s="132">
        <f t="shared" si="0"/>
        <v>30</v>
      </c>
      <c r="T23" s="132">
        <f t="shared" si="3"/>
        <v>30</v>
      </c>
      <c r="U23" s="130"/>
      <c r="V23" s="130">
        <v>0</v>
      </c>
      <c r="W23" s="130">
        <v>0</v>
      </c>
    </row>
    <row r="24" spans="2:23">
      <c r="B24" s="121" t="s">
        <v>927</v>
      </c>
      <c r="C24" s="121"/>
      <c r="D24" s="124">
        <v>45855</v>
      </c>
      <c r="E24" s="126" t="s">
        <v>1205</v>
      </c>
      <c r="F24" s="126"/>
      <c r="G24" s="127">
        <f>22500000+60*10^5</f>
        <v>28500000</v>
      </c>
      <c r="H24" s="127">
        <v>295</v>
      </c>
      <c r="I24" s="128">
        <v>3.4</v>
      </c>
      <c r="J24" s="128"/>
      <c r="K24" s="129">
        <v>0.8</v>
      </c>
      <c r="L24" s="129">
        <v>0.75</v>
      </c>
      <c r="M24" s="122">
        <f>Assumptions_Dashboard!$D$29*K24*L24</f>
        <v>4752</v>
      </c>
      <c r="N24" s="125">
        <f>M24/Assumptions_Dashboard!$D$28</f>
        <v>14.4</v>
      </c>
      <c r="O24" s="130">
        <v>30000</v>
      </c>
      <c r="P24" s="123">
        <f t="shared" ref="P24" si="9">ROUNDDOWN(O24/M24,0)</f>
        <v>6</v>
      </c>
      <c r="Q24" s="131">
        <f t="shared" si="4"/>
        <v>0.125</v>
      </c>
      <c r="R24" s="132">
        <f t="shared" si="8"/>
        <v>30</v>
      </c>
      <c r="S24" s="132">
        <f t="shared" ref="S24" si="10">ROUNDUP(H24*0.1,0)</f>
        <v>30</v>
      </c>
      <c r="T24" s="132">
        <f t="shared" ref="T24" si="11">MIN(R24,S24)</f>
        <v>30</v>
      </c>
      <c r="U24" s="130"/>
      <c r="V24" s="130">
        <v>0</v>
      </c>
      <c r="W24" s="130">
        <v>0</v>
      </c>
    </row>
    <row r="25" spans="2:23">
      <c r="B25" s="121" t="s">
        <v>929</v>
      </c>
      <c r="C25" s="121"/>
      <c r="D25" s="121"/>
      <c r="E25" s="126" t="s">
        <v>1206</v>
      </c>
      <c r="F25" s="126" t="s">
        <v>1207</v>
      </c>
      <c r="G25" s="127">
        <v>13200000</v>
      </c>
      <c r="H25" s="127">
        <v>295</v>
      </c>
      <c r="I25" s="128">
        <v>3</v>
      </c>
      <c r="J25" s="128"/>
      <c r="K25" s="129">
        <v>0.8</v>
      </c>
      <c r="L25" s="129">
        <v>0.75</v>
      </c>
      <c r="M25" s="122">
        <f>Assumptions_Dashboard!$D$29*K25*L25</f>
        <v>4752</v>
      </c>
      <c r="N25" s="125">
        <f>M25/Assumptions_Dashboard!$D$28</f>
        <v>14.4</v>
      </c>
      <c r="O25" s="130">
        <v>30000</v>
      </c>
      <c r="P25" s="123">
        <f t="shared" si="1"/>
        <v>6</v>
      </c>
      <c r="Q25" s="131">
        <f t="shared" si="4"/>
        <v>0.125</v>
      </c>
      <c r="R25" s="132">
        <f t="shared" si="8"/>
        <v>30</v>
      </c>
      <c r="S25" s="132">
        <f t="shared" si="0"/>
        <v>30</v>
      </c>
      <c r="T25" s="132">
        <f t="shared" si="3"/>
        <v>30</v>
      </c>
      <c r="U25" s="130"/>
      <c r="V25" s="130">
        <v>0</v>
      </c>
      <c r="W25" s="130">
        <v>0</v>
      </c>
    </row>
    <row r="26" spans="2:23">
      <c r="B26" s="121" t="s">
        <v>932</v>
      </c>
      <c r="C26" s="121" t="s">
        <v>1203</v>
      </c>
      <c r="D26" s="124">
        <v>42736</v>
      </c>
      <c r="E26" s="126" t="s">
        <v>1190</v>
      </c>
      <c r="F26" s="126" t="s">
        <v>1208</v>
      </c>
      <c r="G26" s="127">
        <v>8640000</v>
      </c>
      <c r="H26" s="127">
        <v>146</v>
      </c>
      <c r="I26" s="128">
        <v>1</v>
      </c>
      <c r="J26" s="128"/>
      <c r="K26" s="129">
        <v>0.8</v>
      </c>
      <c r="L26" s="129">
        <v>0.75</v>
      </c>
      <c r="M26" s="122">
        <f>Assumptions_Dashboard!$D$29*K26*L26</f>
        <v>4752</v>
      </c>
      <c r="N26" s="125">
        <f>M26/Assumptions_Dashboard!$D$28</f>
        <v>14.4</v>
      </c>
      <c r="O26" s="130">
        <v>30000</v>
      </c>
      <c r="P26" s="123">
        <f t="shared" si="1"/>
        <v>6</v>
      </c>
      <c r="Q26" s="131">
        <f t="shared" si="4"/>
        <v>0.125</v>
      </c>
      <c r="R26" s="132">
        <f t="shared" si="8"/>
        <v>20</v>
      </c>
      <c r="S26" s="132">
        <f t="shared" si="0"/>
        <v>15</v>
      </c>
      <c r="T26" s="132">
        <f t="shared" si="3"/>
        <v>15</v>
      </c>
      <c r="U26" s="130"/>
      <c r="V26" s="130">
        <v>0</v>
      </c>
      <c r="W26" s="130">
        <v>0</v>
      </c>
    </row>
    <row r="27" spans="2:23">
      <c r="B27" s="121" t="s">
        <v>844</v>
      </c>
      <c r="C27" s="121"/>
      <c r="D27" s="121"/>
      <c r="E27" s="126" t="s">
        <v>1209</v>
      </c>
      <c r="F27" s="126" t="s">
        <v>1210</v>
      </c>
      <c r="G27" s="127">
        <f>65000000*(1+18%)</f>
        <v>76700000</v>
      </c>
      <c r="H27" s="127">
        <v>950</v>
      </c>
      <c r="I27" s="128"/>
      <c r="J27" s="128"/>
      <c r="K27" s="129">
        <v>0.85</v>
      </c>
      <c r="L27" s="129">
        <v>0.8</v>
      </c>
      <c r="M27" s="122">
        <f>Assumptions_Dashboard!$D$29*K27*L27</f>
        <v>5385.6</v>
      </c>
      <c r="N27" s="125">
        <f>M27/Assumptions_Dashboard!$D$28</f>
        <v>16.32</v>
      </c>
      <c r="O27" s="130">
        <v>30000</v>
      </c>
      <c r="P27" s="123">
        <f t="shared" si="1"/>
        <v>5</v>
      </c>
      <c r="Q27" s="131">
        <f>1/6</f>
        <v>0.16666666666666666</v>
      </c>
      <c r="R27" s="132">
        <v>90</v>
      </c>
      <c r="S27" s="132">
        <f t="shared" si="0"/>
        <v>95</v>
      </c>
      <c r="T27" s="132">
        <f t="shared" si="3"/>
        <v>90</v>
      </c>
      <c r="U27" s="132"/>
      <c r="V27" s="130">
        <v>0</v>
      </c>
      <c r="W27" s="130">
        <v>0</v>
      </c>
    </row>
    <row r="28" spans="2:23">
      <c r="B28" s="121" t="s">
        <v>854</v>
      </c>
      <c r="C28" s="121"/>
      <c r="D28" s="121"/>
      <c r="E28" s="126" t="s">
        <v>1206</v>
      </c>
      <c r="F28" s="126" t="s">
        <v>1211</v>
      </c>
      <c r="G28" s="127">
        <f>51450000*(1+18%)</f>
        <v>60711000</v>
      </c>
      <c r="H28" s="127">
        <v>950</v>
      </c>
      <c r="I28" s="128"/>
      <c r="J28" s="128"/>
      <c r="K28" s="129">
        <v>0.7</v>
      </c>
      <c r="L28" s="129">
        <v>0.8</v>
      </c>
      <c r="M28" s="122">
        <f>Assumptions_Dashboard!$D$29*K28*L28</f>
        <v>4435.2</v>
      </c>
      <c r="N28" s="125">
        <f>M28/Assumptions_Dashboard!$D$28</f>
        <v>13.44</v>
      </c>
      <c r="O28" s="130">
        <v>30000</v>
      </c>
      <c r="P28" s="123">
        <f t="shared" si="1"/>
        <v>6</v>
      </c>
      <c r="Q28" s="131">
        <f>1/6</f>
        <v>0.16666666666666666</v>
      </c>
      <c r="R28" s="132">
        <v>90</v>
      </c>
      <c r="S28" s="132">
        <f t="shared" si="0"/>
        <v>95</v>
      </c>
      <c r="T28" s="132">
        <f t="shared" si="3"/>
        <v>90</v>
      </c>
      <c r="U28" s="132"/>
      <c r="V28" s="130">
        <v>0</v>
      </c>
      <c r="W28" s="130">
        <v>0</v>
      </c>
    </row>
    <row r="29" spans="2:23">
      <c r="B29" s="121" t="s">
        <v>845</v>
      </c>
      <c r="C29" s="121"/>
      <c r="D29" s="121"/>
      <c r="E29" s="126" t="s">
        <v>1198</v>
      </c>
      <c r="F29" s="126" t="s">
        <v>1212</v>
      </c>
      <c r="G29" s="127">
        <v>84500000</v>
      </c>
      <c r="H29" s="127">
        <v>680</v>
      </c>
      <c r="I29" s="128">
        <v>10</v>
      </c>
      <c r="J29" s="128"/>
      <c r="K29" s="129">
        <v>0.8</v>
      </c>
      <c r="L29" s="129">
        <v>0.7</v>
      </c>
      <c r="M29" s="122">
        <f>Assumptions_Dashboard!$D$29*K29*L29</f>
        <v>4435.2</v>
      </c>
      <c r="N29" s="125">
        <f>M29/Assumptions_Dashboard!$D$28</f>
        <v>13.44</v>
      </c>
      <c r="O29" s="130">
        <v>30000</v>
      </c>
      <c r="P29" s="123">
        <f t="shared" si="1"/>
        <v>6</v>
      </c>
      <c r="Q29" s="131">
        <f t="shared" ref="Q29:Q34" si="12">1/6</f>
        <v>0.16666666666666666</v>
      </c>
      <c r="R29" s="132">
        <f>ROUNDUP(H29*0.1,-1)</f>
        <v>70</v>
      </c>
      <c r="S29" s="132">
        <f t="shared" si="0"/>
        <v>68</v>
      </c>
      <c r="T29" s="132">
        <f t="shared" si="3"/>
        <v>68</v>
      </c>
      <c r="U29" s="132"/>
      <c r="V29" s="130">
        <v>4</v>
      </c>
      <c r="W29" s="130">
        <v>256000</v>
      </c>
    </row>
    <row r="30" spans="2:23">
      <c r="B30" s="121" t="s">
        <v>855</v>
      </c>
      <c r="C30" s="121" t="s">
        <v>1189</v>
      </c>
      <c r="D30" s="124">
        <v>42736</v>
      </c>
      <c r="E30" s="126" t="s">
        <v>1190</v>
      </c>
      <c r="F30" s="126" t="s">
        <v>1213</v>
      </c>
      <c r="G30" s="127">
        <v>125600000</v>
      </c>
      <c r="H30" s="127">
        <v>814</v>
      </c>
      <c r="I30" s="128">
        <v>12.3</v>
      </c>
      <c r="J30" s="128"/>
      <c r="K30" s="129">
        <v>0.8</v>
      </c>
      <c r="L30" s="129">
        <v>0.7</v>
      </c>
      <c r="M30" s="122">
        <f>Assumptions_Dashboard!$D$29*K30*L30</f>
        <v>4435.2</v>
      </c>
      <c r="N30" s="125">
        <f>M30/Assumptions_Dashboard!$D$28</f>
        <v>13.44</v>
      </c>
      <c r="O30" s="130">
        <v>30000</v>
      </c>
      <c r="P30" s="123">
        <f t="shared" si="1"/>
        <v>6</v>
      </c>
      <c r="Q30" s="131">
        <f t="shared" si="12"/>
        <v>0.16666666666666666</v>
      </c>
      <c r="R30" s="132">
        <f>ROUNDUP(H30*0.1,-1)</f>
        <v>90</v>
      </c>
      <c r="S30" s="132">
        <f t="shared" si="0"/>
        <v>82</v>
      </c>
      <c r="T30" s="132">
        <f t="shared" si="3"/>
        <v>82</v>
      </c>
      <c r="U30" s="132"/>
      <c r="V30" s="130">
        <v>4</v>
      </c>
      <c r="W30" s="130">
        <v>256000</v>
      </c>
    </row>
    <row r="31" spans="2:23">
      <c r="B31" s="121" t="s">
        <v>864</v>
      </c>
      <c r="C31" s="121" t="s">
        <v>1189</v>
      </c>
      <c r="D31" s="124">
        <v>42736</v>
      </c>
      <c r="E31" s="126" t="s">
        <v>1190</v>
      </c>
      <c r="F31" s="126" t="s">
        <v>1214</v>
      </c>
      <c r="G31" s="127">
        <v>58600000</v>
      </c>
      <c r="H31" s="127">
        <v>699</v>
      </c>
      <c r="I31" s="128">
        <v>8.6</v>
      </c>
      <c r="J31" s="128"/>
      <c r="K31" s="129">
        <v>0.8</v>
      </c>
      <c r="L31" s="129">
        <v>0.7</v>
      </c>
      <c r="M31" s="122">
        <f>Assumptions_Dashboard!$D$29*K31*L31</f>
        <v>4435.2</v>
      </c>
      <c r="N31" s="125">
        <f>M31/Assumptions_Dashboard!$D$28</f>
        <v>13.44</v>
      </c>
      <c r="O31" s="130">
        <v>30000</v>
      </c>
      <c r="P31" s="123">
        <f t="shared" si="1"/>
        <v>6</v>
      </c>
      <c r="Q31" s="131">
        <f t="shared" si="12"/>
        <v>0.16666666666666666</v>
      </c>
      <c r="R31" s="132">
        <f>ROUNDUP(H31*0.1,-1)</f>
        <v>70</v>
      </c>
      <c r="S31" s="132">
        <f t="shared" si="0"/>
        <v>70</v>
      </c>
      <c r="T31" s="132">
        <f t="shared" si="3"/>
        <v>70</v>
      </c>
      <c r="U31" s="132"/>
      <c r="V31" s="130">
        <v>4</v>
      </c>
      <c r="W31" s="130">
        <v>200000</v>
      </c>
    </row>
    <row r="32" spans="2:23">
      <c r="B32" s="121" t="s">
        <v>873</v>
      </c>
      <c r="C32" s="121" t="s">
        <v>1189</v>
      </c>
      <c r="D32" s="124">
        <v>45658</v>
      </c>
      <c r="E32" s="126" t="s">
        <v>1190</v>
      </c>
      <c r="F32" s="126" t="s">
        <v>1215</v>
      </c>
      <c r="G32" s="127">
        <v>45200000</v>
      </c>
      <c r="H32" s="127">
        <v>541</v>
      </c>
      <c r="I32" s="128">
        <v>6.4</v>
      </c>
      <c r="J32" s="128"/>
      <c r="K32" s="129">
        <v>0.85</v>
      </c>
      <c r="L32" s="129">
        <v>0.85</v>
      </c>
      <c r="M32" s="122">
        <f>Assumptions_Dashboard!$D$29*K32*L32</f>
        <v>5722.2</v>
      </c>
      <c r="N32" s="125">
        <f>M32/Assumptions_Dashboard!$D$28</f>
        <v>17.34</v>
      </c>
      <c r="O32" s="130">
        <v>30000</v>
      </c>
      <c r="P32" s="123">
        <f t="shared" si="1"/>
        <v>5</v>
      </c>
      <c r="Q32" s="131">
        <f t="shared" si="12"/>
        <v>0.16666666666666666</v>
      </c>
      <c r="R32" s="132">
        <f>ROUNDUP(H32*0.1,-1)</f>
        <v>60</v>
      </c>
      <c r="S32" s="132">
        <f t="shared" si="0"/>
        <v>55</v>
      </c>
      <c r="T32" s="132">
        <f t="shared" si="3"/>
        <v>55</v>
      </c>
      <c r="U32" s="132"/>
      <c r="V32" s="130">
        <v>4</v>
      </c>
      <c r="W32" s="130">
        <v>150000</v>
      </c>
    </row>
    <row r="33" spans="2:23">
      <c r="B33" s="121" t="s">
        <v>880</v>
      </c>
      <c r="C33" s="121"/>
      <c r="D33" s="121"/>
      <c r="E33" s="126" t="s">
        <v>1198</v>
      </c>
      <c r="F33" s="126"/>
      <c r="G33" s="127">
        <v>4000000</v>
      </c>
      <c r="H33" s="127">
        <v>280</v>
      </c>
      <c r="I33" s="128">
        <v>2.5</v>
      </c>
      <c r="J33" s="128"/>
      <c r="K33" s="129">
        <v>0.8</v>
      </c>
      <c r="L33" s="129">
        <v>0.7</v>
      </c>
      <c r="M33" s="122">
        <f>Assumptions_Dashboard!$D$29*K33*L33</f>
        <v>4435.2</v>
      </c>
      <c r="N33" s="125">
        <f>M33/Assumptions_Dashboard!$D$28</f>
        <v>13.44</v>
      </c>
      <c r="O33" s="130">
        <v>30000</v>
      </c>
      <c r="P33" s="123">
        <f t="shared" si="1"/>
        <v>6</v>
      </c>
      <c r="Q33" s="131">
        <f t="shared" si="12"/>
        <v>0.16666666666666666</v>
      </c>
      <c r="R33" s="132">
        <f>ROUNDUP(H33*0.1,-1)</f>
        <v>30</v>
      </c>
      <c r="S33" s="132">
        <f t="shared" si="0"/>
        <v>28</v>
      </c>
      <c r="T33" s="132">
        <f>MIN(R33,S33)</f>
        <v>28</v>
      </c>
      <c r="U33" s="132"/>
      <c r="V33" s="130">
        <v>4</v>
      </c>
      <c r="W33" s="130">
        <v>96000</v>
      </c>
    </row>
    <row r="34" spans="2:23">
      <c r="B34" s="121" t="s">
        <v>888</v>
      </c>
      <c r="C34" s="121"/>
      <c r="D34" s="121"/>
      <c r="E34" s="126" t="s">
        <v>1198</v>
      </c>
      <c r="F34" s="126"/>
      <c r="G34" s="127">
        <v>2900000</v>
      </c>
      <c r="H34" s="127">
        <v>128</v>
      </c>
      <c r="I34" s="128">
        <v>1.7</v>
      </c>
      <c r="J34" s="128"/>
      <c r="K34" s="129">
        <v>0.8</v>
      </c>
      <c r="L34" s="129">
        <v>0.5</v>
      </c>
      <c r="M34" s="122">
        <f>Assumptions_Dashboard!$D$29*K34*L34</f>
        <v>3168</v>
      </c>
      <c r="N34" s="125">
        <f>M34/Assumptions_Dashboard!$D$28</f>
        <v>9.6</v>
      </c>
      <c r="O34" s="130">
        <v>30000</v>
      </c>
      <c r="P34" s="123">
        <f>ROUNDDOWN(O34/M34,0)</f>
        <v>9</v>
      </c>
      <c r="Q34" s="131">
        <f t="shared" si="12"/>
        <v>0.16666666666666666</v>
      </c>
      <c r="R34" s="132">
        <v>12</v>
      </c>
      <c r="S34" s="132">
        <f t="shared" si="0"/>
        <v>13</v>
      </c>
      <c r="T34" s="132">
        <f t="shared" si="3"/>
        <v>12</v>
      </c>
      <c r="U34" s="132"/>
      <c r="V34" s="130">
        <v>4</v>
      </c>
      <c r="W34" s="130">
        <v>76800</v>
      </c>
    </row>
    <row r="35" spans="2:23">
      <c r="B35" s="121" t="s">
        <v>850</v>
      </c>
      <c r="C35" s="121"/>
      <c r="D35" s="121"/>
      <c r="E35" s="126" t="s">
        <v>1216</v>
      </c>
      <c r="F35" s="126"/>
      <c r="G35" s="127"/>
      <c r="H35" s="127"/>
      <c r="I35" s="128"/>
      <c r="J35" s="128"/>
      <c r="K35" s="129"/>
      <c r="L35" s="129"/>
      <c r="M35" s="122">
        <v>5010</v>
      </c>
      <c r="N35" s="125">
        <f>M35/Assumptions_Dashboard!$D$28</f>
        <v>15.181818181818182</v>
      </c>
      <c r="O35" s="130">
        <v>135000</v>
      </c>
      <c r="P35" s="123">
        <f>ROUNDDOWN(O35/M35,0)</f>
        <v>26</v>
      </c>
      <c r="Q35" s="131"/>
      <c r="R35" s="132"/>
      <c r="S35" s="132"/>
      <c r="T35" s="132"/>
      <c r="U35" s="130">
        <v>1600</v>
      </c>
      <c r="V35" s="130"/>
      <c r="W35" s="130"/>
    </row>
    <row r="36" spans="2:23">
      <c r="B36" s="121" t="s">
        <v>860</v>
      </c>
      <c r="C36" s="121"/>
      <c r="D36" s="121"/>
      <c r="E36" s="126" t="s">
        <v>1216</v>
      </c>
      <c r="F36" s="126"/>
      <c r="G36" s="127"/>
      <c r="H36" s="127"/>
      <c r="I36" s="128"/>
      <c r="J36" s="128"/>
      <c r="K36" s="129"/>
      <c r="L36" s="129"/>
      <c r="M36" s="122">
        <v>5010</v>
      </c>
      <c r="N36" s="125">
        <f>M36/Assumptions_Dashboard!$D$28</f>
        <v>15.181818181818182</v>
      </c>
      <c r="O36" s="130">
        <v>135000</v>
      </c>
      <c r="P36" s="123">
        <f>ROUNDDOWN(O36/M36,0)</f>
        <v>26</v>
      </c>
      <c r="Q36" s="131"/>
      <c r="R36" s="132"/>
      <c r="S36" s="132"/>
      <c r="T36" s="132"/>
      <c r="U36" s="130">
        <v>130</v>
      </c>
      <c r="V36" s="130"/>
      <c r="W36" s="130"/>
    </row>
    <row r="37" spans="2:23">
      <c r="B37" s="121" t="s">
        <v>869</v>
      </c>
      <c r="C37" s="121"/>
      <c r="D37" s="121"/>
      <c r="E37" s="126" t="s">
        <v>1216</v>
      </c>
      <c r="F37" s="126"/>
      <c r="G37" s="127"/>
      <c r="H37" s="127"/>
      <c r="I37" s="128"/>
      <c r="J37" s="128"/>
      <c r="K37" s="129"/>
      <c r="L37" s="129"/>
      <c r="M37" s="122">
        <v>5010</v>
      </c>
      <c r="N37" s="125">
        <f>M37/Assumptions_Dashboard!$D$28</f>
        <v>15.181818181818182</v>
      </c>
      <c r="O37" s="130">
        <v>135000</v>
      </c>
      <c r="P37" s="123">
        <f>ROUNDDOWN(O37/M37,0)</f>
        <v>26</v>
      </c>
      <c r="Q37" s="131"/>
      <c r="R37" s="132"/>
      <c r="S37" s="132"/>
      <c r="T37" s="132"/>
      <c r="U37" s="130">
        <v>1400</v>
      </c>
      <c r="V37" s="130"/>
      <c r="W37" s="130"/>
    </row>
    <row r="38" spans="2:23">
      <c r="B38" s="121" t="s">
        <v>877</v>
      </c>
      <c r="C38" s="121"/>
      <c r="D38" s="121"/>
      <c r="E38" s="126"/>
      <c r="F38" s="126"/>
      <c r="G38" s="1751"/>
      <c r="H38" s="127"/>
      <c r="I38" s="128"/>
      <c r="J38" s="128"/>
      <c r="K38" s="129"/>
      <c r="L38" s="129"/>
      <c r="M38" s="122">
        <v>5010</v>
      </c>
      <c r="N38" s="125">
        <f>M38/Assumptions_Dashboard!$D$28</f>
        <v>15.181818181818182</v>
      </c>
      <c r="O38" s="130"/>
      <c r="P38" s="123"/>
      <c r="Q38" s="131"/>
      <c r="R38" s="132"/>
      <c r="S38" s="132"/>
      <c r="T38" s="132"/>
      <c r="U38" s="130">
        <v>2800</v>
      </c>
      <c r="V38" s="130"/>
      <c r="W38" s="130"/>
    </row>
    <row r="39" spans="2:23">
      <c r="B39" s="121" t="s">
        <v>884</v>
      </c>
      <c r="C39" s="121"/>
      <c r="D39" s="121"/>
      <c r="E39" s="126"/>
      <c r="F39" s="126"/>
      <c r="G39" s="1751"/>
      <c r="H39" s="127"/>
      <c r="I39" s="128"/>
      <c r="J39" s="128"/>
      <c r="K39" s="129"/>
      <c r="L39" s="129"/>
      <c r="M39" s="122">
        <v>5010</v>
      </c>
      <c r="N39" s="125">
        <f>M39/Assumptions_Dashboard!$D$28</f>
        <v>15.181818181818182</v>
      </c>
      <c r="O39" s="130"/>
      <c r="P39" s="123"/>
      <c r="Q39" s="131"/>
      <c r="R39" s="132"/>
      <c r="S39" s="132"/>
      <c r="T39" s="132"/>
      <c r="U39" s="130">
        <v>900</v>
      </c>
      <c r="V39" s="130"/>
      <c r="W39" s="130"/>
    </row>
    <row r="40" spans="2:23">
      <c r="B40" s="121" t="s">
        <v>890</v>
      </c>
      <c r="C40" s="121"/>
      <c r="D40" s="121"/>
      <c r="E40" s="126"/>
      <c r="F40" s="126"/>
      <c r="G40" s="1751"/>
      <c r="H40" s="127"/>
      <c r="I40" s="128"/>
      <c r="J40" s="128"/>
      <c r="K40" s="129"/>
      <c r="L40" s="129"/>
      <c r="M40" s="122">
        <v>5010</v>
      </c>
      <c r="N40" s="125">
        <f>M40/Assumptions_Dashboard!$D$28</f>
        <v>15.181818181818182</v>
      </c>
      <c r="O40" s="130"/>
      <c r="P40" s="123"/>
      <c r="Q40" s="131"/>
      <c r="R40" s="132"/>
      <c r="S40" s="132"/>
      <c r="T40" s="132"/>
      <c r="U40" s="130">
        <v>2800</v>
      </c>
      <c r="V40" s="130"/>
      <c r="W40" s="130"/>
    </row>
    <row r="41" spans="2:23">
      <c r="B41" s="121" t="s">
        <v>894</v>
      </c>
      <c r="C41" s="121"/>
      <c r="D41" s="121"/>
      <c r="E41" s="126"/>
      <c r="F41" s="126"/>
      <c r="G41" s="1751"/>
      <c r="H41" s="127"/>
      <c r="I41" s="128"/>
      <c r="J41" s="128"/>
      <c r="K41" s="129"/>
      <c r="L41" s="129"/>
      <c r="M41" s="122">
        <v>5010</v>
      </c>
      <c r="N41" s="125">
        <f>M41/Assumptions_Dashboard!$D$28</f>
        <v>15.181818181818182</v>
      </c>
      <c r="O41" s="130"/>
      <c r="P41" s="123"/>
      <c r="Q41" s="131"/>
      <c r="R41" s="132"/>
      <c r="S41" s="132"/>
      <c r="T41" s="132"/>
      <c r="U41" s="130">
        <v>2700</v>
      </c>
      <c r="V41" s="130"/>
      <c r="W41" s="130"/>
    </row>
    <row r="42" spans="2:23">
      <c r="B42" s="121" t="s">
        <v>901</v>
      </c>
      <c r="C42" s="121"/>
      <c r="D42" s="121"/>
      <c r="E42" s="126"/>
      <c r="F42" s="126"/>
      <c r="G42" s="1751"/>
      <c r="H42" s="127"/>
      <c r="I42" s="128"/>
      <c r="J42" s="128"/>
      <c r="K42" s="129"/>
      <c r="L42" s="129"/>
      <c r="M42" s="122">
        <v>5010</v>
      </c>
      <c r="N42" s="125">
        <f>M42/Assumptions_Dashboard!$D$28</f>
        <v>15.181818181818182</v>
      </c>
      <c r="O42" s="130"/>
      <c r="P42" s="123"/>
      <c r="Q42" s="131"/>
      <c r="R42" s="132"/>
      <c r="S42" s="132"/>
      <c r="T42" s="132"/>
      <c r="U42" s="130">
        <v>800</v>
      </c>
      <c r="V42" s="130"/>
      <c r="W42" s="130"/>
    </row>
    <row r="43" spans="2:23">
      <c r="B43" s="121" t="s">
        <v>905</v>
      </c>
      <c r="C43" s="121"/>
      <c r="D43" s="121"/>
      <c r="E43" s="126"/>
      <c r="F43" s="126"/>
      <c r="G43" s="1751"/>
      <c r="H43" s="127"/>
      <c r="I43" s="128"/>
      <c r="J43" s="128"/>
      <c r="K43" s="129"/>
      <c r="L43" s="129"/>
      <c r="M43" s="122">
        <v>5010</v>
      </c>
      <c r="N43" s="125">
        <f>M43/Assumptions_Dashboard!$D$28</f>
        <v>15.181818181818182</v>
      </c>
      <c r="O43" s="130"/>
      <c r="P43" s="123"/>
      <c r="Q43" s="131"/>
      <c r="R43" s="132"/>
      <c r="S43" s="132"/>
      <c r="T43" s="132"/>
      <c r="U43" s="130">
        <v>2700</v>
      </c>
      <c r="V43" s="130"/>
      <c r="W43" s="130"/>
    </row>
    <row r="44" spans="2:23">
      <c r="B44" s="121" t="s">
        <v>909</v>
      </c>
      <c r="C44" s="121"/>
      <c r="D44" s="121"/>
      <c r="E44" s="126" t="s">
        <v>1217</v>
      </c>
      <c r="F44" s="126"/>
      <c r="G44" s="127"/>
      <c r="H44" s="127"/>
      <c r="I44" s="128"/>
      <c r="J44" s="128"/>
      <c r="K44" s="129"/>
      <c r="L44" s="129"/>
      <c r="M44" s="122">
        <v>5010</v>
      </c>
      <c r="N44" s="125">
        <f>M44/Assumptions_Dashboard!$D$28</f>
        <v>15.181818181818182</v>
      </c>
      <c r="O44" s="130">
        <v>135000</v>
      </c>
      <c r="P44" s="123">
        <f>ROUNDDOWN(O44/M44,0)</f>
        <v>26</v>
      </c>
      <c r="Q44" s="131"/>
      <c r="R44" s="132"/>
      <c r="S44" s="132"/>
      <c r="T44" s="132"/>
      <c r="U44" s="130"/>
      <c r="V44" s="130"/>
      <c r="W44" s="130"/>
    </row>
    <row r="45" spans="2:23">
      <c r="B45" s="121" t="s">
        <v>846</v>
      </c>
      <c r="C45" s="121" t="s">
        <v>1189</v>
      </c>
      <c r="D45" s="124">
        <v>42736</v>
      </c>
      <c r="E45" s="126" t="s">
        <v>1190</v>
      </c>
      <c r="F45" s="126" t="s">
        <v>1218</v>
      </c>
      <c r="G45" s="127">
        <v>286500000</v>
      </c>
      <c r="H45" s="127">
        <f>1801*1.34102</f>
        <v>2415.1770200000001</v>
      </c>
      <c r="I45" s="128">
        <v>240</v>
      </c>
      <c r="J45" s="128">
        <v>129</v>
      </c>
      <c r="K45" s="129">
        <v>0.8</v>
      </c>
      <c r="L45" s="129">
        <v>0.75</v>
      </c>
      <c r="M45" s="122">
        <f>Assumptions_Dashboard!$D$29*K45*L45</f>
        <v>4752</v>
      </c>
      <c r="N45" s="125">
        <f>M45/Assumptions_Dashboard!$D$28</f>
        <v>14.4</v>
      </c>
      <c r="O45" s="130">
        <v>50000</v>
      </c>
      <c r="P45" s="123">
        <f t="shared" si="1"/>
        <v>10</v>
      </c>
      <c r="Q45" s="131">
        <f>1/8</f>
        <v>0.125</v>
      </c>
      <c r="R45" s="132">
        <v>150</v>
      </c>
      <c r="S45" s="132">
        <f t="shared" si="0"/>
        <v>242</v>
      </c>
      <c r="T45" s="132">
        <f t="shared" si="3"/>
        <v>150</v>
      </c>
      <c r="U45" s="132"/>
      <c r="V45" s="130">
        <v>6</v>
      </c>
      <c r="W45" s="130">
        <v>1000000</v>
      </c>
    </row>
    <row r="46" spans="2:23">
      <c r="B46" s="121" t="s">
        <v>856</v>
      </c>
      <c r="C46" s="121" t="s">
        <v>1203</v>
      </c>
      <c r="D46" s="121"/>
      <c r="E46" s="126" t="s">
        <v>1219</v>
      </c>
      <c r="F46" s="126"/>
      <c r="G46" s="127">
        <v>142000000</v>
      </c>
      <c r="H46" s="127">
        <v>2100</v>
      </c>
      <c r="I46" s="128">
        <v>220</v>
      </c>
      <c r="J46" s="128">
        <v>147</v>
      </c>
      <c r="K46" s="129">
        <v>0.8</v>
      </c>
      <c r="L46" s="129">
        <v>0.75</v>
      </c>
      <c r="M46" s="122">
        <f>Assumptions_Dashboard!$D$29*K46*L46</f>
        <v>4752</v>
      </c>
      <c r="N46" s="125">
        <f>M46/Assumptions_Dashboard!$D$28</f>
        <v>14.4</v>
      </c>
      <c r="O46" s="130">
        <v>50000</v>
      </c>
      <c r="P46" s="123">
        <f t="shared" si="1"/>
        <v>10</v>
      </c>
      <c r="Q46" s="131">
        <f t="shared" ref="Q46:Q58" si="13">1/8</f>
        <v>0.125</v>
      </c>
      <c r="R46" s="132">
        <v>123</v>
      </c>
      <c r="S46" s="132">
        <f t="shared" si="0"/>
        <v>210</v>
      </c>
      <c r="T46" s="132">
        <f t="shared" si="3"/>
        <v>123</v>
      </c>
      <c r="U46" s="132"/>
      <c r="V46" s="130">
        <v>6</v>
      </c>
      <c r="W46" s="130">
        <v>900000</v>
      </c>
    </row>
    <row r="47" spans="2:23">
      <c r="B47" s="121" t="s">
        <v>865</v>
      </c>
      <c r="C47" s="121" t="s">
        <v>1189</v>
      </c>
      <c r="D47" s="124">
        <v>42736</v>
      </c>
      <c r="E47" s="126" t="s">
        <v>1190</v>
      </c>
      <c r="F47" s="126" t="s">
        <v>1220</v>
      </c>
      <c r="G47" s="127">
        <v>250750000</v>
      </c>
      <c r="H47" s="127">
        <f>1566*1.34102</f>
        <v>2100.0373200000004</v>
      </c>
      <c r="I47" s="128">
        <v>191</v>
      </c>
      <c r="J47" s="128">
        <v>123</v>
      </c>
      <c r="K47" s="129">
        <v>0.8</v>
      </c>
      <c r="L47" s="129">
        <v>0.75</v>
      </c>
      <c r="M47" s="122">
        <f>Assumptions_Dashboard!$D$29*K47*L47</f>
        <v>4752</v>
      </c>
      <c r="N47" s="125">
        <f>M47/Assumptions_Dashboard!$D$28</f>
        <v>14.4</v>
      </c>
      <c r="O47" s="130">
        <v>50000</v>
      </c>
      <c r="P47" s="123">
        <f t="shared" si="1"/>
        <v>10</v>
      </c>
      <c r="Q47" s="131">
        <f t="shared" si="13"/>
        <v>0.125</v>
      </c>
      <c r="R47" s="132">
        <v>110</v>
      </c>
      <c r="S47" s="132">
        <f t="shared" si="0"/>
        <v>211</v>
      </c>
      <c r="T47" s="132">
        <f t="shared" si="3"/>
        <v>110</v>
      </c>
      <c r="U47" s="132"/>
      <c r="V47" s="130">
        <v>6</v>
      </c>
      <c r="W47" s="130">
        <v>850000</v>
      </c>
    </row>
    <row r="48" spans="2:23">
      <c r="B48" s="121" t="s">
        <v>874</v>
      </c>
      <c r="C48" s="121" t="s">
        <v>1189</v>
      </c>
      <c r="D48" s="124">
        <v>42736</v>
      </c>
      <c r="E48" s="126" t="s">
        <v>1190</v>
      </c>
      <c r="F48" s="126" t="s">
        <v>1221</v>
      </c>
      <c r="G48" s="127">
        <f>1.5*76*10^6</f>
        <v>114000000</v>
      </c>
      <c r="H48" s="127">
        <f>1082*1.34102</f>
        <v>1450.9836400000002</v>
      </c>
      <c r="I48" s="128">
        <v>140</v>
      </c>
      <c r="J48" s="128">
        <v>78</v>
      </c>
      <c r="K48" s="129">
        <v>0.8</v>
      </c>
      <c r="L48" s="129">
        <v>0.75</v>
      </c>
      <c r="M48" s="122">
        <f>Assumptions_Dashboard!$D$29*K48*L48</f>
        <v>4752</v>
      </c>
      <c r="N48" s="125">
        <f>M48/Assumptions_Dashboard!$D$28</f>
        <v>14.4</v>
      </c>
      <c r="O48" s="130">
        <v>50000</v>
      </c>
      <c r="P48" s="123">
        <f t="shared" si="1"/>
        <v>10</v>
      </c>
      <c r="Q48" s="131">
        <f t="shared" si="13"/>
        <v>0.125</v>
      </c>
      <c r="R48" s="132">
        <v>100</v>
      </c>
      <c r="S48" s="132">
        <f t="shared" si="0"/>
        <v>146</v>
      </c>
      <c r="T48" s="132">
        <f t="shared" si="3"/>
        <v>100</v>
      </c>
      <c r="U48" s="132"/>
      <c r="V48" s="130">
        <v>6</v>
      </c>
      <c r="W48" s="130">
        <v>800000</v>
      </c>
    </row>
    <row r="49" spans="2:23">
      <c r="B49" s="121" t="s">
        <v>881</v>
      </c>
      <c r="C49" s="121" t="s">
        <v>1203</v>
      </c>
      <c r="D49" s="124">
        <v>42736</v>
      </c>
      <c r="E49" s="126" t="s">
        <v>1190</v>
      </c>
      <c r="F49" s="126" t="s">
        <v>1222</v>
      </c>
      <c r="G49" s="127">
        <v>40839680</v>
      </c>
      <c r="H49" s="127">
        <v>1024</v>
      </c>
      <c r="I49" s="128">
        <v>100</v>
      </c>
      <c r="J49" s="128">
        <v>60.1</v>
      </c>
      <c r="K49" s="129">
        <v>0.8</v>
      </c>
      <c r="L49" s="129">
        <v>0.75</v>
      </c>
      <c r="M49" s="122">
        <f>Assumptions_Dashboard!$D$29*K49*L49</f>
        <v>4752</v>
      </c>
      <c r="N49" s="125">
        <f>M49/Assumptions_Dashboard!$D$28</f>
        <v>14.4</v>
      </c>
      <c r="O49" s="130">
        <v>50000</v>
      </c>
      <c r="P49" s="123">
        <f t="shared" si="1"/>
        <v>10</v>
      </c>
      <c r="Q49" s="131">
        <f t="shared" si="13"/>
        <v>0.125</v>
      </c>
      <c r="R49" s="132">
        <v>50</v>
      </c>
      <c r="S49" s="132">
        <f t="shared" si="0"/>
        <v>103</v>
      </c>
      <c r="T49" s="132">
        <f t="shared" si="3"/>
        <v>50</v>
      </c>
      <c r="U49" s="132"/>
      <c r="V49" s="130">
        <v>6</v>
      </c>
      <c r="W49" s="130">
        <v>800000</v>
      </c>
    </row>
    <row r="50" spans="2:23">
      <c r="B50" s="121" t="s">
        <v>881</v>
      </c>
      <c r="C50" s="121"/>
      <c r="D50" s="124">
        <v>45323</v>
      </c>
      <c r="E50" s="126" t="s">
        <v>1223</v>
      </c>
      <c r="F50" s="126" t="s">
        <v>1224</v>
      </c>
      <c r="G50" s="127">
        <v>82800000</v>
      </c>
      <c r="H50" s="127">
        <v>1200</v>
      </c>
      <c r="I50" s="128">
        <v>100</v>
      </c>
      <c r="J50" s="128">
        <v>60</v>
      </c>
      <c r="K50" s="129">
        <v>0.8</v>
      </c>
      <c r="L50" s="129">
        <v>0.75</v>
      </c>
      <c r="M50" s="122">
        <f>Assumptions_Dashboard!$D$29*K50*L50</f>
        <v>4752</v>
      </c>
      <c r="N50" s="125">
        <f>M50/Assumptions_Dashboard!$D$28</f>
        <v>14.4</v>
      </c>
      <c r="O50" s="130">
        <v>50000</v>
      </c>
      <c r="P50" s="123">
        <f t="shared" ref="P50" si="14">ROUNDDOWN(O50/M50,0)</f>
        <v>10</v>
      </c>
      <c r="Q50" s="131">
        <f t="shared" si="13"/>
        <v>0.125</v>
      </c>
      <c r="R50" s="132">
        <v>50</v>
      </c>
      <c r="S50" s="132">
        <f t="shared" ref="S50" si="15">ROUNDUP(H50*0.1,0)</f>
        <v>120</v>
      </c>
      <c r="T50" s="132">
        <f t="shared" ref="T50" si="16">MIN(R50,S50)</f>
        <v>50</v>
      </c>
      <c r="U50" s="132"/>
      <c r="V50" s="130">
        <v>6</v>
      </c>
      <c r="W50" s="130">
        <v>800000</v>
      </c>
    </row>
    <row r="51" spans="2:23">
      <c r="B51" s="121" t="s">
        <v>881</v>
      </c>
      <c r="C51" s="121" t="s">
        <v>1203</v>
      </c>
      <c r="D51" s="124">
        <v>45323</v>
      </c>
      <c r="E51" s="126" t="s">
        <v>1219</v>
      </c>
      <c r="F51" s="126" t="s">
        <v>1225</v>
      </c>
      <c r="G51" s="127">
        <f>910651671/11</f>
        <v>82786515.545454547</v>
      </c>
      <c r="H51" s="127">
        <v>1029</v>
      </c>
      <c r="I51" s="128">
        <v>100</v>
      </c>
      <c r="J51" s="128">
        <v>66</v>
      </c>
      <c r="K51" s="129">
        <v>0.8</v>
      </c>
      <c r="L51" s="129">
        <v>0.75</v>
      </c>
      <c r="M51" s="122">
        <f>Assumptions_Dashboard!$D$29*K51*L51</f>
        <v>4752</v>
      </c>
      <c r="N51" s="125">
        <f>M51/Assumptions_Dashboard!$D$28</f>
        <v>14.4</v>
      </c>
      <c r="O51" s="130">
        <v>50000</v>
      </c>
      <c r="P51" s="123">
        <f t="shared" ref="P51" si="17">ROUNDDOWN(O51/M51,0)</f>
        <v>10</v>
      </c>
      <c r="Q51" s="131">
        <f t="shared" si="13"/>
        <v>0.125</v>
      </c>
      <c r="R51" s="132">
        <v>50</v>
      </c>
      <c r="S51" s="132">
        <f t="shared" ref="S51" si="18">ROUNDUP(H51*0.1,0)</f>
        <v>103</v>
      </c>
      <c r="T51" s="132">
        <f t="shared" ref="T51" si="19">MIN(R51,S51)</f>
        <v>50</v>
      </c>
      <c r="U51" s="132"/>
      <c r="V51" s="130"/>
      <c r="W51" s="130"/>
    </row>
    <row r="52" spans="2:23">
      <c r="B52" s="121" t="s">
        <v>898</v>
      </c>
      <c r="C52" s="121" t="s">
        <v>1203</v>
      </c>
      <c r="D52" s="124">
        <v>45536</v>
      </c>
      <c r="E52" s="126" t="s">
        <v>1190</v>
      </c>
      <c r="F52" s="126" t="s">
        <v>1226</v>
      </c>
      <c r="G52" s="127">
        <v>50000000</v>
      </c>
      <c r="H52" s="127">
        <v>710</v>
      </c>
      <c r="I52" s="128">
        <v>60</v>
      </c>
      <c r="J52" s="128">
        <v>35.200000000000003</v>
      </c>
      <c r="K52" s="129">
        <v>0.8</v>
      </c>
      <c r="L52" s="129">
        <v>0.75</v>
      </c>
      <c r="M52" s="122">
        <f>Assumptions_Dashboard!$D$29*K52*L52</f>
        <v>4752</v>
      </c>
      <c r="N52" s="125">
        <f>M52/Assumptions_Dashboard!$D$28</f>
        <v>14.4</v>
      </c>
      <c r="O52" s="130">
        <v>50000</v>
      </c>
      <c r="P52" s="123">
        <f t="shared" si="1"/>
        <v>10</v>
      </c>
      <c r="Q52" s="131">
        <f t="shared" si="13"/>
        <v>0.125</v>
      </c>
      <c r="R52" s="132">
        <v>35</v>
      </c>
      <c r="S52" s="132">
        <f t="shared" si="0"/>
        <v>71</v>
      </c>
      <c r="T52" s="132">
        <f t="shared" si="3"/>
        <v>35</v>
      </c>
      <c r="U52" s="132"/>
      <c r="V52" s="130">
        <v>6</v>
      </c>
      <c r="W52" s="130">
        <v>256000</v>
      </c>
    </row>
    <row r="53" spans="2:23">
      <c r="B53" s="121" t="s">
        <v>898</v>
      </c>
      <c r="C53" s="121" t="s">
        <v>1203</v>
      </c>
      <c r="D53" s="124">
        <v>45200</v>
      </c>
      <c r="E53" s="126" t="s">
        <v>1219</v>
      </c>
      <c r="F53" s="126" t="s">
        <v>1227</v>
      </c>
      <c r="G53" s="127">
        <v>34560000</v>
      </c>
      <c r="H53" s="127">
        <v>644</v>
      </c>
      <c r="I53" s="128">
        <v>60</v>
      </c>
      <c r="J53" s="128">
        <v>35</v>
      </c>
      <c r="K53" s="129">
        <v>0.8</v>
      </c>
      <c r="L53" s="129">
        <v>0.75</v>
      </c>
      <c r="M53" s="122">
        <f>Assumptions_Dashboard!$D$29*K53*L53</f>
        <v>4752</v>
      </c>
      <c r="N53" s="125">
        <f>M53/Assumptions_Dashboard!$D$28</f>
        <v>14.4</v>
      </c>
      <c r="O53" s="130">
        <v>50000</v>
      </c>
      <c r="P53" s="123">
        <f t="shared" ref="P53" si="20">ROUNDDOWN(O53/M53,0)</f>
        <v>10</v>
      </c>
      <c r="Q53" s="131">
        <f t="shared" si="13"/>
        <v>0.125</v>
      </c>
      <c r="R53" s="132">
        <v>35</v>
      </c>
      <c r="S53" s="132">
        <f t="shared" ref="S53" si="21">ROUNDUP(H53*0.1,0)</f>
        <v>65</v>
      </c>
      <c r="T53" s="132">
        <f t="shared" ref="T53" si="22">MIN(R53,S53)</f>
        <v>35</v>
      </c>
      <c r="U53" s="132">
        <v>480</v>
      </c>
      <c r="V53" s="130"/>
      <c r="W53" s="130"/>
    </row>
    <row r="54" spans="2:23">
      <c r="B54" s="121" t="s">
        <v>907</v>
      </c>
      <c r="C54" s="121" t="s">
        <v>1203</v>
      </c>
      <c r="D54" s="124">
        <v>45839</v>
      </c>
      <c r="E54" s="126" t="s">
        <v>1190</v>
      </c>
      <c r="F54" s="126" t="s">
        <v>1228</v>
      </c>
      <c r="G54" s="127">
        <v>21500000</v>
      </c>
      <c r="H54" s="127">
        <v>710</v>
      </c>
      <c r="I54" s="128">
        <v>50</v>
      </c>
      <c r="J54" s="128">
        <v>32</v>
      </c>
      <c r="K54" s="129">
        <v>0.8</v>
      </c>
      <c r="L54" s="129">
        <v>0.75</v>
      </c>
      <c r="M54" s="122">
        <f>Assumptions_Dashboard!$D$29*K54*L54</f>
        <v>4752</v>
      </c>
      <c r="N54" s="125">
        <f>M54/Assumptions_Dashboard!$D$28</f>
        <v>14.4</v>
      </c>
      <c r="O54" s="130">
        <v>30000</v>
      </c>
      <c r="P54" s="123">
        <f t="shared" si="1"/>
        <v>6</v>
      </c>
      <c r="Q54" s="131">
        <f t="shared" si="13"/>
        <v>0.125</v>
      </c>
      <c r="R54" s="132">
        <v>26</v>
      </c>
      <c r="S54" s="132">
        <f t="shared" si="0"/>
        <v>71</v>
      </c>
      <c r="T54" s="132">
        <f t="shared" si="3"/>
        <v>26</v>
      </c>
      <c r="U54" s="132"/>
      <c r="V54" s="130">
        <v>6</v>
      </c>
      <c r="W54" s="130">
        <v>256000</v>
      </c>
    </row>
    <row r="55" spans="2:23">
      <c r="B55" s="121" t="s">
        <v>911</v>
      </c>
      <c r="C55" s="121" t="s">
        <v>1203</v>
      </c>
      <c r="D55" s="124">
        <v>42736</v>
      </c>
      <c r="E55" s="126" t="s">
        <v>1190</v>
      </c>
      <c r="F55" s="126" t="s">
        <v>1229</v>
      </c>
      <c r="G55" s="127">
        <v>18422000</v>
      </c>
      <c r="H55" s="127">
        <v>515</v>
      </c>
      <c r="I55" s="128">
        <v>38.6</v>
      </c>
      <c r="J55" s="128">
        <v>25.2</v>
      </c>
      <c r="K55" s="129">
        <v>0.8</v>
      </c>
      <c r="L55" s="129">
        <v>0.75</v>
      </c>
      <c r="M55" s="122">
        <f>Assumptions_Dashboard!$D$29*K55*L55</f>
        <v>4752</v>
      </c>
      <c r="N55" s="125">
        <f>M55/Assumptions_Dashboard!$D$28</f>
        <v>14.4</v>
      </c>
      <c r="O55" s="130">
        <v>30000</v>
      </c>
      <c r="P55" s="123">
        <f t="shared" si="1"/>
        <v>6</v>
      </c>
      <c r="Q55" s="131">
        <f t="shared" si="13"/>
        <v>0.125</v>
      </c>
      <c r="R55" s="132">
        <v>20</v>
      </c>
      <c r="S55" s="132">
        <f t="shared" si="0"/>
        <v>52</v>
      </c>
      <c r="T55" s="132">
        <f t="shared" si="3"/>
        <v>20</v>
      </c>
      <c r="U55" s="132"/>
      <c r="V55" s="130">
        <v>6</v>
      </c>
      <c r="W55" s="130">
        <v>153600</v>
      </c>
    </row>
    <row r="56" spans="2:23">
      <c r="B56" s="121" t="s">
        <v>915</v>
      </c>
      <c r="C56" s="121"/>
      <c r="D56" s="121">
        <v>2025</v>
      </c>
      <c r="E56" s="126" t="s">
        <v>1230</v>
      </c>
      <c r="F56" s="126" t="s">
        <v>1231</v>
      </c>
      <c r="G56" s="127">
        <f>13500000</f>
        <v>13500000</v>
      </c>
      <c r="H56" s="127">
        <v>460</v>
      </c>
      <c r="I56" s="128">
        <v>35</v>
      </c>
      <c r="J56" s="128">
        <v>18</v>
      </c>
      <c r="K56" s="129">
        <v>0.8</v>
      </c>
      <c r="L56" s="129">
        <v>0.75</v>
      </c>
      <c r="M56" s="122">
        <f>Assumptions_Dashboard!$D$29*K56*L56</f>
        <v>4752</v>
      </c>
      <c r="N56" s="125">
        <f>M56/Assumptions_Dashboard!$D$28</f>
        <v>14.4</v>
      </c>
      <c r="O56" s="130">
        <v>30000</v>
      </c>
      <c r="P56" s="123">
        <f t="shared" si="1"/>
        <v>6</v>
      </c>
      <c r="Q56" s="131">
        <f t="shared" si="13"/>
        <v>0.125</v>
      </c>
      <c r="R56" s="132">
        <v>19</v>
      </c>
      <c r="S56" s="132">
        <f t="shared" si="0"/>
        <v>46</v>
      </c>
      <c r="T56" s="132">
        <f t="shared" si="3"/>
        <v>19</v>
      </c>
      <c r="U56" s="132"/>
      <c r="V56" s="130">
        <v>12</v>
      </c>
      <c r="W56" s="130">
        <v>75000</v>
      </c>
    </row>
    <row r="57" spans="2:23">
      <c r="B57" s="121" t="s">
        <v>918</v>
      </c>
      <c r="C57" s="121"/>
      <c r="D57" s="121"/>
      <c r="E57" s="126" t="s">
        <v>1232</v>
      </c>
      <c r="F57" s="126" t="s">
        <v>1233</v>
      </c>
      <c r="G57" s="127">
        <f>4500000</f>
        <v>4500000</v>
      </c>
      <c r="H57" s="127">
        <v>183</v>
      </c>
      <c r="I57" s="128">
        <v>20</v>
      </c>
      <c r="J57" s="128">
        <v>14</v>
      </c>
      <c r="K57" s="129">
        <v>0.8</v>
      </c>
      <c r="L57" s="129">
        <v>0.75</v>
      </c>
      <c r="M57" s="122">
        <f>Assumptions_Dashboard!$D$29*K57*L57</f>
        <v>4752</v>
      </c>
      <c r="N57" s="125">
        <f>M57/Assumptions_Dashboard!$D$28</f>
        <v>14.4</v>
      </c>
      <c r="O57" s="130">
        <v>30000</v>
      </c>
      <c r="P57" s="123">
        <f t="shared" si="1"/>
        <v>6</v>
      </c>
      <c r="Q57" s="131">
        <f t="shared" si="13"/>
        <v>0.125</v>
      </c>
      <c r="R57" s="132">
        <v>11</v>
      </c>
      <c r="S57" s="132">
        <f t="shared" si="0"/>
        <v>19</v>
      </c>
      <c r="T57" s="132">
        <f t="shared" si="3"/>
        <v>11</v>
      </c>
      <c r="U57" s="132"/>
      <c r="V57" s="130">
        <v>6</v>
      </c>
      <c r="W57" s="130">
        <v>50000</v>
      </c>
    </row>
    <row r="58" spans="2:23">
      <c r="B58" s="121" t="s">
        <v>921</v>
      </c>
      <c r="C58" s="121" t="s">
        <v>1203</v>
      </c>
      <c r="D58" s="124">
        <v>45505</v>
      </c>
      <c r="E58" s="126" t="s">
        <v>1234</v>
      </c>
      <c r="F58" s="126" t="s">
        <v>1235</v>
      </c>
      <c r="G58" s="127">
        <v>1800000</v>
      </c>
      <c r="H58" s="127"/>
      <c r="I58" s="128">
        <v>8</v>
      </c>
      <c r="J58" s="128">
        <f>I58*0.7</f>
        <v>5.6</v>
      </c>
      <c r="K58" s="129">
        <v>0.8</v>
      </c>
      <c r="L58" s="129">
        <v>0.75</v>
      </c>
      <c r="M58" s="122">
        <f>Assumptions_Dashboard!$D$29*K58*L58</f>
        <v>4752</v>
      </c>
      <c r="N58" s="125">
        <f>M58/Assumptions_Dashboard!$D$28</f>
        <v>14.4</v>
      </c>
      <c r="O58" s="130">
        <v>30000</v>
      </c>
      <c r="P58" s="123">
        <f t="shared" si="1"/>
        <v>6</v>
      </c>
      <c r="Q58" s="131">
        <f t="shared" si="13"/>
        <v>0.125</v>
      </c>
      <c r="R58" s="132">
        <v>11</v>
      </c>
      <c r="S58" s="132">
        <f t="shared" ref="S58" si="23">ROUNDUP(H58*0.1,0)</f>
        <v>0</v>
      </c>
      <c r="T58" s="132">
        <f t="shared" ref="T58" si="24">MIN(R58,S58)</f>
        <v>0</v>
      </c>
      <c r="U58" s="132"/>
      <c r="V58" s="130"/>
      <c r="W58" s="130"/>
    </row>
    <row r="59" spans="2:23">
      <c r="B59" s="121" t="s">
        <v>847</v>
      </c>
      <c r="C59" s="121" t="s">
        <v>1189</v>
      </c>
      <c r="D59" s="124">
        <v>42736</v>
      </c>
      <c r="E59" s="126" t="s">
        <v>1190</v>
      </c>
      <c r="F59" s="126" t="s">
        <v>1236</v>
      </c>
      <c r="G59" s="127">
        <v>179250000</v>
      </c>
      <c r="H59" s="127">
        <v>850</v>
      </c>
      <c r="I59" s="128"/>
      <c r="J59" s="128"/>
      <c r="K59" s="129">
        <v>0.8</v>
      </c>
      <c r="L59" s="129">
        <v>0.6</v>
      </c>
      <c r="M59" s="122">
        <f>Assumptions_Dashboard!$D$29*K59*L59</f>
        <v>3801.6</v>
      </c>
      <c r="N59" s="125">
        <f>M59/Assumptions_Dashboard!$D$28</f>
        <v>11.52</v>
      </c>
      <c r="O59" s="130">
        <v>24000</v>
      </c>
      <c r="P59" s="123">
        <f t="shared" si="1"/>
        <v>6</v>
      </c>
      <c r="Q59" s="131">
        <f>1/6</f>
        <v>0.16666666666666666</v>
      </c>
      <c r="R59" s="132">
        <f t="shared" ref="R59:R67" si="25">ROUNDUP(H59*0.1,-1)</f>
        <v>90</v>
      </c>
      <c r="S59" s="132">
        <f t="shared" si="0"/>
        <v>85</v>
      </c>
      <c r="T59" s="132">
        <f t="shared" si="3"/>
        <v>85</v>
      </c>
      <c r="U59" s="132"/>
      <c r="V59" s="130">
        <v>0</v>
      </c>
      <c r="W59" s="130">
        <v>0</v>
      </c>
    </row>
    <row r="60" spans="2:23">
      <c r="B60" s="121" t="s">
        <v>857</v>
      </c>
      <c r="C60" s="121" t="s">
        <v>1189</v>
      </c>
      <c r="D60" s="124">
        <v>42736</v>
      </c>
      <c r="E60" s="126" t="s">
        <v>1190</v>
      </c>
      <c r="F60" s="126" t="s">
        <v>1237</v>
      </c>
      <c r="G60" s="127">
        <v>90000000</v>
      </c>
      <c r="H60" s="127">
        <v>722</v>
      </c>
      <c r="I60" s="128"/>
      <c r="J60" s="128"/>
      <c r="K60" s="129">
        <v>0.8</v>
      </c>
      <c r="L60" s="129">
        <v>0.6</v>
      </c>
      <c r="M60" s="122">
        <f>Assumptions_Dashboard!$D$29*K60*L60</f>
        <v>3801.6</v>
      </c>
      <c r="N60" s="125">
        <f>M60/Assumptions_Dashboard!$D$28</f>
        <v>11.52</v>
      </c>
      <c r="O60" s="130">
        <v>24000</v>
      </c>
      <c r="P60" s="123">
        <f t="shared" si="1"/>
        <v>6</v>
      </c>
      <c r="Q60" s="131">
        <f t="shared" ref="Q60:Q66" si="26">1/6</f>
        <v>0.16666666666666666</v>
      </c>
      <c r="R60" s="132">
        <f t="shared" si="25"/>
        <v>80</v>
      </c>
      <c r="S60" s="132">
        <f t="shared" si="0"/>
        <v>73</v>
      </c>
      <c r="T60" s="132">
        <f t="shared" si="3"/>
        <v>73</v>
      </c>
      <c r="U60" s="132"/>
      <c r="V60" s="130">
        <v>0</v>
      </c>
      <c r="W60" s="130">
        <v>0</v>
      </c>
    </row>
    <row r="61" spans="2:23">
      <c r="B61" s="121" t="s">
        <v>866</v>
      </c>
      <c r="C61" s="121"/>
      <c r="D61" s="121"/>
      <c r="E61" s="126" t="s">
        <v>1198</v>
      </c>
      <c r="F61" s="126" t="s">
        <v>1238</v>
      </c>
      <c r="G61" s="127">
        <v>58400400</v>
      </c>
      <c r="H61" s="127">
        <v>525</v>
      </c>
      <c r="I61" s="128"/>
      <c r="J61" s="128"/>
      <c r="K61" s="129">
        <v>0.8</v>
      </c>
      <c r="L61" s="129">
        <v>0.6</v>
      </c>
      <c r="M61" s="122">
        <f>Assumptions_Dashboard!$D$29*K61*L61</f>
        <v>3801.6</v>
      </c>
      <c r="N61" s="125">
        <f>M61/Assumptions_Dashboard!$D$28</f>
        <v>11.52</v>
      </c>
      <c r="O61" s="130">
        <v>24000</v>
      </c>
      <c r="P61" s="123">
        <f t="shared" si="1"/>
        <v>6</v>
      </c>
      <c r="Q61" s="131">
        <f t="shared" si="26"/>
        <v>0.16666666666666666</v>
      </c>
      <c r="R61" s="132">
        <f t="shared" si="25"/>
        <v>60</v>
      </c>
      <c r="S61" s="132">
        <f t="shared" si="0"/>
        <v>53</v>
      </c>
      <c r="T61" s="132">
        <f t="shared" si="3"/>
        <v>53</v>
      </c>
      <c r="U61" s="132"/>
      <c r="V61" s="130">
        <v>0</v>
      </c>
      <c r="W61" s="130">
        <v>0</v>
      </c>
    </row>
    <row r="62" spans="2:23">
      <c r="B62" s="121" t="s">
        <v>875</v>
      </c>
      <c r="C62" s="121" t="s">
        <v>1189</v>
      </c>
      <c r="D62" s="124">
        <v>42736</v>
      </c>
      <c r="E62" s="126" t="s">
        <v>1190</v>
      </c>
      <c r="F62" s="126" t="s">
        <v>1239</v>
      </c>
      <c r="G62" s="127">
        <v>50000000</v>
      </c>
      <c r="H62" s="127">
        <v>405</v>
      </c>
      <c r="I62" s="127"/>
      <c r="J62" s="127"/>
      <c r="K62" s="129">
        <v>0.8</v>
      </c>
      <c r="L62" s="129">
        <v>0.6</v>
      </c>
      <c r="M62" s="122">
        <f>Assumptions_Dashboard!$D$29*K62*L62</f>
        <v>3801.6</v>
      </c>
      <c r="N62" s="125">
        <f>M62/Assumptions_Dashboard!$D$28</f>
        <v>11.52</v>
      </c>
      <c r="O62" s="130">
        <v>24000</v>
      </c>
      <c r="P62" s="123">
        <f t="shared" si="1"/>
        <v>6</v>
      </c>
      <c r="Q62" s="131">
        <f t="shared" si="26"/>
        <v>0.16666666666666666</v>
      </c>
      <c r="R62" s="132">
        <f t="shared" si="25"/>
        <v>50</v>
      </c>
      <c r="S62" s="132">
        <f t="shared" si="0"/>
        <v>41</v>
      </c>
      <c r="T62" s="132">
        <f t="shared" si="3"/>
        <v>41</v>
      </c>
      <c r="U62" s="132"/>
      <c r="V62" s="130">
        <v>0</v>
      </c>
      <c r="W62" s="130">
        <v>0</v>
      </c>
    </row>
    <row r="63" spans="2:23">
      <c r="B63" s="121" t="s">
        <v>882</v>
      </c>
      <c r="C63" s="121"/>
      <c r="D63" s="121"/>
      <c r="E63" s="126" t="s">
        <v>1219</v>
      </c>
      <c r="F63" s="126" t="s">
        <v>1240</v>
      </c>
      <c r="G63" s="127">
        <f>40300000</f>
        <v>40300000</v>
      </c>
      <c r="H63" s="127">
        <v>320</v>
      </c>
      <c r="I63" s="127"/>
      <c r="J63" s="127"/>
      <c r="K63" s="129">
        <v>0.8</v>
      </c>
      <c r="L63" s="129">
        <v>0.6</v>
      </c>
      <c r="M63" s="122">
        <f>Assumptions_Dashboard!$D$29*K63*L63</f>
        <v>3801.6</v>
      </c>
      <c r="N63" s="125">
        <f>M63/Assumptions_Dashboard!$D$28</f>
        <v>11.52</v>
      </c>
      <c r="O63" s="130">
        <v>24000</v>
      </c>
      <c r="P63" s="123">
        <f>ROUNDDOWN(O63/M63,0)</f>
        <v>6</v>
      </c>
      <c r="Q63" s="131">
        <f t="shared" si="26"/>
        <v>0.16666666666666666</v>
      </c>
      <c r="R63" s="132">
        <f t="shared" si="25"/>
        <v>40</v>
      </c>
      <c r="S63" s="132">
        <f t="shared" si="0"/>
        <v>32</v>
      </c>
      <c r="T63" s="132">
        <f t="shared" si="3"/>
        <v>32</v>
      </c>
      <c r="U63" s="132"/>
      <c r="V63" s="130">
        <v>0</v>
      </c>
      <c r="W63" s="130">
        <v>0</v>
      </c>
    </row>
    <row r="64" spans="2:23">
      <c r="B64" s="121" t="s">
        <v>882</v>
      </c>
      <c r="C64" s="121" t="s">
        <v>1189</v>
      </c>
      <c r="D64" s="124">
        <v>42736</v>
      </c>
      <c r="E64" s="126" t="s">
        <v>1190</v>
      </c>
      <c r="F64" s="126" t="s">
        <v>1241</v>
      </c>
      <c r="G64" s="127">
        <v>34460100</v>
      </c>
      <c r="H64" s="127">
        <v>320</v>
      </c>
      <c r="I64" s="127"/>
      <c r="J64" s="127"/>
      <c r="K64" s="129">
        <v>0.8</v>
      </c>
      <c r="L64" s="129">
        <v>0.6</v>
      </c>
      <c r="M64" s="122">
        <f>Assumptions_Dashboard!$D$29*K64*L64</f>
        <v>3801.6</v>
      </c>
      <c r="N64" s="125">
        <f>M64/Assumptions_Dashboard!$D$28</f>
        <v>11.52</v>
      </c>
      <c r="O64" s="130">
        <v>24000</v>
      </c>
      <c r="P64" s="123">
        <f t="shared" si="1"/>
        <v>6</v>
      </c>
      <c r="Q64" s="131">
        <f t="shared" si="26"/>
        <v>0.16666666666666666</v>
      </c>
      <c r="R64" s="132">
        <f t="shared" si="25"/>
        <v>40</v>
      </c>
      <c r="S64" s="132">
        <f t="shared" si="0"/>
        <v>32</v>
      </c>
      <c r="T64" s="132">
        <f t="shared" si="3"/>
        <v>32</v>
      </c>
      <c r="U64" s="132"/>
      <c r="V64" s="130">
        <v>0</v>
      </c>
      <c r="W64" s="130">
        <v>0</v>
      </c>
    </row>
    <row r="65" spans="2:23">
      <c r="B65" s="121" t="s">
        <v>892</v>
      </c>
      <c r="C65" s="121" t="s">
        <v>1203</v>
      </c>
      <c r="D65" s="124">
        <v>42736</v>
      </c>
      <c r="E65" s="126" t="s">
        <v>1190</v>
      </c>
      <c r="F65" s="126" t="s">
        <v>1242</v>
      </c>
      <c r="G65" s="127">
        <v>17390000</v>
      </c>
      <c r="H65" s="127">
        <v>192</v>
      </c>
      <c r="I65" s="127"/>
      <c r="J65" s="127"/>
      <c r="K65" s="129">
        <v>0.8</v>
      </c>
      <c r="L65" s="129">
        <v>0.6</v>
      </c>
      <c r="M65" s="122">
        <f>Assumptions_Dashboard!$D$29*K65*L65</f>
        <v>3801.6</v>
      </c>
      <c r="N65" s="125">
        <f>M65/Assumptions_Dashboard!$D$28</f>
        <v>11.52</v>
      </c>
      <c r="O65" s="130">
        <v>24000</v>
      </c>
      <c r="P65" s="123">
        <f t="shared" si="1"/>
        <v>6</v>
      </c>
      <c r="Q65" s="131">
        <f t="shared" si="26"/>
        <v>0.16666666666666666</v>
      </c>
      <c r="R65" s="132">
        <f t="shared" si="25"/>
        <v>20</v>
      </c>
      <c r="S65" s="132">
        <f t="shared" si="0"/>
        <v>20</v>
      </c>
      <c r="T65" s="132">
        <f t="shared" si="3"/>
        <v>20</v>
      </c>
      <c r="U65" s="132"/>
      <c r="V65" s="130">
        <v>0</v>
      </c>
      <c r="W65" s="130">
        <v>0</v>
      </c>
    </row>
    <row r="66" spans="2:23">
      <c r="B66" s="121" t="s">
        <v>899</v>
      </c>
      <c r="C66" s="121"/>
      <c r="D66" s="121"/>
      <c r="E66" s="126" t="s">
        <v>1198</v>
      </c>
      <c r="F66" s="126" t="s">
        <v>1243</v>
      </c>
      <c r="G66" s="127">
        <v>18983075</v>
      </c>
      <c r="H66" s="127">
        <v>165</v>
      </c>
      <c r="I66" s="127"/>
      <c r="J66" s="127"/>
      <c r="K66" s="129">
        <v>0.8</v>
      </c>
      <c r="L66" s="129">
        <v>0.6</v>
      </c>
      <c r="M66" s="122">
        <f>Assumptions_Dashboard!$D$29*K66*L66</f>
        <v>3801.6</v>
      </c>
      <c r="N66" s="125">
        <f>M66/Assumptions_Dashboard!$D$28</f>
        <v>11.52</v>
      </c>
      <c r="O66" s="130">
        <v>24000</v>
      </c>
      <c r="P66" s="123">
        <f t="shared" si="1"/>
        <v>6</v>
      </c>
      <c r="Q66" s="131">
        <f t="shared" si="26"/>
        <v>0.16666666666666666</v>
      </c>
      <c r="R66" s="132">
        <f t="shared" si="25"/>
        <v>20</v>
      </c>
      <c r="S66" s="132">
        <f t="shared" si="0"/>
        <v>17</v>
      </c>
      <c r="T66" s="132">
        <f t="shared" si="3"/>
        <v>17</v>
      </c>
      <c r="U66" s="132"/>
      <c r="V66" s="130">
        <v>0</v>
      </c>
      <c r="W66" s="130">
        <v>0</v>
      </c>
    </row>
    <row r="67" spans="2:23">
      <c r="B67" s="121" t="s">
        <v>904</v>
      </c>
      <c r="C67" s="121" t="s">
        <v>1189</v>
      </c>
      <c r="D67" s="124">
        <v>42736</v>
      </c>
      <c r="E67" s="126" t="s">
        <v>1190</v>
      </c>
      <c r="F67" s="126" t="s">
        <v>1244</v>
      </c>
      <c r="G67" s="127">
        <v>54125954.686976001</v>
      </c>
      <c r="H67" s="127">
        <v>496</v>
      </c>
      <c r="I67" s="127"/>
      <c r="J67" s="127"/>
      <c r="K67" s="129">
        <v>0.8</v>
      </c>
      <c r="L67" s="129">
        <v>0.6</v>
      </c>
      <c r="M67" s="122">
        <f>Assumptions_Dashboard!$D$29*K67*L67</f>
        <v>3801.6</v>
      </c>
      <c r="N67" s="125">
        <f>M67/Assumptions_Dashboard!$D$28</f>
        <v>11.52</v>
      </c>
      <c r="O67" s="130">
        <v>30000</v>
      </c>
      <c r="P67" s="123">
        <f t="shared" si="1"/>
        <v>7</v>
      </c>
      <c r="Q67" s="131">
        <f>1/8</f>
        <v>0.125</v>
      </c>
      <c r="R67" s="132">
        <f t="shared" si="25"/>
        <v>50</v>
      </c>
      <c r="S67" s="132">
        <f t="shared" si="0"/>
        <v>50</v>
      </c>
      <c r="T67" s="132">
        <f t="shared" si="3"/>
        <v>50</v>
      </c>
      <c r="U67" s="132"/>
      <c r="V67" s="130">
        <v>4</v>
      </c>
      <c r="W67" s="130">
        <v>320000</v>
      </c>
    </row>
    <row r="68" spans="2:23">
      <c r="B68" s="121" t="s">
        <v>908</v>
      </c>
      <c r="C68" s="121"/>
      <c r="D68" s="124"/>
      <c r="E68" s="126" t="s">
        <v>1198</v>
      </c>
      <c r="F68" s="126" t="s">
        <v>1245</v>
      </c>
      <c r="G68" s="127">
        <v>45000000</v>
      </c>
      <c r="H68" s="127">
        <v>510</v>
      </c>
      <c r="I68" s="127">
        <v>450</v>
      </c>
      <c r="J68" s="127">
        <v>12</v>
      </c>
      <c r="K68" s="129">
        <v>0.85</v>
      </c>
      <c r="L68" s="129">
        <v>0.8</v>
      </c>
      <c r="M68" s="122">
        <f>Assumptions_Dashboard!$D$29*K68*L68</f>
        <v>5385.6</v>
      </c>
      <c r="N68" s="125">
        <f>M68/Assumptions_Dashboard!$D$28</f>
        <v>16.32</v>
      </c>
      <c r="O68" s="130">
        <v>30000</v>
      </c>
      <c r="P68" s="123">
        <f t="shared" ref="P68:P69" si="27">ROUNDDOWN(O68/M68,0)</f>
        <v>5</v>
      </c>
      <c r="Q68" s="131">
        <f t="shared" ref="Q68:Q72" si="28">1/8</f>
        <v>0.125</v>
      </c>
      <c r="R68" s="132">
        <f t="shared" ref="R68:R69" si="29">ROUNDUP(H68*0.1,-1)</f>
        <v>60</v>
      </c>
      <c r="S68" s="132">
        <f t="shared" ref="S68:S69" si="30">ROUNDUP(H68*0.1,0)</f>
        <v>51</v>
      </c>
      <c r="T68" s="132">
        <f t="shared" ref="T68:T69" si="31">MIN(R68,S68)</f>
        <v>51</v>
      </c>
      <c r="U68" s="132"/>
      <c r="V68" s="130"/>
      <c r="W68" s="130"/>
    </row>
    <row r="69" spans="2:23">
      <c r="B69" s="121" t="s">
        <v>912</v>
      </c>
      <c r="C69" s="121"/>
      <c r="D69" s="124"/>
      <c r="E69" s="126" t="s">
        <v>1198</v>
      </c>
      <c r="F69" s="126" t="s">
        <v>1246</v>
      </c>
      <c r="G69" s="127">
        <v>120000000</v>
      </c>
      <c r="H69" s="127">
        <v>890</v>
      </c>
      <c r="I69" s="127">
        <v>600</v>
      </c>
      <c r="J69" s="127">
        <v>34</v>
      </c>
      <c r="K69" s="129">
        <v>0.85</v>
      </c>
      <c r="L69" s="129">
        <v>0.7</v>
      </c>
      <c r="M69" s="122">
        <f>Assumptions_Dashboard!$D$29*K69*L69</f>
        <v>4712.3999999999996</v>
      </c>
      <c r="N69" s="125">
        <f>M69/Assumptions_Dashboard!$D$28</f>
        <v>14.28</v>
      </c>
      <c r="O69" s="130">
        <v>30000</v>
      </c>
      <c r="P69" s="123">
        <f t="shared" si="27"/>
        <v>6</v>
      </c>
      <c r="Q69" s="131">
        <f t="shared" si="28"/>
        <v>0.125</v>
      </c>
      <c r="R69" s="132">
        <f t="shared" si="29"/>
        <v>90</v>
      </c>
      <c r="S69" s="132">
        <f t="shared" si="30"/>
        <v>89</v>
      </c>
      <c r="T69" s="132">
        <f t="shared" si="31"/>
        <v>89</v>
      </c>
      <c r="U69" s="132"/>
      <c r="V69" s="130"/>
      <c r="W69" s="130"/>
    </row>
    <row r="70" spans="2:23">
      <c r="B70" s="121" t="s">
        <v>848</v>
      </c>
      <c r="C70" s="121" t="s">
        <v>1189</v>
      </c>
      <c r="D70" s="124">
        <v>42736</v>
      </c>
      <c r="E70" s="126" t="s">
        <v>1190</v>
      </c>
      <c r="F70" s="126" t="s">
        <v>1247</v>
      </c>
      <c r="G70" s="127">
        <v>51444656.952627197</v>
      </c>
      <c r="H70" s="127">
        <v>300</v>
      </c>
      <c r="I70" s="128"/>
      <c r="J70" s="128"/>
      <c r="K70" s="129">
        <v>0.8</v>
      </c>
      <c r="L70" s="129">
        <v>0.6</v>
      </c>
      <c r="M70" s="122">
        <f>Assumptions_Dashboard!$D$29*K70*L70</f>
        <v>3801.6</v>
      </c>
      <c r="N70" s="125">
        <f>M70/Assumptions_Dashboard!$D$28</f>
        <v>11.52</v>
      </c>
      <c r="O70" s="130">
        <v>30000</v>
      </c>
      <c r="P70" s="123">
        <f>ROUNDDOWN(O70/M70,0)</f>
        <v>7</v>
      </c>
      <c r="Q70" s="131">
        <f t="shared" si="28"/>
        <v>0.125</v>
      </c>
      <c r="R70" s="132">
        <v>60</v>
      </c>
      <c r="S70" s="132"/>
      <c r="T70" s="132"/>
      <c r="U70" s="132"/>
      <c r="V70" s="130">
        <v>4</v>
      </c>
      <c r="W70" s="130">
        <v>256000</v>
      </c>
    </row>
    <row r="71" spans="2:23">
      <c r="B71" s="121" t="s">
        <v>858</v>
      </c>
      <c r="C71" s="121" t="s">
        <v>1189</v>
      </c>
      <c r="D71" s="124">
        <v>42736</v>
      </c>
      <c r="E71" s="126" t="s">
        <v>1190</v>
      </c>
      <c r="F71" s="126" t="s">
        <v>1248</v>
      </c>
      <c r="G71" s="127">
        <v>31334923.945011199</v>
      </c>
      <c r="H71" s="127">
        <v>275</v>
      </c>
      <c r="I71" s="128"/>
      <c r="J71" s="128"/>
      <c r="K71" s="129">
        <v>0.8</v>
      </c>
      <c r="L71" s="129">
        <v>0.6</v>
      </c>
      <c r="M71" s="122">
        <f>Assumptions_Dashboard!$D$29*K71*L71</f>
        <v>3801.6</v>
      </c>
      <c r="N71" s="125">
        <f>M71/Assumptions_Dashboard!$D$28</f>
        <v>11.52</v>
      </c>
      <c r="O71" s="130">
        <v>30000</v>
      </c>
      <c r="P71" s="123">
        <f>ROUNDDOWN(O71/M71,0)</f>
        <v>7</v>
      </c>
      <c r="Q71" s="131">
        <f t="shared" si="28"/>
        <v>0.125</v>
      </c>
      <c r="R71" s="132">
        <v>85</v>
      </c>
      <c r="S71" s="132">
        <v>100</v>
      </c>
      <c r="T71" s="132">
        <v>80</v>
      </c>
      <c r="U71" s="132"/>
      <c r="V71" s="130">
        <v>4</v>
      </c>
      <c r="W71" s="130">
        <v>225000</v>
      </c>
    </row>
    <row r="72" spans="2:23">
      <c r="B72" s="121" t="s">
        <v>867</v>
      </c>
      <c r="C72" s="121" t="s">
        <v>1189</v>
      </c>
      <c r="D72" s="124">
        <v>42736</v>
      </c>
      <c r="E72" s="126" t="s">
        <v>1198</v>
      </c>
      <c r="F72" s="126" t="s">
        <v>1249</v>
      </c>
      <c r="G72" s="127">
        <v>15066260</v>
      </c>
      <c r="H72" s="127">
        <v>145</v>
      </c>
      <c r="I72" s="127"/>
      <c r="J72" s="127"/>
      <c r="K72" s="129">
        <v>0.8</v>
      </c>
      <c r="L72" s="129">
        <v>0.4</v>
      </c>
      <c r="M72" s="122">
        <f>Assumptions_Dashboard!$D$29*K72*L72</f>
        <v>2534.4</v>
      </c>
      <c r="N72" s="125">
        <f>M72/Assumptions_Dashboard!$D$28</f>
        <v>7.6800000000000006</v>
      </c>
      <c r="O72" s="130">
        <v>30000</v>
      </c>
      <c r="P72" s="123">
        <f>ROUNDDOWN(O72/M72,0)</f>
        <v>11</v>
      </c>
      <c r="Q72" s="131">
        <f t="shared" si="28"/>
        <v>0.125</v>
      </c>
      <c r="R72" s="132">
        <f>ROUNDUP(H72*0.1,-1)</f>
        <v>20</v>
      </c>
      <c r="S72" s="132">
        <f>ROUNDUP(H72*0.1,0)</f>
        <v>15</v>
      </c>
      <c r="T72" s="132">
        <f>MIN(R72,S72)</f>
        <v>15</v>
      </c>
      <c r="U72" s="132"/>
      <c r="V72" s="130">
        <v>4</v>
      </c>
      <c r="W72" s="130">
        <v>192000</v>
      </c>
    </row>
    <row r="73" spans="2:23">
      <c r="B73" s="121" t="s">
        <v>849</v>
      </c>
      <c r="C73" s="121"/>
      <c r="D73" s="121"/>
      <c r="E73" s="126" t="s">
        <v>1250</v>
      </c>
      <c r="F73" s="126"/>
      <c r="G73" s="127">
        <v>68639626.135164008</v>
      </c>
      <c r="H73" s="127"/>
      <c r="I73" s="127"/>
      <c r="J73" s="127"/>
      <c r="K73" s="129">
        <v>0.8</v>
      </c>
      <c r="L73" s="129">
        <v>0.25</v>
      </c>
      <c r="M73" s="122">
        <f>Assumptions_Dashboard!$D$29*K73*L73</f>
        <v>1584</v>
      </c>
      <c r="N73" s="125">
        <f>M73/Assumptions_Dashboard!$D$28</f>
        <v>4.8</v>
      </c>
      <c r="O73" s="130">
        <v>24000</v>
      </c>
      <c r="P73" s="123">
        <f t="shared" si="1"/>
        <v>15</v>
      </c>
      <c r="Q73" s="131">
        <f>1/20</f>
        <v>0.05</v>
      </c>
      <c r="R73" s="132">
        <v>18</v>
      </c>
      <c r="S73" s="132">
        <f t="shared" si="0"/>
        <v>0</v>
      </c>
      <c r="T73" s="132">
        <f t="shared" si="3"/>
        <v>0</v>
      </c>
      <c r="U73" s="132"/>
      <c r="V73" s="130">
        <v>6</v>
      </c>
      <c r="W73" s="130">
        <v>51200</v>
      </c>
    </row>
    <row r="74" spans="2:23">
      <c r="B74" s="121" t="s">
        <v>859</v>
      </c>
      <c r="C74" s="121"/>
      <c r="D74" s="121"/>
      <c r="E74" s="126"/>
      <c r="F74" s="126"/>
      <c r="G74" s="127">
        <v>90000000</v>
      </c>
      <c r="H74" s="127"/>
      <c r="I74" s="127"/>
      <c r="J74" s="127"/>
      <c r="K74" s="129">
        <v>0.8</v>
      </c>
      <c r="L74" s="129">
        <v>0.25</v>
      </c>
      <c r="M74" s="122">
        <f>Assumptions_Dashboard!$D$29*K74*L74</f>
        <v>1584</v>
      </c>
      <c r="N74" s="125">
        <f>M74/Assumptions_Dashboard!$D$28</f>
        <v>4.8</v>
      </c>
      <c r="O74" s="130">
        <v>24000</v>
      </c>
      <c r="P74" s="123">
        <f t="shared" ref="P74" si="32">ROUNDDOWN(O74/M74,0)</f>
        <v>15</v>
      </c>
      <c r="Q74" s="131">
        <f>1/20</f>
        <v>0.05</v>
      </c>
      <c r="R74" s="132">
        <v>18</v>
      </c>
      <c r="S74" s="132">
        <f t="shared" ref="S74" si="33">ROUNDUP(H74*0.1,0)</f>
        <v>0</v>
      </c>
      <c r="T74" s="132">
        <f t="shared" ref="T74" si="34">MIN(R74,S74)</f>
        <v>0</v>
      </c>
      <c r="U74" s="132"/>
      <c r="V74" s="130">
        <v>6</v>
      </c>
      <c r="W74" s="130">
        <v>51200</v>
      </c>
    </row>
    <row r="75" spans="2:23">
      <c r="B75" s="121" t="s">
        <v>868</v>
      </c>
      <c r="C75" s="121"/>
      <c r="D75" s="121"/>
      <c r="E75" s="126"/>
      <c r="F75" s="126"/>
      <c r="G75" s="127">
        <v>16520000</v>
      </c>
      <c r="H75" s="127"/>
      <c r="I75" s="128"/>
      <c r="J75" s="128"/>
      <c r="K75" s="129">
        <v>0.8</v>
      </c>
      <c r="L75" s="129">
        <v>0.25</v>
      </c>
      <c r="M75" s="122">
        <f>Assumptions_Dashboard!$D$29*K75*L75</f>
        <v>1584</v>
      </c>
      <c r="N75" s="125">
        <f>M75/Assumptions_Dashboard!$D$28</f>
        <v>4.8</v>
      </c>
      <c r="O75" s="130">
        <v>24000</v>
      </c>
      <c r="P75" s="123">
        <f t="shared" si="1"/>
        <v>15</v>
      </c>
      <c r="Q75" s="131">
        <f t="shared" ref="Q75:Q82" si="35">1/20</f>
        <v>0.05</v>
      </c>
      <c r="R75" s="132">
        <v>18</v>
      </c>
      <c r="S75" s="132">
        <f t="shared" si="0"/>
        <v>0</v>
      </c>
      <c r="T75" s="132">
        <f t="shared" si="3"/>
        <v>0</v>
      </c>
      <c r="U75" s="132"/>
      <c r="V75" s="130">
        <v>6</v>
      </c>
      <c r="W75" s="130">
        <v>51200</v>
      </c>
    </row>
    <row r="76" spans="2:23">
      <c r="B76" s="121" t="s">
        <v>876</v>
      </c>
      <c r="C76" s="121"/>
      <c r="D76" s="121"/>
      <c r="E76" s="126"/>
      <c r="F76" s="126"/>
      <c r="G76" s="127">
        <v>21180715.970312409</v>
      </c>
      <c r="H76" s="127"/>
      <c r="I76" s="127"/>
      <c r="J76" s="127"/>
      <c r="K76" s="129">
        <v>0.8</v>
      </c>
      <c r="L76" s="129">
        <v>0.25</v>
      </c>
      <c r="M76" s="122">
        <f>Assumptions_Dashboard!$D$29*K76*L76</f>
        <v>1584</v>
      </c>
      <c r="N76" s="125">
        <f>M76/Assumptions_Dashboard!$D$28</f>
        <v>4.8</v>
      </c>
      <c r="O76" s="130">
        <v>24000</v>
      </c>
      <c r="P76" s="123">
        <f t="shared" si="1"/>
        <v>15</v>
      </c>
      <c r="Q76" s="131">
        <f t="shared" si="35"/>
        <v>0.05</v>
      </c>
      <c r="R76" s="132">
        <v>18</v>
      </c>
      <c r="S76" s="132">
        <f t="shared" ref="S76:S100" si="36">ROUNDUP(H76*0.1,0)</f>
        <v>0</v>
      </c>
      <c r="T76" s="132">
        <f t="shared" si="3"/>
        <v>0</v>
      </c>
      <c r="U76" s="132"/>
      <c r="V76" s="130">
        <v>6</v>
      </c>
      <c r="W76" s="130">
        <v>51200</v>
      </c>
    </row>
    <row r="77" spans="2:23">
      <c r="B77" s="121" t="s">
        <v>883</v>
      </c>
      <c r="C77" s="121"/>
      <c r="D77" s="124">
        <v>45474</v>
      </c>
      <c r="E77" s="126" t="s">
        <v>1251</v>
      </c>
      <c r="F77" s="126" t="s">
        <v>1252</v>
      </c>
      <c r="G77" s="127">
        <v>24800000</v>
      </c>
      <c r="H77" s="127">
        <v>170</v>
      </c>
      <c r="I77" s="127"/>
      <c r="J77" s="127"/>
      <c r="K77" s="129">
        <v>0.8</v>
      </c>
      <c r="L77" s="129">
        <v>0.25</v>
      </c>
      <c r="M77" s="122">
        <f>Assumptions_Dashboard!$D$29*K77*L77</f>
        <v>1584</v>
      </c>
      <c r="N77" s="125">
        <f>M77/Assumptions_Dashboard!$D$28</f>
        <v>4.8</v>
      </c>
      <c r="O77" s="130">
        <v>24000</v>
      </c>
      <c r="P77" s="123">
        <f t="shared" si="1"/>
        <v>15</v>
      </c>
      <c r="Q77" s="131">
        <f t="shared" si="35"/>
        <v>0.05</v>
      </c>
      <c r="R77" s="132">
        <v>16</v>
      </c>
      <c r="S77" s="132">
        <f t="shared" si="36"/>
        <v>17</v>
      </c>
      <c r="T77" s="132">
        <f t="shared" si="3"/>
        <v>16</v>
      </c>
      <c r="U77" s="132"/>
      <c r="V77" s="130">
        <v>6</v>
      </c>
      <c r="W77" s="130">
        <v>51200</v>
      </c>
    </row>
    <row r="78" spans="2:23">
      <c r="B78" s="121" t="s">
        <v>889</v>
      </c>
      <c r="C78" s="121"/>
      <c r="D78" s="121"/>
      <c r="E78" s="126"/>
      <c r="F78" s="126"/>
      <c r="G78" s="127">
        <v>10892521.903738666</v>
      </c>
      <c r="H78" s="127"/>
      <c r="I78" s="127"/>
      <c r="J78" s="127"/>
      <c r="K78" s="129">
        <v>0.8</v>
      </c>
      <c r="L78" s="129">
        <v>0.25</v>
      </c>
      <c r="M78" s="122">
        <f>Assumptions_Dashboard!$D$29*K78*L78</f>
        <v>1584</v>
      </c>
      <c r="N78" s="125">
        <f>M78/Assumptions_Dashboard!$D$28</f>
        <v>4.8</v>
      </c>
      <c r="O78" s="130">
        <v>24000</v>
      </c>
      <c r="P78" s="123">
        <f t="shared" si="1"/>
        <v>15</v>
      </c>
      <c r="Q78" s="131">
        <f t="shared" si="35"/>
        <v>0.05</v>
      </c>
      <c r="R78" s="132">
        <v>16</v>
      </c>
      <c r="S78" s="132">
        <f t="shared" si="36"/>
        <v>0</v>
      </c>
      <c r="T78" s="132">
        <f t="shared" si="3"/>
        <v>0</v>
      </c>
      <c r="U78" s="132"/>
      <c r="V78" s="130">
        <v>6</v>
      </c>
      <c r="W78" s="130">
        <v>51200</v>
      </c>
    </row>
    <row r="79" spans="2:23">
      <c r="B79" s="121" t="s">
        <v>893</v>
      </c>
      <c r="C79" s="121" t="s">
        <v>1253</v>
      </c>
      <c r="D79" s="124">
        <v>45597</v>
      </c>
      <c r="E79" s="126" t="s">
        <v>1254</v>
      </c>
      <c r="F79" s="126" t="s">
        <v>1255</v>
      </c>
      <c r="G79" s="127">
        <v>1863000</v>
      </c>
      <c r="H79" s="127"/>
      <c r="I79" s="127">
        <v>12</v>
      </c>
      <c r="J79" s="127"/>
      <c r="K79" s="129">
        <v>0.8</v>
      </c>
      <c r="L79" s="129">
        <v>0.25</v>
      </c>
      <c r="M79" s="122">
        <f>Assumptions_Dashboard!$D$29*K79*L79</f>
        <v>1584</v>
      </c>
      <c r="N79" s="125">
        <f>M79/Assumptions_Dashboard!$D$28</f>
        <v>4.8</v>
      </c>
      <c r="O79" s="130">
        <v>24000</v>
      </c>
      <c r="P79" s="123">
        <f t="shared" si="1"/>
        <v>15</v>
      </c>
      <c r="Q79" s="131">
        <f t="shared" si="35"/>
        <v>0.05</v>
      </c>
      <c r="R79" s="132">
        <v>50</v>
      </c>
      <c r="S79" s="132"/>
      <c r="T79" s="132"/>
      <c r="U79" s="132">
        <v>36.409999999999997</v>
      </c>
      <c r="V79" s="130">
        <v>6</v>
      </c>
      <c r="W79" s="130">
        <v>51200</v>
      </c>
    </row>
    <row r="80" spans="2:23">
      <c r="B80" s="121" t="s">
        <v>900</v>
      </c>
      <c r="C80" s="121"/>
      <c r="D80" s="121"/>
      <c r="E80" s="126" t="s">
        <v>1251</v>
      </c>
      <c r="F80" s="126" t="s">
        <v>1256</v>
      </c>
      <c r="G80" s="127">
        <v>1180000</v>
      </c>
      <c r="H80" s="127">
        <v>50</v>
      </c>
      <c r="I80" s="127"/>
      <c r="J80" s="127"/>
      <c r="K80" s="129">
        <v>0.8</v>
      </c>
      <c r="L80" s="129">
        <v>0.25</v>
      </c>
      <c r="M80" s="122">
        <f>Assumptions_Dashboard!$D$29*K80*L80</f>
        <v>1584</v>
      </c>
      <c r="N80" s="125">
        <f>M80/Assumptions_Dashboard!$D$28</f>
        <v>4.8</v>
      </c>
      <c r="O80" s="130">
        <v>24000</v>
      </c>
      <c r="P80" s="123">
        <f t="shared" si="1"/>
        <v>15</v>
      </c>
      <c r="Q80" s="131">
        <f t="shared" si="35"/>
        <v>0.05</v>
      </c>
      <c r="R80" s="132">
        <v>8</v>
      </c>
      <c r="S80" s="132">
        <f t="shared" si="36"/>
        <v>5</v>
      </c>
      <c r="T80" s="132">
        <f t="shared" si="3"/>
        <v>5</v>
      </c>
      <c r="U80" s="132"/>
      <c r="V80" s="130">
        <v>6</v>
      </c>
      <c r="W80" s="130">
        <v>38400</v>
      </c>
    </row>
    <row r="81" spans="2:23">
      <c r="B81" s="121" t="s">
        <v>913</v>
      </c>
      <c r="C81" s="121"/>
      <c r="D81" s="121"/>
      <c r="E81" s="126" t="s">
        <v>1219</v>
      </c>
      <c r="F81" s="126" t="s">
        <v>1257</v>
      </c>
      <c r="G81" s="127">
        <v>18500000</v>
      </c>
      <c r="H81" s="127">
        <v>385</v>
      </c>
      <c r="I81" s="127"/>
      <c r="J81" s="127"/>
      <c r="K81" s="129">
        <v>0.8</v>
      </c>
      <c r="L81" s="129">
        <v>0.5</v>
      </c>
      <c r="M81" s="122">
        <f>Assumptions_Dashboard!$D$29*K81*L81</f>
        <v>3168</v>
      </c>
      <c r="N81" s="125">
        <f>M81/Assumptions_Dashboard!$D$28</f>
        <v>9.6</v>
      </c>
      <c r="O81" s="130">
        <v>30000</v>
      </c>
      <c r="P81" s="123">
        <f t="shared" ref="P81" si="37">ROUNDDOWN(O81/M81,0)</f>
        <v>9</v>
      </c>
      <c r="Q81" s="131">
        <f t="shared" ref="Q81" si="38">1/8</f>
        <v>0.125</v>
      </c>
      <c r="R81" s="132">
        <v>22</v>
      </c>
      <c r="S81" s="132">
        <f t="shared" si="36"/>
        <v>39</v>
      </c>
      <c r="T81" s="132">
        <f t="shared" ref="T81" si="39">MIN(R81,S81)</f>
        <v>22</v>
      </c>
      <c r="U81" s="132"/>
      <c r="V81" s="130">
        <v>6</v>
      </c>
      <c r="W81" s="130">
        <v>230400</v>
      </c>
    </row>
    <row r="82" spans="2:23">
      <c r="B82" s="121" t="s">
        <v>916</v>
      </c>
      <c r="C82" s="121"/>
      <c r="D82" s="121"/>
      <c r="E82" s="126"/>
      <c r="F82" s="126"/>
      <c r="G82" s="127">
        <v>3068000</v>
      </c>
      <c r="H82" s="127">
        <v>250</v>
      </c>
      <c r="I82" s="127"/>
      <c r="J82" s="127"/>
      <c r="K82" s="129">
        <v>0.8</v>
      </c>
      <c r="L82" s="129">
        <v>0.3</v>
      </c>
      <c r="M82" s="122">
        <f>Assumptions_Dashboard!$D$29*K82*L82</f>
        <v>1900.8</v>
      </c>
      <c r="N82" s="125">
        <f>M82/Assumptions_Dashboard!$D$28</f>
        <v>5.76</v>
      </c>
      <c r="O82" s="130">
        <v>24000</v>
      </c>
      <c r="P82" s="123">
        <f t="shared" si="1"/>
        <v>12</v>
      </c>
      <c r="Q82" s="131">
        <f t="shared" si="35"/>
        <v>0.05</v>
      </c>
      <c r="R82" s="132">
        <v>10</v>
      </c>
      <c r="S82" s="132">
        <f t="shared" si="36"/>
        <v>25</v>
      </c>
      <c r="T82" s="132">
        <f t="shared" si="3"/>
        <v>10</v>
      </c>
      <c r="U82" s="132"/>
      <c r="V82" s="130">
        <v>6</v>
      </c>
      <c r="W82" s="130">
        <v>25600</v>
      </c>
    </row>
    <row r="83" spans="2:23">
      <c r="B83" s="121" t="s">
        <v>919</v>
      </c>
      <c r="C83" s="121"/>
      <c r="D83" s="121"/>
      <c r="E83" s="126"/>
      <c r="F83" s="126"/>
      <c r="G83" s="127">
        <v>2500000</v>
      </c>
      <c r="H83" s="127">
        <v>80</v>
      </c>
      <c r="I83" s="127"/>
      <c r="J83" s="127"/>
      <c r="K83" s="129">
        <v>0.8</v>
      </c>
      <c r="L83" s="129">
        <v>0.3</v>
      </c>
      <c r="M83" s="122">
        <f>Assumptions_Dashboard!$D$29*K83*L83</f>
        <v>1900.8</v>
      </c>
      <c r="N83" s="125">
        <f>M83/Assumptions_Dashboard!$D$28</f>
        <v>5.76</v>
      </c>
      <c r="O83" s="130">
        <v>24000</v>
      </c>
      <c r="P83" s="123">
        <f t="shared" si="1"/>
        <v>12</v>
      </c>
      <c r="Q83" s="131">
        <f>1/8</f>
        <v>0.125</v>
      </c>
      <c r="R83" s="132">
        <v>7.5</v>
      </c>
      <c r="S83" s="132">
        <f t="shared" si="36"/>
        <v>8</v>
      </c>
      <c r="T83" s="132">
        <f t="shared" si="3"/>
        <v>7.5</v>
      </c>
      <c r="U83" s="132"/>
      <c r="V83" s="130">
        <v>6</v>
      </c>
      <c r="W83" s="130">
        <v>19200</v>
      </c>
    </row>
    <row r="84" spans="2:23">
      <c r="B84" s="121" t="s">
        <v>922</v>
      </c>
      <c r="C84" s="121"/>
      <c r="D84" s="121"/>
      <c r="E84" s="126"/>
      <c r="F84" s="126"/>
      <c r="G84" s="127">
        <v>1500000</v>
      </c>
      <c r="H84" s="127">
        <v>80</v>
      </c>
      <c r="I84" s="127"/>
      <c r="J84" s="127"/>
      <c r="K84" s="129">
        <v>0.8</v>
      </c>
      <c r="L84" s="129">
        <v>0.3</v>
      </c>
      <c r="M84" s="122">
        <f>Assumptions_Dashboard!$D$29*K84*L84</f>
        <v>1900.8</v>
      </c>
      <c r="N84" s="125">
        <f>M84/Assumptions_Dashboard!$D$28</f>
        <v>5.76</v>
      </c>
      <c r="O84" s="130">
        <v>24000</v>
      </c>
      <c r="P84" s="123">
        <f t="shared" si="1"/>
        <v>12</v>
      </c>
      <c r="Q84" s="131">
        <f>1/8</f>
        <v>0.125</v>
      </c>
      <c r="R84" s="132">
        <v>7.5</v>
      </c>
      <c r="S84" s="132">
        <f t="shared" si="36"/>
        <v>8</v>
      </c>
      <c r="T84" s="132">
        <f t="shared" si="3"/>
        <v>7.5</v>
      </c>
      <c r="U84" s="132"/>
      <c r="V84" s="130">
        <v>8</v>
      </c>
      <c r="W84" s="130">
        <v>19200</v>
      </c>
    </row>
    <row r="85" spans="2:23">
      <c r="B85" s="121" t="s">
        <v>924</v>
      </c>
      <c r="C85" s="121"/>
      <c r="D85" s="121"/>
      <c r="E85" s="126" t="s">
        <v>1198</v>
      </c>
      <c r="F85" s="126" t="s">
        <v>1258</v>
      </c>
      <c r="G85" s="127">
        <v>5100288</v>
      </c>
      <c r="H85" s="127">
        <v>147</v>
      </c>
      <c r="I85" s="127"/>
      <c r="J85" s="127"/>
      <c r="K85" s="129">
        <v>0.8</v>
      </c>
      <c r="L85" s="129">
        <v>0.4</v>
      </c>
      <c r="M85" s="122">
        <f>Assumptions_Dashboard!$D$29*K85*L85</f>
        <v>2534.4</v>
      </c>
      <c r="N85" s="125">
        <f>M85/Assumptions_Dashboard!$D$28</f>
        <v>7.6800000000000006</v>
      </c>
      <c r="O85" s="130">
        <v>30000</v>
      </c>
      <c r="P85" s="123">
        <f t="shared" si="1"/>
        <v>11</v>
      </c>
      <c r="Q85" s="131">
        <f>1/8</f>
        <v>0.125</v>
      </c>
      <c r="R85" s="132">
        <v>15</v>
      </c>
      <c r="S85" s="132">
        <f t="shared" si="36"/>
        <v>15</v>
      </c>
      <c r="T85" s="132">
        <f t="shared" si="3"/>
        <v>15</v>
      </c>
      <c r="U85" s="132"/>
      <c r="V85" s="130">
        <v>0</v>
      </c>
      <c r="W85" s="130">
        <v>0</v>
      </c>
    </row>
    <row r="86" spans="2:23">
      <c r="B86" s="121" t="s">
        <v>926</v>
      </c>
      <c r="C86" s="121" t="s">
        <v>1203</v>
      </c>
      <c r="D86" s="124">
        <v>45261</v>
      </c>
      <c r="E86" s="126" t="s">
        <v>1259</v>
      </c>
      <c r="F86" s="126" t="s">
        <v>1260</v>
      </c>
      <c r="G86" s="127">
        <v>11873000</v>
      </c>
      <c r="H86" s="127"/>
      <c r="I86" s="127"/>
      <c r="J86" s="127"/>
      <c r="K86" s="129">
        <v>0.8</v>
      </c>
      <c r="L86" s="129">
        <v>0.4</v>
      </c>
      <c r="M86" s="122">
        <f>Assumptions_Dashboard!$D$29*K86*L86</f>
        <v>2534.4</v>
      </c>
      <c r="N86" s="125">
        <f>M86/Assumptions_Dashboard!$D$28</f>
        <v>7.6800000000000006</v>
      </c>
      <c r="O86" s="130">
        <v>30000</v>
      </c>
      <c r="P86" s="123">
        <f t="shared" ref="P86" si="40">ROUNDDOWN(O86/M86,0)</f>
        <v>11</v>
      </c>
      <c r="Q86" s="131">
        <f>1/8</f>
        <v>0.125</v>
      </c>
      <c r="R86" s="132">
        <v>15</v>
      </c>
      <c r="S86" s="132">
        <f t="shared" ref="S86" si="41">ROUNDUP(H86*0.1,0)</f>
        <v>0</v>
      </c>
      <c r="T86" s="132">
        <f t="shared" ref="T86" si="42">MIN(R86,S86)</f>
        <v>0</v>
      </c>
      <c r="U86" s="132">
        <v>140</v>
      </c>
      <c r="V86" s="130"/>
      <c r="W86" s="130"/>
    </row>
    <row r="87" spans="2:23">
      <c r="B87" s="121" t="s">
        <v>928</v>
      </c>
      <c r="C87" s="121"/>
      <c r="D87" s="121"/>
      <c r="E87" s="126"/>
      <c r="F87" s="126"/>
      <c r="G87" s="127">
        <v>1500000</v>
      </c>
      <c r="H87" s="127">
        <v>75</v>
      </c>
      <c r="I87" s="127"/>
      <c r="J87" s="127"/>
      <c r="K87" s="129">
        <v>0.8</v>
      </c>
      <c r="L87" s="129">
        <v>0.3</v>
      </c>
      <c r="M87" s="122">
        <f>Assumptions_Dashboard!$D$29*K87*L87</f>
        <v>1900.8</v>
      </c>
      <c r="N87" s="125">
        <f>M87/Assumptions_Dashboard!$D$28</f>
        <v>5.76</v>
      </c>
      <c r="O87" s="130">
        <v>30000</v>
      </c>
      <c r="P87" s="123">
        <f t="shared" si="1"/>
        <v>15</v>
      </c>
      <c r="Q87" s="131">
        <f>1/10</f>
        <v>0.1</v>
      </c>
      <c r="R87" s="132">
        <v>7</v>
      </c>
      <c r="S87" s="132">
        <f t="shared" si="36"/>
        <v>8</v>
      </c>
      <c r="T87" s="132">
        <f t="shared" si="3"/>
        <v>7</v>
      </c>
      <c r="U87" s="132"/>
      <c r="V87" s="130">
        <v>6</v>
      </c>
      <c r="W87" s="130">
        <v>25600</v>
      </c>
    </row>
    <row r="88" spans="2:23">
      <c r="B88" s="121" t="s">
        <v>930</v>
      </c>
      <c r="C88" s="121"/>
      <c r="D88" s="121"/>
      <c r="E88" s="126"/>
      <c r="F88" s="126"/>
      <c r="G88" s="127">
        <v>1500000</v>
      </c>
      <c r="H88" s="127">
        <v>75</v>
      </c>
      <c r="I88" s="127"/>
      <c r="J88" s="127"/>
      <c r="K88" s="129">
        <v>0.8</v>
      </c>
      <c r="L88" s="129">
        <v>0.3</v>
      </c>
      <c r="M88" s="122">
        <f>Assumptions_Dashboard!$D$29*K88*L88</f>
        <v>1900.8</v>
      </c>
      <c r="N88" s="125">
        <f>M88/Assumptions_Dashboard!$D$28</f>
        <v>5.76</v>
      </c>
      <c r="O88" s="130">
        <v>30000</v>
      </c>
      <c r="P88" s="123">
        <f t="shared" si="1"/>
        <v>15</v>
      </c>
      <c r="Q88" s="131">
        <f t="shared" ref="Q88:Q93" si="43">1/10</f>
        <v>0.1</v>
      </c>
      <c r="R88" s="132">
        <v>7</v>
      </c>
      <c r="S88" s="132">
        <f t="shared" si="36"/>
        <v>8</v>
      </c>
      <c r="T88" s="132">
        <f t="shared" si="3"/>
        <v>7</v>
      </c>
      <c r="U88" s="132"/>
      <c r="V88" s="130">
        <v>6</v>
      </c>
      <c r="W88" s="130">
        <v>25600</v>
      </c>
    </row>
    <row r="89" spans="2:23">
      <c r="B89" s="121" t="s">
        <v>933</v>
      </c>
      <c r="C89" s="121"/>
      <c r="D89" s="121"/>
      <c r="E89" s="126"/>
      <c r="F89" s="126"/>
      <c r="G89" s="127">
        <v>2000000</v>
      </c>
      <c r="H89" s="127">
        <v>125</v>
      </c>
      <c r="I89" s="127"/>
      <c r="J89" s="127"/>
      <c r="K89" s="129">
        <v>0.8</v>
      </c>
      <c r="L89" s="129">
        <v>0.3</v>
      </c>
      <c r="M89" s="122">
        <f>Assumptions_Dashboard!$D$29*K89*L89</f>
        <v>1900.8</v>
      </c>
      <c r="N89" s="125">
        <f>M89/Assumptions_Dashboard!$D$28</f>
        <v>5.76</v>
      </c>
      <c r="O89" s="130">
        <v>30000</v>
      </c>
      <c r="P89" s="123">
        <f t="shared" si="1"/>
        <v>15</v>
      </c>
      <c r="Q89" s="131">
        <f t="shared" si="43"/>
        <v>0.1</v>
      </c>
      <c r="R89" s="132">
        <v>11</v>
      </c>
      <c r="S89" s="132">
        <f t="shared" si="36"/>
        <v>13</v>
      </c>
      <c r="T89" s="132">
        <f t="shared" si="3"/>
        <v>11</v>
      </c>
      <c r="U89" s="132"/>
      <c r="V89" s="130">
        <v>6</v>
      </c>
      <c r="W89" s="130">
        <v>25600</v>
      </c>
    </row>
    <row r="90" spans="2:23">
      <c r="B90" s="121" t="s">
        <v>934</v>
      </c>
      <c r="C90" s="121"/>
      <c r="D90" s="121"/>
      <c r="E90" s="126" t="s">
        <v>1261</v>
      </c>
      <c r="F90" s="126" t="s">
        <v>1262</v>
      </c>
      <c r="G90" s="127">
        <v>1300000</v>
      </c>
      <c r="H90" s="127">
        <v>80</v>
      </c>
      <c r="I90" s="127"/>
      <c r="J90" s="127"/>
      <c r="K90" s="129">
        <v>0.8</v>
      </c>
      <c r="L90" s="129">
        <v>0.55000000000000004</v>
      </c>
      <c r="M90" s="122">
        <f>Assumptions_Dashboard!$D$29*K90*L90</f>
        <v>3484.8</v>
      </c>
      <c r="N90" s="125">
        <f>M90/Assumptions_Dashboard!$D$28</f>
        <v>10.56</v>
      </c>
      <c r="O90" s="130">
        <v>30000</v>
      </c>
      <c r="P90" s="123">
        <f t="shared" si="1"/>
        <v>8</v>
      </c>
      <c r="Q90" s="131">
        <f t="shared" si="43"/>
        <v>0.1</v>
      </c>
      <c r="R90" s="132">
        <v>7.5</v>
      </c>
      <c r="S90" s="132">
        <f t="shared" si="36"/>
        <v>8</v>
      </c>
      <c r="T90" s="132">
        <f t="shared" si="3"/>
        <v>7.5</v>
      </c>
      <c r="U90" s="132"/>
      <c r="V90" s="130">
        <v>4</v>
      </c>
      <c r="W90" s="130">
        <v>19200</v>
      </c>
    </row>
    <row r="91" spans="2:23">
      <c r="B91" s="121" t="s">
        <v>936</v>
      </c>
      <c r="C91" s="121"/>
      <c r="D91" s="124">
        <v>45261</v>
      </c>
      <c r="E91" s="126" t="s">
        <v>1263</v>
      </c>
      <c r="F91" s="126" t="s">
        <v>1264</v>
      </c>
      <c r="G91" s="127">
        <v>69797000</v>
      </c>
      <c r="H91" s="127">
        <v>211</v>
      </c>
      <c r="I91" s="127" t="s">
        <v>1265</v>
      </c>
      <c r="J91" s="127"/>
      <c r="K91" s="129">
        <v>0.8</v>
      </c>
      <c r="L91" s="129">
        <v>0.25</v>
      </c>
      <c r="M91" s="122">
        <f>Assumptions_Dashboard!$D$29*K91*L91</f>
        <v>1584</v>
      </c>
      <c r="N91" s="125">
        <f>M91/Assumptions_Dashboard!$D$28</f>
        <v>4.8</v>
      </c>
      <c r="O91" s="130">
        <v>25000</v>
      </c>
      <c r="P91" s="123">
        <f t="shared" si="1"/>
        <v>15</v>
      </c>
      <c r="Q91" s="131">
        <f t="shared" si="43"/>
        <v>0.1</v>
      </c>
      <c r="R91" s="132">
        <v>15</v>
      </c>
      <c r="S91" s="132">
        <f t="shared" si="36"/>
        <v>22</v>
      </c>
      <c r="T91" s="132">
        <f t="shared" si="3"/>
        <v>15</v>
      </c>
      <c r="U91" s="132">
        <v>155</v>
      </c>
      <c r="V91" s="130">
        <v>4</v>
      </c>
      <c r="W91" s="130">
        <v>38400</v>
      </c>
    </row>
    <row r="92" spans="2:23">
      <c r="B92" s="121" t="s">
        <v>938</v>
      </c>
      <c r="C92" s="121"/>
      <c r="D92" s="124">
        <v>44896</v>
      </c>
      <c r="E92" s="126" t="s">
        <v>1219</v>
      </c>
      <c r="F92" s="126" t="s">
        <v>1266</v>
      </c>
      <c r="G92" s="127">
        <v>16756000</v>
      </c>
      <c r="H92" s="127">
        <v>126</v>
      </c>
      <c r="I92" s="127" t="s">
        <v>1267</v>
      </c>
      <c r="J92" s="127"/>
      <c r="K92" s="129">
        <v>0.8</v>
      </c>
      <c r="L92" s="129">
        <v>0.25</v>
      </c>
      <c r="M92" s="122">
        <f>Assumptions_Dashboard!$D$29*K92*L92</f>
        <v>1584</v>
      </c>
      <c r="N92" s="125">
        <f>M92/Assumptions_Dashboard!$D$28</f>
        <v>4.8</v>
      </c>
      <c r="O92" s="130">
        <v>25000</v>
      </c>
      <c r="P92" s="123">
        <f t="shared" ref="P92" si="44">ROUNDDOWN(O92/M92,0)</f>
        <v>15</v>
      </c>
      <c r="Q92" s="131">
        <f t="shared" si="43"/>
        <v>0.1</v>
      </c>
      <c r="R92" s="132">
        <v>15</v>
      </c>
      <c r="S92" s="132">
        <f t="shared" ref="S92" si="45">ROUNDUP(H92*0.1,0)</f>
        <v>13</v>
      </c>
      <c r="T92" s="132">
        <f t="shared" ref="T92" si="46">MIN(R92,S92)</f>
        <v>13</v>
      </c>
      <c r="U92" s="132">
        <v>94</v>
      </c>
      <c r="V92" s="130">
        <v>4</v>
      </c>
      <c r="W92" s="130">
        <v>38400</v>
      </c>
    </row>
    <row r="93" spans="2:23">
      <c r="B93" s="121" t="s">
        <v>940</v>
      </c>
      <c r="C93" s="121"/>
      <c r="D93" s="121"/>
      <c r="E93" s="126"/>
      <c r="F93" s="126"/>
      <c r="G93" s="127">
        <v>1200000</v>
      </c>
      <c r="H93" s="127">
        <v>125</v>
      </c>
      <c r="I93" s="127"/>
      <c r="J93" s="127"/>
      <c r="K93" s="129">
        <v>0.8</v>
      </c>
      <c r="L93" s="129">
        <v>0.25</v>
      </c>
      <c r="M93" s="122">
        <f>Assumptions_Dashboard!$D$29*K93*L93</f>
        <v>1584</v>
      </c>
      <c r="N93" s="125">
        <f>M93/Assumptions_Dashboard!$D$28</f>
        <v>4.8</v>
      </c>
      <c r="O93" s="130">
        <v>25000</v>
      </c>
      <c r="P93" s="123">
        <f t="shared" si="1"/>
        <v>15</v>
      </c>
      <c r="Q93" s="131">
        <f t="shared" si="43"/>
        <v>0.1</v>
      </c>
      <c r="R93" s="132">
        <v>13</v>
      </c>
      <c r="S93" s="132">
        <f t="shared" si="36"/>
        <v>13</v>
      </c>
      <c r="T93" s="132">
        <f t="shared" si="3"/>
        <v>13</v>
      </c>
      <c r="U93" s="132"/>
      <c r="V93" s="130">
        <v>4</v>
      </c>
      <c r="W93" s="130">
        <v>19200</v>
      </c>
    </row>
    <row r="94" spans="2:23">
      <c r="B94" s="121" t="s">
        <v>941</v>
      </c>
      <c r="C94" s="121"/>
      <c r="D94" s="121"/>
      <c r="E94" s="126"/>
      <c r="F94" s="126"/>
      <c r="G94" s="127">
        <v>3000000</v>
      </c>
      <c r="H94" s="127">
        <v>80</v>
      </c>
      <c r="I94" s="127"/>
      <c r="J94" s="127"/>
      <c r="K94" s="129">
        <v>0.8</v>
      </c>
      <c r="L94" s="129">
        <v>0.25</v>
      </c>
      <c r="M94" s="122">
        <f>Assumptions_Dashboard!$D$29*K94*L94</f>
        <v>1584</v>
      </c>
      <c r="N94" s="125">
        <f>M94/Assumptions_Dashboard!$D$28</f>
        <v>4.8</v>
      </c>
      <c r="O94" s="130">
        <v>25000</v>
      </c>
      <c r="P94" s="123">
        <f t="shared" si="1"/>
        <v>15</v>
      </c>
      <c r="Q94" s="131">
        <v>0.05</v>
      </c>
      <c r="R94" s="132">
        <v>7.5</v>
      </c>
      <c r="S94" s="132">
        <f t="shared" si="36"/>
        <v>8</v>
      </c>
      <c r="T94" s="132">
        <f t="shared" ref="T94:T100" si="47">MIN(R94,S94)</f>
        <v>7.5</v>
      </c>
      <c r="U94" s="132"/>
      <c r="V94" s="130">
        <v>6</v>
      </c>
      <c r="W94" s="130">
        <v>19200</v>
      </c>
    </row>
    <row r="95" spans="2:23">
      <c r="B95" s="121" t="s">
        <v>943</v>
      </c>
      <c r="C95" s="121"/>
      <c r="D95" s="121"/>
      <c r="E95" s="126"/>
      <c r="F95" s="126"/>
      <c r="G95" s="127">
        <v>1500000</v>
      </c>
      <c r="H95" s="127">
        <v>50</v>
      </c>
      <c r="I95" s="127"/>
      <c r="J95" s="127"/>
      <c r="K95" s="129">
        <v>0.8</v>
      </c>
      <c r="L95" s="129">
        <v>0.3</v>
      </c>
      <c r="M95" s="122">
        <f>Assumptions_Dashboard!$D$29*K95*L95</f>
        <v>1900.8</v>
      </c>
      <c r="N95" s="125">
        <f>M95/Assumptions_Dashboard!$D$28</f>
        <v>5.76</v>
      </c>
      <c r="O95" s="130">
        <v>20000</v>
      </c>
      <c r="P95" s="123">
        <f t="shared" si="1"/>
        <v>10</v>
      </c>
      <c r="Q95" s="131">
        <v>0.05</v>
      </c>
      <c r="R95" s="132">
        <v>5</v>
      </c>
      <c r="S95" s="132">
        <f t="shared" si="36"/>
        <v>5</v>
      </c>
      <c r="T95" s="132">
        <f t="shared" si="47"/>
        <v>5</v>
      </c>
      <c r="U95" s="132"/>
      <c r="V95" s="130">
        <v>4</v>
      </c>
      <c r="W95" s="130">
        <v>12800</v>
      </c>
    </row>
    <row r="96" spans="2:23">
      <c r="B96" s="121" t="s">
        <v>945</v>
      </c>
      <c r="C96" s="121"/>
      <c r="D96" s="121"/>
      <c r="E96" s="126"/>
      <c r="F96" s="126"/>
      <c r="G96" s="127">
        <v>2000000</v>
      </c>
      <c r="H96" s="127">
        <v>80</v>
      </c>
      <c r="I96" s="127"/>
      <c r="J96" s="127"/>
      <c r="K96" s="129">
        <v>0.8</v>
      </c>
      <c r="L96" s="129">
        <v>0.7</v>
      </c>
      <c r="M96" s="122">
        <f>Assumptions_Dashboard!$D$29*K96*L96</f>
        <v>4435.2</v>
      </c>
      <c r="N96" s="125">
        <f>M96/Assumptions_Dashboard!$D$28</f>
        <v>13.44</v>
      </c>
      <c r="O96" s="130">
        <v>25000</v>
      </c>
      <c r="P96" s="123">
        <f t="shared" si="1"/>
        <v>5</v>
      </c>
      <c r="Q96" s="131">
        <f>1/P96</f>
        <v>0.2</v>
      </c>
      <c r="R96" s="132">
        <v>7.5</v>
      </c>
      <c r="S96" s="132">
        <f t="shared" si="36"/>
        <v>8</v>
      </c>
      <c r="T96" s="132">
        <f t="shared" si="47"/>
        <v>7.5</v>
      </c>
      <c r="U96" s="132"/>
      <c r="V96" s="130">
        <v>6</v>
      </c>
      <c r="W96" s="130">
        <v>25600</v>
      </c>
    </row>
    <row r="97" spans="2:23">
      <c r="B97" s="121" t="s">
        <v>946</v>
      </c>
      <c r="C97" s="121"/>
      <c r="D97" s="121"/>
      <c r="E97" s="126"/>
      <c r="F97" s="126"/>
      <c r="G97" s="127">
        <v>2000000</v>
      </c>
      <c r="H97" s="127">
        <v>80</v>
      </c>
      <c r="I97" s="127"/>
      <c r="J97" s="127"/>
      <c r="K97" s="129">
        <v>0.8</v>
      </c>
      <c r="L97" s="129">
        <v>0.7</v>
      </c>
      <c r="M97" s="122">
        <f>Assumptions_Dashboard!$D$29*K97*L97</f>
        <v>4435.2</v>
      </c>
      <c r="N97" s="125">
        <f>M97/Assumptions_Dashboard!$D$28</f>
        <v>13.44</v>
      </c>
      <c r="O97" s="130">
        <v>25000</v>
      </c>
      <c r="P97" s="123">
        <f t="shared" si="1"/>
        <v>5</v>
      </c>
      <c r="Q97" s="131">
        <f>1/P97</f>
        <v>0.2</v>
      </c>
      <c r="R97" s="132">
        <v>7.5</v>
      </c>
      <c r="S97" s="132">
        <f t="shared" si="36"/>
        <v>8</v>
      </c>
      <c r="T97" s="132">
        <f t="shared" si="47"/>
        <v>7.5</v>
      </c>
      <c r="U97" s="132"/>
      <c r="V97" s="130">
        <v>6</v>
      </c>
      <c r="W97" s="130">
        <v>25600</v>
      </c>
    </row>
    <row r="98" spans="2:23">
      <c r="B98" s="121" t="s">
        <v>947</v>
      </c>
      <c r="C98" s="121"/>
      <c r="D98" s="121"/>
      <c r="E98" s="126"/>
      <c r="F98" s="126"/>
      <c r="G98" s="127">
        <v>1000000</v>
      </c>
      <c r="H98" s="127">
        <v>50</v>
      </c>
      <c r="I98" s="127"/>
      <c r="J98" s="127"/>
      <c r="K98" s="129">
        <v>0.8</v>
      </c>
      <c r="L98" s="129">
        <v>0.8</v>
      </c>
      <c r="M98" s="122">
        <f>Assumptions_Dashboard!$D$29*K98*L98</f>
        <v>5068.8</v>
      </c>
      <c r="N98" s="125">
        <f>M98/Assumptions_Dashboard!$D$28</f>
        <v>15.360000000000001</v>
      </c>
      <c r="O98" s="130">
        <v>30000</v>
      </c>
      <c r="P98" s="123">
        <f t="shared" si="1"/>
        <v>5</v>
      </c>
      <c r="Q98" s="131">
        <f>1/P98</f>
        <v>0.2</v>
      </c>
      <c r="R98" s="132">
        <v>5</v>
      </c>
      <c r="S98" s="132">
        <f t="shared" si="36"/>
        <v>5</v>
      </c>
      <c r="T98" s="132">
        <f t="shared" si="47"/>
        <v>5</v>
      </c>
      <c r="U98" s="132"/>
      <c r="V98" s="130">
        <v>4</v>
      </c>
      <c r="W98" s="130">
        <v>12800</v>
      </c>
    </row>
    <row r="99" spans="2:23">
      <c r="B99" s="121" t="s">
        <v>949</v>
      </c>
      <c r="C99" s="121"/>
      <c r="D99" s="121"/>
      <c r="E99" s="126"/>
      <c r="F99" s="126"/>
      <c r="G99" s="127">
        <v>1000000</v>
      </c>
      <c r="H99" s="127">
        <v>50</v>
      </c>
      <c r="I99" s="127"/>
      <c r="J99" s="127"/>
      <c r="K99" s="129">
        <v>0.8</v>
      </c>
      <c r="L99" s="129">
        <v>0.8</v>
      </c>
      <c r="M99" s="122">
        <f>Assumptions_Dashboard!$D$29*K99*L99</f>
        <v>5068.8</v>
      </c>
      <c r="N99" s="125">
        <f>M99/Assumptions_Dashboard!$D$28</f>
        <v>15.360000000000001</v>
      </c>
      <c r="O99" s="130">
        <v>30000</v>
      </c>
      <c r="P99" s="123">
        <f t="shared" si="1"/>
        <v>5</v>
      </c>
      <c r="Q99" s="131">
        <f>1/P99</f>
        <v>0.2</v>
      </c>
      <c r="R99" s="132">
        <v>5</v>
      </c>
      <c r="S99" s="132">
        <f t="shared" si="36"/>
        <v>5</v>
      </c>
      <c r="T99" s="132">
        <f t="shared" si="47"/>
        <v>5</v>
      </c>
      <c r="U99" s="132"/>
      <c r="V99" s="130">
        <v>4</v>
      </c>
      <c r="W99" s="130">
        <v>12800</v>
      </c>
    </row>
    <row r="100" spans="2:23">
      <c r="B100" s="121" t="s">
        <v>1268</v>
      </c>
      <c r="C100" s="121"/>
      <c r="D100" s="121"/>
      <c r="E100" s="126"/>
      <c r="F100" s="126"/>
      <c r="G100" s="127">
        <v>1080000</v>
      </c>
      <c r="H100" s="127"/>
      <c r="I100" s="127"/>
      <c r="J100" s="127"/>
      <c r="K100" s="129">
        <v>0.8</v>
      </c>
      <c r="L100" s="129">
        <v>0.8</v>
      </c>
      <c r="M100" s="122">
        <f>Assumptions_Dashboard!$D$29*K100*L100</f>
        <v>5068.8</v>
      </c>
      <c r="N100" s="125">
        <f>M100/Assumptions_Dashboard!$D$28</f>
        <v>15.360000000000001</v>
      </c>
      <c r="O100" s="130">
        <v>30000</v>
      </c>
      <c r="P100" s="123">
        <f t="shared" si="1"/>
        <v>5</v>
      </c>
      <c r="Q100" s="131">
        <v>0.08</v>
      </c>
      <c r="R100" s="132">
        <f>ROUNDUP(H100*0.1,-1)</f>
        <v>0</v>
      </c>
      <c r="S100" s="132">
        <f t="shared" si="36"/>
        <v>0</v>
      </c>
      <c r="T100" s="132">
        <f t="shared" si="47"/>
        <v>0</v>
      </c>
      <c r="U100" s="132"/>
      <c r="V100" s="130"/>
      <c r="W100" s="130">
        <v>0</v>
      </c>
    </row>
  </sheetData>
  <sheetProtection formatCells="0" formatColumns="0" formatRows="0" insertColumns="0" insertRows="0" insertHyperlinks="0" deleteColumns="0" deleteRows="0" sort="0" autoFilter="0" pivotTables="0"/>
  <mergeCells count="6">
    <mergeCell ref="G41:G43"/>
    <mergeCell ref="R2:T2"/>
    <mergeCell ref="M3:N3"/>
    <mergeCell ref="O3:P3"/>
    <mergeCell ref="V3:W3"/>
    <mergeCell ref="G38:G4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EE1B-3243-4529-8BF5-CD43E2609B56}">
  <sheetPr codeName="Sheet25">
    <tabColor rgb="FF0070C0"/>
  </sheetPr>
  <dimension ref="A2:AQ49"/>
  <sheetViews>
    <sheetView showGridLines="0" workbookViewId="0"/>
  </sheetViews>
  <sheetFormatPr baseColWidth="10" defaultColWidth="8.83203125" defaultRowHeight="13"/>
  <cols>
    <col min="1" max="1" width="11.1640625" bestFit="1" customWidth="1"/>
    <col min="2" max="2" width="45.5" bestFit="1" customWidth="1"/>
    <col min="3" max="3" width="8.5" bestFit="1" customWidth="1"/>
    <col min="4" max="5" width="12.1640625" customWidth="1"/>
    <col min="6" max="6" width="9.6640625" customWidth="1"/>
    <col min="11" max="37" width="10.33203125" bestFit="1" customWidth="1"/>
    <col min="38" max="38" width="8.6640625" bestFit="1" customWidth="1"/>
  </cols>
  <sheetData>
    <row r="2" spans="1:6">
      <c r="A2" s="117" t="s">
        <v>241</v>
      </c>
      <c r="B2" s="121"/>
      <c r="C2" s="121"/>
      <c r="D2" s="121"/>
    </row>
    <row r="3" spans="1:6">
      <c r="A3" s="121"/>
      <c r="B3" s="121"/>
      <c r="C3" s="121"/>
      <c r="D3" s="121"/>
    </row>
    <row r="4" spans="1:6" ht="42">
      <c r="B4" s="1390" t="s">
        <v>1269</v>
      </c>
      <c r="C4" s="1391" t="s">
        <v>88</v>
      </c>
      <c r="D4" s="1392" t="str">
        <f>Productivity!D16</f>
        <v>Waste Thick Parting (Ob/IB)</v>
      </c>
      <c r="E4" s="1392" t="str">
        <f>Productivity!E16</f>
        <v>Coal/Ore</v>
      </c>
      <c r="F4" s="1392" t="str">
        <f>Productivity!F16</f>
        <v xml:space="preserve">Waste IB (Thin Parting) </v>
      </c>
    </row>
    <row r="5" spans="1:6">
      <c r="B5" s="1393" t="s">
        <v>834</v>
      </c>
      <c r="C5" s="1328"/>
      <c r="D5" s="1394"/>
      <c r="E5" s="1395"/>
      <c r="F5" s="1395"/>
    </row>
    <row r="6" spans="1:6">
      <c r="B6" s="1331" t="s">
        <v>1270</v>
      </c>
      <c r="C6" s="1332" t="str">
        <f>Productivity!C18</f>
        <v>mm</v>
      </c>
      <c r="D6" s="1396">
        <f>Productivity!D18</f>
        <v>250</v>
      </c>
      <c r="E6" s="1396">
        <f>Productivity!E18</f>
        <v>115</v>
      </c>
      <c r="F6" s="1396">
        <f>Productivity!F18</f>
        <v>160</v>
      </c>
    </row>
    <row r="7" spans="1:6">
      <c r="B7" s="1331" t="s">
        <v>1271</v>
      </c>
      <c r="C7" s="1332" t="str">
        <f>Productivity!C17</f>
        <v>m</v>
      </c>
      <c r="D7" s="1397">
        <f>Productivity!$D17*(1+Productivity!D21)</f>
        <v>11</v>
      </c>
      <c r="E7" s="1398">
        <f>Productivity!$E17*(1+Productivity!E21)</f>
        <v>5.5</v>
      </c>
      <c r="F7" s="1398">
        <f>Productivity!$D17*(1+Productivity!F21)</f>
        <v>11</v>
      </c>
    </row>
    <row r="8" spans="1:6">
      <c r="B8" s="1331" t="s">
        <v>1272</v>
      </c>
      <c r="C8" s="1332" t="s">
        <v>1273</v>
      </c>
      <c r="D8" s="1398">
        <f>Productivity!D17*Productivity!D19*Productivity!D20</f>
        <v>270</v>
      </c>
      <c r="E8" s="1398">
        <f>Productivity!E17*Productivity!E19*Productivity!E20</f>
        <v>100</v>
      </c>
      <c r="F8" s="1398">
        <f>Productivity!F17*Productivity!F19*Productivity!F20</f>
        <v>270</v>
      </c>
    </row>
    <row r="9" spans="1:6">
      <c r="B9" s="1331" t="s">
        <v>1274</v>
      </c>
      <c r="C9" s="1332" t="s">
        <v>131</v>
      </c>
      <c r="D9" s="1399">
        <v>0.45</v>
      </c>
      <c r="E9" s="1400">
        <v>0.45</v>
      </c>
      <c r="F9" s="1400">
        <v>0.45</v>
      </c>
    </row>
    <row r="10" spans="1:6">
      <c r="B10" s="1331" t="s">
        <v>1275</v>
      </c>
      <c r="C10" s="1332" t="s">
        <v>432</v>
      </c>
      <c r="D10" s="1401">
        <f>D7*D9</f>
        <v>4.95</v>
      </c>
      <c r="E10" s="1401">
        <f>E7*E9</f>
        <v>2.4750000000000001</v>
      </c>
      <c r="F10" s="1401">
        <f t="shared" ref="F10" si="0">F7*F9</f>
        <v>4.95</v>
      </c>
    </row>
    <row r="11" spans="1:6">
      <c r="B11" s="1331" t="s">
        <v>1276</v>
      </c>
      <c r="C11" s="1332" t="str">
        <f>Assumptions_Dashboard!C82</f>
        <v>t/cum</v>
      </c>
      <c r="D11" s="1402">
        <f>Assumptions_Dashboard!$D$82</f>
        <v>1.1000000000000001</v>
      </c>
      <c r="E11" s="1402">
        <f>Assumptions_Dashboard!$D$82</f>
        <v>1.1000000000000001</v>
      </c>
      <c r="F11" s="1402">
        <f>Assumptions_Dashboard!$D$82</f>
        <v>1.1000000000000001</v>
      </c>
    </row>
    <row r="12" spans="1:6">
      <c r="B12" s="1331" t="s">
        <v>1277</v>
      </c>
      <c r="C12" s="1332" t="s">
        <v>1278</v>
      </c>
      <c r="D12" s="1401">
        <f>PI()*(D6/2/1000)^2*D10*D11*1000</f>
        <v>267.28081248119418</v>
      </c>
      <c r="E12" s="1403">
        <f>PI()*(E6/2/1000)^2*E10*E11*1000</f>
        <v>28.278309960510342</v>
      </c>
      <c r="F12" s="1403">
        <f>PI()*(F6/2/1000)^2*F10*F11*1000</f>
        <v>109.47822079229714</v>
      </c>
    </row>
    <row r="13" spans="1:6">
      <c r="B13" s="1331"/>
      <c r="C13" s="1332"/>
      <c r="D13" s="1404"/>
      <c r="E13" s="1401"/>
      <c r="F13" s="1401"/>
    </row>
    <row r="14" spans="1:6">
      <c r="B14" s="1331" t="s">
        <v>1279</v>
      </c>
      <c r="C14" s="1332" t="s">
        <v>1280</v>
      </c>
      <c r="D14" s="1405">
        <f>D12/(D8*Assumptions_Dashboard!$D$33)</f>
        <v>0.47139473100739715</v>
      </c>
      <c r="E14" s="1405">
        <f>E12/(E8*Assumptions_Dashboard!$D$32)</f>
        <v>0.16440877884017641</v>
      </c>
      <c r="F14" s="1405">
        <f>F12/(F8*Assumptions_Dashboard!$D$33)</f>
        <v>0.19308328182062987</v>
      </c>
    </row>
    <row r="15" spans="1:6">
      <c r="B15" s="1336"/>
      <c r="C15" s="1337" t="s">
        <v>1281</v>
      </c>
      <c r="D15" s="1406">
        <f>1/D14</f>
        <v>2.1213643985008988</v>
      </c>
      <c r="E15" s="1407">
        <f>1/E14</f>
        <v>6.0824002650862763</v>
      </c>
      <c r="F15" s="1407">
        <f>1/F14</f>
        <v>5.179112301027585</v>
      </c>
    </row>
    <row r="18" spans="1:42">
      <c r="A18" s="549"/>
      <c r="B18" s="1326" t="s">
        <v>94</v>
      </c>
      <c r="C18" s="1326" t="s">
        <v>95</v>
      </c>
      <c r="D18" s="1326"/>
      <c r="E18" s="1349" t="s">
        <v>1282</v>
      </c>
      <c r="F18" s="1141">
        <f>'Production Schedule'!E3</f>
        <v>-4</v>
      </c>
      <c r="G18" s="1141">
        <f>'Production Schedule'!F3</f>
        <v>-3</v>
      </c>
      <c r="H18" s="1141">
        <f>'Production Schedule'!G3</f>
        <v>-2</v>
      </c>
      <c r="I18" s="1141">
        <f>'Production Schedule'!H3</f>
        <v>-1</v>
      </c>
      <c r="J18" s="1141">
        <f>'Production Schedule'!I3</f>
        <v>1</v>
      </c>
      <c r="K18" s="1141">
        <f>'Production Schedule'!J3</f>
        <v>2</v>
      </c>
      <c r="L18" s="1141">
        <f>'Production Schedule'!K3</f>
        <v>3</v>
      </c>
      <c r="M18" s="1141">
        <f>'Production Schedule'!L3</f>
        <v>4</v>
      </c>
      <c r="N18" s="1141">
        <f>'Production Schedule'!M3</f>
        <v>5</v>
      </c>
      <c r="O18" s="1141">
        <f>'Production Schedule'!N3</f>
        <v>6</v>
      </c>
      <c r="P18" s="1141">
        <f>'Production Schedule'!O3</f>
        <v>7</v>
      </c>
      <c r="Q18" s="1141">
        <f>'Production Schedule'!P3</f>
        <v>8</v>
      </c>
      <c r="R18" s="1141">
        <f>'Production Schedule'!Q3</f>
        <v>9</v>
      </c>
      <c r="S18" s="1141">
        <f>'Production Schedule'!R3</f>
        <v>10</v>
      </c>
      <c r="T18" s="1141">
        <f>'Production Schedule'!S3</f>
        <v>11</v>
      </c>
      <c r="U18" s="1141">
        <f>'Production Schedule'!T3</f>
        <v>12</v>
      </c>
      <c r="V18" s="1141">
        <f>'Production Schedule'!U3</f>
        <v>13</v>
      </c>
      <c r="W18" s="1141">
        <f>'Production Schedule'!V3</f>
        <v>14</v>
      </c>
      <c r="X18" s="1141">
        <f>'Production Schedule'!W3</f>
        <v>15</v>
      </c>
      <c r="Y18" s="1141">
        <f>'Production Schedule'!X3</f>
        <v>16</v>
      </c>
      <c r="Z18" s="1141">
        <f>'Production Schedule'!Y3</f>
        <v>17</v>
      </c>
      <c r="AA18" s="1141">
        <f>'Production Schedule'!Z3</f>
        <v>18</v>
      </c>
      <c r="AB18" s="1141">
        <f>'Production Schedule'!AA3</f>
        <v>19</v>
      </c>
      <c r="AC18" s="1141">
        <f>'Production Schedule'!AB3</f>
        <v>0</v>
      </c>
      <c r="AD18" s="1141">
        <f>'Production Schedule'!AC3</f>
        <v>0</v>
      </c>
      <c r="AE18" s="1141">
        <f>'Production Schedule'!AD3</f>
        <v>0</v>
      </c>
      <c r="AF18" s="1141">
        <f>'Production Schedule'!AE3</f>
        <v>0</v>
      </c>
      <c r="AG18" s="1141">
        <f>'Production Schedule'!AF3</f>
        <v>0</v>
      </c>
      <c r="AH18" s="1141">
        <f>'Production Schedule'!AG3</f>
        <v>0</v>
      </c>
      <c r="AI18" s="1141">
        <f>'Production Schedule'!AH3</f>
        <v>0</v>
      </c>
      <c r="AJ18" s="1141">
        <f>'Production Schedule'!AI3</f>
        <v>0</v>
      </c>
      <c r="AK18" s="1141">
        <f>'Production Schedule'!AJ3</f>
        <v>0</v>
      </c>
      <c r="AL18" s="1141">
        <f>'Production Schedule'!AK3</f>
        <v>0</v>
      </c>
      <c r="AM18" s="1141">
        <f>'Production Schedule'!AL3</f>
        <v>0</v>
      </c>
      <c r="AN18" s="1141">
        <f>'Production Schedule'!AM3</f>
        <v>0</v>
      </c>
      <c r="AO18" s="1141">
        <f>'Production Schedule'!AN3</f>
        <v>0</v>
      </c>
      <c r="AP18" s="1141">
        <f>'Production Schedule'!AO3</f>
        <v>0</v>
      </c>
    </row>
    <row r="19" spans="1:42">
      <c r="A19" s="549"/>
      <c r="B19" s="1408" t="s">
        <v>1283</v>
      </c>
      <c r="C19" s="1408"/>
      <c r="D19" s="1408"/>
      <c r="E19" s="1408"/>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8"/>
    </row>
    <row r="20" spans="1:42">
      <c r="A20" s="549"/>
      <c r="B20" s="1332" t="str">
        <f>Fleet!C19</f>
        <v>Drill Machine/ 250mm diameter</v>
      </c>
      <c r="C20" s="1332" t="s">
        <v>1284</v>
      </c>
      <c r="D20" s="1332"/>
      <c r="E20" s="1409">
        <f>MAX(F20:AN20)</f>
        <v>1483172.4904690667</v>
      </c>
      <c r="F20" s="309">
        <f>Fleet!G9*10^6/Productivity!$D$23</f>
        <v>0</v>
      </c>
      <c r="G20" s="309">
        <f>Fleet!H9*10^6/Productivity!$D$23</f>
        <v>0</v>
      </c>
      <c r="H20" s="309">
        <f>Fleet!I9*10^6/Productivity!$D$23</f>
        <v>0</v>
      </c>
      <c r="I20" s="309">
        <f>Fleet!J9*10^6/Productivity!$D$23</f>
        <v>0</v>
      </c>
      <c r="J20" s="309">
        <f>Fleet!K9*10^6/Productivity!$D$23</f>
        <v>356735.62306309736</v>
      </c>
      <c r="K20" s="309">
        <f>Fleet!L9*10^6/Productivity!$D$23</f>
        <v>294668.3981253836</v>
      </c>
      <c r="L20" s="309">
        <f>Fleet!M9*10^6/Productivity!$D$23</f>
        <v>532850.34035676287</v>
      </c>
      <c r="M20" s="309">
        <f>Fleet!N9*10^6/Productivity!$D$23</f>
        <v>1144960.6837512963</v>
      </c>
      <c r="N20" s="309">
        <f>Fleet!O9*10^6/Productivity!$D$23</f>
        <v>1103124.794744794</v>
      </c>
      <c r="O20" s="309">
        <f>Fleet!P9*10^6/Productivity!$D$23</f>
        <v>1483172.4904690667</v>
      </c>
      <c r="P20" s="309">
        <f>Fleet!Q9*10^6/Productivity!$D$23</f>
        <v>1357348.1835695268</v>
      </c>
      <c r="Q20" s="309">
        <f>Fleet!R9*10^6/Productivity!$D$23</f>
        <v>1134594.7624923456</v>
      </c>
      <c r="R20" s="309">
        <f>Fleet!S9*10^6/Productivity!$D$23</f>
        <v>1182457.5591418108</v>
      </c>
      <c r="S20" s="309">
        <f>Fleet!T9*10^6/Productivity!$D$23</f>
        <v>1054437.0628721495</v>
      </c>
      <c r="T20" s="309">
        <f>Fleet!U9*10^6/Productivity!$D$23</f>
        <v>1189827.7324738258</v>
      </c>
      <c r="U20" s="309">
        <f>Fleet!V9*10^6/Productivity!$D$23</f>
        <v>905658.04413811292</v>
      </c>
      <c r="V20" s="309">
        <f>Fleet!W9*10^6/Productivity!$D$23</f>
        <v>794961.54298855714</v>
      </c>
      <c r="W20" s="309">
        <f>Fleet!X9*10^6/Productivity!$D$23</f>
        <v>988129.72256033518</v>
      </c>
      <c r="X20" s="309">
        <f>Fleet!Y9*10^6/Productivity!$D$23</f>
        <v>984988.1124140867</v>
      </c>
      <c r="Y20" s="309">
        <f>Fleet!Z9*10^6/Productivity!$D$23</f>
        <v>1254944.1077672285</v>
      </c>
      <c r="Z20" s="309">
        <f>Fleet!AA9*10^6/Productivity!$D$23</f>
        <v>772568.96009404701</v>
      </c>
      <c r="AA20" s="309">
        <f>Fleet!AB9*10^6/Productivity!$D$23</f>
        <v>132487.25353622687</v>
      </c>
      <c r="AB20" s="309">
        <f>Fleet!AC9*10^6/Productivity!$D$23</f>
        <v>37885.343395782489</v>
      </c>
      <c r="AC20" s="309">
        <f>Fleet!AD9*10^6/Productivity!$D$23</f>
        <v>0</v>
      </c>
      <c r="AD20" s="309">
        <f>Fleet!AE9*10^6/Productivity!$D$23</f>
        <v>0</v>
      </c>
      <c r="AE20" s="309">
        <f>Fleet!AF9*10^6/Productivity!$D$23</f>
        <v>0</v>
      </c>
      <c r="AF20" s="309">
        <f>Fleet!AG9*10^6/Productivity!$D$23</f>
        <v>0</v>
      </c>
      <c r="AG20" s="309">
        <f>Fleet!AH9*10^6/Productivity!$D$23</f>
        <v>0</v>
      </c>
      <c r="AH20" s="309">
        <f>Fleet!AI9*10^6/Productivity!$D$23</f>
        <v>0</v>
      </c>
      <c r="AI20" s="309">
        <f>Fleet!AJ9*10^6/Productivity!$D$23</f>
        <v>0</v>
      </c>
      <c r="AJ20" s="309">
        <f>Fleet!AK9*10^6/Productivity!$D$23</f>
        <v>0</v>
      </c>
      <c r="AK20" s="309">
        <f>Fleet!AL9*10^6/Productivity!$D$23</f>
        <v>0</v>
      </c>
      <c r="AL20" s="309">
        <f>Fleet!AM9*10^6/Productivity!$D$23</f>
        <v>0</v>
      </c>
      <c r="AM20" s="309">
        <f>Fleet!AN9*10^6/Productivity!$D$23</f>
        <v>0</v>
      </c>
      <c r="AN20" s="309">
        <f>Fleet!AO9*10^6/Productivity!$D$23</f>
        <v>0</v>
      </c>
      <c r="AO20" s="309">
        <f>Fleet!AP9*10^6/Productivity!$D$23</f>
        <v>0</v>
      </c>
      <c r="AP20" s="309">
        <f>Fleet!AQ9*10^6/Productivity!$D$23</f>
        <v>0</v>
      </c>
    </row>
    <row r="21" spans="1:42">
      <c r="A21" s="549"/>
      <c r="B21" s="1332" t="str">
        <f>Fleet!C15</f>
        <v>Drill Machine/ 160mm diameter</v>
      </c>
      <c r="C21" s="1332" t="s">
        <v>1284</v>
      </c>
      <c r="D21" s="1332"/>
      <c r="E21" s="1409">
        <f>MAX(F21:AN21)</f>
        <v>446685.31985238974</v>
      </c>
      <c r="F21" s="309">
        <f>(Fleet!G6)*10^6/Productivity!$F$23</f>
        <v>0</v>
      </c>
      <c r="G21" s="309">
        <f>(Fleet!H6)*10^6/Productivity!$F$23</f>
        <v>0</v>
      </c>
      <c r="H21" s="309">
        <f>(Fleet!I6)*10^6/Productivity!$F$23</f>
        <v>0</v>
      </c>
      <c r="I21" s="309">
        <f>(Fleet!J6)*10^6/Productivity!$F$23</f>
        <v>0</v>
      </c>
      <c r="J21" s="309">
        <f>(Fleet!K6)*10^6/Productivity!$F$23</f>
        <v>107908.23036117318</v>
      </c>
      <c r="K21" s="309">
        <f>(Fleet!L6)*10^6/Productivity!$F$23</f>
        <v>89573.250506599128</v>
      </c>
      <c r="L21" s="309">
        <f>(Fleet!M6)*10^6/Productivity!$F$23</f>
        <v>162252.40201780232</v>
      </c>
      <c r="M21" s="309">
        <f>(Fleet!N6)*10^6/Productivity!$F$23</f>
        <v>346490.72376722214</v>
      </c>
      <c r="N21" s="309">
        <f>(Fleet!O6)*10^6/Productivity!$F$23</f>
        <v>333346.96605561732</v>
      </c>
      <c r="O21" s="309">
        <f>(Fleet!P6)*10^6/Productivity!$F$23</f>
        <v>446685.31985238974</v>
      </c>
      <c r="P21" s="309">
        <f>(Fleet!Q6)*10^6/Productivity!$F$23</f>
        <v>408888.94157697534</v>
      </c>
      <c r="Q21" s="309">
        <f>(Fleet!R6)*10^6/Productivity!$F$23</f>
        <v>341976.01534962957</v>
      </c>
      <c r="R21" s="309">
        <f>(Fleet!S6)*10^6/Productivity!$F$23</f>
        <v>356353.52643679013</v>
      </c>
      <c r="S21" s="309">
        <f>(Fleet!T6)*10^6/Productivity!$F$23</f>
        <v>317897.43457945372</v>
      </c>
      <c r="T21" s="309">
        <f>(Fleet!U6)*10^6/Productivity!$F$23</f>
        <v>358125.55052638118</v>
      </c>
      <c r="U21" s="309">
        <f>(Fleet!V6)*10^6/Productivity!$F$23</f>
        <v>272763.78458938544</v>
      </c>
      <c r="V21" s="309">
        <f>(Fleet!W6)*10^6/Productivity!$F$23</f>
        <v>239511.64965369314</v>
      </c>
      <c r="W21" s="309">
        <f>(Fleet!X6)*10^6/Productivity!$F$23</f>
        <v>297537.46172271873</v>
      </c>
      <c r="X21" s="309">
        <f>(Fleet!Y6)*10^6/Productivity!$F$23</f>
        <v>296593.75308320846</v>
      </c>
      <c r="Y21" s="309">
        <f>(Fleet!Z6)*10^6/Productivity!$F$23</f>
        <v>377605.46181660425</v>
      </c>
      <c r="Z21" s="309">
        <f>(Fleet!AA6)*10^6/Productivity!$F$23</f>
        <v>232704.73475222851</v>
      </c>
      <c r="AA21" s="309">
        <f>(Fleet!AB6)*10^6/Productivity!$F$23</f>
        <v>40430.51600729167</v>
      </c>
      <c r="AB21" s="309">
        <f>(Fleet!AC6)*10^6/Productivity!$F$23</f>
        <v>12013.037148458574</v>
      </c>
      <c r="AC21" s="309">
        <f>(Fleet!AD6)*10^6/Productivity!$F$23</f>
        <v>0</v>
      </c>
      <c r="AD21" s="309">
        <f>(Fleet!AE6)*10^6/Productivity!$F$23</f>
        <v>0</v>
      </c>
      <c r="AE21" s="309">
        <f>(Fleet!AF6)*10^6/Productivity!$F$23</f>
        <v>0</v>
      </c>
      <c r="AF21" s="309">
        <f>(Fleet!AG6)*10^6/Productivity!$F$23</f>
        <v>0</v>
      </c>
      <c r="AG21" s="309">
        <f>(Fleet!AH6)*10^6/Productivity!$F$23</f>
        <v>0</v>
      </c>
      <c r="AH21" s="309">
        <f>(Fleet!AI6)*10^6/Productivity!$F$23</f>
        <v>0</v>
      </c>
      <c r="AI21" s="309">
        <f>(Fleet!AJ6)*10^6/Productivity!$F$23</f>
        <v>0</v>
      </c>
      <c r="AJ21" s="309">
        <f>(Fleet!AK6)*10^6/Productivity!$F$23</f>
        <v>0</v>
      </c>
      <c r="AK21" s="309">
        <f>(Fleet!AL6)*10^6/Productivity!$F$23</f>
        <v>0</v>
      </c>
      <c r="AL21" s="309">
        <f>(Fleet!AM6)*10^6/Productivity!$F$23</f>
        <v>0</v>
      </c>
      <c r="AM21" s="309">
        <f>(Fleet!AN6)*10^6/Productivity!$F$23</f>
        <v>0</v>
      </c>
      <c r="AN21" s="309">
        <f>(Fleet!AO6)*10^6/Productivity!$F$23</f>
        <v>0</v>
      </c>
      <c r="AO21" s="309">
        <f>(Fleet!AP6)*10^6/Productivity!$F$23</f>
        <v>0</v>
      </c>
      <c r="AP21" s="309">
        <f>(Fleet!AQ6)*10^6/Productivity!$F$23</f>
        <v>0</v>
      </c>
    </row>
    <row r="22" spans="1:42">
      <c r="A22" s="549"/>
      <c r="B22" s="1332" t="str">
        <f>Fleet!C11</f>
        <v>Drill Machine/ 115mm diameter</v>
      </c>
      <c r="C22" s="1332" t="s">
        <v>1284</v>
      </c>
      <c r="D22" s="1332"/>
      <c r="E22" s="1409">
        <f>MAX(F22:AN22)</f>
        <v>127906.93373546511</v>
      </c>
      <c r="F22" s="309">
        <f>(Fleet!G5)*10^6/Productivity!$E$23</f>
        <v>0</v>
      </c>
      <c r="G22" s="309">
        <f>(Fleet!H5)*10^6/Productivity!$E$23</f>
        <v>0</v>
      </c>
      <c r="H22" s="309">
        <f>(Fleet!I5)*10^6/Productivity!$E$23</f>
        <v>0</v>
      </c>
      <c r="I22" s="309">
        <f>(Fleet!J5)*10^6/Productivity!$E$23</f>
        <v>0</v>
      </c>
      <c r="J22" s="309">
        <f>(Fleet!K5)*10^6/Productivity!$E$23</f>
        <v>63953.480537790696</v>
      </c>
      <c r="K22" s="309">
        <f>(Fleet!L5)*10^6/Productivity!$E$23</f>
        <v>127906.93373546511</v>
      </c>
      <c r="L22" s="309">
        <f>(Fleet!M5)*10^6/Productivity!$E$23</f>
        <v>38372.096524709297</v>
      </c>
      <c r="M22" s="309">
        <f>(Fleet!N5)*10^6/Productivity!$E$23</f>
        <v>57558.132484011607</v>
      </c>
      <c r="N22" s="309">
        <f>(Fleet!O5)*10^6/Productivity!$E$23</f>
        <v>71947.651251453484</v>
      </c>
      <c r="O22" s="309">
        <f>(Fleet!P5)*10^6/Productivity!$E$23</f>
        <v>71947.708665697675</v>
      </c>
      <c r="P22" s="309">
        <f>(Fleet!Q5)*10^6/Productivity!$E$23</f>
        <v>71947.667655523241</v>
      </c>
      <c r="Q22" s="309">
        <f>(Fleet!R5)*10^6/Productivity!$E$23</f>
        <v>71947.659453488362</v>
      </c>
      <c r="R22" s="309">
        <f>(Fleet!S5)*10^6/Productivity!$E$23</f>
        <v>71947.692261627875</v>
      </c>
      <c r="S22" s="309">
        <f>(Fleet!T5)*10^6/Productivity!$E$23</f>
        <v>71947.651251453484</v>
      </c>
      <c r="T22" s="309">
        <f>(Fleet!U5)*10^6/Productivity!$E$23</f>
        <v>71947.659453488362</v>
      </c>
      <c r="U22" s="309">
        <f>(Fleet!V5)*10^6/Productivity!$E$23</f>
        <v>71947.684059592997</v>
      </c>
      <c r="V22" s="309">
        <f>(Fleet!W5)*10^6/Productivity!$E$23</f>
        <v>71947.749675872081</v>
      </c>
      <c r="W22" s="309">
        <f>(Fleet!X5)*10^6/Productivity!$E$23</f>
        <v>71947.684059592997</v>
      </c>
      <c r="X22" s="309">
        <f>(Fleet!Y5)*10^6/Productivity!$E$23</f>
        <v>71947.684059592997</v>
      </c>
      <c r="Y22" s="309">
        <f>(Fleet!Z5)*10^6/Productivity!$E$23</f>
        <v>71947.675857558119</v>
      </c>
      <c r="Z22" s="309">
        <f>(Fleet!AA5)*10^6/Productivity!$E$23</f>
        <v>47965.114504360456</v>
      </c>
      <c r="AA22" s="309">
        <f>(Fleet!AB5)*10^6/Productivity!$E$23</f>
        <v>35973.850231831391</v>
      </c>
      <c r="AB22" s="309">
        <f>(Fleet!AC5)*10^6/Productivity!$E$23</f>
        <v>10573.386704215114</v>
      </c>
      <c r="AC22" s="309">
        <f>(Fleet!AD5)*10^6/Productivity!$E$23</f>
        <v>0</v>
      </c>
      <c r="AD22" s="309">
        <f>(Fleet!AE5)*10^6/Productivity!$E$23</f>
        <v>0</v>
      </c>
      <c r="AE22" s="309">
        <f>(Fleet!AF5)*10^6/Productivity!$E$23</f>
        <v>0</v>
      </c>
      <c r="AF22" s="309">
        <f>(Fleet!AG5)*10^6/Productivity!$E$23</f>
        <v>0</v>
      </c>
      <c r="AG22" s="309">
        <f>(Fleet!AH5)*10^6/Productivity!$E$23</f>
        <v>0</v>
      </c>
      <c r="AH22" s="309">
        <f>(Fleet!AI5)*10^6/Productivity!$E$23</f>
        <v>0</v>
      </c>
      <c r="AI22" s="309">
        <f>(Fleet!AJ5)*10^6/Productivity!$E$23</f>
        <v>0</v>
      </c>
      <c r="AJ22" s="309">
        <f>(Fleet!AK5)*10^6/Productivity!$E$23</f>
        <v>0</v>
      </c>
      <c r="AK22" s="309">
        <f>(Fleet!AL5)*10^6/Productivity!$E$23</f>
        <v>0</v>
      </c>
      <c r="AL22" s="309">
        <f>(Fleet!AM5)*10^6/Productivity!$E$23</f>
        <v>0</v>
      </c>
      <c r="AM22" s="309">
        <f>(Fleet!AN5)*10^6/Productivity!$E$23</f>
        <v>0</v>
      </c>
      <c r="AN22" s="309">
        <f>(Fleet!AO5)*10^6/Productivity!$E$23</f>
        <v>0</v>
      </c>
      <c r="AO22" s="309">
        <f>(Fleet!AP5)*10^6/Productivity!$E$23</f>
        <v>0</v>
      </c>
      <c r="AP22" s="309">
        <f>(Fleet!AQ5)*10^6/Productivity!$E$23</f>
        <v>0</v>
      </c>
    </row>
    <row r="23" spans="1:42">
      <c r="A23" s="549"/>
      <c r="B23" s="1408" t="s">
        <v>1285</v>
      </c>
      <c r="C23" s="1408"/>
      <c r="D23" s="1408"/>
      <c r="E23" s="1408"/>
      <c r="F23" s="305"/>
      <c r="G23" s="305"/>
      <c r="H23" s="305"/>
      <c r="I23" s="305"/>
      <c r="J23" s="305"/>
      <c r="K23" s="305"/>
      <c r="L23" s="305"/>
      <c r="M23" s="305"/>
      <c r="N23" s="305"/>
      <c r="O23" s="305"/>
      <c r="P23" s="305"/>
      <c r="Q23" s="305"/>
      <c r="R23" s="305"/>
      <c r="S23" s="305"/>
      <c r="T23" s="305"/>
      <c r="U23" s="305"/>
      <c r="V23" s="305"/>
      <c r="W23" s="305"/>
      <c r="X23" s="305"/>
      <c r="Y23" s="305"/>
      <c r="Z23" s="305"/>
      <c r="AA23" s="305"/>
      <c r="AB23" s="305"/>
      <c r="AC23" s="305"/>
      <c r="AD23" s="305"/>
      <c r="AE23" s="305"/>
      <c r="AF23" s="305"/>
      <c r="AG23" s="305"/>
      <c r="AH23" s="305"/>
      <c r="AI23" s="305"/>
      <c r="AJ23" s="305"/>
      <c r="AK23" s="305"/>
      <c r="AL23" s="305"/>
      <c r="AM23" s="305"/>
      <c r="AN23" s="305"/>
      <c r="AO23" s="308"/>
    </row>
    <row r="24" spans="1:42">
      <c r="A24" s="550">
        <f>D6</f>
        <v>250</v>
      </c>
      <c r="B24" s="1332" t="str">
        <f>"No of blastholes requirement in " &amp; A24 &amp; "mm diameter"</f>
        <v>No of blastholes requirement in 250mm diameter</v>
      </c>
      <c r="C24" s="1332" t="s">
        <v>1286</v>
      </c>
      <c r="D24" s="1332"/>
      <c r="E24" s="1409">
        <f>MAX(F24:AN24)</f>
        <v>134834</v>
      </c>
      <c r="F24" s="309">
        <f>ROUND(F20/(Productivity!$D$17*(1+Productivity!$D$21)),0)</f>
        <v>0</v>
      </c>
      <c r="G24" s="309">
        <f>ROUND(G20/(Productivity!$D$17*(1+Productivity!$D$21)),0)</f>
        <v>0</v>
      </c>
      <c r="H24" s="309">
        <f>ROUND(H20/(Productivity!$D$17*(1+Productivity!$D$21)),0)</f>
        <v>0</v>
      </c>
      <c r="I24" s="309">
        <f>ROUND(I20/(Productivity!$D$17*(1+Productivity!$D$21)),0)</f>
        <v>0</v>
      </c>
      <c r="J24" s="309">
        <f>ROUND(J20/(Productivity!$D$17*(1+Productivity!$D$21)),0)</f>
        <v>32431</v>
      </c>
      <c r="K24" s="309">
        <f>ROUND(K20/(Productivity!$D$17*(1+Productivity!$D$21)),0)</f>
        <v>26788</v>
      </c>
      <c r="L24" s="309">
        <f>ROUND(L20/(Productivity!$D$17*(1+Productivity!$D$21)),0)</f>
        <v>48441</v>
      </c>
      <c r="M24" s="309">
        <f>ROUND(M20/(Productivity!$D$17*(1+Productivity!$D$21)),0)</f>
        <v>104087</v>
      </c>
      <c r="N24" s="309">
        <f>ROUND(N20/(Productivity!$D$17*(1+Productivity!$D$21)),0)</f>
        <v>100284</v>
      </c>
      <c r="O24" s="309">
        <f>ROUND(O20/(Productivity!$D$17*(1+Productivity!$D$21)),0)</f>
        <v>134834</v>
      </c>
      <c r="P24" s="309">
        <f>ROUND(P20/(Productivity!$D$17*(1+Productivity!$D$21)),0)</f>
        <v>123395</v>
      </c>
      <c r="Q24" s="309">
        <f>ROUND(Q20/(Productivity!$D$17*(1+Productivity!$D$21)),0)</f>
        <v>103145</v>
      </c>
      <c r="R24" s="309">
        <f>ROUND(R20/(Productivity!$D$17*(1+Productivity!$D$21)),0)</f>
        <v>107496</v>
      </c>
      <c r="S24" s="309">
        <f>ROUND(S20/(Productivity!$D$17*(1+Productivity!$D$21)),0)</f>
        <v>95858</v>
      </c>
      <c r="T24" s="309">
        <f>ROUND(T20/(Productivity!$D$17*(1+Productivity!$D$21)),0)</f>
        <v>108166</v>
      </c>
      <c r="U24" s="309">
        <f>ROUND(U20/(Productivity!$D$17*(1+Productivity!$D$21)),0)</f>
        <v>82333</v>
      </c>
      <c r="V24" s="309">
        <f>ROUND(V20/(Productivity!$D$17*(1+Productivity!$D$21)),0)</f>
        <v>72269</v>
      </c>
      <c r="W24" s="309">
        <f>ROUND(W20/(Productivity!$D$17*(1+Productivity!$D$21)),0)</f>
        <v>89830</v>
      </c>
      <c r="X24" s="309">
        <f>ROUND(X20/(Productivity!$D$17*(1+Productivity!$D$21)),0)</f>
        <v>89544</v>
      </c>
      <c r="Y24" s="309">
        <f>ROUND(Y20/(Productivity!$D$17*(1+Productivity!$D$21)),0)</f>
        <v>114086</v>
      </c>
      <c r="Z24" s="309">
        <f>ROUND(Z20/(Productivity!$D$17*(1+Productivity!$D$21)),0)</f>
        <v>70234</v>
      </c>
      <c r="AA24" s="309">
        <f>ROUND(AA20/(Productivity!$D$17*(1+Productivity!$D$21)),0)</f>
        <v>12044</v>
      </c>
      <c r="AB24" s="309">
        <f>ROUND(AB20/(Productivity!$D$17*(1+Productivity!$D$21)),0)</f>
        <v>3444</v>
      </c>
      <c r="AC24" s="309">
        <f>ROUND(AC20/(Productivity!$D$17*(1+Productivity!$D$21)),0)</f>
        <v>0</v>
      </c>
      <c r="AD24" s="309">
        <f>ROUND(AD20/(Productivity!$D$17*(1+Productivity!$D$21)),0)</f>
        <v>0</v>
      </c>
      <c r="AE24" s="309">
        <f>ROUND(AE20/(Productivity!$D$17*(1+Productivity!$D$21)),0)</f>
        <v>0</v>
      </c>
      <c r="AF24" s="309">
        <f>ROUND(AF20/(Productivity!$D$17*(1+Productivity!$D$21)),0)</f>
        <v>0</v>
      </c>
      <c r="AG24" s="309">
        <f>ROUND(AG20/(Productivity!$D$17*(1+Productivity!$D$21)),0)</f>
        <v>0</v>
      </c>
      <c r="AH24" s="309">
        <f>ROUND(AH20/(Productivity!$D$17*(1+Productivity!$D$21)),0)</f>
        <v>0</v>
      </c>
      <c r="AI24" s="309">
        <f>ROUND(AI20/(Productivity!$D$17*(1+Productivity!$D$21)),0)</f>
        <v>0</v>
      </c>
      <c r="AJ24" s="309">
        <f>ROUND(AJ20/(Productivity!$D$17*(1+Productivity!$D$21)),0)</f>
        <v>0</v>
      </c>
      <c r="AK24" s="309">
        <f>ROUND(AK20/(Productivity!$D$17*(1+Productivity!$D$21)),0)</f>
        <v>0</v>
      </c>
      <c r="AL24" s="309">
        <f>ROUND(AL20/(Productivity!$D$17*(1+Productivity!$D$21)),0)</f>
        <v>0</v>
      </c>
      <c r="AM24" s="309">
        <f>ROUND(AM20/(Productivity!$D$17*(1+Productivity!$D$21)),0)</f>
        <v>0</v>
      </c>
      <c r="AN24" s="309">
        <f>ROUND(AN20/(Productivity!$D$17*(1+Productivity!$D$21)),0)</f>
        <v>0</v>
      </c>
      <c r="AO24" s="309">
        <f>ROUND(AO20/(Productivity!$D$17*(1+Productivity!$D$21)),0)</f>
        <v>0</v>
      </c>
      <c r="AP24" s="309">
        <f>ROUND(AP20/(Productivity!$D$17*(1+Productivity!$D$21)),0)</f>
        <v>0</v>
      </c>
    </row>
    <row r="25" spans="1:42">
      <c r="A25" s="550">
        <f>F6</f>
        <v>160</v>
      </c>
      <c r="B25" s="1332" t="str">
        <f t="shared" ref="B25:B26" si="1">"No of blastholes requirement in " &amp; A25 &amp; "mm diameter"</f>
        <v>No of blastholes requirement in 160mm diameter</v>
      </c>
      <c r="C25" s="1332" t="s">
        <v>1286</v>
      </c>
      <c r="D25" s="1332"/>
      <c r="E25" s="1409">
        <f>MAX(F25:AN25)</f>
        <v>40608</v>
      </c>
      <c r="F25" s="309">
        <f>ROUND(F21/(Productivity!$F$17*(1+Productivity!$F$21)),0)</f>
        <v>0</v>
      </c>
      <c r="G25" s="309">
        <f>ROUND(G21/(Productivity!$F$17*(1+Productivity!$F$21)),0)</f>
        <v>0</v>
      </c>
      <c r="H25" s="309">
        <f>ROUND(H21/(Productivity!$F$17*(1+Productivity!$F$21)),0)</f>
        <v>0</v>
      </c>
      <c r="I25" s="309">
        <f>ROUND(I21/(Productivity!$F$17*(1+Productivity!$F$21)),0)</f>
        <v>0</v>
      </c>
      <c r="J25" s="309">
        <f>ROUND(J21/(Productivity!$F$17*(1+Productivity!$F$21)),0)</f>
        <v>9810</v>
      </c>
      <c r="K25" s="309">
        <f>ROUND(K21/(Productivity!$F$17*(1+Productivity!$F$21)),0)</f>
        <v>8143</v>
      </c>
      <c r="L25" s="309">
        <f>ROUND(L21/(Productivity!$F$17*(1+Productivity!$F$21)),0)</f>
        <v>14750</v>
      </c>
      <c r="M25" s="309">
        <f>ROUND(M21/(Productivity!$F$17*(1+Productivity!$F$21)),0)</f>
        <v>31499</v>
      </c>
      <c r="N25" s="309">
        <f>ROUND(N21/(Productivity!$F$17*(1+Productivity!$F$21)),0)</f>
        <v>30304</v>
      </c>
      <c r="O25" s="309">
        <f>ROUND(O21/(Productivity!$F$17*(1+Productivity!$F$21)),0)</f>
        <v>40608</v>
      </c>
      <c r="P25" s="309">
        <f>ROUND(P21/(Productivity!$F$17*(1+Productivity!$F$21)),0)</f>
        <v>37172</v>
      </c>
      <c r="Q25" s="309">
        <f>ROUND(Q21/(Productivity!$F$17*(1+Productivity!$F$21)),0)</f>
        <v>31089</v>
      </c>
      <c r="R25" s="309">
        <f>ROUND(R21/(Productivity!$F$17*(1+Productivity!$F$21)),0)</f>
        <v>32396</v>
      </c>
      <c r="S25" s="309">
        <f>ROUND(S21/(Productivity!$F$17*(1+Productivity!$F$21)),0)</f>
        <v>28900</v>
      </c>
      <c r="T25" s="309">
        <f>ROUND(T21/(Productivity!$F$17*(1+Productivity!$F$21)),0)</f>
        <v>32557</v>
      </c>
      <c r="U25" s="309">
        <f>ROUND(U21/(Productivity!$F$17*(1+Productivity!$F$21)),0)</f>
        <v>24797</v>
      </c>
      <c r="V25" s="309">
        <f>ROUND(V21/(Productivity!$F$17*(1+Productivity!$F$21)),0)</f>
        <v>21774</v>
      </c>
      <c r="W25" s="309">
        <f>ROUND(W21/(Productivity!$F$17*(1+Productivity!$F$21)),0)</f>
        <v>27049</v>
      </c>
      <c r="X25" s="309">
        <f>ROUND(X21/(Productivity!$F$17*(1+Productivity!$F$21)),0)</f>
        <v>26963</v>
      </c>
      <c r="Y25" s="309">
        <f>ROUND(Y21/(Productivity!$F$17*(1+Productivity!$F$21)),0)</f>
        <v>34328</v>
      </c>
      <c r="Z25" s="309">
        <f>ROUND(Z21/(Productivity!$F$17*(1+Productivity!$F$21)),0)</f>
        <v>21155</v>
      </c>
      <c r="AA25" s="309">
        <f>ROUND(AA21/(Productivity!$F$17*(1+Productivity!$F$21)),0)</f>
        <v>3676</v>
      </c>
      <c r="AB25" s="309">
        <f>ROUND(AB21/(Productivity!$F$17*(1+Productivity!$F$21)),0)</f>
        <v>1092</v>
      </c>
      <c r="AC25" s="309">
        <f>ROUND(AC21/(Productivity!$F$17*(1+Productivity!$F$21)),0)</f>
        <v>0</v>
      </c>
      <c r="AD25" s="309">
        <f>ROUND(AD21/(Productivity!$F$17*(1+Productivity!$F$21)),0)</f>
        <v>0</v>
      </c>
      <c r="AE25" s="309">
        <f>ROUND(AE21/(Productivity!$F$17*(1+Productivity!$F$21)),0)</f>
        <v>0</v>
      </c>
      <c r="AF25" s="309">
        <f>ROUND(AF21/(Productivity!$F$17*(1+Productivity!$F$21)),0)</f>
        <v>0</v>
      </c>
      <c r="AG25" s="309">
        <f>ROUND(AG21/(Productivity!$F$17*(1+Productivity!$F$21)),0)</f>
        <v>0</v>
      </c>
      <c r="AH25" s="309">
        <f>ROUND(AH21/(Productivity!$F$17*(1+Productivity!$F$21)),0)</f>
        <v>0</v>
      </c>
      <c r="AI25" s="309">
        <f>ROUND(AI21/(Productivity!$F$17*(1+Productivity!$F$21)),0)</f>
        <v>0</v>
      </c>
      <c r="AJ25" s="309">
        <f>ROUND(AJ21/(Productivity!$F$17*(1+Productivity!$F$21)),0)</f>
        <v>0</v>
      </c>
      <c r="AK25" s="309">
        <f>ROUND(AK21/(Productivity!$F$17*(1+Productivity!$F$21)),0)</f>
        <v>0</v>
      </c>
      <c r="AL25" s="309">
        <f>ROUND(AL21/(Productivity!$F$17*(1+Productivity!$F$21)),0)</f>
        <v>0</v>
      </c>
      <c r="AM25" s="309">
        <f>ROUND(AM21/(Productivity!$F$17*(1+Productivity!$F$21)),0)</f>
        <v>0</v>
      </c>
      <c r="AN25" s="309">
        <f>ROUND(AN21/(Productivity!$F$17*(1+Productivity!$F$21)),0)</f>
        <v>0</v>
      </c>
      <c r="AO25" s="309">
        <f>ROUND(AO21/(Productivity!$F$17*(1+Productivity!$F$21)),0)</f>
        <v>0</v>
      </c>
      <c r="AP25" s="309">
        <f>ROUND(AP21/(Productivity!$F$17*(1+Productivity!$F$21)),0)</f>
        <v>0</v>
      </c>
    </row>
    <row r="26" spans="1:42">
      <c r="A26" s="550">
        <f>E6</f>
        <v>115</v>
      </c>
      <c r="B26" s="1332" t="str">
        <f t="shared" si="1"/>
        <v>No of blastholes requirement in 115mm diameter</v>
      </c>
      <c r="C26" s="1332" t="s">
        <v>1286</v>
      </c>
      <c r="D26" s="1332"/>
      <c r="E26" s="1409">
        <f>MAX(F26:AN26)</f>
        <v>23256</v>
      </c>
      <c r="F26" s="309">
        <f>ROUND(F22/(Productivity!$E$17*(1+Productivity!$E$21)),0)</f>
        <v>0</v>
      </c>
      <c r="G26" s="309">
        <f>ROUND(G22/(Productivity!$E$17*(1+Productivity!$E$21)),0)</f>
        <v>0</v>
      </c>
      <c r="H26" s="309">
        <f>ROUND(H22/(Productivity!$E$17*(1+Productivity!$E$21)),0)</f>
        <v>0</v>
      </c>
      <c r="I26" s="309">
        <f>ROUND(I22/(Productivity!$E$17*(1+Productivity!$E$21)),0)</f>
        <v>0</v>
      </c>
      <c r="J26" s="309">
        <f>ROUND(J22/(Productivity!$E$17*(1+Productivity!$E$21)),0)</f>
        <v>11628</v>
      </c>
      <c r="K26" s="309">
        <f>ROUND(K22/(Productivity!$E$17*(1+Productivity!$E$21)),0)</f>
        <v>23256</v>
      </c>
      <c r="L26" s="309">
        <f>ROUND(L22/(Productivity!$E$17*(1+Productivity!$E$21)),0)</f>
        <v>6977</v>
      </c>
      <c r="M26" s="309">
        <f>ROUND(M22/(Productivity!$E$17*(1+Productivity!$E$21)),0)</f>
        <v>10465</v>
      </c>
      <c r="N26" s="309">
        <f>ROUND(N22/(Productivity!$E$17*(1+Productivity!$E$21)),0)</f>
        <v>13081</v>
      </c>
      <c r="O26" s="309">
        <f>ROUND(O22/(Productivity!$E$17*(1+Productivity!$E$21)),0)</f>
        <v>13081</v>
      </c>
      <c r="P26" s="309">
        <f>ROUND(P22/(Productivity!$E$17*(1+Productivity!$E$21)),0)</f>
        <v>13081</v>
      </c>
      <c r="Q26" s="309">
        <f>ROUND(Q22/(Productivity!$E$17*(1+Productivity!$E$21)),0)</f>
        <v>13081</v>
      </c>
      <c r="R26" s="309">
        <f>ROUND(R22/(Productivity!$E$17*(1+Productivity!$E$21)),0)</f>
        <v>13081</v>
      </c>
      <c r="S26" s="309">
        <f>ROUND(S22/(Productivity!$E$17*(1+Productivity!$E$21)),0)</f>
        <v>13081</v>
      </c>
      <c r="T26" s="309">
        <f>ROUND(T22/(Productivity!$E$17*(1+Productivity!$E$21)),0)</f>
        <v>13081</v>
      </c>
      <c r="U26" s="309">
        <f>ROUND(U22/(Productivity!$E$17*(1+Productivity!$E$21)),0)</f>
        <v>13081</v>
      </c>
      <c r="V26" s="309">
        <f>ROUND(V22/(Productivity!$E$17*(1+Productivity!$E$21)),0)</f>
        <v>13081</v>
      </c>
      <c r="W26" s="309">
        <f>ROUND(W22/(Productivity!$E$17*(1+Productivity!$E$21)),0)</f>
        <v>13081</v>
      </c>
      <c r="X26" s="309">
        <f>ROUND(X22/(Productivity!$E$17*(1+Productivity!$E$21)),0)</f>
        <v>13081</v>
      </c>
      <c r="Y26" s="309">
        <f>ROUND(Y22/(Productivity!$E$17*(1+Productivity!$E$21)),0)</f>
        <v>13081</v>
      </c>
      <c r="Z26" s="309">
        <f>ROUND(Z22/(Productivity!$E$17*(1+Productivity!$E$21)),0)</f>
        <v>8721</v>
      </c>
      <c r="AA26" s="309">
        <f>ROUND(AA22/(Productivity!$E$17*(1+Productivity!$E$21)),0)</f>
        <v>6541</v>
      </c>
      <c r="AB26" s="309">
        <f>ROUND(AB22/(Productivity!$E$17*(1+Productivity!$E$21)),0)</f>
        <v>1922</v>
      </c>
      <c r="AC26" s="309">
        <f>ROUND(AC22/(Productivity!$E$17*(1+Productivity!$E$21)),0)</f>
        <v>0</v>
      </c>
      <c r="AD26" s="309">
        <f>ROUND(AD22/(Productivity!$E$17*(1+Productivity!$E$21)),0)</f>
        <v>0</v>
      </c>
      <c r="AE26" s="309">
        <f>ROUND(AE22/(Productivity!$E$17*(1+Productivity!$E$21)),0)</f>
        <v>0</v>
      </c>
      <c r="AF26" s="309">
        <f>ROUND(AF22/(Productivity!$E$17*(1+Productivity!$E$21)),0)</f>
        <v>0</v>
      </c>
      <c r="AG26" s="309">
        <f>ROUND(AG22/(Productivity!$E$17*(1+Productivity!$E$21)),0)</f>
        <v>0</v>
      </c>
      <c r="AH26" s="309">
        <f>ROUND(AH22/(Productivity!$E$17*(1+Productivity!$E$21)),0)</f>
        <v>0</v>
      </c>
      <c r="AI26" s="309">
        <f>ROUND(AI22/(Productivity!$E$17*(1+Productivity!$E$21)),0)</f>
        <v>0</v>
      </c>
      <c r="AJ26" s="309">
        <f>ROUND(AJ22/(Productivity!$E$17*(1+Productivity!$E$21)),0)</f>
        <v>0</v>
      </c>
      <c r="AK26" s="309">
        <f>ROUND(AK22/(Productivity!$E$17*(1+Productivity!$E$21)),0)</f>
        <v>0</v>
      </c>
      <c r="AL26" s="309">
        <f>ROUND(AL22/(Productivity!$E$17*(1+Productivity!$E$21)),0)</f>
        <v>0</v>
      </c>
      <c r="AM26" s="309">
        <f>ROUND(AM22/(Productivity!$E$17*(1+Productivity!$E$21)),0)</f>
        <v>0</v>
      </c>
      <c r="AN26" s="309">
        <f>ROUND(AN22/(Productivity!$E$17*(1+Productivity!$E$21)),0)</f>
        <v>0</v>
      </c>
      <c r="AO26" s="309">
        <f>ROUND(AO22/(Productivity!$E$17*(1+Productivity!$E$21)),0)</f>
        <v>0</v>
      </c>
      <c r="AP26" s="309">
        <f>ROUND(AP22/(Productivity!$E$17*(1+Productivity!$E$21)),0)</f>
        <v>0</v>
      </c>
    </row>
    <row r="27" spans="1:42">
      <c r="A27" s="549"/>
      <c r="B27" s="1408" t="s">
        <v>1287</v>
      </c>
      <c r="C27" s="1408"/>
      <c r="D27" s="1408"/>
      <c r="E27" s="1408"/>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c r="AF27" s="305"/>
      <c r="AG27" s="305"/>
      <c r="AH27" s="305"/>
      <c r="AI27" s="305"/>
      <c r="AJ27" s="305"/>
      <c r="AK27" s="305"/>
      <c r="AL27" s="305"/>
      <c r="AM27" s="305"/>
      <c r="AN27" s="305"/>
      <c r="AO27" s="308"/>
    </row>
    <row r="28" spans="1:42">
      <c r="A28" s="549"/>
      <c r="B28" s="1408" t="s">
        <v>1288</v>
      </c>
      <c r="C28" s="1408"/>
      <c r="D28" s="1408"/>
      <c r="E28" s="1408"/>
      <c r="F28" s="305"/>
      <c r="G28" s="305"/>
      <c r="H28" s="305"/>
      <c r="I28" s="305"/>
      <c r="J28" s="305"/>
      <c r="K28" s="305"/>
      <c r="L28" s="305"/>
      <c r="M28" s="305"/>
      <c r="N28" s="305"/>
      <c r="O28" s="305"/>
      <c r="P28" s="305"/>
      <c r="Q28" s="305"/>
      <c r="R28" s="305"/>
      <c r="S28" s="305"/>
      <c r="T28" s="305"/>
      <c r="U28" s="305"/>
      <c r="V28" s="305"/>
      <c r="W28" s="305"/>
      <c r="X28" s="305"/>
      <c r="Y28" s="305"/>
      <c r="Z28" s="305"/>
      <c r="AA28" s="305"/>
      <c r="AB28" s="305"/>
      <c r="AC28" s="305"/>
      <c r="AD28" s="305"/>
      <c r="AE28" s="305"/>
      <c r="AF28" s="305"/>
      <c r="AG28" s="305"/>
      <c r="AH28" s="305"/>
      <c r="AI28" s="305"/>
      <c r="AJ28" s="305"/>
      <c r="AK28" s="305"/>
      <c r="AL28" s="305"/>
      <c r="AM28" s="305"/>
      <c r="AN28" s="305"/>
      <c r="AO28" s="308"/>
    </row>
    <row r="29" spans="1:42">
      <c r="A29" s="549">
        <f>A24</f>
        <v>250</v>
      </c>
      <c r="B29" s="1332" t="str">
        <f>"Boosters required in " &amp; A29 &amp; "mm diameter"</f>
        <v>Boosters required in 250mm diameter</v>
      </c>
      <c r="C29" s="1332" t="s">
        <v>1278</v>
      </c>
      <c r="D29" s="1332"/>
      <c r="E29" s="1409">
        <f>MAX(F29:AN29)</f>
        <v>67417</v>
      </c>
      <c r="F29" s="311">
        <f>F24*Assumptions_Dashboard!$D84/1000</f>
        <v>0</v>
      </c>
      <c r="G29" s="311">
        <f>G24*Assumptions_Dashboard!$D84/1000</f>
        <v>0</v>
      </c>
      <c r="H29" s="311">
        <f>H24*Assumptions_Dashboard!$D84/1000</f>
        <v>0</v>
      </c>
      <c r="I29" s="311">
        <f>I24*Assumptions_Dashboard!$D84/1000</f>
        <v>0</v>
      </c>
      <c r="J29" s="311">
        <f>J24*Assumptions_Dashboard!$D84/1000</f>
        <v>16215.5</v>
      </c>
      <c r="K29" s="311">
        <f>K24*Assumptions_Dashboard!$D84/1000</f>
        <v>13394</v>
      </c>
      <c r="L29" s="311">
        <f>L24*Assumptions_Dashboard!$D84/1000</f>
        <v>24220.5</v>
      </c>
      <c r="M29" s="311">
        <f>M24*Assumptions_Dashboard!$D84/1000</f>
        <v>52043.5</v>
      </c>
      <c r="N29" s="311">
        <f>N24*Assumptions_Dashboard!$D84/1000</f>
        <v>50142</v>
      </c>
      <c r="O29" s="311">
        <f>O24*Assumptions_Dashboard!$D84/1000</f>
        <v>67417</v>
      </c>
      <c r="P29" s="311">
        <f>P24*Assumptions_Dashboard!$D84/1000</f>
        <v>61697.5</v>
      </c>
      <c r="Q29" s="311">
        <f>Q24*Assumptions_Dashboard!$D84/1000</f>
        <v>51572.5</v>
      </c>
      <c r="R29" s="311">
        <f>R24*Assumptions_Dashboard!$D84/1000</f>
        <v>53748</v>
      </c>
      <c r="S29" s="311">
        <f>S24*Assumptions_Dashboard!$D84/1000</f>
        <v>47929</v>
      </c>
      <c r="T29" s="311">
        <f>T24*Assumptions_Dashboard!$D84/1000</f>
        <v>54083</v>
      </c>
      <c r="U29" s="311">
        <f>U24*Assumptions_Dashboard!$D84/1000</f>
        <v>41166.5</v>
      </c>
      <c r="V29" s="311">
        <f>V24*Assumptions_Dashboard!$D84/1000</f>
        <v>36134.5</v>
      </c>
      <c r="W29" s="311">
        <f>W24*Assumptions_Dashboard!$D84/1000</f>
        <v>44915</v>
      </c>
      <c r="X29" s="311">
        <f>X24*Assumptions_Dashboard!$D84/1000</f>
        <v>44772</v>
      </c>
      <c r="Y29" s="311">
        <f>Y24*Assumptions_Dashboard!$D84/1000</f>
        <v>57043</v>
      </c>
      <c r="Z29" s="311">
        <f>Z24*Assumptions_Dashboard!$D84/1000</f>
        <v>35117</v>
      </c>
      <c r="AA29" s="311">
        <f>AA24*Assumptions_Dashboard!$D84/1000</f>
        <v>6022</v>
      </c>
      <c r="AB29" s="311">
        <f>AB24*Assumptions_Dashboard!$D84/1000</f>
        <v>1722</v>
      </c>
      <c r="AC29" s="311">
        <f>AC24*Assumptions_Dashboard!$D84/1000</f>
        <v>0</v>
      </c>
      <c r="AD29" s="311">
        <f>AD24*Assumptions_Dashboard!$D84/1000</f>
        <v>0</v>
      </c>
      <c r="AE29" s="311">
        <f>AE24*Assumptions_Dashboard!$D84/1000</f>
        <v>0</v>
      </c>
      <c r="AF29" s="311">
        <f>AF24*Assumptions_Dashboard!$D84/1000</f>
        <v>0</v>
      </c>
      <c r="AG29" s="311">
        <f>AG24*Assumptions_Dashboard!$D84/1000</f>
        <v>0</v>
      </c>
      <c r="AH29" s="311">
        <f>AH24*Assumptions_Dashboard!$D84/1000</f>
        <v>0</v>
      </c>
      <c r="AI29" s="311">
        <f>AI24*Assumptions_Dashboard!$D84/1000</f>
        <v>0</v>
      </c>
      <c r="AJ29" s="311">
        <f>AJ24*Assumptions_Dashboard!$D84/1000</f>
        <v>0</v>
      </c>
      <c r="AK29" s="311">
        <f>AK24*Assumptions_Dashboard!$D84/1000</f>
        <v>0</v>
      </c>
      <c r="AL29" s="311">
        <f>AL24*Assumptions_Dashboard!$D84/1000</f>
        <v>0</v>
      </c>
      <c r="AM29" s="311">
        <f>AM24*Assumptions_Dashboard!$D84/1000</f>
        <v>0</v>
      </c>
      <c r="AN29" s="311">
        <f>AN24*Assumptions_Dashboard!$D84/1000</f>
        <v>0</v>
      </c>
      <c r="AO29" s="311">
        <f>AO24*Assumptions_Dashboard!$D84/1000</f>
        <v>0</v>
      </c>
      <c r="AP29" s="311">
        <f>AP24*Assumptions_Dashboard!$D84/1000</f>
        <v>0</v>
      </c>
    </row>
    <row r="30" spans="1:42">
      <c r="A30" s="549">
        <f>A25</f>
        <v>160</v>
      </c>
      <c r="B30" s="1332" t="str">
        <f t="shared" ref="B30:B31" si="2">"Boosters required in " &amp; A30 &amp; "mm diameter"</f>
        <v>Boosters required in 160mm diameter</v>
      </c>
      <c r="C30" s="1332" t="s">
        <v>1278</v>
      </c>
      <c r="D30" s="1332"/>
      <c r="E30" s="1409">
        <f t="shared" ref="E30:E39" si="3">MAX(F30:AN30)</f>
        <v>16243.2</v>
      </c>
      <c r="F30" s="311">
        <f>F25*Assumptions_Dashboard!$D85/1000</f>
        <v>0</v>
      </c>
      <c r="G30" s="311">
        <f>G25*Assumptions_Dashboard!$D85/1000</f>
        <v>0</v>
      </c>
      <c r="H30" s="311">
        <f>H25*Assumptions_Dashboard!$D85/1000</f>
        <v>0</v>
      </c>
      <c r="I30" s="311">
        <f>I25*Assumptions_Dashboard!$D85/1000</f>
        <v>0</v>
      </c>
      <c r="J30" s="311">
        <f>J25*Assumptions_Dashboard!$D85/1000</f>
        <v>3924</v>
      </c>
      <c r="K30" s="311">
        <f>K25*Assumptions_Dashboard!$D85/1000</f>
        <v>3257.2</v>
      </c>
      <c r="L30" s="311">
        <f>L25*Assumptions_Dashboard!$D85/1000</f>
        <v>5900</v>
      </c>
      <c r="M30" s="311">
        <f>M25*Assumptions_Dashboard!$D85/1000</f>
        <v>12599.6</v>
      </c>
      <c r="N30" s="311">
        <f>N25*Assumptions_Dashboard!$D85/1000</f>
        <v>12121.6</v>
      </c>
      <c r="O30" s="311">
        <f>O25*Assumptions_Dashboard!$D85/1000</f>
        <v>16243.2</v>
      </c>
      <c r="P30" s="311">
        <f>P25*Assumptions_Dashboard!$D85/1000</f>
        <v>14868.8</v>
      </c>
      <c r="Q30" s="311">
        <f>Q25*Assumptions_Dashboard!$D85/1000</f>
        <v>12435.6</v>
      </c>
      <c r="R30" s="311">
        <f>R25*Assumptions_Dashboard!$D85/1000</f>
        <v>12958.4</v>
      </c>
      <c r="S30" s="311">
        <f>S25*Assumptions_Dashboard!$D85/1000</f>
        <v>11560</v>
      </c>
      <c r="T30" s="311">
        <f>T25*Assumptions_Dashboard!$D85/1000</f>
        <v>13022.8</v>
      </c>
      <c r="U30" s="311">
        <f>U25*Assumptions_Dashboard!$D85/1000</f>
        <v>9918.7999999999993</v>
      </c>
      <c r="V30" s="311">
        <f>V25*Assumptions_Dashboard!$D85/1000</f>
        <v>8709.6</v>
      </c>
      <c r="W30" s="311">
        <f>W25*Assumptions_Dashboard!$D85/1000</f>
        <v>10819.6</v>
      </c>
      <c r="X30" s="311">
        <f>X25*Assumptions_Dashboard!$D85/1000</f>
        <v>10785.2</v>
      </c>
      <c r="Y30" s="311">
        <f>Y25*Assumptions_Dashboard!$D85/1000</f>
        <v>13731.2</v>
      </c>
      <c r="Z30" s="311">
        <f>Z25*Assumptions_Dashboard!$D85/1000</f>
        <v>8462</v>
      </c>
      <c r="AA30" s="311">
        <f>AA25*Assumptions_Dashboard!$D85/1000</f>
        <v>1470.4</v>
      </c>
      <c r="AB30" s="311">
        <f>AB25*Assumptions_Dashboard!$D85/1000</f>
        <v>436.8</v>
      </c>
      <c r="AC30" s="311">
        <f>AC25*Assumptions_Dashboard!$D85/1000</f>
        <v>0</v>
      </c>
      <c r="AD30" s="311">
        <f>AD25*Assumptions_Dashboard!$D85/1000</f>
        <v>0</v>
      </c>
      <c r="AE30" s="311">
        <f>AE25*Assumptions_Dashboard!$D85/1000</f>
        <v>0</v>
      </c>
      <c r="AF30" s="311">
        <f>AF25*Assumptions_Dashboard!$D85/1000</f>
        <v>0</v>
      </c>
      <c r="AG30" s="311">
        <f>AG25*Assumptions_Dashboard!$D85/1000</f>
        <v>0</v>
      </c>
      <c r="AH30" s="311">
        <f>AH25*Assumptions_Dashboard!$D85/1000</f>
        <v>0</v>
      </c>
      <c r="AI30" s="311">
        <f>AI25*Assumptions_Dashboard!$D85/1000</f>
        <v>0</v>
      </c>
      <c r="AJ30" s="311">
        <f>AJ25*Assumptions_Dashboard!$D85/1000</f>
        <v>0</v>
      </c>
      <c r="AK30" s="311">
        <f>AK25*Assumptions_Dashboard!$D85/1000</f>
        <v>0</v>
      </c>
      <c r="AL30" s="311">
        <f>AL25*Assumptions_Dashboard!$D85/1000</f>
        <v>0</v>
      </c>
      <c r="AM30" s="311">
        <f>AM25*Assumptions_Dashboard!$D85/1000</f>
        <v>0</v>
      </c>
      <c r="AN30" s="311">
        <f>AN25*Assumptions_Dashboard!$D85/1000</f>
        <v>0</v>
      </c>
      <c r="AO30" s="311">
        <f>AO25*Assumptions_Dashboard!$D85/1000</f>
        <v>0</v>
      </c>
      <c r="AP30" s="311">
        <f>AP25*Assumptions_Dashboard!$D85/1000</f>
        <v>0</v>
      </c>
    </row>
    <row r="31" spans="1:42">
      <c r="A31" s="549">
        <f>A26</f>
        <v>115</v>
      </c>
      <c r="B31" s="1332" t="str">
        <f t="shared" si="2"/>
        <v>Boosters required in 115mm diameter</v>
      </c>
      <c r="C31" s="1332" t="s">
        <v>1278</v>
      </c>
      <c r="D31" s="1332"/>
      <c r="E31" s="1409">
        <f t="shared" si="3"/>
        <v>697.68</v>
      </c>
      <c r="F31" s="311">
        <f>F26*Assumptions_Dashboard!$D86/1000</f>
        <v>0</v>
      </c>
      <c r="G31" s="311">
        <f>G26*Assumptions_Dashboard!$D86/1000</f>
        <v>0</v>
      </c>
      <c r="H31" s="311">
        <f>H26*Assumptions_Dashboard!$D86/1000</f>
        <v>0</v>
      </c>
      <c r="I31" s="311">
        <f>I26*Assumptions_Dashboard!$D86/1000</f>
        <v>0</v>
      </c>
      <c r="J31" s="311">
        <f>J26*Assumptions_Dashboard!$D86/1000</f>
        <v>348.84</v>
      </c>
      <c r="K31" s="311">
        <f>K26*Assumptions_Dashboard!$D86/1000</f>
        <v>697.68</v>
      </c>
      <c r="L31" s="311">
        <f>L26*Assumptions_Dashboard!$D86/1000</f>
        <v>209.31</v>
      </c>
      <c r="M31" s="311">
        <f>M26*Assumptions_Dashboard!$D86/1000</f>
        <v>313.95</v>
      </c>
      <c r="N31" s="311">
        <f>N26*Assumptions_Dashboard!$D86/1000</f>
        <v>392.43</v>
      </c>
      <c r="O31" s="311">
        <f>O26*Assumptions_Dashboard!$D86/1000</f>
        <v>392.43</v>
      </c>
      <c r="P31" s="311">
        <f>P26*Assumptions_Dashboard!$D86/1000</f>
        <v>392.43</v>
      </c>
      <c r="Q31" s="311">
        <f>Q26*Assumptions_Dashboard!$D86/1000</f>
        <v>392.43</v>
      </c>
      <c r="R31" s="311">
        <f>R26*Assumptions_Dashboard!$D86/1000</f>
        <v>392.43</v>
      </c>
      <c r="S31" s="311">
        <f>S26*Assumptions_Dashboard!$D86/1000</f>
        <v>392.43</v>
      </c>
      <c r="T31" s="311">
        <f>T26*Assumptions_Dashboard!$D86/1000</f>
        <v>392.43</v>
      </c>
      <c r="U31" s="311">
        <f>U26*Assumptions_Dashboard!$D86/1000</f>
        <v>392.43</v>
      </c>
      <c r="V31" s="311">
        <f>V26*Assumptions_Dashboard!$D86/1000</f>
        <v>392.43</v>
      </c>
      <c r="W31" s="311">
        <f>W26*Assumptions_Dashboard!$D86/1000</f>
        <v>392.43</v>
      </c>
      <c r="X31" s="311">
        <f>X26*Assumptions_Dashboard!$D86/1000</f>
        <v>392.43</v>
      </c>
      <c r="Y31" s="311">
        <f>Y26*Assumptions_Dashboard!$D86/1000</f>
        <v>392.43</v>
      </c>
      <c r="Z31" s="311">
        <f>Z26*Assumptions_Dashboard!$D86/1000</f>
        <v>261.63</v>
      </c>
      <c r="AA31" s="311">
        <f>AA26*Assumptions_Dashboard!$D86/1000</f>
        <v>196.23</v>
      </c>
      <c r="AB31" s="311">
        <f>AB26*Assumptions_Dashboard!$D86/1000</f>
        <v>57.66</v>
      </c>
      <c r="AC31" s="311">
        <f>AC26*Assumptions_Dashboard!$D86/1000</f>
        <v>0</v>
      </c>
      <c r="AD31" s="311">
        <f>AD26*Assumptions_Dashboard!$D86/1000</f>
        <v>0</v>
      </c>
      <c r="AE31" s="311">
        <f>AE26*Assumptions_Dashboard!$D86/1000</f>
        <v>0</v>
      </c>
      <c r="AF31" s="311">
        <f>AF26*Assumptions_Dashboard!$D86/1000</f>
        <v>0</v>
      </c>
      <c r="AG31" s="311">
        <f>AG26*Assumptions_Dashboard!$D86/1000</f>
        <v>0</v>
      </c>
      <c r="AH31" s="311">
        <f>AH26*Assumptions_Dashboard!$D86/1000</f>
        <v>0</v>
      </c>
      <c r="AI31" s="311">
        <f>AI26*Assumptions_Dashboard!$D86/1000</f>
        <v>0</v>
      </c>
      <c r="AJ31" s="311">
        <f>AJ26*Assumptions_Dashboard!$D86/1000</f>
        <v>0</v>
      </c>
      <c r="AK31" s="311">
        <f>AK26*Assumptions_Dashboard!$D86/1000</f>
        <v>0</v>
      </c>
      <c r="AL31" s="311">
        <f>AL26*Assumptions_Dashboard!$D86/1000</f>
        <v>0</v>
      </c>
      <c r="AM31" s="311">
        <f>AM26*Assumptions_Dashboard!$D86/1000</f>
        <v>0</v>
      </c>
      <c r="AN31" s="311">
        <f>AN26*Assumptions_Dashboard!$D86/1000</f>
        <v>0</v>
      </c>
      <c r="AO31" s="311">
        <f>AO26*Assumptions_Dashboard!$D86/1000</f>
        <v>0</v>
      </c>
      <c r="AP31" s="311">
        <f>AP26*Assumptions_Dashboard!$D86/1000</f>
        <v>0</v>
      </c>
    </row>
    <row r="32" spans="1:42">
      <c r="A32" s="549"/>
      <c r="B32" s="1408" t="s">
        <v>1289</v>
      </c>
      <c r="C32" s="1332"/>
      <c r="D32" s="1332"/>
      <c r="E32" s="1409"/>
      <c r="F32" s="311"/>
      <c r="G32" s="311"/>
      <c r="H32" s="311"/>
      <c r="I32" s="311"/>
      <c r="J32" s="311"/>
      <c r="K32" s="311"/>
      <c r="L32" s="311"/>
      <c r="M32" s="311"/>
      <c r="N32" s="311"/>
      <c r="O32" s="311"/>
      <c r="P32" s="311"/>
      <c r="Q32" s="311"/>
      <c r="R32" s="311"/>
      <c r="S32" s="311"/>
      <c r="T32" s="311"/>
      <c r="U32" s="311"/>
      <c r="V32" s="311"/>
      <c r="W32" s="311"/>
      <c r="X32" s="311"/>
      <c r="Y32" s="311"/>
      <c r="Z32" s="311"/>
      <c r="AA32" s="311"/>
      <c r="AB32" s="311"/>
      <c r="AC32" s="311"/>
      <c r="AD32" s="311"/>
      <c r="AE32" s="311"/>
      <c r="AF32" s="311"/>
      <c r="AG32" s="311"/>
      <c r="AH32" s="311"/>
      <c r="AI32" s="311"/>
      <c r="AJ32" s="311"/>
      <c r="AK32" s="311"/>
      <c r="AL32" s="311"/>
      <c r="AM32" s="311"/>
      <c r="AN32" s="311"/>
      <c r="AO32" s="311"/>
      <c r="AP32" s="311"/>
    </row>
    <row r="33" spans="1:43">
      <c r="A33" s="549">
        <f>A29</f>
        <v>250</v>
      </c>
      <c r="B33" s="1332" t="str">
        <f>"Nonel and surface delay required in  " &amp; A33 &amp; "mm diameter"</f>
        <v>Nonel and surface delay required in  250mm diameter</v>
      </c>
      <c r="C33" s="1332" t="s">
        <v>425</v>
      </c>
      <c r="D33" s="1332"/>
      <c r="E33" s="1409">
        <f t="shared" si="3"/>
        <v>2359.5949999999998</v>
      </c>
      <c r="F33" s="345">
        <f>F24*($D$7+Productivity!$D$19+2)/1000</f>
        <v>0</v>
      </c>
      <c r="G33" s="345">
        <f>G24*($D$7+Productivity!$D$19+2)/1000</f>
        <v>0</v>
      </c>
      <c r="H33" s="345">
        <f>H24*($D$7+Productivity!$D$19+2)/1000</f>
        <v>0</v>
      </c>
      <c r="I33" s="345">
        <f>I24*($D$7+Productivity!$D$19+2)/1000</f>
        <v>0</v>
      </c>
      <c r="J33" s="345">
        <f>J24*($D$7+Productivity!$D$19+2)/1000</f>
        <v>567.54250000000002</v>
      </c>
      <c r="K33" s="345">
        <f>K24*($D$7+Productivity!$D$19+2)/1000</f>
        <v>468.79</v>
      </c>
      <c r="L33" s="345">
        <f>L24*($D$7+Productivity!$D$19+2)/1000</f>
        <v>847.71749999999997</v>
      </c>
      <c r="M33" s="345">
        <f>M24*($D$7+Productivity!$D$19+2)/1000</f>
        <v>1821.5225</v>
      </c>
      <c r="N33" s="345">
        <f>N24*($D$7+Productivity!$D$19+2)/1000</f>
        <v>1754.97</v>
      </c>
      <c r="O33" s="345">
        <f>O24*($D$7+Productivity!$D$19+2)/1000</f>
        <v>2359.5949999999998</v>
      </c>
      <c r="P33" s="345">
        <f>P24*($D$7+Productivity!$D$19+2)/1000</f>
        <v>2159.4124999999999</v>
      </c>
      <c r="Q33" s="345">
        <f>Q24*($D$7+Productivity!$D$19+2)/1000</f>
        <v>1805.0374999999999</v>
      </c>
      <c r="R33" s="345">
        <f>R24*($D$7+Productivity!$D$19+2)/1000</f>
        <v>1881.18</v>
      </c>
      <c r="S33" s="345">
        <f>S24*($D$7+Productivity!$D$19+2)/1000</f>
        <v>1677.5150000000001</v>
      </c>
      <c r="T33" s="345">
        <f>T24*($D$7+Productivity!$D$19+2)/1000</f>
        <v>1892.905</v>
      </c>
      <c r="U33" s="345">
        <f>U24*($D$7+Productivity!$D$19+2)/1000</f>
        <v>1440.8275000000001</v>
      </c>
      <c r="V33" s="345">
        <f>V24*($D$7+Productivity!$D$19+2)/1000</f>
        <v>1264.7075</v>
      </c>
      <c r="W33" s="345">
        <f>W24*($D$7+Productivity!$D$19+2)/1000</f>
        <v>1572.0250000000001</v>
      </c>
      <c r="X33" s="345">
        <f>X24*($D$7+Productivity!$D$19+2)/1000</f>
        <v>1567.02</v>
      </c>
      <c r="Y33" s="345">
        <f>Y24*($D$7+Productivity!$D$19+2)/1000</f>
        <v>1996.5050000000001</v>
      </c>
      <c r="Z33" s="345">
        <f>Z24*($D$7+Productivity!$D$19+2)/1000</f>
        <v>1229.095</v>
      </c>
      <c r="AA33" s="345">
        <f>AA24*($D$7+Productivity!$D$19+2)/1000</f>
        <v>210.77</v>
      </c>
      <c r="AB33" s="345">
        <f>AB24*($D$7+Productivity!$D$19+2)/1000</f>
        <v>60.27</v>
      </c>
      <c r="AC33" s="345">
        <f>AC24*($D$7+Productivity!$D$19+2)/1000</f>
        <v>0</v>
      </c>
      <c r="AD33" s="345">
        <f>AD24*($D$7+Productivity!$D$19+2)/1000</f>
        <v>0</v>
      </c>
      <c r="AE33" s="345">
        <f>AE24*($D$7+Productivity!$D$19+2)/1000</f>
        <v>0</v>
      </c>
      <c r="AF33" s="345">
        <f>AF24*($D$7+Productivity!$D$19+2)/1000</f>
        <v>0</v>
      </c>
      <c r="AG33" s="345">
        <f>AG24*($D$7+Productivity!$D$19+2)/1000</f>
        <v>0</v>
      </c>
      <c r="AH33" s="345">
        <f>AH24*($D$7+Productivity!$D$19+2)/1000</f>
        <v>0</v>
      </c>
      <c r="AI33" s="345">
        <f>AI24*($D$7+Productivity!$D$19+2)/1000</f>
        <v>0</v>
      </c>
      <c r="AJ33" s="345">
        <f>AJ24*($D$7+Productivity!$D$19+2)/1000</f>
        <v>0</v>
      </c>
      <c r="AK33" s="345">
        <f>AK24*($D$7+Productivity!$D$19+2)/1000</f>
        <v>0</v>
      </c>
      <c r="AL33" s="345">
        <f>AL24*($D$7+Productivity!$D$19+2)/1000</f>
        <v>0</v>
      </c>
      <c r="AM33" s="345">
        <f>AM24*($D$7+Productivity!$D$19+2)/1000</f>
        <v>0</v>
      </c>
      <c r="AN33" s="345">
        <f>AN24*($D$7+Productivity!$D$19+2)/1000</f>
        <v>0</v>
      </c>
      <c r="AO33" s="345">
        <f>AO24*($D$7+Productivity!$D$19+2)/1000</f>
        <v>0</v>
      </c>
      <c r="AP33" s="345">
        <f>AP24*($D$7+Productivity!$D$19+2)/1000</f>
        <v>0</v>
      </c>
    </row>
    <row r="34" spans="1:43">
      <c r="A34" s="549">
        <f t="shared" ref="A34:A35" si="4">A30</f>
        <v>160</v>
      </c>
      <c r="B34" s="1332" t="str">
        <f t="shared" ref="B34:B35" si="5">"Nonel and surface delay required in  " &amp; A34 &amp; "mm diameter"</f>
        <v>Nonel and surface delay required in  160mm diameter</v>
      </c>
      <c r="C34" s="1332" t="s">
        <v>425</v>
      </c>
      <c r="D34" s="1332"/>
      <c r="E34" s="1409">
        <f t="shared" si="3"/>
        <v>710.64</v>
      </c>
      <c r="F34" s="345">
        <f>F25*($D$7+Productivity!$F$19+2)/1000</f>
        <v>0</v>
      </c>
      <c r="G34" s="345">
        <f>G25*($D$7+Productivity!$F$19+2)/1000</f>
        <v>0</v>
      </c>
      <c r="H34" s="345">
        <f>H25*($D$7+Productivity!$F$19+2)/1000</f>
        <v>0</v>
      </c>
      <c r="I34" s="345">
        <f>I25*($D$7+Productivity!$F$19+2)/1000</f>
        <v>0</v>
      </c>
      <c r="J34" s="345">
        <f>J25*($D$7+Productivity!$F$19+2)/1000</f>
        <v>171.67500000000001</v>
      </c>
      <c r="K34" s="345">
        <f>K25*($D$7+Productivity!$F$19+2)/1000</f>
        <v>142.5025</v>
      </c>
      <c r="L34" s="345">
        <f>L25*($D$7+Productivity!$F$19+2)/1000</f>
        <v>258.125</v>
      </c>
      <c r="M34" s="345">
        <f>M25*($D$7+Productivity!$F$19+2)/1000</f>
        <v>551.23249999999996</v>
      </c>
      <c r="N34" s="345">
        <f>N25*($D$7+Productivity!$F$19+2)/1000</f>
        <v>530.32000000000005</v>
      </c>
      <c r="O34" s="345">
        <f>O25*($D$7+Productivity!$F$19+2)/1000</f>
        <v>710.64</v>
      </c>
      <c r="P34" s="345">
        <f>P25*($D$7+Productivity!$F$19+2)/1000</f>
        <v>650.51</v>
      </c>
      <c r="Q34" s="345">
        <f>Q25*($D$7+Productivity!$F$19+2)/1000</f>
        <v>544.0575</v>
      </c>
      <c r="R34" s="345">
        <f>R25*($D$7+Productivity!$F$19+2)/1000</f>
        <v>566.92999999999995</v>
      </c>
      <c r="S34" s="345">
        <f>S25*($D$7+Productivity!$F$19+2)/1000</f>
        <v>505.75</v>
      </c>
      <c r="T34" s="345">
        <f>T25*($D$7+Productivity!$F$19+2)/1000</f>
        <v>569.74749999999995</v>
      </c>
      <c r="U34" s="345">
        <f>U25*($D$7+Productivity!$F$19+2)/1000</f>
        <v>433.94749999999999</v>
      </c>
      <c r="V34" s="345">
        <f>V25*($D$7+Productivity!$F$19+2)/1000</f>
        <v>381.04500000000002</v>
      </c>
      <c r="W34" s="345">
        <f>W25*($D$7+Productivity!$F$19+2)/1000</f>
        <v>473.35750000000002</v>
      </c>
      <c r="X34" s="345">
        <f>X25*($D$7+Productivity!$F$19+2)/1000</f>
        <v>471.85250000000002</v>
      </c>
      <c r="Y34" s="345">
        <f>Y25*($D$7+Productivity!$F$19+2)/1000</f>
        <v>600.74</v>
      </c>
      <c r="Z34" s="345">
        <f>Z25*($D$7+Productivity!$F$19+2)/1000</f>
        <v>370.21249999999998</v>
      </c>
      <c r="AA34" s="345">
        <f>AA25*($D$7+Productivity!$F$19+2)/1000</f>
        <v>64.33</v>
      </c>
      <c r="AB34" s="345">
        <f>AB25*($D$7+Productivity!$F$19+2)/1000</f>
        <v>19.11</v>
      </c>
      <c r="AC34" s="345">
        <f>AC25*($D$7+Productivity!$F$19+2)/1000</f>
        <v>0</v>
      </c>
      <c r="AD34" s="345">
        <f>AD25*($D$7+Productivity!$F$19+2)/1000</f>
        <v>0</v>
      </c>
      <c r="AE34" s="345">
        <f>AE25*($D$7+Productivity!$F$19+2)/1000</f>
        <v>0</v>
      </c>
      <c r="AF34" s="345">
        <f>AF25*($D$7+Productivity!$F$19+2)/1000</f>
        <v>0</v>
      </c>
      <c r="AG34" s="345">
        <f>AG25*($D$7+Productivity!$F$19+2)/1000</f>
        <v>0</v>
      </c>
      <c r="AH34" s="345">
        <f>AH25*($D$7+Productivity!$F$19+2)/1000</f>
        <v>0</v>
      </c>
      <c r="AI34" s="345">
        <f>AI25*($D$7+Productivity!$F$19+2)/1000</f>
        <v>0</v>
      </c>
      <c r="AJ34" s="345">
        <f>AJ25*($D$7+Productivity!$F$19+2)/1000</f>
        <v>0</v>
      </c>
      <c r="AK34" s="345">
        <f>AK25*($D$7+Productivity!$F$19+2)/1000</f>
        <v>0</v>
      </c>
      <c r="AL34" s="345">
        <f>AL25*($D$7+Productivity!$F$19+2)/1000</f>
        <v>0</v>
      </c>
      <c r="AM34" s="345">
        <f>AM25*($D$7+Productivity!$F$19+2)/1000</f>
        <v>0</v>
      </c>
      <c r="AN34" s="345">
        <f>AN25*($D$7+Productivity!$F$19+2)/1000</f>
        <v>0</v>
      </c>
      <c r="AO34" s="345">
        <f>AO25*($D$7+Productivity!$F$19+2)/1000</f>
        <v>0</v>
      </c>
      <c r="AP34" s="345">
        <f>AP25*($D$7+Productivity!$F$19+2)/1000</f>
        <v>0</v>
      </c>
    </row>
    <row r="35" spans="1:43">
      <c r="A35" s="549">
        <f t="shared" si="4"/>
        <v>115</v>
      </c>
      <c r="B35" s="1332" t="str">
        <f t="shared" si="5"/>
        <v>Nonel and surface delay required in  115mm diameter</v>
      </c>
      <c r="C35" s="1332" t="s">
        <v>425</v>
      </c>
      <c r="D35" s="1332"/>
      <c r="E35" s="1409">
        <f t="shared" si="3"/>
        <v>395.35199999999998</v>
      </c>
      <c r="F35" s="345">
        <f>F26*($D$7+Productivity!$E$19+2)/1000</f>
        <v>0</v>
      </c>
      <c r="G35" s="345">
        <f>G26*($D$7+Productivity!$E$19+2)/1000</f>
        <v>0</v>
      </c>
      <c r="H35" s="345">
        <f>H26*($D$7+Productivity!$E$19+2)/1000</f>
        <v>0</v>
      </c>
      <c r="I35" s="345">
        <f>I26*($D$7+Productivity!$E$19+2)/1000</f>
        <v>0</v>
      </c>
      <c r="J35" s="345">
        <f>J26*($D$7+Productivity!$E$19+2)/1000</f>
        <v>197.67599999999999</v>
      </c>
      <c r="K35" s="345">
        <f>K26*($D$7+Productivity!$E$19+2)/1000</f>
        <v>395.35199999999998</v>
      </c>
      <c r="L35" s="345">
        <f>L26*($D$7+Productivity!$E$19+2)/1000</f>
        <v>118.60899999999999</v>
      </c>
      <c r="M35" s="345">
        <f>M26*($D$7+Productivity!$E$19+2)/1000</f>
        <v>177.905</v>
      </c>
      <c r="N35" s="345">
        <f>N26*($D$7+Productivity!$E$19+2)/1000</f>
        <v>222.37700000000001</v>
      </c>
      <c r="O35" s="345">
        <f>O26*($D$7+Productivity!$E$19+2)/1000</f>
        <v>222.37700000000001</v>
      </c>
      <c r="P35" s="345">
        <f>P26*($D$7+Productivity!$E$19+2)/1000</f>
        <v>222.37700000000001</v>
      </c>
      <c r="Q35" s="345">
        <f>Q26*($D$7+Productivity!$E$19+2)/1000</f>
        <v>222.37700000000001</v>
      </c>
      <c r="R35" s="345">
        <f>R26*($D$7+Productivity!$E$19+2)/1000</f>
        <v>222.37700000000001</v>
      </c>
      <c r="S35" s="345">
        <f>S26*($D$7+Productivity!$E$19+2)/1000</f>
        <v>222.37700000000001</v>
      </c>
      <c r="T35" s="345">
        <f>T26*($D$7+Productivity!$E$19+2)/1000</f>
        <v>222.37700000000001</v>
      </c>
      <c r="U35" s="345">
        <f>U26*($D$7+Productivity!$E$19+2)/1000</f>
        <v>222.37700000000001</v>
      </c>
      <c r="V35" s="345">
        <f>V26*($D$7+Productivity!$E$19+2)/1000</f>
        <v>222.37700000000001</v>
      </c>
      <c r="W35" s="345">
        <f>W26*($D$7+Productivity!$E$19+2)/1000</f>
        <v>222.37700000000001</v>
      </c>
      <c r="X35" s="345">
        <f>X26*($D$7+Productivity!$E$19+2)/1000</f>
        <v>222.37700000000001</v>
      </c>
      <c r="Y35" s="345">
        <f>Y26*($D$7+Productivity!$E$19+2)/1000</f>
        <v>222.37700000000001</v>
      </c>
      <c r="Z35" s="345">
        <f>Z26*($D$7+Productivity!$E$19+2)/1000</f>
        <v>148.25700000000001</v>
      </c>
      <c r="AA35" s="345">
        <f>AA26*($D$7+Productivity!$E$19+2)/1000</f>
        <v>111.197</v>
      </c>
      <c r="AB35" s="345">
        <f>AB26*($D$7+Productivity!$E$19+2)/1000</f>
        <v>32.673999999999999</v>
      </c>
      <c r="AC35" s="345">
        <f>AC26*($D$7+Productivity!$E$19+2)/1000</f>
        <v>0</v>
      </c>
      <c r="AD35" s="345">
        <f>AD26*($D$7+Productivity!$E$19+2)/1000</f>
        <v>0</v>
      </c>
      <c r="AE35" s="345">
        <f>AE26*($D$7+Productivity!$E$19+2)/1000</f>
        <v>0</v>
      </c>
      <c r="AF35" s="345">
        <f>AF26*($D$7+Productivity!$E$19+2)/1000</f>
        <v>0</v>
      </c>
      <c r="AG35" s="345">
        <f>AG26*($D$7+Productivity!$E$19+2)/1000</f>
        <v>0</v>
      </c>
      <c r="AH35" s="345">
        <f>AH26*($D$7+Productivity!$E$19+2)/1000</f>
        <v>0</v>
      </c>
      <c r="AI35" s="345">
        <f>AI26*($D$7+Productivity!$E$19+2)/1000</f>
        <v>0</v>
      </c>
      <c r="AJ35" s="345">
        <f>AJ26*($D$7+Productivity!$E$19+2)/1000</f>
        <v>0</v>
      </c>
      <c r="AK35" s="345">
        <f>AK26*($D$7+Productivity!$E$19+2)/1000</f>
        <v>0</v>
      </c>
      <c r="AL35" s="345">
        <f>AL26*($D$7+Productivity!$E$19+2)/1000</f>
        <v>0</v>
      </c>
      <c r="AM35" s="345">
        <f>AM26*($D$7+Productivity!$E$19+2)/1000</f>
        <v>0</v>
      </c>
      <c r="AN35" s="345">
        <f>AN26*($D$7+Productivity!$E$19+2)/1000</f>
        <v>0</v>
      </c>
      <c r="AO35" s="345">
        <f>AO26*($D$7+Productivity!$E$19+2)/1000</f>
        <v>0</v>
      </c>
      <c r="AP35" s="345">
        <f>AP26*($D$7+Productivity!$E$19+2)/1000</f>
        <v>0</v>
      </c>
    </row>
    <row r="36" spans="1:43">
      <c r="A36" s="549"/>
      <c r="B36" s="1408" t="s">
        <v>1290</v>
      </c>
      <c r="C36" s="1332"/>
      <c r="D36" s="1332"/>
      <c r="E36" s="1409"/>
      <c r="F36" s="309"/>
      <c r="G36" s="309"/>
      <c r="H36" s="309"/>
      <c r="I36" s="309"/>
      <c r="J36" s="309"/>
      <c r="K36" s="309"/>
      <c r="L36" s="309"/>
      <c r="M36" s="309"/>
      <c r="N36" s="309"/>
      <c r="O36" s="309"/>
      <c r="P36" s="309"/>
      <c r="Q36" s="309"/>
      <c r="R36" s="309"/>
      <c r="S36" s="309"/>
      <c r="T36" s="309"/>
      <c r="U36" s="309"/>
      <c r="V36" s="309"/>
      <c r="W36" s="309"/>
      <c r="X36" s="309"/>
      <c r="Y36" s="309"/>
      <c r="Z36" s="309"/>
      <c r="AA36" s="309"/>
      <c r="AB36" s="309"/>
      <c r="AC36" s="309"/>
      <c r="AD36" s="309"/>
      <c r="AE36" s="309"/>
      <c r="AF36" s="309"/>
      <c r="AG36" s="309"/>
      <c r="AH36" s="309"/>
      <c r="AI36" s="309"/>
      <c r="AJ36" s="309"/>
      <c r="AK36" s="309"/>
      <c r="AL36" s="309"/>
      <c r="AM36" s="309"/>
      <c r="AN36" s="309"/>
      <c r="AO36" s="310"/>
    </row>
    <row r="37" spans="1:43">
      <c r="A37" s="549">
        <f>A33</f>
        <v>250</v>
      </c>
      <c r="B37" s="1332" t="str">
        <f>"Bulk explosives required in  " &amp; A37 &amp; "mm diameter"</f>
        <v>Bulk explosives required in  250mm diameter</v>
      </c>
      <c r="C37" s="1332" t="s">
        <v>1114</v>
      </c>
      <c r="D37" s="1332"/>
      <c r="E37" s="1409">
        <f>MAX(F37:AN37)</f>
        <v>17161.192567200367</v>
      </c>
      <c r="F37" s="311">
        <f>$D$13*Fleet!G9*10^6/1000</f>
        <v>0</v>
      </c>
      <c r="G37" s="311">
        <f>$D$13*Fleet!H9*10^6/1000</f>
        <v>0</v>
      </c>
      <c r="H37" s="311">
        <f>$D$13*Fleet!I9*10^6/1000</f>
        <v>0</v>
      </c>
      <c r="I37" s="311">
        <f>$D$13*Fleet!J9*10^6/1000</f>
        <v>0</v>
      </c>
      <c r="J37" s="311">
        <f>$D$14*Fleet!K9*10^6/1000</f>
        <v>4127.6444663761777</v>
      </c>
      <c r="K37" s="311">
        <f>$D$14*Fleet!L9*10^6/1000</f>
        <v>3409.4895611898064</v>
      </c>
      <c r="L37" s="311">
        <f>$D$14*Fleet!M9*10^6/1000</f>
        <v>6165.3970520102357</v>
      </c>
      <c r="M37" s="311">
        <f>$D$14*Fleet!N9*10^6/1000</f>
        <v>13247.879732124249</v>
      </c>
      <c r="N37" s="311">
        <f>$D$14*Fleet!O9*10^6/1000</f>
        <v>12763.813480845851</v>
      </c>
      <c r="O37" s="311">
        <f>$D$14*Fleet!P9*10^6/1000</f>
        <v>17161.192567200367</v>
      </c>
      <c r="P37" s="311">
        <f>$D$14*Fleet!Q9*10^6/1000</f>
        <v>15705.330100620617</v>
      </c>
      <c r="Q37" s="311">
        <f>$D$14*Fleet!R9*10^6/1000</f>
        <v>13127.939824929079</v>
      </c>
      <c r="R37" s="311">
        <f>$D$14*Fleet!S9*10^6/1000</f>
        <v>13681.741001383243</v>
      </c>
      <c r="S37" s="311">
        <f>$D$14*Fleet!T9*10^6/1000</f>
        <v>12200.467310595333</v>
      </c>
      <c r="T37" s="311">
        <f>$D$14*Fleet!U9*10^6/1000</f>
        <v>13767.018313777538</v>
      </c>
      <c r="U37" s="311">
        <f>$D$14*Fleet!V9*10^6/1000</f>
        <v>10479.005102483292</v>
      </c>
      <c r="V37" s="311">
        <f>$D$14*Fleet!W9*10^6/1000</f>
        <v>9198.1803939950369</v>
      </c>
      <c r="W37" s="311">
        <f>$D$14*Fleet!X9*10^6/1000</f>
        <v>11433.251735183696</v>
      </c>
      <c r="X37" s="311">
        <f>$D$14*Fleet!Y9*10^6/1000</f>
        <v>11396.901427288092</v>
      </c>
      <c r="Y37" s="311">
        <f>$D$14*Fleet!Z9*10^6/1000</f>
        <v>14520.453711797063</v>
      </c>
      <c r="Z37" s="311">
        <f>$D$14*Fleet!AA9*10^6/1000</f>
        <v>8939.0848204194008</v>
      </c>
      <c r="AA37" s="311">
        <f>$D$14*Fleet!AB9*10^6/1000</f>
        <v>1532.9567432279086</v>
      </c>
      <c r="AB37" s="311">
        <f>$D$14*Fleet!AC9*10^6/1000</f>
        <v>438.35607636163593</v>
      </c>
      <c r="AC37" s="311">
        <f>$D$14*Fleet!AD9*10^6/1000</f>
        <v>0</v>
      </c>
      <c r="AD37" s="311">
        <f>$D$14*Fleet!AE9*10^6/1000</f>
        <v>0</v>
      </c>
      <c r="AE37" s="311">
        <f>$D$14*Fleet!AF9*10^6/1000</f>
        <v>0</v>
      </c>
      <c r="AF37" s="311">
        <f>$D$14*Fleet!AG9*10^6/1000</f>
        <v>0</v>
      </c>
      <c r="AG37" s="311">
        <f>$D$14*Fleet!AH9*10^6/1000</f>
        <v>0</v>
      </c>
      <c r="AH37" s="311">
        <f>$D$14*Fleet!AI9*10^6/1000</f>
        <v>0</v>
      </c>
      <c r="AI37" s="311">
        <f>$D$14*Fleet!AJ9*10^6/1000</f>
        <v>0</v>
      </c>
      <c r="AJ37" s="311">
        <f>$D$14*Fleet!AK9*10^6/1000</f>
        <v>0</v>
      </c>
      <c r="AK37" s="311">
        <f>$D$14*Fleet!AL9*10^6/1000</f>
        <v>0</v>
      </c>
      <c r="AL37" s="311">
        <f>$D$14*Fleet!AM9*10^6/1000</f>
        <v>0</v>
      </c>
      <c r="AM37" s="311">
        <f>$D$14*Fleet!AN9*10^6/1000</f>
        <v>0</v>
      </c>
      <c r="AN37" s="311">
        <f>$D$14*Fleet!AO9*10^6/1000</f>
        <v>0</v>
      </c>
      <c r="AO37" s="311">
        <f>$D$14*Fleet!AP9*10^6/1000</f>
        <v>0</v>
      </c>
      <c r="AP37" s="311">
        <f>$D$14*Fleet!AQ9*10^6/1000</f>
        <v>0</v>
      </c>
    </row>
    <row r="38" spans="1:43">
      <c r="A38" s="549">
        <f t="shared" ref="A38:A39" si="6">A34</f>
        <v>160</v>
      </c>
      <c r="B38" s="1332" t="str">
        <f t="shared" ref="B38:B39" si="7">"Bulk explosives required in  " &amp; A38 &amp; "mm diameter"</f>
        <v>Bulk explosives required in  160mm diameter</v>
      </c>
      <c r="C38" s="1332" t="s">
        <v>1114</v>
      </c>
      <c r="D38" s="1332"/>
      <c r="E38" s="1409">
        <f t="shared" si="3"/>
        <v>2116.9832931375672</v>
      </c>
      <c r="F38" s="311">
        <f>$F$14*Fleet!G6*10^6/1000</f>
        <v>0</v>
      </c>
      <c r="G38" s="311">
        <f>$F$14*Fleet!H6*10^6/1000</f>
        <v>0</v>
      </c>
      <c r="H38" s="311">
        <f>$F$14*Fleet!I6*10^6/1000</f>
        <v>0</v>
      </c>
      <c r="I38" s="311">
        <f>$F$14*Fleet!J6*10^6/1000</f>
        <v>0</v>
      </c>
      <c r="J38" s="311">
        <f>$F$14*Fleet!K6*10^6/1000</f>
        <v>511.41130167907266</v>
      </c>
      <c r="K38" s="311">
        <f>$F$14*Fleet!L6*10^6/1000</f>
        <v>424.51602147381823</v>
      </c>
      <c r="L38" s="311">
        <f>$F$14*Fleet!M6*10^6/1000</f>
        <v>768.965553774265</v>
      </c>
      <c r="M38" s="311">
        <f>$F$14*Fleet!N6*10^6/1000</f>
        <v>1642.1293488775234</v>
      </c>
      <c r="N38" s="311">
        <f>$F$14*Fleet!O6*10^6/1000</f>
        <v>1579.8369155965042</v>
      </c>
      <c r="O38" s="311">
        <f>$F$14*Fleet!P6*10^6/1000</f>
        <v>2116.9832931375672</v>
      </c>
      <c r="P38" s="311">
        <f>$F$14*Fleet!Q6*10^6/1000</f>
        <v>1937.854278159861</v>
      </c>
      <c r="Q38" s="311">
        <f>$F$14*Fleet!R6*10^6/1000</f>
        <v>1620.7327148968288</v>
      </c>
      <c r="R38" s="311">
        <f>$F$14*Fleet!S6*10^6/1000</f>
        <v>1688.8722964225371</v>
      </c>
      <c r="S38" s="311">
        <f>$F$14*Fleet!T6*10^6/1000</f>
        <v>1506.6166897053795</v>
      </c>
      <c r="T38" s="311">
        <f>$F$14*Fleet!U6*10^6/1000</f>
        <v>1697.2704801684033</v>
      </c>
      <c r="U38" s="311">
        <f>$F$14*Fleet!V6*10^6/1000</f>
        <v>1292.714018762741</v>
      </c>
      <c r="V38" s="311">
        <f>$F$14*Fleet!W6*10^6/1000</f>
        <v>1135.1216131218328</v>
      </c>
      <c r="W38" s="311">
        <f>$F$14*Fleet!X6*10^6/1000</f>
        <v>1410.1243259073358</v>
      </c>
      <c r="X38" s="311">
        <f>$F$14*Fleet!Y6*10^6/1000</f>
        <v>1405.651791586994</v>
      </c>
      <c r="Y38" s="311">
        <f>$F$14*Fleet!Z6*10^6/1000</f>
        <v>1789.5919532959101</v>
      </c>
      <c r="Z38" s="311">
        <f>$F$14*Fleet!AA6*10^6/1000</f>
        <v>1102.861486173914</v>
      </c>
      <c r="AA38" s="311">
        <f>$F$14*Fleet!AB6*10^6/1000</f>
        <v>191.61302849319398</v>
      </c>
      <c r="AB38" s="311">
        <f>$F$14*Fleet!AC6*10^6/1000</f>
        <v>56.933590187230102</v>
      </c>
      <c r="AC38" s="311">
        <f>$F$14*Fleet!AD6*10^6/1000</f>
        <v>0</v>
      </c>
      <c r="AD38" s="311">
        <f>$F$14*Fleet!AE6*10^6/1000</f>
        <v>0</v>
      </c>
      <c r="AE38" s="311">
        <f>$F$14*Fleet!AF6*10^6/1000</f>
        <v>0</v>
      </c>
      <c r="AF38" s="311">
        <f>$F$14*Fleet!AG6*10^6/1000</f>
        <v>0</v>
      </c>
      <c r="AG38" s="311">
        <f>$F$14*Fleet!AH6*10^6/1000</f>
        <v>0</v>
      </c>
      <c r="AH38" s="311">
        <f>$F$14*Fleet!AI6*10^6/1000</f>
        <v>0</v>
      </c>
      <c r="AI38" s="311">
        <f>$F$14*Fleet!AJ6*10^6/1000</f>
        <v>0</v>
      </c>
      <c r="AJ38" s="311">
        <f>$F$14*Fleet!AK6*10^6/1000</f>
        <v>0</v>
      </c>
      <c r="AK38" s="311">
        <f>$F$14*Fleet!AL6*10^6/1000</f>
        <v>0</v>
      </c>
      <c r="AL38" s="311">
        <f>$F$14*Fleet!AM6*10^6/1000</f>
        <v>0</v>
      </c>
      <c r="AM38" s="311">
        <f>$F$14*Fleet!AN6*10^6/1000</f>
        <v>0</v>
      </c>
      <c r="AN38" s="311">
        <f>$F$14*Fleet!AO6*10^6/1000</f>
        <v>0</v>
      </c>
      <c r="AO38" s="311">
        <f>$F$14*Fleet!AP6*10^6/1000</f>
        <v>0</v>
      </c>
      <c r="AP38" s="311">
        <f>$F$14*Fleet!AQ6*10^6/1000</f>
        <v>0</v>
      </c>
    </row>
    <row r="39" spans="1:43">
      <c r="A39" s="549">
        <f t="shared" si="6"/>
        <v>115</v>
      </c>
      <c r="B39" s="1332" t="str">
        <f t="shared" si="7"/>
        <v>Bulk explosives required in  115mm diameter</v>
      </c>
      <c r="C39" s="1332" t="s">
        <v>1114</v>
      </c>
      <c r="D39" s="1332"/>
      <c r="E39" s="1409">
        <f t="shared" si="3"/>
        <v>382.34586873889424</v>
      </c>
      <c r="F39" s="311">
        <f>$E$14*Fleet!G5*10^6/1000</f>
        <v>0</v>
      </c>
      <c r="G39" s="311">
        <f>$E$14*Fleet!H5*10^6/1000</f>
        <v>0</v>
      </c>
      <c r="H39" s="311">
        <f>$E$14*Fleet!I5*10^6/1000</f>
        <v>0</v>
      </c>
      <c r="I39" s="311">
        <f>$E$14*Fleet!J5*10^6/1000</f>
        <v>0</v>
      </c>
      <c r="J39" s="311">
        <f>$E$14*Fleet!K5*10^6/1000</f>
        <v>191.17297523267555</v>
      </c>
      <c r="K39" s="311">
        <f>$E$14*Fleet!L5*10^6/1000</f>
        <v>382.34586873889424</v>
      </c>
      <c r="L39" s="311">
        <f>$E$14*Fleet!M5*10^6/1000</f>
        <v>114.70380965754241</v>
      </c>
      <c r="M39" s="311">
        <f>$E$14*Fleet!N5*10^6/1000</f>
        <v>172.055677709408</v>
      </c>
      <c r="N39" s="311">
        <f>$E$14*Fleet!O5*10^6/1000</f>
        <v>215.06955423037013</v>
      </c>
      <c r="O39" s="311">
        <f>$E$14*Fleet!P5*10^6/1000</f>
        <v>215.06972585592973</v>
      </c>
      <c r="P39" s="311">
        <f>$E$14*Fleet!Q5*10^6/1000</f>
        <v>215.06960326624429</v>
      </c>
      <c r="Q39" s="311">
        <f>$E$14*Fleet!R5*10^6/1000</f>
        <v>215.06957874830718</v>
      </c>
      <c r="R39" s="311">
        <f>$E$14*Fleet!S5*10^6/1000</f>
        <v>215.06967682005549</v>
      </c>
      <c r="S39" s="311">
        <f>$E$14*Fleet!T5*10^6/1000</f>
        <v>215.06955423037013</v>
      </c>
      <c r="T39" s="311">
        <f>$E$14*Fleet!U5*10^6/1000</f>
        <v>215.06957874830718</v>
      </c>
      <c r="U39" s="311">
        <f>$E$14*Fleet!V5*10^6/1000</f>
        <v>215.06965230211841</v>
      </c>
      <c r="V39" s="311">
        <f>$E$14*Fleet!W5*10^6/1000</f>
        <v>215.06984844561507</v>
      </c>
      <c r="W39" s="311">
        <f>$E$14*Fleet!X5*10^6/1000</f>
        <v>215.06965230211841</v>
      </c>
      <c r="X39" s="311">
        <f>$E$14*Fleet!Y5*10^6/1000</f>
        <v>215.06965230211841</v>
      </c>
      <c r="Y39" s="311">
        <f>$E$14*Fleet!Z5*10^6/1000</f>
        <v>215.06962778418136</v>
      </c>
      <c r="Z39" s="311">
        <f>$E$14*Fleet!AA5*10^6/1000</f>
        <v>143.3797436834752</v>
      </c>
      <c r="AA39" s="311">
        <f>$E$14*Fleet!AB5*10^6/1000</f>
        <v>107.53485066899631</v>
      </c>
      <c r="AB39" s="311">
        <f>$E$14*Fleet!AC5*10^6/1000</f>
        <v>31.606501749908443</v>
      </c>
      <c r="AC39" s="311">
        <f>$E$14*Fleet!AD5*10^6/1000</f>
        <v>0</v>
      </c>
      <c r="AD39" s="311">
        <f>$E$14*Fleet!AE5*10^6/1000</f>
        <v>0</v>
      </c>
      <c r="AE39" s="311">
        <f>$E$14*Fleet!AF5*10^6/1000</f>
        <v>0</v>
      </c>
      <c r="AF39" s="311">
        <f>$E$14*Fleet!AG5*10^6/1000</f>
        <v>0</v>
      </c>
      <c r="AG39" s="311">
        <f>$E$14*Fleet!AH5*10^6/1000</f>
        <v>0</v>
      </c>
      <c r="AH39" s="311">
        <f>$E$14*Fleet!AI5*10^6/1000</f>
        <v>0</v>
      </c>
      <c r="AI39" s="311">
        <f>$E$14*Fleet!AJ5*10^6/1000</f>
        <v>0</v>
      </c>
      <c r="AJ39" s="311">
        <f>$E$14*Fleet!AK5*10^6/1000</f>
        <v>0</v>
      </c>
      <c r="AK39" s="311">
        <f>$E$14*Fleet!AL5*10^6/1000</f>
        <v>0</v>
      </c>
      <c r="AL39" s="311">
        <f>$E$14*Fleet!AM5*10^6/1000</f>
        <v>0</v>
      </c>
      <c r="AM39" s="311">
        <f>$E$14*Fleet!AN5*10^6/1000</f>
        <v>0</v>
      </c>
      <c r="AN39" s="311">
        <f>$E$14*Fleet!AO5*10^6/1000</f>
        <v>0</v>
      </c>
      <c r="AO39" s="311">
        <f>$E$14*Fleet!AP5*10^6/1000</f>
        <v>0</v>
      </c>
      <c r="AP39" s="311">
        <f>$E$14*Fleet!AQ5*10^6/1000</f>
        <v>0</v>
      </c>
    </row>
    <row r="40" spans="1:43">
      <c r="A40" s="549"/>
      <c r="B40" s="1332"/>
      <c r="C40" s="1332"/>
      <c r="D40" s="1332"/>
      <c r="E40" s="1332"/>
      <c r="F40" s="265"/>
      <c r="G40" s="265"/>
      <c r="H40" s="265"/>
      <c r="I40" s="265"/>
      <c r="J40" s="265"/>
      <c r="K40" s="265"/>
      <c r="L40" s="265"/>
      <c r="M40" s="265"/>
      <c r="N40" s="265"/>
      <c r="O40" s="265"/>
      <c r="P40" s="265"/>
      <c r="Q40" s="265"/>
      <c r="R40" s="265"/>
      <c r="S40" s="265"/>
      <c r="T40" s="265"/>
      <c r="U40" s="265"/>
      <c r="V40" s="265"/>
      <c r="W40" s="265"/>
      <c r="X40" s="265"/>
      <c r="Y40" s="265"/>
      <c r="Z40" s="265"/>
      <c r="AA40" s="265"/>
      <c r="AB40" s="265"/>
      <c r="AC40" s="265"/>
      <c r="AD40" s="265"/>
      <c r="AE40" s="265"/>
      <c r="AF40" s="265"/>
      <c r="AG40" s="265"/>
      <c r="AH40" s="265"/>
      <c r="AI40" s="265"/>
      <c r="AJ40" s="265"/>
      <c r="AK40" s="265"/>
      <c r="AL40" s="265"/>
      <c r="AM40" s="265"/>
      <c r="AN40" s="265"/>
      <c r="AO40" s="310"/>
    </row>
    <row r="41" spans="1:43">
      <c r="A41" s="549"/>
      <c r="B41" s="1408" t="s">
        <v>1291</v>
      </c>
      <c r="C41" s="1408"/>
      <c r="D41" s="1408"/>
      <c r="E41" s="1408"/>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c r="AF41" s="305"/>
      <c r="AG41" s="305"/>
      <c r="AH41" s="305"/>
      <c r="AI41" s="305"/>
      <c r="AJ41" s="305"/>
      <c r="AK41" s="305"/>
      <c r="AL41" s="305"/>
      <c r="AM41" s="305"/>
      <c r="AN41" s="305"/>
      <c r="AO41" s="308"/>
    </row>
    <row r="42" spans="1:43">
      <c r="A42" s="549"/>
      <c r="B42" s="1332" t="s">
        <v>1292</v>
      </c>
      <c r="C42" s="1332" t="s">
        <v>1293</v>
      </c>
      <c r="D42" s="1332"/>
      <c r="E42" s="1410">
        <f>MAX(F42:AN42)</f>
        <v>2.5215788999999997</v>
      </c>
      <c r="F42" s="312">
        <f>(F29+F30+F31)*10*Assumptions_Dashboard!$D$86/10^7</f>
        <v>0</v>
      </c>
      <c r="G42" s="312">
        <f>(G29+G30+G31)*10*Assumptions_Dashboard!$D$86/10^7</f>
        <v>0</v>
      </c>
      <c r="H42" s="312">
        <f>(H29+H30+H31)*10*Assumptions_Dashboard!$D$86/10^7</f>
        <v>0</v>
      </c>
      <c r="I42" s="312">
        <f>(I29+I30+I31)*10*Assumptions_Dashboard!$D$86/10^7</f>
        <v>0</v>
      </c>
      <c r="J42" s="312">
        <f>(J29+J30+J31)*10*Assumptions_Dashboard!$D$86/10^7</f>
        <v>0.61465020000000004</v>
      </c>
      <c r="K42" s="312">
        <f>(K29+K30+K31)*10*Assumptions_Dashboard!$D$86/10^7</f>
        <v>0.52046640000000011</v>
      </c>
      <c r="L42" s="312">
        <f>(L29+L30+L31)*10*Assumptions_Dashboard!$D$86/10^7</f>
        <v>0.90989430000000016</v>
      </c>
      <c r="M42" s="312">
        <f>(M29+M30+M31)*10*Assumptions_Dashboard!$D$86/10^7</f>
        <v>1.9487114999999999</v>
      </c>
      <c r="N42" s="312">
        <f>(N29+N30+N31)*10*Assumptions_Dashboard!$D$86/10^7</f>
        <v>1.8796809000000001</v>
      </c>
      <c r="O42" s="312">
        <f>(O29+O30+O31)*10*Assumptions_Dashboard!$D$86/10^7</f>
        <v>2.5215788999999997</v>
      </c>
      <c r="P42" s="312">
        <f>(P29+P30+P31)*10*Assumptions_Dashboard!$D$86/10^7</f>
        <v>2.3087618999999995</v>
      </c>
      <c r="Q42" s="312">
        <f>(Q29+Q30+Q31)*10*Assumptions_Dashboard!$D$86/10^7</f>
        <v>1.9320158999999999</v>
      </c>
      <c r="R42" s="312">
        <f>(R29+R30+R31)*10*Assumptions_Dashboard!$D$86/10^7</f>
        <v>2.0129648999999992</v>
      </c>
      <c r="S42" s="312">
        <f>(S29+S30+S31)*10*Assumptions_Dashboard!$D$86/10^7</f>
        <v>1.7964429</v>
      </c>
      <c r="T42" s="312">
        <f>(T29+T30+T31)*10*Assumptions_Dashboard!$D$86/10^7</f>
        <v>2.0249468999999998</v>
      </c>
      <c r="U42" s="312">
        <f>(U29+U30+U31)*10*Assumptions_Dashboard!$D$86/10^7</f>
        <v>1.5443319000000002</v>
      </c>
      <c r="V42" s="312">
        <f>(V29+V30+V31)*10*Assumptions_Dashboard!$D$86/10^7</f>
        <v>1.3570959</v>
      </c>
      <c r="W42" s="312">
        <f>(W29+W30+W31)*10*Assumptions_Dashboard!$D$86/10^7</f>
        <v>1.6838109000000001</v>
      </c>
      <c r="X42" s="312">
        <f>(X29+X30+X31)*10*Assumptions_Dashboard!$D$86/10^7</f>
        <v>1.6784888999999996</v>
      </c>
      <c r="Y42" s="312">
        <f>(Y29+Y30+Y31)*10*Assumptions_Dashboard!$D$86/10^7</f>
        <v>2.1349988999999998</v>
      </c>
      <c r="Z42" s="312">
        <f>(Z29+Z30+Z31)*10*Assumptions_Dashboard!$D$86/10^7</f>
        <v>1.3152189000000001</v>
      </c>
      <c r="AA42" s="312">
        <f>(AA29+AA30+AA31)*10*Assumptions_Dashboard!$D$86/10^7</f>
        <v>0.23065889999999994</v>
      </c>
      <c r="AB42" s="312">
        <f>(AB29+AB30+AB31)*10*Assumptions_Dashboard!$D$86/10^7</f>
        <v>6.6493800000000006E-2</v>
      </c>
      <c r="AC42" s="312">
        <f>(AC29+AC30+AC31)*10*Assumptions_Dashboard!$D$86/10^7</f>
        <v>0</v>
      </c>
      <c r="AD42" s="312">
        <f>(AD29+AD30+AD31)*10*Assumptions_Dashboard!$D$86/10^7</f>
        <v>0</v>
      </c>
      <c r="AE42" s="312">
        <f>(AE29+AE30+AE31)*10*Assumptions_Dashboard!$D$86/10^7</f>
        <v>0</v>
      </c>
      <c r="AF42" s="312">
        <f>(AF29+AF30+AF31)*10*Assumptions_Dashboard!$D$86/10^7</f>
        <v>0</v>
      </c>
      <c r="AG42" s="312">
        <f>(AG29+AG30+AG31)*10*Assumptions_Dashboard!$D$86/10^7</f>
        <v>0</v>
      </c>
      <c r="AH42" s="312">
        <f>(AH29+AH30+AH31)*10*Assumptions_Dashboard!$D$86/10^7</f>
        <v>0</v>
      </c>
      <c r="AI42" s="312">
        <f>(AI29+AI30+AI31)*10*Assumptions_Dashboard!$D$86/10^7</f>
        <v>0</v>
      </c>
      <c r="AJ42" s="312">
        <f>(AJ29+AJ30+AJ31)*10*Assumptions_Dashboard!$D$86/10^7</f>
        <v>0</v>
      </c>
      <c r="AK42" s="312">
        <f>(AK29+AK30+AK31)*10*Assumptions_Dashboard!$D$86/10^7</f>
        <v>0</v>
      </c>
      <c r="AL42" s="312">
        <f>(AL29+AL30+AL31)*10*Assumptions_Dashboard!$D$86/10^7</f>
        <v>0</v>
      </c>
      <c r="AM42" s="312">
        <f>(AM29+AM30+AM31)*10*Assumptions_Dashboard!$D$86/10^7</f>
        <v>0</v>
      </c>
      <c r="AN42" s="312">
        <f>(AN29+AN30+AN31)*10*Assumptions_Dashboard!$D$86/10^7</f>
        <v>0</v>
      </c>
      <c r="AO42" s="312">
        <f>(AO29+AO30+AO31)*10*Assumptions_Dashboard!$D$86/10^7</f>
        <v>0</v>
      </c>
      <c r="AP42" s="312">
        <f>(AP29+AP30+AP31)*10*Assumptions_Dashboard!$D$86/10^7</f>
        <v>0</v>
      </c>
    </row>
    <row r="43" spans="1:43">
      <c r="A43" s="549"/>
      <c r="B43" s="1332" t="s">
        <v>1294</v>
      </c>
      <c r="C43" s="1332" t="s">
        <v>1293</v>
      </c>
      <c r="D43" s="1332"/>
      <c r="E43" s="1410">
        <f>MAX(F43:AN43)</f>
        <v>8.2315299999999993</v>
      </c>
      <c r="F43" s="312">
        <f>(F33+F34+F35)*1000*Assumptions_Dashboard!$D$87/10^7</f>
        <v>0</v>
      </c>
      <c r="G43" s="312">
        <f>(G33+G34+G35)*1000*Assumptions_Dashboard!$D$87/10^7</f>
        <v>0</v>
      </c>
      <c r="H43" s="312">
        <f>(H33+H34+H35)*1000*Assumptions_Dashboard!$D$87/10^7</f>
        <v>0</v>
      </c>
      <c r="I43" s="312">
        <f>(I33+I34+I35)*1000*Assumptions_Dashboard!$D$87/10^7</f>
        <v>0</v>
      </c>
      <c r="J43" s="312">
        <f>(J33+J34+J35)*1000*Assumptions_Dashboard!$D$87/10^7</f>
        <v>2.3422337499999997</v>
      </c>
      <c r="K43" s="312">
        <f>(K33+K34+K35)*1000*Assumptions_Dashboard!$D$87/10^7</f>
        <v>2.51661125</v>
      </c>
      <c r="L43" s="312">
        <f>(L33+L34+L35)*1000*Assumptions_Dashboard!$D$87/10^7</f>
        <v>3.06112875</v>
      </c>
      <c r="M43" s="312">
        <f>(M33+M34+M35)*1000*Assumptions_Dashboard!$D$87/10^7</f>
        <v>6.3766500000000015</v>
      </c>
      <c r="N43" s="312">
        <f>(N33+N34+N35)*1000*Assumptions_Dashboard!$D$87/10^7</f>
        <v>6.2691675</v>
      </c>
      <c r="O43" s="312">
        <f>(O33+O34+O35)*1000*Assumptions_Dashboard!$D$87/10^7</f>
        <v>8.2315299999999993</v>
      </c>
      <c r="P43" s="312">
        <f>(P33+P34+P35)*1000*Assumptions_Dashboard!$D$87/10^7</f>
        <v>7.5807487499999988</v>
      </c>
      <c r="Q43" s="312">
        <f>(Q33+Q34+Q35)*1000*Assumptions_Dashboard!$D$87/10^7</f>
        <v>6.4286799999999982</v>
      </c>
      <c r="R43" s="312">
        <f>(R33+R34+R35)*1000*Assumptions_Dashboard!$D$87/10^7</f>
        <v>6.6762174999999999</v>
      </c>
      <c r="S43" s="312">
        <f>(S33+S34+S35)*1000*Assumptions_Dashboard!$D$87/10^7</f>
        <v>6.0141050000000016</v>
      </c>
      <c r="T43" s="312">
        <f>(T33+T34+T35)*1000*Assumptions_Dashboard!$D$87/10^7</f>
        <v>6.7125737499999998</v>
      </c>
      <c r="U43" s="312">
        <f>(U33+U34+U35)*1000*Assumptions_Dashboard!$D$87/10^7</f>
        <v>5.2428800000000004</v>
      </c>
      <c r="V43" s="312">
        <f>(V33+V34+V35)*1000*Assumptions_Dashboard!$D$87/10^7</f>
        <v>4.6703237499999997</v>
      </c>
      <c r="W43" s="312">
        <f>(W33+W34+W35)*1000*Assumptions_Dashboard!$D$87/10^7</f>
        <v>5.66939875</v>
      </c>
      <c r="X43" s="312">
        <f>(X33+X34+X35)*1000*Assumptions_Dashboard!$D$87/10^7</f>
        <v>5.6531237499999998</v>
      </c>
      <c r="Y43" s="312">
        <f>(Y33+Y34+Y35)*1000*Assumptions_Dashboard!$D$87/10^7</f>
        <v>7.0490550000000001</v>
      </c>
      <c r="Z43" s="312">
        <f>(Z33+Z34+Z35)*1000*Assumptions_Dashboard!$D$87/10^7</f>
        <v>4.36891125</v>
      </c>
      <c r="AA43" s="312">
        <f>(AA33+AA34+AA35)*1000*Assumptions_Dashboard!$D$87/10^7</f>
        <v>0.96574249999999995</v>
      </c>
      <c r="AB43" s="312">
        <f>(AB33+AB34+AB35)*1000*Assumptions_Dashboard!$D$87/10^7</f>
        <v>0.28013500000000002</v>
      </c>
      <c r="AC43" s="312">
        <f>(AC33+AC34+AC35)*1000*Assumptions_Dashboard!$D$87/10^7</f>
        <v>0</v>
      </c>
      <c r="AD43" s="312">
        <f>(AD33+AD34+AD35)*1000*Assumptions_Dashboard!$D$87/10^7</f>
        <v>0</v>
      </c>
      <c r="AE43" s="312">
        <f>(AE33+AE34+AE35)*1000*Assumptions_Dashboard!$D$87/10^7</f>
        <v>0</v>
      </c>
      <c r="AF43" s="312">
        <f>(AF33+AF34+AF35)*1000*Assumptions_Dashboard!$D$87/10^7</f>
        <v>0</v>
      </c>
      <c r="AG43" s="312">
        <f>(AG33+AG34+AG35)*1000*Assumptions_Dashboard!$D$87/10^7</f>
        <v>0</v>
      </c>
      <c r="AH43" s="312">
        <f>(AH33+AH34+AH35)*1000*Assumptions_Dashboard!$D$87/10^7</f>
        <v>0</v>
      </c>
      <c r="AI43" s="312">
        <f>(AI33+AI34+AI35)*1000*Assumptions_Dashboard!$D$87/10^7</f>
        <v>0</v>
      </c>
      <c r="AJ43" s="312">
        <f>(AJ33+AJ34+AJ35)*1000*Assumptions_Dashboard!$D$87/10^7</f>
        <v>0</v>
      </c>
      <c r="AK43" s="312">
        <f>(AK33+AK34+AK35)*1000*Assumptions_Dashboard!$D$87/10^7</f>
        <v>0</v>
      </c>
      <c r="AL43" s="312">
        <f>(AL33+AL34+AL35)*1000*Assumptions_Dashboard!$D$87/10^7</f>
        <v>0</v>
      </c>
      <c r="AM43" s="312">
        <f>(AM33+AM34+AM35)*1000*Assumptions_Dashboard!$D$87/10^7</f>
        <v>0</v>
      </c>
      <c r="AN43" s="312">
        <f>(AN33+AN34+AN35)*1000*Assumptions_Dashboard!$D$87/10^7</f>
        <v>0</v>
      </c>
      <c r="AO43" s="312">
        <f>(AO33+AO34+AO35)*1000*Assumptions_Dashboard!$D$87/10^7</f>
        <v>0</v>
      </c>
      <c r="AP43" s="312">
        <f>(AP33+AP34+AP35)*1000*Assumptions_Dashboard!$D$87/10^7</f>
        <v>0</v>
      </c>
    </row>
    <row r="44" spans="1:43">
      <c r="A44" s="549"/>
      <c r="B44" s="1332" t="s">
        <v>1295</v>
      </c>
      <c r="C44" s="1332" t="s">
        <v>1293</v>
      </c>
      <c r="D44" s="1332"/>
      <c r="E44" s="1410">
        <f>MAX(F44:AN44)</f>
        <v>101.3648770482081</v>
      </c>
      <c r="F44" s="312">
        <f>(F37+F38+F39)*1000*Assumptions_Dashboard!$D$88/10^7</f>
        <v>0</v>
      </c>
      <c r="G44" s="312">
        <f>(G37+G38+G39)*1000*Assumptions_Dashboard!$D$88/10^7</f>
        <v>0</v>
      </c>
      <c r="H44" s="312">
        <f>(H37+H38+H39)*1000*Assumptions_Dashboard!$D$88/10^7</f>
        <v>0</v>
      </c>
      <c r="I44" s="312">
        <f>(I37+I38+I39)*1000*Assumptions_Dashboard!$D$88/10^7</f>
        <v>0</v>
      </c>
      <c r="J44" s="312">
        <f>(J37+J38+J39)*1000*Assumptions_Dashboard!$D$88/10^7</f>
        <v>25.117189465097212</v>
      </c>
      <c r="K44" s="312">
        <f>(K37+K38+K39)*1000*Assumptions_Dashboard!$D$88/10^7</f>
        <v>21.925027547293094</v>
      </c>
      <c r="L44" s="312">
        <f>(L37+L38+L39)*1000*Assumptions_Dashboard!$D$88/10^7</f>
        <v>36.655145360298619</v>
      </c>
      <c r="M44" s="312">
        <f>(M37+M38+M39)*1000*Assumptions_Dashboard!$D$88/10^7</f>
        <v>78.32273674529813</v>
      </c>
      <c r="N44" s="312">
        <f>(N37+N38+N39)*1000*Assumptions_Dashboard!$D$88/10^7</f>
        <v>75.705343743498176</v>
      </c>
      <c r="O44" s="312">
        <f>(O37+O38+O39)*1000*Assumptions_Dashboard!$D$88/10^7</f>
        <v>101.3648770482081</v>
      </c>
      <c r="P44" s="312">
        <f>(P37+P38+P39)*1000*Assumptions_Dashboard!$D$88/10^7</f>
        <v>92.862920706642967</v>
      </c>
      <c r="Q44" s="312">
        <f>(Q37+Q38+Q39)*1000*Assumptions_Dashboard!$D$88/10^7</f>
        <v>77.811459016585928</v>
      </c>
      <c r="R44" s="312">
        <f>(R37+R38+R39)*1000*Assumptions_Dashboard!$D$88/10^7</f>
        <v>81.045551468054342</v>
      </c>
      <c r="S44" s="312">
        <f>(S37+S38+S39)*1000*Assumptions_Dashboard!$D$88/10^7</f>
        <v>72.395198483561629</v>
      </c>
      <c r="T44" s="312">
        <f>(T37+T38+T39)*1000*Assumptions_Dashboard!$D$88/10^7</f>
        <v>81.532663538010098</v>
      </c>
      <c r="U44" s="312">
        <f>(U37+U38+U39)*1000*Assumptions_Dashboard!$D$88/10^7</f>
        <v>62.33130162245039</v>
      </c>
      <c r="V44" s="312">
        <f>(V37+V38+V39)*1000*Assumptions_Dashboard!$D$88/10^7</f>
        <v>54.851533648924921</v>
      </c>
      <c r="W44" s="312">
        <f>(W37+W38+W39)*1000*Assumptions_Dashboard!$D$88/10^7</f>
        <v>67.903917709644375</v>
      </c>
      <c r="X44" s="312">
        <f>(X37+X38+X39)*1000*Assumptions_Dashboard!$D$88/10^7</f>
        <v>67.691638930121456</v>
      </c>
      <c r="Y44" s="312">
        <f>(Y37+Y38+Y39)*1000*Assumptions_Dashboard!$D$88/10^7</f>
        <v>85.930599522961202</v>
      </c>
      <c r="Z44" s="312">
        <f>(Z37+Z38+Z39)*1000*Assumptions_Dashboard!$D$88/10^7</f>
        <v>52.963695461439308</v>
      </c>
      <c r="AA44" s="312">
        <f>(AA37+AA38+AA39)*1000*Assumptions_Dashboard!$D$88/10^7</f>
        <v>9.5269440364285138</v>
      </c>
      <c r="AB44" s="312">
        <f>(AB37+AB38+AB39)*1000*Assumptions_Dashboard!$D$88/10^7</f>
        <v>2.7398600751536271</v>
      </c>
      <c r="AC44" s="312">
        <f>(AC37+AC38+AC39)*1000*Assumptions_Dashboard!$D$88/10^7</f>
        <v>0</v>
      </c>
      <c r="AD44" s="312">
        <f>(AD37+AD38+AD39)*1000*Assumptions_Dashboard!$D$88/10^7</f>
        <v>0</v>
      </c>
      <c r="AE44" s="312">
        <f>(AE37+AE38+AE39)*1000*Assumptions_Dashboard!$D$88/10^7</f>
        <v>0</v>
      </c>
      <c r="AF44" s="312">
        <f>(AF37+AF38+AF39)*1000*Assumptions_Dashboard!$D$88/10^7</f>
        <v>0</v>
      </c>
      <c r="AG44" s="312">
        <f>(AG37+AG38+AG39)*1000*Assumptions_Dashboard!$D$88/10^7</f>
        <v>0</v>
      </c>
      <c r="AH44" s="312">
        <f>(AH37+AH38+AH39)*1000*Assumptions_Dashboard!$D$88/10^7</f>
        <v>0</v>
      </c>
      <c r="AI44" s="312">
        <f>(AI37+AI38+AI39)*1000*Assumptions_Dashboard!$D$88/10^7</f>
        <v>0</v>
      </c>
      <c r="AJ44" s="312">
        <f>(AJ37+AJ38+AJ39)*1000*Assumptions_Dashboard!$D$88/10^7</f>
        <v>0</v>
      </c>
      <c r="AK44" s="312">
        <f>(AK37+AK38+AK39)*1000*Assumptions_Dashboard!$D$88/10^7</f>
        <v>0</v>
      </c>
      <c r="AL44" s="312">
        <f>(AL37+AL38+AL39)*1000*Assumptions_Dashboard!$D$88/10^7</f>
        <v>0</v>
      </c>
      <c r="AM44" s="312">
        <f>(AM37+AM38+AM39)*1000*Assumptions_Dashboard!$D$88/10^7</f>
        <v>0</v>
      </c>
      <c r="AN44" s="312">
        <f>(AN37+AN38+AN39)*1000*Assumptions_Dashboard!$D$88/10^7</f>
        <v>0</v>
      </c>
      <c r="AO44" s="312">
        <f>(AO37+AO38+AO39)*1000*Assumptions_Dashboard!$D$88/10^7</f>
        <v>0</v>
      </c>
      <c r="AP44" s="312">
        <f>(AP37+AP38+AP39)*1000*Assumptions_Dashboard!$D$88/10^7</f>
        <v>0</v>
      </c>
    </row>
    <row r="45" spans="1:43" ht="14" thickBot="1">
      <c r="A45" s="549"/>
      <c r="B45" s="313" t="s">
        <v>1296</v>
      </c>
      <c r="C45" s="314" t="s">
        <v>1293</v>
      </c>
      <c r="D45" s="313"/>
      <c r="E45" s="313"/>
      <c r="F45" s="315">
        <f>SUM(F42:F44)</f>
        <v>0</v>
      </c>
      <c r="G45" s="315">
        <f t="shared" ref="G45:AP45" si="8">SUM(G42:G44)</f>
        <v>0</v>
      </c>
      <c r="H45" s="315">
        <f t="shared" si="8"/>
        <v>0</v>
      </c>
      <c r="I45" s="315">
        <f t="shared" si="8"/>
        <v>0</v>
      </c>
      <c r="J45" s="315">
        <f>SUM(J42:J44)</f>
        <v>28.07407341509721</v>
      </c>
      <c r="K45" s="315">
        <f>SUM(K42:K44)</f>
        <v>24.962105197293095</v>
      </c>
      <c r="L45" s="315">
        <f t="shared" si="8"/>
        <v>40.626168410298618</v>
      </c>
      <c r="M45" s="315">
        <f t="shared" si="8"/>
        <v>86.648098245298129</v>
      </c>
      <c r="N45" s="315">
        <f t="shared" si="8"/>
        <v>83.854192143498182</v>
      </c>
      <c r="O45" s="315">
        <f t="shared" si="8"/>
        <v>112.1179859482081</v>
      </c>
      <c r="P45" s="315">
        <f t="shared" si="8"/>
        <v>102.75243135664297</v>
      </c>
      <c r="Q45" s="315">
        <f t="shared" si="8"/>
        <v>86.172154916585924</v>
      </c>
      <c r="R45" s="315">
        <f>SUM(R42:R44)</f>
        <v>89.734733868054349</v>
      </c>
      <c r="S45" s="315">
        <f t="shared" si="8"/>
        <v>80.205746383561632</v>
      </c>
      <c r="T45" s="315">
        <f t="shared" si="8"/>
        <v>90.270184188010091</v>
      </c>
      <c r="U45" s="315">
        <f t="shared" si="8"/>
        <v>69.118513522450385</v>
      </c>
      <c r="V45" s="315">
        <f t="shared" si="8"/>
        <v>60.87895329892492</v>
      </c>
      <c r="W45" s="315">
        <f t="shared" si="8"/>
        <v>75.257127359644372</v>
      </c>
      <c r="X45" s="315">
        <f t="shared" si="8"/>
        <v>75.023251580121453</v>
      </c>
      <c r="Y45" s="315">
        <f t="shared" si="8"/>
        <v>95.114653422961197</v>
      </c>
      <c r="Z45" s="315">
        <f t="shared" si="8"/>
        <v>58.647825611439309</v>
      </c>
      <c r="AA45" s="315">
        <f t="shared" si="8"/>
        <v>10.723345436428513</v>
      </c>
      <c r="AB45" s="315">
        <f t="shared" si="8"/>
        <v>3.086488875153627</v>
      </c>
      <c r="AC45" s="315">
        <f t="shared" si="8"/>
        <v>0</v>
      </c>
      <c r="AD45" s="315">
        <f t="shared" si="8"/>
        <v>0</v>
      </c>
      <c r="AE45" s="315">
        <f t="shared" si="8"/>
        <v>0</v>
      </c>
      <c r="AF45" s="315">
        <f t="shared" si="8"/>
        <v>0</v>
      </c>
      <c r="AG45" s="315">
        <f t="shared" si="8"/>
        <v>0</v>
      </c>
      <c r="AH45" s="315">
        <f t="shared" si="8"/>
        <v>0</v>
      </c>
      <c r="AI45" s="315">
        <f t="shared" si="8"/>
        <v>0</v>
      </c>
      <c r="AJ45" s="315">
        <f t="shared" si="8"/>
        <v>0</v>
      </c>
      <c r="AK45" s="315">
        <f t="shared" si="8"/>
        <v>0</v>
      </c>
      <c r="AL45" s="315">
        <f t="shared" si="8"/>
        <v>0</v>
      </c>
      <c r="AM45" s="315">
        <f t="shared" si="8"/>
        <v>0</v>
      </c>
      <c r="AN45" s="315">
        <f t="shared" si="8"/>
        <v>0</v>
      </c>
      <c r="AO45" s="315">
        <f t="shared" si="8"/>
        <v>0</v>
      </c>
      <c r="AP45" s="315">
        <f t="shared" si="8"/>
        <v>0</v>
      </c>
      <c r="AQ45" s="316">
        <f>SUM(F45:AP45)</f>
        <v>1273.2680331796721</v>
      </c>
    </row>
    <row r="46" spans="1:43" ht="14" thickTop="1">
      <c r="A46" s="549"/>
      <c r="B46" s="1332"/>
      <c r="C46" s="1332"/>
      <c r="D46" s="1332"/>
      <c r="E46" s="1332"/>
      <c r="F46" s="265"/>
      <c r="G46" s="265"/>
      <c r="H46" s="317"/>
      <c r="I46" s="317"/>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17"/>
      <c r="AL46" s="317"/>
      <c r="AM46" s="317"/>
      <c r="AN46" s="317"/>
      <c r="AQ46" s="310"/>
    </row>
    <row r="47" spans="1:43" ht="14" thickBot="1">
      <c r="A47" s="549"/>
      <c r="B47" s="318" t="s">
        <v>1297</v>
      </c>
      <c r="C47" s="318" t="s">
        <v>275</v>
      </c>
      <c r="D47" s="318"/>
      <c r="E47" s="318"/>
      <c r="F47" s="319">
        <f>IFERROR(F45*10/'Production Schedule'!E5,0)</f>
        <v>0</v>
      </c>
      <c r="G47" s="319">
        <f>IFERROR(G45*10/'Production Schedule'!F5,0)</f>
        <v>0</v>
      </c>
      <c r="H47" s="319">
        <f>IFERROR(H45*10/'Production Schedule'!G5,0)</f>
        <v>0</v>
      </c>
      <c r="I47" s="319">
        <f>IFERROR(I45*10/'Production Schedule'!H5,0)</f>
        <v>0</v>
      </c>
      <c r="J47" s="319">
        <f>IFERROR(J45*10/'Production Schedule'!I5,0)</f>
        <v>140.37038427085812</v>
      </c>
      <c r="K47" s="319">
        <f>IFERROR(K45*10/'Production Schedule'!J5,0)</f>
        <v>62.405283977009482</v>
      </c>
      <c r="L47" s="319">
        <f>IFERROR(L45*10/'Production Schedule'!K5,0)</f>
        <v>50.782705878951361</v>
      </c>
      <c r="M47" s="319">
        <f>IFERROR(M45*10/'Production Schedule'!L5,0)</f>
        <v>72.206757383076223</v>
      </c>
      <c r="N47" s="319">
        <f>IFERROR(N45*10/'Production Schedule'!M5,0)</f>
        <v>55.902812763037829</v>
      </c>
      <c r="O47" s="319">
        <f>IFERROR(O45*10/'Production Schedule'!N5,0)</f>
        <v>74.74528838671479</v>
      </c>
      <c r="P47" s="319">
        <f>IFERROR(P45*10/'Production Schedule'!O5,0)</f>
        <v>68.501627343581617</v>
      </c>
      <c r="Q47" s="319">
        <f>IFERROR(Q45*10/'Production Schedule'!P5,0)</f>
        <v>57.448115226931918</v>
      </c>
      <c r="R47" s="319">
        <f>IFERROR(R45*10/'Production Schedule'!Q5,0)</f>
        <v>59.823141075897254</v>
      </c>
      <c r="S47" s="319">
        <f>IFERROR(S45*10/'Production Schedule'!R5,0)</f>
        <v>53.470514806546852</v>
      </c>
      <c r="T47" s="319">
        <f>IFERROR(T45*10/'Production Schedule'!S5,0)</f>
        <v>60.180135309474878</v>
      </c>
      <c r="U47" s="319">
        <f>IFERROR(U45*10/'Production Schedule'!T5,0)</f>
        <v>46.079002840380547</v>
      </c>
      <c r="V47" s="319">
        <f>IFERROR(V45*10/'Production Schedule'!U5,0)</f>
        <v>40.585926413070922</v>
      </c>
      <c r="W47" s="319">
        <f>IFERROR(W45*10/'Production Schedule'!V5,0)</f>
        <v>50.171411516793775</v>
      </c>
      <c r="X47" s="319">
        <f>IFERROR(X45*10/'Production Schedule'!W5,0)</f>
        <v>50.015494351338056</v>
      </c>
      <c r="Y47" s="319">
        <f>IFERROR(Y45*10/'Production Schedule'!X5,0)</f>
        <v>63.409767680445448</v>
      </c>
      <c r="Z47" s="319">
        <f>IFERROR(Z45*10/'Production Schedule'!Y5,0)</f>
        <v>58.647827781408935</v>
      </c>
      <c r="AA47" s="319">
        <f>IFERROR(AA45*10/'Production Schedule'!Z5,0)</f>
        <v>14.297788739438495</v>
      </c>
      <c r="AB47" s="319">
        <f>IFERROR(AB45*10/'Production Schedule'!AA5,0)</f>
        <v>14.001549544365083</v>
      </c>
      <c r="AC47" s="319">
        <f>IFERROR(AC45*10/'Production Schedule'!AB5,0)</f>
        <v>0</v>
      </c>
      <c r="AD47" s="319">
        <f>IFERROR(AD45*10/'Production Schedule'!AC5,0)</f>
        <v>0</v>
      </c>
      <c r="AE47" s="319">
        <f>IFERROR(AE45*10/'Production Schedule'!AD5,0)</f>
        <v>0</v>
      </c>
      <c r="AF47" s="319">
        <f>IFERROR(AF45*10/'Production Schedule'!AE5,0)</f>
        <v>0</v>
      </c>
      <c r="AG47" s="319">
        <f>IFERROR(AG45*10/'Production Schedule'!AF5,0)</f>
        <v>0</v>
      </c>
      <c r="AH47" s="319">
        <f>IFERROR(AH45*10/'Production Schedule'!AG5,0)</f>
        <v>0</v>
      </c>
      <c r="AI47" s="319">
        <f>IFERROR(AI45*10/'Production Schedule'!AH5,0)</f>
        <v>0</v>
      </c>
      <c r="AJ47" s="319">
        <f>IFERROR(AJ45*10/'Production Schedule'!AI5,0)</f>
        <v>0</v>
      </c>
      <c r="AK47" s="319">
        <f>IFERROR(AK45*10/'Production Schedule'!AJ5,0)</f>
        <v>0</v>
      </c>
      <c r="AL47" s="319">
        <f>IFERROR(AL45*10/'Production Schedule'!AK5,0)</f>
        <v>0</v>
      </c>
      <c r="AM47" s="319">
        <f>IFERROR(AM45*10/'Production Schedule'!AL5,0)</f>
        <v>0</v>
      </c>
      <c r="AN47" s="319">
        <f>IFERROR(AN45*10/'Production Schedule'!AM5,0)</f>
        <v>0</v>
      </c>
      <c r="AO47" s="319">
        <f>IFERROR(AO45*10/'Production Schedule'!AN5,0)</f>
        <v>0</v>
      </c>
      <c r="AP47" s="319">
        <f>IFERROR(AP45*10/'Production Schedule'!AO5,0)</f>
        <v>0</v>
      </c>
      <c r="AQ47" s="316">
        <f>AQ45/'Production Schedule'!D5*10</f>
        <v>56.41307818787574</v>
      </c>
    </row>
    <row r="49" spans="2:43" ht="14" thickBot="1">
      <c r="B49" s="548" t="s">
        <v>1298</v>
      </c>
      <c r="C49" s="371" t="s">
        <v>1299</v>
      </c>
      <c r="D49" s="242"/>
      <c r="E49" s="242"/>
      <c r="F49" s="242"/>
      <c r="G49" s="242"/>
      <c r="H49" s="242"/>
      <c r="I49" s="242"/>
      <c r="J49" s="372">
        <f>SUM(J37:J39)/Assumptions_Dashboard!$D$28</f>
        <v>14.637056797842199</v>
      </c>
      <c r="K49" s="372">
        <f>SUM(K37:K39)/Assumptions_Dashboard!$D$28</f>
        <v>12.77682258000763</v>
      </c>
      <c r="L49" s="372">
        <f>SUM(L37:L39)/Assumptions_Dashboard!$D$28</f>
        <v>21.360807319521342</v>
      </c>
      <c r="M49" s="372">
        <f>SUM(M37:M39)/Assumptions_Dashboard!$D$28</f>
        <v>45.642620480942966</v>
      </c>
      <c r="N49" s="372">
        <f>SUM(N37:N39)/Assumptions_Dashboard!$D$28</f>
        <v>44.117333183856744</v>
      </c>
      <c r="O49" s="372">
        <f>SUM(O37:O39)/Assumptions_Dashboard!$D$28</f>
        <v>59.07044117028444</v>
      </c>
      <c r="P49" s="372">
        <f>SUM(P37:P39)/Assumptions_Dashboard!$D$28</f>
        <v>54.115921157717345</v>
      </c>
      <c r="Q49" s="372">
        <f>SUM(Q37:Q39)/Assumptions_Dashboard!$D$28</f>
        <v>45.344673086588529</v>
      </c>
      <c r="R49" s="372">
        <f>SUM(R37:R39)/Assumptions_Dashboard!$D$28</f>
        <v>47.229342347351015</v>
      </c>
      <c r="S49" s="372">
        <f>SUM(S37:S39)/Assumptions_Dashboard!$D$28</f>
        <v>42.18834410463964</v>
      </c>
      <c r="T49" s="372">
        <f>SUM(T37:T39)/Assumptions_Dashboard!$D$28</f>
        <v>47.513207189982573</v>
      </c>
      <c r="U49" s="372">
        <f>SUM(U37:U39)/Assumptions_Dashboard!$D$28</f>
        <v>36.323602344085309</v>
      </c>
      <c r="V49" s="372">
        <f>SUM(V37:V39)/Assumptions_Dashboard!$D$28</f>
        <v>31.964763198674198</v>
      </c>
      <c r="W49" s="372">
        <f>SUM(W37:W39)/Assumptions_Dashboard!$D$28</f>
        <v>39.571047616342881</v>
      </c>
      <c r="X49" s="372">
        <f>SUM(X37:X39)/Assumptions_Dashboard!$D$28</f>
        <v>39.447342033870314</v>
      </c>
      <c r="Y49" s="372">
        <f>SUM(Y37:Y39)/Assumptions_Dashboard!$D$28</f>
        <v>50.076106948112589</v>
      </c>
      <c r="Z49" s="372">
        <f>SUM(Z37:Z39)/Assumptions_Dashboard!$D$28</f>
        <v>30.864624394778151</v>
      </c>
      <c r="AA49" s="372">
        <f>SUM(AA37:AA39)/Assumptions_Dashboard!$D$28</f>
        <v>5.5518321890609057</v>
      </c>
      <c r="AB49" s="372">
        <f>SUM(AB37:AB39)/Assumptions_Dashboard!$D$28</f>
        <v>1.5966550554508316</v>
      </c>
      <c r="AC49" s="372">
        <f>SUM(AC37:AC39)/Assumptions_Dashboard!$D$28</f>
        <v>0</v>
      </c>
      <c r="AD49" s="372">
        <f>SUM(AD37:AD39)/Assumptions_Dashboard!$D$28</f>
        <v>0</v>
      </c>
      <c r="AE49" s="372">
        <f>SUM(AE37:AE39)/Assumptions_Dashboard!$D$28</f>
        <v>0</v>
      </c>
      <c r="AF49" s="372">
        <f>SUM(AF37:AF39)/Assumptions_Dashboard!$D$28</f>
        <v>0</v>
      </c>
      <c r="AG49" s="372">
        <f>SUM(AG37:AG39)/Assumptions_Dashboard!$D$28</f>
        <v>0</v>
      </c>
      <c r="AH49" s="372">
        <f>SUM(AH37:AH39)/Assumptions_Dashboard!$D$28</f>
        <v>0</v>
      </c>
      <c r="AI49" s="372">
        <f>SUM(AI37:AI39)/Assumptions_Dashboard!$D$28</f>
        <v>0</v>
      </c>
      <c r="AJ49" s="372">
        <f>SUM(AJ37:AJ39)/Assumptions_Dashboard!$D$28</f>
        <v>0</v>
      </c>
      <c r="AK49" s="372">
        <f>SUM(AK37:AK39)/Assumptions_Dashboard!$D$28</f>
        <v>0</v>
      </c>
      <c r="AL49" s="372">
        <f>SUM(AL37:AL39)/Assumptions_Dashboard!$D$28</f>
        <v>0</v>
      </c>
      <c r="AM49" s="372">
        <f>SUM(AM37:AM39)/Assumptions_Dashboard!$D$28</f>
        <v>0</v>
      </c>
      <c r="AN49" s="372">
        <f>SUM(AN37:AN39)/Assumptions_Dashboard!$D$28</f>
        <v>0</v>
      </c>
      <c r="AO49" s="372">
        <f>SUM(AO37:AO39)/Assumptions_Dashboard!$D$28</f>
        <v>0</v>
      </c>
      <c r="AP49" s="372">
        <f>SUM(AP37:AP39)/Assumptions_Dashboard!$D$28</f>
        <v>0</v>
      </c>
      <c r="AQ49" s="372">
        <f>SUM(AQ37:AQ39)/Assumptions_Dashboard!$D$28</f>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803E-E0F2-40FD-9A47-78F014F01BC0}">
  <sheetPr codeName="Sheet35">
    <tabColor rgb="FF0070C0"/>
  </sheetPr>
  <dimension ref="B2:AF321"/>
  <sheetViews>
    <sheetView showGridLines="0" workbookViewId="0">
      <selection activeCell="J18" sqref="J18"/>
    </sheetView>
  </sheetViews>
  <sheetFormatPr baseColWidth="10" defaultColWidth="8.83203125" defaultRowHeight="13"/>
  <cols>
    <col min="1" max="1" width="2.5" customWidth="1"/>
    <col min="2" max="2" width="26.5" customWidth="1"/>
    <col min="3" max="3" width="50.1640625" bestFit="1" customWidth="1"/>
    <col min="4" max="4" width="10.5" customWidth="1"/>
    <col min="6" max="6" width="5.83203125" customWidth="1"/>
    <col min="7" max="7" width="7.5" customWidth="1"/>
    <col min="8" max="8" width="13.83203125" bestFit="1" customWidth="1"/>
    <col min="9" max="9" width="9.33203125" customWidth="1"/>
    <col min="10" max="13" width="12.5" bestFit="1" customWidth="1"/>
    <col min="14" max="14" width="13.5" bestFit="1" customWidth="1"/>
    <col min="15" max="20" width="12.83203125" bestFit="1" customWidth="1"/>
    <col min="21" max="27" width="12.6640625" bestFit="1" customWidth="1"/>
    <col min="28" max="28" width="12.83203125" bestFit="1" customWidth="1"/>
    <col min="29" max="29" width="12.6640625" bestFit="1" customWidth="1"/>
    <col min="30" max="39" width="12.83203125" bestFit="1" customWidth="1"/>
    <col min="40" max="41" width="8.33203125" bestFit="1" customWidth="1"/>
  </cols>
  <sheetData>
    <row r="2" spans="2:32">
      <c r="B2" s="142"/>
      <c r="C2" s="140" t="s">
        <v>1300</v>
      </c>
      <c r="D2" s="140"/>
      <c r="J2" s="201">
        <f>'Production Schedule'!E1</f>
        <v>46023</v>
      </c>
      <c r="K2" s="201">
        <f>'Production Schedule'!F1</f>
        <v>46389</v>
      </c>
      <c r="L2" s="201">
        <f>'Production Schedule'!G1</f>
        <v>46755</v>
      </c>
      <c r="M2" s="201">
        <f>'Production Schedule'!H1</f>
        <v>47121</v>
      </c>
      <c r="N2" s="201">
        <f>'Production Schedule'!I1</f>
        <v>47487</v>
      </c>
      <c r="O2" s="201">
        <f>'Production Schedule'!J1</f>
        <v>47853</v>
      </c>
      <c r="P2" s="201">
        <f>'Production Schedule'!K1</f>
        <v>48219</v>
      </c>
      <c r="Q2" s="201">
        <f>'Production Schedule'!L1</f>
        <v>48585</v>
      </c>
      <c r="R2" s="201">
        <f>'Production Schedule'!M1</f>
        <v>48951</v>
      </c>
      <c r="S2" s="201">
        <f>'Production Schedule'!N1</f>
        <v>49317</v>
      </c>
      <c r="T2" s="201">
        <f>'Production Schedule'!O1</f>
        <v>49683</v>
      </c>
      <c r="U2" s="201">
        <f>'Production Schedule'!P1</f>
        <v>50049</v>
      </c>
      <c r="V2" s="201">
        <f>'Production Schedule'!Q1</f>
        <v>50415</v>
      </c>
      <c r="W2" s="201">
        <f>'Production Schedule'!R1</f>
        <v>50781</v>
      </c>
      <c r="X2" s="201">
        <f>'Production Schedule'!S1</f>
        <v>51147</v>
      </c>
      <c r="Y2" s="201">
        <f>'Production Schedule'!T1</f>
        <v>51513</v>
      </c>
      <c r="Z2" s="201">
        <f>'Production Schedule'!U1</f>
        <v>51879</v>
      </c>
      <c r="AA2" s="201">
        <f>'Production Schedule'!V1</f>
        <v>52245</v>
      </c>
      <c r="AB2" s="201">
        <f>'Production Schedule'!W1</f>
        <v>52611</v>
      </c>
      <c r="AC2" s="201">
        <f>'Production Schedule'!X1</f>
        <v>52977</v>
      </c>
      <c r="AD2" s="201">
        <f>'Production Schedule'!Y1</f>
        <v>53343</v>
      </c>
      <c r="AE2" s="201">
        <f>'Production Schedule'!Z1</f>
        <v>53709</v>
      </c>
      <c r="AF2" s="201">
        <f>'Production Schedule'!AA1</f>
        <v>54075</v>
      </c>
    </row>
    <row r="3" spans="2:32" ht="28">
      <c r="B3" s="142"/>
      <c r="C3" s="140"/>
      <c r="D3" s="140"/>
      <c r="E3" s="144" t="s">
        <v>88</v>
      </c>
      <c r="F3" s="144" t="s">
        <v>267</v>
      </c>
      <c r="G3" s="144"/>
      <c r="H3" s="144"/>
      <c r="I3" s="143" t="s">
        <v>1301</v>
      </c>
      <c r="J3" s="1141">
        <f>'Production Schedule'!E3</f>
        <v>-4</v>
      </c>
      <c r="K3" s="1141">
        <f>'Production Schedule'!F3</f>
        <v>-3</v>
      </c>
      <c r="L3" s="1141">
        <f>'Production Schedule'!G3</f>
        <v>-2</v>
      </c>
      <c r="M3" s="1141">
        <f>'Production Schedule'!H3</f>
        <v>-1</v>
      </c>
      <c r="N3" s="1141">
        <f>'Production Schedule'!I3</f>
        <v>1</v>
      </c>
      <c r="O3" s="1141">
        <f>'Production Schedule'!J3</f>
        <v>2</v>
      </c>
      <c r="P3" s="1141">
        <f>'Production Schedule'!K3</f>
        <v>3</v>
      </c>
      <c r="Q3" s="1141">
        <f>'Production Schedule'!L3</f>
        <v>4</v>
      </c>
      <c r="R3" s="1141">
        <f>'Production Schedule'!M3</f>
        <v>5</v>
      </c>
      <c r="S3" s="1141">
        <f>'Production Schedule'!N3</f>
        <v>6</v>
      </c>
      <c r="T3" s="1141">
        <f>'Production Schedule'!O3</f>
        <v>7</v>
      </c>
      <c r="U3" s="1141">
        <f>'Production Schedule'!P3</f>
        <v>8</v>
      </c>
      <c r="V3" s="1141">
        <f>'Production Schedule'!Q3</f>
        <v>9</v>
      </c>
      <c r="W3" s="1141">
        <f>'Production Schedule'!R3</f>
        <v>10</v>
      </c>
      <c r="X3" s="1141">
        <f>'Production Schedule'!S3</f>
        <v>11</v>
      </c>
      <c r="Y3" s="1141">
        <f>'Production Schedule'!T3</f>
        <v>12</v>
      </c>
      <c r="Z3" s="1141">
        <f>'Production Schedule'!U3</f>
        <v>13</v>
      </c>
      <c r="AA3" s="1141">
        <f>'Production Schedule'!V3</f>
        <v>14</v>
      </c>
      <c r="AB3" s="1141">
        <f>'Production Schedule'!W3</f>
        <v>15</v>
      </c>
      <c r="AC3" s="1141">
        <f>'Production Schedule'!X3</f>
        <v>16</v>
      </c>
      <c r="AD3" s="1141">
        <f>'Production Schedule'!Y3</f>
        <v>17</v>
      </c>
      <c r="AE3" s="1141">
        <f>'Production Schedule'!Z3</f>
        <v>18</v>
      </c>
      <c r="AF3" s="1141">
        <f>'Production Schedule'!AA3</f>
        <v>19</v>
      </c>
    </row>
    <row r="4" spans="2:32">
      <c r="C4" t="s">
        <v>509</v>
      </c>
      <c r="E4" s="141" t="s">
        <v>113</v>
      </c>
      <c r="F4" s="418">
        <f>SUM(J4:AF4)</f>
        <v>225.70440651000001</v>
      </c>
      <c r="G4" s="141"/>
      <c r="H4" s="141"/>
      <c r="J4" s="181">
        <f>'Production Schedule'!E5</f>
        <v>0</v>
      </c>
      <c r="K4" s="181">
        <f>'Production Schedule'!F5</f>
        <v>0</v>
      </c>
      <c r="L4" s="181">
        <f>'Production Schedule'!G5</f>
        <v>0</v>
      </c>
      <c r="M4" s="181">
        <f>'Production Schedule'!H5</f>
        <v>0</v>
      </c>
      <c r="N4" s="181">
        <f>'Production Schedule'!I5</f>
        <v>1.9999997549999999</v>
      </c>
      <c r="O4" s="181">
        <f>'Production Schedule'!J5</f>
        <v>3.9999986549999997</v>
      </c>
      <c r="P4" s="181">
        <f>'Production Schedule'!K5</f>
        <v>8.00000073</v>
      </c>
      <c r="Q4" s="181">
        <f>'Production Schedule'!L5</f>
        <v>11.999998529999999</v>
      </c>
      <c r="R4" s="181">
        <f>'Production Schedule'!M5</f>
        <v>14.99999517</v>
      </c>
      <c r="S4" s="181">
        <f>'Production Schedule'!N5</f>
        <v>15.000007140000001</v>
      </c>
      <c r="T4" s="181">
        <f>'Production Schedule'!O5</f>
        <v>14.999998590000001</v>
      </c>
      <c r="U4" s="181">
        <f>'Production Schedule'!P5</f>
        <v>14.999996879999999</v>
      </c>
      <c r="V4" s="181">
        <f>'Production Schedule'!Q5</f>
        <v>15.000003719999999</v>
      </c>
      <c r="W4" s="181">
        <f>'Production Schedule'!R5</f>
        <v>14.99999517</v>
      </c>
      <c r="X4" s="181">
        <f>'Production Schedule'!S5</f>
        <v>14.999996879999999</v>
      </c>
      <c r="Y4" s="181">
        <f>'Production Schedule'!T5</f>
        <v>15.000002009999999</v>
      </c>
      <c r="Z4" s="181">
        <f>'Production Schedule'!U5</f>
        <v>15.00001569</v>
      </c>
      <c r="AA4" s="181">
        <f>'Production Schedule'!V5</f>
        <v>15.000002009999999</v>
      </c>
      <c r="AB4" s="181">
        <f>'Production Schedule'!W5</f>
        <v>15.000002009999999</v>
      </c>
      <c r="AC4" s="181">
        <f>'Production Schedule'!X5</f>
        <v>15.000000299999998</v>
      </c>
      <c r="AD4" s="181">
        <f>'Production Schedule'!Y5</f>
        <v>9.9999996299999996</v>
      </c>
      <c r="AE4" s="181">
        <f>'Production Schedule'!Z5</f>
        <v>7.5000027149999999</v>
      </c>
      <c r="AF4" s="181">
        <f>'Production Schedule'!AA5</f>
        <v>2.2043909249999998</v>
      </c>
    </row>
    <row r="5" spans="2:32">
      <c r="C5" t="s">
        <v>539</v>
      </c>
      <c r="E5" s="141" t="s">
        <v>118</v>
      </c>
      <c r="F5" s="418">
        <f>SUM(J5:AF5)</f>
        <v>535.39467341478871</v>
      </c>
      <c r="G5" s="141"/>
      <c r="H5" s="141"/>
      <c r="J5" s="181">
        <f>'Production Schedule'!E8</f>
        <v>0</v>
      </c>
      <c r="K5" s="181">
        <f>'Production Schedule'!F8</f>
        <v>0</v>
      </c>
      <c r="L5" s="181">
        <f>'Production Schedule'!G8</f>
        <v>0</v>
      </c>
      <c r="M5" s="181">
        <f>'Production Schedule'!H8</f>
        <v>0</v>
      </c>
      <c r="N5" s="181">
        <f>'Production Schedule'!I8</f>
        <v>11.466045729050279</v>
      </c>
      <c r="O5" s="181">
        <f>'Production Schedule'!J8</f>
        <v>9.5178188259668506</v>
      </c>
      <c r="P5" s="181">
        <f>'Production Schedule'!K8</f>
        <v>17.240514972375692</v>
      </c>
      <c r="Q5" s="181">
        <f>'Production Schedule'!L8</f>
        <v>36.817196150000001</v>
      </c>
      <c r="R5" s="181">
        <f>'Production Schedule'!M8</f>
        <v>35.420574905555554</v>
      </c>
      <c r="S5" s="181">
        <f>'Production Schedule'!N8</f>
        <v>47.463611318435753</v>
      </c>
      <c r="T5" s="181">
        <f>'Production Schedule'!O8</f>
        <v>43.447467227777778</v>
      </c>
      <c r="U5" s="181">
        <f>'Production Schedule'!P8</f>
        <v>36.33747506666667</v>
      </c>
      <c r="V5" s="181">
        <f>'Production Schedule'!Q8</f>
        <v>37.865191711111116</v>
      </c>
      <c r="W5" s="181">
        <f>'Production Schedule'!R8</f>
        <v>33.778948184357539</v>
      </c>
      <c r="X5" s="181">
        <f>'Production Schedule'!S8</f>
        <v>38.053482346368718</v>
      </c>
      <c r="Y5" s="181">
        <f>'Production Schedule'!T8</f>
        <v>28.983164832402235</v>
      </c>
      <c r="Z5" s="181">
        <f>'Production Schedule'!U8</f>
        <v>25.4498801284916</v>
      </c>
      <c r="AA5" s="181">
        <f>'Production Schedule'!V8</f>
        <v>31.615550832402231</v>
      </c>
      <c r="AB5" s="181">
        <f>'Production Schedule'!W8</f>
        <v>31.515274825842699</v>
      </c>
      <c r="AC5" s="181">
        <f>'Production Schedule'!X8</f>
        <v>40.123366662921349</v>
      </c>
      <c r="AD5" s="181">
        <f>'Production Schedule'!Y8</f>
        <v>24.726595192090397</v>
      </c>
      <c r="AE5" s="181">
        <f>'Production Schedule'!Z8</f>
        <v>4.2960406619318183</v>
      </c>
      <c r="AF5" s="181">
        <f>'Production Schedule'!AA8</f>
        <v>1.2764738410404626</v>
      </c>
    </row>
    <row r="6" spans="2:32">
      <c r="C6" t="s">
        <v>540</v>
      </c>
      <c r="E6" s="141" t="s">
        <v>118</v>
      </c>
      <c r="F6" s="418">
        <f>SUM(J6:AF6)</f>
        <v>75.64</v>
      </c>
      <c r="G6" s="141"/>
      <c r="H6" s="141"/>
      <c r="J6" s="181">
        <f>'Production Schedule'!E13</f>
        <v>0</v>
      </c>
      <c r="K6" s="181">
        <f>'Production Schedule'!F13</f>
        <v>0</v>
      </c>
      <c r="L6" s="181">
        <f>'Production Schedule'!G13</f>
        <v>0</v>
      </c>
      <c r="M6" s="181">
        <f>'Production Schedule'!H13</f>
        <v>0</v>
      </c>
      <c r="N6" s="181">
        <f>'Production Schedule'!I13</f>
        <v>0</v>
      </c>
      <c r="O6" s="181">
        <f>'Production Schedule'!J13</f>
        <v>0</v>
      </c>
      <c r="P6" s="181">
        <f>'Production Schedule'!K13</f>
        <v>0</v>
      </c>
      <c r="Q6" s="181">
        <f>'Production Schedule'!L13</f>
        <v>0</v>
      </c>
      <c r="R6" s="181">
        <f>'Production Schedule'!M13</f>
        <v>0</v>
      </c>
      <c r="S6" s="181">
        <f>'Production Schedule'!N13</f>
        <v>0</v>
      </c>
      <c r="T6" s="181">
        <f>'Production Schedule'!O13</f>
        <v>11.85</v>
      </c>
      <c r="U6" s="181">
        <f>'Production Schedule'!P13</f>
        <v>11.85</v>
      </c>
      <c r="V6" s="181">
        <f>'Production Schedule'!Q13</f>
        <v>11.85</v>
      </c>
      <c r="W6" s="181">
        <f>'Production Schedule'!R13</f>
        <v>11.85</v>
      </c>
      <c r="X6" s="181">
        <f>'Production Schedule'!S13</f>
        <v>7.06</v>
      </c>
      <c r="Y6" s="181">
        <f>'Production Schedule'!T13</f>
        <v>7.06</v>
      </c>
      <c r="Z6" s="181">
        <f>'Production Schedule'!U13</f>
        <v>7.06</v>
      </c>
      <c r="AA6" s="181">
        <f>'Production Schedule'!V13</f>
        <v>7.06</v>
      </c>
      <c r="AB6" s="181">
        <f>'Production Schedule'!W13</f>
        <v>0</v>
      </c>
      <c r="AC6" s="181">
        <f>'Production Schedule'!X13</f>
        <v>0</v>
      </c>
      <c r="AD6" s="181">
        <f>'Production Schedule'!Y13</f>
        <v>0</v>
      </c>
      <c r="AE6" s="181">
        <f>'Production Schedule'!Z13</f>
        <v>0</v>
      </c>
      <c r="AF6" s="181">
        <f>'Production Schedule'!AA13</f>
        <v>0</v>
      </c>
    </row>
    <row r="7" spans="2:32" ht="13.25" customHeight="1">
      <c r="C7" s="94" t="s">
        <v>1302</v>
      </c>
      <c r="E7" s="141" t="s">
        <v>118</v>
      </c>
      <c r="F7" s="786">
        <f>SUM(J7:AF7)</f>
        <v>742.25816557176563</v>
      </c>
      <c r="J7" s="209">
        <f>(J4/Assumptions_Dashboard!$D$32)+J5+J6</f>
        <v>0</v>
      </c>
      <c r="K7" s="209">
        <f>(K4/Assumptions_Dashboard!$D$32)+K5+K6</f>
        <v>0</v>
      </c>
      <c r="L7" s="209">
        <f>(L4/Assumptions_Dashboard!$D$32)+L5+L6</f>
        <v>0</v>
      </c>
      <c r="M7" s="209">
        <f>(M4/Assumptions_Dashboard!$D$32)+M5+M6</f>
        <v>0</v>
      </c>
      <c r="N7" s="370">
        <f>(N4/Assumptions_Dashboard!$D$32)+N5+N6</f>
        <v>12.628836284282837</v>
      </c>
      <c r="O7" s="370">
        <f>(O4/Assumptions_Dashboard!$D$32)+O5+O6</f>
        <v>11.843399439338944</v>
      </c>
      <c r="P7" s="370">
        <f>(P4/Assumptions_Dashboard!$D$32)+P5+P6</f>
        <v>21.891678187491969</v>
      </c>
      <c r="Q7" s="370">
        <f>(Q4/Assumptions_Dashboard!$D$32)+Q5+Q6</f>
        <v>43.793939481395348</v>
      </c>
      <c r="R7" s="370">
        <f>(R4/Assumptions_Dashboard!$D$32)+R5+R6</f>
        <v>44.141502329974159</v>
      </c>
      <c r="S7" s="370">
        <f>(S4/Assumptions_Dashboard!$D$32)+S5+S6</f>
        <v>56.184545702156683</v>
      </c>
      <c r="T7" s="370">
        <f>(T4/Assumptions_Dashboard!$D$32)+T5+T6</f>
        <v>64.018396640568469</v>
      </c>
      <c r="U7" s="370">
        <f>(U4/Assumptions_Dashboard!$D$32)+U5+U6</f>
        <v>56.908403485271322</v>
      </c>
      <c r="V7" s="370">
        <f>(V4/Assumptions_Dashboard!$D$32)+V5+V6</f>
        <v>58.43612410645995</v>
      </c>
      <c r="W7" s="370">
        <f>(W4/Assumptions_Dashboard!$D$32)+W5+W6</f>
        <v>54.349875608776145</v>
      </c>
      <c r="X7" s="370">
        <f>(X4/Assumptions_Dashboard!$D$32)+X5+X6</f>
        <v>53.83441076497337</v>
      </c>
      <c r="Y7" s="370">
        <f>(Y4/Assumptions_Dashboard!$D$32)+Y5+Y6</f>
        <v>44.764096233565027</v>
      </c>
      <c r="Z7" s="370">
        <f>(Z4/Assumptions_Dashboard!$D$32)+Z5+Z6</f>
        <v>41.230819483142767</v>
      </c>
      <c r="AA7" s="370">
        <f>(AA4/Assumptions_Dashboard!$D$32)+AA5+AA6</f>
        <v>47.396482233565024</v>
      </c>
      <c r="AB7" s="370">
        <f>(AB4/Assumptions_Dashboard!$D$32)+AB5+AB6</f>
        <v>40.236206227005489</v>
      </c>
      <c r="AC7" s="370">
        <f>(AC4/Assumptions_Dashboard!$D$32)+AC5+AC6</f>
        <v>48.84429706989809</v>
      </c>
      <c r="AD7" s="370">
        <f>(AD4/Assumptions_Dashboard!$D$32)+AD5+AD6</f>
        <v>30.540548465346212</v>
      </c>
      <c r="AE7" s="370">
        <f>(AE4/Assumptions_Dashboard!$D$32)+AE5+AE6</f>
        <v>8.6565073566992599</v>
      </c>
      <c r="AF7" s="370">
        <f>(AF4/Assumptions_Dashboard!$D$32)+AF5+AF6</f>
        <v>2.5580964718544159</v>
      </c>
    </row>
    <row r="8" spans="2:32">
      <c r="C8" s="186" t="s">
        <v>1303</v>
      </c>
      <c r="D8" s="186"/>
    </row>
    <row r="9" spans="2:32" ht="14">
      <c r="C9" s="1141" t="s">
        <v>1304</v>
      </c>
      <c r="D9" s="1141"/>
      <c r="E9" s="1141" t="s">
        <v>88</v>
      </c>
      <c r="F9" s="1141" t="s">
        <v>1305</v>
      </c>
      <c r="G9" s="1141" t="s">
        <v>1306</v>
      </c>
      <c r="H9" s="1141" t="s">
        <v>1307</v>
      </c>
      <c r="I9" s="1141" t="s">
        <v>886</v>
      </c>
      <c r="J9" s="1141">
        <f>'Production Schedule'!E3</f>
        <v>-4</v>
      </c>
      <c r="K9" s="1141">
        <f>'Production Schedule'!F3</f>
        <v>-3</v>
      </c>
      <c r="L9" s="1141">
        <f>'Production Schedule'!G3</f>
        <v>-2</v>
      </c>
      <c r="M9" s="1141">
        <f>'Production Schedule'!H3</f>
        <v>-1</v>
      </c>
      <c r="N9" s="1141">
        <f>'Production Schedule'!I3</f>
        <v>1</v>
      </c>
      <c r="O9" s="1141">
        <f>'Production Schedule'!J3</f>
        <v>2</v>
      </c>
      <c r="P9" s="1141">
        <f>'Production Schedule'!K3</f>
        <v>3</v>
      </c>
      <c r="Q9" s="1141">
        <f>'Production Schedule'!L3</f>
        <v>4</v>
      </c>
      <c r="R9" s="1141">
        <f>'Production Schedule'!M3</f>
        <v>5</v>
      </c>
      <c r="S9" s="1141">
        <f>'Production Schedule'!N3</f>
        <v>6</v>
      </c>
      <c r="T9" s="1141">
        <f>'Production Schedule'!O3</f>
        <v>7</v>
      </c>
      <c r="U9" s="1141">
        <f>'Production Schedule'!P3</f>
        <v>8</v>
      </c>
      <c r="V9" s="1141">
        <f>'Production Schedule'!Q3</f>
        <v>9</v>
      </c>
      <c r="W9" s="1141">
        <f>'Production Schedule'!R3</f>
        <v>10</v>
      </c>
      <c r="X9" s="1141">
        <f>'Production Schedule'!S3</f>
        <v>11</v>
      </c>
      <c r="Y9" s="1141">
        <f>'Production Schedule'!T3</f>
        <v>12</v>
      </c>
      <c r="Z9" s="1141">
        <f>'Production Schedule'!U3</f>
        <v>13</v>
      </c>
      <c r="AA9" s="1141">
        <f>'Production Schedule'!V3</f>
        <v>14</v>
      </c>
      <c r="AB9" s="1141">
        <f>'Production Schedule'!W3</f>
        <v>15</v>
      </c>
      <c r="AC9" s="1141">
        <f>'Production Schedule'!X3</f>
        <v>16</v>
      </c>
      <c r="AD9" s="1141">
        <f>'Production Schedule'!Y3</f>
        <v>17</v>
      </c>
      <c r="AE9" s="1141">
        <f>'Production Schedule'!Z3</f>
        <v>18</v>
      </c>
      <c r="AF9" s="1141">
        <f>'Production Schedule'!AA3</f>
        <v>19</v>
      </c>
    </row>
    <row r="10" spans="2:32" ht="14">
      <c r="C10" s="258" t="s">
        <v>1308</v>
      </c>
      <c r="D10" s="259"/>
      <c r="E10" s="259"/>
      <c r="F10" s="259"/>
      <c r="G10" s="259"/>
      <c r="H10" s="259"/>
      <c r="I10" s="259"/>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row>
    <row r="11" spans="2:32">
      <c r="B11" s="117"/>
      <c r="C11" s="646" t="s">
        <v>1309</v>
      </c>
      <c r="D11" s="121"/>
      <c r="E11" s="121" t="s">
        <v>740</v>
      </c>
      <c r="F11" s="365" t="s">
        <v>177</v>
      </c>
      <c r="G11">
        <v>1</v>
      </c>
      <c r="H11" s="366">
        <f>IFERROR(VLOOKUP(F11,Assumptions_Dashboard!$C$38:$D$72,2,FALSE),0)</f>
        <v>6000000</v>
      </c>
      <c r="J11" s="179">
        <f>G11</f>
        <v>1</v>
      </c>
      <c r="K11" s="179">
        <f t="shared" ref="K11:AF11" si="0">J11</f>
        <v>1</v>
      </c>
      <c r="L11" s="179">
        <f t="shared" si="0"/>
        <v>1</v>
      </c>
      <c r="M11" s="179">
        <f t="shared" si="0"/>
        <v>1</v>
      </c>
      <c r="N11" s="179">
        <f t="shared" si="0"/>
        <v>1</v>
      </c>
      <c r="O11" s="179">
        <f t="shared" si="0"/>
        <v>1</v>
      </c>
      <c r="P11" s="179">
        <f t="shared" si="0"/>
        <v>1</v>
      </c>
      <c r="Q11" s="179">
        <f t="shared" si="0"/>
        <v>1</v>
      </c>
      <c r="R11" s="179">
        <f t="shared" si="0"/>
        <v>1</v>
      </c>
      <c r="S11" s="179">
        <f t="shared" si="0"/>
        <v>1</v>
      </c>
      <c r="T11" s="179">
        <f t="shared" si="0"/>
        <v>1</v>
      </c>
      <c r="U11" s="179">
        <f t="shared" si="0"/>
        <v>1</v>
      </c>
      <c r="V11" s="179">
        <f t="shared" si="0"/>
        <v>1</v>
      </c>
      <c r="W11" s="179">
        <f t="shared" si="0"/>
        <v>1</v>
      </c>
      <c r="X11" s="179">
        <f t="shared" si="0"/>
        <v>1</v>
      </c>
      <c r="Y11" s="179">
        <f t="shared" si="0"/>
        <v>1</v>
      </c>
      <c r="Z11" s="179">
        <f t="shared" si="0"/>
        <v>1</v>
      </c>
      <c r="AA11" s="179">
        <f t="shared" si="0"/>
        <v>1</v>
      </c>
      <c r="AB11" s="179">
        <f t="shared" si="0"/>
        <v>1</v>
      </c>
      <c r="AC11" s="179">
        <f t="shared" si="0"/>
        <v>1</v>
      </c>
      <c r="AD11" s="179">
        <f t="shared" si="0"/>
        <v>1</v>
      </c>
      <c r="AE11" s="179">
        <f t="shared" si="0"/>
        <v>1</v>
      </c>
      <c r="AF11" s="179">
        <f t="shared" si="0"/>
        <v>1</v>
      </c>
    </row>
    <row r="12" spans="2:32">
      <c r="B12" s="121"/>
      <c r="C12" s="646" t="s">
        <v>1310</v>
      </c>
      <c r="D12" s="121"/>
      <c r="E12" s="121" t="s">
        <v>740</v>
      </c>
      <c r="F12" s="205" t="s">
        <v>194</v>
      </c>
      <c r="G12">
        <v>1</v>
      </c>
      <c r="H12" s="366">
        <f>IFERROR(VLOOKUP(F12,Assumptions_Dashboard!$C$38:$D$72,2,FALSE),0)</f>
        <v>960000</v>
      </c>
      <c r="J12" s="179"/>
      <c r="K12" s="179"/>
      <c r="L12" s="179"/>
      <c r="M12" s="179"/>
      <c r="N12" s="179">
        <f>G12</f>
        <v>1</v>
      </c>
      <c r="O12" s="179">
        <f t="shared" ref="O12:AF12" si="1">N12</f>
        <v>1</v>
      </c>
      <c r="P12" s="179">
        <f t="shared" si="1"/>
        <v>1</v>
      </c>
      <c r="Q12" s="179">
        <f t="shared" si="1"/>
        <v>1</v>
      </c>
      <c r="R12" s="179">
        <f t="shared" si="1"/>
        <v>1</v>
      </c>
      <c r="S12" s="179">
        <f t="shared" si="1"/>
        <v>1</v>
      </c>
      <c r="T12" s="179">
        <f t="shared" si="1"/>
        <v>1</v>
      </c>
      <c r="U12" s="179">
        <f t="shared" si="1"/>
        <v>1</v>
      </c>
      <c r="V12" s="179">
        <f t="shared" si="1"/>
        <v>1</v>
      </c>
      <c r="W12" s="179">
        <f t="shared" si="1"/>
        <v>1</v>
      </c>
      <c r="X12" s="179">
        <f t="shared" si="1"/>
        <v>1</v>
      </c>
      <c r="Y12" s="179">
        <f t="shared" si="1"/>
        <v>1</v>
      </c>
      <c r="Z12" s="179">
        <f t="shared" si="1"/>
        <v>1</v>
      </c>
      <c r="AA12" s="179">
        <f t="shared" si="1"/>
        <v>1</v>
      </c>
      <c r="AB12" s="179">
        <f t="shared" si="1"/>
        <v>1</v>
      </c>
      <c r="AC12" s="179">
        <f t="shared" si="1"/>
        <v>1</v>
      </c>
      <c r="AD12" s="179">
        <f t="shared" si="1"/>
        <v>1</v>
      </c>
      <c r="AE12" s="179">
        <f t="shared" si="1"/>
        <v>1</v>
      </c>
      <c r="AF12" s="179">
        <f t="shared" si="1"/>
        <v>1</v>
      </c>
    </row>
    <row r="13" spans="2:32">
      <c r="B13" s="121"/>
      <c r="C13" s="662" t="s">
        <v>1311</v>
      </c>
      <c r="D13" s="186"/>
      <c r="E13" s="121"/>
      <c r="F13" s="205"/>
      <c r="H13" s="366">
        <f>IFERROR(VLOOKUP(F13,Assumptions_Dashboard!$C$38:$D$72,2,FALSE),0)</f>
        <v>0</v>
      </c>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row>
    <row r="14" spans="2:32">
      <c r="B14" s="121"/>
      <c r="C14" s="646" t="s">
        <v>1312</v>
      </c>
      <c r="D14" s="257" t="s">
        <v>1313</v>
      </c>
      <c r="E14" s="121" t="s">
        <v>740</v>
      </c>
      <c r="F14" s="265" t="s">
        <v>180</v>
      </c>
      <c r="G14">
        <v>1</v>
      </c>
      <c r="H14" s="366">
        <f>IFERROR(VLOOKUP(F14,Assumptions_Dashboard!$C$38:$D$72,2,FALSE),0)</f>
        <v>4500000</v>
      </c>
      <c r="J14" s="179"/>
      <c r="K14" s="179"/>
      <c r="L14" s="179"/>
      <c r="M14" s="179">
        <f>G14</f>
        <v>1</v>
      </c>
      <c r="N14" s="179">
        <f t="shared" ref="N14:AF14" si="2">M14</f>
        <v>1</v>
      </c>
      <c r="O14" s="179">
        <f t="shared" si="2"/>
        <v>1</v>
      </c>
      <c r="P14" s="179">
        <f t="shared" si="2"/>
        <v>1</v>
      </c>
      <c r="Q14" s="179">
        <f t="shared" si="2"/>
        <v>1</v>
      </c>
      <c r="R14" s="179">
        <f t="shared" si="2"/>
        <v>1</v>
      </c>
      <c r="S14" s="179">
        <f t="shared" si="2"/>
        <v>1</v>
      </c>
      <c r="T14" s="179">
        <f t="shared" si="2"/>
        <v>1</v>
      </c>
      <c r="U14" s="179">
        <f t="shared" si="2"/>
        <v>1</v>
      </c>
      <c r="V14" s="179">
        <f t="shared" si="2"/>
        <v>1</v>
      </c>
      <c r="W14" s="179">
        <f t="shared" si="2"/>
        <v>1</v>
      </c>
      <c r="X14" s="179">
        <f t="shared" si="2"/>
        <v>1</v>
      </c>
      <c r="Y14" s="179">
        <f t="shared" si="2"/>
        <v>1</v>
      </c>
      <c r="Z14" s="179">
        <f t="shared" si="2"/>
        <v>1</v>
      </c>
      <c r="AA14" s="179">
        <f t="shared" si="2"/>
        <v>1</v>
      </c>
      <c r="AB14" s="179">
        <f t="shared" si="2"/>
        <v>1</v>
      </c>
      <c r="AC14" s="179">
        <f t="shared" si="2"/>
        <v>1</v>
      </c>
      <c r="AD14" s="179">
        <f t="shared" si="2"/>
        <v>1</v>
      </c>
      <c r="AE14" s="179">
        <f t="shared" si="2"/>
        <v>1</v>
      </c>
      <c r="AF14" s="179">
        <f t="shared" si="2"/>
        <v>1</v>
      </c>
    </row>
    <row r="15" spans="2:32">
      <c r="B15" s="121"/>
      <c r="C15" s="646" t="s">
        <v>1314</v>
      </c>
      <c r="D15" s="257" t="s">
        <v>1315</v>
      </c>
      <c r="E15" s="121" t="s">
        <v>740</v>
      </c>
      <c r="F15" s="265" t="s">
        <v>188</v>
      </c>
      <c r="G15">
        <v>1</v>
      </c>
      <c r="H15" s="366">
        <f>IFERROR(VLOOKUP(F15,Assumptions_Dashboard!$C$38:$D$72,2,FALSE),0)</f>
        <v>1800000</v>
      </c>
      <c r="J15" s="179">
        <f>G15</f>
        <v>1</v>
      </c>
      <c r="K15" s="179">
        <f t="shared" ref="K15:R15" si="3">J15</f>
        <v>1</v>
      </c>
      <c r="L15" s="179">
        <f t="shared" si="3"/>
        <v>1</v>
      </c>
      <c r="M15" s="179">
        <f t="shared" si="3"/>
        <v>1</v>
      </c>
      <c r="N15" s="179">
        <f t="shared" si="3"/>
        <v>1</v>
      </c>
      <c r="O15" s="179">
        <f t="shared" si="3"/>
        <v>1</v>
      </c>
      <c r="P15" s="179">
        <f t="shared" si="3"/>
        <v>1</v>
      </c>
      <c r="Q15" s="179">
        <f t="shared" si="3"/>
        <v>1</v>
      </c>
      <c r="R15" s="179">
        <f t="shared" si="3"/>
        <v>1</v>
      </c>
      <c r="S15" s="179"/>
      <c r="T15" s="179"/>
      <c r="U15" s="179"/>
      <c r="V15" s="179"/>
      <c r="W15" s="179"/>
      <c r="X15" s="179"/>
      <c r="Y15" s="179"/>
      <c r="Z15" s="179"/>
      <c r="AA15" s="179"/>
      <c r="AB15" s="179"/>
      <c r="AC15" s="179"/>
      <c r="AD15" s="179"/>
      <c r="AE15" s="179"/>
      <c r="AF15" s="179"/>
    </row>
    <row r="16" spans="2:32">
      <c r="B16" s="121"/>
      <c r="C16" s="646" t="s">
        <v>1316</v>
      </c>
      <c r="D16" s="257" t="s">
        <v>1313</v>
      </c>
      <c r="E16" s="121" t="s">
        <v>740</v>
      </c>
      <c r="F16" s="265" t="s">
        <v>184</v>
      </c>
      <c r="G16">
        <v>1</v>
      </c>
      <c r="H16" s="366">
        <f>IFERROR(VLOOKUP(F16,Assumptions_Dashboard!$C$38:$D$72,2,FALSE),0)</f>
        <v>3500000</v>
      </c>
      <c r="J16" s="179"/>
      <c r="K16" s="179"/>
      <c r="L16" s="179">
        <f>G16</f>
        <v>1</v>
      </c>
      <c r="M16" s="179">
        <f t="shared" ref="M16:M27" si="4">L16</f>
        <v>1</v>
      </c>
      <c r="N16" s="179">
        <f t="shared" ref="N16:AF16" si="5">M16</f>
        <v>1</v>
      </c>
      <c r="O16" s="179">
        <f t="shared" si="5"/>
        <v>1</v>
      </c>
      <c r="P16" s="179">
        <f t="shared" si="5"/>
        <v>1</v>
      </c>
      <c r="Q16" s="179">
        <f t="shared" si="5"/>
        <v>1</v>
      </c>
      <c r="R16" s="179">
        <f t="shared" si="5"/>
        <v>1</v>
      </c>
      <c r="S16" s="179">
        <f t="shared" si="5"/>
        <v>1</v>
      </c>
      <c r="T16" s="179">
        <f t="shared" si="5"/>
        <v>1</v>
      </c>
      <c r="U16" s="179">
        <f t="shared" si="5"/>
        <v>1</v>
      </c>
      <c r="V16" s="179">
        <f t="shared" si="5"/>
        <v>1</v>
      </c>
      <c r="W16" s="179">
        <f t="shared" si="5"/>
        <v>1</v>
      </c>
      <c r="X16" s="179">
        <f t="shared" si="5"/>
        <v>1</v>
      </c>
      <c r="Y16" s="179">
        <f t="shared" si="5"/>
        <v>1</v>
      </c>
      <c r="Z16" s="179">
        <f t="shared" si="5"/>
        <v>1</v>
      </c>
      <c r="AA16" s="179">
        <f t="shared" si="5"/>
        <v>1</v>
      </c>
      <c r="AB16" s="179">
        <f t="shared" si="5"/>
        <v>1</v>
      </c>
      <c r="AC16" s="179">
        <f t="shared" si="5"/>
        <v>1</v>
      </c>
      <c r="AD16" s="179">
        <f t="shared" si="5"/>
        <v>1</v>
      </c>
      <c r="AE16" s="179">
        <f t="shared" si="5"/>
        <v>1</v>
      </c>
      <c r="AF16" s="179">
        <f t="shared" si="5"/>
        <v>1</v>
      </c>
    </row>
    <row r="17" spans="2:32">
      <c r="B17" s="121"/>
      <c r="C17" s="646" t="s">
        <v>1317</v>
      </c>
      <c r="D17" s="257" t="s">
        <v>1313</v>
      </c>
      <c r="E17" s="121" t="s">
        <v>740</v>
      </c>
      <c r="F17" s="265" t="s">
        <v>184</v>
      </c>
      <c r="G17">
        <v>1</v>
      </c>
      <c r="H17" s="366">
        <f>IFERROR(VLOOKUP(F17,Assumptions_Dashboard!$C$38:$D$72,2,FALSE),0)</f>
        <v>3500000</v>
      </c>
      <c r="J17" s="179"/>
      <c r="K17" s="179"/>
      <c r="L17" s="179">
        <f>G17</f>
        <v>1</v>
      </c>
      <c r="M17" s="179">
        <f t="shared" si="4"/>
        <v>1</v>
      </c>
      <c r="N17" s="179">
        <f t="shared" ref="N17:AF17" si="6">M17</f>
        <v>1</v>
      </c>
      <c r="O17" s="179">
        <f t="shared" si="6"/>
        <v>1</v>
      </c>
      <c r="P17" s="179">
        <f t="shared" si="6"/>
        <v>1</v>
      </c>
      <c r="Q17" s="179">
        <f t="shared" si="6"/>
        <v>1</v>
      </c>
      <c r="R17" s="179">
        <f t="shared" si="6"/>
        <v>1</v>
      </c>
      <c r="S17" s="179">
        <f t="shared" si="6"/>
        <v>1</v>
      </c>
      <c r="T17" s="179">
        <f t="shared" si="6"/>
        <v>1</v>
      </c>
      <c r="U17" s="179">
        <f t="shared" si="6"/>
        <v>1</v>
      </c>
      <c r="V17" s="179">
        <f t="shared" si="6"/>
        <v>1</v>
      </c>
      <c r="W17" s="179">
        <f t="shared" si="6"/>
        <v>1</v>
      </c>
      <c r="X17" s="179">
        <f t="shared" si="6"/>
        <v>1</v>
      </c>
      <c r="Y17" s="179">
        <f t="shared" si="6"/>
        <v>1</v>
      </c>
      <c r="Z17" s="179">
        <f t="shared" si="6"/>
        <v>1</v>
      </c>
      <c r="AA17" s="179">
        <f t="shared" si="6"/>
        <v>1</v>
      </c>
      <c r="AB17" s="179">
        <f t="shared" si="6"/>
        <v>1</v>
      </c>
      <c r="AC17" s="179">
        <f t="shared" si="6"/>
        <v>1</v>
      </c>
      <c r="AD17" s="179">
        <f t="shared" si="6"/>
        <v>1</v>
      </c>
      <c r="AE17" s="179">
        <f t="shared" si="6"/>
        <v>1</v>
      </c>
      <c r="AF17" s="179">
        <f t="shared" si="6"/>
        <v>1</v>
      </c>
    </row>
    <row r="18" spans="2:32">
      <c r="B18" s="121"/>
      <c r="C18" s="646" t="s">
        <v>1318</v>
      </c>
      <c r="D18" s="257" t="s">
        <v>1315</v>
      </c>
      <c r="E18" s="121" t="s">
        <v>740</v>
      </c>
      <c r="F18" s="265" t="s">
        <v>192</v>
      </c>
      <c r="G18">
        <v>1</v>
      </c>
      <c r="H18" s="366">
        <f>IFERROR(VLOOKUP(F18,Assumptions_Dashboard!$C$38:$D$72,2,FALSE),0)</f>
        <v>1235000</v>
      </c>
      <c r="J18" s="179">
        <f>G18</f>
        <v>1</v>
      </c>
      <c r="K18" s="179">
        <f>J18</f>
        <v>1</v>
      </c>
      <c r="L18" s="179">
        <f>K18</f>
        <v>1</v>
      </c>
      <c r="M18" s="179">
        <f t="shared" si="4"/>
        <v>1</v>
      </c>
      <c r="N18" s="179">
        <f t="shared" ref="N18:AF26" si="7">M18</f>
        <v>1</v>
      </c>
      <c r="O18" s="179">
        <f t="shared" si="7"/>
        <v>1</v>
      </c>
      <c r="P18" s="179">
        <f t="shared" si="7"/>
        <v>1</v>
      </c>
      <c r="Q18" s="179">
        <f t="shared" si="7"/>
        <v>1</v>
      </c>
      <c r="R18" s="179">
        <f t="shared" si="7"/>
        <v>1</v>
      </c>
      <c r="S18" s="179">
        <f t="shared" si="7"/>
        <v>1</v>
      </c>
      <c r="T18" s="179">
        <f t="shared" si="7"/>
        <v>1</v>
      </c>
      <c r="U18" s="179">
        <f t="shared" si="7"/>
        <v>1</v>
      </c>
      <c r="V18" s="179">
        <f t="shared" si="7"/>
        <v>1</v>
      </c>
      <c r="W18" s="179">
        <f t="shared" si="7"/>
        <v>1</v>
      </c>
      <c r="X18" s="179">
        <f t="shared" si="7"/>
        <v>1</v>
      </c>
      <c r="Y18" s="179">
        <f t="shared" si="7"/>
        <v>1</v>
      </c>
      <c r="Z18" s="179">
        <f t="shared" si="7"/>
        <v>1</v>
      </c>
      <c r="AA18" s="179">
        <f t="shared" si="7"/>
        <v>1</v>
      </c>
      <c r="AB18" s="179">
        <f t="shared" si="7"/>
        <v>1</v>
      </c>
      <c r="AC18" s="179">
        <f t="shared" si="7"/>
        <v>1</v>
      </c>
      <c r="AD18" s="179">
        <f t="shared" si="7"/>
        <v>1</v>
      </c>
      <c r="AE18" s="179">
        <f t="shared" si="7"/>
        <v>1</v>
      </c>
      <c r="AF18" s="179">
        <f t="shared" si="7"/>
        <v>1</v>
      </c>
    </row>
    <row r="19" spans="2:32">
      <c r="B19" s="121"/>
      <c r="C19" s="646" t="s">
        <v>1319</v>
      </c>
      <c r="D19" s="257" t="s">
        <v>1313</v>
      </c>
      <c r="E19" s="121" t="s">
        <v>740</v>
      </c>
      <c r="F19" s="205" t="s">
        <v>186</v>
      </c>
      <c r="G19">
        <v>1</v>
      </c>
      <c r="H19" s="366">
        <f>IFERROR(VLOOKUP(F19,Assumptions_Dashboard!$C$38:$D$72,2,FALSE),0)</f>
        <v>2500000</v>
      </c>
      <c r="J19" s="179"/>
      <c r="K19" s="179"/>
      <c r="L19" s="179">
        <f>G19</f>
        <v>1</v>
      </c>
      <c r="M19" s="179">
        <f t="shared" si="4"/>
        <v>1</v>
      </c>
      <c r="N19" s="179">
        <f t="shared" si="7"/>
        <v>1</v>
      </c>
      <c r="O19" s="179">
        <f t="shared" si="7"/>
        <v>1</v>
      </c>
      <c r="P19" s="179">
        <f t="shared" si="7"/>
        <v>1</v>
      </c>
      <c r="Q19" s="179">
        <f t="shared" si="7"/>
        <v>1</v>
      </c>
      <c r="R19" s="179">
        <f t="shared" si="7"/>
        <v>1</v>
      </c>
      <c r="S19" s="179">
        <f t="shared" si="7"/>
        <v>1</v>
      </c>
      <c r="T19" s="179">
        <f t="shared" si="7"/>
        <v>1</v>
      </c>
      <c r="U19" s="179">
        <f t="shared" si="7"/>
        <v>1</v>
      </c>
      <c r="V19" s="179">
        <f t="shared" si="7"/>
        <v>1</v>
      </c>
      <c r="W19" s="179">
        <f t="shared" si="7"/>
        <v>1</v>
      </c>
      <c r="X19" s="179">
        <f t="shared" si="7"/>
        <v>1</v>
      </c>
      <c r="Y19" s="179">
        <f t="shared" si="7"/>
        <v>1</v>
      </c>
      <c r="Z19" s="179">
        <f t="shared" si="7"/>
        <v>1</v>
      </c>
      <c r="AA19" s="179">
        <f t="shared" si="7"/>
        <v>1</v>
      </c>
      <c r="AB19" s="179">
        <f t="shared" si="7"/>
        <v>1</v>
      </c>
      <c r="AC19" s="179">
        <f t="shared" si="7"/>
        <v>1</v>
      </c>
      <c r="AD19" s="179">
        <f t="shared" si="7"/>
        <v>1</v>
      </c>
      <c r="AE19" s="179">
        <f t="shared" si="7"/>
        <v>1</v>
      </c>
      <c r="AF19" s="179">
        <f t="shared" si="7"/>
        <v>1</v>
      </c>
    </row>
    <row r="20" spans="2:32">
      <c r="B20" s="121"/>
      <c r="C20" s="647" t="s">
        <v>1320</v>
      </c>
      <c r="D20" s="257" t="s">
        <v>1313</v>
      </c>
      <c r="E20" s="121" t="s">
        <v>740</v>
      </c>
      <c r="F20" s="205" t="s">
        <v>186</v>
      </c>
      <c r="G20">
        <v>1</v>
      </c>
      <c r="H20" s="366">
        <f>IFERROR(VLOOKUP(F20,Assumptions_Dashboard!$C$38:$D$72,2,FALSE),0)</f>
        <v>2500000</v>
      </c>
      <c r="J20" s="179">
        <f>G20</f>
        <v>1</v>
      </c>
      <c r="K20" s="179">
        <f>J20</f>
        <v>1</v>
      </c>
      <c r="L20" s="179">
        <f>K20</f>
        <v>1</v>
      </c>
      <c r="M20" s="179">
        <f t="shared" si="4"/>
        <v>1</v>
      </c>
      <c r="N20" s="179">
        <f t="shared" si="7"/>
        <v>1</v>
      </c>
      <c r="O20" s="179">
        <f t="shared" si="7"/>
        <v>1</v>
      </c>
      <c r="P20" s="179">
        <f t="shared" si="7"/>
        <v>1</v>
      </c>
      <c r="Q20" s="179">
        <f t="shared" si="7"/>
        <v>1</v>
      </c>
      <c r="R20" s="179">
        <f t="shared" si="7"/>
        <v>1</v>
      </c>
      <c r="S20" s="179">
        <f t="shared" si="7"/>
        <v>1</v>
      </c>
      <c r="T20" s="179">
        <f t="shared" si="7"/>
        <v>1</v>
      </c>
      <c r="U20" s="179">
        <f t="shared" si="7"/>
        <v>1</v>
      </c>
      <c r="V20" s="179">
        <f t="shared" si="7"/>
        <v>1</v>
      </c>
      <c r="W20" s="179">
        <f t="shared" si="7"/>
        <v>1</v>
      </c>
      <c r="X20" s="179">
        <f t="shared" si="7"/>
        <v>1</v>
      </c>
      <c r="Y20" s="179">
        <f t="shared" si="7"/>
        <v>1</v>
      </c>
      <c r="Z20" s="179">
        <f t="shared" si="7"/>
        <v>1</v>
      </c>
      <c r="AA20" s="179">
        <f t="shared" si="7"/>
        <v>1</v>
      </c>
      <c r="AB20" s="179">
        <f t="shared" si="7"/>
        <v>1</v>
      </c>
      <c r="AC20" s="179">
        <f t="shared" si="7"/>
        <v>1</v>
      </c>
      <c r="AD20" s="179">
        <f t="shared" si="7"/>
        <v>1</v>
      </c>
      <c r="AE20" s="179">
        <f t="shared" si="7"/>
        <v>1</v>
      </c>
      <c r="AF20" s="179">
        <f t="shared" si="7"/>
        <v>1</v>
      </c>
    </row>
    <row r="21" spans="2:32">
      <c r="B21" s="121"/>
      <c r="C21" s="647" t="s">
        <v>1321</v>
      </c>
      <c r="D21" s="257" t="s">
        <v>1313</v>
      </c>
      <c r="E21" s="121" t="s">
        <v>740</v>
      </c>
      <c r="F21" s="205" t="s">
        <v>186</v>
      </c>
      <c r="G21">
        <v>1</v>
      </c>
      <c r="H21" s="366">
        <f>IFERROR(VLOOKUP(F21,Assumptions_Dashboard!$C$38:$D$72,2,FALSE),0)</f>
        <v>2500000</v>
      </c>
      <c r="J21" s="179"/>
      <c r="K21" s="179"/>
      <c r="L21" s="179">
        <f>G21</f>
        <v>1</v>
      </c>
      <c r="M21" s="179">
        <f t="shared" si="4"/>
        <v>1</v>
      </c>
      <c r="N21" s="179">
        <f t="shared" si="7"/>
        <v>1</v>
      </c>
      <c r="O21" s="179">
        <f t="shared" si="7"/>
        <v>1</v>
      </c>
      <c r="P21" s="179">
        <f t="shared" si="7"/>
        <v>1</v>
      </c>
      <c r="Q21" s="179">
        <f t="shared" si="7"/>
        <v>1</v>
      </c>
      <c r="R21" s="179">
        <f t="shared" si="7"/>
        <v>1</v>
      </c>
      <c r="S21" s="179">
        <f t="shared" si="7"/>
        <v>1</v>
      </c>
      <c r="T21" s="179">
        <f t="shared" si="7"/>
        <v>1</v>
      </c>
      <c r="U21" s="179">
        <f t="shared" si="7"/>
        <v>1</v>
      </c>
      <c r="V21" s="179">
        <f t="shared" si="7"/>
        <v>1</v>
      </c>
      <c r="W21" s="179">
        <f t="shared" si="7"/>
        <v>1</v>
      </c>
      <c r="X21" s="179">
        <f t="shared" si="7"/>
        <v>1</v>
      </c>
      <c r="Y21" s="179">
        <f t="shared" si="7"/>
        <v>1</v>
      </c>
      <c r="Z21" s="179">
        <f t="shared" si="7"/>
        <v>1</v>
      </c>
      <c r="AA21" s="179">
        <f t="shared" si="7"/>
        <v>1</v>
      </c>
      <c r="AB21" s="179">
        <f t="shared" si="7"/>
        <v>1</v>
      </c>
      <c r="AC21" s="179">
        <f t="shared" si="7"/>
        <v>1</v>
      </c>
      <c r="AD21" s="179">
        <f t="shared" si="7"/>
        <v>1</v>
      </c>
      <c r="AE21" s="179">
        <f t="shared" si="7"/>
        <v>1</v>
      </c>
      <c r="AF21" s="179">
        <f t="shared" si="7"/>
        <v>1</v>
      </c>
    </row>
    <row r="22" spans="2:32">
      <c r="B22" s="121"/>
      <c r="C22" s="648" t="s">
        <v>1322</v>
      </c>
      <c r="D22" s="257" t="s">
        <v>1315</v>
      </c>
      <c r="E22" s="121" t="s">
        <v>740</v>
      </c>
      <c r="F22" s="205" t="s">
        <v>188</v>
      </c>
      <c r="G22">
        <v>1</v>
      </c>
      <c r="H22" s="366">
        <f>IFERROR(VLOOKUP(F22,Assumptions_Dashboard!$C$38:$D$72,2,FALSE),0)</f>
        <v>1800000</v>
      </c>
      <c r="J22" s="179">
        <f t="shared" ref="J22:J27" si="8">G22</f>
        <v>1</v>
      </c>
      <c r="K22" s="179">
        <f t="shared" ref="K22:L27" si="9">J22</f>
        <v>1</v>
      </c>
      <c r="L22" s="179">
        <f t="shared" si="9"/>
        <v>1</v>
      </c>
      <c r="M22" s="179">
        <f t="shared" si="4"/>
        <v>1</v>
      </c>
      <c r="N22" s="179">
        <f t="shared" si="7"/>
        <v>1</v>
      </c>
      <c r="O22" s="179">
        <f t="shared" si="7"/>
        <v>1</v>
      </c>
      <c r="P22" s="179">
        <f t="shared" si="7"/>
        <v>1</v>
      </c>
      <c r="Q22" s="179">
        <f t="shared" si="7"/>
        <v>1</v>
      </c>
      <c r="R22" s="179">
        <f t="shared" si="7"/>
        <v>1</v>
      </c>
      <c r="S22" s="179">
        <f t="shared" si="7"/>
        <v>1</v>
      </c>
      <c r="T22" s="179">
        <f t="shared" si="7"/>
        <v>1</v>
      </c>
      <c r="U22" s="179">
        <f t="shared" si="7"/>
        <v>1</v>
      </c>
      <c r="V22" s="179">
        <f t="shared" si="7"/>
        <v>1</v>
      </c>
      <c r="W22" s="179">
        <f t="shared" si="7"/>
        <v>1</v>
      </c>
      <c r="X22" s="179">
        <f t="shared" si="7"/>
        <v>1</v>
      </c>
      <c r="Y22" s="179">
        <f t="shared" si="7"/>
        <v>1</v>
      </c>
      <c r="Z22" s="179">
        <f t="shared" si="7"/>
        <v>1</v>
      </c>
      <c r="AA22" s="179">
        <f t="shared" si="7"/>
        <v>1</v>
      </c>
      <c r="AB22" s="179">
        <f t="shared" si="7"/>
        <v>1</v>
      </c>
      <c r="AC22" s="179">
        <f t="shared" si="7"/>
        <v>1</v>
      </c>
      <c r="AD22" s="179">
        <f t="shared" si="7"/>
        <v>1</v>
      </c>
      <c r="AE22" s="179">
        <f t="shared" si="7"/>
        <v>1</v>
      </c>
      <c r="AF22" s="179">
        <f t="shared" si="7"/>
        <v>1</v>
      </c>
    </row>
    <row r="23" spans="2:32">
      <c r="B23" s="121"/>
      <c r="C23" s="649" t="s">
        <v>1323</v>
      </c>
      <c r="D23" s="257" t="s">
        <v>1313</v>
      </c>
      <c r="E23" s="121" t="s">
        <v>740</v>
      </c>
      <c r="F23" s="205" t="s">
        <v>186</v>
      </c>
      <c r="G23">
        <v>1</v>
      </c>
      <c r="H23" s="366">
        <f>IFERROR(VLOOKUP(F23,Assumptions_Dashboard!$C$38:$D$72,2,FALSE),0)</f>
        <v>2500000</v>
      </c>
      <c r="J23" s="179">
        <f t="shared" si="8"/>
        <v>1</v>
      </c>
      <c r="K23" s="179">
        <f t="shared" si="9"/>
        <v>1</v>
      </c>
      <c r="L23" s="179">
        <f t="shared" si="9"/>
        <v>1</v>
      </c>
      <c r="M23" s="179">
        <f t="shared" si="4"/>
        <v>1</v>
      </c>
      <c r="N23" s="179">
        <f t="shared" si="7"/>
        <v>1</v>
      </c>
      <c r="O23" s="179">
        <f t="shared" si="7"/>
        <v>1</v>
      </c>
      <c r="P23" s="179">
        <f t="shared" si="7"/>
        <v>1</v>
      </c>
      <c r="Q23" s="179">
        <f t="shared" si="7"/>
        <v>1</v>
      </c>
      <c r="R23" s="179">
        <f t="shared" si="7"/>
        <v>1</v>
      </c>
      <c r="S23" s="179">
        <f t="shared" si="7"/>
        <v>1</v>
      </c>
      <c r="T23" s="179">
        <f t="shared" si="7"/>
        <v>1</v>
      </c>
      <c r="U23" s="179">
        <f t="shared" si="7"/>
        <v>1</v>
      </c>
      <c r="V23" s="179">
        <f t="shared" si="7"/>
        <v>1</v>
      </c>
      <c r="W23" s="179">
        <f t="shared" si="7"/>
        <v>1</v>
      </c>
      <c r="X23" s="179">
        <f t="shared" si="7"/>
        <v>1</v>
      </c>
      <c r="Y23" s="179">
        <f t="shared" si="7"/>
        <v>1</v>
      </c>
      <c r="Z23" s="179">
        <f t="shared" si="7"/>
        <v>1</v>
      </c>
      <c r="AA23" s="179">
        <f t="shared" si="7"/>
        <v>1</v>
      </c>
      <c r="AB23" s="179">
        <f t="shared" si="7"/>
        <v>1</v>
      </c>
      <c r="AC23" s="179">
        <f t="shared" si="7"/>
        <v>1</v>
      </c>
      <c r="AD23" s="179">
        <f t="shared" si="7"/>
        <v>1</v>
      </c>
      <c r="AE23" s="179">
        <f t="shared" si="7"/>
        <v>1</v>
      </c>
      <c r="AF23" s="179">
        <f t="shared" si="7"/>
        <v>1</v>
      </c>
    </row>
    <row r="24" spans="2:32">
      <c r="B24" s="121"/>
      <c r="C24" s="650" t="s">
        <v>1324</v>
      </c>
      <c r="D24" s="257" t="s">
        <v>1313</v>
      </c>
      <c r="E24" s="121" t="s">
        <v>740</v>
      </c>
      <c r="F24" s="205" t="s">
        <v>188</v>
      </c>
      <c r="G24">
        <v>1</v>
      </c>
      <c r="H24" s="366">
        <f>IFERROR(VLOOKUP(F24,Assumptions_Dashboard!$C$38:$D$72,2,FALSE),0)</f>
        <v>1800000</v>
      </c>
      <c r="J24" s="179">
        <f t="shared" si="8"/>
        <v>1</v>
      </c>
      <c r="K24" s="179">
        <f t="shared" si="9"/>
        <v>1</v>
      </c>
      <c r="L24" s="179">
        <f t="shared" si="9"/>
        <v>1</v>
      </c>
      <c r="M24" s="179">
        <f t="shared" si="4"/>
        <v>1</v>
      </c>
      <c r="N24" s="179">
        <f t="shared" si="7"/>
        <v>1</v>
      </c>
      <c r="O24" s="179">
        <f t="shared" si="7"/>
        <v>1</v>
      </c>
      <c r="P24" s="179">
        <f t="shared" si="7"/>
        <v>1</v>
      </c>
      <c r="Q24" s="179">
        <f t="shared" si="7"/>
        <v>1</v>
      </c>
      <c r="R24" s="179">
        <f t="shared" si="7"/>
        <v>1</v>
      </c>
      <c r="S24" s="179">
        <f t="shared" si="7"/>
        <v>1</v>
      </c>
      <c r="T24" s="179">
        <f t="shared" si="7"/>
        <v>1</v>
      </c>
      <c r="U24" s="179">
        <f t="shared" si="7"/>
        <v>1</v>
      </c>
      <c r="V24" s="179">
        <f t="shared" si="7"/>
        <v>1</v>
      </c>
      <c r="W24" s="179">
        <f t="shared" si="7"/>
        <v>1</v>
      </c>
      <c r="X24" s="179">
        <f t="shared" si="7"/>
        <v>1</v>
      </c>
      <c r="Y24" s="179">
        <f t="shared" si="7"/>
        <v>1</v>
      </c>
      <c r="Z24" s="179">
        <f t="shared" si="7"/>
        <v>1</v>
      </c>
      <c r="AA24" s="179">
        <f t="shared" si="7"/>
        <v>1</v>
      </c>
      <c r="AB24" s="179">
        <f t="shared" si="7"/>
        <v>1</v>
      </c>
      <c r="AC24" s="179">
        <f t="shared" si="7"/>
        <v>1</v>
      </c>
      <c r="AD24" s="179">
        <f t="shared" si="7"/>
        <v>1</v>
      </c>
      <c r="AE24" s="179">
        <f t="shared" si="7"/>
        <v>1</v>
      </c>
      <c r="AF24" s="179">
        <f t="shared" si="7"/>
        <v>1</v>
      </c>
    </row>
    <row r="25" spans="2:32">
      <c r="B25" s="121"/>
      <c r="C25" s="646" t="s">
        <v>1325</v>
      </c>
      <c r="D25" s="257" t="s">
        <v>1313</v>
      </c>
      <c r="E25" s="121" t="s">
        <v>740</v>
      </c>
      <c r="F25" s="205" t="s">
        <v>180</v>
      </c>
      <c r="G25">
        <v>1</v>
      </c>
      <c r="H25" s="366">
        <f>IFERROR(VLOOKUP(F25,Assumptions_Dashboard!$C$38:$D$72,2,FALSE),0)</f>
        <v>4500000</v>
      </c>
      <c r="J25" s="179">
        <f t="shared" si="8"/>
        <v>1</v>
      </c>
      <c r="K25" s="179">
        <f t="shared" si="9"/>
        <v>1</v>
      </c>
      <c r="L25" s="179">
        <f t="shared" si="9"/>
        <v>1</v>
      </c>
      <c r="M25" s="179">
        <f t="shared" si="4"/>
        <v>1</v>
      </c>
      <c r="N25" s="179">
        <f t="shared" si="7"/>
        <v>1</v>
      </c>
      <c r="O25" s="179">
        <f t="shared" si="7"/>
        <v>1</v>
      </c>
      <c r="P25" s="179">
        <f t="shared" si="7"/>
        <v>1</v>
      </c>
      <c r="Q25" s="179">
        <f t="shared" si="7"/>
        <v>1</v>
      </c>
      <c r="R25" s="179">
        <f t="shared" si="7"/>
        <v>1</v>
      </c>
      <c r="S25" s="179">
        <f t="shared" si="7"/>
        <v>1</v>
      </c>
      <c r="T25" s="179">
        <f t="shared" si="7"/>
        <v>1</v>
      </c>
      <c r="U25" s="179">
        <f t="shared" si="7"/>
        <v>1</v>
      </c>
      <c r="V25" s="179">
        <f t="shared" si="7"/>
        <v>1</v>
      </c>
      <c r="W25" s="179">
        <f t="shared" si="7"/>
        <v>1</v>
      </c>
      <c r="X25" s="179">
        <f t="shared" si="7"/>
        <v>1</v>
      </c>
      <c r="Y25" s="179">
        <f t="shared" si="7"/>
        <v>1</v>
      </c>
      <c r="Z25" s="179">
        <f t="shared" si="7"/>
        <v>1</v>
      </c>
      <c r="AA25" s="179">
        <f t="shared" si="7"/>
        <v>1</v>
      </c>
      <c r="AB25" s="179">
        <f t="shared" si="7"/>
        <v>1</v>
      </c>
      <c r="AC25" s="179">
        <f t="shared" si="7"/>
        <v>1</v>
      </c>
      <c r="AD25" s="179">
        <f t="shared" si="7"/>
        <v>1</v>
      </c>
      <c r="AE25" s="179">
        <f t="shared" si="7"/>
        <v>1</v>
      </c>
      <c r="AF25" s="179">
        <f t="shared" si="7"/>
        <v>1</v>
      </c>
    </row>
    <row r="26" spans="2:32">
      <c r="B26" s="121"/>
      <c r="C26" s="646" t="s">
        <v>1326</v>
      </c>
      <c r="D26" s="257" t="s">
        <v>1313</v>
      </c>
      <c r="E26" s="121" t="s">
        <v>740</v>
      </c>
      <c r="F26" s="205" t="s">
        <v>184</v>
      </c>
      <c r="G26">
        <v>1</v>
      </c>
      <c r="H26" s="366">
        <f>IFERROR(VLOOKUP(F26,Assumptions_Dashboard!$C$38:$D$72,2,FALSE),0)</f>
        <v>3500000</v>
      </c>
      <c r="J26" s="179">
        <f t="shared" si="8"/>
        <v>1</v>
      </c>
      <c r="K26" s="179">
        <f t="shared" si="9"/>
        <v>1</v>
      </c>
      <c r="L26" s="179">
        <f t="shared" si="9"/>
        <v>1</v>
      </c>
      <c r="M26" s="179">
        <f t="shared" si="4"/>
        <v>1</v>
      </c>
      <c r="N26" s="179">
        <f t="shared" si="7"/>
        <v>1</v>
      </c>
      <c r="O26" s="179">
        <f t="shared" si="7"/>
        <v>1</v>
      </c>
      <c r="P26" s="179">
        <f t="shared" si="7"/>
        <v>1</v>
      </c>
      <c r="Q26" s="179">
        <f t="shared" si="7"/>
        <v>1</v>
      </c>
      <c r="R26" s="179">
        <f t="shared" si="7"/>
        <v>1</v>
      </c>
      <c r="S26" s="179">
        <f t="shared" si="7"/>
        <v>1</v>
      </c>
      <c r="T26" s="179">
        <f t="shared" si="7"/>
        <v>1</v>
      </c>
      <c r="U26" s="179">
        <f t="shared" ref="U26:AF28" si="10">T26</f>
        <v>1</v>
      </c>
      <c r="V26" s="179">
        <f t="shared" si="10"/>
        <v>1</v>
      </c>
      <c r="W26" s="179">
        <f t="shared" si="10"/>
        <v>1</v>
      </c>
      <c r="X26" s="179">
        <f t="shared" si="10"/>
        <v>1</v>
      </c>
      <c r="Y26" s="179">
        <f t="shared" si="10"/>
        <v>1</v>
      </c>
      <c r="Z26" s="179">
        <f t="shared" si="10"/>
        <v>1</v>
      </c>
      <c r="AA26" s="179">
        <f t="shared" si="10"/>
        <v>1</v>
      </c>
      <c r="AB26" s="179">
        <f t="shared" si="10"/>
        <v>1</v>
      </c>
      <c r="AC26" s="179">
        <f t="shared" si="10"/>
        <v>1</v>
      </c>
      <c r="AD26" s="179">
        <f t="shared" si="10"/>
        <v>1</v>
      </c>
      <c r="AE26" s="179">
        <f t="shared" si="10"/>
        <v>1</v>
      </c>
      <c r="AF26" s="179">
        <f t="shared" si="10"/>
        <v>1</v>
      </c>
    </row>
    <row r="27" spans="2:32">
      <c r="B27" s="121"/>
      <c r="C27" s="646" t="s">
        <v>1327</v>
      </c>
      <c r="D27" s="257" t="s">
        <v>1313</v>
      </c>
      <c r="E27" s="121" t="s">
        <v>740</v>
      </c>
      <c r="F27" s="205" t="s">
        <v>186</v>
      </c>
      <c r="G27">
        <v>1</v>
      </c>
      <c r="H27" s="366">
        <f>IFERROR(VLOOKUP(F27,Assumptions_Dashboard!$C$38:$D$72,2,FALSE),0)</f>
        <v>2500000</v>
      </c>
      <c r="J27" s="179">
        <f t="shared" si="8"/>
        <v>1</v>
      </c>
      <c r="K27" s="179">
        <f t="shared" si="9"/>
        <v>1</v>
      </c>
      <c r="L27" s="179">
        <f t="shared" si="9"/>
        <v>1</v>
      </c>
      <c r="M27" s="179">
        <f t="shared" si="4"/>
        <v>1</v>
      </c>
      <c r="N27" s="179">
        <f t="shared" ref="N27:T28" si="11">M27</f>
        <v>1</v>
      </c>
      <c r="O27" s="179">
        <f t="shared" si="11"/>
        <v>1</v>
      </c>
      <c r="P27" s="179">
        <f t="shared" si="11"/>
        <v>1</v>
      </c>
      <c r="Q27" s="179">
        <f t="shared" si="11"/>
        <v>1</v>
      </c>
      <c r="R27" s="179">
        <f t="shared" si="11"/>
        <v>1</v>
      </c>
      <c r="S27" s="179">
        <f t="shared" si="11"/>
        <v>1</v>
      </c>
      <c r="T27" s="179">
        <f t="shared" si="11"/>
        <v>1</v>
      </c>
      <c r="U27" s="179">
        <f t="shared" si="10"/>
        <v>1</v>
      </c>
      <c r="V27" s="179">
        <f t="shared" si="10"/>
        <v>1</v>
      </c>
      <c r="W27" s="179">
        <f t="shared" si="10"/>
        <v>1</v>
      </c>
      <c r="X27" s="179">
        <f t="shared" si="10"/>
        <v>1</v>
      </c>
      <c r="Y27" s="179">
        <f t="shared" si="10"/>
        <v>1</v>
      </c>
      <c r="Z27" s="179">
        <f t="shared" si="10"/>
        <v>1</v>
      </c>
      <c r="AA27" s="179">
        <f t="shared" si="10"/>
        <v>1</v>
      </c>
      <c r="AB27" s="179">
        <f t="shared" si="10"/>
        <v>1</v>
      </c>
      <c r="AC27" s="179">
        <f t="shared" si="10"/>
        <v>1</v>
      </c>
      <c r="AD27" s="179">
        <f t="shared" si="10"/>
        <v>1</v>
      </c>
      <c r="AE27" s="179">
        <f t="shared" si="10"/>
        <v>1</v>
      </c>
      <c r="AF27" s="179">
        <f t="shared" si="10"/>
        <v>1</v>
      </c>
    </row>
    <row r="28" spans="2:32">
      <c r="B28" s="121"/>
      <c r="C28" s="651" t="s">
        <v>1328</v>
      </c>
      <c r="D28" s="257" t="s">
        <v>1313</v>
      </c>
      <c r="E28" s="121" t="s">
        <v>740</v>
      </c>
      <c r="F28" s="205" t="s">
        <v>186</v>
      </c>
      <c r="G28">
        <f>IF(Sensitivity!$C$42="MDO",0,1)</f>
        <v>1</v>
      </c>
      <c r="H28" s="366">
        <f>IFERROR(VLOOKUP(F28,Assumptions_Dashboard!$C$38:$D$72,2,FALSE),0)</f>
        <v>2500000</v>
      </c>
      <c r="J28" s="179"/>
      <c r="K28" s="179"/>
      <c r="L28" s="179"/>
      <c r="M28" s="179"/>
      <c r="N28" s="179">
        <f>G28</f>
        <v>1</v>
      </c>
      <c r="O28" s="179">
        <f t="shared" si="11"/>
        <v>1</v>
      </c>
      <c r="P28" s="179">
        <f t="shared" si="11"/>
        <v>1</v>
      </c>
      <c r="Q28" s="179">
        <f>P28</f>
        <v>1</v>
      </c>
      <c r="R28" s="179">
        <f t="shared" si="11"/>
        <v>1</v>
      </c>
      <c r="S28" s="179">
        <f t="shared" si="11"/>
        <v>1</v>
      </c>
      <c r="T28" s="179">
        <f t="shared" si="11"/>
        <v>1</v>
      </c>
      <c r="U28" s="179">
        <f t="shared" si="10"/>
        <v>1</v>
      </c>
      <c r="V28" s="179">
        <f t="shared" si="10"/>
        <v>1</v>
      </c>
      <c r="W28" s="179">
        <f t="shared" si="10"/>
        <v>1</v>
      </c>
      <c r="X28" s="179">
        <f t="shared" si="10"/>
        <v>1</v>
      </c>
      <c r="Y28" s="179">
        <f t="shared" si="10"/>
        <v>1</v>
      </c>
      <c r="Z28" s="179">
        <f t="shared" si="10"/>
        <v>1</v>
      </c>
      <c r="AA28" s="179">
        <f t="shared" si="10"/>
        <v>1</v>
      </c>
      <c r="AB28" s="179">
        <f t="shared" si="10"/>
        <v>1</v>
      </c>
      <c r="AC28" s="179">
        <f t="shared" si="10"/>
        <v>1</v>
      </c>
      <c r="AD28" s="179">
        <f t="shared" si="10"/>
        <v>1</v>
      </c>
      <c r="AE28" s="179">
        <f t="shared" si="10"/>
        <v>1</v>
      </c>
      <c r="AF28" s="179">
        <f t="shared" si="10"/>
        <v>1</v>
      </c>
    </row>
    <row r="29" spans="2:32">
      <c r="B29" s="121"/>
      <c r="C29" s="646" t="s">
        <v>1329</v>
      </c>
      <c r="D29" s="257" t="s">
        <v>1313</v>
      </c>
      <c r="E29" s="121" t="s">
        <v>740</v>
      </c>
      <c r="F29" s="205" t="s">
        <v>186</v>
      </c>
      <c r="G29">
        <v>1</v>
      </c>
      <c r="H29" s="366">
        <f>IFERROR(VLOOKUP(F29,Assumptions_Dashboard!$C$38:$D$72,2,FALSE),0)</f>
        <v>2500000</v>
      </c>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row>
    <row r="30" spans="2:32">
      <c r="B30" s="121"/>
      <c r="C30" s="652" t="s">
        <v>1330</v>
      </c>
      <c r="D30" s="257" t="s">
        <v>1315</v>
      </c>
      <c r="E30" s="121" t="s">
        <v>740</v>
      </c>
      <c r="F30" s="205" t="s">
        <v>192</v>
      </c>
      <c r="G30">
        <v>1</v>
      </c>
      <c r="H30" s="366">
        <f>IFERROR(VLOOKUP(F30,Assumptions_Dashboard!$C$38:$D$72,2,FALSE),0)</f>
        <v>1235000</v>
      </c>
      <c r="J30" s="179"/>
      <c r="K30" s="179"/>
      <c r="L30" s="179"/>
      <c r="M30" s="179"/>
      <c r="N30" s="179">
        <f>G30</f>
        <v>1</v>
      </c>
      <c r="O30" s="179">
        <f t="shared" ref="M30:AF31" si="12">N30</f>
        <v>1</v>
      </c>
      <c r="P30" s="179">
        <f t="shared" si="12"/>
        <v>1</v>
      </c>
      <c r="Q30" s="179">
        <f t="shared" si="12"/>
        <v>1</v>
      </c>
      <c r="R30" s="179">
        <f t="shared" si="12"/>
        <v>1</v>
      </c>
      <c r="S30" s="179">
        <f t="shared" si="12"/>
        <v>1</v>
      </c>
      <c r="T30" s="179">
        <f t="shared" si="12"/>
        <v>1</v>
      </c>
      <c r="U30" s="179">
        <f t="shared" si="12"/>
        <v>1</v>
      </c>
      <c r="V30" s="179">
        <f t="shared" si="12"/>
        <v>1</v>
      </c>
      <c r="W30" s="179">
        <f t="shared" si="12"/>
        <v>1</v>
      </c>
      <c r="X30" s="179">
        <f t="shared" si="12"/>
        <v>1</v>
      </c>
      <c r="Y30" s="179">
        <f t="shared" si="12"/>
        <v>1</v>
      </c>
      <c r="Z30" s="179">
        <f t="shared" si="12"/>
        <v>1</v>
      </c>
      <c r="AA30" s="179">
        <f t="shared" si="12"/>
        <v>1</v>
      </c>
      <c r="AB30" s="179">
        <f t="shared" si="12"/>
        <v>1</v>
      </c>
      <c r="AC30" s="179">
        <f t="shared" si="12"/>
        <v>1</v>
      </c>
      <c r="AD30" s="179">
        <f t="shared" si="12"/>
        <v>1</v>
      </c>
      <c r="AE30" s="179">
        <f t="shared" si="12"/>
        <v>1</v>
      </c>
      <c r="AF30" s="179">
        <f t="shared" si="12"/>
        <v>1</v>
      </c>
    </row>
    <row r="31" spans="2:32">
      <c r="B31" s="121"/>
      <c r="C31" s="646" t="s">
        <v>1331</v>
      </c>
      <c r="D31" s="257" t="s">
        <v>1313</v>
      </c>
      <c r="E31" s="121" t="s">
        <v>740</v>
      </c>
      <c r="F31" s="205" t="s">
        <v>186</v>
      </c>
      <c r="G31">
        <v>1</v>
      </c>
      <c r="H31" s="366">
        <f>IFERROR(VLOOKUP(F31,Assumptions_Dashboard!$C$38:$D$72,2,FALSE),0)</f>
        <v>2500000</v>
      </c>
      <c r="J31" s="179">
        <f>G31</f>
        <v>1</v>
      </c>
      <c r="K31" s="179">
        <f>J31</f>
        <v>1</v>
      </c>
      <c r="L31" s="179">
        <f>K31</f>
        <v>1</v>
      </c>
      <c r="M31" s="179">
        <f t="shared" si="12"/>
        <v>1</v>
      </c>
      <c r="N31" s="179">
        <f t="shared" si="12"/>
        <v>1</v>
      </c>
      <c r="O31" s="179">
        <f t="shared" si="12"/>
        <v>1</v>
      </c>
      <c r="P31" s="179">
        <f t="shared" si="12"/>
        <v>1</v>
      </c>
      <c r="Q31" s="179">
        <f>P31</f>
        <v>1</v>
      </c>
      <c r="R31" s="179">
        <f>Q31</f>
        <v>1</v>
      </c>
      <c r="S31" s="179">
        <f>R31</f>
        <v>1</v>
      </c>
      <c r="T31" s="179">
        <f>S31</f>
        <v>1</v>
      </c>
      <c r="U31" s="179">
        <f t="shared" ref="U31:AF31" si="13">T31</f>
        <v>1</v>
      </c>
      <c r="V31" s="179">
        <f t="shared" si="13"/>
        <v>1</v>
      </c>
      <c r="W31" s="179">
        <f t="shared" si="13"/>
        <v>1</v>
      </c>
      <c r="X31" s="179">
        <f t="shared" si="13"/>
        <v>1</v>
      </c>
      <c r="Y31" s="179">
        <f t="shared" si="13"/>
        <v>1</v>
      </c>
      <c r="Z31" s="179">
        <f t="shared" si="13"/>
        <v>1</v>
      </c>
      <c r="AA31" s="179">
        <f t="shared" si="13"/>
        <v>1</v>
      </c>
      <c r="AB31" s="179">
        <f t="shared" si="13"/>
        <v>1</v>
      </c>
      <c r="AC31" s="179">
        <f t="shared" si="13"/>
        <v>1</v>
      </c>
      <c r="AD31" s="179">
        <f t="shared" si="13"/>
        <v>1</v>
      </c>
      <c r="AE31" s="179">
        <f t="shared" si="13"/>
        <v>1</v>
      </c>
      <c r="AF31" s="179">
        <f t="shared" si="13"/>
        <v>1</v>
      </c>
    </row>
    <row r="32" spans="2:32">
      <c r="B32" s="121"/>
      <c r="C32" s="186" t="s">
        <v>1332</v>
      </c>
      <c r="D32" s="186"/>
      <c r="E32" s="1374"/>
      <c r="F32" s="205"/>
      <c r="H32" s="366">
        <f>IFERROR(VLOOKUP(F32,Assumptions_Dashboard!$C$38:$D$72,2,FALSE),0)</f>
        <v>0</v>
      </c>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row>
    <row r="33" spans="2:32">
      <c r="B33" s="255" t="s">
        <v>1333</v>
      </c>
      <c r="C33" s="646" t="s">
        <v>1334</v>
      </c>
      <c r="D33" s="257" t="s">
        <v>1315</v>
      </c>
      <c r="E33" s="121" t="s">
        <v>740</v>
      </c>
      <c r="F33" s="205"/>
      <c r="G33">
        <v>1</v>
      </c>
      <c r="H33" s="366">
        <f>IFERROR(VLOOKUP(F33,Assumptions_Dashboard!$C$38:$D$72,2,FALSE),0)</f>
        <v>0</v>
      </c>
      <c r="J33" s="179"/>
      <c r="K33" s="179"/>
      <c r="L33" s="179"/>
      <c r="M33" s="179">
        <f>G33</f>
        <v>1</v>
      </c>
      <c r="N33" s="179">
        <f>M33</f>
        <v>1</v>
      </c>
      <c r="O33" s="179">
        <f t="shared" ref="O33:AF33" si="14">N33</f>
        <v>1</v>
      </c>
      <c r="P33" s="179">
        <f t="shared" si="14"/>
        <v>1</v>
      </c>
      <c r="Q33" s="179">
        <f t="shared" si="14"/>
        <v>1</v>
      </c>
      <c r="R33" s="179">
        <f t="shared" si="14"/>
        <v>1</v>
      </c>
      <c r="S33" s="179">
        <f t="shared" si="14"/>
        <v>1</v>
      </c>
      <c r="T33" s="179">
        <f t="shared" si="14"/>
        <v>1</v>
      </c>
      <c r="U33" s="179">
        <f t="shared" si="14"/>
        <v>1</v>
      </c>
      <c r="V33" s="179">
        <f t="shared" si="14"/>
        <v>1</v>
      </c>
      <c r="W33" s="179">
        <f t="shared" si="14"/>
        <v>1</v>
      </c>
      <c r="X33" s="179">
        <f t="shared" si="14"/>
        <v>1</v>
      </c>
      <c r="Y33" s="179">
        <f t="shared" si="14"/>
        <v>1</v>
      </c>
      <c r="Z33" s="179">
        <f t="shared" si="14"/>
        <v>1</v>
      </c>
      <c r="AA33" s="179">
        <f t="shared" si="14"/>
        <v>1</v>
      </c>
      <c r="AB33" s="179">
        <f t="shared" si="14"/>
        <v>1</v>
      </c>
      <c r="AC33" s="179">
        <f t="shared" si="14"/>
        <v>1</v>
      </c>
      <c r="AD33" s="179">
        <f t="shared" si="14"/>
        <v>1</v>
      </c>
      <c r="AE33" s="179">
        <f t="shared" si="14"/>
        <v>1</v>
      </c>
      <c r="AF33" s="179">
        <f t="shared" si="14"/>
        <v>1</v>
      </c>
    </row>
    <row r="34" spans="2:32">
      <c r="B34" s="255"/>
      <c r="C34" s="646" t="s">
        <v>1335</v>
      </c>
      <c r="D34" s="257" t="s">
        <v>1336</v>
      </c>
      <c r="E34" s="121" t="s">
        <v>740</v>
      </c>
      <c r="F34" s="205" t="s">
        <v>194</v>
      </c>
      <c r="G34">
        <v>2</v>
      </c>
      <c r="H34" s="366">
        <f>IFERROR(VLOOKUP(F34,Assumptions_Dashboard!$C$38:$D$72,2,FALSE),0)</f>
        <v>960000</v>
      </c>
      <c r="J34" s="369">
        <f>G34*50%</f>
        <v>1</v>
      </c>
      <c r="K34" s="369">
        <f>J34</f>
        <v>1</v>
      </c>
      <c r="L34" s="369">
        <f>K34</f>
        <v>1</v>
      </c>
      <c r="M34" s="369">
        <f>L34</f>
        <v>1</v>
      </c>
      <c r="N34" s="179">
        <f>G34</f>
        <v>2</v>
      </c>
      <c r="O34" s="179">
        <f>N34</f>
        <v>2</v>
      </c>
      <c r="P34" s="179">
        <f t="shared" ref="P34:AF34" si="15">O34</f>
        <v>2</v>
      </c>
      <c r="Q34" s="179">
        <f t="shared" si="15"/>
        <v>2</v>
      </c>
      <c r="R34" s="179">
        <f t="shared" si="15"/>
        <v>2</v>
      </c>
      <c r="S34" s="179">
        <f t="shared" si="15"/>
        <v>2</v>
      </c>
      <c r="T34" s="179">
        <f t="shared" si="15"/>
        <v>2</v>
      </c>
      <c r="U34" s="179">
        <f t="shared" si="15"/>
        <v>2</v>
      </c>
      <c r="V34" s="179">
        <f t="shared" si="15"/>
        <v>2</v>
      </c>
      <c r="W34" s="179">
        <f t="shared" si="15"/>
        <v>2</v>
      </c>
      <c r="X34" s="179">
        <f t="shared" si="15"/>
        <v>2</v>
      </c>
      <c r="Y34" s="179">
        <f t="shared" si="15"/>
        <v>2</v>
      </c>
      <c r="Z34" s="179">
        <f t="shared" si="15"/>
        <v>2</v>
      </c>
      <c r="AA34" s="179">
        <f t="shared" si="15"/>
        <v>2</v>
      </c>
      <c r="AB34" s="179">
        <f t="shared" si="15"/>
        <v>2</v>
      </c>
      <c r="AC34" s="179">
        <f t="shared" si="15"/>
        <v>2</v>
      </c>
      <c r="AD34" s="179">
        <f t="shared" si="15"/>
        <v>2</v>
      </c>
      <c r="AE34" s="179">
        <f t="shared" si="15"/>
        <v>2</v>
      </c>
      <c r="AF34" s="179">
        <f t="shared" si="15"/>
        <v>2</v>
      </c>
    </row>
    <row r="35" spans="2:32">
      <c r="B35" s="121"/>
      <c r="C35" s="646" t="s">
        <v>1337</v>
      </c>
      <c r="D35" s="257" t="s">
        <v>1315</v>
      </c>
      <c r="E35" s="121" t="s">
        <v>740</v>
      </c>
      <c r="F35" s="205" t="s">
        <v>188</v>
      </c>
      <c r="G35">
        <v>1</v>
      </c>
      <c r="H35" s="366">
        <f>IFERROR(VLOOKUP(F35,Assumptions_Dashboard!$C$38:$D$72,2,FALSE),0)</f>
        <v>1800000</v>
      </c>
      <c r="J35" s="179">
        <f>G35</f>
        <v>1</v>
      </c>
      <c r="K35" s="179">
        <f>J35</f>
        <v>1</v>
      </c>
      <c r="L35" s="179">
        <f>K35</f>
        <v>1</v>
      </c>
      <c r="M35" s="179">
        <f t="shared" ref="M35:AF35" si="16">L35</f>
        <v>1</v>
      </c>
      <c r="N35" s="179">
        <f t="shared" si="16"/>
        <v>1</v>
      </c>
      <c r="O35" s="179">
        <f t="shared" si="16"/>
        <v>1</v>
      </c>
      <c r="P35" s="179">
        <f t="shared" si="16"/>
        <v>1</v>
      </c>
      <c r="Q35" s="179">
        <f t="shared" si="16"/>
        <v>1</v>
      </c>
      <c r="R35" s="179">
        <f t="shared" si="16"/>
        <v>1</v>
      </c>
      <c r="S35" s="179">
        <f t="shared" si="16"/>
        <v>1</v>
      </c>
      <c r="T35" s="179">
        <f t="shared" si="16"/>
        <v>1</v>
      </c>
      <c r="U35" s="179">
        <f t="shared" si="16"/>
        <v>1</v>
      </c>
      <c r="V35" s="179">
        <f t="shared" si="16"/>
        <v>1</v>
      </c>
      <c r="W35" s="179">
        <f t="shared" si="16"/>
        <v>1</v>
      </c>
      <c r="X35" s="179">
        <f t="shared" si="16"/>
        <v>1</v>
      </c>
      <c r="Y35" s="179">
        <f t="shared" si="16"/>
        <v>1</v>
      </c>
      <c r="Z35" s="179">
        <f t="shared" si="16"/>
        <v>1</v>
      </c>
      <c r="AA35" s="179">
        <f t="shared" si="16"/>
        <v>1</v>
      </c>
      <c r="AB35" s="179">
        <f t="shared" si="16"/>
        <v>1</v>
      </c>
      <c r="AC35" s="179">
        <f t="shared" si="16"/>
        <v>1</v>
      </c>
      <c r="AD35" s="179">
        <f t="shared" si="16"/>
        <v>1</v>
      </c>
      <c r="AE35" s="179">
        <f t="shared" si="16"/>
        <v>1</v>
      </c>
      <c r="AF35" s="179">
        <f t="shared" si="16"/>
        <v>1</v>
      </c>
    </row>
    <row r="36" spans="2:32">
      <c r="B36" s="121"/>
      <c r="C36" s="646" t="s">
        <v>1338</v>
      </c>
      <c r="D36" s="257"/>
      <c r="E36" s="121" t="s">
        <v>740</v>
      </c>
      <c r="F36" s="663" t="s">
        <v>213</v>
      </c>
      <c r="G36">
        <v>2</v>
      </c>
      <c r="H36" s="366">
        <f>IFERROR(VLOOKUP(F36,Assumptions_Dashboard!$C$38:$D$72,2,FALSE),0)</f>
        <v>400000</v>
      </c>
      <c r="J36" s="179"/>
      <c r="K36" s="179"/>
      <c r="L36" s="179"/>
      <c r="M36" s="179">
        <f>G36</f>
        <v>2</v>
      </c>
      <c r="N36" s="179">
        <f t="shared" ref="N36:P38" si="17">M36</f>
        <v>2</v>
      </c>
      <c r="O36" s="179">
        <f t="shared" si="17"/>
        <v>2</v>
      </c>
      <c r="P36" s="179">
        <f t="shared" si="17"/>
        <v>2</v>
      </c>
      <c r="Q36" s="179">
        <f t="shared" ref="Q36:AF38" si="18">P36</f>
        <v>2</v>
      </c>
      <c r="R36" s="179">
        <f t="shared" si="18"/>
        <v>2</v>
      </c>
      <c r="S36" s="179">
        <f t="shared" si="18"/>
        <v>2</v>
      </c>
      <c r="T36" s="179">
        <f t="shared" si="18"/>
        <v>2</v>
      </c>
      <c r="U36" s="179">
        <f t="shared" si="18"/>
        <v>2</v>
      </c>
      <c r="V36" s="179">
        <f t="shared" si="18"/>
        <v>2</v>
      </c>
      <c r="W36" s="179">
        <f t="shared" si="18"/>
        <v>2</v>
      </c>
      <c r="X36" s="179">
        <f t="shared" si="18"/>
        <v>2</v>
      </c>
      <c r="Y36" s="179">
        <f t="shared" si="18"/>
        <v>2</v>
      </c>
      <c r="Z36" s="179">
        <f t="shared" si="18"/>
        <v>2</v>
      </c>
      <c r="AA36" s="179">
        <f t="shared" si="18"/>
        <v>2</v>
      </c>
      <c r="AB36" s="179">
        <f t="shared" si="18"/>
        <v>2</v>
      </c>
      <c r="AC36" s="179">
        <f t="shared" si="18"/>
        <v>2</v>
      </c>
      <c r="AD36" s="179">
        <f t="shared" si="18"/>
        <v>2</v>
      </c>
      <c r="AE36" s="179">
        <f t="shared" si="18"/>
        <v>2</v>
      </c>
      <c r="AF36" s="179">
        <f t="shared" si="18"/>
        <v>2</v>
      </c>
    </row>
    <row r="37" spans="2:32">
      <c r="B37" s="255" t="s">
        <v>1339</v>
      </c>
      <c r="C37" s="646" t="s">
        <v>1340</v>
      </c>
      <c r="D37" s="257" t="s">
        <v>1315</v>
      </c>
      <c r="E37" s="121" t="s">
        <v>740</v>
      </c>
      <c r="F37" s="205" t="s">
        <v>188</v>
      </c>
      <c r="G37">
        <v>1</v>
      </c>
      <c r="H37" s="366">
        <f>IFERROR(VLOOKUP(F37,Assumptions_Dashboard!$C$38:$D$72,2,FALSE),0)</f>
        <v>1800000</v>
      </c>
      <c r="J37" s="179"/>
      <c r="K37" s="179"/>
      <c r="L37" s="179"/>
      <c r="M37" s="179">
        <f>G37</f>
        <v>1</v>
      </c>
      <c r="N37" s="179">
        <f t="shared" si="17"/>
        <v>1</v>
      </c>
      <c r="O37" s="179">
        <f t="shared" si="17"/>
        <v>1</v>
      </c>
      <c r="P37" s="179">
        <f t="shared" si="17"/>
        <v>1</v>
      </c>
      <c r="Q37" s="179">
        <f t="shared" si="18"/>
        <v>1</v>
      </c>
      <c r="R37" s="179">
        <f t="shared" si="18"/>
        <v>1</v>
      </c>
      <c r="S37" s="179">
        <f t="shared" si="18"/>
        <v>1</v>
      </c>
      <c r="T37" s="179">
        <f t="shared" si="18"/>
        <v>1</v>
      </c>
      <c r="U37" s="179">
        <f t="shared" si="18"/>
        <v>1</v>
      </c>
      <c r="V37" s="179">
        <f t="shared" si="18"/>
        <v>1</v>
      </c>
      <c r="W37" s="179">
        <f t="shared" si="18"/>
        <v>1</v>
      </c>
      <c r="X37" s="179">
        <f t="shared" si="18"/>
        <v>1</v>
      </c>
      <c r="Y37" s="179">
        <f t="shared" si="18"/>
        <v>1</v>
      </c>
      <c r="Z37" s="179">
        <f t="shared" si="18"/>
        <v>1</v>
      </c>
      <c r="AA37" s="179">
        <f t="shared" si="18"/>
        <v>1</v>
      </c>
      <c r="AB37" s="179">
        <f t="shared" si="18"/>
        <v>1</v>
      </c>
      <c r="AC37" s="179">
        <f t="shared" si="18"/>
        <v>1</v>
      </c>
      <c r="AD37" s="179">
        <f t="shared" si="18"/>
        <v>1</v>
      </c>
      <c r="AE37" s="179">
        <f t="shared" si="18"/>
        <v>1</v>
      </c>
      <c r="AF37" s="179">
        <f t="shared" si="18"/>
        <v>1</v>
      </c>
    </row>
    <row r="38" spans="2:32">
      <c r="B38" s="255"/>
      <c r="C38" s="646" t="s">
        <v>1341</v>
      </c>
      <c r="D38" s="257" t="s">
        <v>1336</v>
      </c>
      <c r="E38" s="121" t="s">
        <v>740</v>
      </c>
      <c r="F38" s="205" t="s">
        <v>194</v>
      </c>
      <c r="G38">
        <v>1</v>
      </c>
      <c r="H38" s="366">
        <f>IFERROR(VLOOKUP(F38,Assumptions_Dashboard!$C$38:$D$72,2,FALSE),0)</f>
        <v>960000</v>
      </c>
      <c r="J38" s="179">
        <v>1</v>
      </c>
      <c r="K38" s="179">
        <f>J38</f>
        <v>1</v>
      </c>
      <c r="L38" s="179">
        <f>K38</f>
        <v>1</v>
      </c>
      <c r="M38" s="179">
        <f>L38</f>
        <v>1</v>
      </c>
      <c r="N38" s="179">
        <f t="shared" si="17"/>
        <v>1</v>
      </c>
      <c r="O38" s="179">
        <f t="shared" si="17"/>
        <v>1</v>
      </c>
      <c r="P38" s="179">
        <f t="shared" si="17"/>
        <v>1</v>
      </c>
      <c r="Q38" s="179">
        <f t="shared" si="18"/>
        <v>1</v>
      </c>
      <c r="R38" s="179">
        <f t="shared" si="18"/>
        <v>1</v>
      </c>
      <c r="S38" s="179">
        <f t="shared" si="18"/>
        <v>1</v>
      </c>
      <c r="T38" s="179">
        <f t="shared" si="18"/>
        <v>1</v>
      </c>
      <c r="U38" s="179">
        <f t="shared" si="18"/>
        <v>1</v>
      </c>
      <c r="V38" s="179">
        <f t="shared" si="18"/>
        <v>1</v>
      </c>
      <c r="W38" s="179">
        <f t="shared" si="18"/>
        <v>1</v>
      </c>
      <c r="X38" s="179">
        <f t="shared" si="18"/>
        <v>1</v>
      </c>
      <c r="Y38" s="179">
        <f t="shared" si="18"/>
        <v>1</v>
      </c>
      <c r="Z38" s="179">
        <f t="shared" si="18"/>
        <v>1</v>
      </c>
      <c r="AA38" s="179">
        <f t="shared" si="18"/>
        <v>1</v>
      </c>
      <c r="AB38" s="179">
        <f t="shared" si="18"/>
        <v>1</v>
      </c>
      <c r="AC38" s="179">
        <f t="shared" si="18"/>
        <v>1</v>
      </c>
      <c r="AD38" s="179">
        <f t="shared" si="18"/>
        <v>1</v>
      </c>
      <c r="AE38" s="179">
        <f t="shared" si="18"/>
        <v>1</v>
      </c>
      <c r="AF38" s="179">
        <f t="shared" si="18"/>
        <v>1</v>
      </c>
    </row>
    <row r="39" spans="2:32">
      <c r="B39" s="121"/>
      <c r="C39" s="646" t="s">
        <v>1342</v>
      </c>
      <c r="D39" s="257" t="s">
        <v>1315</v>
      </c>
      <c r="E39" s="121" t="s">
        <v>740</v>
      </c>
      <c r="F39" s="205" t="s">
        <v>188</v>
      </c>
      <c r="H39" s="366">
        <f>IFERROR(VLOOKUP(F39,Assumptions_Dashboard!$C$38:$D$72,2,FALSE),0)</f>
        <v>1800000</v>
      </c>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row>
    <row r="40" spans="2:32">
      <c r="B40" s="121"/>
      <c r="C40" s="646" t="s">
        <v>1342</v>
      </c>
      <c r="D40" s="257" t="s">
        <v>1336</v>
      </c>
      <c r="E40" s="121" t="s">
        <v>740</v>
      </c>
      <c r="F40" s="205" t="s">
        <v>194</v>
      </c>
      <c r="G40">
        <v>1</v>
      </c>
      <c r="H40" s="366">
        <f>IFERROR(VLOOKUP(F40,Assumptions_Dashboard!$C$38:$D$72,2,FALSE),0)</f>
        <v>960000</v>
      </c>
      <c r="J40" s="179">
        <f>G40</f>
        <v>1</v>
      </c>
      <c r="K40" s="179">
        <f>J40</f>
        <v>1</v>
      </c>
      <c r="L40" s="179">
        <f>K40</f>
        <v>1</v>
      </c>
      <c r="M40" s="179">
        <f t="shared" ref="M40:AF40" si="19">L40</f>
        <v>1</v>
      </c>
      <c r="N40" s="179">
        <f t="shared" si="19"/>
        <v>1</v>
      </c>
      <c r="O40" s="179">
        <f t="shared" si="19"/>
        <v>1</v>
      </c>
      <c r="P40" s="179">
        <f t="shared" si="19"/>
        <v>1</v>
      </c>
      <c r="Q40" s="179">
        <f t="shared" si="19"/>
        <v>1</v>
      </c>
      <c r="R40" s="179">
        <f t="shared" si="19"/>
        <v>1</v>
      </c>
      <c r="S40" s="179">
        <f t="shared" si="19"/>
        <v>1</v>
      </c>
      <c r="T40" s="179">
        <f t="shared" si="19"/>
        <v>1</v>
      </c>
      <c r="U40" s="179">
        <f t="shared" si="19"/>
        <v>1</v>
      </c>
      <c r="V40" s="179">
        <f t="shared" si="19"/>
        <v>1</v>
      </c>
      <c r="W40" s="179">
        <f t="shared" si="19"/>
        <v>1</v>
      </c>
      <c r="X40" s="179">
        <f t="shared" si="19"/>
        <v>1</v>
      </c>
      <c r="Y40" s="179">
        <f t="shared" si="19"/>
        <v>1</v>
      </c>
      <c r="Z40" s="179">
        <f t="shared" si="19"/>
        <v>1</v>
      </c>
      <c r="AA40" s="179">
        <f t="shared" si="19"/>
        <v>1</v>
      </c>
      <c r="AB40" s="179">
        <f t="shared" si="19"/>
        <v>1</v>
      </c>
      <c r="AC40" s="179">
        <f t="shared" si="19"/>
        <v>1</v>
      </c>
      <c r="AD40" s="179">
        <f t="shared" si="19"/>
        <v>1</v>
      </c>
      <c r="AE40" s="179">
        <f t="shared" si="19"/>
        <v>1</v>
      </c>
      <c r="AF40" s="179">
        <f t="shared" si="19"/>
        <v>1</v>
      </c>
    </row>
    <row r="41" spans="2:32">
      <c r="B41" s="121"/>
      <c r="C41" s="653" t="s">
        <v>1343</v>
      </c>
      <c r="D41" s="257"/>
      <c r="E41" s="121" t="s">
        <v>740</v>
      </c>
      <c r="F41" s="205" t="s">
        <v>213</v>
      </c>
      <c r="G41">
        <v>5</v>
      </c>
      <c r="H41" s="366">
        <f>IFERROR(VLOOKUP(F41,Assumptions_Dashboard!$C$38:$D$72,2,FALSE),0)</f>
        <v>400000</v>
      </c>
      <c r="J41" s="179">
        <f>G41</f>
        <v>5</v>
      </c>
      <c r="K41" s="179">
        <f>J41</f>
        <v>5</v>
      </c>
      <c r="L41" s="179">
        <f>K41</f>
        <v>5</v>
      </c>
      <c r="M41" s="179">
        <f t="shared" ref="M41:AF42" si="20">L41</f>
        <v>5</v>
      </c>
      <c r="N41" s="179">
        <f t="shared" si="20"/>
        <v>5</v>
      </c>
      <c r="O41" s="179">
        <f t="shared" si="20"/>
        <v>5</v>
      </c>
      <c r="P41" s="179">
        <f t="shared" si="20"/>
        <v>5</v>
      </c>
      <c r="Q41" s="179">
        <f t="shared" si="20"/>
        <v>5</v>
      </c>
      <c r="R41" s="179">
        <f t="shared" si="20"/>
        <v>5</v>
      </c>
      <c r="S41" s="179">
        <f t="shared" si="20"/>
        <v>5</v>
      </c>
      <c r="T41" s="179">
        <f t="shared" si="20"/>
        <v>5</v>
      </c>
      <c r="U41" s="179">
        <f t="shared" si="20"/>
        <v>5</v>
      </c>
      <c r="V41" s="179">
        <f t="shared" si="20"/>
        <v>5</v>
      </c>
      <c r="W41" s="179">
        <f t="shared" si="20"/>
        <v>5</v>
      </c>
      <c r="X41" s="179">
        <f t="shared" si="20"/>
        <v>5</v>
      </c>
      <c r="Y41" s="179">
        <f t="shared" si="20"/>
        <v>5</v>
      </c>
      <c r="Z41" s="179">
        <f t="shared" si="20"/>
        <v>5</v>
      </c>
      <c r="AA41" s="179">
        <f t="shared" si="20"/>
        <v>5</v>
      </c>
      <c r="AB41" s="179">
        <f t="shared" si="20"/>
        <v>5</v>
      </c>
      <c r="AC41" s="179">
        <f t="shared" si="20"/>
        <v>5</v>
      </c>
      <c r="AD41" s="179">
        <f t="shared" si="20"/>
        <v>5</v>
      </c>
      <c r="AE41" s="179">
        <f t="shared" si="20"/>
        <v>5</v>
      </c>
      <c r="AF41" s="179">
        <f t="shared" si="20"/>
        <v>5</v>
      </c>
    </row>
    <row r="42" spans="2:32">
      <c r="B42" s="255" t="s">
        <v>1344</v>
      </c>
      <c r="C42" s="651" t="s">
        <v>1345</v>
      </c>
      <c r="D42" s="257"/>
      <c r="E42" s="121" t="s">
        <v>740</v>
      </c>
      <c r="F42" s="205" t="s">
        <v>213</v>
      </c>
      <c r="G42">
        <f>IF(Assumptions_Dashboard!$L$4="MDO",0,3)</f>
        <v>3</v>
      </c>
      <c r="H42" s="366">
        <f>IFERROR(VLOOKUP(F42,Assumptions_Dashboard!$C$38:$D$72,2,FALSE),0)</f>
        <v>400000</v>
      </c>
      <c r="J42" s="179"/>
      <c r="K42" s="179"/>
      <c r="L42" s="179"/>
      <c r="M42" s="179"/>
      <c r="N42" s="179">
        <f>G42</f>
        <v>3</v>
      </c>
      <c r="O42" s="179">
        <f>N42</f>
        <v>3</v>
      </c>
      <c r="P42" s="179">
        <f t="shared" si="20"/>
        <v>3</v>
      </c>
      <c r="Q42" s="179">
        <f t="shared" si="20"/>
        <v>3</v>
      </c>
      <c r="R42" s="179">
        <f t="shared" si="20"/>
        <v>3</v>
      </c>
      <c r="S42" s="179">
        <f t="shared" si="20"/>
        <v>3</v>
      </c>
      <c r="T42" s="179">
        <f t="shared" si="20"/>
        <v>3</v>
      </c>
      <c r="U42" s="179">
        <f t="shared" si="20"/>
        <v>3</v>
      </c>
      <c r="V42" s="179">
        <f t="shared" si="20"/>
        <v>3</v>
      </c>
      <c r="W42" s="179">
        <f t="shared" si="20"/>
        <v>3</v>
      </c>
      <c r="X42" s="179">
        <f t="shared" si="20"/>
        <v>3</v>
      </c>
      <c r="Y42" s="179">
        <f t="shared" si="20"/>
        <v>3</v>
      </c>
      <c r="Z42" s="179">
        <f t="shared" si="20"/>
        <v>3</v>
      </c>
      <c r="AA42" s="179">
        <f t="shared" si="20"/>
        <v>3</v>
      </c>
      <c r="AB42" s="179">
        <f t="shared" si="20"/>
        <v>3</v>
      </c>
      <c r="AC42" s="179">
        <f t="shared" si="20"/>
        <v>3</v>
      </c>
      <c r="AD42" s="179">
        <f t="shared" si="20"/>
        <v>3</v>
      </c>
      <c r="AE42" s="179">
        <f t="shared" si="20"/>
        <v>3</v>
      </c>
      <c r="AF42" s="179">
        <f t="shared" si="20"/>
        <v>3</v>
      </c>
    </row>
    <row r="43" spans="2:32">
      <c r="B43" s="255" t="s">
        <v>1346</v>
      </c>
      <c r="C43" s="653" t="s">
        <v>1347</v>
      </c>
      <c r="D43" s="257"/>
      <c r="E43" s="121" t="s">
        <v>740</v>
      </c>
      <c r="F43" s="205" t="s">
        <v>226</v>
      </c>
      <c r="G43">
        <f>IF(Assumptions_Dashboard!$L$4="MDO",0,1)</f>
        <v>1</v>
      </c>
      <c r="H43" s="366">
        <f>IFERROR(VLOOKUP(F43,Assumptions_Dashboard!$C$38:$D$72,2,FALSE),0)</f>
        <v>360000</v>
      </c>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row>
    <row r="44" spans="2:32">
      <c r="B44" s="121"/>
      <c r="C44" s="653" t="s">
        <v>1348</v>
      </c>
      <c r="D44" s="257"/>
      <c r="E44" s="121" t="s">
        <v>740</v>
      </c>
      <c r="F44" s="205" t="s">
        <v>230</v>
      </c>
      <c r="G44">
        <v>2</v>
      </c>
      <c r="H44" s="366">
        <f>IFERROR(VLOOKUP(F44,Assumptions_Dashboard!$C$38:$D$72,2,FALSE),0)</f>
        <v>240000</v>
      </c>
      <c r="J44" s="179"/>
      <c r="K44" s="179"/>
      <c r="L44" s="179">
        <f>G44</f>
        <v>2</v>
      </c>
      <c r="M44" s="179">
        <f>L44</f>
        <v>2</v>
      </c>
      <c r="N44" s="179">
        <f>M44</f>
        <v>2</v>
      </c>
      <c r="O44" s="179">
        <f t="shared" ref="O44:AF52" si="21">N44</f>
        <v>2</v>
      </c>
      <c r="P44" s="179">
        <f t="shared" si="21"/>
        <v>2</v>
      </c>
      <c r="Q44" s="179">
        <f t="shared" si="21"/>
        <v>2</v>
      </c>
      <c r="R44" s="179">
        <f t="shared" si="21"/>
        <v>2</v>
      </c>
      <c r="S44" s="179">
        <f t="shared" si="21"/>
        <v>2</v>
      </c>
      <c r="T44" s="179">
        <f t="shared" si="21"/>
        <v>2</v>
      </c>
      <c r="U44" s="179">
        <f t="shared" si="21"/>
        <v>2</v>
      </c>
      <c r="V44" s="179">
        <f t="shared" si="21"/>
        <v>2</v>
      </c>
      <c r="W44" s="179">
        <f t="shared" si="21"/>
        <v>2</v>
      </c>
      <c r="X44" s="179">
        <f t="shared" si="21"/>
        <v>2</v>
      </c>
      <c r="Y44" s="179">
        <f t="shared" si="21"/>
        <v>2</v>
      </c>
      <c r="Z44" s="179">
        <f t="shared" si="21"/>
        <v>2</v>
      </c>
      <c r="AA44" s="179">
        <f t="shared" si="21"/>
        <v>2</v>
      </c>
      <c r="AB44" s="179">
        <f t="shared" si="21"/>
        <v>2</v>
      </c>
      <c r="AC44" s="179">
        <f t="shared" si="21"/>
        <v>2</v>
      </c>
      <c r="AD44" s="179">
        <f t="shared" si="21"/>
        <v>2</v>
      </c>
      <c r="AE44" s="179">
        <f t="shared" si="21"/>
        <v>2</v>
      </c>
      <c r="AF44" s="179">
        <f t="shared" si="21"/>
        <v>2</v>
      </c>
    </row>
    <row r="45" spans="2:32">
      <c r="B45" s="255" t="s">
        <v>1349</v>
      </c>
      <c r="C45" s="652" t="s">
        <v>1350</v>
      </c>
      <c r="D45" s="257"/>
      <c r="E45" s="121" t="s">
        <v>740</v>
      </c>
      <c r="F45" s="205" t="s">
        <v>223</v>
      </c>
      <c r="G45">
        <f>IF(Assumptions_Dashboard!$L$4="MDO",0,5)</f>
        <v>5</v>
      </c>
      <c r="H45" s="366">
        <f>IFERROR(VLOOKUP(F45,Assumptions_Dashboard!$C$38:$D$72,2,FALSE),0)</f>
        <v>420000</v>
      </c>
      <c r="J45" s="179"/>
      <c r="K45" s="179"/>
      <c r="L45" s="179"/>
      <c r="M45" s="179"/>
      <c r="N45" s="179">
        <f>G45</f>
        <v>5</v>
      </c>
      <c r="O45" s="179">
        <f t="shared" ref="O45:O75" si="22">N45</f>
        <v>5</v>
      </c>
      <c r="P45" s="179">
        <f t="shared" si="21"/>
        <v>5</v>
      </c>
      <c r="Q45" s="179">
        <f t="shared" si="21"/>
        <v>5</v>
      </c>
      <c r="R45" s="179">
        <f t="shared" si="21"/>
        <v>5</v>
      </c>
      <c r="S45" s="179">
        <f t="shared" si="21"/>
        <v>5</v>
      </c>
      <c r="T45" s="179">
        <f t="shared" si="21"/>
        <v>5</v>
      </c>
      <c r="U45" s="179">
        <f t="shared" si="21"/>
        <v>5</v>
      </c>
      <c r="V45" s="179">
        <f t="shared" si="21"/>
        <v>5</v>
      </c>
      <c r="W45" s="179">
        <f t="shared" si="21"/>
        <v>5</v>
      </c>
      <c r="X45" s="179">
        <f t="shared" si="21"/>
        <v>5</v>
      </c>
      <c r="Y45" s="179">
        <f t="shared" si="21"/>
        <v>5</v>
      </c>
      <c r="Z45" s="179">
        <f t="shared" si="21"/>
        <v>5</v>
      </c>
      <c r="AA45" s="179">
        <f t="shared" si="21"/>
        <v>5</v>
      </c>
      <c r="AB45" s="179">
        <f t="shared" si="21"/>
        <v>5</v>
      </c>
      <c r="AC45" s="179">
        <f t="shared" si="21"/>
        <v>5</v>
      </c>
      <c r="AD45" s="179">
        <f t="shared" si="21"/>
        <v>5</v>
      </c>
      <c r="AE45" s="179">
        <f t="shared" si="21"/>
        <v>5</v>
      </c>
      <c r="AF45" s="179">
        <f t="shared" si="21"/>
        <v>5</v>
      </c>
    </row>
    <row r="46" spans="2:32">
      <c r="B46" s="121"/>
      <c r="C46" s="652" t="s">
        <v>1351</v>
      </c>
      <c r="D46" s="257"/>
      <c r="E46" s="121" t="s">
        <v>740</v>
      </c>
      <c r="F46" s="205" t="s">
        <v>223</v>
      </c>
      <c r="G46">
        <v>2</v>
      </c>
      <c r="H46" s="366">
        <f>IFERROR(VLOOKUP(F46,Assumptions_Dashboard!$C$38:$D$72,2,FALSE),0)</f>
        <v>420000</v>
      </c>
      <c r="J46" s="179"/>
      <c r="K46" s="179"/>
      <c r="L46" s="179"/>
      <c r="M46" s="179"/>
      <c r="N46" s="179">
        <f>G46</f>
        <v>2</v>
      </c>
      <c r="O46" s="179">
        <f t="shared" si="22"/>
        <v>2</v>
      </c>
      <c r="P46" s="179">
        <f t="shared" si="21"/>
        <v>2</v>
      </c>
      <c r="Q46" s="179">
        <f t="shared" si="21"/>
        <v>2</v>
      </c>
      <c r="R46" s="179">
        <f t="shared" si="21"/>
        <v>2</v>
      </c>
      <c r="S46" s="179">
        <f t="shared" si="21"/>
        <v>2</v>
      </c>
      <c r="T46" s="179">
        <f t="shared" si="21"/>
        <v>2</v>
      </c>
      <c r="U46" s="179">
        <f t="shared" si="21"/>
        <v>2</v>
      </c>
      <c r="V46" s="179">
        <f t="shared" si="21"/>
        <v>2</v>
      </c>
      <c r="W46" s="179">
        <f t="shared" si="21"/>
        <v>2</v>
      </c>
      <c r="X46" s="179">
        <f t="shared" si="21"/>
        <v>2</v>
      </c>
      <c r="Y46" s="179">
        <f t="shared" si="21"/>
        <v>2</v>
      </c>
      <c r="Z46" s="179">
        <f t="shared" si="21"/>
        <v>2</v>
      </c>
      <c r="AA46" s="179">
        <f t="shared" si="21"/>
        <v>2</v>
      </c>
      <c r="AB46" s="179">
        <f t="shared" si="21"/>
        <v>2</v>
      </c>
      <c r="AC46" s="179">
        <f t="shared" si="21"/>
        <v>2</v>
      </c>
      <c r="AD46" s="179">
        <f t="shared" si="21"/>
        <v>2</v>
      </c>
      <c r="AE46" s="179">
        <f t="shared" si="21"/>
        <v>2</v>
      </c>
      <c r="AF46" s="179">
        <f t="shared" si="21"/>
        <v>2</v>
      </c>
    </row>
    <row r="47" spans="2:32">
      <c r="B47" s="121"/>
      <c r="C47" s="652" t="s">
        <v>1352</v>
      </c>
      <c r="D47" s="257"/>
      <c r="E47" s="121" t="s">
        <v>740</v>
      </c>
      <c r="F47" s="205" t="s">
        <v>230</v>
      </c>
      <c r="H47" s="366">
        <f>IFERROR(VLOOKUP(F47,Assumptions_Dashboard!$C$38:$D$72,2,FALSE),0)</f>
        <v>240000</v>
      </c>
      <c r="J47" s="179"/>
      <c r="K47" s="179"/>
      <c r="L47" s="179"/>
      <c r="M47" s="179"/>
      <c r="N47" s="179">
        <f>G47</f>
        <v>0</v>
      </c>
      <c r="O47" s="179">
        <f t="shared" si="22"/>
        <v>0</v>
      </c>
      <c r="P47" s="179">
        <f t="shared" si="21"/>
        <v>0</v>
      </c>
      <c r="Q47" s="179">
        <f t="shared" si="21"/>
        <v>0</v>
      </c>
      <c r="R47" s="179">
        <f t="shared" si="21"/>
        <v>0</v>
      </c>
      <c r="S47" s="179">
        <f t="shared" si="21"/>
        <v>0</v>
      </c>
      <c r="T47" s="179">
        <f t="shared" si="21"/>
        <v>0</v>
      </c>
      <c r="U47" s="179">
        <f t="shared" si="21"/>
        <v>0</v>
      </c>
      <c r="V47" s="179">
        <f t="shared" si="21"/>
        <v>0</v>
      </c>
      <c r="W47" s="179">
        <f t="shared" si="21"/>
        <v>0</v>
      </c>
      <c r="X47" s="179">
        <f t="shared" si="21"/>
        <v>0</v>
      </c>
      <c r="Y47" s="179">
        <f t="shared" si="21"/>
        <v>0</v>
      </c>
      <c r="Z47" s="179">
        <f t="shared" si="21"/>
        <v>0</v>
      </c>
      <c r="AA47" s="179">
        <f t="shared" si="21"/>
        <v>0</v>
      </c>
      <c r="AB47" s="179">
        <f t="shared" si="21"/>
        <v>0</v>
      </c>
      <c r="AC47" s="179">
        <f t="shared" si="21"/>
        <v>0</v>
      </c>
      <c r="AD47" s="179">
        <f t="shared" si="21"/>
        <v>0</v>
      </c>
      <c r="AE47" s="179">
        <f t="shared" si="21"/>
        <v>0</v>
      </c>
      <c r="AF47" s="179">
        <f t="shared" si="21"/>
        <v>0</v>
      </c>
    </row>
    <row r="48" spans="2:32">
      <c r="B48" s="255" t="s">
        <v>1353</v>
      </c>
      <c r="C48" s="653" t="s">
        <v>1354</v>
      </c>
      <c r="D48" s="257" t="s">
        <v>1336</v>
      </c>
      <c r="E48" s="121" t="s">
        <v>740</v>
      </c>
      <c r="F48" s="205" t="s">
        <v>212</v>
      </c>
      <c r="G48">
        <v>1</v>
      </c>
      <c r="H48" s="366">
        <f>IFERROR(VLOOKUP(F48,Assumptions_Dashboard!$C$38:$D$72,2,FALSE),0)</f>
        <v>670000</v>
      </c>
      <c r="J48" s="179">
        <f>G48</f>
        <v>1</v>
      </c>
      <c r="K48" s="179">
        <f>J48</f>
        <v>1</v>
      </c>
      <c r="L48" s="179">
        <f>K48</f>
        <v>1</v>
      </c>
      <c r="M48" s="179">
        <f>L48</f>
        <v>1</v>
      </c>
      <c r="N48" s="179">
        <f>M48</f>
        <v>1</v>
      </c>
      <c r="O48" s="179">
        <f t="shared" si="22"/>
        <v>1</v>
      </c>
      <c r="P48" s="179">
        <f t="shared" si="21"/>
        <v>1</v>
      </c>
      <c r="Q48" s="179">
        <f t="shared" si="21"/>
        <v>1</v>
      </c>
      <c r="R48" s="179">
        <f t="shared" si="21"/>
        <v>1</v>
      </c>
      <c r="S48" s="179">
        <f t="shared" si="21"/>
        <v>1</v>
      </c>
      <c r="T48" s="179">
        <f t="shared" si="21"/>
        <v>1</v>
      </c>
      <c r="U48" s="179">
        <f t="shared" si="21"/>
        <v>1</v>
      </c>
      <c r="V48" s="179">
        <f t="shared" si="21"/>
        <v>1</v>
      </c>
      <c r="W48" s="179">
        <f t="shared" si="21"/>
        <v>1</v>
      </c>
      <c r="X48" s="179">
        <f t="shared" si="21"/>
        <v>1</v>
      </c>
      <c r="Y48" s="179">
        <f t="shared" si="21"/>
        <v>1</v>
      </c>
      <c r="Z48" s="179">
        <f t="shared" si="21"/>
        <v>1</v>
      </c>
      <c r="AA48" s="179">
        <f t="shared" si="21"/>
        <v>1</v>
      </c>
      <c r="AB48" s="179">
        <f t="shared" si="21"/>
        <v>1</v>
      </c>
      <c r="AC48" s="179">
        <f t="shared" si="21"/>
        <v>1</v>
      </c>
      <c r="AD48" s="179">
        <f t="shared" si="21"/>
        <v>1</v>
      </c>
      <c r="AE48" s="179">
        <f t="shared" si="21"/>
        <v>1</v>
      </c>
      <c r="AF48" s="179">
        <f t="shared" si="21"/>
        <v>1</v>
      </c>
    </row>
    <row r="49" spans="2:32">
      <c r="B49" s="255"/>
      <c r="C49" s="653" t="s">
        <v>1355</v>
      </c>
      <c r="D49" s="257"/>
      <c r="E49" s="121" t="s">
        <v>740</v>
      </c>
      <c r="F49" s="205" t="s">
        <v>223</v>
      </c>
      <c r="G49">
        <f>IF(Assumptions_Dashboard!$L$4="MDO",0,2)</f>
        <v>2</v>
      </c>
      <c r="H49" s="366">
        <f>IFERROR(VLOOKUP(F49,Assumptions_Dashboard!$C$38:$D$72,2,FALSE),0)</f>
        <v>420000</v>
      </c>
      <c r="J49" s="369">
        <f>G49*50%</f>
        <v>1</v>
      </c>
      <c r="K49" s="179">
        <f>J49</f>
        <v>1</v>
      </c>
      <c r="L49" s="179">
        <f>K49</f>
        <v>1</v>
      </c>
      <c r="M49" s="179">
        <f>L49</f>
        <v>1</v>
      </c>
      <c r="N49" s="369">
        <f t="shared" ref="N49:N64" si="23">G49</f>
        <v>2</v>
      </c>
      <c r="O49" s="179">
        <f t="shared" si="22"/>
        <v>2</v>
      </c>
      <c r="P49" s="179">
        <f t="shared" si="21"/>
        <v>2</v>
      </c>
      <c r="Q49" s="179">
        <f t="shared" si="21"/>
        <v>2</v>
      </c>
      <c r="R49" s="179">
        <f t="shared" si="21"/>
        <v>2</v>
      </c>
      <c r="S49" s="179">
        <f t="shared" si="21"/>
        <v>2</v>
      </c>
      <c r="T49" s="179">
        <f t="shared" si="21"/>
        <v>2</v>
      </c>
      <c r="U49" s="179">
        <f t="shared" si="21"/>
        <v>2</v>
      </c>
      <c r="V49" s="179">
        <f t="shared" si="21"/>
        <v>2</v>
      </c>
      <c r="W49" s="179">
        <f t="shared" si="21"/>
        <v>2</v>
      </c>
      <c r="X49" s="179">
        <f t="shared" si="21"/>
        <v>2</v>
      </c>
      <c r="Y49" s="179">
        <f t="shared" si="21"/>
        <v>2</v>
      </c>
      <c r="Z49" s="179">
        <f t="shared" si="21"/>
        <v>2</v>
      </c>
      <c r="AA49" s="179">
        <f t="shared" si="21"/>
        <v>2</v>
      </c>
      <c r="AB49" s="179">
        <f t="shared" si="21"/>
        <v>2</v>
      </c>
      <c r="AC49" s="179">
        <f t="shared" si="21"/>
        <v>2</v>
      </c>
      <c r="AD49" s="179">
        <f t="shared" si="21"/>
        <v>2</v>
      </c>
      <c r="AE49" s="179">
        <f t="shared" si="21"/>
        <v>2</v>
      </c>
      <c r="AF49" s="179">
        <f t="shared" si="21"/>
        <v>2</v>
      </c>
    </row>
    <row r="50" spans="2:32">
      <c r="B50" s="121"/>
      <c r="C50" s="653" t="s">
        <v>1356</v>
      </c>
      <c r="D50" s="257"/>
      <c r="E50" s="121" t="s">
        <v>740</v>
      </c>
      <c r="F50" s="205" t="s">
        <v>223</v>
      </c>
      <c r="G50">
        <f>IF(Assumptions_Dashboard!$L$4="MDO",0,2)</f>
        <v>2</v>
      </c>
      <c r="H50" s="366">
        <f>IFERROR(VLOOKUP(F50,Assumptions_Dashboard!$C$38:$D$72,2,FALSE),0)</f>
        <v>420000</v>
      </c>
      <c r="J50" s="179"/>
      <c r="K50" s="179"/>
      <c r="L50" s="179"/>
      <c r="M50" s="179"/>
      <c r="N50" s="179">
        <f t="shared" si="23"/>
        <v>2</v>
      </c>
      <c r="O50" s="179">
        <f t="shared" si="22"/>
        <v>2</v>
      </c>
      <c r="P50" s="179">
        <f t="shared" si="21"/>
        <v>2</v>
      </c>
      <c r="Q50" s="179">
        <f t="shared" si="21"/>
        <v>2</v>
      </c>
      <c r="R50" s="179">
        <f t="shared" si="21"/>
        <v>2</v>
      </c>
      <c r="S50" s="179">
        <f t="shared" si="21"/>
        <v>2</v>
      </c>
      <c r="T50" s="179">
        <f t="shared" si="21"/>
        <v>2</v>
      </c>
      <c r="U50" s="179">
        <f t="shared" si="21"/>
        <v>2</v>
      </c>
      <c r="V50" s="179">
        <f t="shared" si="21"/>
        <v>2</v>
      </c>
      <c r="W50" s="179">
        <f t="shared" si="21"/>
        <v>2</v>
      </c>
      <c r="X50" s="179">
        <f t="shared" si="21"/>
        <v>2</v>
      </c>
      <c r="Y50" s="179">
        <f t="shared" si="21"/>
        <v>2</v>
      </c>
      <c r="Z50" s="179">
        <f t="shared" si="21"/>
        <v>2</v>
      </c>
      <c r="AA50" s="179">
        <f t="shared" si="21"/>
        <v>2</v>
      </c>
      <c r="AB50" s="179">
        <f t="shared" si="21"/>
        <v>2</v>
      </c>
      <c r="AC50" s="179">
        <f t="shared" si="21"/>
        <v>2</v>
      </c>
      <c r="AD50" s="179">
        <f t="shared" si="21"/>
        <v>2</v>
      </c>
      <c r="AE50" s="179">
        <f t="shared" si="21"/>
        <v>2</v>
      </c>
      <c r="AF50" s="179">
        <f t="shared" si="21"/>
        <v>2</v>
      </c>
    </row>
    <row r="51" spans="2:32">
      <c r="B51" s="121"/>
      <c r="C51" s="653" t="s">
        <v>1357</v>
      </c>
      <c r="D51" s="257"/>
      <c r="E51" s="121" t="s">
        <v>740</v>
      </c>
      <c r="F51" s="205" t="s">
        <v>230</v>
      </c>
      <c r="G51">
        <f>IF(Assumptions_Dashboard!$L$4="MDO",0,5)</f>
        <v>5</v>
      </c>
      <c r="H51" s="366">
        <f>IFERROR(VLOOKUP(F51,Assumptions_Dashboard!$C$38:$D$72,2,FALSE),0)</f>
        <v>240000</v>
      </c>
      <c r="J51" s="179"/>
      <c r="K51" s="179"/>
      <c r="L51" s="179"/>
      <c r="M51" s="179"/>
      <c r="N51" s="179">
        <f t="shared" si="23"/>
        <v>5</v>
      </c>
      <c r="O51" s="179">
        <f t="shared" si="22"/>
        <v>5</v>
      </c>
      <c r="P51" s="179">
        <f t="shared" si="21"/>
        <v>5</v>
      </c>
      <c r="Q51" s="179">
        <f t="shared" si="21"/>
        <v>5</v>
      </c>
      <c r="R51" s="179">
        <f t="shared" si="21"/>
        <v>5</v>
      </c>
      <c r="S51" s="179">
        <f t="shared" si="21"/>
        <v>5</v>
      </c>
      <c r="T51" s="179">
        <f t="shared" si="21"/>
        <v>5</v>
      </c>
      <c r="U51" s="179">
        <f t="shared" si="21"/>
        <v>5</v>
      </c>
      <c r="V51" s="179">
        <f t="shared" si="21"/>
        <v>5</v>
      </c>
      <c r="W51" s="179">
        <f t="shared" si="21"/>
        <v>5</v>
      </c>
      <c r="X51" s="179">
        <f t="shared" si="21"/>
        <v>5</v>
      </c>
      <c r="Y51" s="179">
        <f t="shared" si="21"/>
        <v>5</v>
      </c>
      <c r="Z51" s="179">
        <f t="shared" si="21"/>
        <v>5</v>
      </c>
      <c r="AA51" s="179">
        <f t="shared" si="21"/>
        <v>5</v>
      </c>
      <c r="AB51" s="179">
        <f t="shared" si="21"/>
        <v>5</v>
      </c>
      <c r="AC51" s="179">
        <f t="shared" si="21"/>
        <v>5</v>
      </c>
      <c r="AD51" s="179">
        <f t="shared" si="21"/>
        <v>5</v>
      </c>
      <c r="AE51" s="179">
        <f t="shared" si="21"/>
        <v>5</v>
      </c>
      <c r="AF51" s="179">
        <f t="shared" si="21"/>
        <v>5</v>
      </c>
    </row>
    <row r="52" spans="2:32">
      <c r="B52" s="121"/>
      <c r="C52" s="653" t="s">
        <v>1358</v>
      </c>
      <c r="D52" s="257"/>
      <c r="E52" s="121" t="s">
        <v>740</v>
      </c>
      <c r="F52" s="205" t="s">
        <v>230</v>
      </c>
      <c r="G52">
        <f>IF(Assumptions_Dashboard!$L$4="MDO",0,10)</f>
        <v>10</v>
      </c>
      <c r="H52" s="366">
        <f>IFERROR(VLOOKUP(F52,Assumptions_Dashboard!$C$38:$D$72,2,FALSE),0)</f>
        <v>240000</v>
      </c>
      <c r="J52" s="179"/>
      <c r="K52" s="179"/>
      <c r="L52" s="179"/>
      <c r="M52" s="179"/>
      <c r="N52" s="179">
        <f t="shared" si="23"/>
        <v>10</v>
      </c>
      <c r="O52" s="179">
        <f t="shared" si="22"/>
        <v>10</v>
      </c>
      <c r="P52" s="179">
        <f t="shared" si="21"/>
        <v>10</v>
      </c>
      <c r="Q52" s="179">
        <f t="shared" si="21"/>
        <v>10</v>
      </c>
      <c r="R52" s="179">
        <f t="shared" si="21"/>
        <v>10</v>
      </c>
      <c r="S52" s="179">
        <f t="shared" si="21"/>
        <v>10</v>
      </c>
      <c r="T52" s="179">
        <f t="shared" si="21"/>
        <v>10</v>
      </c>
      <c r="U52" s="179">
        <f t="shared" si="21"/>
        <v>10</v>
      </c>
      <c r="V52" s="179">
        <f t="shared" si="21"/>
        <v>10</v>
      </c>
      <c r="W52" s="179">
        <f t="shared" si="21"/>
        <v>10</v>
      </c>
      <c r="X52" s="179">
        <f t="shared" si="21"/>
        <v>10</v>
      </c>
      <c r="Y52" s="179">
        <f t="shared" si="21"/>
        <v>10</v>
      </c>
      <c r="Z52" s="179">
        <f t="shared" si="21"/>
        <v>10</v>
      </c>
      <c r="AA52" s="179">
        <f t="shared" si="21"/>
        <v>10</v>
      </c>
      <c r="AB52" s="179">
        <f t="shared" si="21"/>
        <v>10</v>
      </c>
      <c r="AC52" s="179">
        <f t="shared" si="21"/>
        <v>10</v>
      </c>
      <c r="AD52" s="179">
        <f t="shared" si="21"/>
        <v>10</v>
      </c>
      <c r="AE52" s="179">
        <f t="shared" si="21"/>
        <v>10</v>
      </c>
      <c r="AF52" s="179">
        <f t="shared" si="21"/>
        <v>10</v>
      </c>
    </row>
    <row r="53" spans="2:32">
      <c r="B53" s="121"/>
      <c r="C53" s="653" t="s">
        <v>1359</v>
      </c>
      <c r="D53" s="257"/>
      <c r="E53" s="121" t="s">
        <v>740</v>
      </c>
      <c r="F53" s="205" t="s">
        <v>230</v>
      </c>
      <c r="G53">
        <f>IF(Assumptions_Dashboard!$L$4="MDO",0,2*3)</f>
        <v>6</v>
      </c>
      <c r="H53" s="366">
        <f>IFERROR(VLOOKUP(F53,Assumptions_Dashboard!$C$38:$D$72,2,FALSE),0)</f>
        <v>240000</v>
      </c>
      <c r="J53" s="179"/>
      <c r="K53" s="179"/>
      <c r="L53" s="179"/>
      <c r="M53" s="179"/>
      <c r="N53" s="179">
        <f t="shared" si="23"/>
        <v>6</v>
      </c>
      <c r="O53" s="179">
        <f t="shared" si="22"/>
        <v>6</v>
      </c>
      <c r="P53" s="179">
        <f t="shared" ref="P53:AF64" si="24">O53</f>
        <v>6</v>
      </c>
      <c r="Q53" s="179">
        <f t="shared" si="24"/>
        <v>6</v>
      </c>
      <c r="R53" s="179">
        <f t="shared" si="24"/>
        <v>6</v>
      </c>
      <c r="S53" s="179">
        <f t="shared" si="24"/>
        <v>6</v>
      </c>
      <c r="T53" s="179">
        <f t="shared" si="24"/>
        <v>6</v>
      </c>
      <c r="U53" s="179">
        <f t="shared" si="24"/>
        <v>6</v>
      </c>
      <c r="V53" s="179">
        <f t="shared" si="24"/>
        <v>6</v>
      </c>
      <c r="W53" s="179">
        <f t="shared" si="24"/>
        <v>6</v>
      </c>
      <c r="X53" s="179">
        <f t="shared" si="24"/>
        <v>6</v>
      </c>
      <c r="Y53" s="179">
        <f t="shared" si="24"/>
        <v>6</v>
      </c>
      <c r="Z53" s="179">
        <f t="shared" si="24"/>
        <v>6</v>
      </c>
      <c r="AA53" s="179">
        <f t="shared" si="24"/>
        <v>6</v>
      </c>
      <c r="AB53" s="179">
        <f t="shared" si="24"/>
        <v>6</v>
      </c>
      <c r="AC53" s="179">
        <f t="shared" si="24"/>
        <v>6</v>
      </c>
      <c r="AD53" s="179">
        <f t="shared" si="24"/>
        <v>6</v>
      </c>
      <c r="AE53" s="179">
        <f t="shared" si="24"/>
        <v>6</v>
      </c>
      <c r="AF53" s="179">
        <f t="shared" si="24"/>
        <v>6</v>
      </c>
    </row>
    <row r="54" spans="2:32">
      <c r="B54" s="121"/>
      <c r="C54" s="653" t="s">
        <v>1360</v>
      </c>
      <c r="D54" s="257"/>
      <c r="E54" s="121" t="s">
        <v>740</v>
      </c>
      <c r="F54" s="205" t="s">
        <v>230</v>
      </c>
      <c r="G54">
        <f>IF(Assumptions_Dashboard!$L$4="MDO",0,2*3)</f>
        <v>6</v>
      </c>
      <c r="H54" s="366">
        <f>IFERROR(VLOOKUP(F54,Assumptions_Dashboard!$C$38:$D$72,2,FALSE),0)</f>
        <v>240000</v>
      </c>
      <c r="J54" s="179"/>
      <c r="K54" s="179"/>
      <c r="L54" s="179"/>
      <c r="M54" s="179"/>
      <c r="N54" s="179">
        <f t="shared" si="23"/>
        <v>6</v>
      </c>
      <c r="O54" s="179">
        <f t="shared" si="22"/>
        <v>6</v>
      </c>
      <c r="P54" s="179">
        <f t="shared" si="24"/>
        <v>6</v>
      </c>
      <c r="Q54" s="179">
        <f t="shared" si="24"/>
        <v>6</v>
      </c>
      <c r="R54" s="179">
        <f t="shared" si="24"/>
        <v>6</v>
      </c>
      <c r="S54" s="179">
        <f t="shared" si="24"/>
        <v>6</v>
      </c>
      <c r="T54" s="179">
        <f t="shared" si="24"/>
        <v>6</v>
      </c>
      <c r="U54" s="179">
        <f t="shared" si="24"/>
        <v>6</v>
      </c>
      <c r="V54" s="179">
        <f t="shared" si="24"/>
        <v>6</v>
      </c>
      <c r="W54" s="179">
        <f t="shared" si="24"/>
        <v>6</v>
      </c>
      <c r="X54" s="179">
        <f t="shared" si="24"/>
        <v>6</v>
      </c>
      <c r="Y54" s="179">
        <f t="shared" si="24"/>
        <v>6</v>
      </c>
      <c r="Z54" s="179">
        <f t="shared" si="24"/>
        <v>6</v>
      </c>
      <c r="AA54" s="179">
        <f t="shared" si="24"/>
        <v>6</v>
      </c>
      <c r="AB54" s="179">
        <f t="shared" si="24"/>
        <v>6</v>
      </c>
      <c r="AC54" s="179">
        <f t="shared" si="24"/>
        <v>6</v>
      </c>
      <c r="AD54" s="179">
        <f t="shared" si="24"/>
        <v>6</v>
      </c>
      <c r="AE54" s="179">
        <f t="shared" si="24"/>
        <v>6</v>
      </c>
      <c r="AF54" s="179">
        <f t="shared" si="24"/>
        <v>6</v>
      </c>
    </row>
    <row r="55" spans="2:32">
      <c r="B55" s="121"/>
      <c r="C55" s="653" t="s">
        <v>1361</v>
      </c>
      <c r="D55" s="257"/>
      <c r="E55" s="121" t="s">
        <v>740</v>
      </c>
      <c r="F55" s="205" t="s">
        <v>230</v>
      </c>
      <c r="G55">
        <f>IF(Assumptions_Dashboard!$L$4="MDO",0,10)</f>
        <v>10</v>
      </c>
      <c r="H55" s="366">
        <f>IFERROR(VLOOKUP(F55,Assumptions_Dashboard!$C$38:$D$72,2,FALSE),0)</f>
        <v>240000</v>
      </c>
      <c r="J55" s="179"/>
      <c r="K55" s="179"/>
      <c r="L55" s="179"/>
      <c r="M55" s="179"/>
      <c r="N55" s="179">
        <f t="shared" si="23"/>
        <v>10</v>
      </c>
      <c r="O55" s="179">
        <f t="shared" si="22"/>
        <v>10</v>
      </c>
      <c r="P55" s="179">
        <f t="shared" si="24"/>
        <v>10</v>
      </c>
      <c r="Q55" s="179">
        <f t="shared" si="24"/>
        <v>10</v>
      </c>
      <c r="R55" s="179">
        <f t="shared" si="24"/>
        <v>10</v>
      </c>
      <c r="S55" s="179">
        <f t="shared" si="24"/>
        <v>10</v>
      </c>
      <c r="T55" s="179">
        <f t="shared" si="24"/>
        <v>10</v>
      </c>
      <c r="U55" s="179">
        <f t="shared" si="24"/>
        <v>10</v>
      </c>
      <c r="V55" s="179">
        <f t="shared" si="24"/>
        <v>10</v>
      </c>
      <c r="W55" s="179">
        <f t="shared" si="24"/>
        <v>10</v>
      </c>
      <c r="X55" s="179">
        <f t="shared" si="24"/>
        <v>10</v>
      </c>
      <c r="Y55" s="179">
        <f t="shared" si="24"/>
        <v>10</v>
      </c>
      <c r="Z55" s="179">
        <f t="shared" si="24"/>
        <v>10</v>
      </c>
      <c r="AA55" s="179">
        <f t="shared" si="24"/>
        <v>10</v>
      </c>
      <c r="AB55" s="179">
        <f t="shared" si="24"/>
        <v>10</v>
      </c>
      <c r="AC55" s="179">
        <f t="shared" si="24"/>
        <v>10</v>
      </c>
      <c r="AD55" s="179">
        <f t="shared" si="24"/>
        <v>10</v>
      </c>
      <c r="AE55" s="179">
        <f t="shared" si="24"/>
        <v>10</v>
      </c>
      <c r="AF55" s="179">
        <f t="shared" si="24"/>
        <v>10</v>
      </c>
    </row>
    <row r="56" spans="2:32">
      <c r="B56" s="121"/>
      <c r="C56" s="653" t="s">
        <v>1352</v>
      </c>
      <c r="D56" s="257"/>
      <c r="E56" s="121" t="s">
        <v>740</v>
      </c>
      <c r="F56" s="205" t="s">
        <v>230</v>
      </c>
      <c r="H56" s="366">
        <f>IFERROR(VLOOKUP(F56,Assumptions_Dashboard!$C$38:$D$72,2,FALSE),0)</f>
        <v>240000</v>
      </c>
      <c r="J56" s="179"/>
      <c r="K56" s="179"/>
      <c r="L56" s="179"/>
      <c r="M56" s="179"/>
      <c r="N56" s="179">
        <f t="shared" si="23"/>
        <v>0</v>
      </c>
      <c r="O56" s="179">
        <f t="shared" si="22"/>
        <v>0</v>
      </c>
      <c r="P56" s="179">
        <f t="shared" si="24"/>
        <v>0</v>
      </c>
      <c r="Q56" s="179">
        <f t="shared" si="24"/>
        <v>0</v>
      </c>
      <c r="R56" s="179">
        <f t="shared" si="24"/>
        <v>0</v>
      </c>
      <c r="S56" s="179">
        <f t="shared" si="24"/>
        <v>0</v>
      </c>
      <c r="T56" s="179">
        <f t="shared" si="24"/>
        <v>0</v>
      </c>
      <c r="U56" s="179">
        <f t="shared" si="24"/>
        <v>0</v>
      </c>
      <c r="V56" s="179">
        <f t="shared" si="24"/>
        <v>0</v>
      </c>
      <c r="W56" s="179">
        <f t="shared" si="24"/>
        <v>0</v>
      </c>
      <c r="X56" s="179">
        <f t="shared" si="24"/>
        <v>0</v>
      </c>
      <c r="Y56" s="179">
        <f t="shared" si="24"/>
        <v>0</v>
      </c>
      <c r="Z56" s="179">
        <f t="shared" si="24"/>
        <v>0</v>
      </c>
      <c r="AA56" s="179">
        <f t="shared" si="24"/>
        <v>0</v>
      </c>
      <c r="AB56" s="179">
        <f t="shared" si="24"/>
        <v>0</v>
      </c>
      <c r="AC56" s="179">
        <f t="shared" si="24"/>
        <v>0</v>
      </c>
      <c r="AD56" s="179">
        <f t="shared" si="24"/>
        <v>0</v>
      </c>
      <c r="AE56" s="179">
        <f t="shared" si="24"/>
        <v>0</v>
      </c>
      <c r="AF56" s="179">
        <f t="shared" si="24"/>
        <v>0</v>
      </c>
    </row>
    <row r="57" spans="2:32">
      <c r="B57" s="255" t="s">
        <v>1362</v>
      </c>
      <c r="C57" s="654" t="s">
        <v>1363</v>
      </c>
      <c r="D57" s="257" t="s">
        <v>1313</v>
      </c>
      <c r="E57" s="121" t="s">
        <v>740</v>
      </c>
      <c r="F57" s="205" t="s">
        <v>192</v>
      </c>
      <c r="G57" s="121">
        <v>1</v>
      </c>
      <c r="H57" s="366">
        <f>IFERROR(VLOOKUP(F57,Assumptions_Dashboard!$C$38:$D$72,2,FALSE),0)</f>
        <v>1235000</v>
      </c>
      <c r="J57" s="179"/>
      <c r="K57" s="179"/>
      <c r="L57" s="179"/>
      <c r="M57" s="179"/>
      <c r="N57" s="179">
        <f t="shared" si="23"/>
        <v>1</v>
      </c>
      <c r="O57" s="179">
        <f t="shared" si="22"/>
        <v>1</v>
      </c>
      <c r="P57" s="179">
        <f t="shared" si="24"/>
        <v>1</v>
      </c>
      <c r="Q57" s="179">
        <f t="shared" si="24"/>
        <v>1</v>
      </c>
      <c r="R57" s="179">
        <f t="shared" si="24"/>
        <v>1</v>
      </c>
      <c r="S57" s="179">
        <f t="shared" si="24"/>
        <v>1</v>
      </c>
      <c r="T57" s="179">
        <f t="shared" si="24"/>
        <v>1</v>
      </c>
      <c r="U57" s="179">
        <f t="shared" si="24"/>
        <v>1</v>
      </c>
      <c r="V57" s="179">
        <f t="shared" si="24"/>
        <v>1</v>
      </c>
      <c r="W57" s="179">
        <f t="shared" si="24"/>
        <v>1</v>
      </c>
      <c r="X57" s="179">
        <f t="shared" si="24"/>
        <v>1</v>
      </c>
      <c r="Y57" s="179">
        <f t="shared" si="24"/>
        <v>1</v>
      </c>
      <c r="Z57" s="179">
        <f t="shared" si="24"/>
        <v>1</v>
      </c>
      <c r="AA57" s="179">
        <f t="shared" si="24"/>
        <v>1</v>
      </c>
      <c r="AB57" s="179">
        <f t="shared" si="24"/>
        <v>1</v>
      </c>
      <c r="AC57" s="179">
        <f t="shared" si="24"/>
        <v>1</v>
      </c>
      <c r="AD57" s="179">
        <f t="shared" si="24"/>
        <v>1</v>
      </c>
      <c r="AE57" s="179">
        <f t="shared" si="24"/>
        <v>1</v>
      </c>
      <c r="AF57" s="179">
        <f t="shared" si="24"/>
        <v>1</v>
      </c>
    </row>
    <row r="58" spans="2:32">
      <c r="B58" s="121"/>
      <c r="C58" s="654" t="s">
        <v>1364</v>
      </c>
      <c r="D58" s="257" t="s">
        <v>1315</v>
      </c>
      <c r="E58" s="121" t="s">
        <v>740</v>
      </c>
      <c r="F58" s="205" t="s">
        <v>212</v>
      </c>
      <c r="G58" s="121">
        <f>IF(Assumptions_Dashboard!$L$4="MDO",0,3)</f>
        <v>3</v>
      </c>
      <c r="H58" s="366">
        <f>IFERROR(VLOOKUP(F58,Assumptions_Dashboard!$C$38:$D$72,2,FALSE),0)</f>
        <v>670000</v>
      </c>
      <c r="J58" s="179"/>
      <c r="K58" s="179"/>
      <c r="L58" s="179"/>
      <c r="M58" s="179"/>
      <c r="N58" s="179">
        <f t="shared" si="23"/>
        <v>3</v>
      </c>
      <c r="O58" s="179">
        <f t="shared" si="22"/>
        <v>3</v>
      </c>
      <c r="P58" s="179">
        <f t="shared" si="24"/>
        <v>3</v>
      </c>
      <c r="Q58" s="179">
        <f t="shared" si="24"/>
        <v>3</v>
      </c>
      <c r="R58" s="179">
        <f t="shared" si="24"/>
        <v>3</v>
      </c>
      <c r="S58" s="179">
        <f t="shared" si="24"/>
        <v>3</v>
      </c>
      <c r="T58" s="179">
        <f t="shared" si="24"/>
        <v>3</v>
      </c>
      <c r="U58" s="179">
        <f t="shared" si="24"/>
        <v>3</v>
      </c>
      <c r="V58" s="179">
        <f t="shared" si="24"/>
        <v>3</v>
      </c>
      <c r="W58" s="179">
        <f t="shared" si="24"/>
        <v>3</v>
      </c>
      <c r="X58" s="179">
        <f t="shared" si="24"/>
        <v>3</v>
      </c>
      <c r="Y58" s="179">
        <f t="shared" si="24"/>
        <v>3</v>
      </c>
      <c r="Z58" s="179">
        <f t="shared" si="24"/>
        <v>3</v>
      </c>
      <c r="AA58" s="179">
        <f t="shared" si="24"/>
        <v>3</v>
      </c>
      <c r="AB58" s="179">
        <f t="shared" si="24"/>
        <v>3</v>
      </c>
      <c r="AC58" s="179">
        <f t="shared" si="24"/>
        <v>3</v>
      </c>
      <c r="AD58" s="179">
        <f t="shared" si="24"/>
        <v>3</v>
      </c>
      <c r="AE58" s="179">
        <f t="shared" si="24"/>
        <v>3</v>
      </c>
      <c r="AF58" s="179">
        <f t="shared" si="24"/>
        <v>3</v>
      </c>
    </row>
    <row r="59" spans="2:32">
      <c r="B59" s="121"/>
      <c r="C59" s="654" t="s">
        <v>1365</v>
      </c>
      <c r="D59" s="257"/>
      <c r="E59" s="121" t="s">
        <v>740</v>
      </c>
      <c r="F59" s="205" t="s">
        <v>232</v>
      </c>
      <c r="G59" s="121">
        <f>IF(Assumptions_Dashboard!$L$4="MDO",0,E321)</f>
        <v>9</v>
      </c>
      <c r="H59" s="366">
        <f>IFERROR(VLOOKUP(F59,Assumptions_Dashboard!$C$38:$D$72,2,FALSE),0)</f>
        <v>320000</v>
      </c>
      <c r="J59" s="179"/>
      <c r="K59" s="179"/>
      <c r="L59" s="179"/>
      <c r="M59" s="179"/>
      <c r="N59" s="179">
        <f t="shared" si="23"/>
        <v>9</v>
      </c>
      <c r="O59" s="179">
        <f t="shared" si="22"/>
        <v>9</v>
      </c>
      <c r="P59" s="179">
        <f t="shared" si="24"/>
        <v>9</v>
      </c>
      <c r="Q59" s="179">
        <f t="shared" si="24"/>
        <v>9</v>
      </c>
      <c r="R59" s="179">
        <f t="shared" si="24"/>
        <v>9</v>
      </c>
      <c r="S59" s="179">
        <f t="shared" si="24"/>
        <v>9</v>
      </c>
      <c r="T59" s="179">
        <f t="shared" si="24"/>
        <v>9</v>
      </c>
      <c r="U59" s="179">
        <f t="shared" si="24"/>
        <v>9</v>
      </c>
      <c r="V59" s="179">
        <f t="shared" si="24"/>
        <v>9</v>
      </c>
      <c r="W59" s="179">
        <f t="shared" si="24"/>
        <v>9</v>
      </c>
      <c r="X59" s="179">
        <f t="shared" si="24"/>
        <v>9</v>
      </c>
      <c r="Y59" s="179">
        <f t="shared" si="24"/>
        <v>9</v>
      </c>
      <c r="Z59" s="179">
        <f t="shared" si="24"/>
        <v>9</v>
      </c>
      <c r="AA59" s="179">
        <f t="shared" si="24"/>
        <v>9</v>
      </c>
      <c r="AB59" s="179">
        <f t="shared" si="24"/>
        <v>9</v>
      </c>
      <c r="AC59" s="179">
        <f t="shared" si="24"/>
        <v>9</v>
      </c>
      <c r="AD59" s="179">
        <f t="shared" si="24"/>
        <v>9</v>
      </c>
      <c r="AE59" s="179">
        <f t="shared" si="24"/>
        <v>9</v>
      </c>
      <c r="AF59" s="179">
        <f t="shared" si="24"/>
        <v>9</v>
      </c>
    </row>
    <row r="60" spans="2:32">
      <c r="B60" s="121"/>
      <c r="C60" s="654" t="s">
        <v>1365</v>
      </c>
      <c r="D60" s="257"/>
      <c r="E60" s="121" t="s">
        <v>740</v>
      </c>
      <c r="F60" s="205" t="s">
        <v>234</v>
      </c>
      <c r="G60" s="121">
        <f>IF(Assumptions_Dashboard!$L$4="MDO",0,D321)</f>
        <v>45</v>
      </c>
      <c r="H60" s="366">
        <f>IFERROR(VLOOKUP(F60,Assumptions_Dashboard!$C$38:$D$72,2,FALSE),0)</f>
        <v>300000</v>
      </c>
      <c r="J60" s="179"/>
      <c r="K60" s="179"/>
      <c r="L60" s="179"/>
      <c r="M60" s="179"/>
      <c r="N60" s="179">
        <f t="shared" si="23"/>
        <v>45</v>
      </c>
      <c r="O60" s="179">
        <f t="shared" si="22"/>
        <v>45</v>
      </c>
      <c r="P60" s="179">
        <f t="shared" si="24"/>
        <v>45</v>
      </c>
      <c r="Q60" s="179">
        <f t="shared" si="24"/>
        <v>45</v>
      </c>
      <c r="R60" s="179">
        <f t="shared" si="24"/>
        <v>45</v>
      </c>
      <c r="S60" s="179">
        <f t="shared" si="24"/>
        <v>45</v>
      </c>
      <c r="T60" s="179">
        <f t="shared" si="24"/>
        <v>45</v>
      </c>
      <c r="U60" s="179">
        <f t="shared" si="24"/>
        <v>45</v>
      </c>
      <c r="V60" s="179">
        <f t="shared" si="24"/>
        <v>45</v>
      </c>
      <c r="W60" s="179">
        <f t="shared" si="24"/>
        <v>45</v>
      </c>
      <c r="X60" s="179">
        <f t="shared" si="24"/>
        <v>45</v>
      </c>
      <c r="Y60" s="179">
        <f t="shared" si="24"/>
        <v>45</v>
      </c>
      <c r="Z60" s="179">
        <f t="shared" si="24"/>
        <v>45</v>
      </c>
      <c r="AA60" s="179">
        <f t="shared" si="24"/>
        <v>45</v>
      </c>
      <c r="AB60" s="179">
        <f t="shared" si="24"/>
        <v>45</v>
      </c>
      <c r="AC60" s="179">
        <f t="shared" si="24"/>
        <v>45</v>
      </c>
      <c r="AD60" s="179">
        <f t="shared" si="24"/>
        <v>45</v>
      </c>
      <c r="AE60" s="179">
        <f t="shared" si="24"/>
        <v>45</v>
      </c>
      <c r="AF60" s="179">
        <f t="shared" si="24"/>
        <v>45</v>
      </c>
    </row>
    <row r="61" spans="2:32">
      <c r="B61" s="255" t="s">
        <v>1366</v>
      </c>
      <c r="C61" s="648" t="s">
        <v>1367</v>
      </c>
      <c r="D61" s="257"/>
      <c r="E61" s="121" t="s">
        <v>740</v>
      </c>
      <c r="F61" s="205" t="s">
        <v>213</v>
      </c>
      <c r="H61" s="366">
        <f>IFERROR(VLOOKUP(F61,Assumptions_Dashboard!$C$38:$D$72,2,FALSE),0)</f>
        <v>400000</v>
      </c>
      <c r="J61" s="179"/>
      <c r="K61" s="179"/>
      <c r="L61" s="179"/>
      <c r="M61" s="179"/>
      <c r="N61" s="179">
        <f t="shared" si="23"/>
        <v>0</v>
      </c>
      <c r="O61" s="179">
        <f t="shared" si="22"/>
        <v>0</v>
      </c>
      <c r="P61" s="179">
        <f t="shared" si="24"/>
        <v>0</v>
      </c>
      <c r="Q61" s="179">
        <f t="shared" si="24"/>
        <v>0</v>
      </c>
      <c r="R61" s="179">
        <f t="shared" si="24"/>
        <v>0</v>
      </c>
      <c r="S61" s="179">
        <f t="shared" si="24"/>
        <v>0</v>
      </c>
      <c r="T61" s="179">
        <f t="shared" si="24"/>
        <v>0</v>
      </c>
      <c r="U61" s="179">
        <f t="shared" si="24"/>
        <v>0</v>
      </c>
      <c r="V61" s="179">
        <f t="shared" si="24"/>
        <v>0</v>
      </c>
      <c r="W61" s="179">
        <f t="shared" si="24"/>
        <v>0</v>
      </c>
      <c r="X61" s="179">
        <f t="shared" si="24"/>
        <v>0</v>
      </c>
      <c r="Y61" s="179">
        <f t="shared" si="24"/>
        <v>0</v>
      </c>
      <c r="Z61" s="179">
        <f t="shared" si="24"/>
        <v>0</v>
      </c>
      <c r="AA61" s="179">
        <f t="shared" si="24"/>
        <v>0</v>
      </c>
      <c r="AB61" s="179">
        <f t="shared" si="24"/>
        <v>0</v>
      </c>
      <c r="AC61" s="179">
        <f t="shared" si="24"/>
        <v>0</v>
      </c>
      <c r="AD61" s="179">
        <f t="shared" si="24"/>
        <v>0</v>
      </c>
      <c r="AE61" s="179">
        <f t="shared" si="24"/>
        <v>0</v>
      </c>
      <c r="AF61" s="179">
        <f t="shared" si="24"/>
        <v>0</v>
      </c>
    </row>
    <row r="62" spans="2:32">
      <c r="B62" s="121"/>
      <c r="C62" s="648" t="s">
        <v>1368</v>
      </c>
      <c r="D62" s="257"/>
      <c r="E62" s="121" t="s">
        <v>740</v>
      </c>
      <c r="F62" s="205" t="s">
        <v>230</v>
      </c>
      <c r="G62">
        <f>IF(Assumptions_Dashboard!$L$4="MDO",0,10)</f>
        <v>10</v>
      </c>
      <c r="H62" s="366">
        <f>IFERROR(VLOOKUP(F62,Assumptions_Dashboard!$C$38:$D$72,2,FALSE),0)</f>
        <v>240000</v>
      </c>
      <c r="J62" s="179"/>
      <c r="K62" s="179"/>
      <c r="L62" s="179"/>
      <c r="M62" s="179"/>
      <c r="N62" s="179">
        <f t="shared" si="23"/>
        <v>10</v>
      </c>
      <c r="O62" s="179">
        <f t="shared" si="22"/>
        <v>10</v>
      </c>
      <c r="P62" s="179">
        <f t="shared" si="24"/>
        <v>10</v>
      </c>
      <c r="Q62" s="179">
        <f t="shared" si="24"/>
        <v>10</v>
      </c>
      <c r="R62" s="179">
        <f t="shared" si="24"/>
        <v>10</v>
      </c>
      <c r="S62" s="179">
        <f t="shared" si="24"/>
        <v>10</v>
      </c>
      <c r="T62" s="179">
        <f t="shared" si="24"/>
        <v>10</v>
      </c>
      <c r="U62" s="179">
        <f t="shared" si="24"/>
        <v>10</v>
      </c>
      <c r="V62" s="179">
        <f t="shared" si="24"/>
        <v>10</v>
      </c>
      <c r="W62" s="179">
        <f t="shared" si="24"/>
        <v>10</v>
      </c>
      <c r="X62" s="179">
        <f t="shared" si="24"/>
        <v>10</v>
      </c>
      <c r="Y62" s="179">
        <f t="shared" si="24"/>
        <v>10</v>
      </c>
      <c r="Z62" s="179">
        <f t="shared" si="24"/>
        <v>10</v>
      </c>
      <c r="AA62" s="179">
        <f t="shared" si="24"/>
        <v>10</v>
      </c>
      <c r="AB62" s="179">
        <f t="shared" si="24"/>
        <v>10</v>
      </c>
      <c r="AC62" s="179">
        <f t="shared" si="24"/>
        <v>10</v>
      </c>
      <c r="AD62" s="179">
        <f t="shared" si="24"/>
        <v>10</v>
      </c>
      <c r="AE62" s="179">
        <f t="shared" si="24"/>
        <v>10</v>
      </c>
      <c r="AF62" s="179">
        <f t="shared" si="24"/>
        <v>10</v>
      </c>
    </row>
    <row r="63" spans="2:32">
      <c r="B63" s="121"/>
      <c r="C63" s="648" t="s">
        <v>1369</v>
      </c>
      <c r="D63" s="257"/>
      <c r="E63" s="121" t="s">
        <v>740</v>
      </c>
      <c r="F63" s="205" t="s">
        <v>228</v>
      </c>
      <c r="H63" s="366">
        <f>IFERROR(VLOOKUP(F63,Assumptions_Dashboard!$C$38:$D$72,2,FALSE),0)</f>
        <v>300000</v>
      </c>
      <c r="J63" s="179"/>
      <c r="K63" s="179"/>
      <c r="L63" s="179"/>
      <c r="M63" s="179"/>
      <c r="N63" s="179">
        <f t="shared" si="23"/>
        <v>0</v>
      </c>
      <c r="O63" s="179">
        <f t="shared" si="22"/>
        <v>0</v>
      </c>
      <c r="P63" s="179">
        <f t="shared" si="24"/>
        <v>0</v>
      </c>
      <c r="Q63" s="179">
        <f t="shared" si="24"/>
        <v>0</v>
      </c>
      <c r="R63" s="179">
        <f t="shared" si="24"/>
        <v>0</v>
      </c>
      <c r="S63" s="179">
        <f t="shared" si="24"/>
        <v>0</v>
      </c>
      <c r="T63" s="179">
        <f t="shared" si="24"/>
        <v>0</v>
      </c>
      <c r="U63" s="179">
        <f t="shared" si="24"/>
        <v>0</v>
      </c>
      <c r="V63" s="179">
        <f t="shared" si="24"/>
        <v>0</v>
      </c>
      <c r="W63" s="179">
        <f t="shared" si="24"/>
        <v>0</v>
      </c>
      <c r="X63" s="179">
        <f t="shared" si="24"/>
        <v>0</v>
      </c>
      <c r="Y63" s="179">
        <f t="shared" si="24"/>
        <v>0</v>
      </c>
      <c r="Z63" s="179">
        <f t="shared" si="24"/>
        <v>0</v>
      </c>
      <c r="AA63" s="179">
        <f t="shared" si="24"/>
        <v>0</v>
      </c>
      <c r="AB63" s="179">
        <f t="shared" si="24"/>
        <v>0</v>
      </c>
      <c r="AC63" s="179">
        <f t="shared" si="24"/>
        <v>0</v>
      </c>
      <c r="AD63" s="179">
        <f t="shared" si="24"/>
        <v>0</v>
      </c>
      <c r="AE63" s="179">
        <f t="shared" si="24"/>
        <v>0</v>
      </c>
      <c r="AF63" s="179">
        <f t="shared" si="24"/>
        <v>0</v>
      </c>
    </row>
    <row r="64" spans="2:32">
      <c r="B64" s="121"/>
      <c r="C64" s="648" t="s">
        <v>1370</v>
      </c>
      <c r="D64" s="257"/>
      <c r="E64" s="121" t="s">
        <v>740</v>
      </c>
      <c r="F64" s="205" t="s">
        <v>230</v>
      </c>
      <c r="H64" s="366">
        <f>IFERROR(VLOOKUP(F64,Assumptions_Dashboard!$C$38:$D$72,2,FALSE),0)</f>
        <v>240000</v>
      </c>
      <c r="J64" s="179"/>
      <c r="K64" s="179"/>
      <c r="L64" s="179"/>
      <c r="M64" s="179"/>
      <c r="N64" s="179">
        <f t="shared" si="23"/>
        <v>0</v>
      </c>
      <c r="O64" s="179">
        <f t="shared" si="22"/>
        <v>0</v>
      </c>
      <c r="P64" s="179">
        <f t="shared" si="24"/>
        <v>0</v>
      </c>
      <c r="Q64" s="179">
        <f t="shared" si="24"/>
        <v>0</v>
      </c>
      <c r="R64" s="179">
        <f t="shared" si="24"/>
        <v>0</v>
      </c>
      <c r="S64" s="179">
        <f t="shared" si="24"/>
        <v>0</v>
      </c>
      <c r="T64" s="179">
        <f t="shared" si="24"/>
        <v>0</v>
      </c>
      <c r="U64" s="179">
        <f t="shared" si="24"/>
        <v>0</v>
      </c>
      <c r="V64" s="179">
        <f t="shared" si="24"/>
        <v>0</v>
      </c>
      <c r="W64" s="179">
        <f t="shared" si="24"/>
        <v>0</v>
      </c>
      <c r="X64" s="179">
        <f t="shared" si="24"/>
        <v>0</v>
      </c>
      <c r="Y64" s="179">
        <f t="shared" si="24"/>
        <v>0</v>
      </c>
      <c r="Z64" s="179">
        <f t="shared" si="24"/>
        <v>0</v>
      </c>
      <c r="AA64" s="179">
        <f t="shared" si="24"/>
        <v>0</v>
      </c>
      <c r="AB64" s="179">
        <f t="shared" si="24"/>
        <v>0</v>
      </c>
      <c r="AC64" s="179">
        <f t="shared" ref="AC64:AF75" si="25">AB64</f>
        <v>0</v>
      </c>
      <c r="AD64" s="179">
        <f t="shared" si="25"/>
        <v>0</v>
      </c>
      <c r="AE64" s="179">
        <f t="shared" si="25"/>
        <v>0</v>
      </c>
      <c r="AF64" s="179">
        <f t="shared" si="25"/>
        <v>0</v>
      </c>
    </row>
    <row r="65" spans="2:32">
      <c r="B65" s="255" t="s">
        <v>1371</v>
      </c>
      <c r="C65" s="649" t="s">
        <v>1372</v>
      </c>
      <c r="D65" s="257" t="s">
        <v>1336</v>
      </c>
      <c r="E65" s="121" t="s">
        <v>740</v>
      </c>
      <c r="F65" s="205" t="s">
        <v>194</v>
      </c>
      <c r="G65">
        <f>IF(Assumptions_Dashboard!$L$4="MDO",0,2)</f>
        <v>2</v>
      </c>
      <c r="H65" s="366">
        <f>IFERROR(VLOOKUP(F65,Assumptions_Dashboard!$C$38:$D$72,2,FALSE),0)</f>
        <v>960000</v>
      </c>
      <c r="J65" s="179">
        <f>G65</f>
        <v>2</v>
      </c>
      <c r="K65" s="179">
        <f>J65</f>
        <v>2</v>
      </c>
      <c r="L65" s="179">
        <f>K65</f>
        <v>2</v>
      </c>
      <c r="M65" s="179">
        <f>L65</f>
        <v>2</v>
      </c>
      <c r="N65" s="179">
        <f>M65</f>
        <v>2</v>
      </c>
      <c r="O65" s="179">
        <f t="shared" si="22"/>
        <v>2</v>
      </c>
      <c r="P65" s="179">
        <f t="shared" ref="P65:AB75" si="26">O65</f>
        <v>2</v>
      </c>
      <c r="Q65" s="179">
        <f t="shared" si="26"/>
        <v>2</v>
      </c>
      <c r="R65" s="179">
        <f t="shared" si="26"/>
        <v>2</v>
      </c>
      <c r="S65" s="179">
        <f t="shared" si="26"/>
        <v>2</v>
      </c>
      <c r="T65" s="179">
        <f t="shared" si="26"/>
        <v>2</v>
      </c>
      <c r="U65" s="179">
        <f t="shared" si="26"/>
        <v>2</v>
      </c>
      <c r="V65" s="179">
        <f t="shared" si="26"/>
        <v>2</v>
      </c>
      <c r="W65" s="179">
        <f t="shared" si="26"/>
        <v>2</v>
      </c>
      <c r="X65" s="179">
        <f t="shared" si="26"/>
        <v>2</v>
      </c>
      <c r="Y65" s="179">
        <f t="shared" si="26"/>
        <v>2</v>
      </c>
      <c r="Z65" s="179">
        <f t="shared" si="26"/>
        <v>2</v>
      </c>
      <c r="AA65" s="179">
        <f t="shared" si="26"/>
        <v>2</v>
      </c>
      <c r="AB65" s="179">
        <f t="shared" si="26"/>
        <v>2</v>
      </c>
      <c r="AC65" s="179">
        <f t="shared" si="25"/>
        <v>2</v>
      </c>
      <c r="AD65" s="179">
        <f t="shared" si="25"/>
        <v>2</v>
      </c>
      <c r="AE65" s="179">
        <f t="shared" si="25"/>
        <v>2</v>
      </c>
      <c r="AF65" s="179">
        <f t="shared" si="25"/>
        <v>2</v>
      </c>
    </row>
    <row r="66" spans="2:32">
      <c r="B66" s="121"/>
      <c r="C66" s="649" t="s">
        <v>1373</v>
      </c>
      <c r="D66" s="257"/>
      <c r="E66" s="121" t="s">
        <v>740</v>
      </c>
      <c r="F66" s="663" t="s">
        <v>218</v>
      </c>
      <c r="G66">
        <f>IF(Assumptions_Dashboard!$L$4="MDO",0,2)</f>
        <v>2</v>
      </c>
      <c r="H66" s="366">
        <f>IFERROR(VLOOKUP(F66,Assumptions_Dashboard!$C$38:$D$72,2,FALSE),0)</f>
        <v>600000</v>
      </c>
      <c r="J66" s="179"/>
      <c r="K66" s="179"/>
      <c r="L66" s="179"/>
      <c r="M66" s="179">
        <f>G66</f>
        <v>2</v>
      </c>
      <c r="N66" s="179">
        <f>M66</f>
        <v>2</v>
      </c>
      <c r="O66" s="179">
        <f t="shared" si="22"/>
        <v>2</v>
      </c>
      <c r="P66" s="179">
        <f t="shared" si="26"/>
        <v>2</v>
      </c>
      <c r="Q66" s="179">
        <f t="shared" si="26"/>
        <v>2</v>
      </c>
      <c r="R66" s="179">
        <f t="shared" si="26"/>
        <v>2</v>
      </c>
      <c r="S66" s="179">
        <f t="shared" si="26"/>
        <v>2</v>
      </c>
      <c r="T66" s="179">
        <f t="shared" si="26"/>
        <v>2</v>
      </c>
      <c r="U66" s="179">
        <f t="shared" si="26"/>
        <v>2</v>
      </c>
      <c r="V66" s="179">
        <f t="shared" si="26"/>
        <v>2</v>
      </c>
      <c r="W66" s="179">
        <f t="shared" si="26"/>
        <v>2</v>
      </c>
      <c r="X66" s="179">
        <f t="shared" si="26"/>
        <v>2</v>
      </c>
      <c r="Y66" s="179">
        <f t="shared" si="26"/>
        <v>2</v>
      </c>
      <c r="Z66" s="179">
        <f t="shared" si="26"/>
        <v>2</v>
      </c>
      <c r="AA66" s="179">
        <f t="shared" si="26"/>
        <v>2</v>
      </c>
      <c r="AB66" s="179">
        <f t="shared" si="26"/>
        <v>2</v>
      </c>
      <c r="AC66" s="179">
        <f t="shared" si="25"/>
        <v>2</v>
      </c>
      <c r="AD66" s="179">
        <f t="shared" si="25"/>
        <v>2</v>
      </c>
      <c r="AE66" s="179">
        <f t="shared" si="25"/>
        <v>2</v>
      </c>
      <c r="AF66" s="179">
        <f t="shared" si="25"/>
        <v>2</v>
      </c>
    </row>
    <row r="67" spans="2:32">
      <c r="B67" s="255" t="s">
        <v>1374</v>
      </c>
      <c r="C67" s="637" t="s">
        <v>1375</v>
      </c>
      <c r="D67" s="257" t="s">
        <v>1315</v>
      </c>
      <c r="E67" s="121" t="s">
        <v>740</v>
      </c>
      <c r="F67" s="205" t="s">
        <v>194</v>
      </c>
      <c r="G67">
        <v>1</v>
      </c>
      <c r="H67" s="366">
        <f>IFERROR(VLOOKUP(F67,Assumptions_Dashboard!$C$38:$D$72,2,FALSE),0)</f>
        <v>960000</v>
      </c>
      <c r="J67" s="179">
        <f>G67</f>
        <v>1</v>
      </c>
      <c r="K67" s="179">
        <f>J67</f>
        <v>1</v>
      </c>
      <c r="L67" s="179">
        <f>K67</f>
        <v>1</v>
      </c>
      <c r="M67" s="179">
        <f>L67</f>
        <v>1</v>
      </c>
      <c r="N67" s="179">
        <f>M67</f>
        <v>1</v>
      </c>
      <c r="O67" s="179">
        <f t="shared" si="22"/>
        <v>1</v>
      </c>
      <c r="P67" s="179">
        <f t="shared" si="26"/>
        <v>1</v>
      </c>
      <c r="Q67" s="179">
        <f t="shared" si="26"/>
        <v>1</v>
      </c>
      <c r="R67" s="179">
        <f t="shared" si="26"/>
        <v>1</v>
      </c>
      <c r="S67" s="179">
        <f t="shared" si="26"/>
        <v>1</v>
      </c>
      <c r="T67" s="179">
        <f t="shared" si="26"/>
        <v>1</v>
      </c>
      <c r="U67" s="179">
        <f t="shared" si="26"/>
        <v>1</v>
      </c>
      <c r="V67" s="179">
        <f t="shared" si="26"/>
        <v>1</v>
      </c>
      <c r="W67" s="179">
        <f t="shared" si="26"/>
        <v>1</v>
      </c>
      <c r="X67" s="179">
        <f t="shared" si="26"/>
        <v>1</v>
      </c>
      <c r="Y67" s="179">
        <f t="shared" si="26"/>
        <v>1</v>
      </c>
      <c r="Z67" s="179">
        <f t="shared" si="26"/>
        <v>1</v>
      </c>
      <c r="AA67" s="179">
        <f t="shared" si="26"/>
        <v>1</v>
      </c>
      <c r="AB67" s="179">
        <f t="shared" si="26"/>
        <v>1</v>
      </c>
      <c r="AC67" s="179">
        <f t="shared" si="25"/>
        <v>1</v>
      </c>
      <c r="AD67" s="179">
        <f t="shared" si="25"/>
        <v>1</v>
      </c>
      <c r="AE67" s="179">
        <f t="shared" si="25"/>
        <v>1</v>
      </c>
      <c r="AF67" s="179">
        <f t="shared" si="25"/>
        <v>1</v>
      </c>
    </row>
    <row r="68" spans="2:32">
      <c r="B68" s="121"/>
      <c r="C68" s="637" t="s">
        <v>1376</v>
      </c>
      <c r="D68" s="257" t="s">
        <v>1336</v>
      </c>
      <c r="E68" s="121" t="s">
        <v>740</v>
      </c>
      <c r="F68" s="205" t="s">
        <v>226</v>
      </c>
      <c r="G68">
        <f>IF(Assumptions_Dashboard!$L$4="MDO",0,1)</f>
        <v>1</v>
      </c>
      <c r="H68" s="366">
        <f>IFERROR(VLOOKUP(F68,Assumptions_Dashboard!$C$38:$D$72,2,FALSE),0)</f>
        <v>360000</v>
      </c>
      <c r="J68" s="179"/>
      <c r="K68" s="179"/>
      <c r="L68" s="179"/>
      <c r="M68" s="179"/>
      <c r="N68" s="179">
        <f t="shared" ref="N68:N75" si="27">G68</f>
        <v>1</v>
      </c>
      <c r="O68" s="179">
        <f t="shared" si="22"/>
        <v>1</v>
      </c>
      <c r="P68" s="179">
        <f t="shared" si="26"/>
        <v>1</v>
      </c>
      <c r="Q68" s="179">
        <f t="shared" si="26"/>
        <v>1</v>
      </c>
      <c r="R68" s="179">
        <f t="shared" si="26"/>
        <v>1</v>
      </c>
      <c r="S68" s="179">
        <f t="shared" si="26"/>
        <v>1</v>
      </c>
      <c r="T68" s="179">
        <f t="shared" si="26"/>
        <v>1</v>
      </c>
      <c r="U68" s="179">
        <f t="shared" si="26"/>
        <v>1</v>
      </c>
      <c r="V68" s="179">
        <f t="shared" si="26"/>
        <v>1</v>
      </c>
      <c r="W68" s="179">
        <f t="shared" si="26"/>
        <v>1</v>
      </c>
      <c r="X68" s="179">
        <f t="shared" si="26"/>
        <v>1</v>
      </c>
      <c r="Y68" s="179">
        <f t="shared" si="26"/>
        <v>1</v>
      </c>
      <c r="Z68" s="179">
        <f t="shared" si="26"/>
        <v>1</v>
      </c>
      <c r="AA68" s="179">
        <f t="shared" si="26"/>
        <v>1</v>
      </c>
      <c r="AB68" s="179">
        <f t="shared" si="26"/>
        <v>1</v>
      </c>
      <c r="AC68" s="179">
        <f t="shared" si="25"/>
        <v>1</v>
      </c>
      <c r="AD68" s="179">
        <f t="shared" si="25"/>
        <v>1</v>
      </c>
      <c r="AE68" s="179">
        <f t="shared" si="25"/>
        <v>1</v>
      </c>
      <c r="AF68" s="179">
        <f t="shared" si="25"/>
        <v>1</v>
      </c>
    </row>
    <row r="69" spans="2:32">
      <c r="B69" s="255" t="s">
        <v>1377</v>
      </c>
      <c r="C69" s="121" t="s">
        <v>1378</v>
      </c>
      <c r="D69" s="257"/>
      <c r="E69" s="121" t="s">
        <v>740</v>
      </c>
      <c r="F69" s="205"/>
      <c r="H69" s="366">
        <f>IFERROR(VLOOKUP(F69,Assumptions_Dashboard!$C$38:$D$72,2,FALSE),0)</f>
        <v>0</v>
      </c>
      <c r="J69" s="179"/>
      <c r="K69" s="179"/>
      <c r="L69" s="179"/>
      <c r="M69" s="179"/>
      <c r="N69" s="179">
        <f t="shared" si="27"/>
        <v>0</v>
      </c>
      <c r="O69" s="179">
        <f t="shared" si="22"/>
        <v>0</v>
      </c>
      <c r="P69" s="179">
        <f t="shared" si="26"/>
        <v>0</v>
      </c>
      <c r="Q69" s="179">
        <f t="shared" si="26"/>
        <v>0</v>
      </c>
      <c r="R69" s="179">
        <f t="shared" si="26"/>
        <v>0</v>
      </c>
      <c r="S69" s="179">
        <f t="shared" si="26"/>
        <v>0</v>
      </c>
      <c r="T69" s="179">
        <f t="shared" si="26"/>
        <v>0</v>
      </c>
      <c r="U69" s="179">
        <f t="shared" si="26"/>
        <v>0</v>
      </c>
      <c r="V69" s="179">
        <f t="shared" si="26"/>
        <v>0</v>
      </c>
      <c r="W69" s="179">
        <f t="shared" si="26"/>
        <v>0</v>
      </c>
      <c r="X69" s="179">
        <f t="shared" si="26"/>
        <v>0</v>
      </c>
      <c r="Y69" s="179">
        <f t="shared" si="26"/>
        <v>0</v>
      </c>
      <c r="Z69" s="179">
        <f t="shared" si="26"/>
        <v>0</v>
      </c>
      <c r="AA69" s="179">
        <f t="shared" si="26"/>
        <v>0</v>
      </c>
      <c r="AB69" s="179">
        <f t="shared" si="26"/>
        <v>0</v>
      </c>
      <c r="AC69" s="179">
        <f t="shared" si="25"/>
        <v>0</v>
      </c>
      <c r="AD69" s="179">
        <f t="shared" si="25"/>
        <v>0</v>
      </c>
      <c r="AE69" s="179">
        <f t="shared" si="25"/>
        <v>0</v>
      </c>
      <c r="AF69" s="179">
        <f t="shared" si="25"/>
        <v>0</v>
      </c>
    </row>
    <row r="70" spans="2:32">
      <c r="B70" s="121"/>
      <c r="C70" s="121" t="s">
        <v>1379</v>
      </c>
      <c r="D70" s="257"/>
      <c r="E70" s="121" t="s">
        <v>740</v>
      </c>
      <c r="F70" s="205"/>
      <c r="H70" s="366">
        <f>IFERROR(VLOOKUP(F70,Assumptions_Dashboard!$C$38:$D$72,2,FALSE),0)</f>
        <v>0</v>
      </c>
      <c r="J70" s="179"/>
      <c r="K70" s="179"/>
      <c r="L70" s="179"/>
      <c r="M70" s="179"/>
      <c r="N70" s="179">
        <f t="shared" si="27"/>
        <v>0</v>
      </c>
      <c r="O70" s="179">
        <f t="shared" si="22"/>
        <v>0</v>
      </c>
      <c r="P70" s="179">
        <f t="shared" si="26"/>
        <v>0</v>
      </c>
      <c r="Q70" s="179">
        <f t="shared" si="26"/>
        <v>0</v>
      </c>
      <c r="R70" s="179">
        <f t="shared" si="26"/>
        <v>0</v>
      </c>
      <c r="S70" s="179">
        <f t="shared" si="26"/>
        <v>0</v>
      </c>
      <c r="T70" s="179">
        <f t="shared" si="26"/>
        <v>0</v>
      </c>
      <c r="U70" s="179">
        <f t="shared" si="26"/>
        <v>0</v>
      </c>
      <c r="V70" s="179">
        <f t="shared" si="26"/>
        <v>0</v>
      </c>
      <c r="W70" s="179">
        <f t="shared" si="26"/>
        <v>0</v>
      </c>
      <c r="X70" s="179">
        <f t="shared" si="26"/>
        <v>0</v>
      </c>
      <c r="Y70" s="179">
        <f t="shared" si="26"/>
        <v>0</v>
      </c>
      <c r="Z70" s="179">
        <f t="shared" si="26"/>
        <v>0</v>
      </c>
      <c r="AA70" s="179">
        <f t="shared" si="26"/>
        <v>0</v>
      </c>
      <c r="AB70" s="179">
        <f t="shared" si="26"/>
        <v>0</v>
      </c>
      <c r="AC70" s="179">
        <f t="shared" si="25"/>
        <v>0</v>
      </c>
      <c r="AD70" s="179">
        <f t="shared" si="25"/>
        <v>0</v>
      </c>
      <c r="AE70" s="179">
        <f t="shared" si="25"/>
        <v>0</v>
      </c>
      <c r="AF70" s="179">
        <f t="shared" si="25"/>
        <v>0</v>
      </c>
    </row>
    <row r="71" spans="2:32">
      <c r="B71" s="121"/>
      <c r="C71" s="121" t="s">
        <v>1380</v>
      </c>
      <c r="D71" s="257"/>
      <c r="E71" s="121" t="s">
        <v>740</v>
      </c>
      <c r="F71" s="205"/>
      <c r="H71" s="366">
        <f>IFERROR(VLOOKUP(F71,Assumptions_Dashboard!$C$38:$D$72,2,FALSE),0)</f>
        <v>0</v>
      </c>
      <c r="J71" s="179"/>
      <c r="K71" s="179"/>
      <c r="L71" s="179"/>
      <c r="M71" s="179"/>
      <c r="N71" s="179">
        <f t="shared" si="27"/>
        <v>0</v>
      </c>
      <c r="O71" s="179">
        <f t="shared" si="22"/>
        <v>0</v>
      </c>
      <c r="P71" s="179">
        <f t="shared" si="26"/>
        <v>0</v>
      </c>
      <c r="Q71" s="179">
        <f t="shared" si="26"/>
        <v>0</v>
      </c>
      <c r="R71" s="179">
        <f t="shared" si="26"/>
        <v>0</v>
      </c>
      <c r="S71" s="179">
        <f t="shared" si="26"/>
        <v>0</v>
      </c>
      <c r="T71" s="179">
        <f t="shared" si="26"/>
        <v>0</v>
      </c>
      <c r="U71" s="179">
        <f t="shared" si="26"/>
        <v>0</v>
      </c>
      <c r="V71" s="179">
        <f t="shared" si="26"/>
        <v>0</v>
      </c>
      <c r="W71" s="179">
        <f t="shared" si="26"/>
        <v>0</v>
      </c>
      <c r="X71" s="179">
        <f t="shared" si="26"/>
        <v>0</v>
      </c>
      <c r="Y71" s="179">
        <f t="shared" si="26"/>
        <v>0</v>
      </c>
      <c r="Z71" s="179">
        <f t="shared" si="26"/>
        <v>0</v>
      </c>
      <c r="AA71" s="179">
        <f t="shared" si="26"/>
        <v>0</v>
      </c>
      <c r="AB71" s="179">
        <f t="shared" si="26"/>
        <v>0</v>
      </c>
      <c r="AC71" s="179">
        <f t="shared" si="25"/>
        <v>0</v>
      </c>
      <c r="AD71" s="179">
        <f t="shared" si="25"/>
        <v>0</v>
      </c>
      <c r="AE71" s="179">
        <f t="shared" si="25"/>
        <v>0</v>
      </c>
      <c r="AF71" s="179">
        <f t="shared" si="25"/>
        <v>0</v>
      </c>
    </row>
    <row r="72" spans="2:32">
      <c r="B72" s="121"/>
      <c r="C72" s="121" t="s">
        <v>1347</v>
      </c>
      <c r="D72" s="257"/>
      <c r="E72" s="121" t="s">
        <v>740</v>
      </c>
      <c r="F72" s="205"/>
      <c r="H72" s="366">
        <f>IFERROR(VLOOKUP(F72,Assumptions_Dashboard!$C$38:$D$72,2,FALSE),0)</f>
        <v>0</v>
      </c>
      <c r="J72" s="179"/>
      <c r="K72" s="179"/>
      <c r="L72" s="179"/>
      <c r="M72" s="179"/>
      <c r="N72" s="179">
        <f t="shared" si="27"/>
        <v>0</v>
      </c>
      <c r="O72" s="179">
        <f t="shared" si="22"/>
        <v>0</v>
      </c>
      <c r="P72" s="179">
        <f t="shared" si="26"/>
        <v>0</v>
      </c>
      <c r="Q72" s="179">
        <f t="shared" si="26"/>
        <v>0</v>
      </c>
      <c r="R72" s="179">
        <f t="shared" si="26"/>
        <v>0</v>
      </c>
      <c r="S72" s="179">
        <f t="shared" si="26"/>
        <v>0</v>
      </c>
      <c r="T72" s="179">
        <f t="shared" si="26"/>
        <v>0</v>
      </c>
      <c r="U72" s="179">
        <f t="shared" si="26"/>
        <v>0</v>
      </c>
      <c r="V72" s="179">
        <f t="shared" si="26"/>
        <v>0</v>
      </c>
      <c r="W72" s="179">
        <f t="shared" si="26"/>
        <v>0</v>
      </c>
      <c r="X72" s="179">
        <f t="shared" si="26"/>
        <v>0</v>
      </c>
      <c r="Y72" s="179">
        <f t="shared" si="26"/>
        <v>0</v>
      </c>
      <c r="Z72" s="179">
        <f t="shared" si="26"/>
        <v>0</v>
      </c>
      <c r="AA72" s="179">
        <f t="shared" si="26"/>
        <v>0</v>
      </c>
      <c r="AB72" s="179">
        <f t="shared" si="26"/>
        <v>0</v>
      </c>
      <c r="AC72" s="179">
        <f t="shared" si="25"/>
        <v>0</v>
      </c>
      <c r="AD72" s="179">
        <f t="shared" si="25"/>
        <v>0</v>
      </c>
      <c r="AE72" s="179">
        <f t="shared" si="25"/>
        <v>0</v>
      </c>
      <c r="AF72" s="179">
        <f t="shared" si="25"/>
        <v>0</v>
      </c>
    </row>
    <row r="73" spans="2:32">
      <c r="B73" s="121"/>
      <c r="C73" s="121" t="s">
        <v>1348</v>
      </c>
      <c r="D73" s="257"/>
      <c r="E73" s="121" t="s">
        <v>740</v>
      </c>
      <c r="F73" s="205"/>
      <c r="H73" s="366">
        <f>IFERROR(VLOOKUP(F73,Assumptions_Dashboard!$C$38:$D$72,2,FALSE),0)</f>
        <v>0</v>
      </c>
      <c r="J73" s="179"/>
      <c r="K73" s="179"/>
      <c r="L73" s="179"/>
      <c r="M73" s="179"/>
      <c r="N73" s="179">
        <f t="shared" si="27"/>
        <v>0</v>
      </c>
      <c r="O73" s="179">
        <f t="shared" si="22"/>
        <v>0</v>
      </c>
      <c r="P73" s="179">
        <f t="shared" si="26"/>
        <v>0</v>
      </c>
      <c r="Q73" s="179">
        <f t="shared" si="26"/>
        <v>0</v>
      </c>
      <c r="R73" s="179">
        <f t="shared" si="26"/>
        <v>0</v>
      </c>
      <c r="S73" s="179">
        <f t="shared" si="26"/>
        <v>0</v>
      </c>
      <c r="T73" s="179">
        <f t="shared" si="26"/>
        <v>0</v>
      </c>
      <c r="U73" s="179">
        <f t="shared" si="26"/>
        <v>0</v>
      </c>
      <c r="V73" s="179">
        <f t="shared" si="26"/>
        <v>0</v>
      </c>
      <c r="W73" s="179">
        <f t="shared" si="26"/>
        <v>0</v>
      </c>
      <c r="X73" s="179">
        <f t="shared" si="26"/>
        <v>0</v>
      </c>
      <c r="Y73" s="179">
        <f t="shared" si="26"/>
        <v>0</v>
      </c>
      <c r="Z73" s="179">
        <f t="shared" si="26"/>
        <v>0</v>
      </c>
      <c r="AA73" s="179">
        <f t="shared" si="26"/>
        <v>0</v>
      </c>
      <c r="AB73" s="179">
        <f t="shared" si="26"/>
        <v>0</v>
      </c>
      <c r="AC73" s="179">
        <f t="shared" si="25"/>
        <v>0</v>
      </c>
      <c r="AD73" s="179">
        <f t="shared" si="25"/>
        <v>0</v>
      </c>
      <c r="AE73" s="179">
        <f t="shared" si="25"/>
        <v>0</v>
      </c>
      <c r="AF73" s="179">
        <f t="shared" si="25"/>
        <v>0</v>
      </c>
    </row>
    <row r="74" spans="2:32">
      <c r="B74" s="121"/>
      <c r="C74" s="653" t="s">
        <v>1381</v>
      </c>
      <c r="D74" s="257"/>
      <c r="E74" s="121" t="s">
        <v>740</v>
      </c>
      <c r="F74" s="205"/>
      <c r="H74" s="366">
        <f>IFERROR(VLOOKUP(F74,Assumptions_Dashboard!$C$38:$D$72,2,FALSE),0)</f>
        <v>0</v>
      </c>
      <c r="J74" s="179"/>
      <c r="K74" s="179"/>
      <c r="L74" s="179"/>
      <c r="M74" s="179"/>
      <c r="N74" s="179">
        <f t="shared" si="27"/>
        <v>0</v>
      </c>
      <c r="O74" s="179">
        <f t="shared" si="22"/>
        <v>0</v>
      </c>
      <c r="P74" s="179">
        <f t="shared" si="26"/>
        <v>0</v>
      </c>
      <c r="Q74" s="179">
        <f t="shared" si="26"/>
        <v>0</v>
      </c>
      <c r="R74" s="179">
        <f t="shared" si="26"/>
        <v>0</v>
      </c>
      <c r="S74" s="179">
        <f t="shared" si="26"/>
        <v>0</v>
      </c>
      <c r="T74" s="179">
        <f t="shared" si="26"/>
        <v>0</v>
      </c>
      <c r="U74" s="179">
        <f t="shared" si="26"/>
        <v>0</v>
      </c>
      <c r="V74" s="179">
        <f t="shared" si="26"/>
        <v>0</v>
      </c>
      <c r="W74" s="179">
        <f t="shared" si="26"/>
        <v>0</v>
      </c>
      <c r="X74" s="179">
        <f t="shared" si="26"/>
        <v>0</v>
      </c>
      <c r="Y74" s="179">
        <f t="shared" si="26"/>
        <v>0</v>
      </c>
      <c r="Z74" s="179">
        <f t="shared" si="26"/>
        <v>0</v>
      </c>
      <c r="AA74" s="179">
        <f t="shared" si="26"/>
        <v>0</v>
      </c>
      <c r="AB74" s="179">
        <f t="shared" si="26"/>
        <v>0</v>
      </c>
      <c r="AC74" s="179">
        <f t="shared" si="25"/>
        <v>0</v>
      </c>
      <c r="AD74" s="179">
        <f t="shared" si="25"/>
        <v>0</v>
      </c>
      <c r="AE74" s="179">
        <f t="shared" si="25"/>
        <v>0</v>
      </c>
      <c r="AF74" s="179">
        <f t="shared" si="25"/>
        <v>0</v>
      </c>
    </row>
    <row r="75" spans="2:32">
      <c r="B75" s="255" t="s">
        <v>1382</v>
      </c>
      <c r="C75" s="653" t="s">
        <v>1383</v>
      </c>
      <c r="D75" s="257" t="s">
        <v>1313</v>
      </c>
      <c r="E75" s="121" t="s">
        <v>740</v>
      </c>
      <c r="F75" s="205" t="s">
        <v>212</v>
      </c>
      <c r="H75" s="366">
        <f>IFERROR(VLOOKUP(F75,Assumptions_Dashboard!$C$38:$D$72,2,FALSE),0)</f>
        <v>670000</v>
      </c>
      <c r="J75" s="179"/>
      <c r="K75" s="179"/>
      <c r="L75" s="179"/>
      <c r="M75" s="179"/>
      <c r="N75" s="179">
        <f t="shared" si="27"/>
        <v>0</v>
      </c>
      <c r="O75" s="179">
        <f t="shared" si="22"/>
        <v>0</v>
      </c>
      <c r="P75" s="179">
        <f t="shared" si="26"/>
        <v>0</v>
      </c>
      <c r="Q75" s="179">
        <f t="shared" si="26"/>
        <v>0</v>
      </c>
      <c r="R75" s="179">
        <f t="shared" si="26"/>
        <v>0</v>
      </c>
      <c r="S75" s="179">
        <f t="shared" si="26"/>
        <v>0</v>
      </c>
      <c r="T75" s="179">
        <f t="shared" si="26"/>
        <v>0</v>
      </c>
      <c r="U75" s="179">
        <f t="shared" si="26"/>
        <v>0</v>
      </c>
      <c r="V75" s="179">
        <f t="shared" si="26"/>
        <v>0</v>
      </c>
      <c r="W75" s="179">
        <f t="shared" si="26"/>
        <v>0</v>
      </c>
      <c r="X75" s="179">
        <f t="shared" si="26"/>
        <v>0</v>
      </c>
      <c r="Y75" s="179">
        <f t="shared" si="26"/>
        <v>0</v>
      </c>
      <c r="Z75" s="179">
        <f t="shared" si="26"/>
        <v>0</v>
      </c>
      <c r="AA75" s="179">
        <f t="shared" si="26"/>
        <v>0</v>
      </c>
      <c r="AB75" s="179">
        <f t="shared" si="26"/>
        <v>0</v>
      </c>
      <c r="AC75" s="179">
        <f t="shared" si="25"/>
        <v>0</v>
      </c>
      <c r="AD75" s="179">
        <f t="shared" si="25"/>
        <v>0</v>
      </c>
      <c r="AE75" s="179">
        <f t="shared" si="25"/>
        <v>0</v>
      </c>
      <c r="AF75" s="179">
        <f t="shared" si="25"/>
        <v>0</v>
      </c>
    </row>
    <row r="76" spans="2:32">
      <c r="B76" s="121"/>
      <c r="C76" s="121"/>
      <c r="D76" s="257"/>
      <c r="E76" s="121"/>
      <c r="F76" s="205"/>
      <c r="H76" s="366">
        <f>IFERROR(VLOOKUP(F76,Assumptions_Dashboard!$C$38:$D$72,2,FALSE),0)</f>
        <v>0</v>
      </c>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row>
    <row r="77" spans="2:32">
      <c r="B77" s="121"/>
      <c r="C77" s="117" t="s">
        <v>1384</v>
      </c>
      <c r="D77" s="257"/>
      <c r="E77" s="121"/>
      <c r="F77" s="205"/>
      <c r="H77" s="366">
        <f>IFERROR(VLOOKUP(F77,Assumptions_Dashboard!$C$38:$D$72,2,FALSE),0)</f>
        <v>0</v>
      </c>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row>
    <row r="78" spans="2:32">
      <c r="B78" s="121"/>
      <c r="C78" s="186" t="s">
        <v>1385</v>
      </c>
      <c r="D78" s="257"/>
      <c r="E78" s="121"/>
      <c r="F78" s="205"/>
      <c r="H78" s="366">
        <f>IFERROR(VLOOKUP(F78,Assumptions_Dashboard!$C$38:$D$72,2,FALSE),0)</f>
        <v>0</v>
      </c>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row>
    <row r="79" spans="2:32">
      <c r="C79" s="655" t="s">
        <v>1386</v>
      </c>
      <c r="D79" s="257" t="s">
        <v>1315</v>
      </c>
      <c r="E79" s="121" t="s">
        <v>740</v>
      </c>
      <c r="F79" s="205" t="s">
        <v>192</v>
      </c>
      <c r="G79">
        <v>1</v>
      </c>
      <c r="H79" s="366">
        <f>IFERROR(VLOOKUP(F79,Assumptions_Dashboard!$C$38:$D$72,2,FALSE),0)</f>
        <v>1235000</v>
      </c>
      <c r="J79" s="179"/>
      <c r="K79" s="179"/>
      <c r="L79" s="179"/>
      <c r="M79" s="179"/>
      <c r="N79" s="179">
        <f>G79</f>
        <v>1</v>
      </c>
      <c r="O79" s="179">
        <f>N79</f>
        <v>1</v>
      </c>
      <c r="P79" s="179">
        <f t="shared" ref="P79:AF79" si="28">O79</f>
        <v>1</v>
      </c>
      <c r="Q79" s="179">
        <f t="shared" si="28"/>
        <v>1</v>
      </c>
      <c r="R79" s="179">
        <f t="shared" si="28"/>
        <v>1</v>
      </c>
      <c r="S79" s="179">
        <f t="shared" si="28"/>
        <v>1</v>
      </c>
      <c r="T79" s="179">
        <f t="shared" si="28"/>
        <v>1</v>
      </c>
      <c r="U79" s="179">
        <f t="shared" si="28"/>
        <v>1</v>
      </c>
      <c r="V79" s="179">
        <f t="shared" si="28"/>
        <v>1</v>
      </c>
      <c r="W79" s="179">
        <f t="shared" si="28"/>
        <v>1</v>
      </c>
      <c r="X79" s="179">
        <f t="shared" si="28"/>
        <v>1</v>
      </c>
      <c r="Y79" s="179">
        <f t="shared" si="28"/>
        <v>1</v>
      </c>
      <c r="Z79" s="179">
        <f t="shared" si="28"/>
        <v>1</v>
      </c>
      <c r="AA79" s="179">
        <f t="shared" si="28"/>
        <v>1</v>
      </c>
      <c r="AB79" s="179">
        <f t="shared" si="28"/>
        <v>1</v>
      </c>
      <c r="AC79" s="179">
        <f t="shared" si="28"/>
        <v>1</v>
      </c>
      <c r="AD79" s="179">
        <f t="shared" si="28"/>
        <v>1</v>
      </c>
      <c r="AE79" s="179">
        <f t="shared" si="28"/>
        <v>1</v>
      </c>
      <c r="AF79" s="179">
        <f t="shared" si="28"/>
        <v>1</v>
      </c>
    </row>
    <row r="80" spans="2:32">
      <c r="B80" s="121"/>
      <c r="C80" s="655" t="s">
        <v>1387</v>
      </c>
      <c r="D80" s="257" t="s">
        <v>1336</v>
      </c>
      <c r="E80" s="121" t="s">
        <v>740</v>
      </c>
      <c r="F80" s="205" t="s">
        <v>194</v>
      </c>
      <c r="G80">
        <v>1</v>
      </c>
      <c r="H80" s="366">
        <f>IFERROR(VLOOKUP(F80,Assumptions_Dashboard!$C$38:$D$72,2,FALSE),0)</f>
        <v>960000</v>
      </c>
      <c r="J80" s="179">
        <v>1</v>
      </c>
      <c r="K80" s="179">
        <f>J80</f>
        <v>1</v>
      </c>
      <c r="L80" s="179">
        <f>K80</f>
        <v>1</v>
      </c>
      <c r="M80" s="179">
        <f>L80</f>
        <v>1</v>
      </c>
      <c r="N80" s="179">
        <f>M80</f>
        <v>1</v>
      </c>
      <c r="O80" s="179">
        <f>N80</f>
        <v>1</v>
      </c>
      <c r="P80" s="179">
        <f t="shared" ref="P80:AF80" si="29">O80</f>
        <v>1</v>
      </c>
      <c r="Q80" s="179">
        <f t="shared" si="29"/>
        <v>1</v>
      </c>
      <c r="R80" s="179">
        <f t="shared" si="29"/>
        <v>1</v>
      </c>
      <c r="S80" s="179">
        <f t="shared" si="29"/>
        <v>1</v>
      </c>
      <c r="T80" s="179">
        <f t="shared" si="29"/>
        <v>1</v>
      </c>
      <c r="U80" s="179">
        <f t="shared" si="29"/>
        <v>1</v>
      </c>
      <c r="V80" s="179">
        <f t="shared" si="29"/>
        <v>1</v>
      </c>
      <c r="W80" s="179">
        <f t="shared" si="29"/>
        <v>1</v>
      </c>
      <c r="X80" s="179">
        <f t="shared" si="29"/>
        <v>1</v>
      </c>
      <c r="Y80" s="179">
        <f t="shared" si="29"/>
        <v>1</v>
      </c>
      <c r="Z80" s="179">
        <f t="shared" si="29"/>
        <v>1</v>
      </c>
      <c r="AA80" s="179">
        <f t="shared" si="29"/>
        <v>1</v>
      </c>
      <c r="AB80" s="179">
        <f t="shared" si="29"/>
        <v>1</v>
      </c>
      <c r="AC80" s="179">
        <f t="shared" si="29"/>
        <v>1</v>
      </c>
      <c r="AD80" s="179">
        <f t="shared" si="29"/>
        <v>1</v>
      </c>
      <c r="AE80" s="179">
        <f t="shared" si="29"/>
        <v>1</v>
      </c>
      <c r="AF80" s="179">
        <f t="shared" si="29"/>
        <v>1</v>
      </c>
    </row>
    <row r="81" spans="2:32">
      <c r="B81" s="121"/>
      <c r="C81" s="655" t="s">
        <v>1388</v>
      </c>
      <c r="D81" s="257"/>
      <c r="E81" s="121" t="s">
        <v>740</v>
      </c>
      <c r="F81" s="205"/>
      <c r="H81" s="366">
        <f>IFERROR(VLOOKUP(F81,Assumptions_Dashboard!$C$38:$D$72,2,FALSE),0)</f>
        <v>0</v>
      </c>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row>
    <row r="82" spans="2:32">
      <c r="B82" s="121"/>
      <c r="C82" s="655" t="s">
        <v>1389</v>
      </c>
      <c r="D82" s="257"/>
      <c r="E82" s="121" t="s">
        <v>740</v>
      </c>
      <c r="F82" s="205" t="s">
        <v>220</v>
      </c>
      <c r="G82">
        <f>IF(Assumptions_Dashboard!$L$4="MDO",0,6)</f>
        <v>6</v>
      </c>
      <c r="H82" s="366">
        <f>IFERROR(VLOOKUP(F82,Assumptions_Dashboard!$C$38:$D$72,2,FALSE),0)</f>
        <v>600000</v>
      </c>
      <c r="J82" s="179"/>
      <c r="K82" s="179"/>
      <c r="L82" s="179"/>
      <c r="M82" s="179" t="s">
        <v>21</v>
      </c>
      <c r="N82" s="179">
        <f>G82</f>
        <v>6</v>
      </c>
      <c r="O82" s="179">
        <f>N82</f>
        <v>6</v>
      </c>
      <c r="P82" s="179">
        <f>O82</f>
        <v>6</v>
      </c>
      <c r="Q82" s="179">
        <f t="shared" ref="Q82:AF82" si="30">P82</f>
        <v>6</v>
      </c>
      <c r="R82" s="179">
        <f t="shared" si="30"/>
        <v>6</v>
      </c>
      <c r="S82" s="179">
        <f t="shared" si="30"/>
        <v>6</v>
      </c>
      <c r="T82" s="179">
        <f t="shared" si="30"/>
        <v>6</v>
      </c>
      <c r="U82" s="179">
        <f t="shared" si="30"/>
        <v>6</v>
      </c>
      <c r="V82" s="179">
        <f t="shared" si="30"/>
        <v>6</v>
      </c>
      <c r="W82" s="179">
        <f t="shared" si="30"/>
        <v>6</v>
      </c>
      <c r="X82" s="179">
        <f t="shared" si="30"/>
        <v>6</v>
      </c>
      <c r="Y82" s="179">
        <f t="shared" si="30"/>
        <v>6</v>
      </c>
      <c r="Z82" s="179">
        <f t="shared" si="30"/>
        <v>6</v>
      </c>
      <c r="AA82" s="179">
        <f t="shared" si="30"/>
        <v>6</v>
      </c>
      <c r="AB82" s="179">
        <f t="shared" si="30"/>
        <v>6</v>
      </c>
      <c r="AC82" s="179">
        <f t="shared" si="30"/>
        <v>6</v>
      </c>
      <c r="AD82" s="179">
        <f t="shared" si="30"/>
        <v>6</v>
      </c>
      <c r="AE82" s="179">
        <f t="shared" si="30"/>
        <v>6</v>
      </c>
      <c r="AF82" s="179">
        <f t="shared" si="30"/>
        <v>6</v>
      </c>
    </row>
    <row r="83" spans="2:32">
      <c r="B83" s="121"/>
      <c r="C83" s="655" t="s">
        <v>1390</v>
      </c>
      <c r="D83" s="257"/>
      <c r="E83" s="121" t="s">
        <v>740</v>
      </c>
      <c r="F83" s="205" t="s">
        <v>194</v>
      </c>
      <c r="G83">
        <f>IF(Assumptions_Dashboard!$L$4="MDO",0,3)</f>
        <v>3</v>
      </c>
      <c r="H83" s="366">
        <f>IFERROR(VLOOKUP(F83,Assumptions_Dashboard!$C$38:$D$72,2,FALSE),0)</f>
        <v>960000</v>
      </c>
      <c r="J83" s="179"/>
      <c r="K83" s="179"/>
      <c r="L83" s="179"/>
      <c r="M83" s="179"/>
      <c r="N83" s="179">
        <f>G83</f>
        <v>3</v>
      </c>
      <c r="O83" s="179">
        <f>N83</f>
        <v>3</v>
      </c>
      <c r="P83" s="179">
        <f>O83</f>
        <v>3</v>
      </c>
      <c r="Q83" s="179">
        <f t="shared" ref="Q83:AF83" si="31">P83</f>
        <v>3</v>
      </c>
      <c r="R83" s="179">
        <f t="shared" si="31"/>
        <v>3</v>
      </c>
      <c r="S83" s="179">
        <f t="shared" si="31"/>
        <v>3</v>
      </c>
      <c r="T83" s="179">
        <f t="shared" si="31"/>
        <v>3</v>
      </c>
      <c r="U83" s="179">
        <f t="shared" si="31"/>
        <v>3</v>
      </c>
      <c r="V83" s="179">
        <f t="shared" si="31"/>
        <v>3</v>
      </c>
      <c r="W83" s="179">
        <f t="shared" si="31"/>
        <v>3</v>
      </c>
      <c r="X83" s="179">
        <f t="shared" si="31"/>
        <v>3</v>
      </c>
      <c r="Y83" s="179">
        <f t="shared" si="31"/>
        <v>3</v>
      </c>
      <c r="Z83" s="179">
        <f t="shared" si="31"/>
        <v>3</v>
      </c>
      <c r="AA83" s="179">
        <f t="shared" si="31"/>
        <v>3</v>
      </c>
      <c r="AB83" s="179">
        <f t="shared" si="31"/>
        <v>3</v>
      </c>
      <c r="AC83" s="179">
        <f t="shared" si="31"/>
        <v>3</v>
      </c>
      <c r="AD83" s="179">
        <f t="shared" si="31"/>
        <v>3</v>
      </c>
      <c r="AE83" s="179">
        <f t="shared" si="31"/>
        <v>3</v>
      </c>
      <c r="AF83" s="179">
        <f t="shared" si="31"/>
        <v>3</v>
      </c>
    </row>
    <row r="84" spans="2:32">
      <c r="B84" s="121"/>
      <c r="C84" s="655" t="s">
        <v>1391</v>
      </c>
      <c r="D84" s="257"/>
      <c r="E84" s="121" t="s">
        <v>740</v>
      </c>
      <c r="F84" s="205" t="s">
        <v>212</v>
      </c>
      <c r="G84">
        <f>IF(Assumptions_Dashboard!$L$4="MDO",0,6)</f>
        <v>6</v>
      </c>
      <c r="H84" s="366">
        <f>IFERROR(VLOOKUP(F84,Assumptions_Dashboard!$C$38:$D$72,2,FALSE),0)</f>
        <v>670000</v>
      </c>
      <c r="J84" s="179"/>
      <c r="K84" s="179"/>
      <c r="L84" s="179"/>
      <c r="M84" s="179"/>
      <c r="N84" s="179">
        <f t="shared" ref="N84:N147" si="32">G84</f>
        <v>6</v>
      </c>
      <c r="O84" s="179">
        <f t="shared" ref="O84:AD147" si="33">N84</f>
        <v>6</v>
      </c>
      <c r="P84" s="179">
        <f t="shared" si="33"/>
        <v>6</v>
      </c>
      <c r="Q84" s="179">
        <f t="shared" si="33"/>
        <v>6</v>
      </c>
      <c r="R84" s="179">
        <f t="shared" si="33"/>
        <v>6</v>
      </c>
      <c r="S84" s="179">
        <f t="shared" si="33"/>
        <v>6</v>
      </c>
      <c r="T84" s="179">
        <f t="shared" si="33"/>
        <v>6</v>
      </c>
      <c r="U84" s="179">
        <f t="shared" si="33"/>
        <v>6</v>
      </c>
      <c r="V84" s="179">
        <f t="shared" si="33"/>
        <v>6</v>
      </c>
      <c r="W84" s="179">
        <f t="shared" si="33"/>
        <v>6</v>
      </c>
      <c r="X84" s="179">
        <f t="shared" si="33"/>
        <v>6</v>
      </c>
      <c r="Y84" s="179">
        <f t="shared" si="33"/>
        <v>6</v>
      </c>
      <c r="Z84" s="179">
        <f t="shared" si="33"/>
        <v>6</v>
      </c>
      <c r="AA84" s="179">
        <f t="shared" si="33"/>
        <v>6</v>
      </c>
      <c r="AB84" s="179">
        <f t="shared" si="33"/>
        <v>6</v>
      </c>
      <c r="AC84" s="179">
        <f t="shared" si="33"/>
        <v>6</v>
      </c>
      <c r="AD84" s="179">
        <f t="shared" si="33"/>
        <v>6</v>
      </c>
      <c r="AE84" s="179">
        <f t="shared" ref="AE84:AF84" si="34">AD84</f>
        <v>6</v>
      </c>
      <c r="AF84" s="179">
        <f t="shared" si="34"/>
        <v>6</v>
      </c>
    </row>
    <row r="85" spans="2:32">
      <c r="B85" s="121"/>
      <c r="C85" s="655" t="s">
        <v>1392</v>
      </c>
      <c r="D85" s="257"/>
      <c r="E85" s="121" t="s">
        <v>740</v>
      </c>
      <c r="F85" s="205" t="s">
        <v>211</v>
      </c>
      <c r="G85">
        <f>IF(Assumptions_Dashboard!$L$4="MDO",0,3)</f>
        <v>3</v>
      </c>
      <c r="H85" s="366">
        <f>IFERROR(VLOOKUP(F85,Assumptions_Dashboard!$C$38:$D$72,2,FALSE),0)</f>
        <v>780000</v>
      </c>
      <c r="J85" s="179"/>
      <c r="K85" s="179"/>
      <c r="L85" s="179"/>
      <c r="M85" s="179"/>
      <c r="N85" s="179">
        <f t="shared" si="32"/>
        <v>3</v>
      </c>
      <c r="O85" s="179">
        <f t="shared" si="33"/>
        <v>3</v>
      </c>
      <c r="P85" s="179">
        <f t="shared" si="33"/>
        <v>3</v>
      </c>
      <c r="Q85" s="179">
        <f t="shared" si="33"/>
        <v>3</v>
      </c>
      <c r="R85" s="179">
        <f t="shared" si="33"/>
        <v>3</v>
      </c>
      <c r="S85" s="179">
        <f t="shared" si="33"/>
        <v>3</v>
      </c>
      <c r="T85" s="179">
        <f t="shared" si="33"/>
        <v>3</v>
      </c>
      <c r="U85" s="179">
        <f t="shared" si="33"/>
        <v>3</v>
      </c>
      <c r="V85" s="179">
        <f t="shared" si="33"/>
        <v>3</v>
      </c>
      <c r="W85" s="179">
        <f t="shared" si="33"/>
        <v>3</v>
      </c>
      <c r="X85" s="179">
        <f t="shared" si="33"/>
        <v>3</v>
      </c>
      <c r="Y85" s="179">
        <f t="shared" si="33"/>
        <v>3</v>
      </c>
      <c r="Z85" s="179">
        <f t="shared" si="33"/>
        <v>3</v>
      </c>
      <c r="AA85" s="179">
        <f t="shared" si="33"/>
        <v>3</v>
      </c>
      <c r="AB85" s="179">
        <f t="shared" si="33"/>
        <v>3</v>
      </c>
      <c r="AC85" s="179">
        <f t="shared" si="33"/>
        <v>3</v>
      </c>
      <c r="AD85" s="179">
        <f t="shared" si="33"/>
        <v>3</v>
      </c>
      <c r="AE85" s="179">
        <f t="shared" ref="AE85:AF85" si="35">AD85</f>
        <v>3</v>
      </c>
      <c r="AF85" s="179">
        <f t="shared" si="35"/>
        <v>3</v>
      </c>
    </row>
    <row r="86" spans="2:32">
      <c r="B86" s="121"/>
      <c r="C86" s="655" t="s">
        <v>1393</v>
      </c>
      <c r="D86" s="257"/>
      <c r="E86" s="121" t="s">
        <v>740</v>
      </c>
      <c r="F86" s="205" t="s">
        <v>211</v>
      </c>
      <c r="G86">
        <f>IF(Assumptions_Dashboard!$L$4="MDO",0,9)</f>
        <v>9</v>
      </c>
      <c r="H86" s="366">
        <f>IFERROR(VLOOKUP(F86,Assumptions_Dashboard!$C$38:$D$72,2,FALSE),0)</f>
        <v>780000</v>
      </c>
      <c r="J86" s="179"/>
      <c r="K86" s="179"/>
      <c r="L86" s="179"/>
      <c r="M86" s="179"/>
      <c r="N86" s="179">
        <f t="shared" si="32"/>
        <v>9</v>
      </c>
      <c r="O86" s="179">
        <f t="shared" si="33"/>
        <v>9</v>
      </c>
      <c r="P86" s="179">
        <f t="shared" si="33"/>
        <v>9</v>
      </c>
      <c r="Q86" s="179">
        <f t="shared" si="33"/>
        <v>9</v>
      </c>
      <c r="R86" s="179">
        <f t="shared" si="33"/>
        <v>9</v>
      </c>
      <c r="S86" s="179">
        <f t="shared" si="33"/>
        <v>9</v>
      </c>
      <c r="T86" s="179">
        <f t="shared" si="33"/>
        <v>9</v>
      </c>
      <c r="U86" s="179">
        <f t="shared" si="33"/>
        <v>9</v>
      </c>
      <c r="V86" s="179">
        <f t="shared" si="33"/>
        <v>9</v>
      </c>
      <c r="W86" s="179">
        <f t="shared" si="33"/>
        <v>9</v>
      </c>
      <c r="X86" s="179">
        <f t="shared" si="33"/>
        <v>9</v>
      </c>
      <c r="Y86" s="179">
        <f t="shared" si="33"/>
        <v>9</v>
      </c>
      <c r="Z86" s="179">
        <f t="shared" si="33"/>
        <v>9</v>
      </c>
      <c r="AA86" s="179">
        <f t="shared" si="33"/>
        <v>9</v>
      </c>
      <c r="AB86" s="179">
        <f t="shared" si="33"/>
        <v>9</v>
      </c>
      <c r="AC86" s="179">
        <f t="shared" si="33"/>
        <v>9</v>
      </c>
      <c r="AD86" s="179">
        <f t="shared" si="33"/>
        <v>9</v>
      </c>
      <c r="AE86" s="179">
        <f t="shared" ref="AE86:AF86" si="36">AD86</f>
        <v>9</v>
      </c>
      <c r="AF86" s="179">
        <f t="shared" si="36"/>
        <v>9</v>
      </c>
    </row>
    <row r="87" spans="2:32">
      <c r="B87" s="121"/>
      <c r="C87" s="655" t="s">
        <v>1394</v>
      </c>
      <c r="D87" s="257"/>
      <c r="E87" s="121" t="s">
        <v>740</v>
      </c>
      <c r="F87" s="205" t="s">
        <v>223</v>
      </c>
      <c r="G87">
        <f>IF(Assumptions_Dashboard!$L$4="MDO",0,2)</f>
        <v>2</v>
      </c>
      <c r="H87" s="366">
        <f>IFERROR(VLOOKUP(F87,Assumptions_Dashboard!$C$38:$D$72,2,FALSE),0)</f>
        <v>420000</v>
      </c>
      <c r="J87" s="179"/>
      <c r="K87" s="179"/>
      <c r="L87" s="179"/>
      <c r="M87" s="179"/>
      <c r="N87" s="179">
        <f t="shared" si="32"/>
        <v>2</v>
      </c>
      <c r="O87" s="179">
        <f t="shared" si="33"/>
        <v>2</v>
      </c>
      <c r="P87" s="179">
        <f t="shared" si="33"/>
        <v>2</v>
      </c>
      <c r="Q87" s="179">
        <f t="shared" si="33"/>
        <v>2</v>
      </c>
      <c r="R87" s="179">
        <f t="shared" si="33"/>
        <v>2</v>
      </c>
      <c r="S87" s="179">
        <f t="shared" si="33"/>
        <v>2</v>
      </c>
      <c r="T87" s="179">
        <f t="shared" si="33"/>
        <v>2</v>
      </c>
      <c r="U87" s="179">
        <f t="shared" si="33"/>
        <v>2</v>
      </c>
      <c r="V87" s="179">
        <f t="shared" si="33"/>
        <v>2</v>
      </c>
      <c r="W87" s="179">
        <f t="shared" si="33"/>
        <v>2</v>
      </c>
      <c r="X87" s="179">
        <f t="shared" si="33"/>
        <v>2</v>
      </c>
      <c r="Y87" s="179">
        <f t="shared" si="33"/>
        <v>2</v>
      </c>
      <c r="Z87" s="179">
        <f t="shared" si="33"/>
        <v>2</v>
      </c>
      <c r="AA87" s="179">
        <f t="shared" si="33"/>
        <v>2</v>
      </c>
      <c r="AB87" s="179">
        <f t="shared" si="33"/>
        <v>2</v>
      </c>
      <c r="AC87" s="179">
        <f t="shared" si="33"/>
        <v>2</v>
      </c>
      <c r="AD87" s="179">
        <f t="shared" si="33"/>
        <v>2</v>
      </c>
      <c r="AE87" s="179">
        <f t="shared" ref="AE87:AF87" si="37">AD87</f>
        <v>2</v>
      </c>
      <c r="AF87" s="179">
        <f t="shared" si="37"/>
        <v>2</v>
      </c>
    </row>
    <row r="88" spans="2:32">
      <c r="B88" s="121"/>
      <c r="C88" s="655" t="s">
        <v>1395</v>
      </c>
      <c r="D88" s="257"/>
      <c r="E88" s="121" t="s">
        <v>740</v>
      </c>
      <c r="F88" s="205" t="s">
        <v>218</v>
      </c>
      <c r="G88">
        <f>IF(Assumptions_Dashboard!$L$4="MDO",0,9)</f>
        <v>9</v>
      </c>
      <c r="H88" s="366">
        <f>IFERROR(VLOOKUP(F88,Assumptions_Dashboard!$C$38:$D$72,2,FALSE),0)</f>
        <v>600000</v>
      </c>
      <c r="J88" s="179"/>
      <c r="K88" s="179"/>
      <c r="L88" s="179"/>
      <c r="M88" s="179"/>
      <c r="N88" s="179">
        <f t="shared" si="32"/>
        <v>9</v>
      </c>
      <c r="O88" s="179">
        <f t="shared" si="33"/>
        <v>9</v>
      </c>
      <c r="P88" s="179">
        <f t="shared" si="33"/>
        <v>9</v>
      </c>
      <c r="Q88" s="179">
        <f t="shared" si="33"/>
        <v>9</v>
      </c>
      <c r="R88" s="179">
        <f t="shared" si="33"/>
        <v>9</v>
      </c>
      <c r="S88" s="179">
        <f t="shared" si="33"/>
        <v>9</v>
      </c>
      <c r="T88" s="179">
        <f t="shared" si="33"/>
        <v>9</v>
      </c>
      <c r="U88" s="179">
        <f t="shared" si="33"/>
        <v>9</v>
      </c>
      <c r="V88" s="179">
        <f t="shared" si="33"/>
        <v>9</v>
      </c>
      <c r="W88" s="179">
        <f t="shared" si="33"/>
        <v>9</v>
      </c>
      <c r="X88" s="179">
        <f t="shared" si="33"/>
        <v>9</v>
      </c>
      <c r="Y88" s="179">
        <f t="shared" si="33"/>
        <v>9</v>
      </c>
      <c r="Z88" s="179">
        <f t="shared" si="33"/>
        <v>9</v>
      </c>
      <c r="AA88" s="179">
        <f t="shared" si="33"/>
        <v>9</v>
      </c>
      <c r="AB88" s="179">
        <f t="shared" si="33"/>
        <v>9</v>
      </c>
      <c r="AC88" s="179">
        <f t="shared" si="33"/>
        <v>9</v>
      </c>
      <c r="AD88" s="179">
        <f t="shared" si="33"/>
        <v>9</v>
      </c>
      <c r="AE88" s="179">
        <f t="shared" ref="AE88:AF88" si="38">AD88</f>
        <v>9</v>
      </c>
      <c r="AF88" s="179">
        <f t="shared" si="38"/>
        <v>9</v>
      </c>
    </row>
    <row r="89" spans="2:32">
      <c r="B89" s="121"/>
      <c r="C89" s="655" t="s">
        <v>1396</v>
      </c>
      <c r="D89" s="257"/>
      <c r="E89" s="121" t="s">
        <v>740</v>
      </c>
      <c r="F89" s="205" t="s">
        <v>218</v>
      </c>
      <c r="H89" s="366">
        <f>IFERROR(VLOOKUP(F89,Assumptions_Dashboard!$C$38:$D$72,2,FALSE),0)</f>
        <v>600000</v>
      </c>
      <c r="J89" s="179"/>
      <c r="K89" s="179"/>
      <c r="L89" s="179"/>
      <c r="M89" s="179"/>
      <c r="N89" s="179">
        <f t="shared" si="32"/>
        <v>0</v>
      </c>
      <c r="O89" s="179">
        <f t="shared" si="33"/>
        <v>0</v>
      </c>
      <c r="P89" s="179">
        <f t="shared" si="33"/>
        <v>0</v>
      </c>
      <c r="Q89" s="179">
        <f t="shared" si="33"/>
        <v>0</v>
      </c>
      <c r="R89" s="179">
        <f t="shared" si="33"/>
        <v>0</v>
      </c>
      <c r="S89" s="179">
        <f t="shared" si="33"/>
        <v>0</v>
      </c>
      <c r="T89" s="179">
        <f t="shared" si="33"/>
        <v>0</v>
      </c>
      <c r="U89" s="179">
        <f t="shared" si="33"/>
        <v>0</v>
      </c>
      <c r="V89" s="179">
        <f t="shared" si="33"/>
        <v>0</v>
      </c>
      <c r="W89" s="179">
        <f t="shared" si="33"/>
        <v>0</v>
      </c>
      <c r="X89" s="179">
        <f t="shared" si="33"/>
        <v>0</v>
      </c>
      <c r="Y89" s="179">
        <f t="shared" si="33"/>
        <v>0</v>
      </c>
      <c r="Z89" s="179">
        <f t="shared" si="33"/>
        <v>0</v>
      </c>
      <c r="AA89" s="179">
        <f t="shared" si="33"/>
        <v>0</v>
      </c>
      <c r="AB89" s="179">
        <f t="shared" si="33"/>
        <v>0</v>
      </c>
      <c r="AC89" s="179">
        <f t="shared" si="33"/>
        <v>0</v>
      </c>
      <c r="AD89" s="179">
        <f t="shared" si="33"/>
        <v>0</v>
      </c>
      <c r="AE89" s="179">
        <f t="shared" ref="AE89:AF89" si="39">AD89</f>
        <v>0</v>
      </c>
      <c r="AF89" s="179">
        <f t="shared" si="39"/>
        <v>0</v>
      </c>
    </row>
    <row r="90" spans="2:32">
      <c r="B90" s="121"/>
      <c r="C90" s="655" t="s">
        <v>1397</v>
      </c>
      <c r="D90" s="257"/>
      <c r="E90" s="121" t="s">
        <v>740</v>
      </c>
      <c r="F90" s="205" t="s">
        <v>230</v>
      </c>
      <c r="G90">
        <f>IF(Assumptions_Dashboard!$L$4="MDO",0,2)</f>
        <v>2</v>
      </c>
      <c r="H90" s="366">
        <f>IFERROR(VLOOKUP(F90,Assumptions_Dashboard!$C$38:$D$72,2,FALSE),0)</f>
        <v>240000</v>
      </c>
      <c r="J90" s="179"/>
      <c r="K90" s="179"/>
      <c r="L90" s="179"/>
      <c r="M90" s="179"/>
      <c r="N90" s="179">
        <f t="shared" si="32"/>
        <v>2</v>
      </c>
      <c r="O90" s="179">
        <f t="shared" si="33"/>
        <v>2</v>
      </c>
      <c r="P90" s="179">
        <f t="shared" si="33"/>
        <v>2</v>
      </c>
      <c r="Q90" s="179">
        <f t="shared" si="33"/>
        <v>2</v>
      </c>
      <c r="R90" s="179">
        <f t="shared" si="33"/>
        <v>2</v>
      </c>
      <c r="S90" s="179">
        <f t="shared" si="33"/>
        <v>2</v>
      </c>
      <c r="T90" s="179">
        <f t="shared" si="33"/>
        <v>2</v>
      </c>
      <c r="U90" s="179">
        <f t="shared" si="33"/>
        <v>2</v>
      </c>
      <c r="V90" s="179">
        <f t="shared" si="33"/>
        <v>2</v>
      </c>
      <c r="W90" s="179">
        <f t="shared" si="33"/>
        <v>2</v>
      </c>
      <c r="X90" s="179">
        <f t="shared" si="33"/>
        <v>2</v>
      </c>
      <c r="Y90" s="179">
        <f t="shared" si="33"/>
        <v>2</v>
      </c>
      <c r="Z90" s="179">
        <f t="shared" si="33"/>
        <v>2</v>
      </c>
      <c r="AA90" s="179">
        <f t="shared" si="33"/>
        <v>2</v>
      </c>
      <c r="AB90" s="179">
        <f t="shared" si="33"/>
        <v>2</v>
      </c>
      <c r="AC90" s="179">
        <f t="shared" si="33"/>
        <v>2</v>
      </c>
      <c r="AD90" s="179">
        <f t="shared" si="33"/>
        <v>2</v>
      </c>
      <c r="AE90" s="179">
        <f t="shared" ref="AE90:AF90" si="40">AD90</f>
        <v>2</v>
      </c>
      <c r="AF90" s="179">
        <f t="shared" si="40"/>
        <v>2</v>
      </c>
    </row>
    <row r="91" spans="2:32">
      <c r="B91" s="121"/>
      <c r="C91" s="655" t="s">
        <v>1398</v>
      </c>
      <c r="D91" s="257"/>
      <c r="E91" s="121" t="s">
        <v>740</v>
      </c>
      <c r="F91" s="205" t="s">
        <v>230</v>
      </c>
      <c r="G91">
        <f>IF(Assumptions_Dashboard!$L$4="MDO",0,30)</f>
        <v>30</v>
      </c>
      <c r="H91" s="366">
        <f>IFERROR(VLOOKUP(F91,Assumptions_Dashboard!$C$38:$D$72,2,FALSE),0)</f>
        <v>240000</v>
      </c>
      <c r="J91" s="179"/>
      <c r="K91" s="179"/>
      <c r="L91" s="179"/>
      <c r="M91" s="179"/>
      <c r="N91" s="179">
        <f t="shared" si="32"/>
        <v>30</v>
      </c>
      <c r="O91" s="179">
        <f t="shared" si="33"/>
        <v>30</v>
      </c>
      <c r="P91" s="179">
        <f t="shared" si="33"/>
        <v>30</v>
      </c>
      <c r="Q91" s="179">
        <f t="shared" si="33"/>
        <v>30</v>
      </c>
      <c r="R91" s="179">
        <f t="shared" si="33"/>
        <v>30</v>
      </c>
      <c r="S91" s="179">
        <f t="shared" si="33"/>
        <v>30</v>
      </c>
      <c r="T91" s="179">
        <f t="shared" si="33"/>
        <v>30</v>
      </c>
      <c r="U91" s="179">
        <f t="shared" si="33"/>
        <v>30</v>
      </c>
      <c r="V91" s="179">
        <f t="shared" si="33"/>
        <v>30</v>
      </c>
      <c r="W91" s="179">
        <f t="shared" si="33"/>
        <v>30</v>
      </c>
      <c r="X91" s="179">
        <f t="shared" si="33"/>
        <v>30</v>
      </c>
      <c r="Y91" s="179">
        <f t="shared" si="33"/>
        <v>30</v>
      </c>
      <c r="Z91" s="179">
        <f t="shared" si="33"/>
        <v>30</v>
      </c>
      <c r="AA91" s="179">
        <f t="shared" si="33"/>
        <v>30</v>
      </c>
      <c r="AB91" s="179">
        <f t="shared" si="33"/>
        <v>30</v>
      </c>
      <c r="AC91" s="179">
        <f t="shared" si="33"/>
        <v>30</v>
      </c>
      <c r="AD91" s="179">
        <f t="shared" si="33"/>
        <v>30</v>
      </c>
      <c r="AE91" s="179">
        <f t="shared" ref="AE91:AF91" si="41">AD91</f>
        <v>30</v>
      </c>
      <c r="AF91" s="179">
        <f t="shared" si="41"/>
        <v>30</v>
      </c>
    </row>
    <row r="92" spans="2:32">
      <c r="B92" s="121"/>
      <c r="C92" s="656" t="s">
        <v>1399</v>
      </c>
      <c r="D92" s="257" t="s">
        <v>1315</v>
      </c>
      <c r="E92" s="121"/>
      <c r="F92" s="205" t="s">
        <v>212</v>
      </c>
      <c r="G92">
        <v>1</v>
      </c>
      <c r="H92" s="366">
        <f>IFERROR(VLOOKUP(F92,Assumptions_Dashboard!$C$38:$D$72,2,FALSE),0)</f>
        <v>670000</v>
      </c>
      <c r="J92" s="179"/>
      <c r="K92" s="179"/>
      <c r="L92" s="179"/>
      <c r="M92" s="179"/>
      <c r="N92" s="179">
        <f t="shared" si="32"/>
        <v>1</v>
      </c>
      <c r="O92" s="179">
        <f t="shared" si="33"/>
        <v>1</v>
      </c>
      <c r="P92" s="179">
        <f t="shared" si="33"/>
        <v>1</v>
      </c>
      <c r="Q92" s="179">
        <f t="shared" si="33"/>
        <v>1</v>
      </c>
      <c r="R92" s="179">
        <f t="shared" si="33"/>
        <v>1</v>
      </c>
      <c r="S92" s="179">
        <f t="shared" si="33"/>
        <v>1</v>
      </c>
      <c r="T92" s="179">
        <f t="shared" si="33"/>
        <v>1</v>
      </c>
      <c r="U92" s="179">
        <f t="shared" si="33"/>
        <v>1</v>
      </c>
      <c r="V92" s="179">
        <f t="shared" si="33"/>
        <v>1</v>
      </c>
      <c r="W92" s="179">
        <f t="shared" si="33"/>
        <v>1</v>
      </c>
      <c r="X92" s="179">
        <f t="shared" si="33"/>
        <v>1</v>
      </c>
      <c r="Y92" s="179">
        <f t="shared" si="33"/>
        <v>1</v>
      </c>
      <c r="Z92" s="179">
        <f t="shared" si="33"/>
        <v>1</v>
      </c>
      <c r="AA92" s="179">
        <f t="shared" si="33"/>
        <v>1</v>
      </c>
      <c r="AB92" s="179">
        <f t="shared" si="33"/>
        <v>1</v>
      </c>
      <c r="AC92" s="179">
        <f t="shared" si="33"/>
        <v>1</v>
      </c>
      <c r="AD92" s="179">
        <f t="shared" si="33"/>
        <v>1</v>
      </c>
      <c r="AE92" s="179">
        <f t="shared" ref="AE92:AF92" si="42">AD92</f>
        <v>1</v>
      </c>
      <c r="AF92" s="179">
        <f t="shared" si="42"/>
        <v>1</v>
      </c>
    </row>
    <row r="93" spans="2:32">
      <c r="B93" s="249"/>
      <c r="C93" s="656" t="s">
        <v>1400</v>
      </c>
      <c r="D93" s="257" t="s">
        <v>1336</v>
      </c>
      <c r="E93" s="121" t="s">
        <v>740</v>
      </c>
      <c r="F93" s="205" t="s">
        <v>216</v>
      </c>
      <c r="G93">
        <v>1</v>
      </c>
      <c r="H93" s="366">
        <f>IFERROR(VLOOKUP(F93,Assumptions_Dashboard!$C$38:$D$72,2,FALSE),0)</f>
        <v>610000</v>
      </c>
      <c r="J93" s="179"/>
      <c r="K93" s="179"/>
      <c r="L93" s="179"/>
      <c r="M93" s="179"/>
      <c r="N93" s="179">
        <f t="shared" si="32"/>
        <v>1</v>
      </c>
      <c r="O93" s="179">
        <f t="shared" si="33"/>
        <v>1</v>
      </c>
      <c r="P93" s="179">
        <f t="shared" si="33"/>
        <v>1</v>
      </c>
      <c r="Q93" s="179">
        <f t="shared" si="33"/>
        <v>1</v>
      </c>
      <c r="R93" s="179">
        <f t="shared" si="33"/>
        <v>1</v>
      </c>
      <c r="S93" s="179">
        <f t="shared" si="33"/>
        <v>1</v>
      </c>
      <c r="T93" s="179">
        <f t="shared" si="33"/>
        <v>1</v>
      </c>
      <c r="U93" s="179">
        <f t="shared" si="33"/>
        <v>1</v>
      </c>
      <c r="V93" s="179">
        <f t="shared" si="33"/>
        <v>1</v>
      </c>
      <c r="W93" s="179">
        <f t="shared" si="33"/>
        <v>1</v>
      </c>
      <c r="X93" s="179">
        <f t="shared" si="33"/>
        <v>1</v>
      </c>
      <c r="Y93" s="179">
        <f t="shared" si="33"/>
        <v>1</v>
      </c>
      <c r="Z93" s="179">
        <f t="shared" si="33"/>
        <v>1</v>
      </c>
      <c r="AA93" s="179">
        <f t="shared" si="33"/>
        <v>1</v>
      </c>
      <c r="AB93" s="179">
        <f t="shared" si="33"/>
        <v>1</v>
      </c>
      <c r="AC93" s="179">
        <f t="shared" si="33"/>
        <v>1</v>
      </c>
      <c r="AD93" s="179">
        <f t="shared" si="33"/>
        <v>1</v>
      </c>
      <c r="AE93" s="179">
        <f t="shared" ref="AE93:AF93" si="43">AD93</f>
        <v>1</v>
      </c>
      <c r="AF93" s="179">
        <f t="shared" si="43"/>
        <v>1</v>
      </c>
    </row>
    <row r="94" spans="2:32">
      <c r="B94" s="121"/>
      <c r="C94" s="656" t="s">
        <v>1401</v>
      </c>
      <c r="D94" s="257"/>
      <c r="E94" s="121" t="s">
        <v>740</v>
      </c>
      <c r="F94" s="205" t="s">
        <v>230</v>
      </c>
      <c r="G94">
        <f>IF(Assumptions_Dashboard!$L$4="MDO",0,15)</f>
        <v>15</v>
      </c>
      <c r="H94" s="366">
        <f>IFERROR(VLOOKUP(F94,Assumptions_Dashboard!$C$38:$D$72,2,FALSE),0)</f>
        <v>240000</v>
      </c>
      <c r="J94" s="179"/>
      <c r="K94" s="179"/>
      <c r="L94" s="179"/>
      <c r="M94" s="179"/>
      <c r="N94" s="179">
        <f t="shared" si="32"/>
        <v>15</v>
      </c>
      <c r="O94" s="179">
        <f t="shared" si="33"/>
        <v>15</v>
      </c>
      <c r="P94" s="179">
        <f t="shared" si="33"/>
        <v>15</v>
      </c>
      <c r="Q94" s="179">
        <f t="shared" si="33"/>
        <v>15</v>
      </c>
      <c r="R94" s="179">
        <f t="shared" si="33"/>
        <v>15</v>
      </c>
      <c r="S94" s="179">
        <f t="shared" si="33"/>
        <v>15</v>
      </c>
      <c r="T94" s="179">
        <f t="shared" si="33"/>
        <v>15</v>
      </c>
      <c r="U94" s="179">
        <f t="shared" si="33"/>
        <v>15</v>
      </c>
      <c r="V94" s="179">
        <f t="shared" si="33"/>
        <v>15</v>
      </c>
      <c r="W94" s="179">
        <f t="shared" si="33"/>
        <v>15</v>
      </c>
      <c r="X94" s="179">
        <f t="shared" si="33"/>
        <v>15</v>
      </c>
      <c r="Y94" s="179">
        <f t="shared" si="33"/>
        <v>15</v>
      </c>
      <c r="Z94" s="179">
        <f t="shared" si="33"/>
        <v>15</v>
      </c>
      <c r="AA94" s="179">
        <f t="shared" si="33"/>
        <v>15</v>
      </c>
      <c r="AB94" s="179">
        <f t="shared" si="33"/>
        <v>15</v>
      </c>
      <c r="AC94" s="179">
        <f t="shared" si="33"/>
        <v>15</v>
      </c>
      <c r="AD94" s="179">
        <f t="shared" si="33"/>
        <v>15</v>
      </c>
      <c r="AE94" s="179">
        <f t="shared" ref="AE94:AF94" si="44">AD94</f>
        <v>15</v>
      </c>
      <c r="AF94" s="179">
        <f t="shared" si="44"/>
        <v>15</v>
      </c>
    </row>
    <row r="95" spans="2:32">
      <c r="B95" s="121"/>
      <c r="C95" s="656" t="s">
        <v>1402</v>
      </c>
      <c r="D95" s="257"/>
      <c r="E95" s="121" t="s">
        <v>740</v>
      </c>
      <c r="F95" s="205" t="s">
        <v>223</v>
      </c>
      <c r="G95">
        <f>IF(Assumptions_Dashboard!$L$4="MDO",0,1)</f>
        <v>1</v>
      </c>
      <c r="H95" s="366">
        <f>IFERROR(VLOOKUP(F95,Assumptions_Dashboard!$C$38:$D$72,2,FALSE),0)</f>
        <v>420000</v>
      </c>
      <c r="J95" s="179"/>
      <c r="K95" s="179"/>
      <c r="L95" s="179"/>
      <c r="M95" s="179"/>
      <c r="N95" s="179">
        <f t="shared" si="32"/>
        <v>1</v>
      </c>
      <c r="O95" s="179">
        <f t="shared" si="33"/>
        <v>1</v>
      </c>
      <c r="P95" s="179">
        <f t="shared" si="33"/>
        <v>1</v>
      </c>
      <c r="Q95" s="179">
        <f t="shared" si="33"/>
        <v>1</v>
      </c>
      <c r="R95" s="179">
        <f t="shared" si="33"/>
        <v>1</v>
      </c>
      <c r="S95" s="179">
        <f t="shared" si="33"/>
        <v>1</v>
      </c>
      <c r="T95" s="179">
        <f t="shared" si="33"/>
        <v>1</v>
      </c>
      <c r="U95" s="179">
        <f t="shared" si="33"/>
        <v>1</v>
      </c>
      <c r="V95" s="179">
        <f t="shared" si="33"/>
        <v>1</v>
      </c>
      <c r="W95" s="179">
        <f t="shared" si="33"/>
        <v>1</v>
      </c>
      <c r="X95" s="179">
        <f t="shared" si="33"/>
        <v>1</v>
      </c>
      <c r="Y95" s="179">
        <f t="shared" si="33"/>
        <v>1</v>
      </c>
      <c r="Z95" s="179">
        <f t="shared" si="33"/>
        <v>1</v>
      </c>
      <c r="AA95" s="179">
        <f t="shared" si="33"/>
        <v>1</v>
      </c>
      <c r="AB95" s="179">
        <f t="shared" si="33"/>
        <v>1</v>
      </c>
      <c r="AC95" s="179">
        <f t="shared" si="33"/>
        <v>1</v>
      </c>
      <c r="AD95" s="179">
        <f t="shared" si="33"/>
        <v>1</v>
      </c>
      <c r="AE95" s="179">
        <f t="shared" ref="AE95:AF95" si="45">AD95</f>
        <v>1</v>
      </c>
      <c r="AF95" s="179">
        <f t="shared" si="45"/>
        <v>1</v>
      </c>
    </row>
    <row r="96" spans="2:32">
      <c r="B96" s="121"/>
      <c r="C96" s="656" t="s">
        <v>1403</v>
      </c>
      <c r="D96" s="257"/>
      <c r="E96" s="121" t="s">
        <v>740</v>
      </c>
      <c r="F96" s="205" t="s">
        <v>223</v>
      </c>
      <c r="G96">
        <f>IF(Assumptions_Dashboard!$L$4="MDO",0,1)</f>
        <v>1</v>
      </c>
      <c r="H96" s="366">
        <f>IFERROR(VLOOKUP(F96,Assumptions_Dashboard!$C$38:$D$72,2,FALSE),0)</f>
        <v>420000</v>
      </c>
      <c r="J96" s="179"/>
      <c r="K96" s="179"/>
      <c r="L96" s="179"/>
      <c r="M96" s="179"/>
      <c r="N96" s="179">
        <f t="shared" si="32"/>
        <v>1</v>
      </c>
      <c r="O96" s="179">
        <f t="shared" si="33"/>
        <v>1</v>
      </c>
      <c r="P96" s="179">
        <f t="shared" si="33"/>
        <v>1</v>
      </c>
      <c r="Q96" s="179">
        <f t="shared" si="33"/>
        <v>1</v>
      </c>
      <c r="R96" s="179">
        <f t="shared" si="33"/>
        <v>1</v>
      </c>
      <c r="S96" s="179">
        <f t="shared" si="33"/>
        <v>1</v>
      </c>
      <c r="T96" s="179">
        <f t="shared" si="33"/>
        <v>1</v>
      </c>
      <c r="U96" s="179">
        <f t="shared" si="33"/>
        <v>1</v>
      </c>
      <c r="V96" s="179">
        <f t="shared" si="33"/>
        <v>1</v>
      </c>
      <c r="W96" s="179">
        <f t="shared" si="33"/>
        <v>1</v>
      </c>
      <c r="X96" s="179">
        <f t="shared" si="33"/>
        <v>1</v>
      </c>
      <c r="Y96" s="179">
        <f t="shared" si="33"/>
        <v>1</v>
      </c>
      <c r="Z96" s="179">
        <f t="shared" si="33"/>
        <v>1</v>
      </c>
      <c r="AA96" s="179">
        <f t="shared" ref="AA96:AF96" si="46">Z96</f>
        <v>1</v>
      </c>
      <c r="AB96" s="179">
        <f t="shared" si="46"/>
        <v>1</v>
      </c>
      <c r="AC96" s="179">
        <f t="shared" si="46"/>
        <v>1</v>
      </c>
      <c r="AD96" s="179">
        <f t="shared" si="46"/>
        <v>1</v>
      </c>
      <c r="AE96" s="179">
        <f t="shared" si="46"/>
        <v>1</v>
      </c>
      <c r="AF96" s="179">
        <f t="shared" si="46"/>
        <v>1</v>
      </c>
    </row>
    <row r="97" spans="2:32">
      <c r="B97" s="121"/>
      <c r="C97" s="186" t="s">
        <v>1404</v>
      </c>
      <c r="D97" s="257"/>
      <c r="E97" s="121"/>
      <c r="F97" s="205"/>
      <c r="H97" s="366">
        <f>IFERROR(VLOOKUP(F97,Assumptions_Dashboard!$C$38:$D$72,2,FALSE),0)</f>
        <v>0</v>
      </c>
      <c r="J97" s="179"/>
      <c r="K97" s="179"/>
      <c r="L97" s="179"/>
      <c r="M97" s="179"/>
      <c r="N97" s="179">
        <f t="shared" si="32"/>
        <v>0</v>
      </c>
      <c r="O97" s="179">
        <f t="shared" si="33"/>
        <v>0</v>
      </c>
      <c r="P97" s="179">
        <f t="shared" ref="P97:AF97" si="47">O97</f>
        <v>0</v>
      </c>
      <c r="Q97" s="179">
        <f t="shared" si="47"/>
        <v>0</v>
      </c>
      <c r="R97" s="179">
        <f t="shared" si="47"/>
        <v>0</v>
      </c>
      <c r="S97" s="179">
        <f t="shared" si="47"/>
        <v>0</v>
      </c>
      <c r="T97" s="179">
        <f t="shared" si="47"/>
        <v>0</v>
      </c>
      <c r="U97" s="179">
        <f t="shared" si="47"/>
        <v>0</v>
      </c>
      <c r="V97" s="179">
        <f t="shared" si="47"/>
        <v>0</v>
      </c>
      <c r="W97" s="179">
        <f t="shared" si="47"/>
        <v>0</v>
      </c>
      <c r="X97" s="179">
        <f t="shared" si="47"/>
        <v>0</v>
      </c>
      <c r="Y97" s="179">
        <f t="shared" si="47"/>
        <v>0</v>
      </c>
      <c r="Z97" s="179">
        <f t="shared" si="47"/>
        <v>0</v>
      </c>
      <c r="AA97" s="179">
        <f t="shared" si="47"/>
        <v>0</v>
      </c>
      <c r="AB97" s="179">
        <f t="shared" si="47"/>
        <v>0</v>
      </c>
      <c r="AC97" s="179">
        <f t="shared" si="47"/>
        <v>0</v>
      </c>
      <c r="AD97" s="179">
        <f t="shared" si="47"/>
        <v>0</v>
      </c>
      <c r="AE97" s="179">
        <f t="shared" si="47"/>
        <v>0</v>
      </c>
      <c r="AF97" s="179">
        <f t="shared" si="47"/>
        <v>0</v>
      </c>
    </row>
    <row r="98" spans="2:32">
      <c r="C98" s="655" t="s">
        <v>1405</v>
      </c>
      <c r="D98" s="257" t="s">
        <v>1336</v>
      </c>
      <c r="E98" s="121" t="s">
        <v>740</v>
      </c>
      <c r="F98" s="205" t="s">
        <v>212</v>
      </c>
      <c r="H98" s="366">
        <f>IFERROR(VLOOKUP(F98,Assumptions_Dashboard!$C$38:$D$72,2,FALSE),0)</f>
        <v>670000</v>
      </c>
      <c r="J98" s="179"/>
      <c r="K98" s="179"/>
      <c r="L98" s="179"/>
      <c r="M98" s="179"/>
      <c r="N98" s="179">
        <f t="shared" si="32"/>
        <v>0</v>
      </c>
      <c r="O98" s="179">
        <f t="shared" si="33"/>
        <v>0</v>
      </c>
      <c r="P98" s="179">
        <f t="shared" ref="P98:AF98" si="48">O98</f>
        <v>0</v>
      </c>
      <c r="Q98" s="179">
        <f t="shared" si="48"/>
        <v>0</v>
      </c>
      <c r="R98" s="179">
        <f t="shared" si="48"/>
        <v>0</v>
      </c>
      <c r="S98" s="179">
        <f t="shared" si="48"/>
        <v>0</v>
      </c>
      <c r="T98" s="179">
        <f t="shared" si="48"/>
        <v>0</v>
      </c>
      <c r="U98" s="179">
        <f t="shared" si="48"/>
        <v>0</v>
      </c>
      <c r="V98" s="179">
        <f t="shared" si="48"/>
        <v>0</v>
      </c>
      <c r="W98" s="179">
        <f t="shared" si="48"/>
        <v>0</v>
      </c>
      <c r="X98" s="179">
        <f t="shared" si="48"/>
        <v>0</v>
      </c>
      <c r="Y98" s="179">
        <f t="shared" si="48"/>
        <v>0</v>
      </c>
      <c r="Z98" s="179">
        <f t="shared" si="48"/>
        <v>0</v>
      </c>
      <c r="AA98" s="179">
        <f t="shared" si="48"/>
        <v>0</v>
      </c>
      <c r="AB98" s="179">
        <f t="shared" si="48"/>
        <v>0</v>
      </c>
      <c r="AC98" s="179">
        <f t="shared" si="48"/>
        <v>0</v>
      </c>
      <c r="AD98" s="179">
        <f t="shared" si="48"/>
        <v>0</v>
      </c>
      <c r="AE98" s="179">
        <f t="shared" si="48"/>
        <v>0</v>
      </c>
      <c r="AF98" s="179">
        <f t="shared" si="48"/>
        <v>0</v>
      </c>
    </row>
    <row r="99" spans="2:32">
      <c r="B99" s="117"/>
      <c r="C99" s="655" t="s">
        <v>1406</v>
      </c>
      <c r="D99" s="257" t="s">
        <v>1336</v>
      </c>
      <c r="E99" s="121" t="s">
        <v>740</v>
      </c>
      <c r="F99" s="205" t="s">
        <v>194</v>
      </c>
      <c r="H99" s="366">
        <f>IFERROR(VLOOKUP(F99,Assumptions_Dashboard!$C$38:$D$72,2,FALSE),0)</f>
        <v>960000</v>
      </c>
      <c r="J99" s="179"/>
      <c r="K99" s="179"/>
      <c r="L99" s="179"/>
      <c r="M99" s="179"/>
      <c r="N99" s="179">
        <f t="shared" si="32"/>
        <v>0</v>
      </c>
      <c r="O99" s="179">
        <f t="shared" si="33"/>
        <v>0</v>
      </c>
      <c r="P99" s="179">
        <f t="shared" ref="P99:AF99" si="49">O99</f>
        <v>0</v>
      </c>
      <c r="Q99" s="179">
        <f t="shared" si="49"/>
        <v>0</v>
      </c>
      <c r="R99" s="179">
        <f t="shared" si="49"/>
        <v>0</v>
      </c>
      <c r="S99" s="179">
        <f t="shared" si="49"/>
        <v>0</v>
      </c>
      <c r="T99" s="179">
        <f t="shared" si="49"/>
        <v>0</v>
      </c>
      <c r="U99" s="179">
        <f t="shared" si="49"/>
        <v>0</v>
      </c>
      <c r="V99" s="179">
        <f t="shared" si="49"/>
        <v>0</v>
      </c>
      <c r="W99" s="179">
        <f t="shared" si="49"/>
        <v>0</v>
      </c>
      <c r="X99" s="179">
        <f t="shared" si="49"/>
        <v>0</v>
      </c>
      <c r="Y99" s="179">
        <f t="shared" si="49"/>
        <v>0</v>
      </c>
      <c r="Z99" s="179">
        <f t="shared" si="49"/>
        <v>0</v>
      </c>
      <c r="AA99" s="179">
        <f t="shared" si="49"/>
        <v>0</v>
      </c>
      <c r="AB99" s="179">
        <f t="shared" si="49"/>
        <v>0</v>
      </c>
      <c r="AC99" s="179">
        <f t="shared" si="49"/>
        <v>0</v>
      </c>
      <c r="AD99" s="179">
        <f t="shared" si="49"/>
        <v>0</v>
      </c>
      <c r="AE99" s="179">
        <f t="shared" si="49"/>
        <v>0</v>
      </c>
      <c r="AF99" s="179">
        <f t="shared" si="49"/>
        <v>0</v>
      </c>
    </row>
    <row r="100" spans="2:32">
      <c r="B100" s="117"/>
      <c r="C100" s="655" t="s">
        <v>1407</v>
      </c>
      <c r="D100" s="257"/>
      <c r="E100" s="121" t="s">
        <v>740</v>
      </c>
      <c r="F100" s="205" t="s">
        <v>211</v>
      </c>
      <c r="G100">
        <f>IF(Assumptions_Dashboard!$L$4="MDO",0,3)</f>
        <v>3</v>
      </c>
      <c r="H100" s="366">
        <f>IFERROR(VLOOKUP(F100,Assumptions_Dashboard!$C$38:$D$72,2,FALSE),0)</f>
        <v>780000</v>
      </c>
      <c r="J100" s="179"/>
      <c r="K100" s="179"/>
      <c r="L100" s="179"/>
      <c r="M100" s="179"/>
      <c r="N100" s="179">
        <f t="shared" si="32"/>
        <v>3</v>
      </c>
      <c r="O100" s="179">
        <f t="shared" si="33"/>
        <v>3</v>
      </c>
      <c r="P100" s="179">
        <f t="shared" ref="P100:AF100" si="50">O100</f>
        <v>3</v>
      </c>
      <c r="Q100" s="179">
        <f t="shared" si="50"/>
        <v>3</v>
      </c>
      <c r="R100" s="179">
        <f t="shared" si="50"/>
        <v>3</v>
      </c>
      <c r="S100" s="179">
        <f t="shared" si="50"/>
        <v>3</v>
      </c>
      <c r="T100" s="179">
        <f t="shared" si="50"/>
        <v>3</v>
      </c>
      <c r="U100" s="179">
        <f t="shared" si="50"/>
        <v>3</v>
      </c>
      <c r="V100" s="179">
        <f t="shared" si="50"/>
        <v>3</v>
      </c>
      <c r="W100" s="179">
        <f t="shared" si="50"/>
        <v>3</v>
      </c>
      <c r="X100" s="179">
        <f t="shared" si="50"/>
        <v>3</v>
      </c>
      <c r="Y100" s="179">
        <f t="shared" si="50"/>
        <v>3</v>
      </c>
      <c r="Z100" s="179">
        <f t="shared" si="50"/>
        <v>3</v>
      </c>
      <c r="AA100" s="179">
        <f t="shared" si="50"/>
        <v>3</v>
      </c>
      <c r="AB100" s="179">
        <f t="shared" si="50"/>
        <v>3</v>
      </c>
      <c r="AC100" s="179">
        <f t="shared" si="50"/>
        <v>3</v>
      </c>
      <c r="AD100" s="179">
        <f t="shared" si="50"/>
        <v>3</v>
      </c>
      <c r="AE100" s="179">
        <f t="shared" si="50"/>
        <v>3</v>
      </c>
      <c r="AF100" s="179">
        <f t="shared" si="50"/>
        <v>3</v>
      </c>
    </row>
    <row r="101" spans="2:32">
      <c r="B101" s="117"/>
      <c r="C101" s="655" t="s">
        <v>1408</v>
      </c>
      <c r="D101" s="257"/>
      <c r="E101" s="121" t="s">
        <v>740</v>
      </c>
      <c r="F101" s="205" t="s">
        <v>218</v>
      </c>
      <c r="G101">
        <f>IF(Assumptions_Dashboard!$L$4="MDO",0,6)</f>
        <v>6</v>
      </c>
      <c r="H101" s="366">
        <f>IFERROR(VLOOKUP(F101,Assumptions_Dashboard!$C$38:$D$72,2,FALSE),0)</f>
        <v>600000</v>
      </c>
      <c r="J101" s="179"/>
      <c r="K101" s="179"/>
      <c r="L101" s="179"/>
      <c r="M101" s="179"/>
      <c r="N101" s="179">
        <f t="shared" si="32"/>
        <v>6</v>
      </c>
      <c r="O101" s="179">
        <f t="shared" si="33"/>
        <v>6</v>
      </c>
      <c r="P101" s="179">
        <f t="shared" ref="P101:AF101" si="51">O101</f>
        <v>6</v>
      </c>
      <c r="Q101" s="179">
        <f t="shared" si="51"/>
        <v>6</v>
      </c>
      <c r="R101" s="179">
        <f t="shared" si="51"/>
        <v>6</v>
      </c>
      <c r="S101" s="179">
        <f t="shared" si="51"/>
        <v>6</v>
      </c>
      <c r="T101" s="179">
        <f t="shared" si="51"/>
        <v>6</v>
      </c>
      <c r="U101" s="179">
        <f t="shared" si="51"/>
        <v>6</v>
      </c>
      <c r="V101" s="179">
        <f t="shared" si="51"/>
        <v>6</v>
      </c>
      <c r="W101" s="179">
        <f t="shared" si="51"/>
        <v>6</v>
      </c>
      <c r="X101" s="179">
        <f t="shared" si="51"/>
        <v>6</v>
      </c>
      <c r="Y101" s="179">
        <f t="shared" si="51"/>
        <v>6</v>
      </c>
      <c r="Z101" s="179">
        <f t="shared" si="51"/>
        <v>6</v>
      </c>
      <c r="AA101" s="179">
        <f t="shared" si="51"/>
        <v>6</v>
      </c>
      <c r="AB101" s="179">
        <f t="shared" si="51"/>
        <v>6</v>
      </c>
      <c r="AC101" s="179">
        <f t="shared" si="51"/>
        <v>6</v>
      </c>
      <c r="AD101" s="179">
        <f t="shared" si="51"/>
        <v>6</v>
      </c>
      <c r="AE101" s="179">
        <f t="shared" si="51"/>
        <v>6</v>
      </c>
      <c r="AF101" s="179">
        <f t="shared" si="51"/>
        <v>6</v>
      </c>
    </row>
    <row r="102" spans="2:32">
      <c r="B102" s="121"/>
      <c r="C102" s="655" t="s">
        <v>1409</v>
      </c>
      <c r="D102" s="257"/>
      <c r="E102" s="121" t="s">
        <v>740</v>
      </c>
      <c r="F102" s="205"/>
      <c r="H102" s="366">
        <f>IFERROR(VLOOKUP(F102,Assumptions_Dashboard!$C$38:$D$72,2,FALSE),0)</f>
        <v>0</v>
      </c>
      <c r="J102" s="179"/>
      <c r="K102" s="179"/>
      <c r="L102" s="179"/>
      <c r="M102" s="179"/>
      <c r="N102" s="179">
        <f t="shared" si="32"/>
        <v>0</v>
      </c>
      <c r="O102" s="179">
        <f t="shared" si="33"/>
        <v>0</v>
      </c>
      <c r="P102" s="179">
        <f t="shared" ref="P102:AF102" si="52">O102</f>
        <v>0</v>
      </c>
      <c r="Q102" s="179">
        <f t="shared" si="52"/>
        <v>0</v>
      </c>
      <c r="R102" s="179">
        <f t="shared" si="52"/>
        <v>0</v>
      </c>
      <c r="S102" s="179">
        <f t="shared" si="52"/>
        <v>0</v>
      </c>
      <c r="T102" s="179">
        <f t="shared" si="52"/>
        <v>0</v>
      </c>
      <c r="U102" s="179">
        <f t="shared" si="52"/>
        <v>0</v>
      </c>
      <c r="V102" s="179">
        <f t="shared" si="52"/>
        <v>0</v>
      </c>
      <c r="W102" s="179">
        <f t="shared" si="52"/>
        <v>0</v>
      </c>
      <c r="X102" s="179">
        <f t="shared" si="52"/>
        <v>0</v>
      </c>
      <c r="Y102" s="179">
        <f t="shared" si="52"/>
        <v>0</v>
      </c>
      <c r="Z102" s="179">
        <f t="shared" si="52"/>
        <v>0</v>
      </c>
      <c r="AA102" s="179">
        <f t="shared" si="52"/>
        <v>0</v>
      </c>
      <c r="AB102" s="179">
        <f t="shared" si="52"/>
        <v>0</v>
      </c>
      <c r="AC102" s="179">
        <f t="shared" si="52"/>
        <v>0</v>
      </c>
      <c r="AD102" s="179">
        <f t="shared" si="52"/>
        <v>0</v>
      </c>
      <c r="AE102" s="179">
        <f t="shared" si="52"/>
        <v>0</v>
      </c>
      <c r="AF102" s="179">
        <f t="shared" si="52"/>
        <v>0</v>
      </c>
    </row>
    <row r="103" spans="2:32">
      <c r="B103" s="121"/>
      <c r="C103" s="655" t="s">
        <v>1410</v>
      </c>
      <c r="D103" s="257"/>
      <c r="E103" s="121" t="s">
        <v>740</v>
      </c>
      <c r="F103" s="205" t="s">
        <v>218</v>
      </c>
      <c r="G103">
        <f>IF(Assumptions_Dashboard!$L$4="MDO",0,3)</f>
        <v>3</v>
      </c>
      <c r="H103" s="366">
        <f>IFERROR(VLOOKUP(F103,Assumptions_Dashboard!$C$38:$D$72,2,FALSE),0)</f>
        <v>600000</v>
      </c>
      <c r="J103" s="179"/>
      <c r="K103" s="179"/>
      <c r="L103" s="179"/>
      <c r="M103" s="179"/>
      <c r="N103" s="179">
        <f t="shared" si="32"/>
        <v>3</v>
      </c>
      <c r="O103" s="179">
        <f t="shared" si="33"/>
        <v>3</v>
      </c>
      <c r="P103" s="179">
        <f t="shared" ref="P103:AF103" si="53">O103</f>
        <v>3</v>
      </c>
      <c r="Q103" s="179">
        <f t="shared" si="53"/>
        <v>3</v>
      </c>
      <c r="R103" s="179">
        <f t="shared" si="53"/>
        <v>3</v>
      </c>
      <c r="S103" s="179">
        <f t="shared" si="53"/>
        <v>3</v>
      </c>
      <c r="T103" s="179">
        <f t="shared" si="53"/>
        <v>3</v>
      </c>
      <c r="U103" s="179">
        <f t="shared" si="53"/>
        <v>3</v>
      </c>
      <c r="V103" s="179">
        <f t="shared" si="53"/>
        <v>3</v>
      </c>
      <c r="W103" s="179">
        <f t="shared" si="53"/>
        <v>3</v>
      </c>
      <c r="X103" s="179">
        <f t="shared" si="53"/>
        <v>3</v>
      </c>
      <c r="Y103" s="179">
        <f t="shared" si="53"/>
        <v>3</v>
      </c>
      <c r="Z103" s="179">
        <f t="shared" si="53"/>
        <v>3</v>
      </c>
      <c r="AA103" s="179">
        <f t="shared" si="53"/>
        <v>3</v>
      </c>
      <c r="AB103" s="179">
        <f t="shared" si="53"/>
        <v>3</v>
      </c>
      <c r="AC103" s="179">
        <f t="shared" si="53"/>
        <v>3</v>
      </c>
      <c r="AD103" s="179">
        <f t="shared" si="53"/>
        <v>3</v>
      </c>
      <c r="AE103" s="179">
        <f t="shared" si="53"/>
        <v>3</v>
      </c>
      <c r="AF103" s="179">
        <f t="shared" si="53"/>
        <v>3</v>
      </c>
    </row>
    <row r="104" spans="2:32">
      <c r="B104" s="121"/>
      <c r="C104" s="655" t="s">
        <v>1411</v>
      </c>
      <c r="D104" s="257"/>
      <c r="E104" s="121" t="s">
        <v>740</v>
      </c>
      <c r="F104" s="205" t="s">
        <v>216</v>
      </c>
      <c r="G104">
        <f>IF(Assumptions_Dashboard!$L$4="MDO",0,3)</f>
        <v>3</v>
      </c>
      <c r="H104" s="366">
        <f>IFERROR(VLOOKUP(F104,Assumptions_Dashboard!$C$38:$D$72,2,FALSE),0)</f>
        <v>610000</v>
      </c>
      <c r="J104" s="179"/>
      <c r="K104" s="179"/>
      <c r="L104" s="179"/>
      <c r="M104" s="179"/>
      <c r="N104" s="179">
        <f t="shared" si="32"/>
        <v>3</v>
      </c>
      <c r="O104" s="179">
        <f t="shared" si="33"/>
        <v>3</v>
      </c>
      <c r="P104" s="179">
        <f t="shared" ref="P104:AF104" si="54">O104</f>
        <v>3</v>
      </c>
      <c r="Q104" s="179">
        <f t="shared" si="54"/>
        <v>3</v>
      </c>
      <c r="R104" s="179">
        <f t="shared" si="54"/>
        <v>3</v>
      </c>
      <c r="S104" s="179">
        <f t="shared" si="54"/>
        <v>3</v>
      </c>
      <c r="T104" s="179">
        <f t="shared" si="54"/>
        <v>3</v>
      </c>
      <c r="U104" s="179">
        <f t="shared" si="54"/>
        <v>3</v>
      </c>
      <c r="V104" s="179">
        <f t="shared" si="54"/>
        <v>3</v>
      </c>
      <c r="W104" s="179">
        <f t="shared" si="54"/>
        <v>3</v>
      </c>
      <c r="X104" s="179">
        <f t="shared" si="54"/>
        <v>3</v>
      </c>
      <c r="Y104" s="179">
        <f t="shared" si="54"/>
        <v>3</v>
      </c>
      <c r="Z104" s="179">
        <f t="shared" si="54"/>
        <v>3</v>
      </c>
      <c r="AA104" s="179">
        <f t="shared" si="54"/>
        <v>3</v>
      </c>
      <c r="AB104" s="179">
        <f t="shared" si="54"/>
        <v>3</v>
      </c>
      <c r="AC104" s="179">
        <f t="shared" si="54"/>
        <v>3</v>
      </c>
      <c r="AD104" s="179">
        <f t="shared" si="54"/>
        <v>3</v>
      </c>
      <c r="AE104" s="179">
        <f t="shared" si="54"/>
        <v>3</v>
      </c>
      <c r="AF104" s="179">
        <f t="shared" si="54"/>
        <v>3</v>
      </c>
    </row>
    <row r="105" spans="2:32">
      <c r="B105" s="121"/>
      <c r="C105" s="655" t="s">
        <v>1392</v>
      </c>
      <c r="D105" s="257"/>
      <c r="E105" s="121" t="s">
        <v>740</v>
      </c>
      <c r="F105" s="205" t="s">
        <v>220</v>
      </c>
      <c r="G105">
        <f>IF(Assumptions_Dashboard!$L$4="MDO",0,6)</f>
        <v>6</v>
      </c>
      <c r="H105" s="366">
        <f>IFERROR(VLOOKUP(F105,Assumptions_Dashboard!$C$38:$D$72,2,FALSE),0)</f>
        <v>600000</v>
      </c>
      <c r="J105" s="179"/>
      <c r="K105" s="179"/>
      <c r="L105" s="179"/>
      <c r="M105" s="179"/>
      <c r="N105" s="179">
        <f t="shared" si="32"/>
        <v>6</v>
      </c>
      <c r="O105" s="179">
        <f t="shared" si="33"/>
        <v>6</v>
      </c>
      <c r="P105" s="179">
        <f t="shared" ref="P105:AF105" si="55">O105</f>
        <v>6</v>
      </c>
      <c r="Q105" s="179">
        <f t="shared" si="55"/>
        <v>6</v>
      </c>
      <c r="R105" s="179">
        <f t="shared" si="55"/>
        <v>6</v>
      </c>
      <c r="S105" s="179">
        <f t="shared" si="55"/>
        <v>6</v>
      </c>
      <c r="T105" s="179">
        <f t="shared" si="55"/>
        <v>6</v>
      </c>
      <c r="U105" s="179">
        <f t="shared" si="55"/>
        <v>6</v>
      </c>
      <c r="V105" s="179">
        <f t="shared" si="55"/>
        <v>6</v>
      </c>
      <c r="W105" s="179">
        <f t="shared" si="55"/>
        <v>6</v>
      </c>
      <c r="X105" s="179">
        <f t="shared" si="55"/>
        <v>6</v>
      </c>
      <c r="Y105" s="179">
        <f t="shared" si="55"/>
        <v>6</v>
      </c>
      <c r="Z105" s="179">
        <f t="shared" si="55"/>
        <v>6</v>
      </c>
      <c r="AA105" s="179">
        <f t="shared" si="55"/>
        <v>6</v>
      </c>
      <c r="AB105" s="179">
        <f t="shared" si="55"/>
        <v>6</v>
      </c>
      <c r="AC105" s="179">
        <f t="shared" si="55"/>
        <v>6</v>
      </c>
      <c r="AD105" s="179">
        <f t="shared" si="55"/>
        <v>6</v>
      </c>
      <c r="AE105" s="179">
        <f t="shared" si="55"/>
        <v>6</v>
      </c>
      <c r="AF105" s="179">
        <f t="shared" si="55"/>
        <v>6</v>
      </c>
    </row>
    <row r="106" spans="2:32">
      <c r="B106" s="121"/>
      <c r="C106" s="655" t="s">
        <v>1393</v>
      </c>
      <c r="D106" s="257"/>
      <c r="E106" s="121" t="s">
        <v>740</v>
      </c>
      <c r="F106" s="205" t="s">
        <v>220</v>
      </c>
      <c r="G106">
        <f>IF(Assumptions_Dashboard!$L$4="MDO",0,3)</f>
        <v>3</v>
      </c>
      <c r="H106" s="366">
        <f>IFERROR(VLOOKUP(F106,Assumptions_Dashboard!$C$38:$D$72,2,FALSE),0)</f>
        <v>600000</v>
      </c>
      <c r="J106" s="179"/>
      <c r="K106" s="179"/>
      <c r="L106" s="179"/>
      <c r="M106" s="179"/>
      <c r="N106" s="179">
        <f t="shared" si="32"/>
        <v>3</v>
      </c>
      <c r="O106" s="179">
        <f t="shared" si="33"/>
        <v>3</v>
      </c>
      <c r="P106" s="179">
        <f t="shared" ref="P106:AF106" si="56">O106</f>
        <v>3</v>
      </c>
      <c r="Q106" s="179">
        <f t="shared" si="56"/>
        <v>3</v>
      </c>
      <c r="R106" s="179">
        <f t="shared" si="56"/>
        <v>3</v>
      </c>
      <c r="S106" s="179">
        <f t="shared" si="56"/>
        <v>3</v>
      </c>
      <c r="T106" s="179">
        <f t="shared" si="56"/>
        <v>3</v>
      </c>
      <c r="U106" s="179">
        <f t="shared" si="56"/>
        <v>3</v>
      </c>
      <c r="V106" s="179">
        <f t="shared" si="56"/>
        <v>3</v>
      </c>
      <c r="W106" s="179">
        <f t="shared" si="56"/>
        <v>3</v>
      </c>
      <c r="X106" s="179">
        <f t="shared" si="56"/>
        <v>3</v>
      </c>
      <c r="Y106" s="179">
        <f t="shared" si="56"/>
        <v>3</v>
      </c>
      <c r="Z106" s="179">
        <f t="shared" si="56"/>
        <v>3</v>
      </c>
      <c r="AA106" s="179">
        <f t="shared" si="56"/>
        <v>3</v>
      </c>
      <c r="AB106" s="179">
        <f t="shared" si="56"/>
        <v>3</v>
      </c>
      <c r="AC106" s="179">
        <f t="shared" si="56"/>
        <v>3</v>
      </c>
      <c r="AD106" s="179">
        <f t="shared" si="56"/>
        <v>3</v>
      </c>
      <c r="AE106" s="179">
        <f t="shared" si="56"/>
        <v>3</v>
      </c>
      <c r="AF106" s="179">
        <f t="shared" si="56"/>
        <v>3</v>
      </c>
    </row>
    <row r="107" spans="2:32">
      <c r="B107" s="121"/>
      <c r="C107" s="655" t="s">
        <v>1394</v>
      </c>
      <c r="D107" s="257"/>
      <c r="E107" s="121" t="s">
        <v>740</v>
      </c>
      <c r="F107" s="205" t="s">
        <v>228</v>
      </c>
      <c r="G107">
        <f>IF(Assumptions_Dashboard!$L$4="MDO",0,6)</f>
        <v>6</v>
      </c>
      <c r="H107" s="366">
        <f>IFERROR(VLOOKUP(F107,Assumptions_Dashboard!$C$38:$D$72,2,FALSE),0)</f>
        <v>300000</v>
      </c>
      <c r="J107" s="179"/>
      <c r="K107" s="179"/>
      <c r="L107" s="179"/>
      <c r="M107" s="179"/>
      <c r="N107" s="179">
        <f t="shared" si="32"/>
        <v>6</v>
      </c>
      <c r="O107" s="179">
        <f t="shared" si="33"/>
        <v>6</v>
      </c>
      <c r="P107" s="179">
        <f t="shared" ref="P107:AF107" si="57">O107</f>
        <v>6</v>
      </c>
      <c r="Q107" s="179">
        <f t="shared" si="57"/>
        <v>6</v>
      </c>
      <c r="R107" s="179">
        <f t="shared" si="57"/>
        <v>6</v>
      </c>
      <c r="S107" s="179">
        <f t="shared" si="57"/>
        <v>6</v>
      </c>
      <c r="T107" s="179">
        <f t="shared" si="57"/>
        <v>6</v>
      </c>
      <c r="U107" s="179">
        <f t="shared" si="57"/>
        <v>6</v>
      </c>
      <c r="V107" s="179">
        <f t="shared" si="57"/>
        <v>6</v>
      </c>
      <c r="W107" s="179">
        <f t="shared" si="57"/>
        <v>6</v>
      </c>
      <c r="X107" s="179">
        <f t="shared" si="57"/>
        <v>6</v>
      </c>
      <c r="Y107" s="179">
        <f t="shared" si="57"/>
        <v>6</v>
      </c>
      <c r="Z107" s="179">
        <f t="shared" si="57"/>
        <v>6</v>
      </c>
      <c r="AA107" s="179">
        <f t="shared" si="57"/>
        <v>6</v>
      </c>
      <c r="AB107" s="179">
        <f t="shared" si="57"/>
        <v>6</v>
      </c>
      <c r="AC107" s="179">
        <f t="shared" si="57"/>
        <v>6</v>
      </c>
      <c r="AD107" s="179">
        <f t="shared" si="57"/>
        <v>6</v>
      </c>
      <c r="AE107" s="179">
        <f t="shared" si="57"/>
        <v>6</v>
      </c>
      <c r="AF107" s="179">
        <f t="shared" si="57"/>
        <v>6</v>
      </c>
    </row>
    <row r="108" spans="2:32">
      <c r="B108" s="121"/>
      <c r="C108" s="655" t="s">
        <v>1412</v>
      </c>
      <c r="D108" s="257"/>
      <c r="E108" s="121" t="s">
        <v>740</v>
      </c>
      <c r="F108" s="205" t="s">
        <v>228</v>
      </c>
      <c r="G108">
        <f>IF(Assumptions_Dashboard!$L$4="MDO",0,3)</f>
        <v>3</v>
      </c>
      <c r="H108" s="366">
        <f>IFERROR(VLOOKUP(F108,Assumptions_Dashboard!$C$38:$D$72,2,FALSE),0)</f>
        <v>300000</v>
      </c>
      <c r="J108" s="179"/>
      <c r="K108" s="179"/>
      <c r="L108" s="179"/>
      <c r="M108" s="179"/>
      <c r="N108" s="179">
        <f t="shared" si="32"/>
        <v>3</v>
      </c>
      <c r="O108" s="179">
        <f t="shared" si="33"/>
        <v>3</v>
      </c>
      <c r="P108" s="179">
        <f t="shared" ref="P108:AF108" si="58">O108</f>
        <v>3</v>
      </c>
      <c r="Q108" s="179">
        <f t="shared" si="58"/>
        <v>3</v>
      </c>
      <c r="R108" s="179">
        <f t="shared" si="58"/>
        <v>3</v>
      </c>
      <c r="S108" s="179">
        <f t="shared" si="58"/>
        <v>3</v>
      </c>
      <c r="T108" s="179">
        <f t="shared" si="58"/>
        <v>3</v>
      </c>
      <c r="U108" s="179">
        <f t="shared" si="58"/>
        <v>3</v>
      </c>
      <c r="V108" s="179">
        <f t="shared" si="58"/>
        <v>3</v>
      </c>
      <c r="W108" s="179">
        <f t="shared" si="58"/>
        <v>3</v>
      </c>
      <c r="X108" s="179">
        <f t="shared" si="58"/>
        <v>3</v>
      </c>
      <c r="Y108" s="179">
        <f t="shared" si="58"/>
        <v>3</v>
      </c>
      <c r="Z108" s="179">
        <f t="shared" si="58"/>
        <v>3</v>
      </c>
      <c r="AA108" s="179">
        <f t="shared" si="58"/>
        <v>3</v>
      </c>
      <c r="AB108" s="179">
        <f t="shared" si="58"/>
        <v>3</v>
      </c>
      <c r="AC108" s="179">
        <f t="shared" si="58"/>
        <v>3</v>
      </c>
      <c r="AD108" s="179">
        <f t="shared" si="58"/>
        <v>3</v>
      </c>
      <c r="AE108" s="179">
        <f t="shared" si="58"/>
        <v>3</v>
      </c>
      <c r="AF108" s="179">
        <f t="shared" si="58"/>
        <v>3</v>
      </c>
    </row>
    <row r="109" spans="2:32">
      <c r="B109" s="121"/>
      <c r="C109" s="655" t="s">
        <v>1413</v>
      </c>
      <c r="D109" s="257"/>
      <c r="E109" s="121" t="s">
        <v>740</v>
      </c>
      <c r="F109" s="205" t="s">
        <v>213</v>
      </c>
      <c r="G109">
        <f>IF(Assumptions_Dashboard!$L$4="MDO",0,3)</f>
        <v>3</v>
      </c>
      <c r="H109" s="366">
        <f>IFERROR(VLOOKUP(F109,Assumptions_Dashboard!$C$38:$D$72,2,FALSE),0)</f>
        <v>400000</v>
      </c>
      <c r="J109" s="179"/>
      <c r="K109" s="179"/>
      <c r="L109" s="179"/>
      <c r="M109" s="179"/>
      <c r="N109" s="179">
        <f t="shared" si="32"/>
        <v>3</v>
      </c>
      <c r="O109" s="179">
        <f t="shared" si="33"/>
        <v>3</v>
      </c>
      <c r="P109" s="179">
        <f t="shared" ref="P109:AF109" si="59">O109</f>
        <v>3</v>
      </c>
      <c r="Q109" s="179">
        <f t="shared" si="59"/>
        <v>3</v>
      </c>
      <c r="R109" s="179">
        <f t="shared" si="59"/>
        <v>3</v>
      </c>
      <c r="S109" s="179">
        <f t="shared" si="59"/>
        <v>3</v>
      </c>
      <c r="T109" s="179">
        <f t="shared" si="59"/>
        <v>3</v>
      </c>
      <c r="U109" s="179">
        <f t="shared" si="59"/>
        <v>3</v>
      </c>
      <c r="V109" s="179">
        <f t="shared" si="59"/>
        <v>3</v>
      </c>
      <c r="W109" s="179">
        <f t="shared" si="59"/>
        <v>3</v>
      </c>
      <c r="X109" s="179">
        <f t="shared" si="59"/>
        <v>3</v>
      </c>
      <c r="Y109" s="179">
        <f t="shared" si="59"/>
        <v>3</v>
      </c>
      <c r="Z109" s="179">
        <f t="shared" si="59"/>
        <v>3</v>
      </c>
      <c r="AA109" s="179">
        <f t="shared" si="59"/>
        <v>3</v>
      </c>
      <c r="AB109" s="179">
        <f t="shared" si="59"/>
        <v>3</v>
      </c>
      <c r="AC109" s="179">
        <f t="shared" si="59"/>
        <v>3</v>
      </c>
      <c r="AD109" s="179">
        <f t="shared" si="59"/>
        <v>3</v>
      </c>
      <c r="AE109" s="179">
        <f t="shared" si="59"/>
        <v>3</v>
      </c>
      <c r="AF109" s="179">
        <f t="shared" si="59"/>
        <v>3</v>
      </c>
    </row>
    <row r="110" spans="2:32">
      <c r="B110" s="121"/>
      <c r="C110" s="655" t="s">
        <v>1414</v>
      </c>
      <c r="D110" s="257"/>
      <c r="E110" s="121" t="s">
        <v>740</v>
      </c>
      <c r="F110" s="205" t="s">
        <v>226</v>
      </c>
      <c r="H110" s="366">
        <f>IFERROR(VLOOKUP(F110,Assumptions_Dashboard!$C$38:$D$72,2,FALSE),0)</f>
        <v>360000</v>
      </c>
      <c r="J110" s="179"/>
      <c r="K110" s="179"/>
      <c r="L110" s="179"/>
      <c r="M110" s="179"/>
      <c r="N110" s="179">
        <f t="shared" si="32"/>
        <v>0</v>
      </c>
      <c r="O110" s="179">
        <f t="shared" si="33"/>
        <v>0</v>
      </c>
      <c r="P110" s="179">
        <f t="shared" ref="P110:AF110" si="60">O110</f>
        <v>0</v>
      </c>
      <c r="Q110" s="179">
        <f t="shared" si="60"/>
        <v>0</v>
      </c>
      <c r="R110" s="179">
        <f t="shared" si="60"/>
        <v>0</v>
      </c>
      <c r="S110" s="179">
        <f t="shared" si="60"/>
        <v>0</v>
      </c>
      <c r="T110" s="179">
        <f t="shared" si="60"/>
        <v>0</v>
      </c>
      <c r="U110" s="179">
        <f t="shared" si="60"/>
        <v>0</v>
      </c>
      <c r="V110" s="179">
        <f t="shared" si="60"/>
        <v>0</v>
      </c>
      <c r="W110" s="179">
        <f t="shared" si="60"/>
        <v>0</v>
      </c>
      <c r="X110" s="179">
        <f t="shared" si="60"/>
        <v>0</v>
      </c>
      <c r="Y110" s="179">
        <f t="shared" si="60"/>
        <v>0</v>
      </c>
      <c r="Z110" s="179">
        <f t="shared" si="60"/>
        <v>0</v>
      </c>
      <c r="AA110" s="179">
        <f t="shared" si="60"/>
        <v>0</v>
      </c>
      <c r="AB110" s="179">
        <f t="shared" si="60"/>
        <v>0</v>
      </c>
      <c r="AC110" s="179">
        <f t="shared" si="60"/>
        <v>0</v>
      </c>
      <c r="AD110" s="179">
        <f t="shared" si="60"/>
        <v>0</v>
      </c>
      <c r="AE110" s="179">
        <f t="shared" si="60"/>
        <v>0</v>
      </c>
      <c r="AF110" s="179">
        <f t="shared" si="60"/>
        <v>0</v>
      </c>
    </row>
    <row r="111" spans="2:32">
      <c r="B111" s="121"/>
      <c r="C111" s="655" t="s">
        <v>1415</v>
      </c>
      <c r="D111" s="257"/>
      <c r="E111" s="121" t="s">
        <v>740</v>
      </c>
      <c r="F111" s="205" t="s">
        <v>228</v>
      </c>
      <c r="G111">
        <f>IF(Assumptions_Dashboard!$L$4="MDO",0,3)</f>
        <v>3</v>
      </c>
      <c r="H111" s="366">
        <f>IFERROR(VLOOKUP(F111,Assumptions_Dashboard!$C$38:$D$72,2,FALSE),0)</f>
        <v>300000</v>
      </c>
      <c r="J111" s="179"/>
      <c r="K111" s="179"/>
      <c r="L111" s="179"/>
      <c r="M111" s="179"/>
      <c r="N111" s="179">
        <f t="shared" si="32"/>
        <v>3</v>
      </c>
      <c r="O111" s="179">
        <f t="shared" si="33"/>
        <v>3</v>
      </c>
      <c r="P111" s="179">
        <f t="shared" ref="P111:AF111" si="61">O111</f>
        <v>3</v>
      </c>
      <c r="Q111" s="179">
        <f t="shared" si="61"/>
        <v>3</v>
      </c>
      <c r="R111" s="179">
        <f t="shared" si="61"/>
        <v>3</v>
      </c>
      <c r="S111" s="179">
        <f t="shared" si="61"/>
        <v>3</v>
      </c>
      <c r="T111" s="179">
        <f t="shared" si="61"/>
        <v>3</v>
      </c>
      <c r="U111" s="179">
        <f t="shared" si="61"/>
        <v>3</v>
      </c>
      <c r="V111" s="179">
        <f t="shared" si="61"/>
        <v>3</v>
      </c>
      <c r="W111" s="179">
        <f t="shared" si="61"/>
        <v>3</v>
      </c>
      <c r="X111" s="179">
        <f t="shared" si="61"/>
        <v>3</v>
      </c>
      <c r="Y111" s="179">
        <f t="shared" si="61"/>
        <v>3</v>
      </c>
      <c r="Z111" s="179">
        <f t="shared" si="61"/>
        <v>3</v>
      </c>
      <c r="AA111" s="179">
        <f t="shared" si="61"/>
        <v>3</v>
      </c>
      <c r="AB111" s="179">
        <f t="shared" si="61"/>
        <v>3</v>
      </c>
      <c r="AC111" s="179">
        <f t="shared" si="61"/>
        <v>3</v>
      </c>
      <c r="AD111" s="179">
        <f t="shared" si="61"/>
        <v>3</v>
      </c>
      <c r="AE111" s="179">
        <f t="shared" si="61"/>
        <v>3</v>
      </c>
      <c r="AF111" s="179">
        <f t="shared" si="61"/>
        <v>3</v>
      </c>
    </row>
    <row r="112" spans="2:32">
      <c r="B112" s="121"/>
      <c r="C112" s="655" t="s">
        <v>1416</v>
      </c>
      <c r="D112" s="257"/>
      <c r="E112" s="121" t="s">
        <v>740</v>
      </c>
      <c r="F112" s="205" t="s">
        <v>218</v>
      </c>
      <c r="H112" s="366">
        <f>IFERROR(VLOOKUP(F112,Assumptions_Dashboard!$C$38:$D$72,2,FALSE),0)</f>
        <v>600000</v>
      </c>
      <c r="J112" s="179"/>
      <c r="K112" s="179"/>
      <c r="L112" s="179"/>
      <c r="M112" s="179"/>
      <c r="N112" s="179">
        <f t="shared" si="32"/>
        <v>0</v>
      </c>
      <c r="O112" s="179">
        <f t="shared" si="33"/>
        <v>0</v>
      </c>
      <c r="P112" s="179">
        <f t="shared" ref="P112:AF112" si="62">O112</f>
        <v>0</v>
      </c>
      <c r="Q112" s="179">
        <f t="shared" si="62"/>
        <v>0</v>
      </c>
      <c r="R112" s="179">
        <f t="shared" si="62"/>
        <v>0</v>
      </c>
      <c r="S112" s="179">
        <f t="shared" si="62"/>
        <v>0</v>
      </c>
      <c r="T112" s="179">
        <f t="shared" si="62"/>
        <v>0</v>
      </c>
      <c r="U112" s="179">
        <f t="shared" si="62"/>
        <v>0</v>
      </c>
      <c r="V112" s="179">
        <f t="shared" si="62"/>
        <v>0</v>
      </c>
      <c r="W112" s="179">
        <f t="shared" si="62"/>
        <v>0</v>
      </c>
      <c r="X112" s="179">
        <f t="shared" si="62"/>
        <v>0</v>
      </c>
      <c r="Y112" s="179">
        <f t="shared" si="62"/>
        <v>0</v>
      </c>
      <c r="Z112" s="179">
        <f t="shared" si="62"/>
        <v>0</v>
      </c>
      <c r="AA112" s="179">
        <f t="shared" si="62"/>
        <v>0</v>
      </c>
      <c r="AB112" s="179">
        <f t="shared" si="62"/>
        <v>0</v>
      </c>
      <c r="AC112" s="179">
        <f t="shared" si="62"/>
        <v>0</v>
      </c>
      <c r="AD112" s="179">
        <f t="shared" si="62"/>
        <v>0</v>
      </c>
      <c r="AE112" s="179">
        <f t="shared" si="62"/>
        <v>0</v>
      </c>
      <c r="AF112" s="179">
        <f t="shared" si="62"/>
        <v>0</v>
      </c>
    </row>
    <row r="113" spans="2:32">
      <c r="B113" s="121"/>
      <c r="C113" s="121"/>
      <c r="D113" s="257"/>
      <c r="E113" s="121"/>
      <c r="F113" s="205"/>
      <c r="H113" s="366">
        <f>IFERROR(VLOOKUP(F113,Assumptions_Dashboard!$C$38:$D$72,2,FALSE),0)</f>
        <v>0</v>
      </c>
      <c r="J113" s="179"/>
      <c r="K113" s="179"/>
      <c r="L113" s="179"/>
      <c r="M113" s="179"/>
      <c r="N113" s="179">
        <f t="shared" si="32"/>
        <v>0</v>
      </c>
      <c r="O113" s="179">
        <f t="shared" si="33"/>
        <v>0</v>
      </c>
      <c r="P113" s="179">
        <f t="shared" ref="P113:AF113" si="63">O113</f>
        <v>0</v>
      </c>
      <c r="Q113" s="179">
        <f t="shared" si="63"/>
        <v>0</v>
      </c>
      <c r="R113" s="179">
        <f t="shared" si="63"/>
        <v>0</v>
      </c>
      <c r="S113" s="179">
        <f t="shared" si="63"/>
        <v>0</v>
      </c>
      <c r="T113" s="179">
        <f t="shared" si="63"/>
        <v>0</v>
      </c>
      <c r="U113" s="179">
        <f t="shared" si="63"/>
        <v>0</v>
      </c>
      <c r="V113" s="179">
        <f t="shared" si="63"/>
        <v>0</v>
      </c>
      <c r="W113" s="179">
        <f t="shared" si="63"/>
        <v>0</v>
      </c>
      <c r="X113" s="179">
        <f t="shared" si="63"/>
        <v>0</v>
      </c>
      <c r="Y113" s="179">
        <f t="shared" si="63"/>
        <v>0</v>
      </c>
      <c r="Z113" s="179">
        <f t="shared" si="63"/>
        <v>0</v>
      </c>
      <c r="AA113" s="179">
        <f t="shared" si="63"/>
        <v>0</v>
      </c>
      <c r="AB113" s="179">
        <f t="shared" si="63"/>
        <v>0</v>
      </c>
      <c r="AC113" s="179">
        <f t="shared" si="63"/>
        <v>0</v>
      </c>
      <c r="AD113" s="179">
        <f t="shared" si="63"/>
        <v>0</v>
      </c>
      <c r="AE113" s="179">
        <f t="shared" si="63"/>
        <v>0</v>
      </c>
      <c r="AF113" s="179">
        <f t="shared" si="63"/>
        <v>0</v>
      </c>
    </row>
    <row r="114" spans="2:32">
      <c r="B114" s="121"/>
      <c r="C114" s="117" t="s">
        <v>1417</v>
      </c>
      <c r="D114" s="257"/>
      <c r="E114" s="121"/>
      <c r="F114" s="205"/>
      <c r="H114" s="366">
        <f>IFERROR(VLOOKUP(F114,Assumptions_Dashboard!$C$38:$D$72,2,FALSE),0)</f>
        <v>0</v>
      </c>
      <c r="J114" s="179"/>
      <c r="K114" s="179"/>
      <c r="L114" s="179"/>
      <c r="M114" s="179"/>
      <c r="N114" s="179">
        <f t="shared" si="32"/>
        <v>0</v>
      </c>
      <c r="O114" s="179">
        <f t="shared" si="33"/>
        <v>0</v>
      </c>
      <c r="P114" s="179">
        <f t="shared" ref="P114:AF114" si="64">O114</f>
        <v>0</v>
      </c>
      <c r="Q114" s="179">
        <f t="shared" si="64"/>
        <v>0</v>
      </c>
      <c r="R114" s="179">
        <f t="shared" si="64"/>
        <v>0</v>
      </c>
      <c r="S114" s="179">
        <f t="shared" si="64"/>
        <v>0</v>
      </c>
      <c r="T114" s="179">
        <f t="shared" si="64"/>
        <v>0</v>
      </c>
      <c r="U114" s="179">
        <f t="shared" si="64"/>
        <v>0</v>
      </c>
      <c r="V114" s="179">
        <f t="shared" si="64"/>
        <v>0</v>
      </c>
      <c r="W114" s="179">
        <f t="shared" si="64"/>
        <v>0</v>
      </c>
      <c r="X114" s="179">
        <f t="shared" si="64"/>
        <v>0</v>
      </c>
      <c r="Y114" s="179">
        <f t="shared" si="64"/>
        <v>0</v>
      </c>
      <c r="Z114" s="179">
        <f t="shared" si="64"/>
        <v>0</v>
      </c>
      <c r="AA114" s="179">
        <f t="shared" si="64"/>
        <v>0</v>
      </c>
      <c r="AB114" s="179">
        <f t="shared" si="64"/>
        <v>0</v>
      </c>
      <c r="AC114" s="179">
        <f t="shared" si="64"/>
        <v>0</v>
      </c>
      <c r="AD114" s="179">
        <f t="shared" si="64"/>
        <v>0</v>
      </c>
      <c r="AE114" s="179">
        <f t="shared" si="64"/>
        <v>0</v>
      </c>
      <c r="AF114" s="179">
        <f t="shared" si="64"/>
        <v>0</v>
      </c>
    </row>
    <row r="115" spans="2:32">
      <c r="B115" s="121"/>
      <c r="C115" s="657" t="s">
        <v>1418</v>
      </c>
      <c r="D115" s="257" t="s">
        <v>1315</v>
      </c>
      <c r="E115" s="121" t="s">
        <v>740</v>
      </c>
      <c r="F115" s="205" t="s">
        <v>186</v>
      </c>
      <c r="G115">
        <f>IF(Assumptions_Dashboard!$L$4="MDO",0,1)</f>
        <v>1</v>
      </c>
      <c r="H115" s="366">
        <f>IFERROR(VLOOKUP(F115,Assumptions_Dashboard!$C$38:$D$72,2,FALSE),0)</f>
        <v>2500000</v>
      </c>
      <c r="J115" s="179"/>
      <c r="K115" s="179"/>
      <c r="L115" s="179"/>
      <c r="M115" s="179"/>
      <c r="N115" s="179">
        <f t="shared" si="32"/>
        <v>1</v>
      </c>
      <c r="O115" s="179">
        <f t="shared" si="33"/>
        <v>1</v>
      </c>
      <c r="P115" s="179">
        <f t="shared" ref="P115:AF115" si="65">O115</f>
        <v>1</v>
      </c>
      <c r="Q115" s="179">
        <f t="shared" si="65"/>
        <v>1</v>
      </c>
      <c r="R115" s="179">
        <f t="shared" si="65"/>
        <v>1</v>
      </c>
      <c r="S115" s="179">
        <f t="shared" si="65"/>
        <v>1</v>
      </c>
      <c r="T115" s="179">
        <f t="shared" si="65"/>
        <v>1</v>
      </c>
      <c r="U115" s="179">
        <f t="shared" si="65"/>
        <v>1</v>
      </c>
      <c r="V115" s="179">
        <f t="shared" si="65"/>
        <v>1</v>
      </c>
      <c r="W115" s="179">
        <f t="shared" si="65"/>
        <v>1</v>
      </c>
      <c r="X115" s="179">
        <f t="shared" si="65"/>
        <v>1</v>
      </c>
      <c r="Y115" s="179">
        <f t="shared" si="65"/>
        <v>1</v>
      </c>
      <c r="Z115" s="179">
        <f t="shared" si="65"/>
        <v>1</v>
      </c>
      <c r="AA115" s="179">
        <f t="shared" si="65"/>
        <v>1</v>
      </c>
      <c r="AB115" s="179">
        <f t="shared" si="65"/>
        <v>1</v>
      </c>
      <c r="AC115" s="179">
        <f t="shared" si="65"/>
        <v>1</v>
      </c>
      <c r="AD115" s="179">
        <f t="shared" si="65"/>
        <v>1</v>
      </c>
      <c r="AE115" s="179">
        <f t="shared" si="65"/>
        <v>1</v>
      </c>
      <c r="AF115" s="179">
        <f t="shared" si="65"/>
        <v>1</v>
      </c>
    </row>
    <row r="116" spans="2:32">
      <c r="B116" s="117"/>
      <c r="C116" s="657" t="s">
        <v>1419</v>
      </c>
      <c r="D116" s="257" t="s">
        <v>1336</v>
      </c>
      <c r="E116" s="121" t="s">
        <v>740</v>
      </c>
      <c r="F116" s="205" t="s">
        <v>190</v>
      </c>
      <c r="G116">
        <f>IF(Assumptions_Dashboard!$L$4="MDO",0,1)</f>
        <v>1</v>
      </c>
      <c r="H116" s="366">
        <f>IFERROR(VLOOKUP(F116,Assumptions_Dashboard!$C$38:$D$72,2,FALSE),0)</f>
        <v>1500000</v>
      </c>
      <c r="J116" s="179"/>
      <c r="K116" s="179"/>
      <c r="L116" s="179"/>
      <c r="M116" s="179"/>
      <c r="N116" s="179">
        <f t="shared" si="32"/>
        <v>1</v>
      </c>
      <c r="O116" s="179">
        <f t="shared" si="33"/>
        <v>1</v>
      </c>
      <c r="P116" s="179">
        <f t="shared" ref="P116:AF116" si="66">O116</f>
        <v>1</v>
      </c>
      <c r="Q116" s="179">
        <f t="shared" si="66"/>
        <v>1</v>
      </c>
      <c r="R116" s="179">
        <f t="shared" si="66"/>
        <v>1</v>
      </c>
      <c r="S116" s="179">
        <f t="shared" si="66"/>
        <v>1</v>
      </c>
      <c r="T116" s="179">
        <f t="shared" si="66"/>
        <v>1</v>
      </c>
      <c r="U116" s="179">
        <f t="shared" si="66"/>
        <v>1</v>
      </c>
      <c r="V116" s="179">
        <f t="shared" si="66"/>
        <v>1</v>
      </c>
      <c r="W116" s="179">
        <f t="shared" si="66"/>
        <v>1</v>
      </c>
      <c r="X116" s="179">
        <f t="shared" si="66"/>
        <v>1</v>
      </c>
      <c r="Y116" s="179">
        <f t="shared" si="66"/>
        <v>1</v>
      </c>
      <c r="Z116" s="179">
        <f t="shared" si="66"/>
        <v>1</v>
      </c>
      <c r="AA116" s="179">
        <f t="shared" si="66"/>
        <v>1</v>
      </c>
      <c r="AB116" s="179">
        <f t="shared" si="66"/>
        <v>1</v>
      </c>
      <c r="AC116" s="179">
        <f t="shared" si="66"/>
        <v>1</v>
      </c>
      <c r="AD116" s="179">
        <f t="shared" si="66"/>
        <v>1</v>
      </c>
      <c r="AE116" s="179">
        <f t="shared" si="66"/>
        <v>1</v>
      </c>
      <c r="AF116" s="179">
        <f t="shared" si="66"/>
        <v>1</v>
      </c>
    </row>
    <row r="117" spans="2:32">
      <c r="B117" s="121"/>
      <c r="C117" s="657" t="s">
        <v>1420</v>
      </c>
      <c r="D117" s="257" t="s">
        <v>1336</v>
      </c>
      <c r="E117" s="121" t="s">
        <v>740</v>
      </c>
      <c r="F117" s="205" t="s">
        <v>190</v>
      </c>
      <c r="G117">
        <f>IF(Assumptions_Dashboard!$L$4="MDO",0,1)</f>
        <v>1</v>
      </c>
      <c r="H117" s="366">
        <f>IFERROR(VLOOKUP(F117,Assumptions_Dashboard!$C$38:$D$72,2,FALSE),0)</f>
        <v>1500000</v>
      </c>
      <c r="J117" s="179"/>
      <c r="K117" s="179"/>
      <c r="L117" s="179"/>
      <c r="M117" s="179"/>
      <c r="N117" s="179">
        <f t="shared" si="32"/>
        <v>1</v>
      </c>
      <c r="O117" s="179">
        <f t="shared" si="33"/>
        <v>1</v>
      </c>
      <c r="P117" s="179">
        <f t="shared" ref="P117:AF117" si="67">O117</f>
        <v>1</v>
      </c>
      <c r="Q117" s="179">
        <f t="shared" si="67"/>
        <v>1</v>
      </c>
      <c r="R117" s="179">
        <f t="shared" si="67"/>
        <v>1</v>
      </c>
      <c r="S117" s="179">
        <f t="shared" si="67"/>
        <v>1</v>
      </c>
      <c r="T117" s="179">
        <f t="shared" si="67"/>
        <v>1</v>
      </c>
      <c r="U117" s="179">
        <f t="shared" si="67"/>
        <v>1</v>
      </c>
      <c r="V117" s="179">
        <f t="shared" si="67"/>
        <v>1</v>
      </c>
      <c r="W117" s="179">
        <f t="shared" si="67"/>
        <v>1</v>
      </c>
      <c r="X117" s="179">
        <f t="shared" si="67"/>
        <v>1</v>
      </c>
      <c r="Y117" s="179">
        <f t="shared" si="67"/>
        <v>1</v>
      </c>
      <c r="Z117" s="179">
        <f t="shared" si="67"/>
        <v>1</v>
      </c>
      <c r="AA117" s="179">
        <f t="shared" si="67"/>
        <v>1</v>
      </c>
      <c r="AB117" s="179">
        <f t="shared" si="67"/>
        <v>1</v>
      </c>
      <c r="AC117" s="179">
        <f t="shared" si="67"/>
        <v>1</v>
      </c>
      <c r="AD117" s="179">
        <f t="shared" si="67"/>
        <v>1</v>
      </c>
      <c r="AE117" s="179">
        <f t="shared" si="67"/>
        <v>1</v>
      </c>
      <c r="AF117" s="179">
        <f t="shared" si="67"/>
        <v>1</v>
      </c>
    </row>
    <row r="118" spans="2:32">
      <c r="B118" s="121"/>
      <c r="C118" s="657" t="s">
        <v>1421</v>
      </c>
      <c r="D118" s="257"/>
      <c r="E118" s="121" t="s">
        <v>740</v>
      </c>
      <c r="F118" s="205" t="s">
        <v>192</v>
      </c>
      <c r="G118">
        <f>IF(Assumptions_Dashboard!$L$4="MDO",0,6)</f>
        <v>6</v>
      </c>
      <c r="H118" s="366">
        <f>IFERROR(VLOOKUP(F118,Assumptions_Dashboard!$C$38:$D$72,2,FALSE),0)</f>
        <v>1235000</v>
      </c>
      <c r="J118" s="179"/>
      <c r="K118" s="179"/>
      <c r="L118" s="179"/>
      <c r="M118" s="179"/>
      <c r="N118" s="179">
        <f t="shared" si="32"/>
        <v>6</v>
      </c>
      <c r="O118" s="179">
        <f t="shared" si="33"/>
        <v>6</v>
      </c>
      <c r="P118" s="179">
        <f t="shared" ref="P118:AF118" si="68">O118</f>
        <v>6</v>
      </c>
      <c r="Q118" s="179">
        <f t="shared" si="68"/>
        <v>6</v>
      </c>
      <c r="R118" s="179">
        <f t="shared" si="68"/>
        <v>6</v>
      </c>
      <c r="S118" s="179">
        <f t="shared" si="68"/>
        <v>6</v>
      </c>
      <c r="T118" s="179">
        <f t="shared" si="68"/>
        <v>6</v>
      </c>
      <c r="U118" s="179">
        <f t="shared" si="68"/>
        <v>6</v>
      </c>
      <c r="V118" s="179">
        <f t="shared" si="68"/>
        <v>6</v>
      </c>
      <c r="W118" s="179">
        <f t="shared" si="68"/>
        <v>6</v>
      </c>
      <c r="X118" s="179">
        <f t="shared" si="68"/>
        <v>6</v>
      </c>
      <c r="Y118" s="179">
        <f t="shared" si="68"/>
        <v>6</v>
      </c>
      <c r="Z118" s="179">
        <f t="shared" si="68"/>
        <v>6</v>
      </c>
      <c r="AA118" s="179">
        <f t="shared" si="68"/>
        <v>6</v>
      </c>
      <c r="AB118" s="179">
        <f t="shared" si="68"/>
        <v>6</v>
      </c>
      <c r="AC118" s="179">
        <f t="shared" si="68"/>
        <v>6</v>
      </c>
      <c r="AD118" s="179">
        <f t="shared" si="68"/>
        <v>6</v>
      </c>
      <c r="AE118" s="179">
        <f t="shared" si="68"/>
        <v>6</v>
      </c>
      <c r="AF118" s="179">
        <f t="shared" si="68"/>
        <v>6</v>
      </c>
    </row>
    <row r="119" spans="2:32">
      <c r="B119" s="121"/>
      <c r="C119" s="657" t="s">
        <v>1422</v>
      </c>
      <c r="D119" s="257"/>
      <c r="E119" s="121" t="s">
        <v>740</v>
      </c>
      <c r="F119" s="205" t="s">
        <v>211</v>
      </c>
      <c r="G119">
        <f>IF(Assumptions_Dashboard!$L$4="MDO",0,3)</f>
        <v>3</v>
      </c>
      <c r="H119" s="366">
        <f>IFERROR(VLOOKUP(F119,Assumptions_Dashboard!$C$38:$D$72,2,FALSE),0)</f>
        <v>780000</v>
      </c>
      <c r="J119" s="179"/>
      <c r="K119" s="179"/>
      <c r="L119" s="179"/>
      <c r="M119" s="179"/>
      <c r="N119" s="179">
        <f t="shared" si="32"/>
        <v>3</v>
      </c>
      <c r="O119" s="179">
        <f t="shared" si="33"/>
        <v>3</v>
      </c>
      <c r="P119" s="179">
        <f t="shared" ref="P119:AF119" si="69">O119</f>
        <v>3</v>
      </c>
      <c r="Q119" s="179">
        <f t="shared" si="69"/>
        <v>3</v>
      </c>
      <c r="R119" s="179">
        <f t="shared" si="69"/>
        <v>3</v>
      </c>
      <c r="S119" s="179">
        <f t="shared" si="69"/>
        <v>3</v>
      </c>
      <c r="T119" s="179">
        <f t="shared" si="69"/>
        <v>3</v>
      </c>
      <c r="U119" s="179">
        <f t="shared" si="69"/>
        <v>3</v>
      </c>
      <c r="V119" s="179">
        <f t="shared" si="69"/>
        <v>3</v>
      </c>
      <c r="W119" s="179">
        <f t="shared" si="69"/>
        <v>3</v>
      </c>
      <c r="X119" s="179">
        <f t="shared" si="69"/>
        <v>3</v>
      </c>
      <c r="Y119" s="179">
        <f t="shared" si="69"/>
        <v>3</v>
      </c>
      <c r="Z119" s="179">
        <f t="shared" si="69"/>
        <v>3</v>
      </c>
      <c r="AA119" s="179">
        <f t="shared" si="69"/>
        <v>3</v>
      </c>
      <c r="AB119" s="179">
        <f t="shared" si="69"/>
        <v>3</v>
      </c>
      <c r="AC119" s="179">
        <f t="shared" si="69"/>
        <v>3</v>
      </c>
      <c r="AD119" s="179">
        <f t="shared" si="69"/>
        <v>3</v>
      </c>
      <c r="AE119" s="179">
        <f t="shared" si="69"/>
        <v>3</v>
      </c>
      <c r="AF119" s="179">
        <f t="shared" si="69"/>
        <v>3</v>
      </c>
    </row>
    <row r="120" spans="2:32">
      <c r="B120" s="121"/>
      <c r="C120" s="657" t="s">
        <v>1423</v>
      </c>
      <c r="D120" s="257"/>
      <c r="E120" s="121" t="s">
        <v>740</v>
      </c>
      <c r="F120" s="205" t="s">
        <v>212</v>
      </c>
      <c r="G120">
        <f>IF(Assumptions_Dashboard!$L$4="MDO",0,6)</f>
        <v>6</v>
      </c>
      <c r="H120" s="366">
        <f>IFERROR(VLOOKUP(F120,Assumptions_Dashboard!$C$38:$D$72,2,FALSE),0)</f>
        <v>670000</v>
      </c>
      <c r="J120" s="179"/>
      <c r="K120" s="179"/>
      <c r="L120" s="179"/>
      <c r="M120" s="179"/>
      <c r="N120" s="179">
        <f t="shared" si="32"/>
        <v>6</v>
      </c>
      <c r="O120" s="179">
        <f t="shared" si="33"/>
        <v>6</v>
      </c>
      <c r="P120" s="179">
        <f t="shared" ref="P120:AF120" si="70">O120</f>
        <v>6</v>
      </c>
      <c r="Q120" s="179">
        <f t="shared" si="70"/>
        <v>6</v>
      </c>
      <c r="R120" s="179">
        <f t="shared" si="70"/>
        <v>6</v>
      </c>
      <c r="S120" s="179">
        <f t="shared" si="70"/>
        <v>6</v>
      </c>
      <c r="T120" s="179">
        <f t="shared" si="70"/>
        <v>6</v>
      </c>
      <c r="U120" s="179">
        <f t="shared" si="70"/>
        <v>6</v>
      </c>
      <c r="V120" s="179">
        <f t="shared" si="70"/>
        <v>6</v>
      </c>
      <c r="W120" s="179">
        <f t="shared" si="70"/>
        <v>6</v>
      </c>
      <c r="X120" s="179">
        <f t="shared" si="70"/>
        <v>6</v>
      </c>
      <c r="Y120" s="179">
        <f t="shared" si="70"/>
        <v>6</v>
      </c>
      <c r="Z120" s="179">
        <f t="shared" si="70"/>
        <v>6</v>
      </c>
      <c r="AA120" s="179">
        <f t="shared" si="70"/>
        <v>6</v>
      </c>
      <c r="AB120" s="179">
        <f t="shared" si="70"/>
        <v>6</v>
      </c>
      <c r="AC120" s="179">
        <f t="shared" si="70"/>
        <v>6</v>
      </c>
      <c r="AD120" s="179">
        <f t="shared" si="70"/>
        <v>6</v>
      </c>
      <c r="AE120" s="179">
        <f t="shared" si="70"/>
        <v>6</v>
      </c>
      <c r="AF120" s="179">
        <f t="shared" si="70"/>
        <v>6</v>
      </c>
    </row>
    <row r="121" spans="2:32">
      <c r="B121" s="121"/>
      <c r="C121" s="657" t="s">
        <v>1424</v>
      </c>
      <c r="D121" s="257"/>
      <c r="E121" s="121" t="s">
        <v>740</v>
      </c>
      <c r="F121" s="205" t="s">
        <v>211</v>
      </c>
      <c r="G121">
        <f>IF(Assumptions_Dashboard!$L$4="MDO",0,3)</f>
        <v>3</v>
      </c>
      <c r="H121" s="366">
        <f>IFERROR(VLOOKUP(F121,Assumptions_Dashboard!$C$38:$D$72,2,FALSE),0)</f>
        <v>780000</v>
      </c>
      <c r="J121" s="179"/>
      <c r="K121" s="179"/>
      <c r="L121" s="179"/>
      <c r="M121" s="179"/>
      <c r="N121" s="179">
        <f t="shared" si="32"/>
        <v>3</v>
      </c>
      <c r="O121" s="179">
        <f t="shared" si="33"/>
        <v>3</v>
      </c>
      <c r="P121" s="179">
        <f t="shared" ref="P121:AF121" si="71">O121</f>
        <v>3</v>
      </c>
      <c r="Q121" s="179">
        <f t="shared" si="71"/>
        <v>3</v>
      </c>
      <c r="R121" s="179">
        <f t="shared" si="71"/>
        <v>3</v>
      </c>
      <c r="S121" s="179">
        <f t="shared" si="71"/>
        <v>3</v>
      </c>
      <c r="T121" s="179">
        <f t="shared" si="71"/>
        <v>3</v>
      </c>
      <c r="U121" s="179">
        <f t="shared" si="71"/>
        <v>3</v>
      </c>
      <c r="V121" s="179">
        <f t="shared" si="71"/>
        <v>3</v>
      </c>
      <c r="W121" s="179">
        <f t="shared" si="71"/>
        <v>3</v>
      </c>
      <c r="X121" s="179">
        <f t="shared" si="71"/>
        <v>3</v>
      </c>
      <c r="Y121" s="179">
        <f t="shared" si="71"/>
        <v>3</v>
      </c>
      <c r="Z121" s="179">
        <f t="shared" si="71"/>
        <v>3</v>
      </c>
      <c r="AA121" s="179">
        <f t="shared" si="71"/>
        <v>3</v>
      </c>
      <c r="AB121" s="179">
        <f t="shared" si="71"/>
        <v>3</v>
      </c>
      <c r="AC121" s="179">
        <f t="shared" si="71"/>
        <v>3</v>
      </c>
      <c r="AD121" s="179">
        <f t="shared" si="71"/>
        <v>3</v>
      </c>
      <c r="AE121" s="179">
        <f t="shared" si="71"/>
        <v>3</v>
      </c>
      <c r="AF121" s="179">
        <f t="shared" si="71"/>
        <v>3</v>
      </c>
    </row>
    <row r="122" spans="2:32">
      <c r="B122" s="121"/>
      <c r="C122" s="657" t="s">
        <v>1425</v>
      </c>
      <c r="D122" s="257"/>
      <c r="E122" s="121" t="s">
        <v>740</v>
      </c>
      <c r="F122" s="205" t="s">
        <v>212</v>
      </c>
      <c r="G122">
        <f>IF(Assumptions_Dashboard!$L$4="MDO",0,6)</f>
        <v>6</v>
      </c>
      <c r="H122" s="366">
        <f>IFERROR(VLOOKUP(F122,Assumptions_Dashboard!$C$38:$D$72,2,FALSE),0)</f>
        <v>670000</v>
      </c>
      <c r="J122" s="179"/>
      <c r="K122" s="179"/>
      <c r="L122" s="179"/>
      <c r="M122" s="179"/>
      <c r="N122" s="179">
        <f t="shared" si="32"/>
        <v>6</v>
      </c>
      <c r="O122" s="179">
        <f t="shared" si="33"/>
        <v>6</v>
      </c>
      <c r="P122" s="179">
        <f t="shared" ref="P122:AF122" si="72">O122</f>
        <v>6</v>
      </c>
      <c r="Q122" s="179">
        <f t="shared" si="72"/>
        <v>6</v>
      </c>
      <c r="R122" s="179">
        <f t="shared" si="72"/>
        <v>6</v>
      </c>
      <c r="S122" s="179">
        <f t="shared" si="72"/>
        <v>6</v>
      </c>
      <c r="T122" s="179">
        <f t="shared" si="72"/>
        <v>6</v>
      </c>
      <c r="U122" s="179">
        <f t="shared" si="72"/>
        <v>6</v>
      </c>
      <c r="V122" s="179">
        <f t="shared" si="72"/>
        <v>6</v>
      </c>
      <c r="W122" s="179">
        <f t="shared" si="72"/>
        <v>6</v>
      </c>
      <c r="X122" s="179">
        <f t="shared" si="72"/>
        <v>6</v>
      </c>
      <c r="Y122" s="179">
        <f t="shared" si="72"/>
        <v>6</v>
      </c>
      <c r="Z122" s="179">
        <f t="shared" si="72"/>
        <v>6</v>
      </c>
      <c r="AA122" s="179">
        <f t="shared" si="72"/>
        <v>6</v>
      </c>
      <c r="AB122" s="179">
        <f t="shared" si="72"/>
        <v>6</v>
      </c>
      <c r="AC122" s="179">
        <f t="shared" si="72"/>
        <v>6</v>
      </c>
      <c r="AD122" s="179">
        <f t="shared" si="72"/>
        <v>6</v>
      </c>
      <c r="AE122" s="179">
        <f t="shared" si="72"/>
        <v>6</v>
      </c>
      <c r="AF122" s="179">
        <f t="shared" si="72"/>
        <v>6</v>
      </c>
    </row>
    <row r="123" spans="2:32">
      <c r="B123" s="121"/>
      <c r="C123" s="657" t="s">
        <v>1426</v>
      </c>
      <c r="D123" s="257"/>
      <c r="E123" s="121" t="s">
        <v>740</v>
      </c>
      <c r="F123" s="205" t="s">
        <v>212</v>
      </c>
      <c r="G123">
        <f>IF(Assumptions_Dashboard!$L$4="MDO",0,3)</f>
        <v>3</v>
      </c>
      <c r="H123" s="366">
        <f>IFERROR(VLOOKUP(F123,Assumptions_Dashboard!$C$38:$D$72,2,FALSE),0)</f>
        <v>670000</v>
      </c>
      <c r="J123" s="179"/>
      <c r="K123" s="179"/>
      <c r="L123" s="179"/>
      <c r="M123" s="179"/>
      <c r="N123" s="179">
        <f t="shared" si="32"/>
        <v>3</v>
      </c>
      <c r="O123" s="179">
        <f t="shared" si="33"/>
        <v>3</v>
      </c>
      <c r="P123" s="179">
        <f t="shared" ref="P123:AF123" si="73">O123</f>
        <v>3</v>
      </c>
      <c r="Q123" s="179">
        <f t="shared" si="73"/>
        <v>3</v>
      </c>
      <c r="R123" s="179">
        <f t="shared" si="73"/>
        <v>3</v>
      </c>
      <c r="S123" s="179">
        <f t="shared" si="73"/>
        <v>3</v>
      </c>
      <c r="T123" s="179">
        <f t="shared" si="73"/>
        <v>3</v>
      </c>
      <c r="U123" s="179">
        <f t="shared" si="73"/>
        <v>3</v>
      </c>
      <c r="V123" s="179">
        <f t="shared" si="73"/>
        <v>3</v>
      </c>
      <c r="W123" s="179">
        <f t="shared" si="73"/>
        <v>3</v>
      </c>
      <c r="X123" s="179">
        <f t="shared" si="73"/>
        <v>3</v>
      </c>
      <c r="Y123" s="179">
        <f t="shared" si="73"/>
        <v>3</v>
      </c>
      <c r="Z123" s="179">
        <f t="shared" si="73"/>
        <v>3</v>
      </c>
      <c r="AA123" s="179">
        <f t="shared" si="73"/>
        <v>3</v>
      </c>
      <c r="AB123" s="179">
        <f t="shared" si="73"/>
        <v>3</v>
      </c>
      <c r="AC123" s="179">
        <f t="shared" si="73"/>
        <v>3</v>
      </c>
      <c r="AD123" s="179">
        <f t="shared" si="73"/>
        <v>3</v>
      </c>
      <c r="AE123" s="179">
        <f t="shared" si="73"/>
        <v>3</v>
      </c>
      <c r="AF123" s="179">
        <f t="shared" si="73"/>
        <v>3</v>
      </c>
    </row>
    <row r="124" spans="2:32">
      <c r="B124" s="121"/>
      <c r="C124" s="657" t="s">
        <v>1427</v>
      </c>
      <c r="D124" s="257"/>
      <c r="E124" s="121" t="s">
        <v>740</v>
      </c>
      <c r="F124" s="205" t="s">
        <v>213</v>
      </c>
      <c r="G124">
        <f>IF(Assumptions_Dashboard!$L$4="MDO",0,6)</f>
        <v>6</v>
      </c>
      <c r="H124" s="366">
        <f>IFERROR(VLOOKUP(F124,Assumptions_Dashboard!$C$38:$D$72,2,FALSE),0)</f>
        <v>400000</v>
      </c>
      <c r="J124" s="179"/>
      <c r="K124" s="179"/>
      <c r="L124" s="179"/>
      <c r="M124" s="179"/>
      <c r="N124" s="179">
        <f t="shared" si="32"/>
        <v>6</v>
      </c>
      <c r="O124" s="179">
        <f t="shared" si="33"/>
        <v>6</v>
      </c>
      <c r="P124" s="179">
        <f t="shared" ref="P124:AF124" si="74">O124</f>
        <v>6</v>
      </c>
      <c r="Q124" s="179">
        <f t="shared" si="74"/>
        <v>6</v>
      </c>
      <c r="R124" s="179">
        <f t="shared" si="74"/>
        <v>6</v>
      </c>
      <c r="S124" s="179">
        <f t="shared" si="74"/>
        <v>6</v>
      </c>
      <c r="T124" s="179">
        <f t="shared" si="74"/>
        <v>6</v>
      </c>
      <c r="U124" s="179">
        <f t="shared" si="74"/>
        <v>6</v>
      </c>
      <c r="V124" s="179">
        <f t="shared" si="74"/>
        <v>6</v>
      </c>
      <c r="W124" s="179">
        <f t="shared" si="74"/>
        <v>6</v>
      </c>
      <c r="X124" s="179">
        <f t="shared" si="74"/>
        <v>6</v>
      </c>
      <c r="Y124" s="179">
        <f t="shared" si="74"/>
        <v>6</v>
      </c>
      <c r="Z124" s="179">
        <f t="shared" si="74"/>
        <v>6</v>
      </c>
      <c r="AA124" s="179">
        <f t="shared" si="74"/>
        <v>6</v>
      </c>
      <c r="AB124" s="179">
        <f t="shared" si="74"/>
        <v>6</v>
      </c>
      <c r="AC124" s="179">
        <f t="shared" si="74"/>
        <v>6</v>
      </c>
      <c r="AD124" s="179">
        <f t="shared" si="74"/>
        <v>6</v>
      </c>
      <c r="AE124" s="179">
        <f t="shared" si="74"/>
        <v>6</v>
      </c>
      <c r="AF124" s="179">
        <f t="shared" si="74"/>
        <v>6</v>
      </c>
    </row>
    <row r="125" spans="2:32">
      <c r="B125" s="121"/>
      <c r="C125" s="657" t="s">
        <v>1428</v>
      </c>
      <c r="D125" s="257"/>
      <c r="E125" s="121" t="s">
        <v>740</v>
      </c>
      <c r="F125" s="205" t="s">
        <v>212</v>
      </c>
      <c r="G125">
        <f>IF(Assumptions_Dashboard!$L$4="MDO",0,3)</f>
        <v>3</v>
      </c>
      <c r="H125" s="366">
        <f>IFERROR(VLOOKUP(F125,Assumptions_Dashboard!$C$38:$D$72,2,FALSE),0)</f>
        <v>670000</v>
      </c>
      <c r="J125" s="179"/>
      <c r="K125" s="179"/>
      <c r="L125" s="179"/>
      <c r="M125" s="179"/>
      <c r="N125" s="179">
        <f t="shared" si="32"/>
        <v>3</v>
      </c>
      <c r="O125" s="179">
        <f t="shared" si="33"/>
        <v>3</v>
      </c>
      <c r="P125" s="179">
        <f t="shared" ref="P125:AF125" si="75">O125</f>
        <v>3</v>
      </c>
      <c r="Q125" s="179">
        <f t="shared" si="75"/>
        <v>3</v>
      </c>
      <c r="R125" s="179">
        <f t="shared" si="75"/>
        <v>3</v>
      </c>
      <c r="S125" s="179">
        <f t="shared" si="75"/>
        <v>3</v>
      </c>
      <c r="T125" s="179">
        <f t="shared" si="75"/>
        <v>3</v>
      </c>
      <c r="U125" s="179">
        <f t="shared" si="75"/>
        <v>3</v>
      </c>
      <c r="V125" s="179">
        <f t="shared" si="75"/>
        <v>3</v>
      </c>
      <c r="W125" s="179">
        <f t="shared" si="75"/>
        <v>3</v>
      </c>
      <c r="X125" s="179">
        <f t="shared" si="75"/>
        <v>3</v>
      </c>
      <c r="Y125" s="179">
        <f t="shared" si="75"/>
        <v>3</v>
      </c>
      <c r="Z125" s="179">
        <f t="shared" si="75"/>
        <v>3</v>
      </c>
      <c r="AA125" s="179">
        <f t="shared" si="75"/>
        <v>3</v>
      </c>
      <c r="AB125" s="179">
        <f t="shared" si="75"/>
        <v>3</v>
      </c>
      <c r="AC125" s="179">
        <f t="shared" si="75"/>
        <v>3</v>
      </c>
      <c r="AD125" s="179">
        <f t="shared" si="75"/>
        <v>3</v>
      </c>
      <c r="AE125" s="179">
        <f t="shared" si="75"/>
        <v>3</v>
      </c>
      <c r="AF125" s="179">
        <f t="shared" si="75"/>
        <v>3</v>
      </c>
    </row>
    <row r="126" spans="2:32">
      <c r="B126" s="121"/>
      <c r="C126" s="657" t="s">
        <v>1429</v>
      </c>
      <c r="D126" s="257"/>
      <c r="E126" s="121" t="s">
        <v>740</v>
      </c>
      <c r="F126" s="205" t="s">
        <v>213</v>
      </c>
      <c r="G126">
        <f>IF(Assumptions_Dashboard!$L$4="MDO",0,3)</f>
        <v>3</v>
      </c>
      <c r="H126" s="366">
        <f>IFERROR(VLOOKUP(F126,Assumptions_Dashboard!$C$38:$D$72,2,FALSE),0)</f>
        <v>400000</v>
      </c>
      <c r="J126" s="179"/>
      <c r="K126" s="179"/>
      <c r="L126" s="179"/>
      <c r="M126" s="179"/>
      <c r="N126" s="179">
        <f t="shared" si="32"/>
        <v>3</v>
      </c>
      <c r="O126" s="179">
        <f t="shared" si="33"/>
        <v>3</v>
      </c>
      <c r="P126" s="179">
        <f t="shared" ref="P126:AF126" si="76">O126</f>
        <v>3</v>
      </c>
      <c r="Q126" s="179">
        <f t="shared" si="76"/>
        <v>3</v>
      </c>
      <c r="R126" s="179">
        <f t="shared" si="76"/>
        <v>3</v>
      </c>
      <c r="S126" s="179">
        <f t="shared" si="76"/>
        <v>3</v>
      </c>
      <c r="T126" s="179">
        <f t="shared" si="76"/>
        <v>3</v>
      </c>
      <c r="U126" s="179">
        <f t="shared" si="76"/>
        <v>3</v>
      </c>
      <c r="V126" s="179">
        <f t="shared" si="76"/>
        <v>3</v>
      </c>
      <c r="W126" s="179">
        <f t="shared" si="76"/>
        <v>3</v>
      </c>
      <c r="X126" s="179">
        <f t="shared" si="76"/>
        <v>3</v>
      </c>
      <c r="Y126" s="179">
        <f t="shared" si="76"/>
        <v>3</v>
      </c>
      <c r="Z126" s="179">
        <f t="shared" si="76"/>
        <v>3</v>
      </c>
      <c r="AA126" s="179">
        <f t="shared" si="76"/>
        <v>3</v>
      </c>
      <c r="AB126" s="179">
        <f t="shared" si="76"/>
        <v>3</v>
      </c>
      <c r="AC126" s="179">
        <f t="shared" si="76"/>
        <v>3</v>
      </c>
      <c r="AD126" s="179">
        <f t="shared" si="76"/>
        <v>3</v>
      </c>
      <c r="AE126" s="179">
        <f t="shared" si="76"/>
        <v>3</v>
      </c>
      <c r="AF126" s="179">
        <f t="shared" si="76"/>
        <v>3</v>
      </c>
    </row>
    <row r="127" spans="2:32">
      <c r="B127" s="121"/>
      <c r="C127" s="657" t="s">
        <v>1430</v>
      </c>
      <c r="D127" s="257"/>
      <c r="E127" s="121" t="s">
        <v>740</v>
      </c>
      <c r="F127" s="205" t="s">
        <v>212</v>
      </c>
      <c r="G127">
        <f>IF(Assumptions_Dashboard!$L$4="MDO",0,3)</f>
        <v>3</v>
      </c>
      <c r="H127" s="366">
        <f>IFERROR(VLOOKUP(F127,Assumptions_Dashboard!$C$38:$D$72,2,FALSE),0)</f>
        <v>670000</v>
      </c>
      <c r="J127" s="179"/>
      <c r="K127" s="179"/>
      <c r="L127" s="179"/>
      <c r="M127" s="179"/>
      <c r="N127" s="179">
        <f t="shared" si="32"/>
        <v>3</v>
      </c>
      <c r="O127" s="179">
        <f t="shared" si="33"/>
        <v>3</v>
      </c>
      <c r="P127" s="179">
        <f t="shared" ref="P127:AF127" si="77">O127</f>
        <v>3</v>
      </c>
      <c r="Q127" s="179">
        <f t="shared" si="77"/>
        <v>3</v>
      </c>
      <c r="R127" s="179">
        <f t="shared" si="77"/>
        <v>3</v>
      </c>
      <c r="S127" s="179">
        <f t="shared" si="77"/>
        <v>3</v>
      </c>
      <c r="T127" s="179">
        <f t="shared" si="77"/>
        <v>3</v>
      </c>
      <c r="U127" s="179">
        <f t="shared" si="77"/>
        <v>3</v>
      </c>
      <c r="V127" s="179">
        <f t="shared" si="77"/>
        <v>3</v>
      </c>
      <c r="W127" s="179">
        <f t="shared" si="77"/>
        <v>3</v>
      </c>
      <c r="X127" s="179">
        <f t="shared" si="77"/>
        <v>3</v>
      </c>
      <c r="Y127" s="179">
        <f t="shared" si="77"/>
        <v>3</v>
      </c>
      <c r="Z127" s="179">
        <f t="shared" si="77"/>
        <v>3</v>
      </c>
      <c r="AA127" s="179">
        <f t="shared" si="77"/>
        <v>3</v>
      </c>
      <c r="AB127" s="179">
        <f t="shared" si="77"/>
        <v>3</v>
      </c>
      <c r="AC127" s="179">
        <f t="shared" si="77"/>
        <v>3</v>
      </c>
      <c r="AD127" s="179">
        <f t="shared" si="77"/>
        <v>3</v>
      </c>
      <c r="AE127" s="179">
        <f t="shared" si="77"/>
        <v>3</v>
      </c>
      <c r="AF127" s="179">
        <f t="shared" si="77"/>
        <v>3</v>
      </c>
    </row>
    <row r="128" spans="2:32">
      <c r="B128" s="121"/>
      <c r="C128" s="657" t="s">
        <v>1431</v>
      </c>
      <c r="D128" s="257"/>
      <c r="E128" s="121" t="s">
        <v>740</v>
      </c>
      <c r="F128" s="205" t="s">
        <v>213</v>
      </c>
      <c r="G128">
        <f>IF(Assumptions_Dashboard!$L$4="MDO",0,3)</f>
        <v>3</v>
      </c>
      <c r="H128" s="366">
        <f>IFERROR(VLOOKUP(F128,Assumptions_Dashboard!$C$38:$D$72,2,FALSE),0)</f>
        <v>400000</v>
      </c>
      <c r="J128" s="179"/>
      <c r="K128" s="179"/>
      <c r="L128" s="179"/>
      <c r="M128" s="179"/>
      <c r="N128" s="179">
        <f t="shared" si="32"/>
        <v>3</v>
      </c>
      <c r="O128" s="179">
        <f t="shared" si="33"/>
        <v>3</v>
      </c>
      <c r="P128" s="179">
        <f t="shared" ref="P128:AF128" si="78">O128</f>
        <v>3</v>
      </c>
      <c r="Q128" s="179">
        <f t="shared" si="78"/>
        <v>3</v>
      </c>
      <c r="R128" s="179">
        <f t="shared" si="78"/>
        <v>3</v>
      </c>
      <c r="S128" s="179">
        <f t="shared" si="78"/>
        <v>3</v>
      </c>
      <c r="T128" s="179">
        <f t="shared" si="78"/>
        <v>3</v>
      </c>
      <c r="U128" s="179">
        <f t="shared" si="78"/>
        <v>3</v>
      </c>
      <c r="V128" s="179">
        <f t="shared" si="78"/>
        <v>3</v>
      </c>
      <c r="W128" s="179">
        <f t="shared" si="78"/>
        <v>3</v>
      </c>
      <c r="X128" s="179">
        <f t="shared" si="78"/>
        <v>3</v>
      </c>
      <c r="Y128" s="179">
        <f t="shared" si="78"/>
        <v>3</v>
      </c>
      <c r="Z128" s="179">
        <f t="shared" si="78"/>
        <v>3</v>
      </c>
      <c r="AA128" s="179">
        <f t="shared" si="78"/>
        <v>3</v>
      </c>
      <c r="AB128" s="179">
        <f t="shared" si="78"/>
        <v>3</v>
      </c>
      <c r="AC128" s="179">
        <f t="shared" si="78"/>
        <v>3</v>
      </c>
      <c r="AD128" s="179">
        <f t="shared" si="78"/>
        <v>3</v>
      </c>
      <c r="AE128" s="179">
        <f t="shared" si="78"/>
        <v>3</v>
      </c>
      <c r="AF128" s="179">
        <f t="shared" si="78"/>
        <v>3</v>
      </c>
    </row>
    <row r="129" spans="2:32">
      <c r="B129" s="121"/>
      <c r="C129" s="657" t="s">
        <v>1432</v>
      </c>
      <c r="D129" s="257"/>
      <c r="E129" s="121" t="s">
        <v>740</v>
      </c>
      <c r="F129" s="205" t="s">
        <v>213</v>
      </c>
      <c r="G129">
        <f>IF(Assumptions_Dashboard!$L$4="MDO",0,3)</f>
        <v>3</v>
      </c>
      <c r="H129" s="366">
        <f>IFERROR(VLOOKUP(F129,Assumptions_Dashboard!$C$38:$D$72,2,FALSE),0)</f>
        <v>400000</v>
      </c>
      <c r="J129" s="179"/>
      <c r="K129" s="179"/>
      <c r="L129" s="179"/>
      <c r="M129" s="179"/>
      <c r="N129" s="179">
        <f t="shared" si="32"/>
        <v>3</v>
      </c>
      <c r="O129" s="179">
        <f t="shared" si="33"/>
        <v>3</v>
      </c>
      <c r="P129" s="179">
        <f t="shared" ref="P129:AF129" si="79">O129</f>
        <v>3</v>
      </c>
      <c r="Q129" s="179">
        <f t="shared" si="79"/>
        <v>3</v>
      </c>
      <c r="R129" s="179">
        <f t="shared" si="79"/>
        <v>3</v>
      </c>
      <c r="S129" s="179">
        <f t="shared" si="79"/>
        <v>3</v>
      </c>
      <c r="T129" s="179">
        <f t="shared" si="79"/>
        <v>3</v>
      </c>
      <c r="U129" s="179">
        <f t="shared" si="79"/>
        <v>3</v>
      </c>
      <c r="V129" s="179">
        <f t="shared" si="79"/>
        <v>3</v>
      </c>
      <c r="W129" s="179">
        <f t="shared" si="79"/>
        <v>3</v>
      </c>
      <c r="X129" s="179">
        <f t="shared" si="79"/>
        <v>3</v>
      </c>
      <c r="Y129" s="179">
        <f t="shared" si="79"/>
        <v>3</v>
      </c>
      <c r="Z129" s="179">
        <f t="shared" si="79"/>
        <v>3</v>
      </c>
      <c r="AA129" s="179">
        <f t="shared" si="79"/>
        <v>3</v>
      </c>
      <c r="AB129" s="179">
        <f t="shared" si="79"/>
        <v>3</v>
      </c>
      <c r="AC129" s="179">
        <f t="shared" si="79"/>
        <v>3</v>
      </c>
      <c r="AD129" s="179">
        <f t="shared" si="79"/>
        <v>3</v>
      </c>
      <c r="AE129" s="179">
        <f t="shared" si="79"/>
        <v>3</v>
      </c>
      <c r="AF129" s="179">
        <f t="shared" si="79"/>
        <v>3</v>
      </c>
    </row>
    <row r="130" spans="2:32">
      <c r="B130" s="121"/>
      <c r="C130" s="657" t="s">
        <v>1433</v>
      </c>
      <c r="D130" s="257"/>
      <c r="E130" s="121" t="s">
        <v>740</v>
      </c>
      <c r="F130" s="205" t="s">
        <v>226</v>
      </c>
      <c r="G130">
        <f>IF(Assumptions_Dashboard!$L$4="MDO",0,3)</f>
        <v>3</v>
      </c>
      <c r="H130" s="366">
        <f>IFERROR(VLOOKUP(F130,Assumptions_Dashboard!$C$38:$D$72,2,FALSE),0)</f>
        <v>360000</v>
      </c>
      <c r="J130" s="179"/>
      <c r="K130" s="179"/>
      <c r="L130" s="179"/>
      <c r="M130" s="179"/>
      <c r="N130" s="179">
        <f t="shared" si="32"/>
        <v>3</v>
      </c>
      <c r="O130" s="179">
        <f t="shared" si="33"/>
        <v>3</v>
      </c>
      <c r="P130" s="179">
        <f t="shared" ref="P130:AF130" si="80">O130</f>
        <v>3</v>
      </c>
      <c r="Q130" s="179">
        <f t="shared" si="80"/>
        <v>3</v>
      </c>
      <c r="R130" s="179">
        <f t="shared" si="80"/>
        <v>3</v>
      </c>
      <c r="S130" s="179">
        <f t="shared" si="80"/>
        <v>3</v>
      </c>
      <c r="T130" s="179">
        <f t="shared" si="80"/>
        <v>3</v>
      </c>
      <c r="U130" s="179">
        <f t="shared" si="80"/>
        <v>3</v>
      </c>
      <c r="V130" s="179">
        <f t="shared" si="80"/>
        <v>3</v>
      </c>
      <c r="W130" s="179">
        <f t="shared" si="80"/>
        <v>3</v>
      </c>
      <c r="X130" s="179">
        <f t="shared" si="80"/>
        <v>3</v>
      </c>
      <c r="Y130" s="179">
        <f t="shared" si="80"/>
        <v>3</v>
      </c>
      <c r="Z130" s="179">
        <f t="shared" si="80"/>
        <v>3</v>
      </c>
      <c r="AA130" s="179">
        <f t="shared" si="80"/>
        <v>3</v>
      </c>
      <c r="AB130" s="179">
        <f t="shared" si="80"/>
        <v>3</v>
      </c>
      <c r="AC130" s="179">
        <f t="shared" si="80"/>
        <v>3</v>
      </c>
      <c r="AD130" s="179">
        <f t="shared" si="80"/>
        <v>3</v>
      </c>
      <c r="AE130" s="179">
        <f t="shared" si="80"/>
        <v>3</v>
      </c>
      <c r="AF130" s="179">
        <f t="shared" si="80"/>
        <v>3</v>
      </c>
    </row>
    <row r="131" spans="2:32">
      <c r="B131" s="121"/>
      <c r="C131" s="657" t="s">
        <v>1434</v>
      </c>
      <c r="D131" s="257"/>
      <c r="E131" s="121" t="s">
        <v>740</v>
      </c>
      <c r="F131" s="205" t="s">
        <v>228</v>
      </c>
      <c r="G131">
        <f>IF(Assumptions_Dashboard!$L$4="MDO",0,1)</f>
        <v>1</v>
      </c>
      <c r="H131" s="366">
        <f>IFERROR(VLOOKUP(F131,Assumptions_Dashboard!$C$38:$D$72,2,FALSE),0)</f>
        <v>300000</v>
      </c>
      <c r="J131" s="179"/>
      <c r="K131" s="179"/>
      <c r="L131" s="179"/>
      <c r="M131" s="179"/>
      <c r="N131" s="179">
        <f t="shared" si="32"/>
        <v>1</v>
      </c>
      <c r="O131" s="179">
        <f t="shared" si="33"/>
        <v>1</v>
      </c>
      <c r="P131" s="179">
        <f t="shared" ref="P131:AF131" si="81">O131</f>
        <v>1</v>
      </c>
      <c r="Q131" s="179">
        <f t="shared" si="81"/>
        <v>1</v>
      </c>
      <c r="R131" s="179">
        <f t="shared" si="81"/>
        <v>1</v>
      </c>
      <c r="S131" s="179">
        <f t="shared" si="81"/>
        <v>1</v>
      </c>
      <c r="T131" s="179">
        <f t="shared" si="81"/>
        <v>1</v>
      </c>
      <c r="U131" s="179">
        <f t="shared" si="81"/>
        <v>1</v>
      </c>
      <c r="V131" s="179">
        <f t="shared" si="81"/>
        <v>1</v>
      </c>
      <c r="W131" s="179">
        <f t="shared" si="81"/>
        <v>1</v>
      </c>
      <c r="X131" s="179">
        <f t="shared" si="81"/>
        <v>1</v>
      </c>
      <c r="Y131" s="179">
        <f t="shared" si="81"/>
        <v>1</v>
      </c>
      <c r="Z131" s="179">
        <f t="shared" si="81"/>
        <v>1</v>
      </c>
      <c r="AA131" s="179">
        <f t="shared" si="81"/>
        <v>1</v>
      </c>
      <c r="AB131" s="179">
        <f t="shared" si="81"/>
        <v>1</v>
      </c>
      <c r="AC131" s="179">
        <f t="shared" si="81"/>
        <v>1</v>
      </c>
      <c r="AD131" s="179">
        <f t="shared" si="81"/>
        <v>1</v>
      </c>
      <c r="AE131" s="179">
        <f t="shared" si="81"/>
        <v>1</v>
      </c>
      <c r="AF131" s="179">
        <f t="shared" si="81"/>
        <v>1</v>
      </c>
    </row>
    <row r="132" spans="2:32">
      <c r="B132" s="121"/>
      <c r="C132" s="657" t="s">
        <v>1435</v>
      </c>
      <c r="D132" s="257"/>
      <c r="E132" s="121" t="s">
        <v>740</v>
      </c>
      <c r="F132" s="205" t="s">
        <v>230</v>
      </c>
      <c r="G132">
        <f>IF(Assumptions_Dashboard!$L$4="MDO",0,6)</f>
        <v>6</v>
      </c>
      <c r="H132" s="366">
        <f>IFERROR(VLOOKUP(F132,Assumptions_Dashboard!$C$38:$D$72,2,FALSE),0)</f>
        <v>240000</v>
      </c>
      <c r="J132" s="179"/>
      <c r="K132" s="179"/>
      <c r="L132" s="179"/>
      <c r="M132" s="179"/>
      <c r="N132" s="179">
        <f t="shared" si="32"/>
        <v>6</v>
      </c>
      <c r="O132" s="179">
        <f t="shared" si="33"/>
        <v>6</v>
      </c>
      <c r="P132" s="179">
        <f t="shared" ref="P132:AF132" si="82">O132</f>
        <v>6</v>
      </c>
      <c r="Q132" s="179">
        <f t="shared" si="82"/>
        <v>6</v>
      </c>
      <c r="R132" s="179">
        <f t="shared" si="82"/>
        <v>6</v>
      </c>
      <c r="S132" s="179">
        <f t="shared" si="82"/>
        <v>6</v>
      </c>
      <c r="T132" s="179">
        <f t="shared" si="82"/>
        <v>6</v>
      </c>
      <c r="U132" s="179">
        <f t="shared" si="82"/>
        <v>6</v>
      </c>
      <c r="V132" s="179">
        <f t="shared" si="82"/>
        <v>6</v>
      </c>
      <c r="W132" s="179">
        <f t="shared" si="82"/>
        <v>6</v>
      </c>
      <c r="X132" s="179">
        <f t="shared" si="82"/>
        <v>6</v>
      </c>
      <c r="Y132" s="179">
        <f t="shared" si="82"/>
        <v>6</v>
      </c>
      <c r="Z132" s="179">
        <f t="shared" si="82"/>
        <v>6</v>
      </c>
      <c r="AA132" s="179">
        <f t="shared" si="82"/>
        <v>6</v>
      </c>
      <c r="AB132" s="179">
        <f t="shared" si="82"/>
        <v>6</v>
      </c>
      <c r="AC132" s="179">
        <f t="shared" si="82"/>
        <v>6</v>
      </c>
      <c r="AD132" s="179">
        <f t="shared" si="82"/>
        <v>6</v>
      </c>
      <c r="AE132" s="179">
        <f t="shared" si="82"/>
        <v>6</v>
      </c>
      <c r="AF132" s="179">
        <f t="shared" si="82"/>
        <v>6</v>
      </c>
    </row>
    <row r="133" spans="2:32">
      <c r="B133" s="121"/>
      <c r="C133" s="657" t="s">
        <v>1352</v>
      </c>
      <c r="D133" s="257"/>
      <c r="E133" s="121" t="s">
        <v>740</v>
      </c>
      <c r="F133" s="205" t="s">
        <v>230</v>
      </c>
      <c r="G133">
        <f>IF(Assumptions_Dashboard!$L$4="MDO",0,45)</f>
        <v>45</v>
      </c>
      <c r="H133" s="366">
        <f>IFERROR(VLOOKUP(F133,Assumptions_Dashboard!$C$38:$D$72,2,FALSE),0)</f>
        <v>240000</v>
      </c>
      <c r="J133" s="179"/>
      <c r="K133" s="179"/>
      <c r="L133" s="179"/>
      <c r="M133" s="179"/>
      <c r="N133" s="179">
        <f t="shared" si="32"/>
        <v>45</v>
      </c>
      <c r="O133" s="179">
        <f t="shared" si="33"/>
        <v>45</v>
      </c>
      <c r="P133" s="179">
        <f t="shared" ref="P133:AF133" si="83">O133</f>
        <v>45</v>
      </c>
      <c r="Q133" s="179">
        <f t="shared" si="83"/>
        <v>45</v>
      </c>
      <c r="R133" s="179">
        <f t="shared" si="83"/>
        <v>45</v>
      </c>
      <c r="S133" s="179">
        <f t="shared" si="83"/>
        <v>45</v>
      </c>
      <c r="T133" s="179">
        <f t="shared" si="83"/>
        <v>45</v>
      </c>
      <c r="U133" s="179">
        <f t="shared" si="83"/>
        <v>45</v>
      </c>
      <c r="V133" s="179">
        <f t="shared" si="83"/>
        <v>45</v>
      </c>
      <c r="W133" s="179">
        <f t="shared" si="83"/>
        <v>45</v>
      </c>
      <c r="X133" s="179">
        <f t="shared" si="83"/>
        <v>45</v>
      </c>
      <c r="Y133" s="179">
        <f t="shared" si="83"/>
        <v>45</v>
      </c>
      <c r="Z133" s="179">
        <f t="shared" si="83"/>
        <v>45</v>
      </c>
      <c r="AA133" s="179">
        <f t="shared" si="83"/>
        <v>45</v>
      </c>
      <c r="AB133" s="179">
        <f t="shared" si="83"/>
        <v>45</v>
      </c>
      <c r="AC133" s="179">
        <f t="shared" si="83"/>
        <v>45</v>
      </c>
      <c r="AD133" s="179">
        <f t="shared" si="83"/>
        <v>45</v>
      </c>
      <c r="AE133" s="179">
        <f t="shared" si="83"/>
        <v>45</v>
      </c>
      <c r="AF133" s="179">
        <f t="shared" si="83"/>
        <v>45</v>
      </c>
    </row>
    <row r="134" spans="2:32">
      <c r="B134" s="121"/>
      <c r="C134" s="121"/>
      <c r="D134" s="257"/>
      <c r="E134" s="121"/>
      <c r="F134" s="205"/>
      <c r="H134" s="366">
        <f>IFERROR(VLOOKUP(F134,Assumptions_Dashboard!$C$38:$D$72,2,FALSE),0)</f>
        <v>0</v>
      </c>
      <c r="J134" s="179"/>
      <c r="K134" s="179"/>
      <c r="L134" s="179"/>
      <c r="M134" s="179"/>
      <c r="N134" s="179">
        <f t="shared" si="32"/>
        <v>0</v>
      </c>
      <c r="O134" s="179">
        <f t="shared" si="33"/>
        <v>0</v>
      </c>
      <c r="P134" s="179">
        <f t="shared" ref="P134:AF134" si="84">O134</f>
        <v>0</v>
      </c>
      <c r="Q134" s="179">
        <f t="shared" si="84"/>
        <v>0</v>
      </c>
      <c r="R134" s="179">
        <f t="shared" si="84"/>
        <v>0</v>
      </c>
      <c r="S134" s="179">
        <f t="shared" si="84"/>
        <v>0</v>
      </c>
      <c r="T134" s="179">
        <f t="shared" si="84"/>
        <v>0</v>
      </c>
      <c r="U134" s="179">
        <f t="shared" si="84"/>
        <v>0</v>
      </c>
      <c r="V134" s="179">
        <f t="shared" si="84"/>
        <v>0</v>
      </c>
      <c r="W134" s="179">
        <f t="shared" si="84"/>
        <v>0</v>
      </c>
      <c r="X134" s="179">
        <f t="shared" si="84"/>
        <v>0</v>
      </c>
      <c r="Y134" s="179">
        <f t="shared" si="84"/>
        <v>0</v>
      </c>
      <c r="Z134" s="179">
        <f t="shared" si="84"/>
        <v>0</v>
      </c>
      <c r="AA134" s="179">
        <f t="shared" si="84"/>
        <v>0</v>
      </c>
      <c r="AB134" s="179">
        <f t="shared" si="84"/>
        <v>0</v>
      </c>
      <c r="AC134" s="179">
        <f t="shared" si="84"/>
        <v>0</v>
      </c>
      <c r="AD134" s="179">
        <f t="shared" si="84"/>
        <v>0</v>
      </c>
      <c r="AE134" s="179">
        <f t="shared" si="84"/>
        <v>0</v>
      </c>
      <c r="AF134" s="179">
        <f t="shared" si="84"/>
        <v>0</v>
      </c>
    </row>
    <row r="135" spans="2:32">
      <c r="B135" s="121"/>
      <c r="C135" s="117" t="s">
        <v>1436</v>
      </c>
      <c r="D135" s="257"/>
      <c r="E135" s="121"/>
      <c r="F135" s="205"/>
      <c r="H135" s="366">
        <f>IFERROR(VLOOKUP(F135,Assumptions_Dashboard!$C$38:$D$72,2,FALSE),0)</f>
        <v>0</v>
      </c>
      <c r="J135" s="179"/>
      <c r="K135" s="179"/>
      <c r="L135" s="179"/>
      <c r="M135" s="179"/>
      <c r="N135" s="179">
        <f t="shared" si="32"/>
        <v>0</v>
      </c>
      <c r="O135" s="179">
        <f t="shared" si="33"/>
        <v>0</v>
      </c>
      <c r="P135" s="179">
        <f t="shared" ref="P135:AF135" si="85">O135</f>
        <v>0</v>
      </c>
      <c r="Q135" s="179">
        <f t="shared" si="85"/>
        <v>0</v>
      </c>
      <c r="R135" s="179">
        <f t="shared" si="85"/>
        <v>0</v>
      </c>
      <c r="S135" s="179">
        <f t="shared" si="85"/>
        <v>0</v>
      </c>
      <c r="T135" s="179">
        <f t="shared" si="85"/>
        <v>0</v>
      </c>
      <c r="U135" s="179">
        <f t="shared" si="85"/>
        <v>0</v>
      </c>
      <c r="V135" s="179">
        <f t="shared" si="85"/>
        <v>0</v>
      </c>
      <c r="W135" s="179">
        <f t="shared" si="85"/>
        <v>0</v>
      </c>
      <c r="X135" s="179">
        <f t="shared" si="85"/>
        <v>0</v>
      </c>
      <c r="Y135" s="179">
        <f t="shared" si="85"/>
        <v>0</v>
      </c>
      <c r="Z135" s="179">
        <f t="shared" si="85"/>
        <v>0</v>
      </c>
      <c r="AA135" s="179">
        <f t="shared" si="85"/>
        <v>0</v>
      </c>
      <c r="AB135" s="179">
        <f t="shared" si="85"/>
        <v>0</v>
      </c>
      <c r="AC135" s="179">
        <f t="shared" si="85"/>
        <v>0</v>
      </c>
      <c r="AD135" s="179">
        <f t="shared" si="85"/>
        <v>0</v>
      </c>
      <c r="AE135" s="179">
        <f t="shared" si="85"/>
        <v>0</v>
      </c>
      <c r="AF135" s="179">
        <f t="shared" si="85"/>
        <v>0</v>
      </c>
    </row>
    <row r="136" spans="2:32">
      <c r="B136" s="121"/>
      <c r="C136" s="658" t="s">
        <v>1437</v>
      </c>
      <c r="D136" s="257" t="s">
        <v>1315</v>
      </c>
      <c r="E136" s="121" t="s">
        <v>740</v>
      </c>
      <c r="F136" s="205" t="s">
        <v>192</v>
      </c>
      <c r="G136">
        <v>1</v>
      </c>
      <c r="H136" s="366">
        <f>IFERROR(VLOOKUP(F136,Assumptions_Dashboard!$C$38:$D$72,2,FALSE),0)</f>
        <v>1235000</v>
      </c>
      <c r="J136" s="179">
        <f>G136</f>
        <v>1</v>
      </c>
      <c r="K136" s="179">
        <f>J136</f>
        <v>1</v>
      </c>
      <c r="L136" s="179">
        <f>K136</f>
        <v>1</v>
      </c>
      <c r="M136" s="179">
        <f>L136</f>
        <v>1</v>
      </c>
      <c r="N136" s="179">
        <f>M136</f>
        <v>1</v>
      </c>
      <c r="O136" s="179">
        <f t="shared" si="33"/>
        <v>1</v>
      </c>
      <c r="P136" s="179">
        <f t="shared" ref="P136:AF136" si="86">O136</f>
        <v>1</v>
      </c>
      <c r="Q136" s="179">
        <f t="shared" si="86"/>
        <v>1</v>
      </c>
      <c r="R136" s="179">
        <f t="shared" si="86"/>
        <v>1</v>
      </c>
      <c r="S136" s="179">
        <f t="shared" si="86"/>
        <v>1</v>
      </c>
      <c r="T136" s="179">
        <f t="shared" si="86"/>
        <v>1</v>
      </c>
      <c r="U136" s="179">
        <f t="shared" si="86"/>
        <v>1</v>
      </c>
      <c r="V136" s="179">
        <f t="shared" si="86"/>
        <v>1</v>
      </c>
      <c r="W136" s="179">
        <f t="shared" si="86"/>
        <v>1</v>
      </c>
      <c r="X136" s="179">
        <f t="shared" si="86"/>
        <v>1</v>
      </c>
      <c r="Y136" s="179">
        <f t="shared" si="86"/>
        <v>1</v>
      </c>
      <c r="Z136" s="179">
        <f t="shared" si="86"/>
        <v>1</v>
      </c>
      <c r="AA136" s="179">
        <f t="shared" si="86"/>
        <v>1</v>
      </c>
      <c r="AB136" s="179">
        <f t="shared" si="86"/>
        <v>1</v>
      </c>
      <c r="AC136" s="179">
        <f t="shared" si="86"/>
        <v>1</v>
      </c>
      <c r="AD136" s="179">
        <f t="shared" si="86"/>
        <v>1</v>
      </c>
      <c r="AE136" s="179">
        <f t="shared" si="86"/>
        <v>1</v>
      </c>
      <c r="AF136" s="179">
        <f t="shared" si="86"/>
        <v>1</v>
      </c>
    </row>
    <row r="137" spans="2:32">
      <c r="B137" s="117"/>
      <c r="C137" s="658" t="s">
        <v>1438</v>
      </c>
      <c r="D137" s="257"/>
      <c r="E137" s="121" t="s">
        <v>740</v>
      </c>
      <c r="F137" s="205" t="s">
        <v>212</v>
      </c>
      <c r="H137" s="366">
        <f>IFERROR(VLOOKUP(F137,Assumptions_Dashboard!$C$38:$D$72,2,FALSE),0)</f>
        <v>670000</v>
      </c>
      <c r="J137" s="179"/>
      <c r="K137" s="179"/>
      <c r="L137" s="179"/>
      <c r="M137" s="179"/>
      <c r="N137" s="179">
        <f t="shared" si="32"/>
        <v>0</v>
      </c>
      <c r="O137" s="179">
        <f t="shared" si="33"/>
        <v>0</v>
      </c>
      <c r="P137" s="179">
        <f t="shared" ref="P137:AF137" si="87">O137</f>
        <v>0</v>
      </c>
      <c r="Q137" s="179">
        <f t="shared" si="87"/>
        <v>0</v>
      </c>
      <c r="R137" s="179">
        <f t="shared" si="87"/>
        <v>0</v>
      </c>
      <c r="S137" s="179">
        <f t="shared" si="87"/>
        <v>0</v>
      </c>
      <c r="T137" s="179">
        <f t="shared" si="87"/>
        <v>0</v>
      </c>
      <c r="U137" s="179">
        <f t="shared" si="87"/>
        <v>0</v>
      </c>
      <c r="V137" s="179">
        <f t="shared" si="87"/>
        <v>0</v>
      </c>
      <c r="W137" s="179">
        <f t="shared" si="87"/>
        <v>0</v>
      </c>
      <c r="X137" s="179">
        <f t="shared" si="87"/>
        <v>0</v>
      </c>
      <c r="Y137" s="179">
        <f t="shared" si="87"/>
        <v>0</v>
      </c>
      <c r="Z137" s="179">
        <f t="shared" si="87"/>
        <v>0</v>
      </c>
      <c r="AA137" s="179">
        <f t="shared" si="87"/>
        <v>0</v>
      </c>
      <c r="AB137" s="179">
        <f t="shared" si="87"/>
        <v>0</v>
      </c>
      <c r="AC137" s="179">
        <f t="shared" si="87"/>
        <v>0</v>
      </c>
      <c r="AD137" s="179">
        <f t="shared" si="87"/>
        <v>0</v>
      </c>
      <c r="AE137" s="179">
        <f t="shared" si="87"/>
        <v>0</v>
      </c>
      <c r="AF137" s="179">
        <f t="shared" si="87"/>
        <v>0</v>
      </c>
    </row>
    <row r="138" spans="2:32">
      <c r="B138" s="121"/>
      <c r="C138" s="658" t="s">
        <v>1356</v>
      </c>
      <c r="D138" s="257"/>
      <c r="E138" s="121" t="s">
        <v>740</v>
      </c>
      <c r="F138" s="205" t="s">
        <v>212</v>
      </c>
      <c r="G138">
        <f>IF(Assumptions_Dashboard!$L$4="MDO",0,15)</f>
        <v>15</v>
      </c>
      <c r="H138" s="366">
        <f>IFERROR(VLOOKUP(F138,Assumptions_Dashboard!$C$38:$D$72,2,FALSE),0)</f>
        <v>670000</v>
      </c>
      <c r="J138" s="179"/>
      <c r="K138" s="179"/>
      <c r="L138" s="179"/>
      <c r="M138" s="179"/>
      <c r="N138" s="179">
        <f t="shared" si="32"/>
        <v>15</v>
      </c>
      <c r="O138" s="179">
        <f t="shared" si="33"/>
        <v>15</v>
      </c>
      <c r="P138" s="179">
        <f t="shared" ref="P138:AF138" si="88">O138</f>
        <v>15</v>
      </c>
      <c r="Q138" s="179">
        <f t="shared" si="88"/>
        <v>15</v>
      </c>
      <c r="R138" s="179">
        <f t="shared" si="88"/>
        <v>15</v>
      </c>
      <c r="S138" s="179">
        <f t="shared" si="88"/>
        <v>15</v>
      </c>
      <c r="T138" s="179">
        <f t="shared" si="88"/>
        <v>15</v>
      </c>
      <c r="U138" s="179">
        <f t="shared" si="88"/>
        <v>15</v>
      </c>
      <c r="V138" s="179">
        <f t="shared" si="88"/>
        <v>15</v>
      </c>
      <c r="W138" s="179">
        <f t="shared" si="88"/>
        <v>15</v>
      </c>
      <c r="X138" s="179">
        <f t="shared" si="88"/>
        <v>15</v>
      </c>
      <c r="Y138" s="179">
        <f t="shared" si="88"/>
        <v>15</v>
      </c>
      <c r="Z138" s="179">
        <f t="shared" si="88"/>
        <v>15</v>
      </c>
      <c r="AA138" s="179">
        <f t="shared" si="88"/>
        <v>15</v>
      </c>
      <c r="AB138" s="179">
        <f t="shared" si="88"/>
        <v>15</v>
      </c>
      <c r="AC138" s="179">
        <f t="shared" si="88"/>
        <v>15</v>
      </c>
      <c r="AD138" s="179">
        <f t="shared" si="88"/>
        <v>15</v>
      </c>
      <c r="AE138" s="179">
        <f t="shared" si="88"/>
        <v>15</v>
      </c>
      <c r="AF138" s="179">
        <f t="shared" si="88"/>
        <v>15</v>
      </c>
    </row>
    <row r="139" spans="2:32">
      <c r="B139" s="121"/>
      <c r="C139" s="658" t="s">
        <v>1439</v>
      </c>
      <c r="D139" s="257"/>
      <c r="E139" s="121" t="s">
        <v>740</v>
      </c>
      <c r="F139" s="205" t="s">
        <v>213</v>
      </c>
      <c r="G139">
        <f>IF(Assumptions_Dashboard!$L$4="MDO",0,15)</f>
        <v>15</v>
      </c>
      <c r="H139" s="366">
        <f>IFERROR(VLOOKUP(F139,Assumptions_Dashboard!$C$38:$D$72,2,FALSE),0)</f>
        <v>400000</v>
      </c>
      <c r="J139" s="179"/>
      <c r="K139" s="179"/>
      <c r="L139" s="179"/>
      <c r="M139" s="179"/>
      <c r="N139" s="179">
        <f t="shared" si="32"/>
        <v>15</v>
      </c>
      <c r="O139" s="179">
        <f t="shared" si="33"/>
        <v>15</v>
      </c>
      <c r="P139" s="179">
        <f t="shared" ref="P139:AF139" si="89">O139</f>
        <v>15</v>
      </c>
      <c r="Q139" s="179">
        <f t="shared" si="89"/>
        <v>15</v>
      </c>
      <c r="R139" s="179">
        <f t="shared" si="89"/>
        <v>15</v>
      </c>
      <c r="S139" s="179">
        <f t="shared" si="89"/>
        <v>15</v>
      </c>
      <c r="T139" s="179">
        <f t="shared" si="89"/>
        <v>15</v>
      </c>
      <c r="U139" s="179">
        <f t="shared" si="89"/>
        <v>15</v>
      </c>
      <c r="V139" s="179">
        <f t="shared" si="89"/>
        <v>15</v>
      </c>
      <c r="W139" s="179">
        <f t="shared" si="89"/>
        <v>15</v>
      </c>
      <c r="X139" s="179">
        <f t="shared" si="89"/>
        <v>15</v>
      </c>
      <c r="Y139" s="179">
        <f t="shared" si="89"/>
        <v>15</v>
      </c>
      <c r="Z139" s="179">
        <f t="shared" si="89"/>
        <v>15</v>
      </c>
      <c r="AA139" s="179">
        <f t="shared" si="89"/>
        <v>15</v>
      </c>
      <c r="AB139" s="179">
        <f t="shared" si="89"/>
        <v>15</v>
      </c>
      <c r="AC139" s="179">
        <f t="shared" si="89"/>
        <v>15</v>
      </c>
      <c r="AD139" s="179">
        <f t="shared" si="89"/>
        <v>15</v>
      </c>
      <c r="AE139" s="179">
        <f t="shared" si="89"/>
        <v>15</v>
      </c>
      <c r="AF139" s="179">
        <f t="shared" si="89"/>
        <v>15</v>
      </c>
    </row>
    <row r="140" spans="2:32">
      <c r="B140" s="121"/>
      <c r="C140" s="658" t="s">
        <v>1440</v>
      </c>
      <c r="D140" s="257"/>
      <c r="E140" s="121" t="s">
        <v>740</v>
      </c>
      <c r="F140" s="205" t="s">
        <v>230</v>
      </c>
      <c r="H140" s="366">
        <f>IFERROR(VLOOKUP(F140,Assumptions_Dashboard!$C$38:$D$72,2,FALSE),0)</f>
        <v>240000</v>
      </c>
      <c r="J140" s="179"/>
      <c r="K140" s="179"/>
      <c r="L140" s="179"/>
      <c r="M140" s="179"/>
      <c r="N140" s="179">
        <f t="shared" si="32"/>
        <v>0</v>
      </c>
      <c r="O140" s="179">
        <f t="shared" si="33"/>
        <v>0</v>
      </c>
      <c r="P140" s="179">
        <f t="shared" ref="P140:AF140" si="90">O140</f>
        <v>0</v>
      </c>
      <c r="Q140" s="179">
        <f t="shared" si="90"/>
        <v>0</v>
      </c>
      <c r="R140" s="179">
        <f t="shared" si="90"/>
        <v>0</v>
      </c>
      <c r="S140" s="179">
        <f t="shared" si="90"/>
        <v>0</v>
      </c>
      <c r="T140" s="179">
        <f t="shared" si="90"/>
        <v>0</v>
      </c>
      <c r="U140" s="179">
        <f t="shared" si="90"/>
        <v>0</v>
      </c>
      <c r="V140" s="179">
        <f t="shared" si="90"/>
        <v>0</v>
      </c>
      <c r="W140" s="179">
        <f t="shared" si="90"/>
        <v>0</v>
      </c>
      <c r="X140" s="179">
        <f t="shared" si="90"/>
        <v>0</v>
      </c>
      <c r="Y140" s="179">
        <f t="shared" si="90"/>
        <v>0</v>
      </c>
      <c r="Z140" s="179">
        <f t="shared" si="90"/>
        <v>0</v>
      </c>
      <c r="AA140" s="179">
        <f t="shared" si="90"/>
        <v>0</v>
      </c>
      <c r="AB140" s="179">
        <f t="shared" si="90"/>
        <v>0</v>
      </c>
      <c r="AC140" s="179">
        <f t="shared" si="90"/>
        <v>0</v>
      </c>
      <c r="AD140" s="179">
        <f t="shared" si="90"/>
        <v>0</v>
      </c>
      <c r="AE140" s="179">
        <f t="shared" si="90"/>
        <v>0</v>
      </c>
      <c r="AF140" s="179">
        <f t="shared" si="90"/>
        <v>0</v>
      </c>
    </row>
    <row r="141" spans="2:32">
      <c r="B141" s="121"/>
      <c r="C141" s="658" t="s">
        <v>1441</v>
      </c>
      <c r="D141" s="257"/>
      <c r="E141" s="121" t="s">
        <v>740</v>
      </c>
      <c r="F141" s="205" t="s">
        <v>228</v>
      </c>
      <c r="H141" s="366">
        <f>IFERROR(VLOOKUP(F141,Assumptions_Dashboard!$C$38:$D$72,2,FALSE),0)</f>
        <v>300000</v>
      </c>
      <c r="J141" s="179"/>
      <c r="K141" s="179"/>
      <c r="L141" s="179"/>
      <c r="M141" s="179"/>
      <c r="N141" s="179">
        <f t="shared" si="32"/>
        <v>0</v>
      </c>
      <c r="O141" s="179">
        <f t="shared" si="33"/>
        <v>0</v>
      </c>
      <c r="P141" s="179">
        <f t="shared" ref="P141:AF141" si="91">O141</f>
        <v>0</v>
      </c>
      <c r="Q141" s="179">
        <f t="shared" si="91"/>
        <v>0</v>
      </c>
      <c r="R141" s="179">
        <f t="shared" si="91"/>
        <v>0</v>
      </c>
      <c r="S141" s="179">
        <f t="shared" si="91"/>
        <v>0</v>
      </c>
      <c r="T141" s="179">
        <f t="shared" si="91"/>
        <v>0</v>
      </c>
      <c r="U141" s="179">
        <f t="shared" si="91"/>
        <v>0</v>
      </c>
      <c r="V141" s="179">
        <f t="shared" si="91"/>
        <v>0</v>
      </c>
      <c r="W141" s="179">
        <f t="shared" si="91"/>
        <v>0</v>
      </c>
      <c r="X141" s="179">
        <f t="shared" si="91"/>
        <v>0</v>
      </c>
      <c r="Y141" s="179">
        <f t="shared" si="91"/>
        <v>0</v>
      </c>
      <c r="Z141" s="179">
        <f t="shared" si="91"/>
        <v>0</v>
      </c>
      <c r="AA141" s="179">
        <f t="shared" si="91"/>
        <v>0</v>
      </c>
      <c r="AB141" s="179">
        <f t="shared" si="91"/>
        <v>0</v>
      </c>
      <c r="AC141" s="179">
        <f t="shared" si="91"/>
        <v>0</v>
      </c>
      <c r="AD141" s="179">
        <f t="shared" si="91"/>
        <v>0</v>
      </c>
      <c r="AE141" s="179">
        <f t="shared" si="91"/>
        <v>0</v>
      </c>
      <c r="AF141" s="179">
        <f t="shared" si="91"/>
        <v>0</v>
      </c>
    </row>
    <row r="142" spans="2:32">
      <c r="B142" s="121"/>
      <c r="C142" s="658" t="s">
        <v>1433</v>
      </c>
      <c r="D142" s="257"/>
      <c r="E142" s="121" t="s">
        <v>740</v>
      </c>
      <c r="F142" s="205" t="s">
        <v>230</v>
      </c>
      <c r="H142" s="366">
        <f>IFERROR(VLOOKUP(F142,Assumptions_Dashboard!$C$38:$D$72,2,FALSE),0)</f>
        <v>240000</v>
      </c>
      <c r="J142" s="179"/>
      <c r="K142" s="179"/>
      <c r="L142" s="179"/>
      <c r="M142" s="179"/>
      <c r="N142" s="179">
        <f t="shared" si="32"/>
        <v>0</v>
      </c>
      <c r="O142" s="179">
        <f t="shared" si="33"/>
        <v>0</v>
      </c>
      <c r="P142" s="179">
        <f t="shared" ref="P142:AF142" si="92">O142</f>
        <v>0</v>
      </c>
      <c r="Q142" s="179">
        <f t="shared" si="92"/>
        <v>0</v>
      </c>
      <c r="R142" s="179">
        <f t="shared" si="92"/>
        <v>0</v>
      </c>
      <c r="S142" s="179">
        <f t="shared" si="92"/>
        <v>0</v>
      </c>
      <c r="T142" s="179">
        <f t="shared" si="92"/>
        <v>0</v>
      </c>
      <c r="U142" s="179">
        <f t="shared" si="92"/>
        <v>0</v>
      </c>
      <c r="V142" s="179">
        <f t="shared" si="92"/>
        <v>0</v>
      </c>
      <c r="W142" s="179">
        <f t="shared" si="92"/>
        <v>0</v>
      </c>
      <c r="X142" s="179">
        <f t="shared" si="92"/>
        <v>0</v>
      </c>
      <c r="Y142" s="179">
        <f t="shared" si="92"/>
        <v>0</v>
      </c>
      <c r="Z142" s="179">
        <f t="shared" si="92"/>
        <v>0</v>
      </c>
      <c r="AA142" s="179">
        <f t="shared" si="92"/>
        <v>0</v>
      </c>
      <c r="AB142" s="179">
        <f t="shared" si="92"/>
        <v>0</v>
      </c>
      <c r="AC142" s="179">
        <f t="shared" si="92"/>
        <v>0</v>
      </c>
      <c r="AD142" s="179">
        <f t="shared" si="92"/>
        <v>0</v>
      </c>
      <c r="AE142" s="179">
        <f t="shared" si="92"/>
        <v>0</v>
      </c>
      <c r="AF142" s="179">
        <f t="shared" si="92"/>
        <v>0</v>
      </c>
    </row>
    <row r="143" spans="2:32">
      <c r="B143" s="121"/>
      <c r="C143" s="658" t="s">
        <v>1432</v>
      </c>
      <c r="D143" s="257"/>
      <c r="E143" s="121" t="s">
        <v>740</v>
      </c>
      <c r="F143" s="205" t="s">
        <v>228</v>
      </c>
      <c r="H143" s="366">
        <f>IFERROR(VLOOKUP(F143,Assumptions_Dashboard!$C$38:$D$72,2,FALSE),0)</f>
        <v>300000</v>
      </c>
      <c r="J143" s="179"/>
      <c r="K143" s="179"/>
      <c r="L143" s="179"/>
      <c r="M143" s="179"/>
      <c r="N143" s="179">
        <f t="shared" si="32"/>
        <v>0</v>
      </c>
      <c r="O143" s="179">
        <f t="shared" si="33"/>
        <v>0</v>
      </c>
      <c r="P143" s="179">
        <f t="shared" ref="P143:AF143" si="93">O143</f>
        <v>0</v>
      </c>
      <c r="Q143" s="179">
        <f t="shared" si="93"/>
        <v>0</v>
      </c>
      <c r="R143" s="179">
        <f t="shared" si="93"/>
        <v>0</v>
      </c>
      <c r="S143" s="179">
        <f t="shared" si="93"/>
        <v>0</v>
      </c>
      <c r="T143" s="179">
        <f t="shared" si="93"/>
        <v>0</v>
      </c>
      <c r="U143" s="179">
        <f t="shared" si="93"/>
        <v>0</v>
      </c>
      <c r="V143" s="179">
        <f t="shared" si="93"/>
        <v>0</v>
      </c>
      <c r="W143" s="179">
        <f t="shared" si="93"/>
        <v>0</v>
      </c>
      <c r="X143" s="179">
        <f t="shared" si="93"/>
        <v>0</v>
      </c>
      <c r="Y143" s="179">
        <f t="shared" si="93"/>
        <v>0</v>
      </c>
      <c r="Z143" s="179">
        <f t="shared" si="93"/>
        <v>0</v>
      </c>
      <c r="AA143" s="179">
        <f t="shared" si="93"/>
        <v>0</v>
      </c>
      <c r="AB143" s="179">
        <f t="shared" si="93"/>
        <v>0</v>
      </c>
      <c r="AC143" s="179">
        <f t="shared" si="93"/>
        <v>0</v>
      </c>
      <c r="AD143" s="179">
        <f t="shared" si="93"/>
        <v>0</v>
      </c>
      <c r="AE143" s="179">
        <f t="shared" si="93"/>
        <v>0</v>
      </c>
      <c r="AF143" s="179">
        <f t="shared" si="93"/>
        <v>0</v>
      </c>
    </row>
    <row r="144" spans="2:32">
      <c r="B144" s="121"/>
      <c r="C144" s="658" t="s">
        <v>1442</v>
      </c>
      <c r="D144" s="257"/>
      <c r="E144" s="121" t="s">
        <v>740</v>
      </c>
      <c r="F144" s="205" t="s">
        <v>228</v>
      </c>
      <c r="H144" s="366">
        <f>IFERROR(VLOOKUP(F144,Assumptions_Dashboard!$C$38:$D$72,2,FALSE),0)</f>
        <v>300000</v>
      </c>
      <c r="J144" s="179"/>
      <c r="K144" s="179"/>
      <c r="L144" s="179"/>
      <c r="M144" s="179"/>
      <c r="N144" s="179">
        <f t="shared" si="32"/>
        <v>0</v>
      </c>
      <c r="O144" s="179">
        <f t="shared" si="33"/>
        <v>0</v>
      </c>
      <c r="P144" s="179">
        <f t="shared" ref="P144:AF144" si="94">O144</f>
        <v>0</v>
      </c>
      <c r="Q144" s="179">
        <f t="shared" si="94"/>
        <v>0</v>
      </c>
      <c r="R144" s="179">
        <f t="shared" si="94"/>
        <v>0</v>
      </c>
      <c r="S144" s="179">
        <f t="shared" si="94"/>
        <v>0</v>
      </c>
      <c r="T144" s="179">
        <f t="shared" si="94"/>
        <v>0</v>
      </c>
      <c r="U144" s="179">
        <f t="shared" si="94"/>
        <v>0</v>
      </c>
      <c r="V144" s="179">
        <f t="shared" si="94"/>
        <v>0</v>
      </c>
      <c r="W144" s="179">
        <f t="shared" si="94"/>
        <v>0</v>
      </c>
      <c r="X144" s="179">
        <f t="shared" si="94"/>
        <v>0</v>
      </c>
      <c r="Y144" s="179">
        <f t="shared" si="94"/>
        <v>0</v>
      </c>
      <c r="Z144" s="179">
        <f t="shared" si="94"/>
        <v>0</v>
      </c>
      <c r="AA144" s="179">
        <f t="shared" si="94"/>
        <v>0</v>
      </c>
      <c r="AB144" s="179">
        <f t="shared" si="94"/>
        <v>0</v>
      </c>
      <c r="AC144" s="179">
        <f t="shared" si="94"/>
        <v>0</v>
      </c>
      <c r="AD144" s="179">
        <f t="shared" si="94"/>
        <v>0</v>
      </c>
      <c r="AE144" s="179">
        <f t="shared" si="94"/>
        <v>0</v>
      </c>
      <c r="AF144" s="179">
        <f t="shared" si="94"/>
        <v>0</v>
      </c>
    </row>
    <row r="145" spans="2:32">
      <c r="B145" s="121"/>
      <c r="C145" s="658" t="s">
        <v>1443</v>
      </c>
      <c r="D145" s="257"/>
      <c r="E145" s="121" t="s">
        <v>740</v>
      </c>
      <c r="F145" s="205" t="s">
        <v>226</v>
      </c>
      <c r="H145" s="366">
        <f>IFERROR(VLOOKUP(F145,Assumptions_Dashboard!$C$38:$D$72,2,FALSE),0)</f>
        <v>360000</v>
      </c>
      <c r="J145" s="179"/>
      <c r="K145" s="179"/>
      <c r="L145" s="179"/>
      <c r="M145" s="179"/>
      <c r="N145" s="179">
        <f t="shared" si="32"/>
        <v>0</v>
      </c>
      <c r="O145" s="179">
        <f t="shared" si="33"/>
        <v>0</v>
      </c>
      <c r="P145" s="179">
        <f t="shared" ref="P145:AF145" si="95">O145</f>
        <v>0</v>
      </c>
      <c r="Q145" s="179">
        <f t="shared" si="95"/>
        <v>0</v>
      </c>
      <c r="R145" s="179">
        <f t="shared" si="95"/>
        <v>0</v>
      </c>
      <c r="S145" s="179">
        <f t="shared" si="95"/>
        <v>0</v>
      </c>
      <c r="T145" s="179">
        <f t="shared" si="95"/>
        <v>0</v>
      </c>
      <c r="U145" s="179">
        <f t="shared" si="95"/>
        <v>0</v>
      </c>
      <c r="V145" s="179">
        <f t="shared" si="95"/>
        <v>0</v>
      </c>
      <c r="W145" s="179">
        <f t="shared" si="95"/>
        <v>0</v>
      </c>
      <c r="X145" s="179">
        <f t="shared" si="95"/>
        <v>0</v>
      </c>
      <c r="Y145" s="179">
        <f t="shared" si="95"/>
        <v>0</v>
      </c>
      <c r="Z145" s="179">
        <f t="shared" si="95"/>
        <v>0</v>
      </c>
      <c r="AA145" s="179">
        <f t="shared" si="95"/>
        <v>0</v>
      </c>
      <c r="AB145" s="179">
        <f t="shared" si="95"/>
        <v>0</v>
      </c>
      <c r="AC145" s="179">
        <f t="shared" si="95"/>
        <v>0</v>
      </c>
      <c r="AD145" s="179">
        <f t="shared" si="95"/>
        <v>0</v>
      </c>
      <c r="AE145" s="179">
        <f t="shared" si="95"/>
        <v>0</v>
      </c>
      <c r="AF145" s="179">
        <f t="shared" si="95"/>
        <v>0</v>
      </c>
    </row>
    <row r="146" spans="2:32">
      <c r="B146" s="121"/>
      <c r="C146" s="658" t="s">
        <v>1352</v>
      </c>
      <c r="D146" s="257"/>
      <c r="E146" s="121" t="s">
        <v>740</v>
      </c>
      <c r="F146" s="205" t="s">
        <v>230</v>
      </c>
      <c r="G146">
        <f>IF(Assumptions_Dashboard!$L$4="MDO",0,25)</f>
        <v>25</v>
      </c>
      <c r="H146" s="366">
        <f>IFERROR(VLOOKUP(F146,Assumptions_Dashboard!$C$38:$D$72,2,FALSE),0)</f>
        <v>240000</v>
      </c>
      <c r="J146" s="179"/>
      <c r="K146" s="179"/>
      <c r="L146" s="179"/>
      <c r="M146" s="179"/>
      <c r="N146" s="179">
        <f t="shared" si="32"/>
        <v>25</v>
      </c>
      <c r="O146" s="179">
        <f t="shared" si="33"/>
        <v>25</v>
      </c>
      <c r="P146" s="179">
        <f t="shared" ref="P146:AF146" si="96">O146</f>
        <v>25</v>
      </c>
      <c r="Q146" s="179">
        <f t="shared" si="96"/>
        <v>25</v>
      </c>
      <c r="R146" s="179">
        <f t="shared" si="96"/>
        <v>25</v>
      </c>
      <c r="S146" s="179">
        <f t="shared" si="96"/>
        <v>25</v>
      </c>
      <c r="T146" s="179">
        <f t="shared" si="96"/>
        <v>25</v>
      </c>
      <c r="U146" s="179">
        <f t="shared" si="96"/>
        <v>25</v>
      </c>
      <c r="V146" s="179">
        <f t="shared" si="96"/>
        <v>25</v>
      </c>
      <c r="W146" s="179">
        <f t="shared" si="96"/>
        <v>25</v>
      </c>
      <c r="X146" s="179">
        <f t="shared" si="96"/>
        <v>25</v>
      </c>
      <c r="Y146" s="179">
        <f t="shared" si="96"/>
        <v>25</v>
      </c>
      <c r="Z146" s="179">
        <f t="shared" si="96"/>
        <v>25</v>
      </c>
      <c r="AA146" s="179">
        <f t="shared" si="96"/>
        <v>25</v>
      </c>
      <c r="AB146" s="179">
        <f t="shared" si="96"/>
        <v>25</v>
      </c>
      <c r="AC146" s="179">
        <f t="shared" si="96"/>
        <v>25</v>
      </c>
      <c r="AD146" s="179">
        <f t="shared" si="96"/>
        <v>25</v>
      </c>
      <c r="AE146" s="179">
        <f t="shared" si="96"/>
        <v>25</v>
      </c>
      <c r="AF146" s="179">
        <f t="shared" si="96"/>
        <v>25</v>
      </c>
    </row>
    <row r="147" spans="2:32">
      <c r="B147" s="117" t="s">
        <v>1444</v>
      </c>
      <c r="C147" s="659" t="s">
        <v>1445</v>
      </c>
      <c r="D147" s="257"/>
      <c r="E147" s="121" t="s">
        <v>740</v>
      </c>
      <c r="F147" s="205" t="s">
        <v>228</v>
      </c>
      <c r="G147">
        <f>IF(Assumptions_Dashboard!$L$4="MDO",0,9)</f>
        <v>9</v>
      </c>
      <c r="H147" s="366">
        <f>IFERROR(VLOOKUP(F147,Assumptions_Dashboard!$C$38:$D$72,2,FALSE),0)</f>
        <v>300000</v>
      </c>
      <c r="J147" s="179"/>
      <c r="K147" s="179"/>
      <c r="L147" s="179"/>
      <c r="M147" s="179"/>
      <c r="N147" s="179">
        <f t="shared" si="32"/>
        <v>9</v>
      </c>
      <c r="O147" s="179">
        <f t="shared" si="33"/>
        <v>9</v>
      </c>
      <c r="P147" s="179">
        <f t="shared" ref="P147:AF147" si="97">O147</f>
        <v>9</v>
      </c>
      <c r="Q147" s="179">
        <f t="shared" si="97"/>
        <v>9</v>
      </c>
      <c r="R147" s="179">
        <f t="shared" si="97"/>
        <v>9</v>
      </c>
      <c r="S147" s="179">
        <f t="shared" si="97"/>
        <v>9</v>
      </c>
      <c r="T147" s="179">
        <f t="shared" si="97"/>
        <v>9</v>
      </c>
      <c r="U147" s="179">
        <f t="shared" si="97"/>
        <v>9</v>
      </c>
      <c r="V147" s="179">
        <f t="shared" si="97"/>
        <v>9</v>
      </c>
      <c r="W147" s="179">
        <f t="shared" si="97"/>
        <v>9</v>
      </c>
      <c r="X147" s="179">
        <f t="shared" si="97"/>
        <v>9</v>
      </c>
      <c r="Y147" s="179">
        <f t="shared" si="97"/>
        <v>9</v>
      </c>
      <c r="Z147" s="179">
        <f t="shared" si="97"/>
        <v>9</v>
      </c>
      <c r="AA147" s="179">
        <f t="shared" si="97"/>
        <v>9</v>
      </c>
      <c r="AB147" s="179">
        <f t="shared" si="97"/>
        <v>9</v>
      </c>
      <c r="AC147" s="179">
        <f t="shared" si="97"/>
        <v>9</v>
      </c>
      <c r="AD147" s="179">
        <f t="shared" si="97"/>
        <v>9</v>
      </c>
      <c r="AE147" s="179">
        <f t="shared" si="97"/>
        <v>9</v>
      </c>
      <c r="AF147" s="179">
        <f t="shared" si="97"/>
        <v>9</v>
      </c>
    </row>
    <row r="148" spans="2:32">
      <c r="B148" s="121"/>
      <c r="C148" s="659" t="s">
        <v>1446</v>
      </c>
      <c r="D148" s="257"/>
      <c r="E148" s="121" t="s">
        <v>740</v>
      </c>
      <c r="F148" s="205" t="s">
        <v>230</v>
      </c>
      <c r="G148">
        <f>IF(Assumptions_Dashboard!$L$4="MDO",0,9)</f>
        <v>9</v>
      </c>
      <c r="H148" s="366">
        <f>IFERROR(VLOOKUP(F148,Assumptions_Dashboard!$C$38:$D$72,2,FALSE),0)</f>
        <v>240000</v>
      </c>
      <c r="J148" s="179"/>
      <c r="K148" s="179"/>
      <c r="L148" s="179"/>
      <c r="M148" s="179"/>
      <c r="N148" s="179">
        <f t="shared" ref="N148" si="98">G148</f>
        <v>9</v>
      </c>
      <c r="O148" s="179">
        <f t="shared" ref="O148:AD148" si="99">N148</f>
        <v>9</v>
      </c>
      <c r="P148" s="179">
        <f t="shared" si="99"/>
        <v>9</v>
      </c>
      <c r="Q148" s="179">
        <f t="shared" si="99"/>
        <v>9</v>
      </c>
      <c r="R148" s="179">
        <f t="shared" si="99"/>
        <v>9</v>
      </c>
      <c r="S148" s="179">
        <f t="shared" si="99"/>
        <v>9</v>
      </c>
      <c r="T148" s="179">
        <f t="shared" si="99"/>
        <v>9</v>
      </c>
      <c r="U148" s="179">
        <f t="shared" si="99"/>
        <v>9</v>
      </c>
      <c r="V148" s="179">
        <f t="shared" si="99"/>
        <v>9</v>
      </c>
      <c r="W148" s="179">
        <f t="shared" si="99"/>
        <v>9</v>
      </c>
      <c r="X148" s="179">
        <f t="shared" si="99"/>
        <v>9</v>
      </c>
      <c r="Y148" s="179">
        <f t="shared" si="99"/>
        <v>9</v>
      </c>
      <c r="Z148" s="179">
        <f t="shared" si="99"/>
        <v>9</v>
      </c>
      <c r="AA148" s="179">
        <f t="shared" si="99"/>
        <v>9</v>
      </c>
      <c r="AB148" s="179">
        <f t="shared" si="99"/>
        <v>9</v>
      </c>
      <c r="AC148" s="179">
        <f t="shared" si="99"/>
        <v>9</v>
      </c>
      <c r="AD148" s="179">
        <f t="shared" si="99"/>
        <v>9</v>
      </c>
      <c r="AE148" s="179">
        <f t="shared" ref="AE148:AF148" si="100">AD148</f>
        <v>9</v>
      </c>
      <c r="AF148" s="179">
        <f t="shared" si="100"/>
        <v>9</v>
      </c>
    </row>
    <row r="149" spans="2:32">
      <c r="B149" s="121"/>
      <c r="C149" s="121"/>
      <c r="D149" s="257"/>
      <c r="E149" s="121"/>
      <c r="F149" s="205"/>
      <c r="H149" s="366">
        <f>IFERROR(VLOOKUP(F149,Assumptions_Dashboard!$C$38:$D$72,2,FALSE),0)</f>
        <v>0</v>
      </c>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row>
    <row r="150" spans="2:32">
      <c r="B150" s="121"/>
      <c r="C150" s="117" t="s">
        <v>1447</v>
      </c>
      <c r="D150" s="257"/>
      <c r="E150" s="121"/>
      <c r="F150" s="205"/>
      <c r="H150" s="366">
        <f>IFERROR(VLOOKUP(F150,Assumptions_Dashboard!$C$38:$D$72,2,FALSE),0)</f>
        <v>0</v>
      </c>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row>
    <row r="151" spans="2:32">
      <c r="B151" s="255" t="s">
        <v>1448</v>
      </c>
      <c r="C151" s="660" t="s">
        <v>1449</v>
      </c>
      <c r="D151" s="257" t="s">
        <v>1315</v>
      </c>
      <c r="E151" s="121" t="s">
        <v>740</v>
      </c>
      <c r="F151" s="205" t="s">
        <v>184</v>
      </c>
      <c r="G151">
        <v>1</v>
      </c>
      <c r="H151" s="366">
        <f>IFERROR(VLOOKUP(F151,Assumptions_Dashboard!$C$38:$D$72,2,FALSE),0)</f>
        <v>3500000</v>
      </c>
      <c r="J151" s="179"/>
      <c r="K151" s="179"/>
      <c r="L151" s="179"/>
      <c r="M151" s="179"/>
      <c r="N151" s="369">
        <v>1</v>
      </c>
      <c r="O151" s="179">
        <f>N151</f>
        <v>1</v>
      </c>
      <c r="P151" s="179">
        <f>O151</f>
        <v>1</v>
      </c>
      <c r="Q151" s="179">
        <f t="shared" ref="Q151:AF151" si="101">P151</f>
        <v>1</v>
      </c>
      <c r="R151" s="179">
        <f t="shared" si="101"/>
        <v>1</v>
      </c>
      <c r="S151" s="179">
        <f t="shared" si="101"/>
        <v>1</v>
      </c>
      <c r="T151" s="179">
        <f t="shared" si="101"/>
        <v>1</v>
      </c>
      <c r="U151" s="179">
        <f t="shared" si="101"/>
        <v>1</v>
      </c>
      <c r="V151" s="179">
        <f t="shared" si="101"/>
        <v>1</v>
      </c>
      <c r="W151" s="179">
        <f t="shared" si="101"/>
        <v>1</v>
      </c>
      <c r="X151" s="179">
        <f t="shared" si="101"/>
        <v>1</v>
      </c>
      <c r="Y151" s="179">
        <f t="shared" si="101"/>
        <v>1</v>
      </c>
      <c r="Z151" s="179">
        <f t="shared" si="101"/>
        <v>1</v>
      </c>
      <c r="AA151" s="179">
        <f t="shared" si="101"/>
        <v>1</v>
      </c>
      <c r="AB151" s="179">
        <f t="shared" si="101"/>
        <v>1</v>
      </c>
      <c r="AC151" s="179">
        <f t="shared" si="101"/>
        <v>1</v>
      </c>
      <c r="AD151" s="179">
        <f t="shared" si="101"/>
        <v>1</v>
      </c>
      <c r="AE151" s="179">
        <f t="shared" si="101"/>
        <v>1</v>
      </c>
      <c r="AF151" s="179">
        <f t="shared" si="101"/>
        <v>1</v>
      </c>
    </row>
    <row r="152" spans="2:32">
      <c r="B152" s="255" t="s">
        <v>1450</v>
      </c>
      <c r="C152" s="660" t="s">
        <v>1451</v>
      </c>
      <c r="D152" s="257" t="s">
        <v>1336</v>
      </c>
      <c r="E152" s="121" t="s">
        <v>740</v>
      </c>
      <c r="F152" s="205" t="s">
        <v>188</v>
      </c>
      <c r="H152" s="366">
        <f>IFERROR(VLOOKUP(F152,Assumptions_Dashboard!$C$38:$D$72,2,FALSE),0)</f>
        <v>1800000</v>
      </c>
      <c r="J152" s="179"/>
      <c r="K152" s="179"/>
      <c r="L152" s="179"/>
      <c r="M152" s="179"/>
      <c r="N152" s="369" cm="1">
        <f t="array" ref="N152">_xlfn.IFS((N$7&lt;6),0,AND(N$7&gt;=6.01,N$7&lt;18),0,AND(N$7&gt;=18.01,N$7&lt;36),1,AND(N$7&gt;=36.01,N$7&lt;60),1,AND(N$7&gt;=60.01,N$7&lt;100),1,(N$7&gt;100.01),1)</f>
        <v>0</v>
      </c>
      <c r="O152" s="179" cm="1">
        <f t="array" ref="O152">_xlfn.IFS((O$7&lt;6),0,AND(O$7&gt;=6.01,O$7&lt;18),0,AND(O$7&gt;=18.01,O$7&lt;36),1,AND(O$7&gt;=36.01,O$7&lt;60),1,AND(O$7&gt;=60.01,O$7&lt;100),1,(O$7&gt;100.01),1)</f>
        <v>0</v>
      </c>
      <c r="P152" s="179" cm="1">
        <f t="array" ref="P152">_xlfn.IFS((P$7&lt;6),0,AND(P$7&gt;=6.01,P$7&lt;18),0,AND(P$7&gt;=18.01,P$7&lt;36),1,AND(P$7&gt;=36.01,P$7&lt;60),1,AND(P$7&gt;=60.01,P$7&lt;100),1,(P$7&gt;100.01),1)</f>
        <v>1</v>
      </c>
      <c r="Q152" s="179" cm="1">
        <f t="array" ref="Q152">_xlfn.IFS((Q$7&lt;6),0,AND(Q$7&gt;=6.01,Q$7&lt;18),0,AND(Q$7&gt;=18.01,Q$7&lt;36),1,AND(Q$7&gt;=36.01,Q$7&lt;60),1,AND(Q$7&gt;=60.01,Q$7&lt;100),1,(Q$7&gt;100.01),1)</f>
        <v>1</v>
      </c>
      <c r="R152" s="179" cm="1">
        <f t="array" ref="R152">_xlfn.IFS((R$7&lt;6),0,AND(R$7&gt;=6.01,R$7&lt;18),0,AND(R$7&gt;=18.01,R$7&lt;36),1,AND(R$7&gt;=36.01,R$7&lt;60),1,AND(R$7&gt;=60.01,R$7&lt;100),1,(R$7&gt;100.01),1)</f>
        <v>1</v>
      </c>
      <c r="S152" s="179" cm="1">
        <f t="array" ref="S152">_xlfn.IFS((S$7&lt;6),0,AND(S$7&gt;=6.01,S$7&lt;18),0,AND(S$7&gt;=18.01,S$7&lt;36),1,AND(S$7&gt;=36.01,S$7&lt;60),1,AND(S$7&gt;=60.01,S$7&lt;100),1,(S$7&gt;100.01),1)</f>
        <v>1</v>
      </c>
      <c r="T152" s="179" cm="1">
        <f t="array" ref="T152">_xlfn.IFS((T$7&lt;6),0,AND(T$7&gt;=6.01,T$7&lt;18),0,AND(T$7&gt;=18.01,T$7&lt;36),1,AND(T$7&gt;=36.01,T$7&lt;60),1,AND(T$7&gt;=60.01,T$7&lt;100),1,(T$7&gt;100.01),1)</f>
        <v>1</v>
      </c>
      <c r="U152" s="179" cm="1">
        <f t="array" ref="U152">_xlfn.IFS((U$7&lt;6),0,AND(U$7&gt;=6.01,U$7&lt;18),0,AND(U$7&gt;=18.01,U$7&lt;36),1,AND(U$7&gt;=36.01,U$7&lt;60),1,AND(U$7&gt;=60.01,U$7&lt;100),1,(U$7&gt;100.01),1)</f>
        <v>1</v>
      </c>
      <c r="V152" s="179" cm="1">
        <f t="array" ref="V152">_xlfn.IFS((V$7&lt;6),0,AND(V$7&gt;=6.01,V$7&lt;18),0,AND(V$7&gt;=18.01,V$7&lt;36),1,AND(V$7&gt;=36.01,V$7&lt;60),1,AND(V$7&gt;=60.01,V$7&lt;100),1,(V$7&gt;100.01),1)</f>
        <v>1</v>
      </c>
      <c r="W152" s="179" cm="1">
        <f t="array" ref="W152">_xlfn.IFS((W$7&lt;6),0,AND(W$7&gt;=6.01,W$7&lt;18),0,AND(W$7&gt;=18.01,W$7&lt;36),1,AND(W$7&gt;=36.01,W$7&lt;60),1,AND(W$7&gt;=60.01,W$7&lt;100),1,(W$7&gt;100.01),1)</f>
        <v>1</v>
      </c>
      <c r="X152" s="179" cm="1">
        <f t="array" ref="X152">_xlfn.IFS((X$7&lt;6),0,AND(X$7&gt;=6.01,X$7&lt;18),0,AND(X$7&gt;=18.01,X$7&lt;36),1,AND(X$7&gt;=36.01,X$7&lt;60),1,AND(X$7&gt;=60.01,X$7&lt;100),1,(X$7&gt;100.01),1)</f>
        <v>1</v>
      </c>
      <c r="Y152" s="179" cm="1">
        <f t="array" ref="Y152">_xlfn.IFS((Y$7&lt;6),0,AND(Y$7&gt;=6.01,Y$7&lt;18),0,AND(Y$7&gt;=18.01,Y$7&lt;36),1,AND(Y$7&gt;=36.01,Y$7&lt;60),1,AND(Y$7&gt;=60.01,Y$7&lt;100),1,(Y$7&gt;100.01),1)</f>
        <v>1</v>
      </c>
      <c r="Z152" s="179" cm="1">
        <f t="array" ref="Z152">_xlfn.IFS((Z$7&lt;6),0,AND(Z$7&gt;=6.01,Z$7&lt;18),0,AND(Z$7&gt;=18.01,Z$7&lt;36),1,AND(Z$7&gt;=36.01,Z$7&lt;60),1,AND(Z$7&gt;=60.01,Z$7&lt;100),1,(Z$7&gt;100.01),1)</f>
        <v>1</v>
      </c>
      <c r="AA152" s="179" cm="1">
        <f t="array" ref="AA152">_xlfn.IFS((AA$7&lt;6),0,AND(AA$7&gt;=6.01,AA$7&lt;18),0,AND(AA$7&gt;=18.01,AA$7&lt;36),1,AND(AA$7&gt;=36.01,AA$7&lt;60),1,AND(AA$7&gt;=60.01,AA$7&lt;100),1,(AA$7&gt;100.01),1)</f>
        <v>1</v>
      </c>
      <c r="AB152" s="179" cm="1">
        <f t="array" ref="AB152">_xlfn.IFS((AB$7&lt;6),0,AND(AB$7&gt;=6.01,AB$7&lt;18),0,AND(AB$7&gt;=18.01,AB$7&lt;36),1,AND(AB$7&gt;=36.01,AB$7&lt;60),1,AND(AB$7&gt;=60.01,AB$7&lt;100),1,(AB$7&gt;100.01),1)</f>
        <v>1</v>
      </c>
      <c r="AC152" s="179" cm="1">
        <f t="array" ref="AC152">_xlfn.IFS((AC$7&lt;6),0,AND(AC$7&gt;=6.01,AC$7&lt;18),0,AND(AC$7&gt;=18.01,AC$7&lt;36),1,AND(AC$7&gt;=36.01,AC$7&lt;60),1,AND(AC$7&gt;=60.01,AC$7&lt;100),1,(AC$7&gt;100.01),1)</f>
        <v>1</v>
      </c>
      <c r="AD152" s="179" cm="1">
        <f t="array" ref="AD152">_xlfn.IFS((AD$7&lt;6),0,AND(AD$7&gt;=6.01,AD$7&lt;18),0,AND(AD$7&gt;=18.01,AD$7&lt;36),1,AND(AD$7&gt;=36.01,AD$7&lt;60),1,AND(AD$7&gt;=60.01,AD$7&lt;100),1,(AD$7&gt;100.01),1)</f>
        <v>1</v>
      </c>
      <c r="AE152" s="179" cm="1">
        <f t="array" ref="AE152">_xlfn.IFS((AE$7&lt;6),0,AND(AE$7&gt;=6.01,AE$7&lt;18),0,AND(AE$7&gt;=18.01,AE$7&lt;36),1,AND(AE$7&gt;=36.01,AE$7&lt;60),1,AND(AE$7&gt;=60.01,AE$7&lt;100),1,(AE$7&gt;100.01),1)</f>
        <v>0</v>
      </c>
      <c r="AF152" s="179" cm="1">
        <f t="array" ref="AF152">_xlfn.IFS((AF$7&lt;6),0,AND(AF$7&gt;=6.01,AF$7&lt;18),0,AND(AF$7&gt;=18.01,AF$7&lt;36),1,AND(AF$7&gt;=36.01,AF$7&lt;60),1,AND(AF$7&gt;=60.01,AF$7&lt;100),1,(AF$7&gt;100.01),1)</f>
        <v>0</v>
      </c>
    </row>
    <row r="153" spans="2:32">
      <c r="B153" s="121"/>
      <c r="C153" s="660" t="s">
        <v>1452</v>
      </c>
      <c r="D153" s="257" t="s">
        <v>1315</v>
      </c>
      <c r="E153" s="121" t="s">
        <v>740</v>
      </c>
      <c r="F153" s="205" t="s">
        <v>186</v>
      </c>
      <c r="G153">
        <v>1</v>
      </c>
      <c r="H153" s="366">
        <f>IFERROR(VLOOKUP(F153,Assumptions_Dashboard!$C$38:$D$72,2,FALSE),0)</f>
        <v>2500000</v>
      </c>
      <c r="J153" s="179">
        <v>1</v>
      </c>
      <c r="K153" s="179">
        <f>J153</f>
        <v>1</v>
      </c>
      <c r="L153" s="179">
        <f>K153</f>
        <v>1</v>
      </c>
      <c r="M153" s="179">
        <f>L153</f>
        <v>1</v>
      </c>
      <c r="N153" s="369" cm="1">
        <f t="array" ref="N153">_xlfn.IFS((N$7&lt;6),1,AND(N$7&gt;=6.01,N$7&lt;18),1,AND(N$7&gt;=18.01,N$7&lt;36),1,AND(N$7&gt;=36.01,N$7&lt;60),1,AND(N$7&gt;=60.01,N$7&lt;100),2,(N$7&gt;100.01),2)</f>
        <v>1</v>
      </c>
      <c r="O153" s="179" cm="1">
        <f t="array" ref="O153">_xlfn.IFS((O$7&lt;6),1,AND(O$7&gt;=6.01,O$7&lt;18),1,AND(O$7&gt;=18.01,O$7&lt;36),1,AND(O$7&gt;=36.01,O$7&lt;60),1,AND(O$7&gt;=60.01,O$7&lt;100),2,(O$7&gt;100.01),2)</f>
        <v>1</v>
      </c>
      <c r="P153" s="179" cm="1">
        <f t="array" ref="P153">_xlfn.IFS((P$7&lt;6),1,AND(P$7&gt;=6.01,P$7&lt;18),1,AND(P$7&gt;=18.01,P$7&lt;36),1,AND(P$7&gt;=36.01,P$7&lt;60),1,AND(P$7&gt;=60.01,P$7&lt;100),2,(P$7&gt;100.01),2)</f>
        <v>1</v>
      </c>
      <c r="Q153" s="179" cm="1">
        <f t="array" ref="Q153">_xlfn.IFS((Q$7&lt;6),1,AND(Q$7&gt;=6.01,Q$7&lt;18),1,AND(Q$7&gt;=18.01,Q$7&lt;36),1,AND(Q$7&gt;=36.01,Q$7&lt;60),1,AND(Q$7&gt;=60.01,Q$7&lt;100),2,(Q$7&gt;100.01),2)</f>
        <v>1</v>
      </c>
      <c r="R153" s="179" cm="1">
        <f t="array" ref="R153">_xlfn.IFS((R$7&lt;6),1,AND(R$7&gt;=6.01,R$7&lt;18),1,AND(R$7&gt;=18.01,R$7&lt;36),1,AND(R$7&gt;=36.01,R$7&lt;60),1,AND(R$7&gt;=60.01,R$7&lt;100),2,(R$7&gt;100.01),2)</f>
        <v>1</v>
      </c>
      <c r="S153" s="179" cm="1">
        <f t="array" ref="S153">_xlfn.IFS((S$7&lt;6),1,AND(S$7&gt;=6.01,S$7&lt;18),1,AND(S$7&gt;=18.01,S$7&lt;36),1,AND(S$7&gt;=36.01,S$7&lt;60),1,AND(S$7&gt;=60.01,S$7&lt;100),2,(S$7&gt;100.01),2)</f>
        <v>1</v>
      </c>
      <c r="T153" s="179" cm="1">
        <f t="array" ref="T153">_xlfn.IFS((T$7&lt;6),1,AND(T$7&gt;=6.01,T$7&lt;18),1,AND(T$7&gt;=18.01,T$7&lt;36),1,AND(T$7&gt;=36.01,T$7&lt;60),1,AND(T$7&gt;=60.01,T$7&lt;100),2,(T$7&gt;100.01),2)</f>
        <v>2</v>
      </c>
      <c r="U153" s="179" cm="1">
        <f t="array" ref="U153">_xlfn.IFS((U$7&lt;6),1,AND(U$7&gt;=6.01,U$7&lt;18),1,AND(U$7&gt;=18.01,U$7&lt;36),1,AND(U$7&gt;=36.01,U$7&lt;60),1,AND(U$7&gt;=60.01,U$7&lt;100),2,(U$7&gt;100.01),2)</f>
        <v>1</v>
      </c>
      <c r="V153" s="179" cm="1">
        <f t="array" ref="V153">_xlfn.IFS((V$7&lt;6),1,AND(V$7&gt;=6.01,V$7&lt;18),1,AND(V$7&gt;=18.01,V$7&lt;36),1,AND(V$7&gt;=36.01,V$7&lt;60),1,AND(V$7&gt;=60.01,V$7&lt;100),2,(V$7&gt;100.01),2)</f>
        <v>1</v>
      </c>
      <c r="W153" s="179" cm="1">
        <f t="array" ref="W153">_xlfn.IFS((W$7&lt;6),1,AND(W$7&gt;=6.01,W$7&lt;18),1,AND(W$7&gt;=18.01,W$7&lt;36),1,AND(W$7&gt;=36.01,W$7&lt;60),1,AND(W$7&gt;=60.01,W$7&lt;100),2,(W$7&gt;100.01),2)</f>
        <v>1</v>
      </c>
      <c r="X153" s="179" cm="1">
        <f t="array" ref="X153">_xlfn.IFS((X$7&lt;6),1,AND(X$7&gt;=6.01,X$7&lt;18),1,AND(X$7&gt;=18.01,X$7&lt;36),1,AND(X$7&gt;=36.01,X$7&lt;60),1,AND(X$7&gt;=60.01,X$7&lt;100),2,(X$7&gt;100.01),2)</f>
        <v>1</v>
      </c>
      <c r="Y153" s="179" cm="1">
        <f t="array" ref="Y153">_xlfn.IFS((Y$7&lt;6),1,AND(Y$7&gt;=6.01,Y$7&lt;18),1,AND(Y$7&gt;=18.01,Y$7&lt;36),1,AND(Y$7&gt;=36.01,Y$7&lt;60),1,AND(Y$7&gt;=60.01,Y$7&lt;100),2,(Y$7&gt;100.01),2)</f>
        <v>1</v>
      </c>
      <c r="Z153" s="179" cm="1">
        <f t="array" ref="Z153">_xlfn.IFS((Z$7&lt;6),1,AND(Z$7&gt;=6.01,Z$7&lt;18),1,AND(Z$7&gt;=18.01,Z$7&lt;36),1,AND(Z$7&gt;=36.01,Z$7&lt;60),1,AND(Z$7&gt;=60.01,Z$7&lt;100),2,(Z$7&gt;100.01),2)</f>
        <v>1</v>
      </c>
      <c r="AA153" s="179" cm="1">
        <f t="array" ref="AA153">_xlfn.IFS((AA$7&lt;6),1,AND(AA$7&gt;=6.01,AA$7&lt;18),1,AND(AA$7&gt;=18.01,AA$7&lt;36),1,AND(AA$7&gt;=36.01,AA$7&lt;60),1,AND(AA$7&gt;=60.01,AA$7&lt;100),2,(AA$7&gt;100.01),2)</f>
        <v>1</v>
      </c>
      <c r="AB153" s="179" cm="1">
        <f t="array" ref="AB153">_xlfn.IFS((AB$7&lt;6),1,AND(AB$7&gt;=6.01,AB$7&lt;18),1,AND(AB$7&gt;=18.01,AB$7&lt;36),1,AND(AB$7&gt;=36.01,AB$7&lt;60),1,AND(AB$7&gt;=60.01,AB$7&lt;100),2,(AB$7&gt;100.01),2)</f>
        <v>1</v>
      </c>
      <c r="AC153" s="179" cm="1">
        <f t="array" ref="AC153">_xlfn.IFS((AC$7&lt;6),1,AND(AC$7&gt;=6.01,AC$7&lt;18),1,AND(AC$7&gt;=18.01,AC$7&lt;36),1,AND(AC$7&gt;=36.01,AC$7&lt;60),1,AND(AC$7&gt;=60.01,AC$7&lt;100),2,(AC$7&gt;100.01),2)</f>
        <v>1</v>
      </c>
      <c r="AD153" s="179" cm="1">
        <f t="array" ref="AD153">_xlfn.IFS((AD$7&lt;6),1,AND(AD$7&gt;=6.01,AD$7&lt;18),1,AND(AD$7&gt;=18.01,AD$7&lt;36),1,AND(AD$7&gt;=36.01,AD$7&lt;60),1,AND(AD$7&gt;=60.01,AD$7&lt;100),2,(AD$7&gt;100.01),2)</f>
        <v>1</v>
      </c>
      <c r="AE153" s="179" cm="1">
        <f t="array" ref="AE153">_xlfn.IFS((AE$7&lt;6),1,AND(AE$7&gt;=6.01,AE$7&lt;18),1,AND(AE$7&gt;=18.01,AE$7&lt;36),1,AND(AE$7&gt;=36.01,AE$7&lt;60),1,AND(AE$7&gt;=60.01,AE$7&lt;100),2,(AE$7&gt;100.01),2)</f>
        <v>1</v>
      </c>
      <c r="AF153" s="179" cm="1">
        <f t="array" ref="AF153">_xlfn.IFS((AF$7&lt;6),1,AND(AF$7&gt;=6.01,AF$7&lt;18),1,AND(AF$7&gt;=18.01,AF$7&lt;36),1,AND(AF$7&gt;=36.01,AF$7&lt;60),1,AND(AF$7&gt;=60.01,AF$7&lt;100),2,(AF$7&gt;100.01),2)</f>
        <v>1</v>
      </c>
    </row>
    <row r="154" spans="2:32">
      <c r="B154" s="117"/>
      <c r="C154" s="660" t="s">
        <v>1453</v>
      </c>
      <c r="D154" s="257" t="s">
        <v>1336</v>
      </c>
      <c r="E154" s="121" t="s">
        <v>740</v>
      </c>
      <c r="F154" s="205" t="s">
        <v>190</v>
      </c>
      <c r="H154" s="366">
        <f>IFERROR(VLOOKUP(F154,Assumptions_Dashboard!$C$38:$D$72,2,FALSE),0)</f>
        <v>1500000</v>
      </c>
      <c r="J154" s="179"/>
      <c r="K154" s="179"/>
      <c r="L154" s="179"/>
      <c r="M154" s="179"/>
      <c r="N154" s="369" cm="1">
        <f t="array" ref="N154">_xlfn.IFS((N$7&lt;6),1,AND(N$7&gt;=6.01,N$7&lt;18),1,AND(N$7&gt;=18.01,N$7&lt;36),1,AND(N$7&gt;=36.01,N$7&lt;60),1,AND(N$7&gt;=60.01,N$7&lt;100),2,(N$7&gt;100.01),3)</f>
        <v>1</v>
      </c>
      <c r="O154" s="1411" cm="1">
        <f t="array" ref="O154">_xlfn.IFS((O$7&lt;6),1,AND(O$7&gt;=6.01,O$7&lt;18),1,AND(O$7&gt;=18.01,O$7&lt;36),1,AND(O$7&gt;=36.01,O$7&lt;60),1,AND(O$7&gt;=60.01,O$7&lt;100),2,(O$7&gt;100.01),3)</f>
        <v>1</v>
      </c>
      <c r="P154" s="1411" cm="1">
        <f t="array" ref="P154">_xlfn.IFS((P$7&lt;6),1,AND(P$7&gt;=6.01,P$7&lt;18),1,AND(P$7&gt;=18.01,P$7&lt;36),1,AND(P$7&gt;=36.01,P$7&lt;60),1,AND(P$7&gt;=60.01,P$7&lt;100),2,(P$7&gt;100.01),3)</f>
        <v>1</v>
      </c>
      <c r="Q154" s="1411" cm="1">
        <f t="array" ref="Q154">_xlfn.IFS((Q$7&lt;6),1,AND(Q$7&gt;=6.01,Q$7&lt;18),1,AND(Q$7&gt;=18.01,Q$7&lt;36),1,AND(Q$7&gt;=36.01,Q$7&lt;60),1,AND(Q$7&gt;=60.01,Q$7&lt;100),2,(Q$7&gt;100.01),3)</f>
        <v>1</v>
      </c>
      <c r="R154" s="1411" cm="1">
        <f t="array" ref="R154">_xlfn.IFS((R$7&lt;6),1,AND(R$7&gt;=6.01,R$7&lt;18),1,AND(R$7&gt;=18.01,R$7&lt;36),1,AND(R$7&gt;=36.01,R$7&lt;60),1,AND(R$7&gt;=60.01,R$7&lt;100),2,(R$7&gt;100.01),3)</f>
        <v>1</v>
      </c>
      <c r="S154" s="1411" cm="1">
        <f t="array" ref="S154">_xlfn.IFS((S$7&lt;6),1,AND(S$7&gt;=6.01,S$7&lt;18),1,AND(S$7&gt;=18.01,S$7&lt;36),1,AND(S$7&gt;=36.01,S$7&lt;60),1,AND(S$7&gt;=60.01,S$7&lt;100),2,(S$7&gt;100.01),3)</f>
        <v>1</v>
      </c>
      <c r="T154" s="1411" cm="1">
        <f t="array" ref="T154">_xlfn.IFS((T$7&lt;6),1,AND(T$7&gt;=6.01,T$7&lt;18),1,AND(T$7&gt;=18.01,T$7&lt;36),1,AND(T$7&gt;=36.01,T$7&lt;60),1,AND(T$7&gt;=60.01,T$7&lt;100),2,(T$7&gt;100.01),3)</f>
        <v>2</v>
      </c>
      <c r="U154" s="1411" cm="1">
        <f t="array" ref="U154">_xlfn.IFS((U$7&lt;6),1,AND(U$7&gt;=6.01,U$7&lt;18),1,AND(U$7&gt;=18.01,U$7&lt;36),1,AND(U$7&gt;=36.01,U$7&lt;60),1,AND(U$7&gt;=60.01,U$7&lt;100),2,(U$7&gt;100.01),3)</f>
        <v>1</v>
      </c>
      <c r="V154" s="1411" cm="1">
        <f t="array" ref="V154">_xlfn.IFS((V$7&lt;6),1,AND(V$7&gt;=6.01,V$7&lt;18),1,AND(V$7&gt;=18.01,V$7&lt;36),1,AND(V$7&gt;=36.01,V$7&lt;60),1,AND(V$7&gt;=60.01,V$7&lt;100),2,(V$7&gt;100.01),3)</f>
        <v>1</v>
      </c>
      <c r="W154" s="1411" cm="1">
        <f t="array" ref="W154">_xlfn.IFS((W$7&lt;6),1,AND(W$7&gt;=6.01,W$7&lt;18),1,AND(W$7&gt;=18.01,W$7&lt;36),1,AND(W$7&gt;=36.01,W$7&lt;60),1,AND(W$7&gt;=60.01,W$7&lt;100),2,(W$7&gt;100.01),3)</f>
        <v>1</v>
      </c>
      <c r="X154" s="1411" cm="1">
        <f t="array" ref="X154">_xlfn.IFS((X$7&lt;6),1,AND(X$7&gt;=6.01,X$7&lt;18),1,AND(X$7&gt;=18.01,X$7&lt;36),1,AND(X$7&gt;=36.01,X$7&lt;60),1,AND(X$7&gt;=60.01,X$7&lt;100),2,(X$7&gt;100.01),3)</f>
        <v>1</v>
      </c>
      <c r="Y154" s="1411" cm="1">
        <f t="array" ref="Y154">_xlfn.IFS((Y$7&lt;6),1,AND(Y$7&gt;=6.01,Y$7&lt;18),1,AND(Y$7&gt;=18.01,Y$7&lt;36),1,AND(Y$7&gt;=36.01,Y$7&lt;60),1,AND(Y$7&gt;=60.01,Y$7&lt;100),2,(Y$7&gt;100.01),3)</f>
        <v>1</v>
      </c>
      <c r="Z154" s="1411" cm="1">
        <f t="array" ref="Z154">_xlfn.IFS((Z$7&lt;6),1,AND(Z$7&gt;=6.01,Z$7&lt;18),1,AND(Z$7&gt;=18.01,Z$7&lt;36),1,AND(Z$7&gt;=36.01,Z$7&lt;60),1,AND(Z$7&gt;=60.01,Z$7&lt;100),2,(Z$7&gt;100.01),3)</f>
        <v>1</v>
      </c>
      <c r="AA154" s="1411" cm="1">
        <f t="array" ref="AA154">_xlfn.IFS((AA$7&lt;6),1,AND(AA$7&gt;=6.01,AA$7&lt;18),1,AND(AA$7&gt;=18.01,AA$7&lt;36),1,AND(AA$7&gt;=36.01,AA$7&lt;60),1,AND(AA$7&gt;=60.01,AA$7&lt;100),2,(AA$7&gt;100.01),3)</f>
        <v>1</v>
      </c>
      <c r="AB154" s="1411" cm="1">
        <f t="array" ref="AB154">_xlfn.IFS((AB$7&lt;6),1,AND(AB$7&gt;=6.01,AB$7&lt;18),1,AND(AB$7&gt;=18.01,AB$7&lt;36),1,AND(AB$7&gt;=36.01,AB$7&lt;60),1,AND(AB$7&gt;=60.01,AB$7&lt;100),2,(AB$7&gt;100.01),3)</f>
        <v>1</v>
      </c>
      <c r="AC154" s="1411" cm="1">
        <f t="array" ref="AC154">_xlfn.IFS((AC$7&lt;6),1,AND(AC$7&gt;=6.01,AC$7&lt;18),1,AND(AC$7&gt;=18.01,AC$7&lt;36),1,AND(AC$7&gt;=36.01,AC$7&lt;60),1,AND(AC$7&gt;=60.01,AC$7&lt;100),2,(AC$7&gt;100.01),3)</f>
        <v>1</v>
      </c>
      <c r="AD154" s="1411" cm="1">
        <f t="array" ref="AD154">_xlfn.IFS((AD$7&lt;6),1,AND(AD$7&gt;=6.01,AD$7&lt;18),1,AND(AD$7&gt;=18.01,AD$7&lt;36),1,AND(AD$7&gt;=36.01,AD$7&lt;60),1,AND(AD$7&gt;=60.01,AD$7&lt;100),2,(AD$7&gt;100.01),3)</f>
        <v>1</v>
      </c>
      <c r="AE154" s="1411" cm="1">
        <f t="array" ref="AE154">_xlfn.IFS((AE$7&lt;6),1,AND(AE$7&gt;=6.01,AE$7&lt;18),1,AND(AE$7&gt;=18.01,AE$7&lt;36),1,AND(AE$7&gt;=36.01,AE$7&lt;60),1,AND(AE$7&gt;=60.01,AE$7&lt;100),2,(AE$7&gt;100.01),3)</f>
        <v>1</v>
      </c>
      <c r="AF154" s="1411" cm="1">
        <f t="array" ref="AF154">_xlfn.IFS((AF$7&lt;6),1,AND(AF$7&gt;=6.01,AF$7&lt;18),1,AND(AF$7&gt;=18.01,AF$7&lt;36),1,AND(AF$7&gt;=36.01,AF$7&lt;60),1,AND(AF$7&gt;=60.01,AF$7&lt;100),2,(AF$7&gt;100.01),3)</f>
        <v>1</v>
      </c>
    </row>
    <row r="155" spans="2:32">
      <c r="B155" s="117"/>
      <c r="C155" s="660" t="s">
        <v>1454</v>
      </c>
      <c r="D155" s="257" t="s">
        <v>1336</v>
      </c>
      <c r="E155" s="121" t="s">
        <v>740</v>
      </c>
      <c r="F155" s="205" t="s">
        <v>190</v>
      </c>
      <c r="H155" s="366">
        <f>IFERROR(VLOOKUP(F155,Assumptions_Dashboard!$C$38:$D$72,2,FALSE),0)</f>
        <v>1500000</v>
      </c>
      <c r="J155" s="179"/>
      <c r="K155" s="179"/>
      <c r="L155" s="179"/>
      <c r="M155" s="179"/>
      <c r="N155" s="369" cm="1">
        <f t="array" ref="N155">_xlfn.IFS((N$7&lt;6),1,AND(N$7&gt;=6.01,N$7&lt;18),1,AND(N$7&gt;=18.01,N$7&lt;36),1,AND(N$7&gt;=36.01,N$7&lt;60),1,AND(N$7&gt;=60.01,N$7&lt;100),2,(N$7&gt;100.01),3)</f>
        <v>1</v>
      </c>
      <c r="O155" s="1411" cm="1">
        <f t="array" ref="O155">_xlfn.IFS((O$7&lt;6),1,AND(O$7&gt;=6.01,O$7&lt;18),1,AND(O$7&gt;=18.01,O$7&lt;36),1,AND(O$7&gt;=36.01,O$7&lt;60),1,AND(O$7&gt;=60.01,O$7&lt;100),2,(O$7&gt;100.01),3)</f>
        <v>1</v>
      </c>
      <c r="P155" s="1411" cm="1">
        <f t="array" ref="P155">_xlfn.IFS((P$7&lt;6),1,AND(P$7&gt;=6.01,P$7&lt;18),1,AND(P$7&gt;=18.01,P$7&lt;36),1,AND(P$7&gt;=36.01,P$7&lt;60),1,AND(P$7&gt;=60.01,P$7&lt;100),2,(P$7&gt;100.01),3)</f>
        <v>1</v>
      </c>
      <c r="Q155" s="1411" cm="1">
        <f t="array" ref="Q155">_xlfn.IFS((Q$7&lt;6),1,AND(Q$7&gt;=6.01,Q$7&lt;18),1,AND(Q$7&gt;=18.01,Q$7&lt;36),1,AND(Q$7&gt;=36.01,Q$7&lt;60),1,AND(Q$7&gt;=60.01,Q$7&lt;100),2,(Q$7&gt;100.01),3)</f>
        <v>1</v>
      </c>
      <c r="R155" s="1411" cm="1">
        <f t="array" ref="R155">_xlfn.IFS((R$7&lt;6),1,AND(R$7&gt;=6.01,R$7&lt;18),1,AND(R$7&gt;=18.01,R$7&lt;36),1,AND(R$7&gt;=36.01,R$7&lt;60),1,AND(R$7&gt;=60.01,R$7&lt;100),2,(R$7&gt;100.01),3)</f>
        <v>1</v>
      </c>
      <c r="S155" s="1411" cm="1">
        <f t="array" ref="S155">_xlfn.IFS((S$7&lt;6),1,AND(S$7&gt;=6.01,S$7&lt;18),1,AND(S$7&gt;=18.01,S$7&lt;36),1,AND(S$7&gt;=36.01,S$7&lt;60),1,AND(S$7&gt;=60.01,S$7&lt;100),2,(S$7&gt;100.01),3)</f>
        <v>1</v>
      </c>
      <c r="T155" s="1411" cm="1">
        <f t="array" ref="T155">_xlfn.IFS((T$7&lt;6),1,AND(T$7&gt;=6.01,T$7&lt;18),1,AND(T$7&gt;=18.01,T$7&lt;36),1,AND(T$7&gt;=36.01,T$7&lt;60),1,AND(T$7&gt;=60.01,T$7&lt;100),2,(T$7&gt;100.01),3)</f>
        <v>2</v>
      </c>
      <c r="U155" s="1411" cm="1">
        <f t="array" ref="U155">_xlfn.IFS((U$7&lt;6),1,AND(U$7&gt;=6.01,U$7&lt;18),1,AND(U$7&gt;=18.01,U$7&lt;36),1,AND(U$7&gt;=36.01,U$7&lt;60),1,AND(U$7&gt;=60.01,U$7&lt;100),2,(U$7&gt;100.01),3)</f>
        <v>1</v>
      </c>
      <c r="V155" s="1411" cm="1">
        <f t="array" ref="V155">_xlfn.IFS((V$7&lt;6),1,AND(V$7&gt;=6.01,V$7&lt;18),1,AND(V$7&gt;=18.01,V$7&lt;36),1,AND(V$7&gt;=36.01,V$7&lt;60),1,AND(V$7&gt;=60.01,V$7&lt;100),2,(V$7&gt;100.01),3)</f>
        <v>1</v>
      </c>
      <c r="W155" s="1411" cm="1">
        <f t="array" ref="W155">_xlfn.IFS((W$7&lt;6),1,AND(W$7&gt;=6.01,W$7&lt;18),1,AND(W$7&gt;=18.01,W$7&lt;36),1,AND(W$7&gt;=36.01,W$7&lt;60),1,AND(W$7&gt;=60.01,W$7&lt;100),2,(W$7&gt;100.01),3)</f>
        <v>1</v>
      </c>
      <c r="X155" s="1411" cm="1">
        <f t="array" ref="X155">_xlfn.IFS((X$7&lt;6),1,AND(X$7&gt;=6.01,X$7&lt;18),1,AND(X$7&gt;=18.01,X$7&lt;36),1,AND(X$7&gt;=36.01,X$7&lt;60),1,AND(X$7&gt;=60.01,X$7&lt;100),2,(X$7&gt;100.01),3)</f>
        <v>1</v>
      </c>
      <c r="Y155" s="1411" cm="1">
        <f t="array" ref="Y155">_xlfn.IFS((Y$7&lt;6),1,AND(Y$7&gt;=6.01,Y$7&lt;18),1,AND(Y$7&gt;=18.01,Y$7&lt;36),1,AND(Y$7&gt;=36.01,Y$7&lt;60),1,AND(Y$7&gt;=60.01,Y$7&lt;100),2,(Y$7&gt;100.01),3)</f>
        <v>1</v>
      </c>
      <c r="Z155" s="1411" cm="1">
        <f t="array" ref="Z155">_xlfn.IFS((Z$7&lt;6),1,AND(Z$7&gt;=6.01,Z$7&lt;18),1,AND(Z$7&gt;=18.01,Z$7&lt;36),1,AND(Z$7&gt;=36.01,Z$7&lt;60),1,AND(Z$7&gt;=60.01,Z$7&lt;100),2,(Z$7&gt;100.01),3)</f>
        <v>1</v>
      </c>
      <c r="AA155" s="1411" cm="1">
        <f t="array" ref="AA155">_xlfn.IFS((AA$7&lt;6),1,AND(AA$7&gt;=6.01,AA$7&lt;18),1,AND(AA$7&gt;=18.01,AA$7&lt;36),1,AND(AA$7&gt;=36.01,AA$7&lt;60),1,AND(AA$7&gt;=60.01,AA$7&lt;100),2,(AA$7&gt;100.01),3)</f>
        <v>1</v>
      </c>
      <c r="AB155" s="1411" cm="1">
        <f t="array" ref="AB155">_xlfn.IFS((AB$7&lt;6),1,AND(AB$7&gt;=6.01,AB$7&lt;18),1,AND(AB$7&gt;=18.01,AB$7&lt;36),1,AND(AB$7&gt;=36.01,AB$7&lt;60),1,AND(AB$7&gt;=60.01,AB$7&lt;100),2,(AB$7&gt;100.01),3)</f>
        <v>1</v>
      </c>
      <c r="AC155" s="1411" cm="1">
        <f t="array" ref="AC155">_xlfn.IFS((AC$7&lt;6),1,AND(AC$7&gt;=6.01,AC$7&lt;18),1,AND(AC$7&gt;=18.01,AC$7&lt;36),1,AND(AC$7&gt;=36.01,AC$7&lt;60),1,AND(AC$7&gt;=60.01,AC$7&lt;100),2,(AC$7&gt;100.01),3)</f>
        <v>1</v>
      </c>
      <c r="AD155" s="1411" cm="1">
        <f t="array" ref="AD155">_xlfn.IFS((AD$7&lt;6),1,AND(AD$7&gt;=6.01,AD$7&lt;18),1,AND(AD$7&gt;=18.01,AD$7&lt;36),1,AND(AD$7&gt;=36.01,AD$7&lt;60),1,AND(AD$7&gt;=60.01,AD$7&lt;100),2,(AD$7&gt;100.01),3)</f>
        <v>1</v>
      </c>
      <c r="AE155" s="1411" cm="1">
        <f t="array" ref="AE155">_xlfn.IFS((AE$7&lt;6),1,AND(AE$7&gt;=6.01,AE$7&lt;18),1,AND(AE$7&gt;=18.01,AE$7&lt;36),1,AND(AE$7&gt;=36.01,AE$7&lt;60),1,AND(AE$7&gt;=60.01,AE$7&lt;100),2,(AE$7&gt;100.01),3)</f>
        <v>1</v>
      </c>
      <c r="AF155" s="1411" cm="1">
        <f t="array" ref="AF155">_xlfn.IFS((AF$7&lt;6),1,AND(AF$7&gt;=6.01,AF$7&lt;18),1,AND(AF$7&gt;=18.01,AF$7&lt;36),1,AND(AF$7&gt;=36.01,AF$7&lt;60),1,AND(AF$7&gt;=60.01,AF$7&lt;100),2,(AF$7&gt;100.01),3)</f>
        <v>1</v>
      </c>
    </row>
    <row r="156" spans="2:32">
      <c r="B156" s="117"/>
      <c r="C156" s="660" t="s">
        <v>1455</v>
      </c>
      <c r="D156" s="257" t="s">
        <v>1336</v>
      </c>
      <c r="E156" s="121" t="s">
        <v>740</v>
      </c>
      <c r="F156" s="205" t="s">
        <v>190</v>
      </c>
      <c r="H156" s="366">
        <f>IFERROR(VLOOKUP(F156,Assumptions_Dashboard!$C$38:$D$72,2,FALSE),0)</f>
        <v>1500000</v>
      </c>
      <c r="J156" s="179"/>
      <c r="K156" s="179"/>
      <c r="L156" s="179"/>
      <c r="M156" s="179"/>
      <c r="N156" s="369" cm="1">
        <f t="array" ref="N156">_xlfn.IFS((N$7&lt;6),0,AND(N$7&gt;=6.01,N$7&lt;18),0,AND(N$7&gt;=18.01,N$7&lt;36),1,AND(N$7&gt;=36.01,N$7&lt;60),1,AND(N$7&gt;=60.01,N$7&lt;100),1,(N$7&gt;100.01),2)</f>
        <v>0</v>
      </c>
      <c r="O156" s="1411" cm="1">
        <f t="array" ref="O156">_xlfn.IFS((O$7&lt;6),0,AND(O$7&gt;=6.01,O$7&lt;18),0,AND(O$7&gt;=18.01,O$7&lt;36),1,AND(O$7&gt;=36.01,O$7&lt;60),1,AND(O$7&gt;=60.01,O$7&lt;100),1,(O$7&gt;100.01),2)</f>
        <v>0</v>
      </c>
      <c r="P156" s="1411" cm="1">
        <f t="array" ref="P156">_xlfn.IFS((P$7&lt;6),0,AND(P$7&gt;=6.01,P$7&lt;18),0,AND(P$7&gt;=18.01,P$7&lt;36),1,AND(P$7&gt;=36.01,P$7&lt;60),1,AND(P$7&gt;=60.01,P$7&lt;100),1,(P$7&gt;100.01),2)</f>
        <v>1</v>
      </c>
      <c r="Q156" s="1411" cm="1">
        <f t="array" ref="Q156">_xlfn.IFS((Q$7&lt;6),0,AND(Q$7&gt;=6.01,Q$7&lt;18),0,AND(Q$7&gt;=18.01,Q$7&lt;36),1,AND(Q$7&gt;=36.01,Q$7&lt;60),1,AND(Q$7&gt;=60.01,Q$7&lt;100),1,(Q$7&gt;100.01),2)</f>
        <v>1</v>
      </c>
      <c r="R156" s="1411" cm="1">
        <f t="array" ref="R156">_xlfn.IFS((R$7&lt;6),0,AND(R$7&gt;=6.01,R$7&lt;18),0,AND(R$7&gt;=18.01,R$7&lt;36),1,AND(R$7&gt;=36.01,R$7&lt;60),1,AND(R$7&gt;=60.01,R$7&lt;100),1,(R$7&gt;100.01),2)</f>
        <v>1</v>
      </c>
      <c r="S156" s="1411" cm="1">
        <f t="array" ref="S156">_xlfn.IFS((S$7&lt;6),0,AND(S$7&gt;=6.01,S$7&lt;18),0,AND(S$7&gt;=18.01,S$7&lt;36),1,AND(S$7&gt;=36.01,S$7&lt;60),1,AND(S$7&gt;=60.01,S$7&lt;100),1,(S$7&gt;100.01),2)</f>
        <v>1</v>
      </c>
      <c r="T156" s="1411" cm="1">
        <f t="array" ref="T156">_xlfn.IFS((T$7&lt;6),0,AND(T$7&gt;=6.01,T$7&lt;18),0,AND(T$7&gt;=18.01,T$7&lt;36),1,AND(T$7&gt;=36.01,T$7&lt;60),1,AND(T$7&gt;=60.01,T$7&lt;100),1,(T$7&gt;100.01),2)</f>
        <v>1</v>
      </c>
      <c r="U156" s="1411" cm="1">
        <f t="array" ref="U156">_xlfn.IFS((U$7&lt;6),0,AND(U$7&gt;=6.01,U$7&lt;18),0,AND(U$7&gt;=18.01,U$7&lt;36),1,AND(U$7&gt;=36.01,U$7&lt;60),1,AND(U$7&gt;=60.01,U$7&lt;100),1,(U$7&gt;100.01),2)</f>
        <v>1</v>
      </c>
      <c r="V156" s="1411" cm="1">
        <f t="array" ref="V156">_xlfn.IFS((V$7&lt;6),0,AND(V$7&gt;=6.01,V$7&lt;18),0,AND(V$7&gt;=18.01,V$7&lt;36),1,AND(V$7&gt;=36.01,V$7&lt;60),1,AND(V$7&gt;=60.01,V$7&lt;100),1,(V$7&gt;100.01),2)</f>
        <v>1</v>
      </c>
      <c r="W156" s="1411" cm="1">
        <f t="array" ref="W156">_xlfn.IFS((W$7&lt;6),0,AND(W$7&gt;=6.01,W$7&lt;18),0,AND(W$7&gt;=18.01,W$7&lt;36),1,AND(W$7&gt;=36.01,W$7&lt;60),1,AND(W$7&gt;=60.01,W$7&lt;100),1,(W$7&gt;100.01),2)</f>
        <v>1</v>
      </c>
      <c r="X156" s="1411" cm="1">
        <f t="array" ref="X156">_xlfn.IFS((X$7&lt;6),0,AND(X$7&gt;=6.01,X$7&lt;18),0,AND(X$7&gt;=18.01,X$7&lt;36),1,AND(X$7&gt;=36.01,X$7&lt;60),1,AND(X$7&gt;=60.01,X$7&lt;100),1,(X$7&gt;100.01),2)</f>
        <v>1</v>
      </c>
      <c r="Y156" s="1411" cm="1">
        <f t="array" ref="Y156">_xlfn.IFS((Y$7&lt;6),0,AND(Y$7&gt;=6.01,Y$7&lt;18),0,AND(Y$7&gt;=18.01,Y$7&lt;36),1,AND(Y$7&gt;=36.01,Y$7&lt;60),1,AND(Y$7&gt;=60.01,Y$7&lt;100),1,(Y$7&gt;100.01),2)</f>
        <v>1</v>
      </c>
      <c r="Z156" s="1411" cm="1">
        <f t="array" ref="Z156">_xlfn.IFS((Z$7&lt;6),0,AND(Z$7&gt;=6.01,Z$7&lt;18),0,AND(Z$7&gt;=18.01,Z$7&lt;36),1,AND(Z$7&gt;=36.01,Z$7&lt;60),1,AND(Z$7&gt;=60.01,Z$7&lt;100),1,(Z$7&gt;100.01),2)</f>
        <v>1</v>
      </c>
      <c r="AA156" s="1411" cm="1">
        <f t="array" ref="AA156">_xlfn.IFS((AA$7&lt;6),0,AND(AA$7&gt;=6.01,AA$7&lt;18),0,AND(AA$7&gt;=18.01,AA$7&lt;36),1,AND(AA$7&gt;=36.01,AA$7&lt;60),1,AND(AA$7&gt;=60.01,AA$7&lt;100),1,(AA$7&gt;100.01),2)</f>
        <v>1</v>
      </c>
      <c r="AB156" s="1411" cm="1">
        <f t="array" ref="AB156">_xlfn.IFS((AB$7&lt;6),0,AND(AB$7&gt;=6.01,AB$7&lt;18),0,AND(AB$7&gt;=18.01,AB$7&lt;36),1,AND(AB$7&gt;=36.01,AB$7&lt;60),1,AND(AB$7&gt;=60.01,AB$7&lt;100),1,(AB$7&gt;100.01),2)</f>
        <v>1</v>
      </c>
      <c r="AC156" s="1411" cm="1">
        <f t="array" ref="AC156">_xlfn.IFS((AC$7&lt;6),0,AND(AC$7&gt;=6.01,AC$7&lt;18),0,AND(AC$7&gt;=18.01,AC$7&lt;36),1,AND(AC$7&gt;=36.01,AC$7&lt;60),1,AND(AC$7&gt;=60.01,AC$7&lt;100),1,(AC$7&gt;100.01),2)</f>
        <v>1</v>
      </c>
      <c r="AD156" s="1411" cm="1">
        <f t="array" ref="AD156">_xlfn.IFS((AD$7&lt;6),0,AND(AD$7&gt;=6.01,AD$7&lt;18),0,AND(AD$7&gt;=18.01,AD$7&lt;36),1,AND(AD$7&gt;=36.01,AD$7&lt;60),1,AND(AD$7&gt;=60.01,AD$7&lt;100),1,(AD$7&gt;100.01),2)</f>
        <v>1</v>
      </c>
      <c r="AE156" s="1411" cm="1">
        <f t="array" ref="AE156">_xlfn.IFS((AE$7&lt;6),0,AND(AE$7&gt;=6.01,AE$7&lt;18),0,AND(AE$7&gt;=18.01,AE$7&lt;36),1,AND(AE$7&gt;=36.01,AE$7&lt;60),1,AND(AE$7&gt;=60.01,AE$7&lt;100),1,(AE$7&gt;100.01),2)</f>
        <v>0</v>
      </c>
      <c r="AF156" s="1411" cm="1">
        <f t="array" ref="AF156">_xlfn.IFS((AF$7&lt;6),0,AND(AF$7&gt;=6.01,AF$7&lt;18),0,AND(AF$7&gt;=18.01,AF$7&lt;36),1,AND(AF$7&gt;=36.01,AF$7&lt;60),1,AND(AF$7&gt;=60.01,AF$7&lt;100),1,(AF$7&gt;100.01),2)</f>
        <v>0</v>
      </c>
    </row>
    <row r="157" spans="2:32">
      <c r="B157" s="117"/>
      <c r="C157" s="660" t="s">
        <v>1456</v>
      </c>
      <c r="D157" s="257" t="s">
        <v>1336</v>
      </c>
      <c r="E157" s="121" t="s">
        <v>740</v>
      </c>
      <c r="F157" s="205" t="s">
        <v>190</v>
      </c>
      <c r="H157" s="366">
        <f>IFERROR(VLOOKUP(F157,Assumptions_Dashboard!$C$38:$D$72,2,FALSE),0)</f>
        <v>1500000</v>
      </c>
      <c r="J157" s="179"/>
      <c r="K157" s="179"/>
      <c r="L157" s="179"/>
      <c r="M157" s="179"/>
      <c r="N157" s="374" cm="1">
        <f t="array" ref="N157">1+_xlfn.IFS(Explosive!J49&lt;20,0,Explosive!J49&gt;20,1,Explosive!J49&gt;40,2,Explosive!J49&gt;60,3,Explosive!J49&gt;80,4,Explosive!J49&gt;100,5)</f>
        <v>1</v>
      </c>
      <c r="O157" s="375" cm="1">
        <f t="array" ref="O157">1+_xlfn.IFS(Explosive!K49&lt;20,0,Explosive!K49&gt;20,1,Explosive!K49&gt;40,2,Explosive!K49&gt;60,3,Explosive!K49&gt;80,4,Explosive!K49&gt;100,5)</f>
        <v>1</v>
      </c>
      <c r="P157" s="375" cm="1">
        <f t="array" ref="P157">1+_xlfn.IFS(Explosive!L49&lt;20,0,Explosive!L49&gt;20,1,Explosive!L49&gt;40,2,Explosive!L49&gt;60,3,Explosive!L49&gt;80,4,Explosive!L49&gt;100,5)</f>
        <v>2</v>
      </c>
      <c r="Q157" s="375" cm="1">
        <f t="array" ref="Q157">1+_xlfn.IFS(Explosive!M49&lt;20,0,Explosive!M49&gt;20,1,Explosive!M49&gt;40,2,Explosive!M49&gt;60,3,Explosive!M49&gt;80,4,Explosive!M49&gt;100,5)</f>
        <v>2</v>
      </c>
      <c r="R157" s="375" cm="1">
        <f t="array" ref="R157">1+_xlfn.IFS(Explosive!N49&lt;20,0,Explosive!N49&gt;20,1,Explosive!N49&gt;40,2,Explosive!N49&gt;60,3,Explosive!N49&gt;80,4,Explosive!N49&gt;100,5)</f>
        <v>2</v>
      </c>
      <c r="S157" s="375" cm="1">
        <f t="array" ref="S157">1+_xlfn.IFS(Explosive!O49&lt;20,0,Explosive!O49&gt;20,1,Explosive!O49&gt;40,2,Explosive!O49&gt;60,3,Explosive!O49&gt;80,4,Explosive!O49&gt;100,5)</f>
        <v>2</v>
      </c>
      <c r="T157" s="375" cm="1">
        <f t="array" ref="T157">1+_xlfn.IFS(Explosive!P49&lt;20,0,Explosive!P49&gt;20,1,Explosive!P49&gt;40,2,Explosive!P49&gt;60,3,Explosive!P49&gt;80,4,Explosive!P49&gt;100,5)</f>
        <v>2</v>
      </c>
      <c r="U157" s="375" cm="1">
        <f t="array" ref="U157">1+_xlfn.IFS(Explosive!Q49&lt;20,0,Explosive!Q49&gt;20,1,Explosive!Q49&gt;40,2,Explosive!Q49&gt;60,3,Explosive!Q49&gt;80,4,Explosive!Q49&gt;100,5)</f>
        <v>2</v>
      </c>
      <c r="V157" s="375" cm="1">
        <f t="array" ref="V157">1+_xlfn.IFS(Explosive!R49&lt;20,0,Explosive!R49&gt;20,1,Explosive!R49&gt;40,2,Explosive!R49&gt;60,3,Explosive!R49&gt;80,4,Explosive!R49&gt;100,5)</f>
        <v>2</v>
      </c>
      <c r="W157" s="375" cm="1">
        <f t="array" ref="W157">1+_xlfn.IFS(Explosive!S49&lt;20,0,Explosive!S49&gt;20,1,Explosive!S49&gt;40,2,Explosive!S49&gt;60,3,Explosive!S49&gt;80,4,Explosive!S49&gt;100,5)</f>
        <v>2</v>
      </c>
      <c r="X157" s="375" cm="1">
        <f t="array" ref="X157">1+_xlfn.IFS(Explosive!T49&lt;20,0,Explosive!T49&gt;20,1,Explosive!T49&gt;40,2,Explosive!T49&gt;60,3,Explosive!T49&gt;80,4,Explosive!T49&gt;100,5)</f>
        <v>2</v>
      </c>
      <c r="Y157" s="375" cm="1">
        <f t="array" ref="Y157">1+_xlfn.IFS(Explosive!U49&lt;20,0,Explosive!U49&gt;20,1,Explosive!U49&gt;40,2,Explosive!U49&gt;60,3,Explosive!U49&gt;80,4,Explosive!U49&gt;100,5)</f>
        <v>2</v>
      </c>
      <c r="Z157" s="375" cm="1">
        <f t="array" ref="Z157">1+_xlfn.IFS(Explosive!V49&lt;20,0,Explosive!V49&gt;20,1,Explosive!V49&gt;40,2,Explosive!V49&gt;60,3,Explosive!V49&gt;80,4,Explosive!V49&gt;100,5)</f>
        <v>2</v>
      </c>
      <c r="AA157" s="375" cm="1">
        <f t="array" ref="AA157">1+_xlfn.IFS(Explosive!W49&lt;20,0,Explosive!W49&gt;20,1,Explosive!W49&gt;40,2,Explosive!W49&gt;60,3,Explosive!W49&gt;80,4,Explosive!W49&gt;100,5)</f>
        <v>2</v>
      </c>
      <c r="AB157" s="375" cm="1">
        <f t="array" ref="AB157">1+_xlfn.IFS(Explosive!X49&lt;20,0,Explosive!X49&gt;20,1,Explosive!X49&gt;40,2,Explosive!X49&gt;60,3,Explosive!X49&gt;80,4,Explosive!X49&gt;100,5)</f>
        <v>2</v>
      </c>
      <c r="AC157" s="375" cm="1">
        <f t="array" ref="AC157">1+_xlfn.IFS(Explosive!Y49&lt;20,0,Explosive!Y49&gt;20,1,Explosive!Y49&gt;40,2,Explosive!Y49&gt;60,3,Explosive!Y49&gt;80,4,Explosive!Y49&gt;100,5)</f>
        <v>2</v>
      </c>
      <c r="AD157" s="375" cm="1">
        <f t="array" ref="AD157">1+_xlfn.IFS(Explosive!Z49&lt;20,0,Explosive!Z49&gt;20,1,Explosive!Z49&gt;40,2,Explosive!Z49&gt;60,3,Explosive!Z49&gt;80,4,Explosive!Z49&gt;100,5)</f>
        <v>2</v>
      </c>
      <c r="AE157" s="375" cm="1">
        <f t="array" ref="AE157">1+_xlfn.IFS(Explosive!AA49&lt;20,0,Explosive!AA49&gt;20,1,Explosive!AA49&gt;40,2,Explosive!AA49&gt;60,3,Explosive!AA49&gt;80,4,Explosive!AA49&gt;100,5)</f>
        <v>1</v>
      </c>
      <c r="AF157" s="375" cm="1">
        <f t="array" ref="AF157">1+_xlfn.IFS(Explosive!AB49&lt;20,0,Explosive!AB49&gt;20,1,Explosive!AB49&gt;40,2,Explosive!AB49&gt;60,3,Explosive!AB49&gt;80,4,Explosive!AB49&gt;100,5)</f>
        <v>1</v>
      </c>
    </row>
    <row r="158" spans="2:32">
      <c r="B158" s="211"/>
      <c r="C158" s="660" t="s">
        <v>1457</v>
      </c>
      <c r="D158" s="257" t="s">
        <v>1315</v>
      </c>
      <c r="E158" s="211" t="s">
        <v>740</v>
      </c>
      <c r="F158" s="205" t="s">
        <v>186</v>
      </c>
      <c r="H158" s="366">
        <f>IFERROR(VLOOKUP(F158,Assumptions_Dashboard!$C$38:$D$72,2,FALSE),0)</f>
        <v>2500000</v>
      </c>
      <c r="J158" s="179"/>
      <c r="K158" s="179"/>
      <c r="L158" s="179"/>
      <c r="M158" s="179"/>
      <c r="N158" s="369" cm="1">
        <f t="array" ref="N158">_xlfn.IFS((N$7&lt;6),0,AND(N$7&gt;=6.01,N$7&lt;18),1,AND(N$7&gt;=18.01,N$7&lt;36),1,AND(N$7&gt;=36.01,N$7&lt;60),1,AND(N$7&gt;=60.01,N$7&lt;100),2,(N$7&gt;100.01),2)</f>
        <v>1</v>
      </c>
      <c r="O158" s="1411" cm="1">
        <f t="array" ref="O158">_xlfn.IFS((O$7&lt;6),0,AND(O$7&gt;=6.01,O$7&lt;18),1,AND(O$7&gt;=18.01,O$7&lt;36),1,AND(O$7&gt;=36.01,O$7&lt;60),1,AND(O$7&gt;=60.01,O$7&lt;100),2,(O$7&gt;100.01),2)</f>
        <v>1</v>
      </c>
      <c r="P158" s="1411" cm="1">
        <f t="array" ref="P158">_xlfn.IFS((P$7&lt;6),0,AND(P$7&gt;=6.01,P$7&lt;18),1,AND(P$7&gt;=18.01,P$7&lt;36),1,AND(P$7&gt;=36.01,P$7&lt;60),1,AND(P$7&gt;=60.01,P$7&lt;100),2,(P$7&gt;100.01),2)</f>
        <v>1</v>
      </c>
      <c r="Q158" s="1411" cm="1">
        <f t="array" ref="Q158">_xlfn.IFS((Q$7&lt;6),0,AND(Q$7&gt;=6.01,Q$7&lt;18),1,AND(Q$7&gt;=18.01,Q$7&lt;36),1,AND(Q$7&gt;=36.01,Q$7&lt;60),1,AND(Q$7&gt;=60.01,Q$7&lt;100),2,(Q$7&gt;100.01),2)</f>
        <v>1</v>
      </c>
      <c r="R158" s="1411" cm="1">
        <f t="array" ref="R158">_xlfn.IFS((R$7&lt;6),0,AND(R$7&gt;=6.01,R$7&lt;18),1,AND(R$7&gt;=18.01,R$7&lt;36),1,AND(R$7&gt;=36.01,R$7&lt;60),1,AND(R$7&gt;=60.01,R$7&lt;100),2,(R$7&gt;100.01),2)</f>
        <v>1</v>
      </c>
      <c r="S158" s="1411" cm="1">
        <f t="array" ref="S158">_xlfn.IFS((S$7&lt;6),0,AND(S$7&gt;=6.01,S$7&lt;18),1,AND(S$7&gt;=18.01,S$7&lt;36),1,AND(S$7&gt;=36.01,S$7&lt;60),1,AND(S$7&gt;=60.01,S$7&lt;100),2,(S$7&gt;100.01),2)</f>
        <v>1</v>
      </c>
      <c r="T158" s="1411" cm="1">
        <f t="array" ref="T158">_xlfn.IFS((T$7&lt;6),0,AND(T$7&gt;=6.01,T$7&lt;18),1,AND(T$7&gt;=18.01,T$7&lt;36),1,AND(T$7&gt;=36.01,T$7&lt;60),1,AND(T$7&gt;=60.01,T$7&lt;100),2,(T$7&gt;100.01),2)</f>
        <v>2</v>
      </c>
      <c r="U158" s="1411" cm="1">
        <f t="array" ref="U158">_xlfn.IFS((U$7&lt;6),0,AND(U$7&gt;=6.01,U$7&lt;18),1,AND(U$7&gt;=18.01,U$7&lt;36),1,AND(U$7&gt;=36.01,U$7&lt;60),1,AND(U$7&gt;=60.01,U$7&lt;100),2,(U$7&gt;100.01),2)</f>
        <v>1</v>
      </c>
      <c r="V158" s="1411" cm="1">
        <f t="array" ref="V158">_xlfn.IFS((V$7&lt;6),0,AND(V$7&gt;=6.01,V$7&lt;18),1,AND(V$7&gt;=18.01,V$7&lt;36),1,AND(V$7&gt;=36.01,V$7&lt;60),1,AND(V$7&gt;=60.01,V$7&lt;100),2,(V$7&gt;100.01),2)</f>
        <v>1</v>
      </c>
      <c r="W158" s="1411" cm="1">
        <f t="array" ref="W158">_xlfn.IFS((W$7&lt;6),0,AND(W$7&gt;=6.01,W$7&lt;18),1,AND(W$7&gt;=18.01,W$7&lt;36),1,AND(W$7&gt;=36.01,W$7&lt;60),1,AND(W$7&gt;=60.01,W$7&lt;100),2,(W$7&gt;100.01),2)</f>
        <v>1</v>
      </c>
      <c r="X158" s="1411" cm="1">
        <f t="array" ref="X158">_xlfn.IFS((X$7&lt;6),0,AND(X$7&gt;=6.01,X$7&lt;18),1,AND(X$7&gt;=18.01,X$7&lt;36),1,AND(X$7&gt;=36.01,X$7&lt;60),1,AND(X$7&gt;=60.01,X$7&lt;100),2,(X$7&gt;100.01),2)</f>
        <v>1</v>
      </c>
      <c r="Y158" s="1411" cm="1">
        <f t="array" ref="Y158">_xlfn.IFS((Y$7&lt;6),0,AND(Y$7&gt;=6.01,Y$7&lt;18),1,AND(Y$7&gt;=18.01,Y$7&lt;36),1,AND(Y$7&gt;=36.01,Y$7&lt;60),1,AND(Y$7&gt;=60.01,Y$7&lt;100),2,(Y$7&gt;100.01),2)</f>
        <v>1</v>
      </c>
      <c r="Z158" s="1411" cm="1">
        <f t="array" ref="Z158">_xlfn.IFS((Z$7&lt;6),0,AND(Z$7&gt;=6.01,Z$7&lt;18),1,AND(Z$7&gt;=18.01,Z$7&lt;36),1,AND(Z$7&gt;=36.01,Z$7&lt;60),1,AND(Z$7&gt;=60.01,Z$7&lt;100),2,(Z$7&gt;100.01),2)</f>
        <v>1</v>
      </c>
      <c r="AA158" s="1411" cm="1">
        <f t="array" ref="AA158">_xlfn.IFS((AA$7&lt;6),0,AND(AA$7&gt;=6.01,AA$7&lt;18),1,AND(AA$7&gt;=18.01,AA$7&lt;36),1,AND(AA$7&gt;=36.01,AA$7&lt;60),1,AND(AA$7&gt;=60.01,AA$7&lt;100),2,(AA$7&gt;100.01),2)</f>
        <v>1</v>
      </c>
      <c r="AB158" s="1411" cm="1">
        <f t="array" ref="AB158">_xlfn.IFS((AB$7&lt;6),0,AND(AB$7&gt;=6.01,AB$7&lt;18),1,AND(AB$7&gt;=18.01,AB$7&lt;36),1,AND(AB$7&gt;=36.01,AB$7&lt;60),1,AND(AB$7&gt;=60.01,AB$7&lt;100),2,(AB$7&gt;100.01),2)</f>
        <v>1</v>
      </c>
      <c r="AC158" s="1411" cm="1">
        <f t="array" ref="AC158">_xlfn.IFS((AC$7&lt;6),0,AND(AC$7&gt;=6.01,AC$7&lt;18),1,AND(AC$7&gt;=18.01,AC$7&lt;36),1,AND(AC$7&gt;=36.01,AC$7&lt;60),1,AND(AC$7&gt;=60.01,AC$7&lt;100),2,(AC$7&gt;100.01),2)</f>
        <v>1</v>
      </c>
      <c r="AD158" s="1411" cm="1">
        <f t="array" ref="AD158">_xlfn.IFS((AD$7&lt;6),0,AND(AD$7&gt;=6.01,AD$7&lt;18),1,AND(AD$7&gt;=18.01,AD$7&lt;36),1,AND(AD$7&gt;=36.01,AD$7&lt;60),1,AND(AD$7&gt;=60.01,AD$7&lt;100),2,(AD$7&gt;100.01),2)</f>
        <v>1</v>
      </c>
      <c r="AE158" s="1411" cm="1">
        <f t="array" ref="AE158">_xlfn.IFS((AE$7&lt;6),0,AND(AE$7&gt;=6.01,AE$7&lt;18),1,AND(AE$7&gt;=18.01,AE$7&lt;36),1,AND(AE$7&gt;=36.01,AE$7&lt;60),1,AND(AE$7&gt;=60.01,AE$7&lt;100),2,(AE$7&gt;100.01),2)</f>
        <v>1</v>
      </c>
      <c r="AF158" s="1411" cm="1">
        <f t="array" ref="AF158">_xlfn.IFS((AF$7&lt;6),0,AND(AF$7&gt;=6.01,AF$7&lt;18),1,AND(AF$7&gt;=18.01,AF$7&lt;36),1,AND(AF$7&gt;=36.01,AF$7&lt;60),1,AND(AF$7&gt;=60.01,AF$7&lt;100),2,(AF$7&gt;100.01),2)</f>
        <v>0</v>
      </c>
    </row>
    <row r="159" spans="2:32">
      <c r="B159" s="117"/>
      <c r="C159" s="660" t="s">
        <v>1458</v>
      </c>
      <c r="D159" s="257" t="s">
        <v>1336</v>
      </c>
      <c r="E159" s="121" t="s">
        <v>740</v>
      </c>
      <c r="F159" s="205" t="s">
        <v>192</v>
      </c>
      <c r="H159" s="366">
        <f>IFERROR(VLOOKUP(F159,Assumptions_Dashboard!$C$38:$D$72,2,FALSE),0)</f>
        <v>1235000</v>
      </c>
      <c r="J159" s="179"/>
      <c r="K159" s="179"/>
      <c r="L159" s="179"/>
      <c r="M159" s="179"/>
      <c r="N159" s="369" cm="1">
        <f t="array" ref="N159">_xlfn.IFS((N$7&lt;6),1,AND(N$7&gt;=6.01,N$7&lt;18),1,AND(N$7&gt;=18.01,N$7&lt;36),1,AND(N$7&gt;=36.01,N$7&lt;60),1,AND(N$7&gt;=60.01,N$7&lt;100),1,(N$7&gt;100.01),2)</f>
        <v>1</v>
      </c>
      <c r="O159" s="1411" cm="1">
        <f t="array" ref="O159">_xlfn.IFS((O$7&lt;6),1,AND(O$7&gt;=6.01,O$7&lt;18),1,AND(O$7&gt;=18.01,O$7&lt;36),1,AND(O$7&gt;=36.01,O$7&lt;60),1,AND(O$7&gt;=60.01,O$7&lt;100),1,(O$7&gt;100.01),2)</f>
        <v>1</v>
      </c>
      <c r="P159" s="1411" cm="1">
        <f t="array" ref="P159">_xlfn.IFS((P$7&lt;6),1,AND(P$7&gt;=6.01,P$7&lt;18),1,AND(P$7&gt;=18.01,P$7&lt;36),1,AND(P$7&gt;=36.01,P$7&lt;60),1,AND(P$7&gt;=60.01,P$7&lt;100),1,(P$7&gt;100.01),2)</f>
        <v>1</v>
      </c>
      <c r="Q159" s="1411" cm="1">
        <f t="array" ref="Q159">_xlfn.IFS((Q$7&lt;6),1,AND(Q$7&gt;=6.01,Q$7&lt;18),1,AND(Q$7&gt;=18.01,Q$7&lt;36),1,AND(Q$7&gt;=36.01,Q$7&lt;60),1,AND(Q$7&gt;=60.01,Q$7&lt;100),1,(Q$7&gt;100.01),2)</f>
        <v>1</v>
      </c>
      <c r="R159" s="1411" cm="1">
        <f t="array" ref="R159">_xlfn.IFS((R$7&lt;6),1,AND(R$7&gt;=6.01,R$7&lt;18),1,AND(R$7&gt;=18.01,R$7&lt;36),1,AND(R$7&gt;=36.01,R$7&lt;60),1,AND(R$7&gt;=60.01,R$7&lt;100),1,(R$7&gt;100.01),2)</f>
        <v>1</v>
      </c>
      <c r="S159" s="1411" cm="1">
        <f t="array" ref="S159">_xlfn.IFS((S$7&lt;6),1,AND(S$7&gt;=6.01,S$7&lt;18),1,AND(S$7&gt;=18.01,S$7&lt;36),1,AND(S$7&gt;=36.01,S$7&lt;60),1,AND(S$7&gt;=60.01,S$7&lt;100),1,(S$7&gt;100.01),2)</f>
        <v>1</v>
      </c>
      <c r="T159" s="1411" cm="1">
        <f t="array" ref="T159">_xlfn.IFS((T$7&lt;6),1,AND(T$7&gt;=6.01,T$7&lt;18),1,AND(T$7&gt;=18.01,T$7&lt;36),1,AND(T$7&gt;=36.01,T$7&lt;60),1,AND(T$7&gt;=60.01,T$7&lt;100),1,(T$7&gt;100.01),2)</f>
        <v>1</v>
      </c>
      <c r="U159" s="1411" cm="1">
        <f t="array" ref="U159">_xlfn.IFS((U$7&lt;6),1,AND(U$7&gt;=6.01,U$7&lt;18),1,AND(U$7&gt;=18.01,U$7&lt;36),1,AND(U$7&gt;=36.01,U$7&lt;60),1,AND(U$7&gt;=60.01,U$7&lt;100),1,(U$7&gt;100.01),2)</f>
        <v>1</v>
      </c>
      <c r="V159" s="1411" cm="1">
        <f t="array" ref="V159">_xlfn.IFS((V$7&lt;6),1,AND(V$7&gt;=6.01,V$7&lt;18),1,AND(V$7&gt;=18.01,V$7&lt;36),1,AND(V$7&gt;=36.01,V$7&lt;60),1,AND(V$7&gt;=60.01,V$7&lt;100),1,(V$7&gt;100.01),2)</f>
        <v>1</v>
      </c>
      <c r="W159" s="1411" cm="1">
        <f t="array" ref="W159">_xlfn.IFS((W$7&lt;6),1,AND(W$7&gt;=6.01,W$7&lt;18),1,AND(W$7&gt;=18.01,W$7&lt;36),1,AND(W$7&gt;=36.01,W$7&lt;60),1,AND(W$7&gt;=60.01,W$7&lt;100),1,(W$7&gt;100.01),2)</f>
        <v>1</v>
      </c>
      <c r="X159" s="1411" cm="1">
        <f t="array" ref="X159">_xlfn.IFS((X$7&lt;6),1,AND(X$7&gt;=6.01,X$7&lt;18),1,AND(X$7&gt;=18.01,X$7&lt;36),1,AND(X$7&gt;=36.01,X$7&lt;60),1,AND(X$7&gt;=60.01,X$7&lt;100),1,(X$7&gt;100.01),2)</f>
        <v>1</v>
      </c>
      <c r="Y159" s="1411" cm="1">
        <f t="array" ref="Y159">_xlfn.IFS((Y$7&lt;6),1,AND(Y$7&gt;=6.01,Y$7&lt;18),1,AND(Y$7&gt;=18.01,Y$7&lt;36),1,AND(Y$7&gt;=36.01,Y$7&lt;60),1,AND(Y$7&gt;=60.01,Y$7&lt;100),1,(Y$7&gt;100.01),2)</f>
        <v>1</v>
      </c>
      <c r="Z159" s="1411" cm="1">
        <f t="array" ref="Z159">_xlfn.IFS((Z$7&lt;6),1,AND(Z$7&gt;=6.01,Z$7&lt;18),1,AND(Z$7&gt;=18.01,Z$7&lt;36),1,AND(Z$7&gt;=36.01,Z$7&lt;60),1,AND(Z$7&gt;=60.01,Z$7&lt;100),1,(Z$7&gt;100.01),2)</f>
        <v>1</v>
      </c>
      <c r="AA159" s="1411" cm="1">
        <f t="array" ref="AA159">_xlfn.IFS((AA$7&lt;6),1,AND(AA$7&gt;=6.01,AA$7&lt;18),1,AND(AA$7&gt;=18.01,AA$7&lt;36),1,AND(AA$7&gt;=36.01,AA$7&lt;60),1,AND(AA$7&gt;=60.01,AA$7&lt;100),1,(AA$7&gt;100.01),2)</f>
        <v>1</v>
      </c>
      <c r="AB159" s="1411" cm="1">
        <f t="array" ref="AB159">_xlfn.IFS((AB$7&lt;6),1,AND(AB$7&gt;=6.01,AB$7&lt;18),1,AND(AB$7&gt;=18.01,AB$7&lt;36),1,AND(AB$7&gt;=36.01,AB$7&lt;60),1,AND(AB$7&gt;=60.01,AB$7&lt;100),1,(AB$7&gt;100.01),2)</f>
        <v>1</v>
      </c>
      <c r="AC159" s="1411" cm="1">
        <f t="array" ref="AC159">_xlfn.IFS((AC$7&lt;6),1,AND(AC$7&gt;=6.01,AC$7&lt;18),1,AND(AC$7&gt;=18.01,AC$7&lt;36),1,AND(AC$7&gt;=36.01,AC$7&lt;60),1,AND(AC$7&gt;=60.01,AC$7&lt;100),1,(AC$7&gt;100.01),2)</f>
        <v>1</v>
      </c>
      <c r="AD159" s="1411" cm="1">
        <f t="array" ref="AD159">_xlfn.IFS((AD$7&lt;6),1,AND(AD$7&gt;=6.01,AD$7&lt;18),1,AND(AD$7&gt;=18.01,AD$7&lt;36),1,AND(AD$7&gt;=36.01,AD$7&lt;60),1,AND(AD$7&gt;=60.01,AD$7&lt;100),1,(AD$7&gt;100.01),2)</f>
        <v>1</v>
      </c>
      <c r="AE159" s="1411" cm="1">
        <f t="array" ref="AE159">_xlfn.IFS((AE$7&lt;6),1,AND(AE$7&gt;=6.01,AE$7&lt;18),1,AND(AE$7&gt;=18.01,AE$7&lt;36),1,AND(AE$7&gt;=36.01,AE$7&lt;60),1,AND(AE$7&gt;=60.01,AE$7&lt;100),1,(AE$7&gt;100.01),2)</f>
        <v>1</v>
      </c>
      <c r="AF159" s="1411" cm="1">
        <f t="array" ref="AF159">_xlfn.IFS((AF$7&lt;6),1,AND(AF$7&gt;=6.01,AF$7&lt;18),1,AND(AF$7&gt;=18.01,AF$7&lt;36),1,AND(AF$7&gt;=36.01,AF$7&lt;60),1,AND(AF$7&gt;=60.01,AF$7&lt;100),1,(AF$7&gt;100.01),2)</f>
        <v>1</v>
      </c>
    </row>
    <row r="160" spans="2:32">
      <c r="B160" s="117"/>
      <c r="C160" s="660" t="s">
        <v>1459</v>
      </c>
      <c r="D160" s="257" t="s">
        <v>1336</v>
      </c>
      <c r="E160" s="121" t="s">
        <v>740</v>
      </c>
      <c r="F160" s="205" t="s">
        <v>192</v>
      </c>
      <c r="H160" s="366">
        <f>IFERROR(VLOOKUP(F160,Assumptions_Dashboard!$C$38:$D$72,2,FALSE),0)</f>
        <v>1235000</v>
      </c>
      <c r="J160" s="179"/>
      <c r="K160" s="179"/>
      <c r="L160" s="179"/>
      <c r="M160" s="179"/>
      <c r="N160" s="369" cm="1">
        <f t="array" ref="N160">_xlfn.IFS((N$7&lt;6),0,AND(N$7&gt;=6.01,N$7&lt;18),0,AND(N$7&gt;=18.01,N$7&lt;36),0,AND(N$7&gt;=36.01,N$7&lt;60),1,AND(N$7&gt;=60.01,N$7&lt;100),1,(N$7&gt;100.01),1)</f>
        <v>0</v>
      </c>
      <c r="O160" s="1411" cm="1">
        <f t="array" ref="O160">_xlfn.IFS((O$7&lt;6),0,AND(O$7&gt;=6.01,O$7&lt;18),0,AND(O$7&gt;=18.01,O$7&lt;36),0,AND(O$7&gt;=36.01,O$7&lt;60),1,AND(O$7&gt;=60.01,O$7&lt;100),1,(O$7&gt;100.01),1)</f>
        <v>0</v>
      </c>
      <c r="P160" s="1411" cm="1">
        <f t="array" ref="P160">_xlfn.IFS((P$7&lt;6),0,AND(P$7&gt;=6.01,P$7&lt;18),0,AND(P$7&gt;=18.01,P$7&lt;36),0,AND(P$7&gt;=36.01,P$7&lt;60),1,AND(P$7&gt;=60.01,P$7&lt;100),1,(P$7&gt;100.01),1)</f>
        <v>0</v>
      </c>
      <c r="Q160" s="1411" cm="1">
        <f t="array" ref="Q160">_xlfn.IFS((Q$7&lt;6),0,AND(Q$7&gt;=6.01,Q$7&lt;18),0,AND(Q$7&gt;=18.01,Q$7&lt;36),0,AND(Q$7&gt;=36.01,Q$7&lt;60),1,AND(Q$7&gt;=60.01,Q$7&lt;100),1,(Q$7&gt;100.01),1)</f>
        <v>1</v>
      </c>
      <c r="R160" s="1411" cm="1">
        <f t="array" ref="R160">_xlfn.IFS((R$7&lt;6),0,AND(R$7&gt;=6.01,R$7&lt;18),0,AND(R$7&gt;=18.01,R$7&lt;36),0,AND(R$7&gt;=36.01,R$7&lt;60),1,AND(R$7&gt;=60.01,R$7&lt;100),1,(R$7&gt;100.01),1)</f>
        <v>1</v>
      </c>
      <c r="S160" s="1411" cm="1">
        <f t="array" ref="S160">_xlfn.IFS((S$7&lt;6),0,AND(S$7&gt;=6.01,S$7&lt;18),0,AND(S$7&gt;=18.01,S$7&lt;36),0,AND(S$7&gt;=36.01,S$7&lt;60),1,AND(S$7&gt;=60.01,S$7&lt;100),1,(S$7&gt;100.01),1)</f>
        <v>1</v>
      </c>
      <c r="T160" s="1411" cm="1">
        <f t="array" ref="T160">_xlfn.IFS((T$7&lt;6),0,AND(T$7&gt;=6.01,T$7&lt;18),0,AND(T$7&gt;=18.01,T$7&lt;36),0,AND(T$7&gt;=36.01,T$7&lt;60),1,AND(T$7&gt;=60.01,T$7&lt;100),1,(T$7&gt;100.01),1)</f>
        <v>1</v>
      </c>
      <c r="U160" s="1411" cm="1">
        <f t="array" ref="U160">_xlfn.IFS((U$7&lt;6),0,AND(U$7&gt;=6.01,U$7&lt;18),0,AND(U$7&gt;=18.01,U$7&lt;36),0,AND(U$7&gt;=36.01,U$7&lt;60),1,AND(U$7&gt;=60.01,U$7&lt;100),1,(U$7&gt;100.01),1)</f>
        <v>1</v>
      </c>
      <c r="V160" s="1411" cm="1">
        <f t="array" ref="V160">_xlfn.IFS((V$7&lt;6),0,AND(V$7&gt;=6.01,V$7&lt;18),0,AND(V$7&gt;=18.01,V$7&lt;36),0,AND(V$7&gt;=36.01,V$7&lt;60),1,AND(V$7&gt;=60.01,V$7&lt;100),1,(V$7&gt;100.01),1)</f>
        <v>1</v>
      </c>
      <c r="W160" s="1411" cm="1">
        <f t="array" ref="W160">_xlfn.IFS((W$7&lt;6),0,AND(W$7&gt;=6.01,W$7&lt;18),0,AND(W$7&gt;=18.01,W$7&lt;36),0,AND(W$7&gt;=36.01,W$7&lt;60),1,AND(W$7&gt;=60.01,W$7&lt;100),1,(W$7&gt;100.01),1)</f>
        <v>1</v>
      </c>
      <c r="X160" s="1411" cm="1">
        <f t="array" ref="X160">_xlfn.IFS((X$7&lt;6),0,AND(X$7&gt;=6.01,X$7&lt;18),0,AND(X$7&gt;=18.01,X$7&lt;36),0,AND(X$7&gt;=36.01,X$7&lt;60),1,AND(X$7&gt;=60.01,X$7&lt;100),1,(X$7&gt;100.01),1)</f>
        <v>1</v>
      </c>
      <c r="Y160" s="1411" cm="1">
        <f t="array" ref="Y160">_xlfn.IFS((Y$7&lt;6),0,AND(Y$7&gt;=6.01,Y$7&lt;18),0,AND(Y$7&gt;=18.01,Y$7&lt;36),0,AND(Y$7&gt;=36.01,Y$7&lt;60),1,AND(Y$7&gt;=60.01,Y$7&lt;100),1,(Y$7&gt;100.01),1)</f>
        <v>1</v>
      </c>
      <c r="Z160" s="1411" cm="1">
        <f t="array" ref="Z160">_xlfn.IFS((Z$7&lt;6),0,AND(Z$7&gt;=6.01,Z$7&lt;18),0,AND(Z$7&gt;=18.01,Z$7&lt;36),0,AND(Z$7&gt;=36.01,Z$7&lt;60),1,AND(Z$7&gt;=60.01,Z$7&lt;100),1,(Z$7&gt;100.01),1)</f>
        <v>1</v>
      </c>
      <c r="AA160" s="1411" cm="1">
        <f t="array" ref="AA160">_xlfn.IFS((AA$7&lt;6),0,AND(AA$7&gt;=6.01,AA$7&lt;18),0,AND(AA$7&gt;=18.01,AA$7&lt;36),0,AND(AA$7&gt;=36.01,AA$7&lt;60),1,AND(AA$7&gt;=60.01,AA$7&lt;100),1,(AA$7&gt;100.01),1)</f>
        <v>1</v>
      </c>
      <c r="AB160" s="1411" cm="1">
        <f t="array" ref="AB160">_xlfn.IFS((AB$7&lt;6),0,AND(AB$7&gt;=6.01,AB$7&lt;18),0,AND(AB$7&gt;=18.01,AB$7&lt;36),0,AND(AB$7&gt;=36.01,AB$7&lt;60),1,AND(AB$7&gt;=60.01,AB$7&lt;100),1,(AB$7&gt;100.01),1)</f>
        <v>1</v>
      </c>
      <c r="AC160" s="1411" cm="1">
        <f t="array" ref="AC160">_xlfn.IFS((AC$7&lt;6),0,AND(AC$7&gt;=6.01,AC$7&lt;18),0,AND(AC$7&gt;=18.01,AC$7&lt;36),0,AND(AC$7&gt;=36.01,AC$7&lt;60),1,AND(AC$7&gt;=60.01,AC$7&lt;100),1,(AC$7&gt;100.01),1)</f>
        <v>1</v>
      </c>
      <c r="AD160" s="1411" cm="1">
        <f t="array" ref="AD160">_xlfn.IFS((AD$7&lt;6),0,AND(AD$7&gt;=6.01,AD$7&lt;18),0,AND(AD$7&gt;=18.01,AD$7&lt;36),0,AND(AD$7&gt;=36.01,AD$7&lt;60),1,AND(AD$7&gt;=60.01,AD$7&lt;100),1,(AD$7&gt;100.01),1)</f>
        <v>0</v>
      </c>
      <c r="AE160" s="1411" cm="1">
        <f t="array" ref="AE160">_xlfn.IFS((AE$7&lt;6),0,AND(AE$7&gt;=6.01,AE$7&lt;18),0,AND(AE$7&gt;=18.01,AE$7&lt;36),0,AND(AE$7&gt;=36.01,AE$7&lt;60),1,AND(AE$7&gt;=60.01,AE$7&lt;100),1,(AE$7&gt;100.01),1)</f>
        <v>0</v>
      </c>
      <c r="AF160" s="1411" cm="1">
        <f t="array" ref="AF160">_xlfn.IFS((AF$7&lt;6),0,AND(AF$7&gt;=6.01,AF$7&lt;18),0,AND(AF$7&gt;=18.01,AF$7&lt;36),0,AND(AF$7&gt;=36.01,AF$7&lt;60),1,AND(AF$7&gt;=60.01,AF$7&lt;100),1,(AF$7&gt;100.01),1)</f>
        <v>0</v>
      </c>
    </row>
    <row r="161" spans="2:32">
      <c r="B161" s="117"/>
      <c r="C161" s="660" t="s">
        <v>1460</v>
      </c>
      <c r="D161" s="257" t="s">
        <v>1336</v>
      </c>
      <c r="E161" s="121" t="s">
        <v>740</v>
      </c>
      <c r="F161" s="205" t="s">
        <v>192</v>
      </c>
      <c r="H161" s="366">
        <f>IFERROR(VLOOKUP(F161,Assumptions_Dashboard!$C$38:$D$72,2,FALSE),0)</f>
        <v>1235000</v>
      </c>
      <c r="J161" s="179"/>
      <c r="K161" s="179"/>
      <c r="L161" s="179"/>
      <c r="M161" s="179"/>
      <c r="N161" s="369" cm="1">
        <f t="array" ref="N161">_xlfn.IFS((N$7&lt;6),1,AND(N$7&gt;=6.01,N$7&lt;18),1,AND(N$7&gt;=18.01,N$7&lt;36),1,AND(N$7&gt;=36.01,N$7&lt;60),1,AND(N$7&gt;=60.01,N$7&lt;100),1,(N$7&gt;100.01),1)</f>
        <v>1</v>
      </c>
      <c r="O161" s="1411" cm="1">
        <f t="array" ref="O161">_xlfn.IFS((O$7&lt;6),1,AND(O$7&gt;=6.01,O$7&lt;18),1,AND(O$7&gt;=18.01,O$7&lt;36),1,AND(O$7&gt;=36.01,O$7&lt;60),1,AND(O$7&gt;=60.01,O$7&lt;100),1,(O$7&gt;100.01),1)</f>
        <v>1</v>
      </c>
      <c r="P161" s="1411" cm="1">
        <f t="array" ref="P161">_xlfn.IFS((P$7&lt;6),1,AND(P$7&gt;=6.01,P$7&lt;18),1,AND(P$7&gt;=18.01,P$7&lt;36),1,AND(P$7&gt;=36.01,P$7&lt;60),1,AND(P$7&gt;=60.01,P$7&lt;100),1,(P$7&gt;100.01),1)</f>
        <v>1</v>
      </c>
      <c r="Q161" s="1411" cm="1">
        <f t="array" ref="Q161">_xlfn.IFS((Q$7&lt;6),1,AND(Q$7&gt;=6.01,Q$7&lt;18),1,AND(Q$7&gt;=18.01,Q$7&lt;36),1,AND(Q$7&gt;=36.01,Q$7&lt;60),1,AND(Q$7&gt;=60.01,Q$7&lt;100),1,(Q$7&gt;100.01),1)</f>
        <v>1</v>
      </c>
      <c r="R161" s="1411" cm="1">
        <f t="array" ref="R161">_xlfn.IFS((R$7&lt;6),1,AND(R$7&gt;=6.01,R$7&lt;18),1,AND(R$7&gt;=18.01,R$7&lt;36),1,AND(R$7&gt;=36.01,R$7&lt;60),1,AND(R$7&gt;=60.01,R$7&lt;100),1,(R$7&gt;100.01),1)</f>
        <v>1</v>
      </c>
      <c r="S161" s="1411" cm="1">
        <f t="array" ref="S161">_xlfn.IFS((S$7&lt;6),1,AND(S$7&gt;=6.01,S$7&lt;18),1,AND(S$7&gt;=18.01,S$7&lt;36),1,AND(S$7&gt;=36.01,S$7&lt;60),1,AND(S$7&gt;=60.01,S$7&lt;100),1,(S$7&gt;100.01),1)</f>
        <v>1</v>
      </c>
      <c r="T161" s="1411" cm="1">
        <f t="array" ref="T161">_xlfn.IFS((T$7&lt;6),1,AND(T$7&gt;=6.01,T$7&lt;18),1,AND(T$7&gt;=18.01,T$7&lt;36),1,AND(T$7&gt;=36.01,T$7&lt;60),1,AND(T$7&gt;=60.01,T$7&lt;100),1,(T$7&gt;100.01),1)</f>
        <v>1</v>
      </c>
      <c r="U161" s="1411" cm="1">
        <f t="array" ref="U161">_xlfn.IFS((U$7&lt;6),1,AND(U$7&gt;=6.01,U$7&lt;18),1,AND(U$7&gt;=18.01,U$7&lt;36),1,AND(U$7&gt;=36.01,U$7&lt;60),1,AND(U$7&gt;=60.01,U$7&lt;100),1,(U$7&gt;100.01),1)</f>
        <v>1</v>
      </c>
      <c r="V161" s="1411" cm="1">
        <f t="array" ref="V161">_xlfn.IFS((V$7&lt;6),1,AND(V$7&gt;=6.01,V$7&lt;18),1,AND(V$7&gt;=18.01,V$7&lt;36),1,AND(V$7&gt;=36.01,V$7&lt;60),1,AND(V$7&gt;=60.01,V$7&lt;100),1,(V$7&gt;100.01),1)</f>
        <v>1</v>
      </c>
      <c r="W161" s="1411" cm="1">
        <f t="array" ref="W161">_xlfn.IFS((W$7&lt;6),1,AND(W$7&gt;=6.01,W$7&lt;18),1,AND(W$7&gt;=18.01,W$7&lt;36),1,AND(W$7&gt;=36.01,W$7&lt;60),1,AND(W$7&gt;=60.01,W$7&lt;100),1,(W$7&gt;100.01),1)</f>
        <v>1</v>
      </c>
      <c r="X161" s="1411" cm="1">
        <f t="array" ref="X161">_xlfn.IFS((X$7&lt;6),1,AND(X$7&gt;=6.01,X$7&lt;18),1,AND(X$7&gt;=18.01,X$7&lt;36),1,AND(X$7&gt;=36.01,X$7&lt;60),1,AND(X$7&gt;=60.01,X$7&lt;100),1,(X$7&gt;100.01),1)</f>
        <v>1</v>
      </c>
      <c r="Y161" s="1411" cm="1">
        <f t="array" ref="Y161">_xlfn.IFS((Y$7&lt;6),1,AND(Y$7&gt;=6.01,Y$7&lt;18),1,AND(Y$7&gt;=18.01,Y$7&lt;36),1,AND(Y$7&gt;=36.01,Y$7&lt;60),1,AND(Y$7&gt;=60.01,Y$7&lt;100),1,(Y$7&gt;100.01),1)</f>
        <v>1</v>
      </c>
      <c r="Z161" s="1411" cm="1">
        <f t="array" ref="Z161">_xlfn.IFS((Z$7&lt;6),1,AND(Z$7&gt;=6.01,Z$7&lt;18),1,AND(Z$7&gt;=18.01,Z$7&lt;36),1,AND(Z$7&gt;=36.01,Z$7&lt;60),1,AND(Z$7&gt;=60.01,Z$7&lt;100),1,(Z$7&gt;100.01),1)</f>
        <v>1</v>
      </c>
      <c r="AA161" s="1411" cm="1">
        <f t="array" ref="AA161">_xlfn.IFS((AA$7&lt;6),1,AND(AA$7&gt;=6.01,AA$7&lt;18),1,AND(AA$7&gt;=18.01,AA$7&lt;36),1,AND(AA$7&gt;=36.01,AA$7&lt;60),1,AND(AA$7&gt;=60.01,AA$7&lt;100),1,(AA$7&gt;100.01),1)</f>
        <v>1</v>
      </c>
      <c r="AB161" s="1411" cm="1">
        <f t="array" ref="AB161">_xlfn.IFS((AB$7&lt;6),1,AND(AB$7&gt;=6.01,AB$7&lt;18),1,AND(AB$7&gt;=18.01,AB$7&lt;36),1,AND(AB$7&gt;=36.01,AB$7&lt;60),1,AND(AB$7&gt;=60.01,AB$7&lt;100),1,(AB$7&gt;100.01),1)</f>
        <v>1</v>
      </c>
      <c r="AC161" s="1411" cm="1">
        <f t="array" ref="AC161">_xlfn.IFS((AC$7&lt;6),1,AND(AC$7&gt;=6.01,AC$7&lt;18),1,AND(AC$7&gt;=18.01,AC$7&lt;36),1,AND(AC$7&gt;=36.01,AC$7&lt;60),1,AND(AC$7&gt;=60.01,AC$7&lt;100),1,(AC$7&gt;100.01),1)</f>
        <v>1</v>
      </c>
      <c r="AD161" s="1411" cm="1">
        <f t="array" ref="AD161">_xlfn.IFS((AD$7&lt;6),1,AND(AD$7&gt;=6.01,AD$7&lt;18),1,AND(AD$7&gt;=18.01,AD$7&lt;36),1,AND(AD$7&gt;=36.01,AD$7&lt;60),1,AND(AD$7&gt;=60.01,AD$7&lt;100),1,(AD$7&gt;100.01),1)</f>
        <v>1</v>
      </c>
      <c r="AE161" s="1411" cm="1">
        <f t="array" ref="AE161">_xlfn.IFS((AE$7&lt;6),1,AND(AE$7&gt;=6.01,AE$7&lt;18),1,AND(AE$7&gt;=18.01,AE$7&lt;36),1,AND(AE$7&gt;=36.01,AE$7&lt;60),1,AND(AE$7&gt;=60.01,AE$7&lt;100),1,(AE$7&gt;100.01),1)</f>
        <v>1</v>
      </c>
      <c r="AF161" s="1411" cm="1">
        <f t="array" ref="AF161">_xlfn.IFS((AF$7&lt;6),1,AND(AF$7&gt;=6.01,AF$7&lt;18),1,AND(AF$7&gt;=18.01,AF$7&lt;36),1,AND(AF$7&gt;=36.01,AF$7&lt;60),1,AND(AF$7&gt;=60.01,AF$7&lt;100),1,(AF$7&gt;100.01),1)</f>
        <v>1</v>
      </c>
    </row>
    <row r="162" spans="2:32">
      <c r="B162" s="117"/>
      <c r="C162" s="660" t="s">
        <v>1461</v>
      </c>
      <c r="D162" s="257" t="s">
        <v>1336</v>
      </c>
      <c r="E162" s="121" t="s">
        <v>740</v>
      </c>
      <c r="F162" s="205" t="s">
        <v>192</v>
      </c>
      <c r="H162" s="366">
        <f>IFERROR(VLOOKUP(F162,Assumptions_Dashboard!$C$38:$D$72,2,FALSE),0)</f>
        <v>1235000</v>
      </c>
      <c r="J162" s="179"/>
      <c r="K162" s="179"/>
      <c r="L162" s="179"/>
      <c r="M162" s="179"/>
      <c r="N162" s="369" cm="1">
        <f t="array" ref="N162">_xlfn.IFS((N$7&lt;6),1,AND(N$7&gt;=6.01,N$7&lt;18),1,AND(N$7&gt;=18.01,N$7&lt;36),1,AND(N$7&gt;=36.01,N$7&lt;60),1,AND(N$7&gt;=60.01,N$7&lt;100),1,(N$7&gt;100.01),1)</f>
        <v>1</v>
      </c>
      <c r="O162" s="1411" cm="1">
        <f t="array" ref="O162">_xlfn.IFS((O$7&lt;6),1,AND(O$7&gt;=6.01,O$7&lt;18),1,AND(O$7&gt;=18.01,O$7&lt;36),1,AND(O$7&gt;=36.01,O$7&lt;60),1,AND(O$7&gt;=60.01,O$7&lt;100),1,(O$7&gt;100.01),1)</f>
        <v>1</v>
      </c>
      <c r="P162" s="1411" cm="1">
        <f t="array" ref="P162">_xlfn.IFS((P$7&lt;6),1,AND(P$7&gt;=6.01,P$7&lt;18),1,AND(P$7&gt;=18.01,P$7&lt;36),1,AND(P$7&gt;=36.01,P$7&lt;60),1,AND(P$7&gt;=60.01,P$7&lt;100),1,(P$7&gt;100.01),1)</f>
        <v>1</v>
      </c>
      <c r="Q162" s="1411" cm="1">
        <f t="array" ref="Q162">_xlfn.IFS((Q$7&lt;6),1,AND(Q$7&gt;=6.01,Q$7&lt;18),1,AND(Q$7&gt;=18.01,Q$7&lt;36),1,AND(Q$7&gt;=36.01,Q$7&lt;60),1,AND(Q$7&gt;=60.01,Q$7&lt;100),1,(Q$7&gt;100.01),1)</f>
        <v>1</v>
      </c>
      <c r="R162" s="1411" cm="1">
        <f t="array" ref="R162">_xlfn.IFS((R$7&lt;6),1,AND(R$7&gt;=6.01,R$7&lt;18),1,AND(R$7&gt;=18.01,R$7&lt;36),1,AND(R$7&gt;=36.01,R$7&lt;60),1,AND(R$7&gt;=60.01,R$7&lt;100),1,(R$7&gt;100.01),1)</f>
        <v>1</v>
      </c>
      <c r="S162" s="1411" cm="1">
        <f t="array" ref="S162">_xlfn.IFS((S$7&lt;6),1,AND(S$7&gt;=6.01,S$7&lt;18),1,AND(S$7&gt;=18.01,S$7&lt;36),1,AND(S$7&gt;=36.01,S$7&lt;60),1,AND(S$7&gt;=60.01,S$7&lt;100),1,(S$7&gt;100.01),1)</f>
        <v>1</v>
      </c>
      <c r="T162" s="1411" cm="1">
        <f t="array" ref="T162">_xlfn.IFS((T$7&lt;6),1,AND(T$7&gt;=6.01,T$7&lt;18),1,AND(T$7&gt;=18.01,T$7&lt;36),1,AND(T$7&gt;=36.01,T$7&lt;60),1,AND(T$7&gt;=60.01,T$7&lt;100),1,(T$7&gt;100.01),1)</f>
        <v>1</v>
      </c>
      <c r="U162" s="1411" cm="1">
        <f t="array" ref="U162">_xlfn.IFS((U$7&lt;6),1,AND(U$7&gt;=6.01,U$7&lt;18),1,AND(U$7&gt;=18.01,U$7&lt;36),1,AND(U$7&gt;=36.01,U$7&lt;60),1,AND(U$7&gt;=60.01,U$7&lt;100),1,(U$7&gt;100.01),1)</f>
        <v>1</v>
      </c>
      <c r="V162" s="1411" cm="1">
        <f t="array" ref="V162">_xlfn.IFS((V$7&lt;6),1,AND(V$7&gt;=6.01,V$7&lt;18),1,AND(V$7&gt;=18.01,V$7&lt;36),1,AND(V$7&gt;=36.01,V$7&lt;60),1,AND(V$7&gt;=60.01,V$7&lt;100),1,(V$7&gt;100.01),1)</f>
        <v>1</v>
      </c>
      <c r="W162" s="1411" cm="1">
        <f t="array" ref="W162">_xlfn.IFS((W$7&lt;6),1,AND(W$7&gt;=6.01,W$7&lt;18),1,AND(W$7&gt;=18.01,W$7&lt;36),1,AND(W$7&gt;=36.01,W$7&lt;60),1,AND(W$7&gt;=60.01,W$7&lt;100),1,(W$7&gt;100.01),1)</f>
        <v>1</v>
      </c>
      <c r="X162" s="1411" cm="1">
        <f t="array" ref="X162">_xlfn.IFS((X$7&lt;6),1,AND(X$7&gt;=6.01,X$7&lt;18),1,AND(X$7&gt;=18.01,X$7&lt;36),1,AND(X$7&gt;=36.01,X$7&lt;60),1,AND(X$7&gt;=60.01,X$7&lt;100),1,(X$7&gt;100.01),1)</f>
        <v>1</v>
      </c>
      <c r="Y162" s="1411" cm="1">
        <f t="array" ref="Y162">_xlfn.IFS((Y$7&lt;6),1,AND(Y$7&gt;=6.01,Y$7&lt;18),1,AND(Y$7&gt;=18.01,Y$7&lt;36),1,AND(Y$7&gt;=36.01,Y$7&lt;60),1,AND(Y$7&gt;=60.01,Y$7&lt;100),1,(Y$7&gt;100.01),1)</f>
        <v>1</v>
      </c>
      <c r="Z162" s="1411" cm="1">
        <f t="array" ref="Z162">_xlfn.IFS((Z$7&lt;6),1,AND(Z$7&gt;=6.01,Z$7&lt;18),1,AND(Z$7&gt;=18.01,Z$7&lt;36),1,AND(Z$7&gt;=36.01,Z$7&lt;60),1,AND(Z$7&gt;=60.01,Z$7&lt;100),1,(Z$7&gt;100.01),1)</f>
        <v>1</v>
      </c>
      <c r="AA162" s="1411" cm="1">
        <f t="array" ref="AA162">_xlfn.IFS((AA$7&lt;6),1,AND(AA$7&gt;=6.01,AA$7&lt;18),1,AND(AA$7&gt;=18.01,AA$7&lt;36),1,AND(AA$7&gt;=36.01,AA$7&lt;60),1,AND(AA$7&gt;=60.01,AA$7&lt;100),1,(AA$7&gt;100.01),1)</f>
        <v>1</v>
      </c>
      <c r="AB162" s="1411" cm="1">
        <f t="array" ref="AB162">_xlfn.IFS((AB$7&lt;6),1,AND(AB$7&gt;=6.01,AB$7&lt;18),1,AND(AB$7&gt;=18.01,AB$7&lt;36),1,AND(AB$7&gt;=36.01,AB$7&lt;60),1,AND(AB$7&gt;=60.01,AB$7&lt;100),1,(AB$7&gt;100.01),1)</f>
        <v>1</v>
      </c>
      <c r="AC162" s="1411" cm="1">
        <f t="array" ref="AC162">_xlfn.IFS((AC$7&lt;6),1,AND(AC$7&gt;=6.01,AC$7&lt;18),1,AND(AC$7&gt;=18.01,AC$7&lt;36),1,AND(AC$7&gt;=36.01,AC$7&lt;60),1,AND(AC$7&gt;=60.01,AC$7&lt;100),1,(AC$7&gt;100.01),1)</f>
        <v>1</v>
      </c>
      <c r="AD162" s="1411" cm="1">
        <f t="array" ref="AD162">_xlfn.IFS((AD$7&lt;6),1,AND(AD$7&gt;=6.01,AD$7&lt;18),1,AND(AD$7&gt;=18.01,AD$7&lt;36),1,AND(AD$7&gt;=36.01,AD$7&lt;60),1,AND(AD$7&gt;=60.01,AD$7&lt;100),1,(AD$7&gt;100.01),1)</f>
        <v>1</v>
      </c>
      <c r="AE162" s="1411" cm="1">
        <f t="array" ref="AE162">_xlfn.IFS((AE$7&lt;6),1,AND(AE$7&gt;=6.01,AE$7&lt;18),1,AND(AE$7&gt;=18.01,AE$7&lt;36),1,AND(AE$7&gt;=36.01,AE$7&lt;60),1,AND(AE$7&gt;=60.01,AE$7&lt;100),1,(AE$7&gt;100.01),1)</f>
        <v>1</v>
      </c>
      <c r="AF162" s="1411" cm="1">
        <f t="array" ref="AF162">_xlfn.IFS((AF$7&lt;6),1,AND(AF$7&gt;=6.01,AF$7&lt;18),1,AND(AF$7&gt;=18.01,AF$7&lt;36),1,AND(AF$7&gt;=36.01,AF$7&lt;60),1,AND(AF$7&gt;=60.01,AF$7&lt;100),1,(AF$7&gt;100.01),1)</f>
        <v>1</v>
      </c>
    </row>
    <row r="163" spans="2:32">
      <c r="B163" s="117"/>
      <c r="C163" s="660" t="s">
        <v>1462</v>
      </c>
      <c r="D163" s="257" t="s">
        <v>1336</v>
      </c>
      <c r="E163" s="121" t="s">
        <v>740</v>
      </c>
      <c r="F163" s="205" t="s">
        <v>192</v>
      </c>
      <c r="H163" s="366">
        <f>IFERROR(VLOOKUP(F163,Assumptions_Dashboard!$C$38:$D$72,2,FALSE),0)</f>
        <v>1235000</v>
      </c>
      <c r="J163" s="179"/>
      <c r="K163" s="179"/>
      <c r="L163" s="179"/>
      <c r="M163" s="179"/>
      <c r="N163" s="369" cm="1">
        <f t="array" ref="N163">_xlfn.IFS((N$7&lt;6),0,AND(N$7&gt;=6.01,N$7&lt;18),0,AND(N$7&gt;=18.01,N$7&lt;36),0,AND(N$7&gt;=36.01,N$7&lt;60),0,AND(N$7&gt;=60.01,N$7&lt;100),1,(N$7&gt;100.01),1)</f>
        <v>0</v>
      </c>
      <c r="O163" s="1411" cm="1">
        <f t="array" ref="O163">_xlfn.IFS((O$7&lt;6),0,AND(O$7&gt;=6.01,O$7&lt;18),0,AND(O$7&gt;=18.01,O$7&lt;36),0,AND(O$7&gt;=36.01,O$7&lt;60),0,AND(O$7&gt;=60.01,O$7&lt;100),1,(O$7&gt;100.01),1)</f>
        <v>0</v>
      </c>
      <c r="P163" s="1411" cm="1">
        <f t="array" ref="P163">_xlfn.IFS((P$7&lt;6),0,AND(P$7&gt;=6.01,P$7&lt;18),0,AND(P$7&gt;=18.01,P$7&lt;36),0,AND(P$7&gt;=36.01,P$7&lt;60),0,AND(P$7&gt;=60.01,P$7&lt;100),1,(P$7&gt;100.01),1)</f>
        <v>0</v>
      </c>
      <c r="Q163" s="1411" cm="1">
        <f t="array" ref="Q163">_xlfn.IFS((Q$7&lt;6),0,AND(Q$7&gt;=6.01,Q$7&lt;18),0,AND(Q$7&gt;=18.01,Q$7&lt;36),0,AND(Q$7&gt;=36.01,Q$7&lt;60),0,AND(Q$7&gt;=60.01,Q$7&lt;100),1,(Q$7&gt;100.01),1)</f>
        <v>0</v>
      </c>
      <c r="R163" s="1411" cm="1">
        <f t="array" ref="R163">_xlfn.IFS((R$7&lt;6),0,AND(R$7&gt;=6.01,R$7&lt;18),0,AND(R$7&gt;=18.01,R$7&lt;36),0,AND(R$7&gt;=36.01,R$7&lt;60),0,AND(R$7&gt;=60.01,R$7&lt;100),1,(R$7&gt;100.01),1)</f>
        <v>0</v>
      </c>
      <c r="S163" s="1411" cm="1">
        <f t="array" ref="S163">_xlfn.IFS((S$7&lt;6),0,AND(S$7&gt;=6.01,S$7&lt;18),0,AND(S$7&gt;=18.01,S$7&lt;36),0,AND(S$7&gt;=36.01,S$7&lt;60),0,AND(S$7&gt;=60.01,S$7&lt;100),1,(S$7&gt;100.01),1)</f>
        <v>0</v>
      </c>
      <c r="T163" s="1411" cm="1">
        <f t="array" ref="T163">_xlfn.IFS((T$7&lt;6),0,AND(T$7&gt;=6.01,T$7&lt;18),0,AND(T$7&gt;=18.01,T$7&lt;36),0,AND(T$7&gt;=36.01,T$7&lt;60),0,AND(T$7&gt;=60.01,T$7&lt;100),1,(T$7&gt;100.01),1)</f>
        <v>1</v>
      </c>
      <c r="U163" s="1411" cm="1">
        <f t="array" ref="U163">_xlfn.IFS((U$7&lt;6),0,AND(U$7&gt;=6.01,U$7&lt;18),0,AND(U$7&gt;=18.01,U$7&lt;36),0,AND(U$7&gt;=36.01,U$7&lt;60),0,AND(U$7&gt;=60.01,U$7&lt;100),1,(U$7&gt;100.01),1)</f>
        <v>0</v>
      </c>
      <c r="V163" s="1411" cm="1">
        <f t="array" ref="V163">_xlfn.IFS((V$7&lt;6),0,AND(V$7&gt;=6.01,V$7&lt;18),0,AND(V$7&gt;=18.01,V$7&lt;36),0,AND(V$7&gt;=36.01,V$7&lt;60),0,AND(V$7&gt;=60.01,V$7&lt;100),1,(V$7&gt;100.01),1)</f>
        <v>0</v>
      </c>
      <c r="W163" s="1411" cm="1">
        <f t="array" ref="W163">_xlfn.IFS((W$7&lt;6),0,AND(W$7&gt;=6.01,W$7&lt;18),0,AND(W$7&gt;=18.01,W$7&lt;36),0,AND(W$7&gt;=36.01,W$7&lt;60),0,AND(W$7&gt;=60.01,W$7&lt;100),1,(W$7&gt;100.01),1)</f>
        <v>0</v>
      </c>
      <c r="X163" s="1411" cm="1">
        <f t="array" ref="X163">_xlfn.IFS((X$7&lt;6),0,AND(X$7&gt;=6.01,X$7&lt;18),0,AND(X$7&gt;=18.01,X$7&lt;36),0,AND(X$7&gt;=36.01,X$7&lt;60),0,AND(X$7&gt;=60.01,X$7&lt;100),1,(X$7&gt;100.01),1)</f>
        <v>0</v>
      </c>
      <c r="Y163" s="1411" cm="1">
        <f t="array" ref="Y163">_xlfn.IFS((Y$7&lt;6),0,AND(Y$7&gt;=6.01,Y$7&lt;18),0,AND(Y$7&gt;=18.01,Y$7&lt;36),0,AND(Y$7&gt;=36.01,Y$7&lt;60),0,AND(Y$7&gt;=60.01,Y$7&lt;100),1,(Y$7&gt;100.01),1)</f>
        <v>0</v>
      </c>
      <c r="Z163" s="1411" cm="1">
        <f t="array" ref="Z163">_xlfn.IFS((Z$7&lt;6),0,AND(Z$7&gt;=6.01,Z$7&lt;18),0,AND(Z$7&gt;=18.01,Z$7&lt;36),0,AND(Z$7&gt;=36.01,Z$7&lt;60),0,AND(Z$7&gt;=60.01,Z$7&lt;100),1,(Z$7&gt;100.01),1)</f>
        <v>0</v>
      </c>
      <c r="AA163" s="1411" cm="1">
        <f t="array" ref="AA163">_xlfn.IFS((AA$7&lt;6),0,AND(AA$7&gt;=6.01,AA$7&lt;18),0,AND(AA$7&gt;=18.01,AA$7&lt;36),0,AND(AA$7&gt;=36.01,AA$7&lt;60),0,AND(AA$7&gt;=60.01,AA$7&lt;100),1,(AA$7&gt;100.01),1)</f>
        <v>0</v>
      </c>
      <c r="AB163" s="1411" cm="1">
        <f t="array" ref="AB163">_xlfn.IFS((AB$7&lt;6),0,AND(AB$7&gt;=6.01,AB$7&lt;18),0,AND(AB$7&gt;=18.01,AB$7&lt;36),0,AND(AB$7&gt;=36.01,AB$7&lt;60),0,AND(AB$7&gt;=60.01,AB$7&lt;100),1,(AB$7&gt;100.01),1)</f>
        <v>0</v>
      </c>
      <c r="AC163" s="1411" cm="1">
        <f t="array" ref="AC163">_xlfn.IFS((AC$7&lt;6),0,AND(AC$7&gt;=6.01,AC$7&lt;18),0,AND(AC$7&gt;=18.01,AC$7&lt;36),0,AND(AC$7&gt;=36.01,AC$7&lt;60),0,AND(AC$7&gt;=60.01,AC$7&lt;100),1,(AC$7&gt;100.01),1)</f>
        <v>0</v>
      </c>
      <c r="AD163" s="1411" cm="1">
        <f t="array" ref="AD163">_xlfn.IFS((AD$7&lt;6),0,AND(AD$7&gt;=6.01,AD$7&lt;18),0,AND(AD$7&gt;=18.01,AD$7&lt;36),0,AND(AD$7&gt;=36.01,AD$7&lt;60),0,AND(AD$7&gt;=60.01,AD$7&lt;100),1,(AD$7&gt;100.01),1)</f>
        <v>0</v>
      </c>
      <c r="AE163" s="1411" cm="1">
        <f t="array" ref="AE163">_xlfn.IFS((AE$7&lt;6),0,AND(AE$7&gt;=6.01,AE$7&lt;18),0,AND(AE$7&gt;=18.01,AE$7&lt;36),0,AND(AE$7&gt;=36.01,AE$7&lt;60),0,AND(AE$7&gt;=60.01,AE$7&lt;100),1,(AE$7&gt;100.01),1)</f>
        <v>0</v>
      </c>
      <c r="AF163" s="1411" cm="1">
        <f t="array" ref="AF163">_xlfn.IFS((AF$7&lt;6),0,AND(AF$7&gt;=6.01,AF$7&lt;18),0,AND(AF$7&gt;=18.01,AF$7&lt;36),0,AND(AF$7&gt;=36.01,AF$7&lt;60),0,AND(AF$7&gt;=60.01,AF$7&lt;100),1,(AF$7&gt;100.01),1)</f>
        <v>0</v>
      </c>
    </row>
    <row r="164" spans="2:32">
      <c r="B164" s="255" t="s">
        <v>1463</v>
      </c>
      <c r="C164" s="660" t="s">
        <v>1453</v>
      </c>
      <c r="D164" s="257" t="s">
        <v>1336</v>
      </c>
      <c r="E164" s="121" t="s">
        <v>740</v>
      </c>
      <c r="F164" s="205" t="s">
        <v>192</v>
      </c>
      <c r="G164" s="121">
        <f>IF(Assumptions_Dashboard!$L$4="MDO",0,2*2)</f>
        <v>4</v>
      </c>
      <c r="H164" s="366">
        <f>IFERROR(VLOOKUP(F164,Assumptions_Dashboard!$C$38:$D$72,2,FALSE),0)</f>
        <v>1235000</v>
      </c>
      <c r="J164" s="179"/>
      <c r="K164" s="179"/>
      <c r="L164" s="179"/>
      <c r="M164" s="179"/>
      <c r="N164" s="179">
        <f>G164</f>
        <v>4</v>
      </c>
      <c r="O164" s="179">
        <f>N164</f>
        <v>4</v>
      </c>
      <c r="P164" s="179">
        <f t="shared" ref="P164:AF164" si="102">O164</f>
        <v>4</v>
      </c>
      <c r="Q164" s="179">
        <f t="shared" si="102"/>
        <v>4</v>
      </c>
      <c r="R164" s="179">
        <f t="shared" si="102"/>
        <v>4</v>
      </c>
      <c r="S164" s="179">
        <f t="shared" si="102"/>
        <v>4</v>
      </c>
      <c r="T164" s="179">
        <f t="shared" si="102"/>
        <v>4</v>
      </c>
      <c r="U164" s="179">
        <f t="shared" si="102"/>
        <v>4</v>
      </c>
      <c r="V164" s="179">
        <f t="shared" si="102"/>
        <v>4</v>
      </c>
      <c r="W164" s="179">
        <f t="shared" si="102"/>
        <v>4</v>
      </c>
      <c r="X164" s="179">
        <f t="shared" si="102"/>
        <v>4</v>
      </c>
      <c r="Y164" s="179">
        <f t="shared" si="102"/>
        <v>4</v>
      </c>
      <c r="Z164" s="179">
        <f t="shared" si="102"/>
        <v>4</v>
      </c>
      <c r="AA164" s="179">
        <f t="shared" si="102"/>
        <v>4</v>
      </c>
      <c r="AB164" s="179">
        <f t="shared" si="102"/>
        <v>4</v>
      </c>
      <c r="AC164" s="179">
        <f t="shared" si="102"/>
        <v>4</v>
      </c>
      <c r="AD164" s="179">
        <f t="shared" si="102"/>
        <v>4</v>
      </c>
      <c r="AE164" s="179">
        <f t="shared" si="102"/>
        <v>4</v>
      </c>
      <c r="AF164" s="179">
        <f t="shared" si="102"/>
        <v>4</v>
      </c>
    </row>
    <row r="165" spans="2:32">
      <c r="B165" s="117"/>
      <c r="C165" s="660" t="s">
        <v>1454</v>
      </c>
      <c r="D165" s="257" t="s">
        <v>1336</v>
      </c>
      <c r="E165" s="121" t="s">
        <v>740</v>
      </c>
      <c r="F165" s="205" t="s">
        <v>192</v>
      </c>
      <c r="G165" s="121">
        <f>IF(Assumptions_Dashboard!$L$4="MDO",0,2*2)</f>
        <v>4</v>
      </c>
      <c r="H165" s="366">
        <f>IFERROR(VLOOKUP(F165,Assumptions_Dashboard!$C$38:$D$72,2,FALSE),0)</f>
        <v>1235000</v>
      </c>
      <c r="J165" s="179"/>
      <c r="K165" s="179"/>
      <c r="L165" s="179"/>
      <c r="M165" s="179"/>
      <c r="N165" s="179">
        <f>G165</f>
        <v>4</v>
      </c>
      <c r="O165" s="179">
        <f>N165</f>
        <v>4</v>
      </c>
      <c r="P165" s="179">
        <f t="shared" ref="P165:AF174" si="103">O165</f>
        <v>4</v>
      </c>
      <c r="Q165" s="179">
        <f t="shared" si="103"/>
        <v>4</v>
      </c>
      <c r="R165" s="179">
        <f t="shared" si="103"/>
        <v>4</v>
      </c>
      <c r="S165" s="179">
        <f t="shared" si="103"/>
        <v>4</v>
      </c>
      <c r="T165" s="179">
        <f t="shared" si="103"/>
        <v>4</v>
      </c>
      <c r="U165" s="179">
        <f t="shared" si="103"/>
        <v>4</v>
      </c>
      <c r="V165" s="179">
        <f t="shared" si="103"/>
        <v>4</v>
      </c>
      <c r="W165" s="179">
        <f t="shared" si="103"/>
        <v>4</v>
      </c>
      <c r="X165" s="179">
        <f t="shared" si="103"/>
        <v>4</v>
      </c>
      <c r="Y165" s="179">
        <f t="shared" si="103"/>
        <v>4</v>
      </c>
      <c r="Z165" s="179">
        <f t="shared" si="103"/>
        <v>4</v>
      </c>
      <c r="AA165" s="179">
        <f t="shared" si="103"/>
        <v>4</v>
      </c>
      <c r="AB165" s="179">
        <f t="shared" si="103"/>
        <v>4</v>
      </c>
      <c r="AC165" s="179">
        <f t="shared" si="103"/>
        <v>4</v>
      </c>
      <c r="AD165" s="179">
        <f t="shared" si="103"/>
        <v>4</v>
      </c>
      <c r="AE165" s="179">
        <f t="shared" si="103"/>
        <v>4</v>
      </c>
      <c r="AF165" s="179">
        <f t="shared" si="103"/>
        <v>4</v>
      </c>
    </row>
    <row r="166" spans="2:32">
      <c r="B166" s="117"/>
      <c r="C166" s="660" t="s">
        <v>1455</v>
      </c>
      <c r="D166" s="257" t="s">
        <v>1336</v>
      </c>
      <c r="E166" s="121" t="s">
        <v>740</v>
      </c>
      <c r="F166" s="205" t="s">
        <v>192</v>
      </c>
      <c r="G166" s="121">
        <f>IF(Assumptions_Dashboard!$L$4="MDO",0,2*2)</f>
        <v>4</v>
      </c>
      <c r="H166" s="366">
        <f>IFERROR(VLOOKUP(F166,Assumptions_Dashboard!$C$38:$D$72,2,FALSE),0)</f>
        <v>1235000</v>
      </c>
      <c r="J166" s="179"/>
      <c r="K166" s="179"/>
      <c r="L166" s="179"/>
      <c r="M166" s="179"/>
      <c r="N166" s="179">
        <f>G166</f>
        <v>4</v>
      </c>
      <c r="O166" s="179">
        <f t="shared" ref="O166:AD182" si="104">N166</f>
        <v>4</v>
      </c>
      <c r="P166" s="179">
        <f t="shared" si="104"/>
        <v>4</v>
      </c>
      <c r="Q166" s="179">
        <f t="shared" si="104"/>
        <v>4</v>
      </c>
      <c r="R166" s="179">
        <f t="shared" si="104"/>
        <v>4</v>
      </c>
      <c r="S166" s="179">
        <f t="shared" si="104"/>
        <v>4</v>
      </c>
      <c r="T166" s="179">
        <f t="shared" si="104"/>
        <v>4</v>
      </c>
      <c r="U166" s="179">
        <f t="shared" si="104"/>
        <v>4</v>
      </c>
      <c r="V166" s="179">
        <f t="shared" si="104"/>
        <v>4</v>
      </c>
      <c r="W166" s="179">
        <f t="shared" si="104"/>
        <v>4</v>
      </c>
      <c r="X166" s="179">
        <f t="shared" si="104"/>
        <v>4</v>
      </c>
      <c r="Y166" s="179">
        <f t="shared" si="104"/>
        <v>4</v>
      </c>
      <c r="Z166" s="179">
        <f t="shared" si="104"/>
        <v>4</v>
      </c>
      <c r="AA166" s="179">
        <f t="shared" si="104"/>
        <v>4</v>
      </c>
      <c r="AB166" s="179">
        <f t="shared" si="104"/>
        <v>4</v>
      </c>
      <c r="AC166" s="179">
        <f t="shared" si="104"/>
        <v>4</v>
      </c>
      <c r="AD166" s="179">
        <f t="shared" si="104"/>
        <v>4</v>
      </c>
      <c r="AE166" s="179">
        <f t="shared" si="103"/>
        <v>4</v>
      </c>
      <c r="AF166" s="179">
        <f t="shared" si="103"/>
        <v>4</v>
      </c>
    </row>
    <row r="167" spans="2:32">
      <c r="B167" s="117"/>
      <c r="C167" s="660" t="s">
        <v>1458</v>
      </c>
      <c r="D167" s="257" t="s">
        <v>1336</v>
      </c>
      <c r="E167" s="121" t="s">
        <v>740</v>
      </c>
      <c r="F167" s="205" t="s">
        <v>192</v>
      </c>
      <c r="G167" s="121">
        <f>IF(Assumptions_Dashboard!$L$4="MDO",0,1*2)</f>
        <v>2</v>
      </c>
      <c r="H167" s="366">
        <f>IFERROR(VLOOKUP(F167,Assumptions_Dashboard!$C$38:$D$72,2,FALSE),0)</f>
        <v>1235000</v>
      </c>
      <c r="J167" s="179"/>
      <c r="K167" s="179"/>
      <c r="L167" s="179"/>
      <c r="M167" s="179"/>
      <c r="N167" s="179">
        <f>G167</f>
        <v>2</v>
      </c>
      <c r="O167" s="179">
        <f t="shared" si="104"/>
        <v>2</v>
      </c>
      <c r="P167" s="179">
        <f t="shared" si="103"/>
        <v>2</v>
      </c>
      <c r="Q167" s="179">
        <f t="shared" si="103"/>
        <v>2</v>
      </c>
      <c r="R167" s="179">
        <f t="shared" si="103"/>
        <v>2</v>
      </c>
      <c r="S167" s="179">
        <f t="shared" si="103"/>
        <v>2</v>
      </c>
      <c r="T167" s="179">
        <f t="shared" si="103"/>
        <v>2</v>
      </c>
      <c r="U167" s="179">
        <f t="shared" si="103"/>
        <v>2</v>
      </c>
      <c r="V167" s="179">
        <f t="shared" si="103"/>
        <v>2</v>
      </c>
      <c r="W167" s="179">
        <f t="shared" si="103"/>
        <v>2</v>
      </c>
      <c r="X167" s="179">
        <f t="shared" si="103"/>
        <v>2</v>
      </c>
      <c r="Y167" s="179">
        <f t="shared" si="103"/>
        <v>2</v>
      </c>
      <c r="Z167" s="179">
        <f t="shared" si="103"/>
        <v>2</v>
      </c>
      <c r="AA167" s="179">
        <f t="shared" si="103"/>
        <v>2</v>
      </c>
      <c r="AB167" s="179">
        <f t="shared" si="103"/>
        <v>2</v>
      </c>
      <c r="AC167" s="179">
        <f t="shared" si="103"/>
        <v>2</v>
      </c>
      <c r="AD167" s="179">
        <f t="shared" si="103"/>
        <v>2</v>
      </c>
      <c r="AE167" s="179">
        <f t="shared" si="103"/>
        <v>2</v>
      </c>
      <c r="AF167" s="179">
        <f t="shared" si="103"/>
        <v>2</v>
      </c>
    </row>
    <row r="168" spans="2:32">
      <c r="B168" s="117"/>
      <c r="C168" s="660" t="s">
        <v>1459</v>
      </c>
      <c r="D168" s="257" t="s">
        <v>1336</v>
      </c>
      <c r="E168" s="121" t="s">
        <v>740</v>
      </c>
      <c r="F168" s="205" t="s">
        <v>194</v>
      </c>
      <c r="G168" s="121">
        <f>IF(Assumptions_Dashboard!$L$4="MDO",0,1*2)</f>
        <v>2</v>
      </c>
      <c r="H168" s="366">
        <f>IFERROR(VLOOKUP(F168,Assumptions_Dashboard!$C$38:$D$72,2,FALSE),0)</f>
        <v>960000</v>
      </c>
      <c r="J168" s="179"/>
      <c r="K168" s="179"/>
      <c r="L168" s="179"/>
      <c r="M168" s="179"/>
      <c r="N168" s="179">
        <f>G168</f>
        <v>2</v>
      </c>
      <c r="O168" s="179">
        <f t="shared" si="104"/>
        <v>2</v>
      </c>
      <c r="P168" s="179">
        <f t="shared" si="103"/>
        <v>2</v>
      </c>
      <c r="Q168" s="179">
        <f t="shared" si="103"/>
        <v>2</v>
      </c>
      <c r="R168" s="179">
        <f t="shared" si="103"/>
        <v>2</v>
      </c>
      <c r="S168" s="179">
        <f t="shared" si="103"/>
        <v>2</v>
      </c>
      <c r="T168" s="179">
        <f t="shared" si="103"/>
        <v>2</v>
      </c>
      <c r="U168" s="179">
        <f t="shared" si="103"/>
        <v>2</v>
      </c>
      <c r="V168" s="179">
        <f t="shared" si="103"/>
        <v>2</v>
      </c>
      <c r="W168" s="179">
        <f t="shared" si="103"/>
        <v>2</v>
      </c>
      <c r="X168" s="179">
        <f t="shared" si="103"/>
        <v>2</v>
      </c>
      <c r="Y168" s="179">
        <f t="shared" si="103"/>
        <v>2</v>
      </c>
      <c r="Z168" s="179">
        <f t="shared" si="103"/>
        <v>2</v>
      </c>
      <c r="AA168" s="179">
        <f t="shared" si="103"/>
        <v>2</v>
      </c>
      <c r="AB168" s="179">
        <f t="shared" si="103"/>
        <v>2</v>
      </c>
      <c r="AC168" s="179">
        <f t="shared" si="103"/>
        <v>2</v>
      </c>
      <c r="AD168" s="179">
        <f t="shared" si="103"/>
        <v>2</v>
      </c>
      <c r="AE168" s="179">
        <f t="shared" si="103"/>
        <v>2</v>
      </c>
      <c r="AF168" s="179">
        <f t="shared" si="103"/>
        <v>2</v>
      </c>
    </row>
    <row r="169" spans="2:32">
      <c r="B169" s="117"/>
      <c r="C169" s="660" t="s">
        <v>1460</v>
      </c>
      <c r="D169" s="257" t="s">
        <v>1336</v>
      </c>
      <c r="E169" s="121" t="s">
        <v>740</v>
      </c>
      <c r="F169" s="205" t="s">
        <v>194</v>
      </c>
      <c r="G169" s="121">
        <f>IF(Assumptions_Dashboard!$L$4="MDO",0,1*2)</f>
        <v>2</v>
      </c>
      <c r="H169" s="366">
        <f>IFERROR(VLOOKUP(F169,Assumptions_Dashboard!$C$38:$D$72,2,FALSE),0)</f>
        <v>960000</v>
      </c>
      <c r="J169" s="179"/>
      <c r="K169" s="179"/>
      <c r="L169" s="179"/>
      <c r="M169" s="179"/>
      <c r="N169" s="179">
        <f t="shared" ref="N169:N182" si="105">G169</f>
        <v>2</v>
      </c>
      <c r="O169" s="179">
        <f t="shared" si="104"/>
        <v>2</v>
      </c>
      <c r="P169" s="179">
        <f t="shared" si="103"/>
        <v>2</v>
      </c>
      <c r="Q169" s="179">
        <f t="shared" si="103"/>
        <v>2</v>
      </c>
      <c r="R169" s="179">
        <f t="shared" si="103"/>
        <v>2</v>
      </c>
      <c r="S169" s="179">
        <f t="shared" si="103"/>
        <v>2</v>
      </c>
      <c r="T169" s="179">
        <f t="shared" si="103"/>
        <v>2</v>
      </c>
      <c r="U169" s="179">
        <f t="shared" si="103"/>
        <v>2</v>
      </c>
      <c r="V169" s="179">
        <f t="shared" si="103"/>
        <v>2</v>
      </c>
      <c r="W169" s="179">
        <f t="shared" si="103"/>
        <v>2</v>
      </c>
      <c r="X169" s="179">
        <f t="shared" si="103"/>
        <v>2</v>
      </c>
      <c r="Y169" s="179">
        <f t="shared" si="103"/>
        <v>2</v>
      </c>
      <c r="Z169" s="179">
        <f t="shared" si="103"/>
        <v>2</v>
      </c>
      <c r="AA169" s="179">
        <f t="shared" si="103"/>
        <v>2</v>
      </c>
      <c r="AB169" s="179">
        <f t="shared" si="103"/>
        <v>2</v>
      </c>
      <c r="AC169" s="179">
        <f t="shared" si="103"/>
        <v>2</v>
      </c>
      <c r="AD169" s="179">
        <f t="shared" si="103"/>
        <v>2</v>
      </c>
      <c r="AE169" s="179">
        <f t="shared" si="103"/>
        <v>2</v>
      </c>
      <c r="AF169" s="179">
        <f t="shared" si="103"/>
        <v>2</v>
      </c>
    </row>
    <row r="170" spans="2:32">
      <c r="B170" s="117"/>
      <c r="C170" s="660" t="s">
        <v>1464</v>
      </c>
      <c r="D170" s="257" t="s">
        <v>1336</v>
      </c>
      <c r="E170" s="121" t="s">
        <v>740</v>
      </c>
      <c r="F170" s="205" t="s">
        <v>194</v>
      </c>
      <c r="G170" s="121">
        <f>IF(Assumptions_Dashboard!$L$4="MDO",0,1*2)</f>
        <v>2</v>
      </c>
      <c r="H170" s="366">
        <f>IFERROR(VLOOKUP(F170,Assumptions_Dashboard!$C$38:$D$72,2,FALSE),0)</f>
        <v>960000</v>
      </c>
      <c r="J170" s="179"/>
      <c r="K170" s="179"/>
      <c r="L170" s="179"/>
      <c r="M170" s="179"/>
      <c r="N170" s="179">
        <f t="shared" si="105"/>
        <v>2</v>
      </c>
      <c r="O170" s="179">
        <f t="shared" si="104"/>
        <v>2</v>
      </c>
      <c r="P170" s="179">
        <f t="shared" si="103"/>
        <v>2</v>
      </c>
      <c r="Q170" s="179">
        <f t="shared" si="103"/>
        <v>2</v>
      </c>
      <c r="R170" s="179">
        <f t="shared" si="103"/>
        <v>2</v>
      </c>
      <c r="S170" s="179">
        <f t="shared" si="103"/>
        <v>2</v>
      </c>
      <c r="T170" s="179">
        <f t="shared" si="103"/>
        <v>2</v>
      </c>
      <c r="U170" s="179">
        <f t="shared" si="103"/>
        <v>2</v>
      </c>
      <c r="V170" s="179">
        <f t="shared" si="103"/>
        <v>2</v>
      </c>
      <c r="W170" s="179">
        <f t="shared" si="103"/>
        <v>2</v>
      </c>
      <c r="X170" s="179">
        <f t="shared" si="103"/>
        <v>2</v>
      </c>
      <c r="Y170" s="179">
        <f t="shared" si="103"/>
        <v>2</v>
      </c>
      <c r="Z170" s="179">
        <f t="shared" si="103"/>
        <v>2</v>
      </c>
      <c r="AA170" s="179">
        <f t="shared" si="103"/>
        <v>2</v>
      </c>
      <c r="AB170" s="179">
        <f t="shared" si="103"/>
        <v>2</v>
      </c>
      <c r="AC170" s="179">
        <f t="shared" si="103"/>
        <v>2</v>
      </c>
      <c r="AD170" s="179">
        <f t="shared" si="103"/>
        <v>2</v>
      </c>
      <c r="AE170" s="179">
        <f t="shared" si="103"/>
        <v>2</v>
      </c>
      <c r="AF170" s="179">
        <f t="shared" si="103"/>
        <v>2</v>
      </c>
    </row>
    <row r="171" spans="2:32">
      <c r="B171" s="117"/>
      <c r="C171" s="660" t="s">
        <v>1465</v>
      </c>
      <c r="D171" s="257"/>
      <c r="E171" s="121" t="s">
        <v>740</v>
      </c>
      <c r="F171" s="205" t="s">
        <v>194</v>
      </c>
      <c r="G171" s="121">
        <f>IF(Assumptions_Dashboard!$L$4="MDO",0,1*3)</f>
        <v>3</v>
      </c>
      <c r="H171" s="366">
        <f>IFERROR(VLOOKUP(F171,Assumptions_Dashboard!$C$38:$D$72,2,FALSE),0)</f>
        <v>960000</v>
      </c>
      <c r="J171" s="179"/>
      <c r="K171" s="179"/>
      <c r="L171" s="179"/>
      <c r="M171" s="179"/>
      <c r="N171" s="179">
        <f t="shared" si="105"/>
        <v>3</v>
      </c>
      <c r="O171" s="179">
        <f t="shared" si="104"/>
        <v>3</v>
      </c>
      <c r="P171" s="179">
        <f t="shared" si="103"/>
        <v>3</v>
      </c>
      <c r="Q171" s="179">
        <f t="shared" si="103"/>
        <v>3</v>
      </c>
      <c r="R171" s="179">
        <f t="shared" si="103"/>
        <v>3</v>
      </c>
      <c r="S171" s="179">
        <f t="shared" si="103"/>
        <v>3</v>
      </c>
      <c r="T171" s="179">
        <f t="shared" si="103"/>
        <v>3</v>
      </c>
      <c r="U171" s="179">
        <f t="shared" si="103"/>
        <v>3</v>
      </c>
      <c r="V171" s="179">
        <f t="shared" si="103"/>
        <v>3</v>
      </c>
      <c r="W171" s="179">
        <f t="shared" si="103"/>
        <v>3</v>
      </c>
      <c r="X171" s="179">
        <f t="shared" si="103"/>
        <v>3</v>
      </c>
      <c r="Y171" s="179">
        <f t="shared" si="103"/>
        <v>3</v>
      </c>
      <c r="Z171" s="179">
        <f t="shared" si="103"/>
        <v>3</v>
      </c>
      <c r="AA171" s="179">
        <f t="shared" si="103"/>
        <v>3</v>
      </c>
      <c r="AB171" s="179">
        <f t="shared" si="103"/>
        <v>3</v>
      </c>
      <c r="AC171" s="179">
        <f t="shared" si="103"/>
        <v>3</v>
      </c>
      <c r="AD171" s="179">
        <f t="shared" si="103"/>
        <v>3</v>
      </c>
      <c r="AE171" s="179">
        <f t="shared" si="103"/>
        <v>3</v>
      </c>
      <c r="AF171" s="179">
        <f t="shared" si="103"/>
        <v>3</v>
      </c>
    </row>
    <row r="172" spans="2:32">
      <c r="B172" s="121"/>
      <c r="C172" s="660" t="s">
        <v>1466</v>
      </c>
      <c r="D172" s="257"/>
      <c r="E172" s="121" t="s">
        <v>740</v>
      </c>
      <c r="F172" s="205" t="s">
        <v>194</v>
      </c>
      <c r="G172" s="121">
        <f>IF(Assumptions_Dashboard!$L$4="MDO",0,1*3)</f>
        <v>3</v>
      </c>
      <c r="H172" s="366">
        <f>IFERROR(VLOOKUP(F172,Assumptions_Dashboard!$C$38:$D$72,2,FALSE),0)</f>
        <v>960000</v>
      </c>
      <c r="J172" s="179"/>
      <c r="K172" s="179"/>
      <c r="L172" s="179"/>
      <c r="M172" s="179"/>
      <c r="N172" s="179">
        <f t="shared" si="105"/>
        <v>3</v>
      </c>
      <c r="O172" s="179">
        <f t="shared" si="104"/>
        <v>3</v>
      </c>
      <c r="P172" s="179">
        <f t="shared" si="103"/>
        <v>3</v>
      </c>
      <c r="Q172" s="179">
        <f t="shared" si="103"/>
        <v>3</v>
      </c>
      <c r="R172" s="179">
        <f t="shared" si="103"/>
        <v>3</v>
      </c>
      <c r="S172" s="179">
        <f t="shared" si="103"/>
        <v>3</v>
      </c>
      <c r="T172" s="179">
        <f t="shared" si="103"/>
        <v>3</v>
      </c>
      <c r="U172" s="179">
        <f t="shared" si="103"/>
        <v>3</v>
      </c>
      <c r="V172" s="179">
        <f t="shared" si="103"/>
        <v>3</v>
      </c>
      <c r="W172" s="179">
        <f t="shared" si="103"/>
        <v>3</v>
      </c>
      <c r="X172" s="179">
        <f t="shared" si="103"/>
        <v>3</v>
      </c>
      <c r="Y172" s="179">
        <f t="shared" si="103"/>
        <v>3</v>
      </c>
      <c r="Z172" s="179">
        <f t="shared" si="103"/>
        <v>3</v>
      </c>
      <c r="AA172" s="179">
        <f t="shared" si="103"/>
        <v>3</v>
      </c>
      <c r="AB172" s="179">
        <f t="shared" si="103"/>
        <v>3</v>
      </c>
      <c r="AC172" s="179">
        <f t="shared" si="103"/>
        <v>3</v>
      </c>
      <c r="AD172" s="179">
        <f t="shared" si="103"/>
        <v>3</v>
      </c>
      <c r="AE172" s="179">
        <f t="shared" si="103"/>
        <v>3</v>
      </c>
      <c r="AF172" s="179">
        <f t="shared" si="103"/>
        <v>3</v>
      </c>
    </row>
    <row r="173" spans="2:32">
      <c r="B173" s="117"/>
      <c r="C173" s="660" t="s">
        <v>1467</v>
      </c>
      <c r="D173" s="257"/>
      <c r="E173" s="121" t="s">
        <v>740</v>
      </c>
      <c r="F173" s="205" t="s">
        <v>196</v>
      </c>
      <c r="G173" s="121">
        <f>IF(Assumptions_Dashboard!$L$4="MDO",0,1*3)</f>
        <v>3</v>
      </c>
      <c r="H173" s="366">
        <f>IFERROR(VLOOKUP(F173,Assumptions_Dashboard!$C$38:$D$72,2,FALSE),0)</f>
        <v>750000</v>
      </c>
      <c r="J173" s="179"/>
      <c r="K173" s="179"/>
      <c r="L173" s="179"/>
      <c r="M173" s="179"/>
      <c r="N173" s="179">
        <f t="shared" si="105"/>
        <v>3</v>
      </c>
      <c r="O173" s="179">
        <f t="shared" si="104"/>
        <v>3</v>
      </c>
      <c r="P173" s="179">
        <f t="shared" si="103"/>
        <v>3</v>
      </c>
      <c r="Q173" s="179">
        <f t="shared" si="103"/>
        <v>3</v>
      </c>
      <c r="R173" s="179">
        <f t="shared" si="103"/>
        <v>3</v>
      </c>
      <c r="S173" s="179">
        <f t="shared" si="103"/>
        <v>3</v>
      </c>
      <c r="T173" s="179">
        <f t="shared" si="103"/>
        <v>3</v>
      </c>
      <c r="U173" s="179">
        <f t="shared" si="103"/>
        <v>3</v>
      </c>
      <c r="V173" s="179">
        <f t="shared" si="103"/>
        <v>3</v>
      </c>
      <c r="W173" s="179">
        <f t="shared" si="103"/>
        <v>3</v>
      </c>
      <c r="X173" s="179">
        <f t="shared" si="103"/>
        <v>3</v>
      </c>
      <c r="Y173" s="179">
        <f t="shared" si="103"/>
        <v>3</v>
      </c>
      <c r="Z173" s="179">
        <f t="shared" si="103"/>
        <v>3</v>
      </c>
      <c r="AA173" s="179">
        <f t="shared" si="103"/>
        <v>3</v>
      </c>
      <c r="AB173" s="179">
        <f t="shared" si="103"/>
        <v>3</v>
      </c>
      <c r="AC173" s="179">
        <f t="shared" si="103"/>
        <v>3</v>
      </c>
      <c r="AD173" s="179">
        <f t="shared" si="103"/>
        <v>3</v>
      </c>
      <c r="AE173" s="179">
        <f t="shared" si="103"/>
        <v>3</v>
      </c>
      <c r="AF173" s="179">
        <f t="shared" si="103"/>
        <v>3</v>
      </c>
    </row>
    <row r="174" spans="2:32">
      <c r="B174" s="121"/>
      <c r="C174" s="647" t="s">
        <v>1468</v>
      </c>
      <c r="D174" s="257"/>
      <c r="E174" s="121" t="s">
        <v>740</v>
      </c>
      <c r="F174" s="205" t="s">
        <v>218</v>
      </c>
      <c r="G174" s="121">
        <f>IF(Assumptions_Dashboard!$L$4="MDO",0,2)</f>
        <v>2</v>
      </c>
      <c r="H174" s="366">
        <f>IFERROR(VLOOKUP(F174,Assumptions_Dashboard!$C$38:$D$72,2,FALSE),0)</f>
        <v>600000</v>
      </c>
      <c r="J174" s="179"/>
      <c r="K174" s="179">
        <v>1</v>
      </c>
      <c r="L174" s="179"/>
      <c r="M174" s="179"/>
      <c r="N174" s="179">
        <f t="shared" si="105"/>
        <v>2</v>
      </c>
      <c r="O174" s="179">
        <f t="shared" si="104"/>
        <v>2</v>
      </c>
      <c r="P174" s="179">
        <f t="shared" si="103"/>
        <v>2</v>
      </c>
      <c r="Q174" s="179">
        <f t="shared" si="103"/>
        <v>2</v>
      </c>
      <c r="R174" s="179">
        <f t="shared" si="103"/>
        <v>2</v>
      </c>
      <c r="S174" s="179">
        <f t="shared" si="103"/>
        <v>2</v>
      </c>
      <c r="T174" s="179">
        <f t="shared" si="103"/>
        <v>2</v>
      </c>
      <c r="U174" s="179">
        <f t="shared" si="103"/>
        <v>2</v>
      </c>
      <c r="V174" s="179">
        <f t="shared" si="103"/>
        <v>2</v>
      </c>
      <c r="W174" s="179">
        <f t="shared" si="103"/>
        <v>2</v>
      </c>
      <c r="X174" s="179">
        <f t="shared" si="103"/>
        <v>2</v>
      </c>
      <c r="Y174" s="179">
        <f t="shared" ref="P174:AF182" si="106">X174</f>
        <v>2</v>
      </c>
      <c r="Z174" s="179">
        <f t="shared" si="106"/>
        <v>2</v>
      </c>
      <c r="AA174" s="179">
        <f t="shared" si="106"/>
        <v>2</v>
      </c>
      <c r="AB174" s="179">
        <f t="shared" si="106"/>
        <v>2</v>
      </c>
      <c r="AC174" s="179">
        <f t="shared" si="106"/>
        <v>2</v>
      </c>
      <c r="AD174" s="179">
        <f t="shared" si="106"/>
        <v>2</v>
      </c>
      <c r="AE174" s="179">
        <f t="shared" si="106"/>
        <v>2</v>
      </c>
      <c r="AF174" s="179">
        <f t="shared" si="106"/>
        <v>2</v>
      </c>
    </row>
    <row r="175" spans="2:32">
      <c r="B175" s="121"/>
      <c r="C175" s="647" t="s">
        <v>1469</v>
      </c>
      <c r="D175" s="257"/>
      <c r="E175" s="121" t="s">
        <v>740</v>
      </c>
      <c r="F175" s="205" t="s">
        <v>220</v>
      </c>
      <c r="G175" s="121">
        <f>IF(Assumptions_Dashboard!$L$4="MDO",0,3)</f>
        <v>3</v>
      </c>
      <c r="H175" s="366">
        <f>IFERROR(VLOOKUP(F175,Assumptions_Dashboard!$C$38:$D$72,2,FALSE),0)</f>
        <v>600000</v>
      </c>
      <c r="J175" s="179"/>
      <c r="K175" s="179"/>
      <c r="L175" s="179"/>
      <c r="M175" s="179"/>
      <c r="N175" s="179">
        <f t="shared" si="105"/>
        <v>3</v>
      </c>
      <c r="O175" s="179">
        <f t="shared" si="104"/>
        <v>3</v>
      </c>
      <c r="P175" s="179">
        <f t="shared" si="106"/>
        <v>3</v>
      </c>
      <c r="Q175" s="179">
        <f t="shared" si="106"/>
        <v>3</v>
      </c>
      <c r="R175" s="179">
        <f t="shared" si="106"/>
        <v>3</v>
      </c>
      <c r="S175" s="179">
        <f t="shared" si="106"/>
        <v>3</v>
      </c>
      <c r="T175" s="179">
        <f t="shared" si="106"/>
        <v>3</v>
      </c>
      <c r="U175" s="179">
        <f t="shared" si="106"/>
        <v>3</v>
      </c>
      <c r="V175" s="179">
        <f t="shared" si="106"/>
        <v>3</v>
      </c>
      <c r="W175" s="179">
        <f t="shared" si="106"/>
        <v>3</v>
      </c>
      <c r="X175" s="179">
        <f t="shared" si="106"/>
        <v>3</v>
      </c>
      <c r="Y175" s="179">
        <f t="shared" si="106"/>
        <v>3</v>
      </c>
      <c r="Z175" s="179">
        <f t="shared" si="106"/>
        <v>3</v>
      </c>
      <c r="AA175" s="179">
        <f t="shared" si="106"/>
        <v>3</v>
      </c>
      <c r="AB175" s="179">
        <f t="shared" si="106"/>
        <v>3</v>
      </c>
      <c r="AC175" s="179">
        <f t="shared" si="106"/>
        <v>3</v>
      </c>
      <c r="AD175" s="179">
        <f t="shared" si="106"/>
        <v>3</v>
      </c>
      <c r="AE175" s="179">
        <f t="shared" si="106"/>
        <v>3</v>
      </c>
      <c r="AF175" s="179">
        <f t="shared" si="106"/>
        <v>3</v>
      </c>
    </row>
    <row r="176" spans="2:32">
      <c r="B176" s="121"/>
      <c r="C176" s="647" t="s">
        <v>1470</v>
      </c>
      <c r="D176" s="257"/>
      <c r="E176" s="121" t="s">
        <v>740</v>
      </c>
      <c r="F176" s="205" t="s">
        <v>220</v>
      </c>
      <c r="G176" s="121">
        <f>IF(Assumptions_Dashboard!$L$4="MDO",0,1)</f>
        <v>1</v>
      </c>
      <c r="H176" s="366">
        <f>IFERROR(VLOOKUP(F176,Assumptions_Dashboard!$C$38:$D$72,2,FALSE),0)</f>
        <v>600000</v>
      </c>
      <c r="J176" s="179"/>
      <c r="K176" s="179"/>
      <c r="L176" s="179"/>
      <c r="M176" s="179"/>
      <c r="N176" s="179">
        <f t="shared" si="105"/>
        <v>1</v>
      </c>
      <c r="O176" s="179">
        <f t="shared" si="104"/>
        <v>1</v>
      </c>
      <c r="P176" s="179">
        <f t="shared" si="106"/>
        <v>1</v>
      </c>
      <c r="Q176" s="179">
        <f t="shared" si="106"/>
        <v>1</v>
      </c>
      <c r="R176" s="179">
        <f t="shared" si="106"/>
        <v>1</v>
      </c>
      <c r="S176" s="179">
        <f t="shared" si="106"/>
        <v>1</v>
      </c>
      <c r="T176" s="179">
        <f t="shared" si="106"/>
        <v>1</v>
      </c>
      <c r="U176" s="179">
        <f t="shared" si="106"/>
        <v>1</v>
      </c>
      <c r="V176" s="179">
        <f t="shared" si="106"/>
        <v>1</v>
      </c>
      <c r="W176" s="179">
        <f t="shared" si="106"/>
        <v>1</v>
      </c>
      <c r="X176" s="179">
        <f t="shared" si="106"/>
        <v>1</v>
      </c>
      <c r="Y176" s="179">
        <f t="shared" si="106"/>
        <v>1</v>
      </c>
      <c r="Z176" s="179">
        <f t="shared" si="106"/>
        <v>1</v>
      </c>
      <c r="AA176" s="179">
        <f t="shared" si="106"/>
        <v>1</v>
      </c>
      <c r="AB176" s="179">
        <f t="shared" si="106"/>
        <v>1</v>
      </c>
      <c r="AC176" s="179">
        <f t="shared" si="106"/>
        <v>1</v>
      </c>
      <c r="AD176" s="179">
        <f t="shared" si="106"/>
        <v>1</v>
      </c>
      <c r="AE176" s="179">
        <f t="shared" si="106"/>
        <v>1</v>
      </c>
      <c r="AF176" s="179">
        <f t="shared" si="106"/>
        <v>1</v>
      </c>
    </row>
    <row r="177" spans="2:32">
      <c r="B177" s="121"/>
      <c r="C177" s="647" t="s">
        <v>1471</v>
      </c>
      <c r="D177" s="257"/>
      <c r="E177" s="121" t="s">
        <v>740</v>
      </c>
      <c r="F177" s="205" t="s">
        <v>220</v>
      </c>
      <c r="G177" s="121">
        <f>IF(Assumptions_Dashboard!$L$4="MDO",0,1)</f>
        <v>1</v>
      </c>
      <c r="H177" s="366">
        <f>IFERROR(VLOOKUP(F177,Assumptions_Dashboard!$C$38:$D$72,2,FALSE),0)</f>
        <v>600000</v>
      </c>
      <c r="J177" s="179"/>
      <c r="K177" s="179"/>
      <c r="L177" s="179"/>
      <c r="M177" s="179"/>
      <c r="N177" s="179">
        <f t="shared" si="105"/>
        <v>1</v>
      </c>
      <c r="O177" s="179">
        <f t="shared" si="104"/>
        <v>1</v>
      </c>
      <c r="P177" s="179">
        <f t="shared" si="106"/>
        <v>1</v>
      </c>
      <c r="Q177" s="179">
        <f t="shared" si="106"/>
        <v>1</v>
      </c>
      <c r="R177" s="179">
        <f t="shared" si="106"/>
        <v>1</v>
      </c>
      <c r="S177" s="179">
        <f t="shared" si="106"/>
        <v>1</v>
      </c>
      <c r="T177" s="179">
        <f t="shared" si="106"/>
        <v>1</v>
      </c>
      <c r="U177" s="179">
        <f t="shared" si="106"/>
        <v>1</v>
      </c>
      <c r="V177" s="179">
        <f t="shared" si="106"/>
        <v>1</v>
      </c>
      <c r="W177" s="179">
        <f t="shared" si="106"/>
        <v>1</v>
      </c>
      <c r="X177" s="179">
        <f t="shared" si="106"/>
        <v>1</v>
      </c>
      <c r="Y177" s="179">
        <f t="shared" si="106"/>
        <v>1</v>
      </c>
      <c r="Z177" s="179">
        <f t="shared" si="106"/>
        <v>1</v>
      </c>
      <c r="AA177" s="179">
        <f t="shared" si="106"/>
        <v>1</v>
      </c>
      <c r="AB177" s="179">
        <f t="shared" si="106"/>
        <v>1</v>
      </c>
      <c r="AC177" s="179">
        <f t="shared" si="106"/>
        <v>1</v>
      </c>
      <c r="AD177" s="179">
        <f t="shared" si="106"/>
        <v>1</v>
      </c>
      <c r="AE177" s="179">
        <f t="shared" si="106"/>
        <v>1</v>
      </c>
      <c r="AF177" s="179">
        <f t="shared" si="106"/>
        <v>1</v>
      </c>
    </row>
    <row r="178" spans="2:32">
      <c r="B178" s="121"/>
      <c r="C178" s="653" t="s">
        <v>1472</v>
      </c>
      <c r="D178" s="257"/>
      <c r="E178" s="121" t="s">
        <v>740</v>
      </c>
      <c r="F178" s="205" t="s">
        <v>220</v>
      </c>
      <c r="G178" s="121">
        <f>IF(Assumptions_Dashboard!$L$4="MDO",0,2)</f>
        <v>2</v>
      </c>
      <c r="H178" s="366">
        <f>IFERROR(VLOOKUP(F178,Assumptions_Dashboard!$C$38:$D$72,2,FALSE),0)</f>
        <v>600000</v>
      </c>
      <c r="J178" s="179"/>
      <c r="K178" s="179"/>
      <c r="L178" s="179"/>
      <c r="M178" s="179"/>
      <c r="N178" s="179">
        <f t="shared" si="105"/>
        <v>2</v>
      </c>
      <c r="O178" s="179">
        <f t="shared" si="104"/>
        <v>2</v>
      </c>
      <c r="P178" s="179">
        <f t="shared" si="106"/>
        <v>2</v>
      </c>
      <c r="Q178" s="179">
        <f t="shared" si="106"/>
        <v>2</v>
      </c>
      <c r="R178" s="179">
        <f t="shared" si="106"/>
        <v>2</v>
      </c>
      <c r="S178" s="179">
        <f t="shared" si="106"/>
        <v>2</v>
      </c>
      <c r="T178" s="179">
        <f t="shared" si="106"/>
        <v>2</v>
      </c>
      <c r="U178" s="179">
        <f t="shared" si="106"/>
        <v>2</v>
      </c>
      <c r="V178" s="179">
        <f t="shared" si="106"/>
        <v>2</v>
      </c>
      <c r="W178" s="179">
        <f t="shared" si="106"/>
        <v>2</v>
      </c>
      <c r="X178" s="179">
        <f t="shared" si="106"/>
        <v>2</v>
      </c>
      <c r="Y178" s="179">
        <f t="shared" si="106"/>
        <v>2</v>
      </c>
      <c r="Z178" s="179">
        <f t="shared" si="106"/>
        <v>2</v>
      </c>
      <c r="AA178" s="179">
        <f t="shared" si="106"/>
        <v>2</v>
      </c>
      <c r="AB178" s="179">
        <f t="shared" si="106"/>
        <v>2</v>
      </c>
      <c r="AC178" s="179">
        <f t="shared" si="106"/>
        <v>2</v>
      </c>
      <c r="AD178" s="179">
        <f t="shared" si="106"/>
        <v>2</v>
      </c>
      <c r="AE178" s="179">
        <f t="shared" si="106"/>
        <v>2</v>
      </c>
      <c r="AF178" s="179">
        <f t="shared" si="106"/>
        <v>2</v>
      </c>
    </row>
    <row r="179" spans="2:32">
      <c r="B179" s="121"/>
      <c r="C179" s="653" t="s">
        <v>1473</v>
      </c>
      <c r="D179" s="257"/>
      <c r="E179" s="121" t="s">
        <v>740</v>
      </c>
      <c r="F179" s="205" t="s">
        <v>223</v>
      </c>
      <c r="G179" s="121">
        <f>IF(Assumptions_Dashboard!$L$4="MDO",0,8*3)</f>
        <v>24</v>
      </c>
      <c r="H179" s="366">
        <f>IFERROR(VLOOKUP(F179,Assumptions_Dashboard!$C$38:$D$72,2,FALSE),0)</f>
        <v>420000</v>
      </c>
      <c r="J179" s="179"/>
      <c r="K179" s="179"/>
      <c r="L179" s="179"/>
      <c r="M179" s="179"/>
      <c r="N179" s="179">
        <f t="shared" si="105"/>
        <v>24</v>
      </c>
      <c r="O179" s="179">
        <f t="shared" si="104"/>
        <v>24</v>
      </c>
      <c r="P179" s="179">
        <f t="shared" si="106"/>
        <v>24</v>
      </c>
      <c r="Q179" s="179">
        <f t="shared" si="106"/>
        <v>24</v>
      </c>
      <c r="R179" s="179">
        <f t="shared" si="106"/>
        <v>24</v>
      </c>
      <c r="S179" s="179">
        <f t="shared" si="106"/>
        <v>24</v>
      </c>
      <c r="T179" s="179">
        <f t="shared" si="106"/>
        <v>24</v>
      </c>
      <c r="U179" s="179">
        <f t="shared" si="106"/>
        <v>24</v>
      </c>
      <c r="V179" s="179">
        <f t="shared" si="106"/>
        <v>24</v>
      </c>
      <c r="W179" s="179">
        <f t="shared" si="106"/>
        <v>24</v>
      </c>
      <c r="X179" s="179">
        <f t="shared" si="106"/>
        <v>24</v>
      </c>
      <c r="Y179" s="179">
        <f t="shared" si="106"/>
        <v>24</v>
      </c>
      <c r="Z179" s="179">
        <f t="shared" si="106"/>
        <v>24</v>
      </c>
      <c r="AA179" s="179">
        <f t="shared" si="106"/>
        <v>24</v>
      </c>
      <c r="AB179" s="179">
        <f t="shared" si="106"/>
        <v>24</v>
      </c>
      <c r="AC179" s="179">
        <f t="shared" si="106"/>
        <v>24</v>
      </c>
      <c r="AD179" s="179">
        <f t="shared" si="106"/>
        <v>24</v>
      </c>
      <c r="AE179" s="179">
        <f t="shared" si="106"/>
        <v>24</v>
      </c>
      <c r="AF179" s="179">
        <f t="shared" si="106"/>
        <v>24</v>
      </c>
    </row>
    <row r="180" spans="2:32">
      <c r="B180" s="121"/>
      <c r="C180" s="653" t="s">
        <v>1474</v>
      </c>
      <c r="D180" s="257"/>
      <c r="E180" s="121" t="s">
        <v>740</v>
      </c>
      <c r="F180" s="205" t="s">
        <v>223</v>
      </c>
      <c r="G180" s="121">
        <f>IF(Assumptions_Dashboard!$L$4="MDO",0,3)</f>
        <v>3</v>
      </c>
      <c r="H180" s="366">
        <f>IFERROR(VLOOKUP(F180,Assumptions_Dashboard!$C$38:$D$72,2,FALSE),0)</f>
        <v>420000</v>
      </c>
      <c r="J180" s="179"/>
      <c r="K180" s="179"/>
      <c r="L180" s="179"/>
      <c r="M180" s="179"/>
      <c r="N180" s="179">
        <f t="shared" si="105"/>
        <v>3</v>
      </c>
      <c r="O180" s="179">
        <f t="shared" si="104"/>
        <v>3</v>
      </c>
      <c r="P180" s="179">
        <f t="shared" si="106"/>
        <v>3</v>
      </c>
      <c r="Q180" s="179">
        <f t="shared" si="106"/>
        <v>3</v>
      </c>
      <c r="R180" s="179">
        <f t="shared" si="106"/>
        <v>3</v>
      </c>
      <c r="S180" s="179">
        <f t="shared" si="106"/>
        <v>3</v>
      </c>
      <c r="T180" s="179">
        <f t="shared" si="106"/>
        <v>3</v>
      </c>
      <c r="U180" s="179">
        <f t="shared" si="106"/>
        <v>3</v>
      </c>
      <c r="V180" s="179">
        <f t="shared" si="106"/>
        <v>3</v>
      </c>
      <c r="W180" s="179">
        <f t="shared" si="106"/>
        <v>3</v>
      </c>
      <c r="X180" s="179">
        <f t="shared" si="106"/>
        <v>3</v>
      </c>
      <c r="Y180" s="179">
        <f t="shared" si="106"/>
        <v>3</v>
      </c>
      <c r="Z180" s="179">
        <f t="shared" si="106"/>
        <v>3</v>
      </c>
      <c r="AA180" s="179">
        <f t="shared" si="106"/>
        <v>3</v>
      </c>
      <c r="AB180" s="179">
        <f t="shared" si="106"/>
        <v>3</v>
      </c>
      <c r="AC180" s="179">
        <f t="shared" si="106"/>
        <v>3</v>
      </c>
      <c r="AD180" s="179">
        <f t="shared" si="106"/>
        <v>3</v>
      </c>
      <c r="AE180" s="179">
        <f t="shared" si="106"/>
        <v>3</v>
      </c>
      <c r="AF180" s="179">
        <f t="shared" si="106"/>
        <v>3</v>
      </c>
    </row>
    <row r="181" spans="2:32">
      <c r="B181" s="121"/>
      <c r="C181" s="653" t="s">
        <v>1348</v>
      </c>
      <c r="D181" s="257"/>
      <c r="E181" s="121" t="s">
        <v>740</v>
      </c>
      <c r="F181" s="205" t="s">
        <v>226</v>
      </c>
      <c r="G181" s="121"/>
      <c r="H181" s="366">
        <f>IFERROR(VLOOKUP(F181,Assumptions_Dashboard!$C$38:$D$72,2,FALSE),0)</f>
        <v>360000</v>
      </c>
      <c r="J181" s="179"/>
      <c r="K181" s="179"/>
      <c r="L181" s="179"/>
      <c r="M181" s="179"/>
      <c r="N181" s="179">
        <f t="shared" si="105"/>
        <v>0</v>
      </c>
      <c r="O181" s="179">
        <f t="shared" si="104"/>
        <v>0</v>
      </c>
      <c r="P181" s="179">
        <f t="shared" si="106"/>
        <v>0</v>
      </c>
      <c r="Q181" s="179">
        <f t="shared" si="106"/>
        <v>0</v>
      </c>
      <c r="R181" s="179">
        <f t="shared" si="106"/>
        <v>0</v>
      </c>
      <c r="S181" s="179">
        <f t="shared" si="106"/>
        <v>0</v>
      </c>
      <c r="T181" s="179">
        <f t="shared" si="106"/>
        <v>0</v>
      </c>
      <c r="U181" s="179">
        <f t="shared" si="106"/>
        <v>0</v>
      </c>
      <c r="V181" s="179">
        <f t="shared" si="106"/>
        <v>0</v>
      </c>
      <c r="W181" s="179">
        <f t="shared" si="106"/>
        <v>0</v>
      </c>
      <c r="X181" s="179">
        <f t="shared" si="106"/>
        <v>0</v>
      </c>
      <c r="Y181" s="179">
        <f t="shared" si="106"/>
        <v>0</v>
      </c>
      <c r="Z181" s="179">
        <f t="shared" si="106"/>
        <v>0</v>
      </c>
      <c r="AA181" s="179">
        <f t="shared" si="106"/>
        <v>0</v>
      </c>
      <c r="AB181" s="179">
        <f t="shared" si="106"/>
        <v>0</v>
      </c>
      <c r="AC181" s="179">
        <f t="shared" si="106"/>
        <v>0</v>
      </c>
      <c r="AD181" s="179">
        <f t="shared" si="106"/>
        <v>0</v>
      </c>
      <c r="AE181" s="179">
        <f t="shared" si="106"/>
        <v>0</v>
      </c>
      <c r="AF181" s="179">
        <f t="shared" si="106"/>
        <v>0</v>
      </c>
    </row>
    <row r="182" spans="2:32">
      <c r="B182" s="121"/>
      <c r="C182" s="653" t="s">
        <v>1475</v>
      </c>
      <c r="D182" s="257"/>
      <c r="E182" s="211" t="s">
        <v>740</v>
      </c>
      <c r="F182" s="205" t="s">
        <v>226</v>
      </c>
      <c r="G182" s="121">
        <v>3</v>
      </c>
      <c r="H182" s="366">
        <f>IFERROR(VLOOKUP(F182,Assumptions_Dashboard!$C$38:$D$72,2,FALSE),0)</f>
        <v>360000</v>
      </c>
      <c r="J182" s="179"/>
      <c r="K182" s="179"/>
      <c r="L182" s="179"/>
      <c r="M182" s="179"/>
      <c r="N182" s="179">
        <f t="shared" si="105"/>
        <v>3</v>
      </c>
      <c r="O182" s="179">
        <f t="shared" si="104"/>
        <v>3</v>
      </c>
      <c r="P182" s="179">
        <f t="shared" si="106"/>
        <v>3</v>
      </c>
      <c r="Q182" s="179">
        <f t="shared" si="106"/>
        <v>3</v>
      </c>
      <c r="R182" s="179">
        <f t="shared" si="106"/>
        <v>3</v>
      </c>
      <c r="S182" s="179">
        <f t="shared" si="106"/>
        <v>3</v>
      </c>
      <c r="T182" s="179">
        <f t="shared" si="106"/>
        <v>3</v>
      </c>
      <c r="U182" s="179">
        <f t="shared" si="106"/>
        <v>3</v>
      </c>
      <c r="V182" s="179">
        <f t="shared" si="106"/>
        <v>3</v>
      </c>
      <c r="W182" s="179">
        <f t="shared" si="106"/>
        <v>3</v>
      </c>
      <c r="X182" s="179">
        <f t="shared" si="106"/>
        <v>3</v>
      </c>
      <c r="Y182" s="179">
        <f t="shared" si="106"/>
        <v>3</v>
      </c>
      <c r="Z182" s="179">
        <f t="shared" si="106"/>
        <v>3</v>
      </c>
      <c r="AA182" s="179">
        <f t="shared" si="106"/>
        <v>3</v>
      </c>
      <c r="AB182" s="179">
        <f t="shared" si="106"/>
        <v>3</v>
      </c>
      <c r="AC182" s="179">
        <f t="shared" si="106"/>
        <v>3</v>
      </c>
      <c r="AD182" s="179">
        <f t="shared" si="106"/>
        <v>3</v>
      </c>
      <c r="AE182" s="179">
        <f t="shared" si="106"/>
        <v>3</v>
      </c>
      <c r="AF182" s="179">
        <f t="shared" si="106"/>
        <v>3</v>
      </c>
    </row>
    <row r="183" spans="2:32">
      <c r="B183" s="121"/>
      <c r="C183" s="121"/>
      <c r="D183" s="257"/>
      <c r="E183" s="211"/>
      <c r="F183" s="205"/>
      <c r="H183" s="366"/>
      <c r="J183" s="179"/>
      <c r="K183" s="179"/>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row>
    <row r="184" spans="2:32">
      <c r="B184" s="121"/>
      <c r="C184" s="117" t="s">
        <v>1476</v>
      </c>
      <c r="D184" s="257"/>
      <c r="E184" s="211"/>
      <c r="F184" s="205"/>
      <c r="H184" s="366"/>
      <c r="J184" s="179"/>
      <c r="K184" s="179"/>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row>
    <row r="185" spans="2:32">
      <c r="B185" s="117"/>
      <c r="C185" s="661" t="str">
        <f>Fleet!C136</f>
        <v>Drill Machine/ 115mm diameter</v>
      </c>
      <c r="D185" s="257"/>
      <c r="E185" s="121" t="s">
        <v>740</v>
      </c>
      <c r="F185" s="205" t="s">
        <v>218</v>
      </c>
      <c r="G185">
        <f>IF(Assumptions_Dashboard!$L$4="MDO",0,3)</f>
        <v>3</v>
      </c>
      <c r="H185" s="366">
        <f>IFERROR(VLOOKUP(F185,Assumptions_Dashboard!$C$38:$D$72,2,FALSE),0)</f>
        <v>600000</v>
      </c>
      <c r="J185" s="179"/>
      <c r="K185" s="179"/>
      <c r="L185" s="179"/>
      <c r="M185" s="179"/>
      <c r="N185" s="179">
        <f>IF($G185=0,0,ROUND(($G185*(1+Assumptions_Dashboard!$D$114)+(1+Assumptions_Dashboard!$D$115)*Fleet!K136),0))</f>
        <v>5</v>
      </c>
      <c r="O185" s="179">
        <f>IF($G185=0,0,ROUND(($G185*(1+Assumptions_Dashboard!$D$114)+(1+Assumptions_Dashboard!$D$115)*Fleet!L136),0))</f>
        <v>5</v>
      </c>
      <c r="P185" s="179">
        <f>IF($G185=0,0,ROUND(($G185*(1+Assumptions_Dashboard!$D$114)+(1+Assumptions_Dashboard!$D$115)*Fleet!M136),0))</f>
        <v>5</v>
      </c>
      <c r="Q185" s="179">
        <f>IF($G185=0,0,ROUND(($G185*(1+Assumptions_Dashboard!$D$114)+(1+Assumptions_Dashboard!$D$115)*Fleet!N136),0))</f>
        <v>5</v>
      </c>
      <c r="R185" s="179">
        <f>IF($G185=0,0,ROUND(($G185*(1+Assumptions_Dashboard!$D$114)+(1+Assumptions_Dashboard!$D$115)*Fleet!O136),0))</f>
        <v>5</v>
      </c>
      <c r="S185" s="179">
        <f>IF($G185=0,0,ROUND(($G185*(1+Assumptions_Dashboard!$D$114)+(1+Assumptions_Dashboard!$D$115)*Fleet!P136),0))</f>
        <v>5</v>
      </c>
      <c r="T185" s="179">
        <f>IF($G185=0,0,ROUND(($G185*(1+Assumptions_Dashboard!$D$114)+(1+Assumptions_Dashboard!$D$115)*Fleet!Q136),0))</f>
        <v>5</v>
      </c>
      <c r="U185" s="179">
        <f>IF($G185=0,0,ROUND(($G185*(1+Assumptions_Dashboard!$D$114)+(1+Assumptions_Dashboard!$D$115)*Fleet!R136),0))</f>
        <v>5</v>
      </c>
      <c r="V185" s="179">
        <f>IF($G185=0,0,ROUND(($G185*(1+Assumptions_Dashboard!$D$114)+(1+Assumptions_Dashboard!$D$115)*Fleet!S136),0))</f>
        <v>5</v>
      </c>
      <c r="W185" s="179">
        <f>IF($G185=0,0,ROUND(($G185*(1+Assumptions_Dashboard!$D$114)+(1+Assumptions_Dashboard!$D$115)*Fleet!T136),0))</f>
        <v>5</v>
      </c>
      <c r="X185" s="179">
        <f>IF($G185=0,0,ROUND(($G185*(1+Assumptions_Dashboard!$D$114)+(1+Assumptions_Dashboard!$D$115)*Fleet!U136),0))</f>
        <v>5</v>
      </c>
      <c r="Y185" s="179">
        <f>IF($G185=0,0,ROUND(($G185*(1+Assumptions_Dashboard!$D$114)+(1+Assumptions_Dashboard!$D$115)*Fleet!V136),0))</f>
        <v>5</v>
      </c>
      <c r="Z185" s="179">
        <f>IF($G185=0,0,ROUND(($G185*(1+Assumptions_Dashboard!$D$114)+(1+Assumptions_Dashboard!$D$115)*Fleet!W136),0))</f>
        <v>5</v>
      </c>
      <c r="AA185" s="179">
        <f>IF($G185=0,0,ROUND(($G185*(1+Assumptions_Dashboard!$D$114)+(1+Assumptions_Dashboard!$D$115)*Fleet!X136),0))</f>
        <v>5</v>
      </c>
      <c r="AB185" s="179">
        <f>IF($G185=0,0,ROUND(($G185*(1+Assumptions_Dashboard!$D$114)+(1+Assumptions_Dashboard!$D$115)*Fleet!Y136),0))</f>
        <v>5</v>
      </c>
      <c r="AC185" s="179">
        <f>IF($G185=0,0,ROUND(($G185*(1+Assumptions_Dashboard!$D$114)+(1+Assumptions_Dashboard!$D$115)*Fleet!Z136),0))</f>
        <v>5</v>
      </c>
      <c r="AD185" s="179">
        <f>IF($G185=0,0,ROUND(($G185*(1+Assumptions_Dashboard!$D$114)+(1+Assumptions_Dashboard!$D$115)*Fleet!AA136),0))</f>
        <v>5</v>
      </c>
      <c r="AE185" s="179">
        <f>IF($G185=0,0,ROUND(($G185*(1+Assumptions_Dashboard!$D$114)+(1+Assumptions_Dashboard!$D$115)*Fleet!AB136),0))</f>
        <v>5</v>
      </c>
      <c r="AF185" s="179">
        <f>IF($G185=0,0,ROUND(($G185*(1+Assumptions_Dashboard!$D$114)+(1+Assumptions_Dashboard!$D$115)*Fleet!AC136),0))</f>
        <v>5</v>
      </c>
    </row>
    <row r="186" spans="2:32">
      <c r="B186" s="250"/>
      <c r="C186" s="661" t="str">
        <f>Fleet!C137</f>
        <v>Drill Machine/ 160mm diameter</v>
      </c>
      <c r="D186" s="257"/>
      <c r="E186" s="121" t="s">
        <v>740</v>
      </c>
      <c r="F186" s="205" t="s">
        <v>218</v>
      </c>
      <c r="G186">
        <f>IF(Assumptions_Dashboard!$L$4="MDO",0,3)</f>
        <v>3</v>
      </c>
      <c r="H186" s="366">
        <f>IFERROR(VLOOKUP(F186,Assumptions_Dashboard!$C$38:$D$72,2,FALSE),0)</f>
        <v>600000</v>
      </c>
      <c r="J186" s="179"/>
      <c r="K186" s="179"/>
      <c r="L186" s="179"/>
      <c r="M186" s="179"/>
      <c r="N186" s="179">
        <f>IF($G186=0,0,ROUND(($G186*(1+Assumptions_Dashboard!$D$114)+(1+Assumptions_Dashboard!$D$115)*Fleet!K137),0))</f>
        <v>5</v>
      </c>
      <c r="O186" s="179">
        <f>IF($G186=0,0,ROUND(($G186*(1+Assumptions_Dashboard!$D$114)+(1+Assumptions_Dashboard!$D$115)*Fleet!L137),0))</f>
        <v>5</v>
      </c>
      <c r="P186" s="179">
        <f>IF($G186=0,0,ROUND(($G186*(1+Assumptions_Dashboard!$D$114)+(1+Assumptions_Dashboard!$D$115)*Fleet!M137),0))</f>
        <v>6</v>
      </c>
      <c r="Q186" s="179">
        <f>IF($G186=0,0,ROUND(($G186*(1+Assumptions_Dashboard!$D$114)+(1+Assumptions_Dashboard!$D$115)*Fleet!N137),0))</f>
        <v>7</v>
      </c>
      <c r="R186" s="179">
        <f>IF($G186=0,0,ROUND(($G186*(1+Assumptions_Dashboard!$D$114)+(1+Assumptions_Dashboard!$D$115)*Fleet!O137),0))</f>
        <v>7</v>
      </c>
      <c r="S186" s="179">
        <f>IF($G186=0,0,ROUND(($G186*(1+Assumptions_Dashboard!$D$114)+(1+Assumptions_Dashboard!$D$115)*Fleet!P137),0))</f>
        <v>8</v>
      </c>
      <c r="T186" s="179">
        <f>IF($G186=0,0,ROUND(($G186*(1+Assumptions_Dashboard!$D$114)+(1+Assumptions_Dashboard!$D$115)*Fleet!Q137),0))</f>
        <v>8</v>
      </c>
      <c r="U186" s="179">
        <f>IF($G186=0,0,ROUND(($G186*(1+Assumptions_Dashboard!$D$114)+(1+Assumptions_Dashboard!$D$115)*Fleet!R137),0))</f>
        <v>7</v>
      </c>
      <c r="V186" s="179">
        <f>IF($G186=0,0,ROUND(($G186*(1+Assumptions_Dashboard!$D$114)+(1+Assumptions_Dashboard!$D$115)*Fleet!S137),0))</f>
        <v>7</v>
      </c>
      <c r="W186" s="179">
        <f>IF($G186=0,0,ROUND(($G186*(1+Assumptions_Dashboard!$D$114)+(1+Assumptions_Dashboard!$D$115)*Fleet!T137),0))</f>
        <v>7</v>
      </c>
      <c r="X186" s="179">
        <f>IF($G186=0,0,ROUND(($G186*(1+Assumptions_Dashboard!$D$114)+(1+Assumptions_Dashboard!$D$115)*Fleet!U137),0))</f>
        <v>7</v>
      </c>
      <c r="Y186" s="179">
        <f>IF($G186=0,0,ROUND(($G186*(1+Assumptions_Dashboard!$D$114)+(1+Assumptions_Dashboard!$D$115)*Fleet!V137),0))</f>
        <v>7</v>
      </c>
      <c r="Z186" s="179">
        <f>IF($G186=0,0,ROUND(($G186*(1+Assumptions_Dashboard!$D$114)+(1+Assumptions_Dashboard!$D$115)*Fleet!W137),0))</f>
        <v>6</v>
      </c>
      <c r="AA186" s="179">
        <f>IF($G186=0,0,ROUND(($G186*(1+Assumptions_Dashboard!$D$114)+(1+Assumptions_Dashboard!$D$115)*Fleet!X137),0))</f>
        <v>7</v>
      </c>
      <c r="AB186" s="179">
        <f>IF($G186=0,0,ROUND(($G186*(1+Assumptions_Dashboard!$D$114)+(1+Assumptions_Dashboard!$D$115)*Fleet!Y137),0))</f>
        <v>7</v>
      </c>
      <c r="AC186" s="179">
        <f>IF($G186=0,0,ROUND(($G186*(1+Assumptions_Dashboard!$D$114)+(1+Assumptions_Dashboard!$D$115)*Fleet!Z137),0))</f>
        <v>7</v>
      </c>
      <c r="AD186" s="179">
        <f>IF($G186=0,0,ROUND(($G186*(1+Assumptions_Dashboard!$D$114)+(1+Assumptions_Dashboard!$D$115)*Fleet!AA137),0))</f>
        <v>6</v>
      </c>
      <c r="AE186" s="179">
        <f>IF($G186=0,0,ROUND(($G186*(1+Assumptions_Dashboard!$D$114)+(1+Assumptions_Dashboard!$D$115)*Fleet!AB137),0))</f>
        <v>5</v>
      </c>
      <c r="AF186" s="179">
        <f>IF($G186=0,0,ROUND(($G186*(1+Assumptions_Dashboard!$D$114)+(1+Assumptions_Dashboard!$D$115)*Fleet!AC137),0))</f>
        <v>5</v>
      </c>
    </row>
    <row r="187" spans="2:32">
      <c r="B187" s="250"/>
      <c r="C187" s="661" t="str">
        <f>Fleet!C138</f>
        <v>Drill Machine/ 250mm diameter</v>
      </c>
      <c r="D187" s="257"/>
      <c r="E187" s="121" t="s">
        <v>740</v>
      </c>
      <c r="F187" s="205" t="s">
        <v>216</v>
      </c>
      <c r="G187">
        <f>IF(Assumptions_Dashboard!$L$4="MDO",0,3)</f>
        <v>3</v>
      </c>
      <c r="H187" s="366">
        <f>IFERROR(VLOOKUP(F187,Assumptions_Dashboard!$C$38:$D$72,2,FALSE),0)</f>
        <v>610000</v>
      </c>
      <c r="J187" s="179"/>
      <c r="K187" s="179"/>
      <c r="L187" s="179"/>
      <c r="M187" s="179"/>
      <c r="N187" s="179">
        <f>IF($G187=0,0,ROUND(($G187*(1+Assumptions_Dashboard!$D$114)+(1+Assumptions_Dashboard!$D$115)*Fleet!K138),0))</f>
        <v>7</v>
      </c>
      <c r="O187" s="179">
        <f>IF($G187=0,0,ROUND(($G187*(1+Assumptions_Dashboard!$D$114)+(1+Assumptions_Dashboard!$D$115)*Fleet!L138),0))</f>
        <v>7</v>
      </c>
      <c r="P187" s="179">
        <f>IF($G187=0,0,ROUND(($G187*(1+Assumptions_Dashboard!$D$114)+(1+Assumptions_Dashboard!$D$115)*Fleet!M138),0))</f>
        <v>8</v>
      </c>
      <c r="Q187" s="179">
        <f>IF($G187=0,0,ROUND(($G187*(1+Assumptions_Dashboard!$D$114)+(1+Assumptions_Dashboard!$D$115)*Fleet!N138),0))</f>
        <v>14</v>
      </c>
      <c r="R187" s="179">
        <f>IF($G187=0,0,ROUND(($G187*(1+Assumptions_Dashboard!$D$114)+(1+Assumptions_Dashboard!$D$115)*Fleet!O138),0))</f>
        <v>13</v>
      </c>
      <c r="S187" s="179">
        <f>IF($G187=0,0,ROUND(($G187*(1+Assumptions_Dashboard!$D$114)+(1+Assumptions_Dashboard!$D$115)*Fleet!P138),0))</f>
        <v>16</v>
      </c>
      <c r="T187" s="179">
        <f>IF($G187=0,0,ROUND(($G187*(1+Assumptions_Dashboard!$D$114)+(1+Assumptions_Dashboard!$D$115)*Fleet!Q138),0))</f>
        <v>15</v>
      </c>
      <c r="U187" s="179">
        <f>IF($G187=0,0,ROUND(($G187*(1+Assumptions_Dashboard!$D$114)+(1+Assumptions_Dashboard!$D$115)*Fleet!R138),0))</f>
        <v>13</v>
      </c>
      <c r="V187" s="179">
        <f>IF($G187=0,0,ROUND(($G187*(1+Assumptions_Dashboard!$D$114)+(1+Assumptions_Dashboard!$D$115)*Fleet!S138),0))</f>
        <v>14</v>
      </c>
      <c r="W187" s="179">
        <f>IF($G187=0,0,ROUND(($G187*(1+Assumptions_Dashboard!$D$114)+(1+Assumptions_Dashboard!$D$115)*Fleet!T138),0))</f>
        <v>13</v>
      </c>
      <c r="X187" s="179">
        <f>IF($G187=0,0,ROUND(($G187*(1+Assumptions_Dashboard!$D$114)+(1+Assumptions_Dashboard!$D$115)*Fleet!U138),0))</f>
        <v>14</v>
      </c>
      <c r="Y187" s="179">
        <f>IF($G187=0,0,ROUND(($G187*(1+Assumptions_Dashboard!$D$114)+(1+Assumptions_Dashboard!$D$115)*Fleet!V138),0))</f>
        <v>11</v>
      </c>
      <c r="Z187" s="179">
        <f>IF($G187=0,0,ROUND(($G187*(1+Assumptions_Dashboard!$D$114)+(1+Assumptions_Dashboard!$D$115)*Fleet!W138),0))</f>
        <v>10</v>
      </c>
      <c r="AA187" s="179">
        <f>IF($G187=0,0,ROUND(($G187*(1+Assumptions_Dashboard!$D$114)+(1+Assumptions_Dashboard!$D$115)*Fleet!X138),0))</f>
        <v>11</v>
      </c>
      <c r="AB187" s="179">
        <f>IF($G187=0,0,ROUND(($G187*(1+Assumptions_Dashboard!$D$114)+(1+Assumptions_Dashboard!$D$115)*Fleet!Y138),0))</f>
        <v>11</v>
      </c>
      <c r="AC187" s="179">
        <f>IF($G187=0,0,ROUND(($G187*(1+Assumptions_Dashboard!$D$114)+(1+Assumptions_Dashboard!$D$115)*Fleet!Z138),0))</f>
        <v>14</v>
      </c>
      <c r="AD187" s="179">
        <f>IF($G187=0,0,ROUND(($G187*(1+Assumptions_Dashboard!$D$114)+(1+Assumptions_Dashboard!$D$115)*Fleet!AA138),0))</f>
        <v>10</v>
      </c>
      <c r="AE187" s="179">
        <f>IF($G187=0,0,ROUND(($G187*(1+Assumptions_Dashboard!$D$114)+(1+Assumptions_Dashboard!$D$115)*Fleet!AB138),0))</f>
        <v>5</v>
      </c>
      <c r="AF187" s="179">
        <f>IF($G187=0,0,ROUND(($G187*(1+Assumptions_Dashboard!$D$114)+(1+Assumptions_Dashboard!$D$115)*Fleet!AC138),0))</f>
        <v>5</v>
      </c>
    </row>
    <row r="188" spans="2:32">
      <c r="B188" s="250"/>
      <c r="C188" s="661" t="str">
        <f>Fleet!C139</f>
        <v>Diesel hydraulic Shovel/ 1.0 cum</v>
      </c>
      <c r="D188" s="257"/>
      <c r="E188" s="121" t="s">
        <v>740</v>
      </c>
      <c r="F188" s="205" t="s">
        <v>216</v>
      </c>
      <c r="G188">
        <f>IF(Assumptions_Dashboard!$L$4="MDO",0,3)</f>
        <v>3</v>
      </c>
      <c r="H188" s="366">
        <f>IFERROR(VLOOKUP(F188,Assumptions_Dashboard!$C$38:$D$72,2,FALSE),0)</f>
        <v>610000</v>
      </c>
      <c r="J188" s="179"/>
      <c r="K188" s="179"/>
      <c r="L188" s="179"/>
      <c r="M188" s="179"/>
      <c r="N188" s="179">
        <f>IF($G188=0,0,ROUND(($G188*(1+Assumptions_Dashboard!$D$114)+(1+Assumptions_Dashboard!$D$115)*Fleet!K139),0))</f>
        <v>3</v>
      </c>
      <c r="O188" s="179">
        <f>IF($G188=0,0,ROUND(($G188*(1+Assumptions_Dashboard!$D$114)+(1+Assumptions_Dashboard!$D$115)*Fleet!L139),0))</f>
        <v>3</v>
      </c>
      <c r="P188" s="179">
        <f>IF($G188=0,0,ROUND(($G188*(1+Assumptions_Dashboard!$D$114)+(1+Assumptions_Dashboard!$D$115)*Fleet!M139),0))</f>
        <v>3</v>
      </c>
      <c r="Q188" s="179">
        <f>IF($G188=0,0,ROUND(($G188*(1+Assumptions_Dashboard!$D$114)+(1+Assumptions_Dashboard!$D$115)*Fleet!N139),0))</f>
        <v>3</v>
      </c>
      <c r="R188" s="179">
        <f>IF($G188=0,0,ROUND(($G188*(1+Assumptions_Dashboard!$D$114)+(1+Assumptions_Dashboard!$D$115)*Fleet!O139),0))</f>
        <v>3</v>
      </c>
      <c r="S188" s="179">
        <f>IF($G188=0,0,ROUND(($G188*(1+Assumptions_Dashboard!$D$114)+(1+Assumptions_Dashboard!$D$115)*Fleet!P139),0))</f>
        <v>3</v>
      </c>
      <c r="T188" s="179">
        <f>IF($G188=0,0,ROUND(($G188*(1+Assumptions_Dashboard!$D$114)+(1+Assumptions_Dashboard!$D$115)*Fleet!Q139),0))</f>
        <v>3</v>
      </c>
      <c r="U188" s="179">
        <f>IF($G188=0,0,ROUND(($G188*(1+Assumptions_Dashboard!$D$114)+(1+Assumptions_Dashboard!$D$115)*Fleet!R139),0))</f>
        <v>3</v>
      </c>
      <c r="V188" s="179">
        <f>IF($G188=0,0,ROUND(($G188*(1+Assumptions_Dashboard!$D$114)+(1+Assumptions_Dashboard!$D$115)*Fleet!S139),0))</f>
        <v>3</v>
      </c>
      <c r="W188" s="179">
        <f>IF($G188=0,0,ROUND(($G188*(1+Assumptions_Dashboard!$D$114)+(1+Assumptions_Dashboard!$D$115)*Fleet!T139),0))</f>
        <v>3</v>
      </c>
      <c r="X188" s="179">
        <f>IF($G188=0,0,ROUND(($G188*(1+Assumptions_Dashboard!$D$114)+(1+Assumptions_Dashboard!$D$115)*Fleet!U139),0))</f>
        <v>3</v>
      </c>
      <c r="Y188" s="179">
        <f>IF($G188=0,0,ROUND(($G188*(1+Assumptions_Dashboard!$D$114)+(1+Assumptions_Dashboard!$D$115)*Fleet!V139),0))</f>
        <v>3</v>
      </c>
      <c r="Z188" s="179">
        <f>IF($G188=0,0,ROUND(($G188*(1+Assumptions_Dashboard!$D$114)+(1+Assumptions_Dashboard!$D$115)*Fleet!W139),0))</f>
        <v>3</v>
      </c>
      <c r="AA188" s="179">
        <f>IF($G188=0,0,ROUND(($G188*(1+Assumptions_Dashboard!$D$114)+(1+Assumptions_Dashboard!$D$115)*Fleet!X139),0))</f>
        <v>3</v>
      </c>
      <c r="AB188" s="179">
        <f>IF($G188=0,0,ROUND(($G188*(1+Assumptions_Dashboard!$D$114)+(1+Assumptions_Dashboard!$D$115)*Fleet!Y139),0))</f>
        <v>3</v>
      </c>
      <c r="AC188" s="179">
        <f>IF($G188=0,0,ROUND(($G188*(1+Assumptions_Dashboard!$D$114)+(1+Assumptions_Dashboard!$D$115)*Fleet!Z139),0))</f>
        <v>3</v>
      </c>
      <c r="AD188" s="179">
        <f>IF($G188=0,0,ROUND(($G188*(1+Assumptions_Dashboard!$D$114)+(1+Assumptions_Dashboard!$D$115)*Fleet!AA139),0))</f>
        <v>3</v>
      </c>
      <c r="AE188" s="179">
        <f>IF($G188=0,0,ROUND(($G188*(1+Assumptions_Dashboard!$D$114)+(1+Assumptions_Dashboard!$D$115)*Fleet!AB139),0))</f>
        <v>3</v>
      </c>
      <c r="AF188" s="179">
        <f>IF($G188=0,0,ROUND(($G188*(1+Assumptions_Dashboard!$D$114)+(1+Assumptions_Dashboard!$D$115)*Fleet!AC139),0))</f>
        <v>3</v>
      </c>
    </row>
    <row r="189" spans="2:32">
      <c r="B189" s="250"/>
      <c r="C189" s="661" t="str">
        <f>Fleet!C140</f>
        <v>Diesel hydraulic Shovel/ 4.6 cum</v>
      </c>
      <c r="D189" s="257"/>
      <c r="E189" s="121" t="s">
        <v>740</v>
      </c>
      <c r="F189" s="205" t="s">
        <v>216</v>
      </c>
      <c r="G189">
        <f>IF(Assumptions_Dashboard!$L$4="MDO",0,3)</f>
        <v>3</v>
      </c>
      <c r="H189" s="366">
        <f>IFERROR(VLOOKUP(F189,Assumptions_Dashboard!$C$38:$D$72,2,FALSE),0)</f>
        <v>610000</v>
      </c>
      <c r="J189" s="179"/>
      <c r="K189" s="179"/>
      <c r="L189" s="179"/>
      <c r="M189" s="179"/>
      <c r="N189" s="179">
        <f>IF($G189=0,0,ROUND(($G189*(1+Assumptions_Dashboard!$D$114)+(1+Assumptions_Dashboard!$D$115)*Fleet!K140),0))</f>
        <v>7</v>
      </c>
      <c r="O189" s="179">
        <f>IF($G189=0,0,ROUND(($G189*(1+Assumptions_Dashboard!$D$114)+(1+Assumptions_Dashboard!$D$115)*Fleet!L140),0))</f>
        <v>8</v>
      </c>
      <c r="P189" s="179">
        <f>IF($G189=0,0,ROUND(($G189*(1+Assumptions_Dashboard!$D$114)+(1+Assumptions_Dashboard!$D$115)*Fleet!M140),0))</f>
        <v>8</v>
      </c>
      <c r="Q189" s="179">
        <f>IF($G189=0,0,ROUND(($G189*(1+Assumptions_Dashboard!$D$114)+(1+Assumptions_Dashboard!$D$115)*Fleet!N140),0))</f>
        <v>13</v>
      </c>
      <c r="R189" s="179">
        <f>IF($G189=0,0,ROUND(($G189*(1+Assumptions_Dashboard!$D$114)+(1+Assumptions_Dashboard!$D$115)*Fleet!O140),0))</f>
        <v>13</v>
      </c>
      <c r="S189" s="179">
        <f>IF($G189=0,0,ROUND(($G189*(1+Assumptions_Dashboard!$D$114)+(1+Assumptions_Dashboard!$D$115)*Fleet!P140),0))</f>
        <v>15</v>
      </c>
      <c r="T189" s="179">
        <f>IF($G189=0,0,ROUND(($G189*(1+Assumptions_Dashboard!$D$114)+(1+Assumptions_Dashboard!$D$115)*Fleet!Q140),0))</f>
        <v>14</v>
      </c>
      <c r="U189" s="179">
        <f>IF($G189=0,0,ROUND(($G189*(1+Assumptions_Dashboard!$D$114)+(1+Assumptions_Dashboard!$D$115)*Fleet!R140),0))</f>
        <v>13</v>
      </c>
      <c r="V189" s="179">
        <f>IF($G189=0,0,ROUND(($G189*(1+Assumptions_Dashboard!$D$114)+(1+Assumptions_Dashboard!$D$115)*Fleet!S140),0))</f>
        <v>13</v>
      </c>
      <c r="W189" s="179">
        <f>IF($G189=0,0,ROUND(($G189*(1+Assumptions_Dashboard!$D$114)+(1+Assumptions_Dashboard!$D$115)*Fleet!T140),0))</f>
        <v>11</v>
      </c>
      <c r="X189" s="179">
        <f>IF($G189=0,0,ROUND(($G189*(1+Assumptions_Dashboard!$D$114)+(1+Assumptions_Dashboard!$D$115)*Fleet!U140),0))</f>
        <v>13</v>
      </c>
      <c r="Y189" s="179">
        <f>IF($G189=0,0,ROUND(($G189*(1+Assumptions_Dashboard!$D$114)+(1+Assumptions_Dashboard!$D$115)*Fleet!V140),0))</f>
        <v>10</v>
      </c>
      <c r="Z189" s="179">
        <f>IF($G189=0,0,ROUND(($G189*(1+Assumptions_Dashboard!$D$114)+(1+Assumptions_Dashboard!$D$115)*Fleet!W140),0))</f>
        <v>10</v>
      </c>
      <c r="AA189" s="179">
        <f>IF($G189=0,0,ROUND(($G189*(1+Assumptions_Dashboard!$D$114)+(1+Assumptions_Dashboard!$D$115)*Fleet!X140),0))</f>
        <v>11</v>
      </c>
      <c r="AB189" s="179">
        <f>IF($G189=0,0,ROUND(($G189*(1+Assumptions_Dashboard!$D$114)+(1+Assumptions_Dashboard!$D$115)*Fleet!Y140),0))</f>
        <v>11</v>
      </c>
      <c r="AC189" s="179">
        <f>IF($G189=0,0,ROUND(($G189*(1+Assumptions_Dashboard!$D$114)+(1+Assumptions_Dashboard!$D$115)*Fleet!Z140),0))</f>
        <v>13</v>
      </c>
      <c r="AD189" s="179">
        <f>IF($G189=0,0,ROUND(($G189*(1+Assumptions_Dashboard!$D$114)+(1+Assumptions_Dashboard!$D$115)*Fleet!AA140),0))</f>
        <v>9</v>
      </c>
      <c r="AE189" s="179">
        <f>IF($G189=0,0,ROUND(($G189*(1+Assumptions_Dashboard!$D$114)+(1+Assumptions_Dashboard!$D$115)*Fleet!AB140),0))</f>
        <v>6</v>
      </c>
      <c r="AF189" s="179">
        <f>IF($G189=0,0,ROUND(($G189*(1+Assumptions_Dashboard!$D$114)+(1+Assumptions_Dashboard!$D$115)*Fleet!AC140),0))</f>
        <v>5</v>
      </c>
    </row>
    <row r="190" spans="2:32">
      <c r="B190" s="250"/>
      <c r="C190" s="661" t="str">
        <f>Fleet!C141</f>
        <v>Diesel hydraulic shovel/ 10 cum</v>
      </c>
      <c r="D190" s="257"/>
      <c r="E190" s="121" t="s">
        <v>740</v>
      </c>
      <c r="F190" s="205" t="s">
        <v>216</v>
      </c>
      <c r="G190">
        <f>IF(Assumptions_Dashboard!$L$4="MDO",0,3)</f>
        <v>3</v>
      </c>
      <c r="H190" s="366">
        <f>IFERROR(VLOOKUP(F190,Assumptions_Dashboard!$C$38:$D$72,2,FALSE),0)</f>
        <v>610000</v>
      </c>
      <c r="J190" s="179"/>
      <c r="K190" s="179"/>
      <c r="L190" s="179"/>
      <c r="M190" s="179"/>
      <c r="N190" s="179">
        <f>IF($G190=0,0,ROUND(($G190*(1+Assumptions_Dashboard!$D$114)+(1+Assumptions_Dashboard!$D$115)*Fleet!K141),0))</f>
        <v>7</v>
      </c>
      <c r="O190" s="179">
        <f>IF($G190=0,0,ROUND(($G190*(1+Assumptions_Dashboard!$D$114)+(1+Assumptions_Dashboard!$D$115)*Fleet!L141),0))</f>
        <v>6</v>
      </c>
      <c r="P190" s="179">
        <f>IF($G190=0,0,ROUND(($G190*(1+Assumptions_Dashboard!$D$114)+(1+Assumptions_Dashboard!$D$115)*Fleet!M141),0))</f>
        <v>8</v>
      </c>
      <c r="Q190" s="179">
        <f>IF($G190=0,0,ROUND(($G190*(1+Assumptions_Dashboard!$D$114)+(1+Assumptions_Dashboard!$D$115)*Fleet!N141),0))</f>
        <v>14</v>
      </c>
      <c r="R190" s="179">
        <f>IF($G190=0,0,ROUND(($G190*(1+Assumptions_Dashboard!$D$114)+(1+Assumptions_Dashboard!$D$115)*Fleet!O141),0))</f>
        <v>13</v>
      </c>
      <c r="S190" s="179">
        <f>IF($G190=0,0,ROUND(($G190*(1+Assumptions_Dashboard!$D$114)+(1+Assumptions_Dashboard!$D$115)*Fleet!P141),0))</f>
        <v>16</v>
      </c>
      <c r="T190" s="179">
        <f>IF($G190=0,0,ROUND(($G190*(1+Assumptions_Dashboard!$D$114)+(1+Assumptions_Dashboard!$D$115)*Fleet!Q141),0))</f>
        <v>15</v>
      </c>
      <c r="U190" s="179">
        <f>IF($G190=0,0,ROUND(($G190*(1+Assumptions_Dashboard!$D$114)+(1+Assumptions_Dashboard!$D$115)*Fleet!R141),0))</f>
        <v>14</v>
      </c>
      <c r="V190" s="179">
        <f>IF($G190=0,0,ROUND(($G190*(1+Assumptions_Dashboard!$D$114)+(1+Assumptions_Dashboard!$D$115)*Fleet!S141),0))</f>
        <v>14</v>
      </c>
      <c r="W190" s="179">
        <f>IF($G190=0,0,ROUND(($G190*(1+Assumptions_Dashboard!$D$114)+(1+Assumptions_Dashboard!$D$115)*Fleet!T141),0))</f>
        <v>13</v>
      </c>
      <c r="X190" s="179">
        <f>IF($G190=0,0,ROUND(($G190*(1+Assumptions_Dashboard!$D$114)+(1+Assumptions_Dashboard!$D$115)*Fleet!U141),0))</f>
        <v>14</v>
      </c>
      <c r="Y190" s="179">
        <f>IF($G190=0,0,ROUND(($G190*(1+Assumptions_Dashboard!$D$114)+(1+Assumptions_Dashboard!$D$115)*Fleet!V141),0))</f>
        <v>11</v>
      </c>
      <c r="Z190" s="179">
        <f>IF($G190=0,0,ROUND(($G190*(1+Assumptions_Dashboard!$D$114)+(1+Assumptions_Dashboard!$D$115)*Fleet!W141),0))</f>
        <v>10</v>
      </c>
      <c r="AA190" s="179">
        <f>IF($G190=0,0,ROUND(($G190*(1+Assumptions_Dashboard!$D$114)+(1+Assumptions_Dashboard!$D$115)*Fleet!X141),0))</f>
        <v>13</v>
      </c>
      <c r="AB190" s="179">
        <f>IF($G190=0,0,ROUND(($G190*(1+Assumptions_Dashboard!$D$114)+(1+Assumptions_Dashboard!$D$115)*Fleet!Y141),0))</f>
        <v>13</v>
      </c>
      <c r="AC190" s="179">
        <f>IF($G190=0,0,ROUND(($G190*(1+Assumptions_Dashboard!$D$114)+(1+Assumptions_Dashboard!$D$115)*Fleet!Z141),0))</f>
        <v>15</v>
      </c>
      <c r="AD190" s="179">
        <f>IF($G190=0,0,ROUND(($G190*(1+Assumptions_Dashboard!$D$114)+(1+Assumptions_Dashboard!$D$115)*Fleet!AA141),0))</f>
        <v>10</v>
      </c>
      <c r="AE190" s="179">
        <f>IF($G190=0,0,ROUND(($G190*(1+Assumptions_Dashboard!$D$114)+(1+Assumptions_Dashboard!$D$115)*Fleet!AB141),0))</f>
        <v>5</v>
      </c>
      <c r="AF190" s="179">
        <f>IF($G190=0,0,ROUND(($G190*(1+Assumptions_Dashboard!$D$114)+(1+Assumptions_Dashboard!$D$115)*Fleet!AC141),0))</f>
        <v>3</v>
      </c>
    </row>
    <row r="191" spans="2:32">
      <c r="B191" s="250"/>
      <c r="C191" s="661" t="str">
        <f>Fleet!C142</f>
        <v>Diesel hydraulic Shovel/ 3.4 cum</v>
      </c>
      <c r="D191" s="257"/>
      <c r="E191" s="121" t="s">
        <v>740</v>
      </c>
      <c r="F191" s="205" t="s">
        <v>216</v>
      </c>
      <c r="G191">
        <f>IF(Assumptions_Dashboard!$L$4="MDO",0,3)</f>
        <v>3</v>
      </c>
      <c r="H191" s="366">
        <f>IFERROR(VLOOKUP(F191,Assumptions_Dashboard!$C$38:$D$72,2,FALSE),0)</f>
        <v>610000</v>
      </c>
      <c r="J191" s="179"/>
      <c r="K191" s="179"/>
      <c r="L191" s="179"/>
      <c r="M191" s="179"/>
      <c r="N191" s="179">
        <f>IF($G191=0,0,ROUND(($G191*(1+Assumptions_Dashboard!$D$114)+(1+Assumptions_Dashboard!$D$115)*Fleet!K142),0))</f>
        <v>3</v>
      </c>
      <c r="O191" s="179">
        <f>IF($G191=0,0,ROUND(($G191*(1+Assumptions_Dashboard!$D$114)+(1+Assumptions_Dashboard!$D$115)*Fleet!L142),0))</f>
        <v>3</v>
      </c>
      <c r="P191" s="179">
        <f>IF($G191=0,0,ROUND(($G191*(1+Assumptions_Dashboard!$D$114)+(1+Assumptions_Dashboard!$D$115)*Fleet!M142),0))</f>
        <v>3</v>
      </c>
      <c r="Q191" s="179">
        <f>IF($G191=0,0,ROUND(($G191*(1+Assumptions_Dashboard!$D$114)+(1+Assumptions_Dashboard!$D$115)*Fleet!N142),0))</f>
        <v>3</v>
      </c>
      <c r="R191" s="179">
        <f>IF($G191=0,0,ROUND(($G191*(1+Assumptions_Dashboard!$D$114)+(1+Assumptions_Dashboard!$D$115)*Fleet!O142),0))</f>
        <v>3</v>
      </c>
      <c r="S191" s="179">
        <f>IF($G191=0,0,ROUND(($G191*(1+Assumptions_Dashboard!$D$114)+(1+Assumptions_Dashboard!$D$115)*Fleet!P142),0))</f>
        <v>3</v>
      </c>
      <c r="T191" s="179">
        <f>IF($G191=0,0,ROUND(($G191*(1+Assumptions_Dashboard!$D$114)+(1+Assumptions_Dashboard!$D$115)*Fleet!Q142),0))</f>
        <v>3</v>
      </c>
      <c r="U191" s="179">
        <f>IF($G191=0,0,ROUND(($G191*(1+Assumptions_Dashboard!$D$114)+(1+Assumptions_Dashboard!$D$115)*Fleet!R142),0))</f>
        <v>3</v>
      </c>
      <c r="V191" s="179">
        <f>IF($G191=0,0,ROUND(($G191*(1+Assumptions_Dashboard!$D$114)+(1+Assumptions_Dashboard!$D$115)*Fleet!S142),0))</f>
        <v>3</v>
      </c>
      <c r="W191" s="179">
        <f>IF($G191=0,0,ROUND(($G191*(1+Assumptions_Dashboard!$D$114)+(1+Assumptions_Dashboard!$D$115)*Fleet!T142),0))</f>
        <v>3</v>
      </c>
      <c r="X191" s="179">
        <f>IF($G191=0,0,ROUND(($G191*(1+Assumptions_Dashboard!$D$114)+(1+Assumptions_Dashboard!$D$115)*Fleet!U142),0))</f>
        <v>3</v>
      </c>
      <c r="Y191" s="179">
        <f>IF($G191=0,0,ROUND(($G191*(1+Assumptions_Dashboard!$D$114)+(1+Assumptions_Dashboard!$D$115)*Fleet!V142),0))</f>
        <v>3</v>
      </c>
      <c r="Z191" s="179">
        <f>IF($G191=0,0,ROUND(($G191*(1+Assumptions_Dashboard!$D$114)+(1+Assumptions_Dashboard!$D$115)*Fleet!W142),0))</f>
        <v>3</v>
      </c>
      <c r="AA191" s="179">
        <f>IF($G191=0,0,ROUND(($G191*(1+Assumptions_Dashboard!$D$114)+(1+Assumptions_Dashboard!$D$115)*Fleet!X142),0))</f>
        <v>3</v>
      </c>
      <c r="AB191" s="179">
        <f>IF($G191=0,0,ROUND(($G191*(1+Assumptions_Dashboard!$D$114)+(1+Assumptions_Dashboard!$D$115)*Fleet!Y142),0))</f>
        <v>3</v>
      </c>
      <c r="AC191" s="179">
        <f>IF($G191=0,0,ROUND(($G191*(1+Assumptions_Dashboard!$D$114)+(1+Assumptions_Dashboard!$D$115)*Fleet!Z142),0))</f>
        <v>3</v>
      </c>
      <c r="AD191" s="179">
        <f>IF($G191=0,0,ROUND(($G191*(1+Assumptions_Dashboard!$D$114)+(1+Assumptions_Dashboard!$D$115)*Fleet!AA142),0))</f>
        <v>3</v>
      </c>
      <c r="AE191" s="179">
        <f>IF($G191=0,0,ROUND(($G191*(1+Assumptions_Dashboard!$D$114)+(1+Assumptions_Dashboard!$D$115)*Fleet!AB142),0))</f>
        <v>3</v>
      </c>
      <c r="AF191" s="179">
        <f>IF($G191=0,0,ROUND(($G191*(1+Assumptions_Dashboard!$D$114)+(1+Assumptions_Dashboard!$D$115)*Fleet!AC142),0))</f>
        <v>3</v>
      </c>
    </row>
    <row r="192" spans="2:32">
      <c r="B192" s="250"/>
      <c r="C192" s="661" t="str">
        <f>Fleet!C143</f>
        <v>Diesel hydraulic Shovel/ 3.4 cum</v>
      </c>
      <c r="D192" s="257"/>
      <c r="E192" s="121" t="s">
        <v>740</v>
      </c>
      <c r="F192" s="205" t="s">
        <v>216</v>
      </c>
      <c r="G192">
        <f>IF(Assumptions_Dashboard!$L$4="MDO",0,3)</f>
        <v>3</v>
      </c>
      <c r="H192" s="366">
        <f>IFERROR(VLOOKUP(F192,Assumptions_Dashboard!$C$38:$D$72,2,FALSE),0)</f>
        <v>610000</v>
      </c>
      <c r="J192" s="179"/>
      <c r="K192" s="179"/>
      <c r="L192" s="179"/>
      <c r="M192" s="179"/>
      <c r="N192" s="179">
        <f>IF($G192=0,0,ROUND(($G192*(1+Assumptions_Dashboard!$D$114)+(1+Assumptions_Dashboard!$D$115)*Fleet!K143),0))</f>
        <v>3</v>
      </c>
      <c r="O192" s="179">
        <f>IF($G192=0,0,ROUND(($G192*(1+Assumptions_Dashboard!$D$114)+(1+Assumptions_Dashboard!$D$115)*Fleet!L143),0))</f>
        <v>3</v>
      </c>
      <c r="P192" s="179">
        <f>IF($G192=0,0,ROUND(($G192*(1+Assumptions_Dashboard!$D$114)+(1+Assumptions_Dashboard!$D$115)*Fleet!M143),0))</f>
        <v>3</v>
      </c>
      <c r="Q192" s="179">
        <f>IF($G192=0,0,ROUND(($G192*(1+Assumptions_Dashboard!$D$114)+(1+Assumptions_Dashboard!$D$115)*Fleet!N143),0))</f>
        <v>3</v>
      </c>
      <c r="R192" s="179">
        <f>IF($G192=0,0,ROUND(($G192*(1+Assumptions_Dashboard!$D$114)+(1+Assumptions_Dashboard!$D$115)*Fleet!O143),0))</f>
        <v>3</v>
      </c>
      <c r="S192" s="179">
        <f>IF($G192=0,0,ROUND(($G192*(1+Assumptions_Dashboard!$D$114)+(1+Assumptions_Dashboard!$D$115)*Fleet!P143),0))</f>
        <v>3</v>
      </c>
      <c r="T192" s="179">
        <f>IF($G192=0,0,ROUND(($G192*(1+Assumptions_Dashboard!$D$114)+(1+Assumptions_Dashboard!$D$115)*Fleet!Q143),0))</f>
        <v>3</v>
      </c>
      <c r="U192" s="179">
        <f>IF($G192=0,0,ROUND(($G192*(1+Assumptions_Dashboard!$D$114)+(1+Assumptions_Dashboard!$D$115)*Fleet!R143),0))</f>
        <v>3</v>
      </c>
      <c r="V192" s="179">
        <f>IF($G192=0,0,ROUND(($G192*(1+Assumptions_Dashboard!$D$114)+(1+Assumptions_Dashboard!$D$115)*Fleet!S143),0))</f>
        <v>3</v>
      </c>
      <c r="W192" s="179">
        <f>IF($G192=0,0,ROUND(($G192*(1+Assumptions_Dashboard!$D$114)+(1+Assumptions_Dashboard!$D$115)*Fleet!T143),0))</f>
        <v>3</v>
      </c>
      <c r="X192" s="179">
        <f>IF($G192=0,0,ROUND(($G192*(1+Assumptions_Dashboard!$D$114)+(1+Assumptions_Dashboard!$D$115)*Fleet!U143),0))</f>
        <v>3</v>
      </c>
      <c r="Y192" s="179">
        <f>IF($G192=0,0,ROUND(($G192*(1+Assumptions_Dashboard!$D$114)+(1+Assumptions_Dashboard!$D$115)*Fleet!V143),0))</f>
        <v>3</v>
      </c>
      <c r="Z192" s="179">
        <f>IF($G192=0,0,ROUND(($G192*(1+Assumptions_Dashboard!$D$114)+(1+Assumptions_Dashboard!$D$115)*Fleet!W143),0))</f>
        <v>3</v>
      </c>
      <c r="AA192" s="179">
        <f>IF($G192=0,0,ROUND(($G192*(1+Assumptions_Dashboard!$D$114)+(1+Assumptions_Dashboard!$D$115)*Fleet!X143),0))</f>
        <v>3</v>
      </c>
      <c r="AB192" s="179">
        <f>IF($G192=0,0,ROUND(($G192*(1+Assumptions_Dashboard!$D$114)+(1+Assumptions_Dashboard!$D$115)*Fleet!Y143),0))</f>
        <v>3</v>
      </c>
      <c r="AC192" s="179">
        <f>IF($G192=0,0,ROUND(($G192*(1+Assumptions_Dashboard!$D$114)+(1+Assumptions_Dashboard!$D$115)*Fleet!Z143),0))</f>
        <v>3</v>
      </c>
      <c r="AD192" s="179">
        <f>IF($G192=0,0,ROUND(($G192*(1+Assumptions_Dashboard!$D$114)+(1+Assumptions_Dashboard!$D$115)*Fleet!AA143),0))</f>
        <v>3</v>
      </c>
      <c r="AE192" s="179">
        <f>IF($G192=0,0,ROUND(($G192*(1+Assumptions_Dashboard!$D$114)+(1+Assumptions_Dashboard!$D$115)*Fleet!AB143),0))</f>
        <v>3</v>
      </c>
      <c r="AF192" s="179">
        <f>IF($G192=0,0,ROUND(($G192*(1+Assumptions_Dashboard!$D$114)+(1+Assumptions_Dashboard!$D$115)*Fleet!AC143),0))</f>
        <v>3</v>
      </c>
    </row>
    <row r="193" spans="3:32">
      <c r="C193" s="661" t="str">
        <f>Fleet!C144</f>
        <v>Surface Miner/ 2200 SM</v>
      </c>
      <c r="D193" s="257"/>
      <c r="E193" s="121" t="s">
        <v>740</v>
      </c>
      <c r="F193" s="205" t="s">
        <v>216</v>
      </c>
      <c r="G193">
        <f>IF(Assumptions_Dashboard!$L$4="MDO",0,3)</f>
        <v>3</v>
      </c>
      <c r="H193" s="366">
        <f>IFERROR(VLOOKUP(F193,Assumptions_Dashboard!$C$38:$D$72,2,FALSE),0)</f>
        <v>610000</v>
      </c>
      <c r="J193" s="179"/>
      <c r="K193" s="179"/>
      <c r="L193" s="179"/>
      <c r="M193" s="179"/>
      <c r="N193" s="179">
        <f>IF($G193=0,0,ROUND(($G193*(1+Assumptions_Dashboard!$D$114)+(1+Assumptions_Dashboard!$D$115)*Fleet!K144),0))</f>
        <v>3</v>
      </c>
      <c r="O193" s="179">
        <f>IF($G193=0,0,ROUND(($G193*(1+Assumptions_Dashboard!$D$114)+(1+Assumptions_Dashboard!$D$115)*Fleet!L144),0))</f>
        <v>3</v>
      </c>
      <c r="P193" s="179">
        <f>IF($G193=0,0,ROUND(($G193*(1+Assumptions_Dashboard!$D$114)+(1+Assumptions_Dashboard!$D$115)*Fleet!M144),0))</f>
        <v>6</v>
      </c>
      <c r="Q193" s="179">
        <f>IF($G193=0,0,ROUND(($G193*(1+Assumptions_Dashboard!$D$114)+(1+Assumptions_Dashboard!$D$115)*Fleet!N144),0))</f>
        <v>7</v>
      </c>
      <c r="R193" s="179">
        <f>IF($G193=0,0,ROUND(($G193*(1+Assumptions_Dashboard!$D$114)+(1+Assumptions_Dashboard!$D$115)*Fleet!O144),0))</f>
        <v>7</v>
      </c>
      <c r="S193" s="179">
        <f>IF($G193=0,0,ROUND(($G193*(1+Assumptions_Dashboard!$D$114)+(1+Assumptions_Dashboard!$D$115)*Fleet!P144),0))</f>
        <v>7</v>
      </c>
      <c r="T193" s="179">
        <f>IF($G193=0,0,ROUND(($G193*(1+Assumptions_Dashboard!$D$114)+(1+Assumptions_Dashboard!$D$115)*Fleet!Q144),0))</f>
        <v>7</v>
      </c>
      <c r="U193" s="179">
        <f>IF($G193=0,0,ROUND(($G193*(1+Assumptions_Dashboard!$D$114)+(1+Assumptions_Dashboard!$D$115)*Fleet!R144),0))</f>
        <v>7</v>
      </c>
      <c r="V193" s="179">
        <f>IF($G193=0,0,ROUND(($G193*(1+Assumptions_Dashboard!$D$114)+(1+Assumptions_Dashboard!$D$115)*Fleet!S144),0))</f>
        <v>7</v>
      </c>
      <c r="W193" s="179">
        <f>IF($G193=0,0,ROUND(($G193*(1+Assumptions_Dashboard!$D$114)+(1+Assumptions_Dashboard!$D$115)*Fleet!T144),0))</f>
        <v>7</v>
      </c>
      <c r="X193" s="179">
        <f>IF($G193=0,0,ROUND(($G193*(1+Assumptions_Dashboard!$D$114)+(1+Assumptions_Dashboard!$D$115)*Fleet!U144),0))</f>
        <v>7</v>
      </c>
      <c r="Y193" s="179">
        <f>IF($G193=0,0,ROUND(($G193*(1+Assumptions_Dashboard!$D$114)+(1+Assumptions_Dashboard!$D$115)*Fleet!V144),0))</f>
        <v>7</v>
      </c>
      <c r="Z193" s="179">
        <f>IF($G193=0,0,ROUND(($G193*(1+Assumptions_Dashboard!$D$114)+(1+Assumptions_Dashboard!$D$115)*Fleet!W144),0))</f>
        <v>7</v>
      </c>
      <c r="AA193" s="179">
        <f>IF($G193=0,0,ROUND(($G193*(1+Assumptions_Dashboard!$D$114)+(1+Assumptions_Dashboard!$D$115)*Fleet!X144),0))</f>
        <v>7</v>
      </c>
      <c r="AB193" s="179">
        <f>IF($G193=0,0,ROUND(($G193*(1+Assumptions_Dashboard!$D$114)+(1+Assumptions_Dashboard!$D$115)*Fleet!Y144),0))</f>
        <v>7</v>
      </c>
      <c r="AC193" s="179">
        <f>IF($G193=0,0,ROUND(($G193*(1+Assumptions_Dashboard!$D$114)+(1+Assumptions_Dashboard!$D$115)*Fleet!Z144),0))</f>
        <v>7</v>
      </c>
      <c r="AD193" s="179">
        <f>IF($G193=0,0,ROUND(($G193*(1+Assumptions_Dashboard!$D$114)+(1+Assumptions_Dashboard!$D$115)*Fleet!AA144),0))</f>
        <v>6</v>
      </c>
      <c r="AE193" s="179">
        <f>IF($G193=0,0,ROUND(($G193*(1+Assumptions_Dashboard!$D$114)+(1+Assumptions_Dashboard!$D$115)*Fleet!AB144),0))</f>
        <v>6</v>
      </c>
      <c r="AF193" s="179">
        <f>IF($G193=0,0,ROUND(($G193*(1+Assumptions_Dashboard!$D$114)+(1+Assumptions_Dashboard!$D$115)*Fleet!AC144),0))</f>
        <v>5</v>
      </c>
    </row>
    <row r="194" spans="3:32">
      <c r="C194" s="661" t="str">
        <f>Fleet!C145</f>
        <v>Front End Loader/ 6.4 cum</v>
      </c>
      <c r="D194" s="257"/>
      <c r="E194" s="121" t="s">
        <v>740</v>
      </c>
      <c r="F194" s="205" t="s">
        <v>220</v>
      </c>
      <c r="G194">
        <f>IF(Assumptions_Dashboard!$L$4="MDO",0,3)</f>
        <v>3</v>
      </c>
      <c r="H194" s="366">
        <f>IFERROR(VLOOKUP(F194,Assumptions_Dashboard!$C$38:$D$72,2,FALSE),0)</f>
        <v>600000</v>
      </c>
      <c r="J194" s="179"/>
      <c r="K194" s="179"/>
      <c r="L194" s="179"/>
      <c r="M194" s="179"/>
      <c r="N194" s="179">
        <f>IF($G194=0,0,ROUND(($G194*(1+Assumptions_Dashboard!$D$114)+(1+Assumptions_Dashboard!$D$115)*Fleet!K145),0))</f>
        <v>3</v>
      </c>
      <c r="O194" s="179">
        <f>IF($G194=0,0,ROUND(($G194*(1+Assumptions_Dashboard!$D$114)+(1+Assumptions_Dashboard!$D$115)*Fleet!L145),0))</f>
        <v>3</v>
      </c>
      <c r="P194" s="179">
        <f>IF($G194=0,0,ROUND(($G194*(1+Assumptions_Dashboard!$D$114)+(1+Assumptions_Dashboard!$D$115)*Fleet!M145),0))</f>
        <v>6</v>
      </c>
      <c r="Q194" s="179">
        <f>IF($G194=0,0,ROUND(($G194*(1+Assumptions_Dashboard!$D$114)+(1+Assumptions_Dashboard!$D$115)*Fleet!N145),0))</f>
        <v>7</v>
      </c>
      <c r="R194" s="179">
        <f>IF($G194=0,0,ROUND(($G194*(1+Assumptions_Dashboard!$D$114)+(1+Assumptions_Dashboard!$D$115)*Fleet!O145),0))</f>
        <v>8</v>
      </c>
      <c r="S194" s="179">
        <f>IF($G194=0,0,ROUND(($G194*(1+Assumptions_Dashboard!$D$114)+(1+Assumptions_Dashboard!$D$115)*Fleet!P145),0))</f>
        <v>8</v>
      </c>
      <c r="T194" s="179">
        <f>IF($G194=0,0,ROUND(($G194*(1+Assumptions_Dashboard!$D$114)+(1+Assumptions_Dashboard!$D$115)*Fleet!Q145),0))</f>
        <v>8</v>
      </c>
      <c r="U194" s="179">
        <f>IF($G194=0,0,ROUND(($G194*(1+Assumptions_Dashboard!$D$114)+(1+Assumptions_Dashboard!$D$115)*Fleet!R145),0))</f>
        <v>8</v>
      </c>
      <c r="V194" s="179">
        <f>IF($G194=0,0,ROUND(($G194*(1+Assumptions_Dashboard!$D$114)+(1+Assumptions_Dashboard!$D$115)*Fleet!S145),0))</f>
        <v>8</v>
      </c>
      <c r="W194" s="179">
        <f>IF($G194=0,0,ROUND(($G194*(1+Assumptions_Dashboard!$D$114)+(1+Assumptions_Dashboard!$D$115)*Fleet!T145),0))</f>
        <v>8</v>
      </c>
      <c r="X194" s="179">
        <f>IF($G194=0,0,ROUND(($G194*(1+Assumptions_Dashboard!$D$114)+(1+Assumptions_Dashboard!$D$115)*Fleet!U145),0))</f>
        <v>8</v>
      </c>
      <c r="Y194" s="179">
        <f>IF($G194=0,0,ROUND(($G194*(1+Assumptions_Dashboard!$D$114)+(1+Assumptions_Dashboard!$D$115)*Fleet!V145),0))</f>
        <v>8</v>
      </c>
      <c r="Z194" s="179">
        <f>IF($G194=0,0,ROUND(($G194*(1+Assumptions_Dashboard!$D$114)+(1+Assumptions_Dashboard!$D$115)*Fleet!W145),0))</f>
        <v>8</v>
      </c>
      <c r="AA194" s="179">
        <f>IF($G194=0,0,ROUND(($G194*(1+Assumptions_Dashboard!$D$114)+(1+Assumptions_Dashboard!$D$115)*Fleet!X145),0))</f>
        <v>8</v>
      </c>
      <c r="AB194" s="179">
        <f>IF($G194=0,0,ROUND(($G194*(1+Assumptions_Dashboard!$D$114)+(1+Assumptions_Dashboard!$D$115)*Fleet!Y145),0))</f>
        <v>8</v>
      </c>
      <c r="AC194" s="179">
        <f>IF($G194=0,0,ROUND(($G194*(1+Assumptions_Dashboard!$D$114)+(1+Assumptions_Dashboard!$D$115)*Fleet!Z145),0))</f>
        <v>8</v>
      </c>
      <c r="AD194" s="179">
        <f>IF($G194=0,0,ROUND(($G194*(1+Assumptions_Dashboard!$D$114)+(1+Assumptions_Dashboard!$D$115)*Fleet!AA145),0))</f>
        <v>7</v>
      </c>
      <c r="AE194" s="179">
        <f>IF($G194=0,0,ROUND(($G194*(1+Assumptions_Dashboard!$D$114)+(1+Assumptions_Dashboard!$D$115)*Fleet!AB145),0))</f>
        <v>6</v>
      </c>
      <c r="AF194" s="179">
        <f>IF($G194=0,0,ROUND(($G194*(1+Assumptions_Dashboard!$D$114)+(1+Assumptions_Dashboard!$D$115)*Fleet!AC145),0))</f>
        <v>5</v>
      </c>
    </row>
    <row r="195" spans="3:32">
      <c r="C195" s="661" t="str">
        <f>Fleet!C146</f>
        <v>Front End Loader/ 1.7cum</v>
      </c>
      <c r="D195" s="257"/>
      <c r="E195" s="121" t="s">
        <v>740</v>
      </c>
      <c r="F195" s="205" t="s">
        <v>220</v>
      </c>
      <c r="G195">
        <f>IF(Assumptions_Dashboard!$L$4="MDO",0,3)</f>
        <v>3</v>
      </c>
      <c r="H195" s="366">
        <f>IFERROR(VLOOKUP(F195,Assumptions_Dashboard!$C$38:$D$72,2,FALSE),0)</f>
        <v>600000</v>
      </c>
      <c r="J195" s="179"/>
      <c r="K195" s="179"/>
      <c r="L195" s="179"/>
      <c r="M195" s="179"/>
      <c r="N195" s="179">
        <f>IF($G195=0,0,ROUND(($G195*(1+Assumptions_Dashboard!$D$114)+(1+Assumptions_Dashboard!$D$115)*Fleet!K146),0))</f>
        <v>5</v>
      </c>
      <c r="O195" s="179">
        <f>IF($G195=0,0,ROUND(($G195*(1+Assumptions_Dashboard!$D$114)+(1+Assumptions_Dashboard!$D$115)*Fleet!L146),0))</f>
        <v>5</v>
      </c>
      <c r="P195" s="179">
        <f>IF($G195=0,0,ROUND(($G195*(1+Assumptions_Dashboard!$D$114)+(1+Assumptions_Dashboard!$D$115)*Fleet!M146),0))</f>
        <v>5</v>
      </c>
      <c r="Q195" s="179">
        <f>IF($G195=0,0,ROUND(($G195*(1+Assumptions_Dashboard!$D$114)+(1+Assumptions_Dashboard!$D$115)*Fleet!N146),0))</f>
        <v>5</v>
      </c>
      <c r="R195" s="179">
        <f>IF($G195=0,0,ROUND(($G195*(1+Assumptions_Dashboard!$D$114)+(1+Assumptions_Dashboard!$D$115)*Fleet!O146),0))</f>
        <v>5</v>
      </c>
      <c r="S195" s="179">
        <f>IF($G195=0,0,ROUND(($G195*(1+Assumptions_Dashboard!$D$114)+(1+Assumptions_Dashboard!$D$115)*Fleet!P146),0))</f>
        <v>5</v>
      </c>
      <c r="T195" s="179">
        <f>IF($G195=0,0,ROUND(($G195*(1+Assumptions_Dashboard!$D$114)+(1+Assumptions_Dashboard!$D$115)*Fleet!Q146),0))</f>
        <v>5</v>
      </c>
      <c r="U195" s="179">
        <f>IF($G195=0,0,ROUND(($G195*(1+Assumptions_Dashboard!$D$114)+(1+Assumptions_Dashboard!$D$115)*Fleet!R146),0))</f>
        <v>5</v>
      </c>
      <c r="V195" s="179">
        <f>IF($G195=0,0,ROUND(($G195*(1+Assumptions_Dashboard!$D$114)+(1+Assumptions_Dashboard!$D$115)*Fleet!S146),0))</f>
        <v>5</v>
      </c>
      <c r="W195" s="179">
        <f>IF($G195=0,0,ROUND(($G195*(1+Assumptions_Dashboard!$D$114)+(1+Assumptions_Dashboard!$D$115)*Fleet!T146),0))</f>
        <v>5</v>
      </c>
      <c r="X195" s="179">
        <f>IF($G195=0,0,ROUND(($G195*(1+Assumptions_Dashboard!$D$114)+(1+Assumptions_Dashboard!$D$115)*Fleet!U146),0))</f>
        <v>5</v>
      </c>
      <c r="Y195" s="179">
        <f>IF($G195=0,0,ROUND(($G195*(1+Assumptions_Dashboard!$D$114)+(1+Assumptions_Dashboard!$D$115)*Fleet!V146),0))</f>
        <v>5</v>
      </c>
      <c r="Z195" s="179">
        <f>IF($G195=0,0,ROUND(($G195*(1+Assumptions_Dashboard!$D$114)+(1+Assumptions_Dashboard!$D$115)*Fleet!W146),0))</f>
        <v>5</v>
      </c>
      <c r="AA195" s="179">
        <f>IF($G195=0,0,ROUND(($G195*(1+Assumptions_Dashboard!$D$114)+(1+Assumptions_Dashboard!$D$115)*Fleet!X146),0))</f>
        <v>5</v>
      </c>
      <c r="AB195" s="179">
        <f>IF($G195=0,0,ROUND(($G195*(1+Assumptions_Dashboard!$D$114)+(1+Assumptions_Dashboard!$D$115)*Fleet!Y146),0))</f>
        <v>5</v>
      </c>
      <c r="AC195" s="179">
        <f>IF($G195=0,0,ROUND(($G195*(1+Assumptions_Dashboard!$D$114)+(1+Assumptions_Dashboard!$D$115)*Fleet!Z146),0))</f>
        <v>3</v>
      </c>
      <c r="AD195" s="179">
        <f>IF($G195=0,0,ROUND(($G195*(1+Assumptions_Dashboard!$D$114)+(1+Assumptions_Dashboard!$D$115)*Fleet!AA146),0))</f>
        <v>3</v>
      </c>
      <c r="AE195" s="179">
        <f>IF($G195=0,0,ROUND(($G195*(1+Assumptions_Dashboard!$D$114)+(1+Assumptions_Dashboard!$D$115)*Fleet!AB146),0))</f>
        <v>3</v>
      </c>
      <c r="AF195" s="179">
        <f>IF($G195=0,0,ROUND(($G195*(1+Assumptions_Dashboard!$D$114)+(1+Assumptions_Dashboard!$D$115)*Fleet!AC146),0))</f>
        <v>3</v>
      </c>
    </row>
    <row r="196" spans="3:32">
      <c r="C196" s="661" t="str">
        <f>Fleet!C147</f>
        <v>Tipper/ 20t</v>
      </c>
      <c r="D196" s="257"/>
      <c r="E196" s="121" t="s">
        <v>740</v>
      </c>
      <c r="F196" s="205" t="s">
        <v>218</v>
      </c>
      <c r="G196">
        <f>IF(Assumptions_Dashboard!$L$4="MDO",0,3)</f>
        <v>3</v>
      </c>
      <c r="H196" s="366">
        <f>IFERROR(VLOOKUP(F196,Assumptions_Dashboard!$C$38:$D$72,2,FALSE),0)</f>
        <v>600000</v>
      </c>
      <c r="J196" s="179"/>
      <c r="K196" s="179"/>
      <c r="L196" s="179"/>
      <c r="M196" s="179"/>
      <c r="N196" s="179">
        <f>IF($G196=0,0,ROUND(($G196*(1+Assumptions_Dashboard!$D$114)+(1+Assumptions_Dashboard!$D$115)*Fleet!K147),0))</f>
        <v>3</v>
      </c>
      <c r="O196" s="179">
        <f>IF($G196=0,0,ROUND(($G196*(1+Assumptions_Dashboard!$D$114)+(1+Assumptions_Dashboard!$D$115)*Fleet!L147),0))</f>
        <v>3</v>
      </c>
      <c r="P196" s="179">
        <f>IF($G196=0,0,ROUND(($G196*(1+Assumptions_Dashboard!$D$114)+(1+Assumptions_Dashboard!$D$115)*Fleet!M147),0))</f>
        <v>3</v>
      </c>
      <c r="Q196" s="179">
        <f>IF($G196=0,0,ROUND(($G196*(1+Assumptions_Dashboard!$D$114)+(1+Assumptions_Dashboard!$D$115)*Fleet!N147),0))</f>
        <v>3</v>
      </c>
      <c r="R196" s="179">
        <f>IF($G196=0,0,ROUND(($G196*(1+Assumptions_Dashboard!$D$114)+(1+Assumptions_Dashboard!$D$115)*Fleet!O147),0))</f>
        <v>3</v>
      </c>
      <c r="S196" s="179">
        <f>IF($G196=0,0,ROUND(($G196*(1+Assumptions_Dashboard!$D$114)+(1+Assumptions_Dashboard!$D$115)*Fleet!P147),0))</f>
        <v>3</v>
      </c>
      <c r="T196" s="179">
        <f>IF($G196=0,0,ROUND(($G196*(1+Assumptions_Dashboard!$D$114)+(1+Assumptions_Dashboard!$D$115)*Fleet!Q147),0))</f>
        <v>3</v>
      </c>
      <c r="U196" s="179">
        <f>IF($G196=0,0,ROUND(($G196*(1+Assumptions_Dashboard!$D$114)+(1+Assumptions_Dashboard!$D$115)*Fleet!R147),0))</f>
        <v>3</v>
      </c>
      <c r="V196" s="179">
        <f>IF($G196=0,0,ROUND(($G196*(1+Assumptions_Dashboard!$D$114)+(1+Assumptions_Dashboard!$D$115)*Fleet!S147),0))</f>
        <v>3</v>
      </c>
      <c r="W196" s="179">
        <f>IF($G196=0,0,ROUND(($G196*(1+Assumptions_Dashboard!$D$114)+(1+Assumptions_Dashboard!$D$115)*Fleet!T147),0))</f>
        <v>3</v>
      </c>
      <c r="X196" s="179">
        <f>IF($G196=0,0,ROUND(($G196*(1+Assumptions_Dashboard!$D$114)+(1+Assumptions_Dashboard!$D$115)*Fleet!U147),0))</f>
        <v>3</v>
      </c>
      <c r="Y196" s="179">
        <f>IF($G196=0,0,ROUND(($G196*(1+Assumptions_Dashboard!$D$114)+(1+Assumptions_Dashboard!$D$115)*Fleet!V147),0))</f>
        <v>3</v>
      </c>
      <c r="Z196" s="179">
        <f>IF($G196=0,0,ROUND(($G196*(1+Assumptions_Dashboard!$D$114)+(1+Assumptions_Dashboard!$D$115)*Fleet!W147),0))</f>
        <v>3</v>
      </c>
      <c r="AA196" s="179">
        <f>IF($G196=0,0,ROUND(($G196*(1+Assumptions_Dashboard!$D$114)+(1+Assumptions_Dashboard!$D$115)*Fleet!X147),0))</f>
        <v>3</v>
      </c>
      <c r="AB196" s="179">
        <f>IF($G196=0,0,ROUND(($G196*(1+Assumptions_Dashboard!$D$114)+(1+Assumptions_Dashboard!$D$115)*Fleet!Y147),0))</f>
        <v>3</v>
      </c>
      <c r="AC196" s="179">
        <f>IF($G196=0,0,ROUND(($G196*(1+Assumptions_Dashboard!$D$114)+(1+Assumptions_Dashboard!$D$115)*Fleet!Z147),0))</f>
        <v>3</v>
      </c>
      <c r="AD196" s="179">
        <f>IF($G196=0,0,ROUND(($G196*(1+Assumptions_Dashboard!$D$114)+(1+Assumptions_Dashboard!$D$115)*Fleet!AA147),0))</f>
        <v>3</v>
      </c>
      <c r="AE196" s="179">
        <f>IF($G196=0,0,ROUND(($G196*(1+Assumptions_Dashboard!$D$114)+(1+Assumptions_Dashboard!$D$115)*Fleet!AB147),0))</f>
        <v>3</v>
      </c>
      <c r="AF196" s="179">
        <f>IF($G196=0,0,ROUND(($G196*(1+Assumptions_Dashboard!$D$114)+(1+Assumptions_Dashboard!$D$115)*Fleet!AC147),0))</f>
        <v>3</v>
      </c>
    </row>
    <row r="197" spans="3:32">
      <c r="C197" s="661" t="str">
        <f>Fleet!C148</f>
        <v>Tipper/ 35t</v>
      </c>
      <c r="D197" s="257"/>
      <c r="E197" s="121" t="s">
        <v>740</v>
      </c>
      <c r="F197" s="205" t="s">
        <v>216</v>
      </c>
      <c r="G197">
        <f>IF(Assumptions_Dashboard!$L$4="MDO",0,3)</f>
        <v>3</v>
      </c>
      <c r="H197" s="366">
        <f>IFERROR(VLOOKUP(F197,Assumptions_Dashboard!$C$38:$D$72,2,FALSE),0)</f>
        <v>610000</v>
      </c>
      <c r="J197" s="179"/>
      <c r="K197" s="179"/>
      <c r="L197" s="179"/>
      <c r="M197" s="179"/>
      <c r="N197" s="179">
        <f>IF($G197=0,0,ROUND(($G197*(1+Assumptions_Dashboard!$D$114)+(1+Assumptions_Dashboard!$D$115)*Fleet!K148),0))</f>
        <v>3</v>
      </c>
      <c r="O197" s="179">
        <f>IF($G197=0,0,ROUND(($G197*(1+Assumptions_Dashboard!$D$114)+(1+Assumptions_Dashboard!$D$115)*Fleet!L148),0))</f>
        <v>3</v>
      </c>
      <c r="P197" s="179">
        <f>IF($G197=0,0,ROUND(($G197*(1+Assumptions_Dashboard!$D$114)+(1+Assumptions_Dashboard!$D$115)*Fleet!M148),0))</f>
        <v>3</v>
      </c>
      <c r="Q197" s="179">
        <f>IF($G197=0,0,ROUND(($G197*(1+Assumptions_Dashboard!$D$114)+(1+Assumptions_Dashboard!$D$115)*Fleet!N148),0))</f>
        <v>18</v>
      </c>
      <c r="R197" s="179">
        <f>IF($G197=0,0,ROUND(($G197*(1+Assumptions_Dashboard!$D$114)+(1+Assumptions_Dashboard!$D$115)*Fleet!O148),0))</f>
        <v>20</v>
      </c>
      <c r="S197" s="179">
        <f>IF($G197=0,0,ROUND(($G197*(1+Assumptions_Dashboard!$D$114)+(1+Assumptions_Dashboard!$D$115)*Fleet!P148),0))</f>
        <v>30</v>
      </c>
      <c r="T197" s="179">
        <f>IF($G197=0,0,ROUND(($G197*(1+Assumptions_Dashboard!$D$114)+(1+Assumptions_Dashboard!$D$115)*Fleet!Q148),0))</f>
        <v>29</v>
      </c>
      <c r="U197" s="179">
        <f>IF($G197=0,0,ROUND(($G197*(1+Assumptions_Dashboard!$D$114)+(1+Assumptions_Dashboard!$D$115)*Fleet!R148),0))</f>
        <v>26</v>
      </c>
      <c r="V197" s="179">
        <f>IF($G197=0,0,ROUND(($G197*(1+Assumptions_Dashboard!$D$114)+(1+Assumptions_Dashboard!$D$115)*Fleet!S148),0))</f>
        <v>28</v>
      </c>
      <c r="W197" s="179">
        <f>IF($G197=0,0,ROUND(($G197*(1+Assumptions_Dashboard!$D$114)+(1+Assumptions_Dashboard!$D$115)*Fleet!T148),0))</f>
        <v>26</v>
      </c>
      <c r="X197" s="179">
        <f>IF($G197=0,0,ROUND(($G197*(1+Assumptions_Dashboard!$D$114)+(1+Assumptions_Dashboard!$D$115)*Fleet!U148),0))</f>
        <v>29</v>
      </c>
      <c r="Y197" s="179">
        <f>IF($G197=0,0,ROUND(($G197*(1+Assumptions_Dashboard!$D$114)+(1+Assumptions_Dashboard!$D$115)*Fleet!V148),0))</f>
        <v>23</v>
      </c>
      <c r="Z197" s="179">
        <f>IF($G197=0,0,ROUND(($G197*(1+Assumptions_Dashboard!$D$114)+(1+Assumptions_Dashboard!$D$115)*Fleet!W148),0))</f>
        <v>21</v>
      </c>
      <c r="AA197" s="179">
        <f>IF($G197=0,0,ROUND(($G197*(1+Assumptions_Dashboard!$D$114)+(1+Assumptions_Dashboard!$D$115)*Fleet!X148),0))</f>
        <v>24</v>
      </c>
      <c r="AB197" s="179">
        <f>IF($G197=0,0,ROUND(($G197*(1+Assumptions_Dashboard!$D$114)+(1+Assumptions_Dashboard!$D$115)*Fleet!Y148),0))</f>
        <v>24</v>
      </c>
      <c r="AC197" s="179">
        <f>IF($G197=0,0,ROUND(($G197*(1+Assumptions_Dashboard!$D$114)+(1+Assumptions_Dashboard!$D$115)*Fleet!Z148),0))</f>
        <v>29</v>
      </c>
      <c r="AD197" s="179">
        <f>IF($G197=0,0,ROUND(($G197*(1+Assumptions_Dashboard!$D$114)+(1+Assumptions_Dashboard!$D$115)*Fleet!AA148),0))</f>
        <v>18</v>
      </c>
      <c r="AE197" s="179">
        <f>IF($G197=0,0,ROUND(($G197*(1+Assumptions_Dashboard!$D$114)+(1+Assumptions_Dashboard!$D$115)*Fleet!AB148),0))</f>
        <v>7</v>
      </c>
      <c r="AF197" s="179">
        <f>IF($G197=0,0,ROUND(($G197*(1+Assumptions_Dashboard!$D$114)+(1+Assumptions_Dashboard!$D$115)*Fleet!AC148),0))</f>
        <v>5</v>
      </c>
    </row>
    <row r="198" spans="3:32">
      <c r="C198" s="661" t="str">
        <f>Fleet!C149</f>
        <v>Dumper/ 100t</v>
      </c>
      <c r="D198" s="257"/>
      <c r="E198" s="121" t="s">
        <v>740</v>
      </c>
      <c r="F198" s="205" t="s">
        <v>216</v>
      </c>
      <c r="G198">
        <f>IF(Assumptions_Dashboard!$L$4="MDO",0,3)</f>
        <v>3</v>
      </c>
      <c r="H198" s="366">
        <f>IFERROR(VLOOKUP(F198,Assumptions_Dashboard!$C$38:$D$72,2,FALSE),0)</f>
        <v>610000</v>
      </c>
      <c r="J198" s="179"/>
      <c r="K198" s="179"/>
      <c r="L198" s="179"/>
      <c r="M198" s="179"/>
      <c r="N198" s="179">
        <f>IF($G198=0,0,ROUND(($G198*(1+Assumptions_Dashboard!$D$114)+(1+Assumptions_Dashboard!$D$115)*Fleet!K149),0))</f>
        <v>3</v>
      </c>
      <c r="O198" s="179">
        <f>IF($G198=0,0,ROUND(($G198*(1+Assumptions_Dashboard!$D$114)+(1+Assumptions_Dashboard!$D$115)*Fleet!L149),0))</f>
        <v>3</v>
      </c>
      <c r="P198" s="179">
        <f>IF($G198=0,0,ROUND(($G198*(1+Assumptions_Dashboard!$D$114)+(1+Assumptions_Dashboard!$D$115)*Fleet!M149),0))</f>
        <v>3</v>
      </c>
      <c r="Q198" s="179">
        <f>IF($G198=0,0,ROUND(($G198*(1+Assumptions_Dashboard!$D$114)+(1+Assumptions_Dashboard!$D$115)*Fleet!N149),0))</f>
        <v>28</v>
      </c>
      <c r="R198" s="179">
        <f>IF($G198=0,0,ROUND(($G198*(1+Assumptions_Dashboard!$D$114)+(1+Assumptions_Dashboard!$D$115)*Fleet!O149),0))</f>
        <v>29</v>
      </c>
      <c r="S198" s="179">
        <f>IF($G198=0,0,ROUND(($G198*(1+Assumptions_Dashboard!$D$114)+(1+Assumptions_Dashboard!$D$115)*Fleet!P149),0))</f>
        <v>44</v>
      </c>
      <c r="T198" s="179">
        <f>IF($G198=0,0,ROUND(($G198*(1+Assumptions_Dashboard!$D$114)+(1+Assumptions_Dashboard!$D$115)*Fleet!Q149),0))</f>
        <v>43</v>
      </c>
      <c r="U198" s="179">
        <f>IF($G198=0,0,ROUND(($G198*(1+Assumptions_Dashboard!$D$114)+(1+Assumptions_Dashboard!$D$115)*Fleet!R149),0))</f>
        <v>38</v>
      </c>
      <c r="V198" s="179">
        <f>IF($G198=0,0,ROUND(($G198*(1+Assumptions_Dashboard!$D$114)+(1+Assumptions_Dashboard!$D$115)*Fleet!S149),0))</f>
        <v>41</v>
      </c>
      <c r="W198" s="179">
        <f>IF($G198=0,0,ROUND(($G198*(1+Assumptions_Dashboard!$D$114)+(1+Assumptions_Dashboard!$D$115)*Fleet!T149),0))</f>
        <v>39</v>
      </c>
      <c r="X198" s="179">
        <f>IF($G198=0,0,ROUND(($G198*(1+Assumptions_Dashboard!$D$114)+(1+Assumptions_Dashboard!$D$115)*Fleet!U149),0))</f>
        <v>43</v>
      </c>
      <c r="Y198" s="179">
        <f>IF($G198=0,0,ROUND(($G198*(1+Assumptions_Dashboard!$D$114)+(1+Assumptions_Dashboard!$D$115)*Fleet!V149),0))</f>
        <v>32</v>
      </c>
      <c r="Z198" s="179">
        <f>IF($G198=0,0,ROUND(($G198*(1+Assumptions_Dashboard!$D$114)+(1+Assumptions_Dashboard!$D$115)*Fleet!W149),0))</f>
        <v>29</v>
      </c>
      <c r="AA198" s="179">
        <f>IF($G198=0,0,ROUND(($G198*(1+Assumptions_Dashboard!$D$114)+(1+Assumptions_Dashboard!$D$115)*Fleet!X149),0))</f>
        <v>34</v>
      </c>
      <c r="AB198" s="179">
        <f>IF($G198=0,0,ROUND(($G198*(1+Assumptions_Dashboard!$D$114)+(1+Assumptions_Dashboard!$D$115)*Fleet!Y149),0))</f>
        <v>34</v>
      </c>
      <c r="AC198" s="179">
        <f>IF($G198=0,0,ROUND(($G198*(1+Assumptions_Dashboard!$D$114)+(1+Assumptions_Dashboard!$D$115)*Fleet!Z149),0))</f>
        <v>43</v>
      </c>
      <c r="AD198" s="179">
        <f>IF($G198=0,0,ROUND(($G198*(1+Assumptions_Dashboard!$D$114)+(1+Assumptions_Dashboard!$D$115)*Fleet!AA149),0))</f>
        <v>26</v>
      </c>
      <c r="AE198" s="179">
        <f>IF($G198=0,0,ROUND(($G198*(1+Assumptions_Dashboard!$D$114)+(1+Assumptions_Dashboard!$D$115)*Fleet!AB149),0))</f>
        <v>8</v>
      </c>
      <c r="AF198" s="179">
        <f>IF($G198=0,0,ROUND(($G198*(1+Assumptions_Dashboard!$D$114)+(1+Assumptions_Dashboard!$D$115)*Fleet!AC149),0))</f>
        <v>5</v>
      </c>
    </row>
    <row r="199" spans="3:32">
      <c r="C199" s="661" t="str">
        <f>Fleet!C150</f>
        <v>Dumper/ 40t</v>
      </c>
      <c r="D199" s="257"/>
      <c r="E199" s="121" t="s">
        <v>740</v>
      </c>
      <c r="F199" s="205" t="s">
        <v>218</v>
      </c>
      <c r="G199">
        <f>IF(Assumptions_Dashboard!$L$4="MDO",0,3)</f>
        <v>3</v>
      </c>
      <c r="H199" s="366">
        <f>IFERROR(VLOOKUP(F199,Assumptions_Dashboard!$C$38:$D$72,2,FALSE),0)</f>
        <v>600000</v>
      </c>
      <c r="J199" s="179"/>
      <c r="K199" s="179"/>
      <c r="L199" s="179"/>
      <c r="M199" s="179"/>
      <c r="N199" s="179">
        <f>IF($G199=0,0,ROUND(($G199*(1+Assumptions_Dashboard!$D$114)+(1+Assumptions_Dashboard!$D$115)*Fleet!K150),0))</f>
        <v>7</v>
      </c>
      <c r="O199" s="179">
        <f>IF($G199=0,0,ROUND(($G199*(1+Assumptions_Dashboard!$D$114)+(1+Assumptions_Dashboard!$D$115)*Fleet!L150),0))</f>
        <v>10</v>
      </c>
      <c r="P199" s="179">
        <f>IF($G199=0,0,ROUND(($G199*(1+Assumptions_Dashboard!$D$114)+(1+Assumptions_Dashboard!$D$115)*Fleet!M150),0))</f>
        <v>17</v>
      </c>
      <c r="Q199" s="179">
        <f>IF($G199=0,0,ROUND(($G199*(1+Assumptions_Dashboard!$D$114)+(1+Assumptions_Dashboard!$D$115)*Fleet!N150),0))</f>
        <v>28</v>
      </c>
      <c r="R199" s="179">
        <f>IF($G199=0,0,ROUND(($G199*(1+Assumptions_Dashboard!$D$114)+(1+Assumptions_Dashboard!$D$115)*Fleet!O150),0))</f>
        <v>34</v>
      </c>
      <c r="S199" s="179">
        <f>IF($G199=0,0,ROUND(($G199*(1+Assumptions_Dashboard!$D$114)+(1+Assumptions_Dashboard!$D$115)*Fleet!P150),0))</f>
        <v>36</v>
      </c>
      <c r="T199" s="179">
        <f>IF($G199=0,0,ROUND(($G199*(1+Assumptions_Dashboard!$D$114)+(1+Assumptions_Dashboard!$D$115)*Fleet!Q150),0))</f>
        <v>38</v>
      </c>
      <c r="U199" s="179">
        <f>IF($G199=0,0,ROUND(($G199*(1+Assumptions_Dashboard!$D$114)+(1+Assumptions_Dashboard!$D$115)*Fleet!R150),0))</f>
        <v>39</v>
      </c>
      <c r="V199" s="179">
        <f>IF($G199=0,0,ROUND(($G199*(1+Assumptions_Dashboard!$D$114)+(1+Assumptions_Dashboard!$D$115)*Fleet!S150),0))</f>
        <v>40</v>
      </c>
      <c r="W199" s="179">
        <f>IF($G199=0,0,ROUND(($G199*(1+Assumptions_Dashboard!$D$114)+(1+Assumptions_Dashboard!$D$115)*Fleet!T150),0))</f>
        <v>41</v>
      </c>
      <c r="X199" s="179">
        <f>IF($G199=0,0,ROUND(($G199*(1+Assumptions_Dashboard!$D$114)+(1+Assumptions_Dashboard!$D$115)*Fleet!U150),0))</f>
        <v>44</v>
      </c>
      <c r="Y199" s="179">
        <f>IF($G199=0,0,ROUND(($G199*(1+Assumptions_Dashboard!$D$114)+(1+Assumptions_Dashboard!$D$115)*Fleet!V150),0))</f>
        <v>44</v>
      </c>
      <c r="Z199" s="179">
        <f>IF($G199=0,0,ROUND(($G199*(1+Assumptions_Dashboard!$D$114)+(1+Assumptions_Dashboard!$D$115)*Fleet!W150),0))</f>
        <v>46</v>
      </c>
      <c r="AA199" s="179">
        <f>IF($G199=0,0,ROUND(($G199*(1+Assumptions_Dashboard!$D$114)+(1+Assumptions_Dashboard!$D$115)*Fleet!X150),0))</f>
        <v>47</v>
      </c>
      <c r="AB199" s="179">
        <f>IF($G199=0,0,ROUND(($G199*(1+Assumptions_Dashboard!$D$114)+(1+Assumptions_Dashboard!$D$115)*Fleet!Y150),0))</f>
        <v>49</v>
      </c>
      <c r="AC199" s="179">
        <f>IF($G199=0,0,ROUND(($G199*(1+Assumptions_Dashboard!$D$114)+(1+Assumptions_Dashboard!$D$115)*Fleet!Z150),0))</f>
        <v>49</v>
      </c>
      <c r="AD199" s="179">
        <f>IF($G199=0,0,ROUND(($G199*(1+Assumptions_Dashboard!$D$114)+(1+Assumptions_Dashboard!$D$115)*Fleet!AA150),0))</f>
        <v>34</v>
      </c>
      <c r="AE199" s="179">
        <f>IF($G199=0,0,ROUND(($G199*(1+Assumptions_Dashboard!$D$114)+(1+Assumptions_Dashboard!$D$115)*Fleet!AB150),0))</f>
        <v>26</v>
      </c>
      <c r="AF199" s="179">
        <f>IF($G199=0,0,ROUND(($G199*(1+Assumptions_Dashboard!$D$114)+(1+Assumptions_Dashboard!$D$115)*Fleet!AC150),0))</f>
        <v>10</v>
      </c>
    </row>
    <row r="200" spans="3:32">
      <c r="C200" s="661" t="str">
        <f>Fleet!C151</f>
        <v>Track Dozer/ 405 HP</v>
      </c>
      <c r="D200" s="257"/>
      <c r="E200" s="121" t="s">
        <v>740</v>
      </c>
      <c r="F200" s="205" t="s">
        <v>220</v>
      </c>
      <c r="G200">
        <f>IF(Assumptions_Dashboard!$L$4="MDO",0,3)</f>
        <v>3</v>
      </c>
      <c r="H200" s="366">
        <f>IFERROR(VLOOKUP(F200,Assumptions_Dashboard!$C$38:$D$72,2,FALSE),0)</f>
        <v>600000</v>
      </c>
      <c r="J200" s="179"/>
      <c r="K200" s="179"/>
      <c r="L200" s="179"/>
      <c r="M200" s="179"/>
      <c r="N200" s="179">
        <f>IF($G200=0,0,ROUND(($G200*(1+Assumptions_Dashboard!$D$114)+(1+Assumptions_Dashboard!$D$115)*Fleet!K151),0))</f>
        <v>5</v>
      </c>
      <c r="O200" s="179">
        <f>IF($G200=0,0,ROUND(($G200*(1+Assumptions_Dashboard!$D$114)+(1+Assumptions_Dashboard!$D$115)*Fleet!L151),0))</f>
        <v>6</v>
      </c>
      <c r="P200" s="179">
        <f>IF($G200=0,0,ROUND(($G200*(1+Assumptions_Dashboard!$D$114)+(1+Assumptions_Dashboard!$D$115)*Fleet!M151),0))</f>
        <v>8</v>
      </c>
      <c r="Q200" s="179">
        <f>IF($G200=0,0,ROUND(($G200*(1+Assumptions_Dashboard!$D$114)+(1+Assumptions_Dashboard!$D$115)*Fleet!N151),0))</f>
        <v>9</v>
      </c>
      <c r="R200" s="179">
        <f>IF($G200=0,0,ROUND(($G200*(1+Assumptions_Dashboard!$D$114)+(1+Assumptions_Dashboard!$D$115)*Fleet!O151),0))</f>
        <v>10</v>
      </c>
      <c r="S200" s="179">
        <f>IF($G200=0,0,ROUND(($G200*(1+Assumptions_Dashboard!$D$114)+(1+Assumptions_Dashboard!$D$115)*Fleet!P151),0))</f>
        <v>10</v>
      </c>
      <c r="T200" s="179">
        <f>IF($G200=0,0,ROUND(($G200*(1+Assumptions_Dashboard!$D$114)+(1+Assumptions_Dashboard!$D$115)*Fleet!Q151),0))</f>
        <v>10</v>
      </c>
      <c r="U200" s="179">
        <f>IF($G200=0,0,ROUND(($G200*(1+Assumptions_Dashboard!$D$114)+(1+Assumptions_Dashboard!$D$115)*Fleet!R151),0))</f>
        <v>10</v>
      </c>
      <c r="V200" s="179">
        <f>IF($G200=0,0,ROUND(($G200*(1+Assumptions_Dashboard!$D$114)+(1+Assumptions_Dashboard!$D$115)*Fleet!S151),0))</f>
        <v>10</v>
      </c>
      <c r="W200" s="179">
        <f>IF($G200=0,0,ROUND(($G200*(1+Assumptions_Dashboard!$D$114)+(1+Assumptions_Dashboard!$D$115)*Fleet!T151),0))</f>
        <v>10</v>
      </c>
      <c r="X200" s="179">
        <f>IF($G200=0,0,ROUND(($G200*(1+Assumptions_Dashboard!$D$114)+(1+Assumptions_Dashboard!$D$115)*Fleet!U151),0))</f>
        <v>10</v>
      </c>
      <c r="Y200" s="179">
        <f>IF($G200=0,0,ROUND(($G200*(1+Assumptions_Dashboard!$D$114)+(1+Assumptions_Dashboard!$D$115)*Fleet!V151),0))</f>
        <v>10</v>
      </c>
      <c r="Z200" s="179">
        <f>IF($G200=0,0,ROUND(($G200*(1+Assumptions_Dashboard!$D$114)+(1+Assumptions_Dashboard!$D$115)*Fleet!W151),0))</f>
        <v>10</v>
      </c>
      <c r="AA200" s="179">
        <f>IF($G200=0,0,ROUND(($G200*(1+Assumptions_Dashboard!$D$114)+(1+Assumptions_Dashboard!$D$115)*Fleet!X151),0))</f>
        <v>10</v>
      </c>
      <c r="AB200" s="179">
        <f>IF($G200=0,0,ROUND(($G200*(1+Assumptions_Dashboard!$D$114)+(1+Assumptions_Dashboard!$D$115)*Fleet!Y151),0))</f>
        <v>10</v>
      </c>
      <c r="AC200" s="179">
        <f>IF($G200=0,0,ROUND(($G200*(1+Assumptions_Dashboard!$D$114)+(1+Assumptions_Dashboard!$D$115)*Fleet!Z151),0))</f>
        <v>10</v>
      </c>
      <c r="AD200" s="179">
        <f>IF($G200=0,0,ROUND(($G200*(1+Assumptions_Dashboard!$D$114)+(1+Assumptions_Dashboard!$D$115)*Fleet!AA151),0))</f>
        <v>8</v>
      </c>
      <c r="AE200" s="179">
        <f>IF($G200=0,0,ROUND(($G200*(1+Assumptions_Dashboard!$D$114)+(1+Assumptions_Dashboard!$D$115)*Fleet!AB151),0))</f>
        <v>7</v>
      </c>
      <c r="AF200" s="179">
        <f>IF($G200=0,0,ROUND(($G200*(1+Assumptions_Dashboard!$D$114)+(1+Assumptions_Dashboard!$D$115)*Fleet!AC151),0))</f>
        <v>5</v>
      </c>
    </row>
    <row r="201" spans="3:32">
      <c r="C201" s="661" t="str">
        <f>Fleet!C152</f>
        <v>Wheel Dozer</v>
      </c>
      <c r="D201" s="257"/>
      <c r="E201" s="121" t="s">
        <v>740</v>
      </c>
      <c r="F201" s="205" t="s">
        <v>220</v>
      </c>
      <c r="G201">
        <f>IF(Assumptions_Dashboard!$L$4="MDO",0,3)</f>
        <v>3</v>
      </c>
      <c r="H201" s="366">
        <f>IFERROR(VLOOKUP(F201,Assumptions_Dashboard!$C$38:$D$72,2,FALSE),0)</f>
        <v>600000</v>
      </c>
      <c r="J201" s="179"/>
      <c r="K201" s="179"/>
      <c r="L201" s="179"/>
      <c r="M201" s="179"/>
      <c r="N201" s="179">
        <f>IF($G201=0,0,ROUND(($G201*(1+Assumptions_Dashboard!$D$114)+(1+Assumptions_Dashboard!$D$115)*Fleet!K152),0))</f>
        <v>5</v>
      </c>
      <c r="O201" s="179">
        <f>IF($G201=0,0,ROUND(($G201*(1+Assumptions_Dashboard!$D$114)+(1+Assumptions_Dashboard!$D$115)*Fleet!L152),0))</f>
        <v>5</v>
      </c>
      <c r="P201" s="179">
        <f>IF($G201=0,0,ROUND(($G201*(1+Assumptions_Dashboard!$D$114)+(1+Assumptions_Dashboard!$D$115)*Fleet!M152),0))</f>
        <v>6</v>
      </c>
      <c r="Q201" s="179">
        <f>IF($G201=0,0,ROUND(($G201*(1+Assumptions_Dashboard!$D$114)+(1+Assumptions_Dashboard!$D$115)*Fleet!N152),0))</f>
        <v>6</v>
      </c>
      <c r="R201" s="179">
        <f>IF($G201=0,0,ROUND(($G201*(1+Assumptions_Dashboard!$D$114)+(1+Assumptions_Dashboard!$D$115)*Fleet!O152),0))</f>
        <v>6</v>
      </c>
      <c r="S201" s="179">
        <f>IF($G201=0,0,ROUND(($G201*(1+Assumptions_Dashboard!$D$114)+(1+Assumptions_Dashboard!$D$115)*Fleet!P152),0))</f>
        <v>6</v>
      </c>
      <c r="T201" s="179">
        <f>IF($G201=0,0,ROUND(($G201*(1+Assumptions_Dashboard!$D$114)+(1+Assumptions_Dashboard!$D$115)*Fleet!Q152),0))</f>
        <v>6</v>
      </c>
      <c r="U201" s="179">
        <f>IF($G201=0,0,ROUND(($G201*(1+Assumptions_Dashboard!$D$114)+(1+Assumptions_Dashboard!$D$115)*Fleet!R152),0))</f>
        <v>6</v>
      </c>
      <c r="V201" s="179">
        <f>IF($G201=0,0,ROUND(($G201*(1+Assumptions_Dashboard!$D$114)+(1+Assumptions_Dashboard!$D$115)*Fleet!S152),0))</f>
        <v>6</v>
      </c>
      <c r="W201" s="179">
        <f>IF($G201=0,0,ROUND(($G201*(1+Assumptions_Dashboard!$D$114)+(1+Assumptions_Dashboard!$D$115)*Fleet!T152),0))</f>
        <v>6</v>
      </c>
      <c r="X201" s="179">
        <f>IF($G201=0,0,ROUND(($G201*(1+Assumptions_Dashboard!$D$114)+(1+Assumptions_Dashboard!$D$115)*Fleet!U152),0))</f>
        <v>6</v>
      </c>
      <c r="Y201" s="179">
        <f>IF($G201=0,0,ROUND(($G201*(1+Assumptions_Dashboard!$D$114)+(1+Assumptions_Dashboard!$D$115)*Fleet!V152),0))</f>
        <v>6</v>
      </c>
      <c r="Z201" s="179">
        <f>IF($G201=0,0,ROUND(($G201*(1+Assumptions_Dashboard!$D$114)+(1+Assumptions_Dashboard!$D$115)*Fleet!W152),0))</f>
        <v>6</v>
      </c>
      <c r="AA201" s="179">
        <f>IF($G201=0,0,ROUND(($G201*(1+Assumptions_Dashboard!$D$114)+(1+Assumptions_Dashboard!$D$115)*Fleet!X152),0))</f>
        <v>6</v>
      </c>
      <c r="AB201" s="179">
        <f>IF($G201=0,0,ROUND(($G201*(1+Assumptions_Dashboard!$D$114)+(1+Assumptions_Dashboard!$D$115)*Fleet!Y152),0))</f>
        <v>6</v>
      </c>
      <c r="AC201" s="179">
        <f>IF($G201=0,0,ROUND(($G201*(1+Assumptions_Dashboard!$D$114)+(1+Assumptions_Dashboard!$D$115)*Fleet!Z152),0))</f>
        <v>6</v>
      </c>
      <c r="AD201" s="179">
        <f>IF($G201=0,0,ROUND(($G201*(1+Assumptions_Dashboard!$D$114)+(1+Assumptions_Dashboard!$D$115)*Fleet!AA152),0))</f>
        <v>6</v>
      </c>
      <c r="AE201" s="179">
        <f>IF($G201=0,0,ROUND(($G201*(1+Assumptions_Dashboard!$D$114)+(1+Assumptions_Dashboard!$D$115)*Fleet!AB152),0))</f>
        <v>5</v>
      </c>
      <c r="AF201" s="179">
        <f>IF($G201=0,0,ROUND(($G201*(1+Assumptions_Dashboard!$D$114)+(1+Assumptions_Dashboard!$D$115)*Fleet!AC152),0))</f>
        <v>5</v>
      </c>
    </row>
    <row r="202" spans="3:32">
      <c r="C202" s="661" t="str">
        <f>Fleet!C153</f>
        <v>Ripper Dozer/ 450TPH</v>
      </c>
      <c r="D202" s="257"/>
      <c r="E202" s="121" t="s">
        <v>740</v>
      </c>
      <c r="F202" s="205" t="s">
        <v>220</v>
      </c>
      <c r="G202">
        <f>IF(Assumptions_Dashboard!$L$4="MDO",0,3)</f>
        <v>3</v>
      </c>
      <c r="H202" s="366">
        <f>IFERROR(VLOOKUP(F202,Assumptions_Dashboard!$C$38:$D$72,2,FALSE),0)</f>
        <v>600000</v>
      </c>
      <c r="J202" s="179"/>
      <c r="K202" s="179"/>
      <c r="L202" s="179"/>
      <c r="M202" s="179"/>
      <c r="N202" s="179">
        <f>IF($G202=0,0,ROUND(($G202*(1+Assumptions_Dashboard!$D$114)+(1+Assumptions_Dashboard!$D$115)*Fleet!K153),0))</f>
        <v>5</v>
      </c>
      <c r="O202" s="179">
        <f>IF($G202=0,0,ROUND(($G202*(1+Assumptions_Dashboard!$D$114)+(1+Assumptions_Dashboard!$D$115)*Fleet!L153),0))</f>
        <v>5</v>
      </c>
      <c r="P202" s="179">
        <f>IF($G202=0,0,ROUND(($G202*(1+Assumptions_Dashboard!$D$114)+(1+Assumptions_Dashboard!$D$115)*Fleet!M153),0))</f>
        <v>6</v>
      </c>
      <c r="Q202" s="179">
        <f>IF($G202=0,0,ROUND(($G202*(1+Assumptions_Dashboard!$D$114)+(1+Assumptions_Dashboard!$D$115)*Fleet!N153),0))</f>
        <v>6</v>
      </c>
      <c r="R202" s="179">
        <f>IF($G202=0,0,ROUND(($G202*(1+Assumptions_Dashboard!$D$114)+(1+Assumptions_Dashboard!$D$115)*Fleet!O153),0))</f>
        <v>6</v>
      </c>
      <c r="S202" s="179">
        <f>IF($G202=0,0,ROUND(($G202*(1+Assumptions_Dashboard!$D$114)+(1+Assumptions_Dashboard!$D$115)*Fleet!P153),0))</f>
        <v>6</v>
      </c>
      <c r="T202" s="179">
        <f>IF($G202=0,0,ROUND(($G202*(1+Assumptions_Dashboard!$D$114)+(1+Assumptions_Dashboard!$D$115)*Fleet!Q153),0))</f>
        <v>6</v>
      </c>
      <c r="U202" s="179">
        <f>IF($G202=0,0,ROUND(($G202*(1+Assumptions_Dashboard!$D$114)+(1+Assumptions_Dashboard!$D$115)*Fleet!R153),0))</f>
        <v>6</v>
      </c>
      <c r="V202" s="179">
        <f>IF($G202=0,0,ROUND(($G202*(1+Assumptions_Dashboard!$D$114)+(1+Assumptions_Dashboard!$D$115)*Fleet!S153),0))</f>
        <v>6</v>
      </c>
      <c r="W202" s="179">
        <f>IF($G202=0,0,ROUND(($G202*(1+Assumptions_Dashboard!$D$114)+(1+Assumptions_Dashboard!$D$115)*Fleet!T153),0))</f>
        <v>6</v>
      </c>
      <c r="X202" s="179">
        <f>IF($G202=0,0,ROUND(($G202*(1+Assumptions_Dashboard!$D$114)+(1+Assumptions_Dashboard!$D$115)*Fleet!U153),0))</f>
        <v>6</v>
      </c>
      <c r="Y202" s="179">
        <f>IF($G202=0,0,ROUND(($G202*(1+Assumptions_Dashboard!$D$114)+(1+Assumptions_Dashboard!$D$115)*Fleet!V153),0))</f>
        <v>6</v>
      </c>
      <c r="Z202" s="179">
        <f>IF($G202=0,0,ROUND(($G202*(1+Assumptions_Dashboard!$D$114)+(1+Assumptions_Dashboard!$D$115)*Fleet!W153),0))</f>
        <v>6</v>
      </c>
      <c r="AA202" s="179">
        <f>IF($G202=0,0,ROUND(($G202*(1+Assumptions_Dashboard!$D$114)+(1+Assumptions_Dashboard!$D$115)*Fleet!X153),0))</f>
        <v>6</v>
      </c>
      <c r="AB202" s="179">
        <f>IF($G202=0,0,ROUND(($G202*(1+Assumptions_Dashboard!$D$114)+(1+Assumptions_Dashboard!$D$115)*Fleet!Y153),0))</f>
        <v>6</v>
      </c>
      <c r="AC202" s="179">
        <f>IF($G202=0,0,ROUND(($G202*(1+Assumptions_Dashboard!$D$114)+(1+Assumptions_Dashboard!$D$115)*Fleet!Z153),0))</f>
        <v>6</v>
      </c>
      <c r="AD202" s="179">
        <f>IF($G202=0,0,ROUND(($G202*(1+Assumptions_Dashboard!$D$114)+(1+Assumptions_Dashboard!$D$115)*Fleet!AA153),0))</f>
        <v>6</v>
      </c>
      <c r="AE202" s="179">
        <f>IF($G202=0,0,ROUND(($G202*(1+Assumptions_Dashboard!$D$114)+(1+Assumptions_Dashboard!$D$115)*Fleet!AB153),0))</f>
        <v>5</v>
      </c>
      <c r="AF202" s="179">
        <f>IF($G202=0,0,ROUND(($G202*(1+Assumptions_Dashboard!$D$114)+(1+Assumptions_Dashboard!$D$115)*Fleet!AC153),0))</f>
        <v>5</v>
      </c>
    </row>
    <row r="203" spans="3:32">
      <c r="C203" s="661" t="str">
        <f>Fleet!C154</f>
        <v>Track Dozer/ 192 HP</v>
      </c>
      <c r="D203" s="257"/>
      <c r="E203" s="121" t="s">
        <v>740</v>
      </c>
      <c r="F203" s="205" t="s">
        <v>220</v>
      </c>
      <c r="G203">
        <f>IF(Assumptions_Dashboard!$L$4="MDO",0,3)</f>
        <v>3</v>
      </c>
      <c r="H203" s="366">
        <f>IFERROR(VLOOKUP(F203,Assumptions_Dashboard!$C$38:$D$72,2,FALSE),0)</f>
        <v>600000</v>
      </c>
      <c r="J203" s="179"/>
      <c r="K203" s="179"/>
      <c r="L203" s="179"/>
      <c r="M203" s="179"/>
      <c r="N203" s="179">
        <f>IF($G203=0,0,ROUND(($G203*(1+Assumptions_Dashboard!$D$114)+(1+Assumptions_Dashboard!$D$115)*Fleet!K154),0))</f>
        <v>5</v>
      </c>
      <c r="O203" s="179">
        <f>IF($G203=0,0,ROUND(($G203*(1+Assumptions_Dashboard!$D$114)+(1+Assumptions_Dashboard!$D$115)*Fleet!L154),0))</f>
        <v>5</v>
      </c>
      <c r="P203" s="179">
        <f>IF($G203=0,0,ROUND(($G203*(1+Assumptions_Dashboard!$D$114)+(1+Assumptions_Dashboard!$D$115)*Fleet!M154),0))</f>
        <v>6</v>
      </c>
      <c r="Q203" s="179">
        <f>IF($G203=0,0,ROUND(($G203*(1+Assumptions_Dashboard!$D$114)+(1+Assumptions_Dashboard!$D$115)*Fleet!N154),0))</f>
        <v>6</v>
      </c>
      <c r="R203" s="179">
        <f>IF($G203=0,0,ROUND(($G203*(1+Assumptions_Dashboard!$D$114)+(1+Assumptions_Dashboard!$D$115)*Fleet!O154),0))</f>
        <v>6</v>
      </c>
      <c r="S203" s="179">
        <f>IF($G203=0,0,ROUND(($G203*(1+Assumptions_Dashboard!$D$114)+(1+Assumptions_Dashboard!$D$115)*Fleet!P154),0))</f>
        <v>6</v>
      </c>
      <c r="T203" s="179">
        <f>IF($G203=0,0,ROUND(($G203*(1+Assumptions_Dashboard!$D$114)+(1+Assumptions_Dashboard!$D$115)*Fleet!Q154),0))</f>
        <v>6</v>
      </c>
      <c r="U203" s="179">
        <f>IF($G203=0,0,ROUND(($G203*(1+Assumptions_Dashboard!$D$114)+(1+Assumptions_Dashboard!$D$115)*Fleet!R154),0))</f>
        <v>6</v>
      </c>
      <c r="V203" s="179">
        <f>IF($G203=0,0,ROUND(($G203*(1+Assumptions_Dashboard!$D$114)+(1+Assumptions_Dashboard!$D$115)*Fleet!S154),0))</f>
        <v>6</v>
      </c>
      <c r="W203" s="179">
        <f>IF($G203=0,0,ROUND(($G203*(1+Assumptions_Dashboard!$D$114)+(1+Assumptions_Dashboard!$D$115)*Fleet!T154),0))</f>
        <v>6</v>
      </c>
      <c r="X203" s="179">
        <f>IF($G203=0,0,ROUND(($G203*(1+Assumptions_Dashboard!$D$114)+(1+Assumptions_Dashboard!$D$115)*Fleet!U154),0))</f>
        <v>6</v>
      </c>
      <c r="Y203" s="179">
        <f>IF($G203=0,0,ROUND(($G203*(1+Assumptions_Dashboard!$D$114)+(1+Assumptions_Dashboard!$D$115)*Fleet!V154),0))</f>
        <v>6</v>
      </c>
      <c r="Z203" s="179">
        <f>IF($G203=0,0,ROUND(($G203*(1+Assumptions_Dashboard!$D$114)+(1+Assumptions_Dashboard!$D$115)*Fleet!W154),0))</f>
        <v>6</v>
      </c>
      <c r="AA203" s="179">
        <f>IF($G203=0,0,ROUND(($G203*(1+Assumptions_Dashboard!$D$114)+(1+Assumptions_Dashboard!$D$115)*Fleet!X154),0))</f>
        <v>6</v>
      </c>
      <c r="AB203" s="179">
        <f>IF($G203=0,0,ROUND(($G203*(1+Assumptions_Dashboard!$D$114)+(1+Assumptions_Dashboard!$D$115)*Fleet!Y154),0))</f>
        <v>6</v>
      </c>
      <c r="AC203" s="179">
        <f>IF($G203=0,0,ROUND(($G203*(1+Assumptions_Dashboard!$D$114)+(1+Assumptions_Dashboard!$D$115)*Fleet!Z154),0))</f>
        <v>6</v>
      </c>
      <c r="AD203" s="179">
        <f>IF($G203=0,0,ROUND(($G203*(1+Assumptions_Dashboard!$D$114)+(1+Assumptions_Dashboard!$D$115)*Fleet!AA154),0))</f>
        <v>6</v>
      </c>
      <c r="AE203" s="179">
        <f>IF($G203=0,0,ROUND(($G203*(1+Assumptions_Dashboard!$D$114)+(1+Assumptions_Dashboard!$D$115)*Fleet!AB154),0))</f>
        <v>5</v>
      </c>
      <c r="AF203" s="179">
        <f>IF($G203=0,0,ROUND(($G203*(1+Assumptions_Dashboard!$D$114)+(1+Assumptions_Dashboard!$D$115)*Fleet!AC154),0))</f>
        <v>5</v>
      </c>
    </row>
    <row r="204" spans="3:32">
      <c r="C204" s="661" t="str">
        <f>Fleet!C155</f>
        <v>Motor Grader/ 290 - 348 HP</v>
      </c>
      <c r="D204" s="257"/>
      <c r="E204" s="121" t="s">
        <v>740</v>
      </c>
      <c r="F204" s="205" t="s">
        <v>220</v>
      </c>
      <c r="G204">
        <f>IF(Assumptions_Dashboard!$L$4="MDO",0,3)</f>
        <v>3</v>
      </c>
      <c r="H204" s="366">
        <f>IFERROR(VLOOKUP(F204,Assumptions_Dashboard!$C$38:$D$72,2,FALSE),0)</f>
        <v>600000</v>
      </c>
      <c r="J204" s="179"/>
      <c r="K204" s="179"/>
      <c r="L204" s="179"/>
      <c r="M204" s="179"/>
      <c r="N204" s="179">
        <f>IF($G204=0,0,ROUND(($G204*(1+Assumptions_Dashboard!$D$114)+(1+Assumptions_Dashboard!$D$115)*Fleet!K155),0))</f>
        <v>5</v>
      </c>
      <c r="O204" s="179">
        <f>IF($G204=0,0,ROUND(($G204*(1+Assumptions_Dashboard!$D$114)+(1+Assumptions_Dashboard!$D$115)*Fleet!L155),0))</f>
        <v>5</v>
      </c>
      <c r="P204" s="179">
        <f>IF($G204=0,0,ROUND(($G204*(1+Assumptions_Dashboard!$D$114)+(1+Assumptions_Dashboard!$D$115)*Fleet!M155),0))</f>
        <v>6</v>
      </c>
      <c r="Q204" s="179">
        <f>IF($G204=0,0,ROUND(($G204*(1+Assumptions_Dashboard!$D$114)+(1+Assumptions_Dashboard!$D$115)*Fleet!N155),0))</f>
        <v>6</v>
      </c>
      <c r="R204" s="179">
        <f>IF($G204=0,0,ROUND(($G204*(1+Assumptions_Dashboard!$D$114)+(1+Assumptions_Dashboard!$D$115)*Fleet!O155),0))</f>
        <v>6</v>
      </c>
      <c r="S204" s="179">
        <f>IF($G204=0,0,ROUND(($G204*(1+Assumptions_Dashboard!$D$114)+(1+Assumptions_Dashboard!$D$115)*Fleet!P155),0))</f>
        <v>6</v>
      </c>
      <c r="T204" s="179">
        <f>IF($G204=0,0,ROUND(($G204*(1+Assumptions_Dashboard!$D$114)+(1+Assumptions_Dashboard!$D$115)*Fleet!Q155),0))</f>
        <v>6</v>
      </c>
      <c r="U204" s="179">
        <f>IF($G204=0,0,ROUND(($G204*(1+Assumptions_Dashboard!$D$114)+(1+Assumptions_Dashboard!$D$115)*Fleet!R155),0))</f>
        <v>6</v>
      </c>
      <c r="V204" s="179">
        <f>IF($G204=0,0,ROUND(($G204*(1+Assumptions_Dashboard!$D$114)+(1+Assumptions_Dashboard!$D$115)*Fleet!S155),0))</f>
        <v>6</v>
      </c>
      <c r="W204" s="179">
        <f>IF($G204=0,0,ROUND(($G204*(1+Assumptions_Dashboard!$D$114)+(1+Assumptions_Dashboard!$D$115)*Fleet!T155),0))</f>
        <v>6</v>
      </c>
      <c r="X204" s="179">
        <f>IF($G204=0,0,ROUND(($G204*(1+Assumptions_Dashboard!$D$114)+(1+Assumptions_Dashboard!$D$115)*Fleet!U155),0))</f>
        <v>6</v>
      </c>
      <c r="Y204" s="179">
        <f>IF($G204=0,0,ROUND(($G204*(1+Assumptions_Dashboard!$D$114)+(1+Assumptions_Dashboard!$D$115)*Fleet!V155),0))</f>
        <v>6</v>
      </c>
      <c r="Z204" s="179">
        <f>IF($G204=0,0,ROUND(($G204*(1+Assumptions_Dashboard!$D$114)+(1+Assumptions_Dashboard!$D$115)*Fleet!W155),0))</f>
        <v>6</v>
      </c>
      <c r="AA204" s="179">
        <f>IF($G204=0,0,ROUND(($G204*(1+Assumptions_Dashboard!$D$114)+(1+Assumptions_Dashboard!$D$115)*Fleet!X155),0))</f>
        <v>6</v>
      </c>
      <c r="AB204" s="179">
        <f>IF($G204=0,0,ROUND(($G204*(1+Assumptions_Dashboard!$D$114)+(1+Assumptions_Dashboard!$D$115)*Fleet!Y155),0))</f>
        <v>6</v>
      </c>
      <c r="AC204" s="179">
        <f>IF($G204=0,0,ROUND(($G204*(1+Assumptions_Dashboard!$D$114)+(1+Assumptions_Dashboard!$D$115)*Fleet!Z155),0))</f>
        <v>6</v>
      </c>
      <c r="AD204" s="179">
        <f>IF($G204=0,0,ROUND(($G204*(1+Assumptions_Dashboard!$D$114)+(1+Assumptions_Dashboard!$D$115)*Fleet!AA155),0))</f>
        <v>6</v>
      </c>
      <c r="AE204" s="179">
        <f>IF($G204=0,0,ROUND(($G204*(1+Assumptions_Dashboard!$D$114)+(1+Assumptions_Dashboard!$D$115)*Fleet!AB155),0))</f>
        <v>5</v>
      </c>
      <c r="AF204" s="179">
        <f>IF($G204=0,0,ROUND(($G204*(1+Assumptions_Dashboard!$D$114)+(1+Assumptions_Dashboard!$D$115)*Fleet!AC155),0))</f>
        <v>5</v>
      </c>
    </row>
    <row r="205" spans="3:32">
      <c r="C205" s="661" t="str">
        <f>Fleet!C156</f>
        <v>Motor Grader/ 145 HP</v>
      </c>
      <c r="D205" s="257"/>
      <c r="E205" s="121" t="s">
        <v>740</v>
      </c>
      <c r="F205" s="205" t="s">
        <v>220</v>
      </c>
      <c r="G205">
        <f>IF(Assumptions_Dashboard!$L$4="MDO",0,3)</f>
        <v>3</v>
      </c>
      <c r="H205" s="366">
        <f>IFERROR(VLOOKUP(F205,Assumptions_Dashboard!$C$38:$D$72,2,FALSE),0)</f>
        <v>600000</v>
      </c>
      <c r="J205" s="179"/>
      <c r="K205" s="179"/>
      <c r="L205" s="179"/>
      <c r="M205" s="179"/>
      <c r="N205" s="179">
        <f>IF($G205=0,0,ROUND(($G205*(1+Assumptions_Dashboard!$D$114)+(1+Assumptions_Dashboard!$D$115)*Fleet!K156),0))</f>
        <v>5</v>
      </c>
      <c r="O205" s="179">
        <f>IF($G205=0,0,ROUND(($G205*(1+Assumptions_Dashboard!$D$114)+(1+Assumptions_Dashboard!$D$115)*Fleet!L156),0))</f>
        <v>5</v>
      </c>
      <c r="P205" s="179">
        <f>IF($G205=0,0,ROUND(($G205*(1+Assumptions_Dashboard!$D$114)+(1+Assumptions_Dashboard!$D$115)*Fleet!M156),0))</f>
        <v>6</v>
      </c>
      <c r="Q205" s="179">
        <f>IF($G205=0,0,ROUND(($G205*(1+Assumptions_Dashboard!$D$114)+(1+Assumptions_Dashboard!$D$115)*Fleet!N156),0))</f>
        <v>6</v>
      </c>
      <c r="R205" s="179">
        <f>IF($G205=0,0,ROUND(($G205*(1+Assumptions_Dashboard!$D$114)+(1+Assumptions_Dashboard!$D$115)*Fleet!O156),0))</f>
        <v>6</v>
      </c>
      <c r="S205" s="179">
        <f>IF($G205=0,0,ROUND(($G205*(1+Assumptions_Dashboard!$D$114)+(1+Assumptions_Dashboard!$D$115)*Fleet!P156),0))</f>
        <v>6</v>
      </c>
      <c r="T205" s="179">
        <f>IF($G205=0,0,ROUND(($G205*(1+Assumptions_Dashboard!$D$114)+(1+Assumptions_Dashboard!$D$115)*Fleet!Q156),0))</f>
        <v>6</v>
      </c>
      <c r="U205" s="179">
        <f>IF($G205=0,0,ROUND(($G205*(1+Assumptions_Dashboard!$D$114)+(1+Assumptions_Dashboard!$D$115)*Fleet!R156),0))</f>
        <v>6</v>
      </c>
      <c r="V205" s="179">
        <f>IF($G205=0,0,ROUND(($G205*(1+Assumptions_Dashboard!$D$114)+(1+Assumptions_Dashboard!$D$115)*Fleet!S156),0))</f>
        <v>6</v>
      </c>
      <c r="W205" s="179">
        <f>IF($G205=0,0,ROUND(($G205*(1+Assumptions_Dashboard!$D$114)+(1+Assumptions_Dashboard!$D$115)*Fleet!T156),0))</f>
        <v>6</v>
      </c>
      <c r="X205" s="179">
        <f>IF($G205=0,0,ROUND(($G205*(1+Assumptions_Dashboard!$D$114)+(1+Assumptions_Dashboard!$D$115)*Fleet!U156),0))</f>
        <v>6</v>
      </c>
      <c r="Y205" s="179">
        <f>IF($G205=0,0,ROUND(($G205*(1+Assumptions_Dashboard!$D$114)+(1+Assumptions_Dashboard!$D$115)*Fleet!V156),0))</f>
        <v>6</v>
      </c>
      <c r="Z205" s="179">
        <f>IF($G205=0,0,ROUND(($G205*(1+Assumptions_Dashboard!$D$114)+(1+Assumptions_Dashboard!$D$115)*Fleet!W156),0))</f>
        <v>6</v>
      </c>
      <c r="AA205" s="179">
        <f>IF($G205=0,0,ROUND(($G205*(1+Assumptions_Dashboard!$D$114)+(1+Assumptions_Dashboard!$D$115)*Fleet!X156),0))</f>
        <v>6</v>
      </c>
      <c r="AB205" s="179">
        <f>IF($G205=0,0,ROUND(($G205*(1+Assumptions_Dashboard!$D$114)+(1+Assumptions_Dashboard!$D$115)*Fleet!Y156),0))</f>
        <v>6</v>
      </c>
      <c r="AC205" s="179">
        <f>IF($G205=0,0,ROUND(($G205*(1+Assumptions_Dashboard!$D$114)+(1+Assumptions_Dashboard!$D$115)*Fleet!Z156),0))</f>
        <v>6</v>
      </c>
      <c r="AD205" s="179">
        <f>IF($G205=0,0,ROUND(($G205*(1+Assumptions_Dashboard!$D$114)+(1+Assumptions_Dashboard!$D$115)*Fleet!AA156),0))</f>
        <v>6</v>
      </c>
      <c r="AE205" s="179">
        <f>IF($G205=0,0,ROUND(($G205*(1+Assumptions_Dashboard!$D$114)+(1+Assumptions_Dashboard!$D$115)*Fleet!AB156),0))</f>
        <v>5</v>
      </c>
      <c r="AF205" s="179">
        <f>IF($G205=0,0,ROUND(($G205*(1+Assumptions_Dashboard!$D$114)+(1+Assumptions_Dashboard!$D$115)*Fleet!AC156),0))</f>
        <v>5</v>
      </c>
    </row>
    <row r="206" spans="3:32">
      <c r="C206" s="661" t="str">
        <f>Fleet!C157</f>
        <v>Crane/ 120t</v>
      </c>
      <c r="D206" s="257"/>
      <c r="E206" s="121" t="s">
        <v>740</v>
      </c>
      <c r="F206" s="205" t="s">
        <v>220</v>
      </c>
      <c r="G206">
        <f>IF(Assumptions_Dashboard!$L$4="MDO",0,3)</f>
        <v>3</v>
      </c>
      <c r="H206" s="366">
        <f>IFERROR(VLOOKUP(F206,Assumptions_Dashboard!$C$38:$D$72,2,FALSE),0)</f>
        <v>600000</v>
      </c>
      <c r="J206" s="179"/>
      <c r="K206" s="179"/>
      <c r="L206" s="179"/>
      <c r="M206" s="179"/>
      <c r="N206" s="179">
        <f>IF($G206=0,0,ROUND(($G206*(1+Assumptions_Dashboard!$D$114)+(1+Assumptions_Dashboard!$D$115)*Fleet!K157),0))</f>
        <v>5</v>
      </c>
      <c r="O206" s="179">
        <f>IF($G206=0,0,ROUND(($G206*(1+Assumptions_Dashboard!$D$114)+(1+Assumptions_Dashboard!$D$115)*Fleet!L157),0))</f>
        <v>5</v>
      </c>
      <c r="P206" s="179">
        <f>IF($G206=0,0,ROUND(($G206*(1+Assumptions_Dashboard!$D$114)+(1+Assumptions_Dashboard!$D$115)*Fleet!M157),0))</f>
        <v>6</v>
      </c>
      <c r="Q206" s="179">
        <f>IF($G206=0,0,ROUND(($G206*(1+Assumptions_Dashboard!$D$114)+(1+Assumptions_Dashboard!$D$115)*Fleet!N157),0))</f>
        <v>6</v>
      </c>
      <c r="R206" s="179">
        <f>IF($G206=0,0,ROUND(($G206*(1+Assumptions_Dashboard!$D$114)+(1+Assumptions_Dashboard!$D$115)*Fleet!O157),0))</f>
        <v>6</v>
      </c>
      <c r="S206" s="179">
        <f>IF($G206=0,0,ROUND(($G206*(1+Assumptions_Dashboard!$D$114)+(1+Assumptions_Dashboard!$D$115)*Fleet!P157),0))</f>
        <v>6</v>
      </c>
      <c r="T206" s="179">
        <f>IF($G206=0,0,ROUND(($G206*(1+Assumptions_Dashboard!$D$114)+(1+Assumptions_Dashboard!$D$115)*Fleet!Q157),0))</f>
        <v>6</v>
      </c>
      <c r="U206" s="179">
        <f>IF($G206=0,0,ROUND(($G206*(1+Assumptions_Dashboard!$D$114)+(1+Assumptions_Dashboard!$D$115)*Fleet!R157),0))</f>
        <v>6</v>
      </c>
      <c r="V206" s="179">
        <f>IF($G206=0,0,ROUND(($G206*(1+Assumptions_Dashboard!$D$114)+(1+Assumptions_Dashboard!$D$115)*Fleet!S157),0))</f>
        <v>6</v>
      </c>
      <c r="W206" s="179">
        <f>IF($G206=0,0,ROUND(($G206*(1+Assumptions_Dashboard!$D$114)+(1+Assumptions_Dashboard!$D$115)*Fleet!T157),0))</f>
        <v>6</v>
      </c>
      <c r="X206" s="179">
        <f>IF($G206=0,0,ROUND(($G206*(1+Assumptions_Dashboard!$D$114)+(1+Assumptions_Dashboard!$D$115)*Fleet!U157),0))</f>
        <v>6</v>
      </c>
      <c r="Y206" s="179">
        <f>IF($G206=0,0,ROUND(($G206*(1+Assumptions_Dashboard!$D$114)+(1+Assumptions_Dashboard!$D$115)*Fleet!V157),0))</f>
        <v>6</v>
      </c>
      <c r="Z206" s="179">
        <f>IF($G206=0,0,ROUND(($G206*(1+Assumptions_Dashboard!$D$114)+(1+Assumptions_Dashboard!$D$115)*Fleet!W157),0))</f>
        <v>6</v>
      </c>
      <c r="AA206" s="179">
        <f>IF($G206=0,0,ROUND(($G206*(1+Assumptions_Dashboard!$D$114)+(1+Assumptions_Dashboard!$D$115)*Fleet!X157),0))</f>
        <v>6</v>
      </c>
      <c r="AB206" s="179">
        <f>IF($G206=0,0,ROUND(($G206*(1+Assumptions_Dashboard!$D$114)+(1+Assumptions_Dashboard!$D$115)*Fleet!Y157),0))</f>
        <v>6</v>
      </c>
      <c r="AC206" s="179">
        <f>IF($G206=0,0,ROUND(($G206*(1+Assumptions_Dashboard!$D$114)+(1+Assumptions_Dashboard!$D$115)*Fleet!Z157),0))</f>
        <v>6</v>
      </c>
      <c r="AD206" s="179">
        <f>IF($G206=0,0,ROUND(($G206*(1+Assumptions_Dashboard!$D$114)+(1+Assumptions_Dashboard!$D$115)*Fleet!AA157),0))</f>
        <v>6</v>
      </c>
      <c r="AE206" s="179">
        <f>IF($G206=0,0,ROUND(($G206*(1+Assumptions_Dashboard!$D$114)+(1+Assumptions_Dashboard!$D$115)*Fleet!AB157),0))</f>
        <v>5</v>
      </c>
      <c r="AF206" s="179">
        <f>IF($G206=0,0,ROUND(($G206*(1+Assumptions_Dashboard!$D$114)+(1+Assumptions_Dashboard!$D$115)*Fleet!AC157),0))</f>
        <v>5</v>
      </c>
    </row>
    <row r="207" spans="3:32">
      <c r="C207" s="661" t="str">
        <f>Fleet!C158</f>
        <v>Crane/ 60t</v>
      </c>
      <c r="D207" s="257"/>
      <c r="E207" s="121" t="s">
        <v>740</v>
      </c>
      <c r="F207" s="205" t="s">
        <v>220</v>
      </c>
      <c r="G207">
        <f>IF(Assumptions_Dashboard!$L$4="MDO",0,3)</f>
        <v>3</v>
      </c>
      <c r="H207" s="366">
        <f>IFERROR(VLOOKUP(F207,Assumptions_Dashboard!$C$38:$D$72,2,FALSE),0)</f>
        <v>600000</v>
      </c>
      <c r="J207" s="179"/>
      <c r="K207" s="179"/>
      <c r="L207" s="179"/>
      <c r="M207" s="179"/>
      <c r="N207" s="179">
        <f>IF($G207=0,0,ROUND(($G207*(1+Assumptions_Dashboard!$D$114)+(1+Assumptions_Dashboard!$D$115)*Fleet!K158),0))</f>
        <v>5</v>
      </c>
      <c r="O207" s="179">
        <f>IF($G207=0,0,ROUND(($G207*(1+Assumptions_Dashboard!$D$114)+(1+Assumptions_Dashboard!$D$115)*Fleet!L158),0))</f>
        <v>5</v>
      </c>
      <c r="P207" s="179">
        <f>IF($G207=0,0,ROUND(($G207*(1+Assumptions_Dashboard!$D$114)+(1+Assumptions_Dashboard!$D$115)*Fleet!M158),0))</f>
        <v>6</v>
      </c>
      <c r="Q207" s="179">
        <f>IF($G207=0,0,ROUND(($G207*(1+Assumptions_Dashboard!$D$114)+(1+Assumptions_Dashboard!$D$115)*Fleet!N158),0))</f>
        <v>6</v>
      </c>
      <c r="R207" s="179">
        <f>IF($G207=0,0,ROUND(($G207*(1+Assumptions_Dashboard!$D$114)+(1+Assumptions_Dashboard!$D$115)*Fleet!O158),0))</f>
        <v>6</v>
      </c>
      <c r="S207" s="179">
        <f>IF($G207=0,0,ROUND(($G207*(1+Assumptions_Dashboard!$D$114)+(1+Assumptions_Dashboard!$D$115)*Fleet!P158),0))</f>
        <v>6</v>
      </c>
      <c r="T207" s="179">
        <f>IF($G207=0,0,ROUND(($G207*(1+Assumptions_Dashboard!$D$114)+(1+Assumptions_Dashboard!$D$115)*Fleet!Q158),0))</f>
        <v>6</v>
      </c>
      <c r="U207" s="179">
        <f>IF($G207=0,0,ROUND(($G207*(1+Assumptions_Dashboard!$D$114)+(1+Assumptions_Dashboard!$D$115)*Fleet!R158),0))</f>
        <v>6</v>
      </c>
      <c r="V207" s="179">
        <f>IF($G207=0,0,ROUND(($G207*(1+Assumptions_Dashboard!$D$114)+(1+Assumptions_Dashboard!$D$115)*Fleet!S158),0))</f>
        <v>6</v>
      </c>
      <c r="W207" s="179">
        <f>IF($G207=0,0,ROUND(($G207*(1+Assumptions_Dashboard!$D$114)+(1+Assumptions_Dashboard!$D$115)*Fleet!T158),0))</f>
        <v>6</v>
      </c>
      <c r="X207" s="179">
        <f>IF($G207=0,0,ROUND(($G207*(1+Assumptions_Dashboard!$D$114)+(1+Assumptions_Dashboard!$D$115)*Fleet!U158),0))</f>
        <v>6</v>
      </c>
      <c r="Y207" s="179">
        <f>IF($G207=0,0,ROUND(($G207*(1+Assumptions_Dashboard!$D$114)+(1+Assumptions_Dashboard!$D$115)*Fleet!V158),0))</f>
        <v>6</v>
      </c>
      <c r="Z207" s="179">
        <f>IF($G207=0,0,ROUND(($G207*(1+Assumptions_Dashboard!$D$114)+(1+Assumptions_Dashboard!$D$115)*Fleet!W158),0))</f>
        <v>6</v>
      </c>
      <c r="AA207" s="179">
        <f>IF($G207=0,0,ROUND(($G207*(1+Assumptions_Dashboard!$D$114)+(1+Assumptions_Dashboard!$D$115)*Fleet!X158),0))</f>
        <v>6</v>
      </c>
      <c r="AB207" s="179">
        <f>IF($G207=0,0,ROUND(($G207*(1+Assumptions_Dashboard!$D$114)+(1+Assumptions_Dashboard!$D$115)*Fleet!Y158),0))</f>
        <v>6</v>
      </c>
      <c r="AC207" s="179">
        <f>IF($G207=0,0,ROUND(($G207*(1+Assumptions_Dashboard!$D$114)+(1+Assumptions_Dashboard!$D$115)*Fleet!Z158),0))</f>
        <v>6</v>
      </c>
      <c r="AD207" s="179">
        <f>IF($G207=0,0,ROUND(($G207*(1+Assumptions_Dashboard!$D$114)+(1+Assumptions_Dashboard!$D$115)*Fleet!AA158),0))</f>
        <v>6</v>
      </c>
      <c r="AE207" s="179">
        <f>IF($G207=0,0,ROUND(($G207*(1+Assumptions_Dashboard!$D$114)+(1+Assumptions_Dashboard!$D$115)*Fleet!AB158),0))</f>
        <v>5</v>
      </c>
      <c r="AF207" s="179">
        <f>IF($G207=0,0,ROUND(($G207*(1+Assumptions_Dashboard!$D$114)+(1+Assumptions_Dashboard!$D$115)*Fleet!AC158),0))</f>
        <v>5</v>
      </c>
    </row>
    <row r="208" spans="3:32">
      <c r="C208" s="661" t="str">
        <f>Fleet!C159</f>
        <v>Crane/ 12t</v>
      </c>
      <c r="D208" s="257"/>
      <c r="E208" s="121" t="s">
        <v>740</v>
      </c>
      <c r="F208" s="205" t="s">
        <v>220</v>
      </c>
      <c r="G208">
        <f>IF(Assumptions_Dashboard!$L$4="MDO",0,3)</f>
        <v>3</v>
      </c>
      <c r="H208" s="366">
        <f>IFERROR(VLOOKUP(F208,Assumptions_Dashboard!$C$38:$D$72,2,FALSE),0)</f>
        <v>600000</v>
      </c>
      <c r="J208" s="179"/>
      <c r="K208" s="179"/>
      <c r="L208" s="179"/>
      <c r="M208" s="179"/>
      <c r="N208" s="179">
        <f>IF($G208=0,0,ROUND(($G208*(1+Assumptions_Dashboard!$D$114)+(1+Assumptions_Dashboard!$D$115)*Fleet!K159),0))</f>
        <v>5</v>
      </c>
      <c r="O208" s="179">
        <f>IF($G208=0,0,ROUND(($G208*(1+Assumptions_Dashboard!$D$114)+(1+Assumptions_Dashboard!$D$115)*Fleet!L159),0))</f>
        <v>5</v>
      </c>
      <c r="P208" s="179">
        <f>IF($G208=0,0,ROUND(($G208*(1+Assumptions_Dashboard!$D$114)+(1+Assumptions_Dashboard!$D$115)*Fleet!M159),0))</f>
        <v>6</v>
      </c>
      <c r="Q208" s="179">
        <f>IF($G208=0,0,ROUND(($G208*(1+Assumptions_Dashboard!$D$114)+(1+Assumptions_Dashboard!$D$115)*Fleet!N159),0))</f>
        <v>6</v>
      </c>
      <c r="R208" s="179">
        <f>IF($G208=0,0,ROUND(($G208*(1+Assumptions_Dashboard!$D$114)+(1+Assumptions_Dashboard!$D$115)*Fleet!O159),0))</f>
        <v>6</v>
      </c>
      <c r="S208" s="179">
        <f>IF($G208=0,0,ROUND(($G208*(1+Assumptions_Dashboard!$D$114)+(1+Assumptions_Dashboard!$D$115)*Fleet!P159),0))</f>
        <v>6</v>
      </c>
      <c r="T208" s="179">
        <f>IF($G208=0,0,ROUND(($G208*(1+Assumptions_Dashboard!$D$114)+(1+Assumptions_Dashboard!$D$115)*Fleet!Q159),0))</f>
        <v>6</v>
      </c>
      <c r="U208" s="179">
        <f>IF($G208=0,0,ROUND(($G208*(1+Assumptions_Dashboard!$D$114)+(1+Assumptions_Dashboard!$D$115)*Fleet!R159),0))</f>
        <v>6</v>
      </c>
      <c r="V208" s="179">
        <f>IF($G208=0,0,ROUND(($G208*(1+Assumptions_Dashboard!$D$114)+(1+Assumptions_Dashboard!$D$115)*Fleet!S159),0))</f>
        <v>6</v>
      </c>
      <c r="W208" s="179">
        <f>IF($G208=0,0,ROUND(($G208*(1+Assumptions_Dashboard!$D$114)+(1+Assumptions_Dashboard!$D$115)*Fleet!T159),0))</f>
        <v>6</v>
      </c>
      <c r="X208" s="179">
        <f>IF($G208=0,0,ROUND(($G208*(1+Assumptions_Dashboard!$D$114)+(1+Assumptions_Dashboard!$D$115)*Fleet!U159),0))</f>
        <v>6</v>
      </c>
      <c r="Y208" s="179">
        <f>IF($G208=0,0,ROUND(($G208*(1+Assumptions_Dashboard!$D$114)+(1+Assumptions_Dashboard!$D$115)*Fleet!V159),0))</f>
        <v>6</v>
      </c>
      <c r="Z208" s="179">
        <f>IF($G208=0,0,ROUND(($G208*(1+Assumptions_Dashboard!$D$114)+(1+Assumptions_Dashboard!$D$115)*Fleet!W159),0))</f>
        <v>6</v>
      </c>
      <c r="AA208" s="179">
        <f>IF($G208=0,0,ROUND(($G208*(1+Assumptions_Dashboard!$D$114)+(1+Assumptions_Dashboard!$D$115)*Fleet!X159),0))</f>
        <v>6</v>
      </c>
      <c r="AB208" s="179">
        <f>IF($G208=0,0,ROUND(($G208*(1+Assumptions_Dashboard!$D$114)+(1+Assumptions_Dashboard!$D$115)*Fleet!Y159),0))</f>
        <v>6</v>
      </c>
      <c r="AC208" s="179">
        <f>IF($G208=0,0,ROUND(($G208*(1+Assumptions_Dashboard!$D$114)+(1+Assumptions_Dashboard!$D$115)*Fleet!Z159),0))</f>
        <v>6</v>
      </c>
      <c r="AD208" s="179">
        <f>IF($G208=0,0,ROUND(($G208*(1+Assumptions_Dashboard!$D$114)+(1+Assumptions_Dashboard!$D$115)*Fleet!AA159),0))</f>
        <v>6</v>
      </c>
      <c r="AE208" s="179">
        <f>IF($G208=0,0,ROUND(($G208*(1+Assumptions_Dashboard!$D$114)+(1+Assumptions_Dashboard!$D$115)*Fleet!AB159),0))</f>
        <v>5</v>
      </c>
      <c r="AF208" s="179">
        <f>IF($G208=0,0,ROUND(($G208*(1+Assumptions_Dashboard!$D$114)+(1+Assumptions_Dashboard!$D$115)*Fleet!AC159),0))</f>
        <v>5</v>
      </c>
    </row>
    <row r="209" spans="3:32">
      <c r="C209" s="661" t="str">
        <f>Fleet!C160</f>
        <v>Crane/ 8t</v>
      </c>
      <c r="D209" s="257"/>
      <c r="E209" s="121" t="s">
        <v>740</v>
      </c>
      <c r="F209" s="205" t="s">
        <v>220</v>
      </c>
      <c r="G209">
        <f>IF(Assumptions_Dashboard!$L$4="MDO",0,3)</f>
        <v>3</v>
      </c>
      <c r="H209" s="366">
        <f>IFERROR(VLOOKUP(F209,Assumptions_Dashboard!$C$38:$D$72,2,FALSE),0)</f>
        <v>600000</v>
      </c>
      <c r="J209" s="179"/>
      <c r="K209" s="179"/>
      <c r="L209" s="179"/>
      <c r="M209" s="179"/>
      <c r="N209" s="179">
        <f>IF($G209=0,0,ROUND(($G209*(1+Assumptions_Dashboard!$D$114)+(1+Assumptions_Dashboard!$D$115)*Fleet!K160),0))</f>
        <v>5</v>
      </c>
      <c r="O209" s="179">
        <f>IF($G209=0,0,ROUND(($G209*(1+Assumptions_Dashboard!$D$114)+(1+Assumptions_Dashboard!$D$115)*Fleet!L160),0))</f>
        <v>5</v>
      </c>
      <c r="P209" s="179">
        <f>IF($G209=0,0,ROUND(($G209*(1+Assumptions_Dashboard!$D$114)+(1+Assumptions_Dashboard!$D$115)*Fleet!M160),0))</f>
        <v>6</v>
      </c>
      <c r="Q209" s="179">
        <f>IF($G209=0,0,ROUND(($G209*(1+Assumptions_Dashboard!$D$114)+(1+Assumptions_Dashboard!$D$115)*Fleet!N160),0))</f>
        <v>6</v>
      </c>
      <c r="R209" s="179">
        <f>IF($G209=0,0,ROUND(($G209*(1+Assumptions_Dashboard!$D$114)+(1+Assumptions_Dashboard!$D$115)*Fleet!O160),0))</f>
        <v>6</v>
      </c>
      <c r="S209" s="179">
        <f>IF($G209=0,0,ROUND(($G209*(1+Assumptions_Dashboard!$D$114)+(1+Assumptions_Dashboard!$D$115)*Fleet!P160),0))</f>
        <v>6</v>
      </c>
      <c r="T209" s="179">
        <f>IF($G209=0,0,ROUND(($G209*(1+Assumptions_Dashboard!$D$114)+(1+Assumptions_Dashboard!$D$115)*Fleet!Q160),0))</f>
        <v>6</v>
      </c>
      <c r="U209" s="179">
        <f>IF($G209=0,0,ROUND(($G209*(1+Assumptions_Dashboard!$D$114)+(1+Assumptions_Dashboard!$D$115)*Fleet!R160),0))</f>
        <v>6</v>
      </c>
      <c r="V209" s="179">
        <f>IF($G209=0,0,ROUND(($G209*(1+Assumptions_Dashboard!$D$114)+(1+Assumptions_Dashboard!$D$115)*Fleet!S160),0))</f>
        <v>6</v>
      </c>
      <c r="W209" s="179">
        <f>IF($G209=0,0,ROUND(($G209*(1+Assumptions_Dashboard!$D$114)+(1+Assumptions_Dashboard!$D$115)*Fleet!T160),0))</f>
        <v>6</v>
      </c>
      <c r="X209" s="179">
        <f>IF($G209=0,0,ROUND(($G209*(1+Assumptions_Dashboard!$D$114)+(1+Assumptions_Dashboard!$D$115)*Fleet!U160),0))</f>
        <v>6</v>
      </c>
      <c r="Y209" s="179">
        <f>IF($G209=0,0,ROUND(($G209*(1+Assumptions_Dashboard!$D$114)+(1+Assumptions_Dashboard!$D$115)*Fleet!V160),0))</f>
        <v>6</v>
      </c>
      <c r="Z209" s="179">
        <f>IF($G209=0,0,ROUND(($G209*(1+Assumptions_Dashboard!$D$114)+(1+Assumptions_Dashboard!$D$115)*Fleet!W160),0))</f>
        <v>6</v>
      </c>
      <c r="AA209" s="179">
        <f>IF($G209=0,0,ROUND(($G209*(1+Assumptions_Dashboard!$D$114)+(1+Assumptions_Dashboard!$D$115)*Fleet!X160),0))</f>
        <v>6</v>
      </c>
      <c r="AB209" s="179">
        <f>IF($G209=0,0,ROUND(($G209*(1+Assumptions_Dashboard!$D$114)+(1+Assumptions_Dashboard!$D$115)*Fleet!Y160),0))</f>
        <v>6</v>
      </c>
      <c r="AC209" s="179">
        <f>IF($G209=0,0,ROUND(($G209*(1+Assumptions_Dashboard!$D$114)+(1+Assumptions_Dashboard!$D$115)*Fleet!Z160),0))</f>
        <v>6</v>
      </c>
      <c r="AD209" s="179">
        <f>IF($G209=0,0,ROUND(($G209*(1+Assumptions_Dashboard!$D$114)+(1+Assumptions_Dashboard!$D$115)*Fleet!AA160),0))</f>
        <v>6</v>
      </c>
      <c r="AE209" s="179">
        <f>IF($G209=0,0,ROUND(($G209*(1+Assumptions_Dashboard!$D$114)+(1+Assumptions_Dashboard!$D$115)*Fleet!AB160),0))</f>
        <v>5</v>
      </c>
      <c r="AF209" s="179">
        <f>IF($G209=0,0,ROUND(($G209*(1+Assumptions_Dashboard!$D$114)+(1+Assumptions_Dashboard!$D$115)*Fleet!AC160),0))</f>
        <v>5</v>
      </c>
    </row>
    <row r="210" spans="3:32">
      <c r="C210" s="661" t="str">
        <f>Fleet!C161</f>
        <v>Water Sprinkler/ 28KL</v>
      </c>
      <c r="D210" s="257"/>
      <c r="E210" s="121" t="s">
        <v>740</v>
      </c>
      <c r="F210" s="205" t="s">
        <v>220</v>
      </c>
      <c r="G210">
        <f>IF(Assumptions_Dashboard!$L$4="MDO",0,3)</f>
        <v>3</v>
      </c>
      <c r="H210" s="366">
        <f>IFERROR(VLOOKUP(F210,Assumptions_Dashboard!$C$38:$D$72,2,FALSE),0)</f>
        <v>600000</v>
      </c>
      <c r="J210" s="179"/>
      <c r="K210" s="179"/>
      <c r="L210" s="179"/>
      <c r="M210" s="179"/>
      <c r="N210" s="179">
        <f>IF($G210=0,0,ROUND(($G210*(1+Assumptions_Dashboard!$D$114)+(1+Assumptions_Dashboard!$D$115)*Fleet!K161),0))</f>
        <v>5</v>
      </c>
      <c r="O210" s="179">
        <f>IF($G210=0,0,ROUND(($G210*(1+Assumptions_Dashboard!$D$114)+(1+Assumptions_Dashboard!$D$115)*Fleet!L161),0))</f>
        <v>5</v>
      </c>
      <c r="P210" s="179">
        <f>IF($G210=0,0,ROUND(($G210*(1+Assumptions_Dashboard!$D$114)+(1+Assumptions_Dashboard!$D$115)*Fleet!M161),0))</f>
        <v>6</v>
      </c>
      <c r="Q210" s="179">
        <f>IF($G210=0,0,ROUND(($G210*(1+Assumptions_Dashboard!$D$114)+(1+Assumptions_Dashboard!$D$115)*Fleet!N161),0))</f>
        <v>6</v>
      </c>
      <c r="R210" s="179">
        <f>IF($G210=0,0,ROUND(($G210*(1+Assumptions_Dashboard!$D$114)+(1+Assumptions_Dashboard!$D$115)*Fleet!O161),0))</f>
        <v>6</v>
      </c>
      <c r="S210" s="179">
        <f>IF($G210=0,0,ROUND(($G210*(1+Assumptions_Dashboard!$D$114)+(1+Assumptions_Dashboard!$D$115)*Fleet!P161),0))</f>
        <v>6</v>
      </c>
      <c r="T210" s="179">
        <f>IF($G210=0,0,ROUND(($G210*(1+Assumptions_Dashboard!$D$114)+(1+Assumptions_Dashboard!$D$115)*Fleet!Q161),0))</f>
        <v>6</v>
      </c>
      <c r="U210" s="179">
        <f>IF($G210=0,0,ROUND(($G210*(1+Assumptions_Dashboard!$D$114)+(1+Assumptions_Dashboard!$D$115)*Fleet!R161),0))</f>
        <v>6</v>
      </c>
      <c r="V210" s="179">
        <f>IF($G210=0,0,ROUND(($G210*(1+Assumptions_Dashboard!$D$114)+(1+Assumptions_Dashboard!$D$115)*Fleet!S161),0))</f>
        <v>6</v>
      </c>
      <c r="W210" s="179">
        <f>IF($G210=0,0,ROUND(($G210*(1+Assumptions_Dashboard!$D$114)+(1+Assumptions_Dashboard!$D$115)*Fleet!T161),0))</f>
        <v>6</v>
      </c>
      <c r="X210" s="179">
        <f>IF($G210=0,0,ROUND(($G210*(1+Assumptions_Dashboard!$D$114)+(1+Assumptions_Dashboard!$D$115)*Fleet!U161),0))</f>
        <v>6</v>
      </c>
      <c r="Y210" s="179">
        <f>IF($G210=0,0,ROUND(($G210*(1+Assumptions_Dashboard!$D$114)+(1+Assumptions_Dashboard!$D$115)*Fleet!V161),0))</f>
        <v>6</v>
      </c>
      <c r="Z210" s="179">
        <f>IF($G210=0,0,ROUND(($G210*(1+Assumptions_Dashboard!$D$114)+(1+Assumptions_Dashboard!$D$115)*Fleet!W161),0))</f>
        <v>6</v>
      </c>
      <c r="AA210" s="179">
        <f>IF($G210=0,0,ROUND(($G210*(1+Assumptions_Dashboard!$D$114)+(1+Assumptions_Dashboard!$D$115)*Fleet!X161),0))</f>
        <v>6</v>
      </c>
      <c r="AB210" s="179">
        <f>IF($G210=0,0,ROUND(($G210*(1+Assumptions_Dashboard!$D$114)+(1+Assumptions_Dashboard!$D$115)*Fleet!Y161),0))</f>
        <v>6</v>
      </c>
      <c r="AC210" s="179">
        <f>IF($G210=0,0,ROUND(($G210*(1+Assumptions_Dashboard!$D$114)+(1+Assumptions_Dashboard!$D$115)*Fleet!Z161),0))</f>
        <v>6</v>
      </c>
      <c r="AD210" s="179">
        <f>IF($G210=0,0,ROUND(($G210*(1+Assumptions_Dashboard!$D$114)+(1+Assumptions_Dashboard!$D$115)*Fleet!AA161),0))</f>
        <v>6</v>
      </c>
      <c r="AE210" s="179">
        <f>IF($G210=0,0,ROUND(($G210*(1+Assumptions_Dashboard!$D$114)+(1+Assumptions_Dashboard!$D$115)*Fleet!AB161),0))</f>
        <v>5</v>
      </c>
      <c r="AF210" s="179">
        <f>IF($G210=0,0,ROUND(($G210*(1+Assumptions_Dashboard!$D$114)+(1+Assumptions_Dashboard!$D$115)*Fleet!AC161),0))</f>
        <v>5</v>
      </c>
    </row>
    <row r="211" spans="3:32">
      <c r="C211" s="661" t="str">
        <f>Fleet!C162</f>
        <v>Diesel Bowser/ 9KL</v>
      </c>
      <c r="D211" s="257"/>
      <c r="E211" s="121" t="s">
        <v>740</v>
      </c>
      <c r="F211" s="205" t="s">
        <v>220</v>
      </c>
      <c r="G211">
        <f>IF(Assumptions_Dashboard!$L$4="MDO",0,3)</f>
        <v>3</v>
      </c>
      <c r="H211" s="366">
        <f>IFERROR(VLOOKUP(F211,Assumptions_Dashboard!$C$38:$D$72,2,FALSE),0)</f>
        <v>600000</v>
      </c>
      <c r="J211" s="179"/>
      <c r="K211" s="179"/>
      <c r="L211" s="179"/>
      <c r="M211" s="179"/>
      <c r="N211" s="179">
        <f>IF($G211=0,0,ROUND(($G211*(1+Assumptions_Dashboard!$D$114)+(1+Assumptions_Dashboard!$D$115)*Fleet!K162),0))</f>
        <v>5</v>
      </c>
      <c r="O211" s="179">
        <f>IF($G211=0,0,ROUND(($G211*(1+Assumptions_Dashboard!$D$114)+(1+Assumptions_Dashboard!$D$115)*Fleet!L162),0))</f>
        <v>5</v>
      </c>
      <c r="P211" s="179">
        <f>IF($G211=0,0,ROUND(($G211*(1+Assumptions_Dashboard!$D$114)+(1+Assumptions_Dashboard!$D$115)*Fleet!M162),0))</f>
        <v>6</v>
      </c>
      <c r="Q211" s="179">
        <f>IF($G211=0,0,ROUND(($G211*(1+Assumptions_Dashboard!$D$114)+(1+Assumptions_Dashboard!$D$115)*Fleet!N162),0))</f>
        <v>6</v>
      </c>
      <c r="R211" s="179">
        <f>IF($G211=0,0,ROUND(($G211*(1+Assumptions_Dashboard!$D$114)+(1+Assumptions_Dashboard!$D$115)*Fleet!O162),0))</f>
        <v>6</v>
      </c>
      <c r="S211" s="179">
        <f>IF($G211=0,0,ROUND(($G211*(1+Assumptions_Dashboard!$D$114)+(1+Assumptions_Dashboard!$D$115)*Fleet!P162),0))</f>
        <v>6</v>
      </c>
      <c r="T211" s="179">
        <f>IF($G211=0,0,ROUND(($G211*(1+Assumptions_Dashboard!$D$114)+(1+Assumptions_Dashboard!$D$115)*Fleet!Q162),0))</f>
        <v>6</v>
      </c>
      <c r="U211" s="179">
        <f>IF($G211=0,0,ROUND(($G211*(1+Assumptions_Dashboard!$D$114)+(1+Assumptions_Dashboard!$D$115)*Fleet!R162),0))</f>
        <v>6</v>
      </c>
      <c r="V211" s="179">
        <f>IF($G211=0,0,ROUND(($G211*(1+Assumptions_Dashboard!$D$114)+(1+Assumptions_Dashboard!$D$115)*Fleet!S162),0))</f>
        <v>6</v>
      </c>
      <c r="W211" s="179">
        <f>IF($G211=0,0,ROUND(($G211*(1+Assumptions_Dashboard!$D$114)+(1+Assumptions_Dashboard!$D$115)*Fleet!T162),0))</f>
        <v>6</v>
      </c>
      <c r="X211" s="179">
        <f>IF($G211=0,0,ROUND(($G211*(1+Assumptions_Dashboard!$D$114)+(1+Assumptions_Dashboard!$D$115)*Fleet!U162),0))</f>
        <v>6</v>
      </c>
      <c r="Y211" s="179">
        <f>IF($G211=0,0,ROUND(($G211*(1+Assumptions_Dashboard!$D$114)+(1+Assumptions_Dashboard!$D$115)*Fleet!V162),0))</f>
        <v>6</v>
      </c>
      <c r="Z211" s="179">
        <f>IF($G211=0,0,ROUND(($G211*(1+Assumptions_Dashboard!$D$114)+(1+Assumptions_Dashboard!$D$115)*Fleet!W162),0))</f>
        <v>6</v>
      </c>
      <c r="AA211" s="179">
        <f>IF($G211=0,0,ROUND(($G211*(1+Assumptions_Dashboard!$D$114)+(1+Assumptions_Dashboard!$D$115)*Fleet!X162),0))</f>
        <v>6</v>
      </c>
      <c r="AB211" s="179">
        <f>IF($G211=0,0,ROUND(($G211*(1+Assumptions_Dashboard!$D$114)+(1+Assumptions_Dashboard!$D$115)*Fleet!Y162),0))</f>
        <v>6</v>
      </c>
      <c r="AC211" s="179">
        <f>IF($G211=0,0,ROUND(($G211*(1+Assumptions_Dashboard!$D$114)+(1+Assumptions_Dashboard!$D$115)*Fleet!Z162),0))</f>
        <v>6</v>
      </c>
      <c r="AD211" s="179">
        <f>IF($G211=0,0,ROUND(($G211*(1+Assumptions_Dashboard!$D$114)+(1+Assumptions_Dashboard!$D$115)*Fleet!AA162),0))</f>
        <v>6</v>
      </c>
      <c r="AE211" s="179">
        <f>IF($G211=0,0,ROUND(($G211*(1+Assumptions_Dashboard!$D$114)+(1+Assumptions_Dashboard!$D$115)*Fleet!AB162),0))</f>
        <v>5</v>
      </c>
      <c r="AF211" s="179">
        <f>IF($G211=0,0,ROUND(($G211*(1+Assumptions_Dashboard!$D$114)+(1+Assumptions_Dashboard!$D$115)*Fleet!AC162),0))</f>
        <v>5</v>
      </c>
    </row>
    <row r="212" spans="3:32">
      <c r="C212" s="661" t="str">
        <f>Fleet!C163</f>
        <v xml:space="preserve">Explosive Van </v>
      </c>
      <c r="D212" s="257"/>
      <c r="E212" s="121" t="s">
        <v>740</v>
      </c>
      <c r="F212" s="205" t="s">
        <v>220</v>
      </c>
      <c r="G212">
        <f>IF(Assumptions_Dashboard!$L$4="MDO",0,3)</f>
        <v>3</v>
      </c>
      <c r="H212" s="366">
        <f>IFERROR(VLOOKUP(F212,Assumptions_Dashboard!$C$38:$D$72,2,FALSE),0)</f>
        <v>600000</v>
      </c>
      <c r="J212" s="179"/>
      <c r="K212" s="179"/>
      <c r="L212" s="179"/>
      <c r="M212" s="179"/>
      <c r="N212" s="179">
        <f>IF($G212=0,0,ROUND(($G212*(1+Assumptions_Dashboard!$D$114)+(1+Assumptions_Dashboard!$D$115)*Fleet!K163),0))</f>
        <v>5</v>
      </c>
      <c r="O212" s="179">
        <f>IF($G212=0,0,ROUND(($G212*(1+Assumptions_Dashboard!$D$114)+(1+Assumptions_Dashboard!$D$115)*Fleet!L163),0))</f>
        <v>5</v>
      </c>
      <c r="P212" s="179">
        <f>IF($G212=0,0,ROUND(($G212*(1+Assumptions_Dashboard!$D$114)+(1+Assumptions_Dashboard!$D$115)*Fleet!M163),0))</f>
        <v>6</v>
      </c>
      <c r="Q212" s="179">
        <f>IF($G212=0,0,ROUND(($G212*(1+Assumptions_Dashboard!$D$114)+(1+Assumptions_Dashboard!$D$115)*Fleet!N163),0))</f>
        <v>6</v>
      </c>
      <c r="R212" s="179">
        <f>IF($G212=0,0,ROUND(($G212*(1+Assumptions_Dashboard!$D$114)+(1+Assumptions_Dashboard!$D$115)*Fleet!O163),0))</f>
        <v>6</v>
      </c>
      <c r="S212" s="179">
        <f>IF($G212=0,0,ROUND(($G212*(1+Assumptions_Dashboard!$D$114)+(1+Assumptions_Dashboard!$D$115)*Fleet!P163),0))</f>
        <v>6</v>
      </c>
      <c r="T212" s="179">
        <f>IF($G212=0,0,ROUND(($G212*(1+Assumptions_Dashboard!$D$114)+(1+Assumptions_Dashboard!$D$115)*Fleet!Q163),0))</f>
        <v>6</v>
      </c>
      <c r="U212" s="179">
        <f>IF($G212=0,0,ROUND(($G212*(1+Assumptions_Dashboard!$D$114)+(1+Assumptions_Dashboard!$D$115)*Fleet!R163),0))</f>
        <v>6</v>
      </c>
      <c r="V212" s="179">
        <f>IF($G212=0,0,ROUND(($G212*(1+Assumptions_Dashboard!$D$114)+(1+Assumptions_Dashboard!$D$115)*Fleet!S163),0))</f>
        <v>6</v>
      </c>
      <c r="W212" s="179">
        <f>IF($G212=0,0,ROUND(($G212*(1+Assumptions_Dashboard!$D$114)+(1+Assumptions_Dashboard!$D$115)*Fleet!T163),0))</f>
        <v>6</v>
      </c>
      <c r="X212" s="179">
        <f>IF($G212=0,0,ROUND(($G212*(1+Assumptions_Dashboard!$D$114)+(1+Assumptions_Dashboard!$D$115)*Fleet!U163),0))</f>
        <v>6</v>
      </c>
      <c r="Y212" s="179">
        <f>IF($G212=0,0,ROUND(($G212*(1+Assumptions_Dashboard!$D$114)+(1+Assumptions_Dashboard!$D$115)*Fleet!V163),0))</f>
        <v>6</v>
      </c>
      <c r="Z212" s="179">
        <f>IF($G212=0,0,ROUND(($G212*(1+Assumptions_Dashboard!$D$114)+(1+Assumptions_Dashboard!$D$115)*Fleet!W163),0))</f>
        <v>6</v>
      </c>
      <c r="AA212" s="179">
        <f>IF($G212=0,0,ROUND(($G212*(1+Assumptions_Dashboard!$D$114)+(1+Assumptions_Dashboard!$D$115)*Fleet!X163),0))</f>
        <v>6</v>
      </c>
      <c r="AB212" s="179">
        <f>IF($G212=0,0,ROUND(($G212*(1+Assumptions_Dashboard!$D$114)+(1+Assumptions_Dashboard!$D$115)*Fleet!Y163),0))</f>
        <v>6</v>
      </c>
      <c r="AC212" s="179">
        <f>IF($G212=0,0,ROUND(($G212*(1+Assumptions_Dashboard!$D$114)+(1+Assumptions_Dashboard!$D$115)*Fleet!Z163),0))</f>
        <v>6</v>
      </c>
      <c r="AD212" s="179">
        <f>IF($G212=0,0,ROUND(($G212*(1+Assumptions_Dashboard!$D$114)+(1+Assumptions_Dashboard!$D$115)*Fleet!AA163),0))</f>
        <v>6</v>
      </c>
      <c r="AE212" s="179">
        <f>IF($G212=0,0,ROUND(($G212*(1+Assumptions_Dashboard!$D$114)+(1+Assumptions_Dashboard!$D$115)*Fleet!AB163),0))</f>
        <v>5</v>
      </c>
      <c r="AF212" s="179">
        <f>IF($G212=0,0,ROUND(($G212*(1+Assumptions_Dashboard!$D$114)+(1+Assumptions_Dashboard!$D$115)*Fleet!AC163),0))</f>
        <v>5</v>
      </c>
    </row>
    <row r="213" spans="3:32">
      <c r="C213" s="661" t="str">
        <f>Fleet!C164</f>
        <v>Maintenance Van</v>
      </c>
      <c r="D213" s="257"/>
      <c r="E213" s="121" t="s">
        <v>740</v>
      </c>
      <c r="F213" s="205" t="s">
        <v>220</v>
      </c>
      <c r="G213">
        <f>IF(Assumptions_Dashboard!$L$4="MDO",0,3)</f>
        <v>3</v>
      </c>
      <c r="H213" s="366">
        <f>IFERROR(VLOOKUP(F213,Assumptions_Dashboard!$C$38:$D$72,2,FALSE),0)</f>
        <v>600000</v>
      </c>
      <c r="J213" s="179"/>
      <c r="K213" s="179"/>
      <c r="L213" s="179"/>
      <c r="M213" s="179"/>
      <c r="N213" s="179">
        <f>IF($G213=0,0,ROUND(($G213*(1+Assumptions_Dashboard!$D$114)+(1+Assumptions_Dashboard!$D$115)*Fleet!K164),0))</f>
        <v>5</v>
      </c>
      <c r="O213" s="179">
        <f>IF($G213=0,0,ROUND(($G213*(1+Assumptions_Dashboard!$D$114)+(1+Assumptions_Dashboard!$D$115)*Fleet!L164),0))</f>
        <v>5</v>
      </c>
      <c r="P213" s="179">
        <f>IF($G213=0,0,ROUND(($G213*(1+Assumptions_Dashboard!$D$114)+(1+Assumptions_Dashboard!$D$115)*Fleet!M164),0))</f>
        <v>6</v>
      </c>
      <c r="Q213" s="179">
        <f>IF($G213=0,0,ROUND(($G213*(1+Assumptions_Dashboard!$D$114)+(1+Assumptions_Dashboard!$D$115)*Fleet!N164),0))</f>
        <v>6</v>
      </c>
      <c r="R213" s="179">
        <f>IF($G213=0,0,ROUND(($G213*(1+Assumptions_Dashboard!$D$114)+(1+Assumptions_Dashboard!$D$115)*Fleet!O164),0))</f>
        <v>6</v>
      </c>
      <c r="S213" s="179">
        <f>IF($G213=0,0,ROUND(($G213*(1+Assumptions_Dashboard!$D$114)+(1+Assumptions_Dashboard!$D$115)*Fleet!P164),0))</f>
        <v>6</v>
      </c>
      <c r="T213" s="179">
        <f>IF($G213=0,0,ROUND(($G213*(1+Assumptions_Dashboard!$D$114)+(1+Assumptions_Dashboard!$D$115)*Fleet!Q164),0))</f>
        <v>6</v>
      </c>
      <c r="U213" s="179">
        <f>IF($G213=0,0,ROUND(($G213*(1+Assumptions_Dashboard!$D$114)+(1+Assumptions_Dashboard!$D$115)*Fleet!R164),0))</f>
        <v>6</v>
      </c>
      <c r="V213" s="179">
        <f>IF($G213=0,0,ROUND(($G213*(1+Assumptions_Dashboard!$D$114)+(1+Assumptions_Dashboard!$D$115)*Fleet!S164),0))</f>
        <v>6</v>
      </c>
      <c r="W213" s="179">
        <f>IF($G213=0,0,ROUND(($G213*(1+Assumptions_Dashboard!$D$114)+(1+Assumptions_Dashboard!$D$115)*Fleet!T164),0))</f>
        <v>6</v>
      </c>
      <c r="X213" s="179">
        <f>IF($G213=0,0,ROUND(($G213*(1+Assumptions_Dashboard!$D$114)+(1+Assumptions_Dashboard!$D$115)*Fleet!U164),0))</f>
        <v>6</v>
      </c>
      <c r="Y213" s="179">
        <f>IF($G213=0,0,ROUND(($G213*(1+Assumptions_Dashboard!$D$114)+(1+Assumptions_Dashboard!$D$115)*Fleet!V164),0))</f>
        <v>6</v>
      </c>
      <c r="Z213" s="179">
        <f>IF($G213=0,0,ROUND(($G213*(1+Assumptions_Dashboard!$D$114)+(1+Assumptions_Dashboard!$D$115)*Fleet!W164),0))</f>
        <v>6</v>
      </c>
      <c r="AA213" s="179">
        <f>IF($G213=0,0,ROUND(($G213*(1+Assumptions_Dashboard!$D$114)+(1+Assumptions_Dashboard!$D$115)*Fleet!X164),0))</f>
        <v>6</v>
      </c>
      <c r="AB213" s="179">
        <f>IF($G213=0,0,ROUND(($G213*(1+Assumptions_Dashboard!$D$114)+(1+Assumptions_Dashboard!$D$115)*Fleet!Y164),0))</f>
        <v>6</v>
      </c>
      <c r="AC213" s="179">
        <f>IF($G213=0,0,ROUND(($G213*(1+Assumptions_Dashboard!$D$114)+(1+Assumptions_Dashboard!$D$115)*Fleet!Z164),0))</f>
        <v>6</v>
      </c>
      <c r="AD213" s="179">
        <f>IF($G213=0,0,ROUND(($G213*(1+Assumptions_Dashboard!$D$114)+(1+Assumptions_Dashboard!$D$115)*Fleet!AA164),0))</f>
        <v>6</v>
      </c>
      <c r="AE213" s="179">
        <f>IF($G213=0,0,ROUND(($G213*(1+Assumptions_Dashboard!$D$114)+(1+Assumptions_Dashboard!$D$115)*Fleet!AB164),0))</f>
        <v>5</v>
      </c>
      <c r="AF213" s="179">
        <f>IF($G213=0,0,ROUND(($G213*(1+Assumptions_Dashboard!$D$114)+(1+Assumptions_Dashboard!$D$115)*Fleet!AC164),0))</f>
        <v>5</v>
      </c>
    </row>
    <row r="214" spans="3:32">
      <c r="C214" s="661" t="str">
        <f>Fleet!C165</f>
        <v>Diesel Hydraulic backhoe/ 1.5cum (Komatsu)</v>
      </c>
      <c r="D214" s="257"/>
      <c r="E214" s="121" t="s">
        <v>740</v>
      </c>
      <c r="F214" s="205" t="s">
        <v>220</v>
      </c>
      <c r="G214">
        <f>IF(Assumptions_Dashboard!$L$4="MDO",0,3)</f>
        <v>3</v>
      </c>
      <c r="H214" s="366">
        <f>IFERROR(VLOOKUP(F214,Assumptions_Dashboard!$C$38:$D$72,2,FALSE),0)</f>
        <v>600000</v>
      </c>
      <c r="J214" s="179"/>
      <c r="K214" s="179"/>
      <c r="L214" s="179"/>
      <c r="M214" s="179"/>
      <c r="N214" s="179">
        <f>IF($G214=0,0,ROUND(($G214*(1+Assumptions_Dashboard!$D$114)+(1+Assumptions_Dashboard!$D$115)*Fleet!K165),0))</f>
        <v>5</v>
      </c>
      <c r="O214" s="179">
        <f>IF($G214=0,0,ROUND(($G214*(1+Assumptions_Dashboard!$D$114)+(1+Assumptions_Dashboard!$D$115)*Fleet!L165),0))</f>
        <v>5</v>
      </c>
      <c r="P214" s="179">
        <f>IF($G214=0,0,ROUND(($G214*(1+Assumptions_Dashboard!$D$114)+(1+Assumptions_Dashboard!$D$115)*Fleet!M165),0))</f>
        <v>6</v>
      </c>
      <c r="Q214" s="179">
        <f>IF($G214=0,0,ROUND(($G214*(1+Assumptions_Dashboard!$D$114)+(1+Assumptions_Dashboard!$D$115)*Fleet!N165),0))</f>
        <v>6</v>
      </c>
      <c r="R214" s="179">
        <f>IF($G214=0,0,ROUND(($G214*(1+Assumptions_Dashboard!$D$114)+(1+Assumptions_Dashboard!$D$115)*Fleet!O165),0))</f>
        <v>6</v>
      </c>
      <c r="S214" s="179">
        <f>IF($G214=0,0,ROUND(($G214*(1+Assumptions_Dashboard!$D$114)+(1+Assumptions_Dashboard!$D$115)*Fleet!P165),0))</f>
        <v>6</v>
      </c>
      <c r="T214" s="179">
        <f>IF($G214=0,0,ROUND(($G214*(1+Assumptions_Dashboard!$D$114)+(1+Assumptions_Dashboard!$D$115)*Fleet!Q165),0))</f>
        <v>6</v>
      </c>
      <c r="U214" s="179">
        <f>IF($G214=0,0,ROUND(($G214*(1+Assumptions_Dashboard!$D$114)+(1+Assumptions_Dashboard!$D$115)*Fleet!R165),0))</f>
        <v>6</v>
      </c>
      <c r="V214" s="179">
        <f>IF($G214=0,0,ROUND(($G214*(1+Assumptions_Dashboard!$D$114)+(1+Assumptions_Dashboard!$D$115)*Fleet!S165),0))</f>
        <v>6</v>
      </c>
      <c r="W214" s="179">
        <f>IF($G214=0,0,ROUND(($G214*(1+Assumptions_Dashboard!$D$114)+(1+Assumptions_Dashboard!$D$115)*Fleet!T165),0))</f>
        <v>6</v>
      </c>
      <c r="X214" s="179">
        <f>IF($G214=0,0,ROUND(($G214*(1+Assumptions_Dashboard!$D$114)+(1+Assumptions_Dashboard!$D$115)*Fleet!U165),0))</f>
        <v>6</v>
      </c>
      <c r="Y214" s="179">
        <f>IF($G214=0,0,ROUND(($G214*(1+Assumptions_Dashboard!$D$114)+(1+Assumptions_Dashboard!$D$115)*Fleet!V165),0))</f>
        <v>6</v>
      </c>
      <c r="Z214" s="179">
        <f>IF($G214=0,0,ROUND(($G214*(1+Assumptions_Dashboard!$D$114)+(1+Assumptions_Dashboard!$D$115)*Fleet!W165),0))</f>
        <v>6</v>
      </c>
      <c r="AA214" s="179">
        <f>IF($G214=0,0,ROUND(($G214*(1+Assumptions_Dashboard!$D$114)+(1+Assumptions_Dashboard!$D$115)*Fleet!X165),0))</f>
        <v>6</v>
      </c>
      <c r="AB214" s="179">
        <f>IF($G214=0,0,ROUND(($G214*(1+Assumptions_Dashboard!$D$114)+(1+Assumptions_Dashboard!$D$115)*Fleet!Y165),0))</f>
        <v>6</v>
      </c>
      <c r="AC214" s="179">
        <f>IF($G214=0,0,ROUND(($G214*(1+Assumptions_Dashboard!$D$114)+(1+Assumptions_Dashboard!$D$115)*Fleet!Z165),0))</f>
        <v>6</v>
      </c>
      <c r="AD214" s="179">
        <f>IF($G214=0,0,ROUND(($G214*(1+Assumptions_Dashboard!$D$114)+(1+Assumptions_Dashboard!$D$115)*Fleet!AA165),0))</f>
        <v>6</v>
      </c>
      <c r="AE214" s="179">
        <f>IF($G214=0,0,ROUND(($G214*(1+Assumptions_Dashboard!$D$114)+(1+Assumptions_Dashboard!$D$115)*Fleet!AB165),0))</f>
        <v>5</v>
      </c>
      <c r="AF214" s="179">
        <f>IF($G214=0,0,ROUND(($G214*(1+Assumptions_Dashboard!$D$114)+(1+Assumptions_Dashboard!$D$115)*Fleet!AC165),0))</f>
        <v>5</v>
      </c>
    </row>
    <row r="215" spans="3:32">
      <c r="C215" s="661" t="str">
        <f>Fleet!C166</f>
        <v xml:space="preserve">Boom Truck </v>
      </c>
      <c r="D215" s="257"/>
      <c r="E215" s="121" t="s">
        <v>740</v>
      </c>
      <c r="F215" s="205" t="s">
        <v>220</v>
      </c>
      <c r="G215">
        <f>IF(Assumptions_Dashboard!$L$4="MDO",0,3)</f>
        <v>3</v>
      </c>
      <c r="H215" s="366">
        <f>IFERROR(VLOOKUP(F215,Assumptions_Dashboard!$C$38:$D$72,2,FALSE),0)</f>
        <v>600000</v>
      </c>
      <c r="J215" s="179"/>
      <c r="K215" s="179"/>
      <c r="L215" s="179"/>
      <c r="M215" s="179"/>
      <c r="N215" s="179">
        <f>IF($G215=0,0,ROUND(($G215*(1+Assumptions_Dashboard!$D$114)+(1+Assumptions_Dashboard!$D$115)*Fleet!K166),0))</f>
        <v>5</v>
      </c>
      <c r="O215" s="179">
        <f>IF($G215=0,0,ROUND(($G215*(1+Assumptions_Dashboard!$D$114)+(1+Assumptions_Dashboard!$D$115)*Fleet!L166),0))</f>
        <v>5</v>
      </c>
      <c r="P215" s="179">
        <f>IF($G215=0,0,ROUND(($G215*(1+Assumptions_Dashboard!$D$114)+(1+Assumptions_Dashboard!$D$115)*Fleet!M166),0))</f>
        <v>6</v>
      </c>
      <c r="Q215" s="179">
        <f>IF($G215=0,0,ROUND(($G215*(1+Assumptions_Dashboard!$D$114)+(1+Assumptions_Dashboard!$D$115)*Fleet!N166),0))</f>
        <v>6</v>
      </c>
      <c r="R215" s="179">
        <f>IF($G215=0,0,ROUND(($G215*(1+Assumptions_Dashboard!$D$114)+(1+Assumptions_Dashboard!$D$115)*Fleet!O166),0))</f>
        <v>6</v>
      </c>
      <c r="S215" s="179">
        <f>IF($G215=0,0,ROUND(($G215*(1+Assumptions_Dashboard!$D$114)+(1+Assumptions_Dashboard!$D$115)*Fleet!P166),0))</f>
        <v>6</v>
      </c>
      <c r="T215" s="179">
        <f>IF($G215=0,0,ROUND(($G215*(1+Assumptions_Dashboard!$D$114)+(1+Assumptions_Dashboard!$D$115)*Fleet!Q166),0))</f>
        <v>6</v>
      </c>
      <c r="U215" s="179">
        <f>IF($G215=0,0,ROUND(($G215*(1+Assumptions_Dashboard!$D$114)+(1+Assumptions_Dashboard!$D$115)*Fleet!R166),0))</f>
        <v>6</v>
      </c>
      <c r="V215" s="179">
        <f>IF($G215=0,0,ROUND(($G215*(1+Assumptions_Dashboard!$D$114)+(1+Assumptions_Dashboard!$D$115)*Fleet!S166),0))</f>
        <v>6</v>
      </c>
      <c r="W215" s="179">
        <f>IF($G215=0,0,ROUND(($G215*(1+Assumptions_Dashboard!$D$114)+(1+Assumptions_Dashboard!$D$115)*Fleet!T166),0))</f>
        <v>6</v>
      </c>
      <c r="X215" s="179">
        <f>IF($G215=0,0,ROUND(($G215*(1+Assumptions_Dashboard!$D$114)+(1+Assumptions_Dashboard!$D$115)*Fleet!U166),0))</f>
        <v>6</v>
      </c>
      <c r="Y215" s="179">
        <f>IF($G215=0,0,ROUND(($G215*(1+Assumptions_Dashboard!$D$114)+(1+Assumptions_Dashboard!$D$115)*Fleet!V166),0))</f>
        <v>6</v>
      </c>
      <c r="Z215" s="179">
        <f>IF($G215=0,0,ROUND(($G215*(1+Assumptions_Dashboard!$D$114)+(1+Assumptions_Dashboard!$D$115)*Fleet!W166),0))</f>
        <v>6</v>
      </c>
      <c r="AA215" s="179">
        <f>IF($G215=0,0,ROUND(($G215*(1+Assumptions_Dashboard!$D$114)+(1+Assumptions_Dashboard!$D$115)*Fleet!X166),0))</f>
        <v>6</v>
      </c>
      <c r="AB215" s="179">
        <f>IF($G215=0,0,ROUND(($G215*(1+Assumptions_Dashboard!$D$114)+(1+Assumptions_Dashboard!$D$115)*Fleet!Y166),0))</f>
        <v>6</v>
      </c>
      <c r="AC215" s="179">
        <f>IF($G215=0,0,ROUND(($G215*(1+Assumptions_Dashboard!$D$114)+(1+Assumptions_Dashboard!$D$115)*Fleet!Z166),0))</f>
        <v>6</v>
      </c>
      <c r="AD215" s="179">
        <f>IF($G215=0,0,ROUND(($G215*(1+Assumptions_Dashboard!$D$114)+(1+Assumptions_Dashboard!$D$115)*Fleet!AA166),0))</f>
        <v>6</v>
      </c>
      <c r="AE215" s="179">
        <f>IF($G215=0,0,ROUND(($G215*(1+Assumptions_Dashboard!$D$114)+(1+Assumptions_Dashboard!$D$115)*Fleet!AB166),0))</f>
        <v>5</v>
      </c>
      <c r="AF215" s="179">
        <f>IF($G215=0,0,ROUND(($G215*(1+Assumptions_Dashboard!$D$114)+(1+Assumptions_Dashboard!$D$115)*Fleet!AC166),0))</f>
        <v>5</v>
      </c>
    </row>
    <row r="216" spans="3:32">
      <c r="C216" s="661" t="str">
        <f>Fleet!C167</f>
        <v xml:space="preserve">Heavy duty tow truck </v>
      </c>
      <c r="D216" s="257"/>
      <c r="E216" s="121" t="s">
        <v>740</v>
      </c>
      <c r="F216" s="205" t="s">
        <v>220</v>
      </c>
      <c r="G216">
        <f>IF(Assumptions_Dashboard!$L$4="MDO",0,3)</f>
        <v>3</v>
      </c>
      <c r="H216" s="366">
        <f>IFERROR(VLOOKUP(F216,Assumptions_Dashboard!$C$38:$D$72,2,FALSE),0)</f>
        <v>600000</v>
      </c>
      <c r="J216" s="179"/>
      <c r="K216" s="179"/>
      <c r="L216" s="179"/>
      <c r="M216" s="179"/>
      <c r="N216" s="179">
        <f>IF($G216=0,0,ROUND(($G216*(1+Assumptions_Dashboard!$D$114)+(1+Assumptions_Dashboard!$D$115)*Fleet!K167),0))</f>
        <v>5</v>
      </c>
      <c r="O216" s="179">
        <f>IF($G216=0,0,ROUND(($G216*(1+Assumptions_Dashboard!$D$114)+(1+Assumptions_Dashboard!$D$115)*Fleet!L167),0))</f>
        <v>5</v>
      </c>
      <c r="P216" s="179">
        <f>IF($G216=0,0,ROUND(($G216*(1+Assumptions_Dashboard!$D$114)+(1+Assumptions_Dashboard!$D$115)*Fleet!M167),0))</f>
        <v>6</v>
      </c>
      <c r="Q216" s="179">
        <f>IF($G216=0,0,ROUND(($G216*(1+Assumptions_Dashboard!$D$114)+(1+Assumptions_Dashboard!$D$115)*Fleet!N167),0))</f>
        <v>6</v>
      </c>
      <c r="R216" s="179">
        <f>IF($G216=0,0,ROUND(($G216*(1+Assumptions_Dashboard!$D$114)+(1+Assumptions_Dashboard!$D$115)*Fleet!O167),0))</f>
        <v>6</v>
      </c>
      <c r="S216" s="179">
        <f>IF($G216=0,0,ROUND(($G216*(1+Assumptions_Dashboard!$D$114)+(1+Assumptions_Dashboard!$D$115)*Fleet!P167),0))</f>
        <v>6</v>
      </c>
      <c r="T216" s="179">
        <f>IF($G216=0,0,ROUND(($G216*(1+Assumptions_Dashboard!$D$114)+(1+Assumptions_Dashboard!$D$115)*Fleet!Q167),0))</f>
        <v>6</v>
      </c>
      <c r="U216" s="179">
        <f>IF($G216=0,0,ROUND(($G216*(1+Assumptions_Dashboard!$D$114)+(1+Assumptions_Dashboard!$D$115)*Fleet!R167),0))</f>
        <v>6</v>
      </c>
      <c r="V216" s="179">
        <f>IF($G216=0,0,ROUND(($G216*(1+Assumptions_Dashboard!$D$114)+(1+Assumptions_Dashboard!$D$115)*Fleet!S167),0))</f>
        <v>6</v>
      </c>
      <c r="W216" s="179">
        <f>IF($G216=0,0,ROUND(($G216*(1+Assumptions_Dashboard!$D$114)+(1+Assumptions_Dashboard!$D$115)*Fleet!T167),0))</f>
        <v>6</v>
      </c>
      <c r="X216" s="179">
        <f>IF($G216=0,0,ROUND(($G216*(1+Assumptions_Dashboard!$D$114)+(1+Assumptions_Dashboard!$D$115)*Fleet!U167),0))</f>
        <v>6</v>
      </c>
      <c r="Y216" s="179">
        <f>IF($G216=0,0,ROUND(($G216*(1+Assumptions_Dashboard!$D$114)+(1+Assumptions_Dashboard!$D$115)*Fleet!V167),0))</f>
        <v>6</v>
      </c>
      <c r="Z216" s="179">
        <f>IF($G216=0,0,ROUND(($G216*(1+Assumptions_Dashboard!$D$114)+(1+Assumptions_Dashboard!$D$115)*Fleet!W167),0))</f>
        <v>6</v>
      </c>
      <c r="AA216" s="179">
        <f>IF($G216=0,0,ROUND(($G216*(1+Assumptions_Dashboard!$D$114)+(1+Assumptions_Dashboard!$D$115)*Fleet!X167),0))</f>
        <v>6</v>
      </c>
      <c r="AB216" s="179">
        <f>IF($G216=0,0,ROUND(($G216*(1+Assumptions_Dashboard!$D$114)+(1+Assumptions_Dashboard!$D$115)*Fleet!Y167),0))</f>
        <v>6</v>
      </c>
      <c r="AC216" s="179">
        <f>IF($G216=0,0,ROUND(($G216*(1+Assumptions_Dashboard!$D$114)+(1+Assumptions_Dashboard!$D$115)*Fleet!Z167),0))</f>
        <v>6</v>
      </c>
      <c r="AD216" s="179">
        <f>IF($G216=0,0,ROUND(($G216*(1+Assumptions_Dashboard!$D$114)+(1+Assumptions_Dashboard!$D$115)*Fleet!AA167),0))</f>
        <v>6</v>
      </c>
      <c r="AE216" s="179">
        <f>IF($G216=0,0,ROUND(($G216*(1+Assumptions_Dashboard!$D$114)+(1+Assumptions_Dashboard!$D$115)*Fleet!AB167),0))</f>
        <v>5</v>
      </c>
      <c r="AF216" s="179">
        <f>IF($G216=0,0,ROUND(($G216*(1+Assumptions_Dashboard!$D$114)+(1+Assumptions_Dashboard!$D$115)*Fleet!AC167),0))</f>
        <v>5</v>
      </c>
    </row>
    <row r="217" spans="3:32">
      <c r="C217" s="661" t="str">
        <f>Fleet!C168</f>
        <v>Tipping Truck/ 8t</v>
      </c>
      <c r="D217" s="257"/>
      <c r="E217" s="121" t="s">
        <v>740</v>
      </c>
      <c r="F217" s="205" t="s">
        <v>220</v>
      </c>
      <c r="G217">
        <f>IF(Assumptions_Dashboard!$L$4="MDO",0,3)</f>
        <v>3</v>
      </c>
      <c r="H217" s="366">
        <f>IFERROR(VLOOKUP(F217,Assumptions_Dashboard!$C$38:$D$72,2,FALSE),0)</f>
        <v>600000</v>
      </c>
      <c r="J217" s="179"/>
      <c r="K217" s="179"/>
      <c r="L217" s="179"/>
      <c r="M217" s="179"/>
      <c r="N217" s="179">
        <f>IF($G217=0,0,ROUND(($G217*(1+Assumptions_Dashboard!$D$114)+(1+Assumptions_Dashboard!$D$115)*Fleet!K168),0))</f>
        <v>5</v>
      </c>
      <c r="O217" s="179">
        <f>IF($G217=0,0,ROUND(($G217*(1+Assumptions_Dashboard!$D$114)+(1+Assumptions_Dashboard!$D$115)*Fleet!L168),0))</f>
        <v>5</v>
      </c>
      <c r="P217" s="179">
        <f>IF($G217=0,0,ROUND(($G217*(1+Assumptions_Dashboard!$D$114)+(1+Assumptions_Dashboard!$D$115)*Fleet!M168),0))</f>
        <v>6</v>
      </c>
      <c r="Q217" s="179">
        <f>IF($G217=0,0,ROUND(($G217*(1+Assumptions_Dashboard!$D$114)+(1+Assumptions_Dashboard!$D$115)*Fleet!N168),0))</f>
        <v>6</v>
      </c>
      <c r="R217" s="179">
        <f>IF($G217=0,0,ROUND(($G217*(1+Assumptions_Dashboard!$D$114)+(1+Assumptions_Dashboard!$D$115)*Fleet!O168),0))</f>
        <v>6</v>
      </c>
      <c r="S217" s="179">
        <f>IF($G217=0,0,ROUND(($G217*(1+Assumptions_Dashboard!$D$114)+(1+Assumptions_Dashboard!$D$115)*Fleet!P168),0))</f>
        <v>6</v>
      </c>
      <c r="T217" s="179">
        <f>IF($G217=0,0,ROUND(($G217*(1+Assumptions_Dashboard!$D$114)+(1+Assumptions_Dashboard!$D$115)*Fleet!Q168),0))</f>
        <v>6</v>
      </c>
      <c r="U217" s="179">
        <f>IF($G217=0,0,ROUND(($G217*(1+Assumptions_Dashboard!$D$114)+(1+Assumptions_Dashboard!$D$115)*Fleet!R168),0))</f>
        <v>6</v>
      </c>
      <c r="V217" s="179">
        <f>IF($G217=0,0,ROUND(($G217*(1+Assumptions_Dashboard!$D$114)+(1+Assumptions_Dashboard!$D$115)*Fleet!S168),0))</f>
        <v>6</v>
      </c>
      <c r="W217" s="179">
        <f>IF($G217=0,0,ROUND(($G217*(1+Assumptions_Dashboard!$D$114)+(1+Assumptions_Dashboard!$D$115)*Fleet!T168),0))</f>
        <v>6</v>
      </c>
      <c r="X217" s="179">
        <f>IF($G217=0,0,ROUND(($G217*(1+Assumptions_Dashboard!$D$114)+(1+Assumptions_Dashboard!$D$115)*Fleet!U168),0))</f>
        <v>6</v>
      </c>
      <c r="Y217" s="179">
        <f>IF($G217=0,0,ROUND(($G217*(1+Assumptions_Dashboard!$D$114)+(1+Assumptions_Dashboard!$D$115)*Fleet!V168),0))</f>
        <v>6</v>
      </c>
      <c r="Z217" s="179">
        <f>IF($G217=0,0,ROUND(($G217*(1+Assumptions_Dashboard!$D$114)+(1+Assumptions_Dashboard!$D$115)*Fleet!W168),0))</f>
        <v>6</v>
      </c>
      <c r="AA217" s="179">
        <f>IF($G217=0,0,ROUND(($G217*(1+Assumptions_Dashboard!$D$114)+(1+Assumptions_Dashboard!$D$115)*Fleet!X168),0))</f>
        <v>6</v>
      </c>
      <c r="AB217" s="179">
        <f>IF($G217=0,0,ROUND(($G217*(1+Assumptions_Dashboard!$D$114)+(1+Assumptions_Dashboard!$D$115)*Fleet!Y168),0))</f>
        <v>6</v>
      </c>
      <c r="AC217" s="179">
        <f>IF($G217=0,0,ROUND(($G217*(1+Assumptions_Dashboard!$D$114)+(1+Assumptions_Dashboard!$D$115)*Fleet!Z168),0))</f>
        <v>6</v>
      </c>
      <c r="AD217" s="179">
        <f>IF($G217=0,0,ROUND(($G217*(1+Assumptions_Dashboard!$D$114)+(1+Assumptions_Dashboard!$D$115)*Fleet!AA168),0))</f>
        <v>6</v>
      </c>
      <c r="AE217" s="179">
        <f>IF($G217=0,0,ROUND(($G217*(1+Assumptions_Dashboard!$D$114)+(1+Assumptions_Dashboard!$D$115)*Fleet!AB168),0))</f>
        <v>5</v>
      </c>
      <c r="AF217" s="179">
        <f>IF($G217=0,0,ROUND(($G217*(1+Assumptions_Dashboard!$D$114)+(1+Assumptions_Dashboard!$D$115)*Fleet!AC168),0))</f>
        <v>5</v>
      </c>
    </row>
    <row r="218" spans="3:32">
      <c r="C218" s="661" t="str">
        <f>Fleet!C169</f>
        <v>Fork lift/ 8t</v>
      </c>
      <c r="D218" s="257"/>
      <c r="E218" s="121" t="s">
        <v>740</v>
      </c>
      <c r="F218" s="205" t="s">
        <v>220</v>
      </c>
      <c r="G218">
        <f>IF(Assumptions_Dashboard!$L$4="MDO",0,3)</f>
        <v>3</v>
      </c>
      <c r="H218" s="366">
        <f>IFERROR(VLOOKUP(F218,Assumptions_Dashboard!$C$38:$D$72,2,FALSE),0)</f>
        <v>600000</v>
      </c>
      <c r="J218" s="179"/>
      <c r="K218" s="179"/>
      <c r="L218" s="179"/>
      <c r="M218" s="179"/>
      <c r="N218" s="179">
        <f>IF($G218=0,0,ROUND(($G218*(1+Assumptions_Dashboard!$D$114)+(1+Assumptions_Dashboard!$D$115)*Fleet!K169),0))</f>
        <v>5</v>
      </c>
      <c r="O218" s="179">
        <f>IF($G218=0,0,ROUND(($G218*(1+Assumptions_Dashboard!$D$114)+(1+Assumptions_Dashboard!$D$115)*Fleet!L169),0))</f>
        <v>5</v>
      </c>
      <c r="P218" s="179">
        <f>IF($G218=0,0,ROUND(($G218*(1+Assumptions_Dashboard!$D$114)+(1+Assumptions_Dashboard!$D$115)*Fleet!M169),0))</f>
        <v>6</v>
      </c>
      <c r="Q218" s="179">
        <f>IF($G218=0,0,ROUND(($G218*(1+Assumptions_Dashboard!$D$114)+(1+Assumptions_Dashboard!$D$115)*Fleet!N169),0))</f>
        <v>6</v>
      </c>
      <c r="R218" s="179">
        <f>IF($G218=0,0,ROUND(($G218*(1+Assumptions_Dashboard!$D$114)+(1+Assumptions_Dashboard!$D$115)*Fleet!O169),0))</f>
        <v>6</v>
      </c>
      <c r="S218" s="179">
        <f>IF($G218=0,0,ROUND(($G218*(1+Assumptions_Dashboard!$D$114)+(1+Assumptions_Dashboard!$D$115)*Fleet!P169),0))</f>
        <v>6</v>
      </c>
      <c r="T218" s="179">
        <f>IF($G218=0,0,ROUND(($G218*(1+Assumptions_Dashboard!$D$114)+(1+Assumptions_Dashboard!$D$115)*Fleet!Q169),0))</f>
        <v>6</v>
      </c>
      <c r="U218" s="179">
        <f>IF($G218=0,0,ROUND(($G218*(1+Assumptions_Dashboard!$D$114)+(1+Assumptions_Dashboard!$D$115)*Fleet!R169),0))</f>
        <v>6</v>
      </c>
      <c r="V218" s="179">
        <f>IF($G218=0,0,ROUND(($G218*(1+Assumptions_Dashboard!$D$114)+(1+Assumptions_Dashboard!$D$115)*Fleet!S169),0))</f>
        <v>6</v>
      </c>
      <c r="W218" s="179">
        <f>IF($G218=0,0,ROUND(($G218*(1+Assumptions_Dashboard!$D$114)+(1+Assumptions_Dashboard!$D$115)*Fleet!T169),0))</f>
        <v>6</v>
      </c>
      <c r="X218" s="179">
        <f>IF($G218=0,0,ROUND(($G218*(1+Assumptions_Dashboard!$D$114)+(1+Assumptions_Dashboard!$D$115)*Fleet!U169),0))</f>
        <v>6</v>
      </c>
      <c r="Y218" s="179">
        <f>IF($G218=0,0,ROUND(($G218*(1+Assumptions_Dashboard!$D$114)+(1+Assumptions_Dashboard!$D$115)*Fleet!V169),0))</f>
        <v>6</v>
      </c>
      <c r="Z218" s="179">
        <f>IF($G218=0,0,ROUND(($G218*(1+Assumptions_Dashboard!$D$114)+(1+Assumptions_Dashboard!$D$115)*Fleet!W169),0))</f>
        <v>6</v>
      </c>
      <c r="AA218" s="179">
        <f>IF($G218=0,0,ROUND(($G218*(1+Assumptions_Dashboard!$D$114)+(1+Assumptions_Dashboard!$D$115)*Fleet!X169),0))</f>
        <v>6</v>
      </c>
      <c r="AB218" s="179">
        <f>IF($G218=0,0,ROUND(($G218*(1+Assumptions_Dashboard!$D$114)+(1+Assumptions_Dashboard!$D$115)*Fleet!Y169),0))</f>
        <v>6</v>
      </c>
      <c r="AC218" s="179">
        <f>IF($G218=0,0,ROUND(($G218*(1+Assumptions_Dashboard!$D$114)+(1+Assumptions_Dashboard!$D$115)*Fleet!Z169),0))</f>
        <v>6</v>
      </c>
      <c r="AD218" s="179">
        <f>IF($G218=0,0,ROUND(($G218*(1+Assumptions_Dashboard!$D$114)+(1+Assumptions_Dashboard!$D$115)*Fleet!AA169),0))</f>
        <v>6</v>
      </c>
      <c r="AE218" s="179">
        <f>IF($G218=0,0,ROUND(($G218*(1+Assumptions_Dashboard!$D$114)+(1+Assumptions_Dashboard!$D$115)*Fleet!AB169),0))</f>
        <v>5</v>
      </c>
      <c r="AF218" s="179">
        <f>IF($G218=0,0,ROUND(($G218*(1+Assumptions_Dashboard!$D$114)+(1+Assumptions_Dashboard!$D$115)*Fleet!AC169),0))</f>
        <v>5</v>
      </c>
    </row>
    <row r="219" spans="3:32">
      <c r="C219" s="661" t="str">
        <f>Fleet!C170</f>
        <v>Tyre handler/ 20t</v>
      </c>
      <c r="D219" s="257"/>
      <c r="E219" s="121" t="s">
        <v>740</v>
      </c>
      <c r="F219" s="205" t="s">
        <v>220</v>
      </c>
      <c r="G219">
        <f>IF(Assumptions_Dashboard!$L$4="MDO",0,3)</f>
        <v>3</v>
      </c>
      <c r="H219" s="366">
        <f>IFERROR(VLOOKUP(F219,Assumptions_Dashboard!$C$38:$D$72,2,FALSE),0)</f>
        <v>600000</v>
      </c>
      <c r="J219" s="179"/>
      <c r="K219" s="179"/>
      <c r="L219" s="179"/>
      <c r="M219" s="179"/>
      <c r="N219" s="179">
        <f>IF($G219=0,0,ROUND(($G219*(1+Assumptions_Dashboard!$D$114)+(1+Assumptions_Dashboard!$D$115)*Fleet!K170),0))</f>
        <v>5</v>
      </c>
      <c r="O219" s="179">
        <f>IF($G219=0,0,ROUND(($G219*(1+Assumptions_Dashboard!$D$114)+(1+Assumptions_Dashboard!$D$115)*Fleet!L170),0))</f>
        <v>5</v>
      </c>
      <c r="P219" s="179">
        <f>IF($G219=0,0,ROUND(($G219*(1+Assumptions_Dashboard!$D$114)+(1+Assumptions_Dashboard!$D$115)*Fleet!M170),0))</f>
        <v>6</v>
      </c>
      <c r="Q219" s="179">
        <f>IF($G219=0,0,ROUND(($G219*(1+Assumptions_Dashboard!$D$114)+(1+Assumptions_Dashboard!$D$115)*Fleet!N170),0))</f>
        <v>6</v>
      </c>
      <c r="R219" s="179">
        <f>IF($G219=0,0,ROUND(($G219*(1+Assumptions_Dashboard!$D$114)+(1+Assumptions_Dashboard!$D$115)*Fleet!O170),0))</f>
        <v>6</v>
      </c>
      <c r="S219" s="179">
        <f>IF($G219=0,0,ROUND(($G219*(1+Assumptions_Dashboard!$D$114)+(1+Assumptions_Dashboard!$D$115)*Fleet!P170),0))</f>
        <v>6</v>
      </c>
      <c r="T219" s="179">
        <f>IF($G219=0,0,ROUND(($G219*(1+Assumptions_Dashboard!$D$114)+(1+Assumptions_Dashboard!$D$115)*Fleet!Q170),0))</f>
        <v>6</v>
      </c>
      <c r="U219" s="179">
        <f>IF($G219=0,0,ROUND(($G219*(1+Assumptions_Dashboard!$D$114)+(1+Assumptions_Dashboard!$D$115)*Fleet!R170),0))</f>
        <v>6</v>
      </c>
      <c r="V219" s="179">
        <f>IF($G219=0,0,ROUND(($G219*(1+Assumptions_Dashboard!$D$114)+(1+Assumptions_Dashboard!$D$115)*Fleet!S170),0))</f>
        <v>6</v>
      </c>
      <c r="W219" s="179">
        <f>IF($G219=0,0,ROUND(($G219*(1+Assumptions_Dashboard!$D$114)+(1+Assumptions_Dashboard!$D$115)*Fleet!T170),0))</f>
        <v>6</v>
      </c>
      <c r="X219" s="179">
        <f>IF($G219=0,0,ROUND(($G219*(1+Assumptions_Dashboard!$D$114)+(1+Assumptions_Dashboard!$D$115)*Fleet!U170),0))</f>
        <v>6</v>
      </c>
      <c r="Y219" s="179">
        <f>IF($G219=0,0,ROUND(($G219*(1+Assumptions_Dashboard!$D$114)+(1+Assumptions_Dashboard!$D$115)*Fleet!V170),0))</f>
        <v>6</v>
      </c>
      <c r="Z219" s="179">
        <f>IF($G219=0,0,ROUND(($G219*(1+Assumptions_Dashboard!$D$114)+(1+Assumptions_Dashboard!$D$115)*Fleet!W170),0))</f>
        <v>6</v>
      </c>
      <c r="AA219" s="179">
        <f>IF($G219=0,0,ROUND(($G219*(1+Assumptions_Dashboard!$D$114)+(1+Assumptions_Dashboard!$D$115)*Fleet!X170),0))</f>
        <v>6</v>
      </c>
      <c r="AB219" s="179">
        <f>IF($G219=0,0,ROUND(($G219*(1+Assumptions_Dashboard!$D$114)+(1+Assumptions_Dashboard!$D$115)*Fleet!Y170),0))</f>
        <v>6</v>
      </c>
      <c r="AC219" s="179">
        <f>IF($G219=0,0,ROUND(($G219*(1+Assumptions_Dashboard!$D$114)+(1+Assumptions_Dashboard!$D$115)*Fleet!Z170),0))</f>
        <v>6</v>
      </c>
      <c r="AD219" s="179">
        <f>IF($G219=0,0,ROUND(($G219*(1+Assumptions_Dashboard!$D$114)+(1+Assumptions_Dashboard!$D$115)*Fleet!AA170),0))</f>
        <v>6</v>
      </c>
      <c r="AE219" s="179">
        <f>IF($G219=0,0,ROUND(($G219*(1+Assumptions_Dashboard!$D$114)+(1+Assumptions_Dashboard!$D$115)*Fleet!AB170),0))</f>
        <v>5</v>
      </c>
      <c r="AF219" s="179">
        <f>IF($G219=0,0,ROUND(($G219*(1+Assumptions_Dashboard!$D$114)+(1+Assumptions_Dashboard!$D$115)*Fleet!AC170),0))</f>
        <v>5</v>
      </c>
    </row>
    <row r="220" spans="3:32">
      <c r="C220" s="661" t="str">
        <f>Fleet!C171</f>
        <v xml:space="preserve">Farm tractor </v>
      </c>
      <c r="D220" s="257"/>
      <c r="E220" s="121" t="s">
        <v>740</v>
      </c>
      <c r="F220" s="205" t="s">
        <v>220</v>
      </c>
      <c r="G220">
        <f>IF(Assumptions_Dashboard!$L$4="MDO",0,3)</f>
        <v>3</v>
      </c>
      <c r="H220" s="366">
        <f>IFERROR(VLOOKUP(F220,Assumptions_Dashboard!$C$38:$D$72,2,FALSE),0)</f>
        <v>600000</v>
      </c>
      <c r="J220" s="179"/>
      <c r="K220" s="179"/>
      <c r="L220" s="179"/>
      <c r="M220" s="179"/>
      <c r="N220" s="179">
        <f>IF($G220=0,0,ROUND(($G220*(1+Assumptions_Dashboard!$D$114)+(1+Assumptions_Dashboard!$D$115)*Fleet!K171),0))</f>
        <v>5</v>
      </c>
      <c r="O220" s="179">
        <f>IF($G220=0,0,ROUND(($G220*(1+Assumptions_Dashboard!$D$114)+(1+Assumptions_Dashboard!$D$115)*Fleet!L171),0))</f>
        <v>5</v>
      </c>
      <c r="P220" s="179">
        <f>IF($G220=0,0,ROUND(($G220*(1+Assumptions_Dashboard!$D$114)+(1+Assumptions_Dashboard!$D$115)*Fleet!M171),0))</f>
        <v>6</v>
      </c>
      <c r="Q220" s="179">
        <f>IF($G220=0,0,ROUND(($G220*(1+Assumptions_Dashboard!$D$114)+(1+Assumptions_Dashboard!$D$115)*Fleet!N171),0))</f>
        <v>6</v>
      </c>
      <c r="R220" s="179">
        <f>IF($G220=0,0,ROUND(($G220*(1+Assumptions_Dashboard!$D$114)+(1+Assumptions_Dashboard!$D$115)*Fleet!O171),0))</f>
        <v>6</v>
      </c>
      <c r="S220" s="179">
        <f>IF($G220=0,0,ROUND(($G220*(1+Assumptions_Dashboard!$D$114)+(1+Assumptions_Dashboard!$D$115)*Fleet!P171),0))</f>
        <v>6</v>
      </c>
      <c r="T220" s="179">
        <f>IF($G220=0,0,ROUND(($G220*(1+Assumptions_Dashboard!$D$114)+(1+Assumptions_Dashboard!$D$115)*Fleet!Q171),0))</f>
        <v>6</v>
      </c>
      <c r="U220" s="179">
        <f>IF($G220=0,0,ROUND(($G220*(1+Assumptions_Dashboard!$D$114)+(1+Assumptions_Dashboard!$D$115)*Fleet!R171),0))</f>
        <v>6</v>
      </c>
      <c r="V220" s="179">
        <f>IF($G220=0,0,ROUND(($G220*(1+Assumptions_Dashboard!$D$114)+(1+Assumptions_Dashboard!$D$115)*Fleet!S171),0))</f>
        <v>6</v>
      </c>
      <c r="W220" s="179">
        <f>IF($G220=0,0,ROUND(($G220*(1+Assumptions_Dashboard!$D$114)+(1+Assumptions_Dashboard!$D$115)*Fleet!T171),0))</f>
        <v>6</v>
      </c>
      <c r="X220" s="179">
        <f>IF($G220=0,0,ROUND(($G220*(1+Assumptions_Dashboard!$D$114)+(1+Assumptions_Dashboard!$D$115)*Fleet!U171),0))</f>
        <v>6</v>
      </c>
      <c r="Y220" s="179">
        <f>IF($G220=0,0,ROUND(($G220*(1+Assumptions_Dashboard!$D$114)+(1+Assumptions_Dashboard!$D$115)*Fleet!V171),0))</f>
        <v>6</v>
      </c>
      <c r="Z220" s="179">
        <f>IF($G220=0,0,ROUND(($G220*(1+Assumptions_Dashboard!$D$114)+(1+Assumptions_Dashboard!$D$115)*Fleet!W171),0))</f>
        <v>6</v>
      </c>
      <c r="AA220" s="179">
        <f>IF($G220=0,0,ROUND(($G220*(1+Assumptions_Dashboard!$D$114)+(1+Assumptions_Dashboard!$D$115)*Fleet!X171),0))</f>
        <v>6</v>
      </c>
      <c r="AB220" s="179">
        <f>IF($G220=0,0,ROUND(($G220*(1+Assumptions_Dashboard!$D$114)+(1+Assumptions_Dashboard!$D$115)*Fleet!Y171),0))</f>
        <v>6</v>
      </c>
      <c r="AC220" s="179">
        <f>IF($G220=0,0,ROUND(($G220*(1+Assumptions_Dashboard!$D$114)+(1+Assumptions_Dashboard!$D$115)*Fleet!Z171),0))</f>
        <v>6</v>
      </c>
      <c r="AD220" s="179">
        <f>IF($G220=0,0,ROUND(($G220*(1+Assumptions_Dashboard!$D$114)+(1+Assumptions_Dashboard!$D$115)*Fleet!AA171),0))</f>
        <v>6</v>
      </c>
      <c r="AE220" s="179">
        <f>IF($G220=0,0,ROUND(($G220*(1+Assumptions_Dashboard!$D$114)+(1+Assumptions_Dashboard!$D$115)*Fleet!AB171),0))</f>
        <v>5</v>
      </c>
      <c r="AF220" s="179">
        <f>IF($G220=0,0,ROUND(($G220*(1+Assumptions_Dashboard!$D$114)+(1+Assumptions_Dashboard!$D$115)*Fleet!AC171),0))</f>
        <v>5</v>
      </c>
    </row>
    <row r="221" spans="3:32">
      <c r="C221" s="661" t="str">
        <f>Fleet!C172</f>
        <v>Fire Tender</v>
      </c>
      <c r="D221" s="257"/>
      <c r="E221" s="121" t="s">
        <v>740</v>
      </c>
      <c r="F221" s="205" t="s">
        <v>218</v>
      </c>
      <c r="G221">
        <f>IF(Assumptions_Dashboard!$L$4="MDO",0,3)</f>
        <v>3</v>
      </c>
      <c r="H221" s="366">
        <f>IFERROR(VLOOKUP(F221,Assumptions_Dashboard!$C$38:$D$72,2,FALSE),0)</f>
        <v>600000</v>
      </c>
      <c r="J221" s="179"/>
      <c r="K221" s="179"/>
      <c r="L221" s="179"/>
      <c r="M221" s="179"/>
      <c r="N221" s="179">
        <f>IF($G221=0,0,ROUND(($G221*(1+Assumptions_Dashboard!$D$114)+(1+Assumptions_Dashboard!$D$115)*Fleet!K172),0))</f>
        <v>5</v>
      </c>
      <c r="O221" s="179">
        <f>IF($G221=0,0,ROUND(($G221*(1+Assumptions_Dashboard!$D$114)+(1+Assumptions_Dashboard!$D$115)*Fleet!L172),0))</f>
        <v>5</v>
      </c>
      <c r="P221" s="179">
        <f>IF($G221=0,0,ROUND(($G221*(1+Assumptions_Dashboard!$D$114)+(1+Assumptions_Dashboard!$D$115)*Fleet!M172),0))</f>
        <v>6</v>
      </c>
      <c r="Q221" s="179">
        <f>IF($G221=0,0,ROUND(($G221*(1+Assumptions_Dashboard!$D$114)+(1+Assumptions_Dashboard!$D$115)*Fleet!N172),0))</f>
        <v>6</v>
      </c>
      <c r="R221" s="179">
        <f>IF($G221=0,0,ROUND(($G221*(1+Assumptions_Dashboard!$D$114)+(1+Assumptions_Dashboard!$D$115)*Fleet!O172),0))</f>
        <v>6</v>
      </c>
      <c r="S221" s="179">
        <f>IF($G221=0,0,ROUND(($G221*(1+Assumptions_Dashboard!$D$114)+(1+Assumptions_Dashboard!$D$115)*Fleet!P172),0))</f>
        <v>6</v>
      </c>
      <c r="T221" s="179">
        <f>IF($G221=0,0,ROUND(($G221*(1+Assumptions_Dashboard!$D$114)+(1+Assumptions_Dashboard!$D$115)*Fleet!Q172),0))</f>
        <v>6</v>
      </c>
      <c r="U221" s="179">
        <f>IF($G221=0,0,ROUND(($G221*(1+Assumptions_Dashboard!$D$114)+(1+Assumptions_Dashboard!$D$115)*Fleet!R172),0))</f>
        <v>6</v>
      </c>
      <c r="V221" s="179">
        <f>IF($G221=0,0,ROUND(($G221*(1+Assumptions_Dashboard!$D$114)+(1+Assumptions_Dashboard!$D$115)*Fleet!S172),0))</f>
        <v>6</v>
      </c>
      <c r="W221" s="179">
        <f>IF($G221=0,0,ROUND(($G221*(1+Assumptions_Dashboard!$D$114)+(1+Assumptions_Dashboard!$D$115)*Fleet!T172),0))</f>
        <v>6</v>
      </c>
      <c r="X221" s="179">
        <f>IF($G221=0,0,ROUND(($G221*(1+Assumptions_Dashboard!$D$114)+(1+Assumptions_Dashboard!$D$115)*Fleet!U172),0))</f>
        <v>6</v>
      </c>
      <c r="Y221" s="179">
        <f>IF($G221=0,0,ROUND(($G221*(1+Assumptions_Dashboard!$D$114)+(1+Assumptions_Dashboard!$D$115)*Fleet!V172),0))</f>
        <v>6</v>
      </c>
      <c r="Z221" s="179">
        <f>IF($G221=0,0,ROUND(($G221*(1+Assumptions_Dashboard!$D$114)+(1+Assumptions_Dashboard!$D$115)*Fleet!W172),0))</f>
        <v>6</v>
      </c>
      <c r="AA221" s="179">
        <f>IF($G221=0,0,ROUND(($G221*(1+Assumptions_Dashboard!$D$114)+(1+Assumptions_Dashboard!$D$115)*Fleet!X172),0))</f>
        <v>6</v>
      </c>
      <c r="AB221" s="179">
        <f>IF($G221=0,0,ROUND(($G221*(1+Assumptions_Dashboard!$D$114)+(1+Assumptions_Dashboard!$D$115)*Fleet!Y172),0))</f>
        <v>6</v>
      </c>
      <c r="AC221" s="179">
        <f>IF($G221=0,0,ROUND(($G221*(1+Assumptions_Dashboard!$D$114)+(1+Assumptions_Dashboard!$D$115)*Fleet!Z172),0))</f>
        <v>6</v>
      </c>
      <c r="AD221" s="179">
        <f>IF($G221=0,0,ROUND(($G221*(1+Assumptions_Dashboard!$D$114)+(1+Assumptions_Dashboard!$D$115)*Fleet!AA172),0))</f>
        <v>6</v>
      </c>
      <c r="AE221" s="179">
        <f>IF($G221=0,0,ROUND(($G221*(1+Assumptions_Dashboard!$D$114)+(1+Assumptions_Dashboard!$D$115)*Fleet!AB172),0))</f>
        <v>5</v>
      </c>
      <c r="AF221" s="179">
        <f>IF($G221=0,0,ROUND(($G221*(1+Assumptions_Dashboard!$D$114)+(1+Assumptions_Dashboard!$D$115)*Fleet!AC172),0))</f>
        <v>5</v>
      </c>
    </row>
    <row r="222" spans="3:32">
      <c r="C222" s="661" t="str">
        <f>Fleet!C173</f>
        <v xml:space="preserve">Ambulance </v>
      </c>
      <c r="E222" s="211" t="s">
        <v>740</v>
      </c>
      <c r="F222" s="205" t="s">
        <v>228</v>
      </c>
      <c r="G222">
        <f>IF(Assumptions_Dashboard!$L$4="MDO",0,3)</f>
        <v>3</v>
      </c>
      <c r="H222" s="366">
        <f>IFERROR(VLOOKUP(F222,Assumptions_Dashboard!$C$38:$D$72,2,FALSE),0)</f>
        <v>300000</v>
      </c>
      <c r="J222" s="179"/>
      <c r="K222" s="179"/>
      <c r="L222" s="179"/>
      <c r="M222" s="179"/>
      <c r="N222" s="179">
        <f>IF($G222=0,0,ROUND(($G222*(1+Assumptions_Dashboard!$D$114)+(1+Assumptions_Dashboard!$D$115)*Fleet!K173),0))</f>
        <v>5</v>
      </c>
      <c r="O222" s="179">
        <f>IF($G222=0,0,ROUND(($G222*(1+Assumptions_Dashboard!$D$114)+(1+Assumptions_Dashboard!$D$115)*Fleet!L173),0))</f>
        <v>5</v>
      </c>
      <c r="P222" s="179">
        <f>IF($G222=0,0,ROUND(($G222*(1+Assumptions_Dashboard!$D$114)+(1+Assumptions_Dashboard!$D$115)*Fleet!M173),0))</f>
        <v>6</v>
      </c>
      <c r="Q222" s="179">
        <f>IF($G222=0,0,ROUND(($G222*(1+Assumptions_Dashboard!$D$114)+(1+Assumptions_Dashboard!$D$115)*Fleet!N173),0))</f>
        <v>6</v>
      </c>
      <c r="R222" s="179">
        <f>IF($G222=0,0,ROUND(($G222*(1+Assumptions_Dashboard!$D$114)+(1+Assumptions_Dashboard!$D$115)*Fleet!O173),0))</f>
        <v>6</v>
      </c>
      <c r="S222" s="179">
        <f>IF($G222=0,0,ROUND(($G222*(1+Assumptions_Dashboard!$D$114)+(1+Assumptions_Dashboard!$D$115)*Fleet!P173),0))</f>
        <v>6</v>
      </c>
      <c r="T222" s="179">
        <f>IF($G222=0,0,ROUND(($G222*(1+Assumptions_Dashboard!$D$114)+(1+Assumptions_Dashboard!$D$115)*Fleet!Q173),0))</f>
        <v>6</v>
      </c>
      <c r="U222" s="179">
        <f>IF($G222=0,0,ROUND(($G222*(1+Assumptions_Dashboard!$D$114)+(1+Assumptions_Dashboard!$D$115)*Fleet!R173),0))</f>
        <v>6</v>
      </c>
      <c r="V222" s="179">
        <f>IF($G222=0,0,ROUND(($G222*(1+Assumptions_Dashboard!$D$114)+(1+Assumptions_Dashboard!$D$115)*Fleet!S173),0))</f>
        <v>6</v>
      </c>
      <c r="W222" s="179">
        <f>IF($G222=0,0,ROUND(($G222*(1+Assumptions_Dashboard!$D$114)+(1+Assumptions_Dashboard!$D$115)*Fleet!T173),0))</f>
        <v>6</v>
      </c>
      <c r="X222" s="179">
        <f>IF($G222=0,0,ROUND(($G222*(1+Assumptions_Dashboard!$D$114)+(1+Assumptions_Dashboard!$D$115)*Fleet!U173),0))</f>
        <v>6</v>
      </c>
      <c r="Y222" s="179">
        <f>IF($G222=0,0,ROUND(($G222*(1+Assumptions_Dashboard!$D$114)+(1+Assumptions_Dashboard!$D$115)*Fleet!V173),0))</f>
        <v>6</v>
      </c>
      <c r="Z222" s="179">
        <f>IF($G222=0,0,ROUND(($G222*(1+Assumptions_Dashboard!$D$114)+(1+Assumptions_Dashboard!$D$115)*Fleet!W173),0))</f>
        <v>6</v>
      </c>
      <c r="AA222" s="179">
        <f>IF($G222=0,0,ROUND(($G222*(1+Assumptions_Dashboard!$D$114)+(1+Assumptions_Dashboard!$D$115)*Fleet!X173),0))</f>
        <v>6</v>
      </c>
      <c r="AB222" s="179">
        <f>IF($G222=0,0,ROUND(($G222*(1+Assumptions_Dashboard!$D$114)+(1+Assumptions_Dashboard!$D$115)*Fleet!Y173),0))</f>
        <v>6</v>
      </c>
      <c r="AC222" s="179">
        <f>IF($G222=0,0,ROUND(($G222*(1+Assumptions_Dashboard!$D$114)+(1+Assumptions_Dashboard!$D$115)*Fleet!Z173),0))</f>
        <v>6</v>
      </c>
      <c r="AD222" s="179">
        <f>IF($G222=0,0,ROUND(($G222*(1+Assumptions_Dashboard!$D$114)+(1+Assumptions_Dashboard!$D$115)*Fleet!AA173),0))</f>
        <v>6</v>
      </c>
      <c r="AE222" s="179">
        <f>IF($G222=0,0,ROUND(($G222*(1+Assumptions_Dashboard!$D$114)+(1+Assumptions_Dashboard!$D$115)*Fleet!AB173),0))</f>
        <v>5</v>
      </c>
      <c r="AF222" s="179">
        <f>IF($G222=0,0,ROUND(($G222*(1+Assumptions_Dashboard!$D$114)+(1+Assumptions_Dashboard!$D$115)*Fleet!AC173),0))</f>
        <v>5</v>
      </c>
    </row>
    <row r="223" spans="3:32">
      <c r="C223" s="661" t="str">
        <f>Fleet!C174</f>
        <v>Worker Transportation bus</v>
      </c>
      <c r="E223" s="211" t="s">
        <v>740</v>
      </c>
      <c r="F223" s="205" t="s">
        <v>228</v>
      </c>
      <c r="G223">
        <f>IF(Assumptions_Dashboard!$L$4="MDO",0,3)</f>
        <v>3</v>
      </c>
      <c r="H223" s="366">
        <f>IFERROR(VLOOKUP(F223,Assumptions_Dashboard!$C$38:$D$72,2,FALSE),0)</f>
        <v>300000</v>
      </c>
      <c r="J223" s="179"/>
      <c r="K223" s="179"/>
      <c r="L223" s="179"/>
      <c r="M223" s="179"/>
      <c r="N223" s="179">
        <f>IF($G223=0,0,ROUND(($G223*(1+Assumptions_Dashboard!$D$114)+(1+Assumptions_Dashboard!$D$115)*Fleet!K174),0))</f>
        <v>5</v>
      </c>
      <c r="O223" s="179">
        <f>IF($G223=0,0,ROUND(($G223*(1+Assumptions_Dashboard!$D$114)+(1+Assumptions_Dashboard!$D$115)*Fleet!L174),0))</f>
        <v>5</v>
      </c>
      <c r="P223" s="179">
        <f>IF($G223=0,0,ROUND(($G223*(1+Assumptions_Dashboard!$D$114)+(1+Assumptions_Dashboard!$D$115)*Fleet!M174),0))</f>
        <v>6</v>
      </c>
      <c r="Q223" s="179">
        <f>IF($G223=0,0,ROUND(($G223*(1+Assumptions_Dashboard!$D$114)+(1+Assumptions_Dashboard!$D$115)*Fleet!N174),0))</f>
        <v>6</v>
      </c>
      <c r="R223" s="179">
        <f>IF($G223=0,0,ROUND(($G223*(1+Assumptions_Dashboard!$D$114)+(1+Assumptions_Dashboard!$D$115)*Fleet!O174),0))</f>
        <v>6</v>
      </c>
      <c r="S223" s="179">
        <f>IF($G223=0,0,ROUND(($G223*(1+Assumptions_Dashboard!$D$114)+(1+Assumptions_Dashboard!$D$115)*Fleet!P174),0))</f>
        <v>6</v>
      </c>
      <c r="T223" s="179">
        <f>IF($G223=0,0,ROUND(($G223*(1+Assumptions_Dashboard!$D$114)+(1+Assumptions_Dashboard!$D$115)*Fleet!Q174),0))</f>
        <v>6</v>
      </c>
      <c r="U223" s="179">
        <f>IF($G223=0,0,ROUND(($G223*(1+Assumptions_Dashboard!$D$114)+(1+Assumptions_Dashboard!$D$115)*Fleet!R174),0))</f>
        <v>6</v>
      </c>
      <c r="V223" s="179">
        <f>IF($G223=0,0,ROUND(($G223*(1+Assumptions_Dashboard!$D$114)+(1+Assumptions_Dashboard!$D$115)*Fleet!S174),0))</f>
        <v>6</v>
      </c>
      <c r="W223" s="179">
        <f>IF($G223=0,0,ROUND(($G223*(1+Assumptions_Dashboard!$D$114)+(1+Assumptions_Dashboard!$D$115)*Fleet!T174),0))</f>
        <v>6</v>
      </c>
      <c r="X223" s="179">
        <f>IF($G223=0,0,ROUND(($G223*(1+Assumptions_Dashboard!$D$114)+(1+Assumptions_Dashboard!$D$115)*Fleet!U174),0))</f>
        <v>6</v>
      </c>
      <c r="Y223" s="179">
        <f>IF($G223=0,0,ROUND(($G223*(1+Assumptions_Dashboard!$D$114)+(1+Assumptions_Dashboard!$D$115)*Fleet!V174),0))</f>
        <v>6</v>
      </c>
      <c r="Z223" s="179">
        <f>IF($G223=0,0,ROUND(($G223*(1+Assumptions_Dashboard!$D$114)+(1+Assumptions_Dashboard!$D$115)*Fleet!W174),0))</f>
        <v>6</v>
      </c>
      <c r="AA223" s="179">
        <f>IF($G223=0,0,ROUND(($G223*(1+Assumptions_Dashboard!$D$114)+(1+Assumptions_Dashboard!$D$115)*Fleet!X174),0))</f>
        <v>6</v>
      </c>
      <c r="AB223" s="179">
        <f>IF($G223=0,0,ROUND(($G223*(1+Assumptions_Dashboard!$D$114)+(1+Assumptions_Dashboard!$D$115)*Fleet!Y174),0))</f>
        <v>6</v>
      </c>
      <c r="AC223" s="179">
        <f>IF($G223=0,0,ROUND(($G223*(1+Assumptions_Dashboard!$D$114)+(1+Assumptions_Dashboard!$D$115)*Fleet!Z174),0))</f>
        <v>6</v>
      </c>
      <c r="AD223" s="179">
        <f>IF($G223=0,0,ROUND(($G223*(1+Assumptions_Dashboard!$D$114)+(1+Assumptions_Dashboard!$D$115)*Fleet!AA174),0))</f>
        <v>6</v>
      </c>
      <c r="AE223" s="179">
        <f>IF($G223=0,0,ROUND(($G223*(1+Assumptions_Dashboard!$D$114)+(1+Assumptions_Dashboard!$D$115)*Fleet!AB174),0))</f>
        <v>5</v>
      </c>
      <c r="AF223" s="179">
        <f>IF($G223=0,0,ROUND(($G223*(1+Assumptions_Dashboard!$D$114)+(1+Assumptions_Dashboard!$D$115)*Fleet!AC174),0))</f>
        <v>5</v>
      </c>
    </row>
    <row r="224" spans="3:32">
      <c r="C224" s="661" t="str">
        <f>Fleet!C175</f>
        <v>School bus</v>
      </c>
      <c r="E224" s="211" t="s">
        <v>740</v>
      </c>
      <c r="F224" s="205" t="s">
        <v>228</v>
      </c>
      <c r="G224">
        <f>IF(Assumptions_Dashboard!$L$4="MDO",0,1)</f>
        <v>1</v>
      </c>
      <c r="H224" s="366">
        <f>IFERROR(VLOOKUP(F224,Assumptions_Dashboard!$C$38:$D$72,2,FALSE),0)</f>
        <v>300000</v>
      </c>
      <c r="J224" s="179"/>
      <c r="K224" s="179"/>
      <c r="L224" s="179"/>
      <c r="M224" s="179"/>
      <c r="N224" s="179">
        <f>IF($G224=0,0,ROUND(($G224*(1+Assumptions_Dashboard!$D$114)+(1+Assumptions_Dashboard!$D$115)*Fleet!K175),0))</f>
        <v>2</v>
      </c>
      <c r="O224" s="179">
        <f>IF($G224=0,0,ROUND(($G224*(1+Assumptions_Dashboard!$D$114)+(1+Assumptions_Dashboard!$D$115)*Fleet!L175),0))</f>
        <v>2</v>
      </c>
      <c r="P224" s="179">
        <f>IF($G224=0,0,ROUND(($G224*(1+Assumptions_Dashboard!$D$114)+(1+Assumptions_Dashboard!$D$115)*Fleet!M175),0))</f>
        <v>3</v>
      </c>
      <c r="Q224" s="179">
        <f>IF($G224=0,0,ROUND(($G224*(1+Assumptions_Dashboard!$D$114)+(1+Assumptions_Dashboard!$D$115)*Fleet!N175),0))</f>
        <v>3</v>
      </c>
      <c r="R224" s="179">
        <f>IF($G224=0,0,ROUND(($G224*(1+Assumptions_Dashboard!$D$114)+(1+Assumptions_Dashboard!$D$115)*Fleet!O175),0))</f>
        <v>3</v>
      </c>
      <c r="S224" s="179">
        <f>IF($G224=0,0,ROUND(($G224*(1+Assumptions_Dashboard!$D$114)+(1+Assumptions_Dashboard!$D$115)*Fleet!P175),0))</f>
        <v>3</v>
      </c>
      <c r="T224" s="179">
        <f>IF($G224=0,0,ROUND(($G224*(1+Assumptions_Dashboard!$D$114)+(1+Assumptions_Dashboard!$D$115)*Fleet!Q175),0))</f>
        <v>3</v>
      </c>
      <c r="U224" s="179">
        <f>IF($G224=0,0,ROUND(($G224*(1+Assumptions_Dashboard!$D$114)+(1+Assumptions_Dashboard!$D$115)*Fleet!R175),0))</f>
        <v>3</v>
      </c>
      <c r="V224" s="179">
        <f>IF($G224=0,0,ROUND(($G224*(1+Assumptions_Dashboard!$D$114)+(1+Assumptions_Dashboard!$D$115)*Fleet!S175),0))</f>
        <v>3</v>
      </c>
      <c r="W224" s="179">
        <f>IF($G224=0,0,ROUND(($G224*(1+Assumptions_Dashboard!$D$114)+(1+Assumptions_Dashboard!$D$115)*Fleet!T175),0))</f>
        <v>3</v>
      </c>
      <c r="X224" s="179">
        <f>IF($G224=0,0,ROUND(($G224*(1+Assumptions_Dashboard!$D$114)+(1+Assumptions_Dashboard!$D$115)*Fleet!U175),0))</f>
        <v>3</v>
      </c>
      <c r="Y224" s="179">
        <f>IF($G224=0,0,ROUND(($G224*(1+Assumptions_Dashboard!$D$114)+(1+Assumptions_Dashboard!$D$115)*Fleet!V175),0))</f>
        <v>3</v>
      </c>
      <c r="Z224" s="179">
        <f>IF($G224=0,0,ROUND(($G224*(1+Assumptions_Dashboard!$D$114)+(1+Assumptions_Dashboard!$D$115)*Fleet!W175),0))</f>
        <v>3</v>
      </c>
      <c r="AA224" s="179">
        <f>IF($G224=0,0,ROUND(($G224*(1+Assumptions_Dashboard!$D$114)+(1+Assumptions_Dashboard!$D$115)*Fleet!X175),0))</f>
        <v>3</v>
      </c>
      <c r="AB224" s="179">
        <f>IF($G224=0,0,ROUND(($G224*(1+Assumptions_Dashboard!$D$114)+(1+Assumptions_Dashboard!$D$115)*Fleet!Y175),0))</f>
        <v>3</v>
      </c>
      <c r="AC224" s="179">
        <f>IF($G224=0,0,ROUND(($G224*(1+Assumptions_Dashboard!$D$114)+(1+Assumptions_Dashboard!$D$115)*Fleet!Z175),0))</f>
        <v>3</v>
      </c>
      <c r="AD224" s="179">
        <f>IF($G224=0,0,ROUND(($G224*(1+Assumptions_Dashboard!$D$114)+(1+Assumptions_Dashboard!$D$115)*Fleet!AA175),0))</f>
        <v>3</v>
      </c>
      <c r="AE224" s="179">
        <f>IF($G224=0,0,ROUND(($G224*(1+Assumptions_Dashboard!$D$114)+(1+Assumptions_Dashboard!$D$115)*Fleet!AB175),0))</f>
        <v>2</v>
      </c>
      <c r="AF224" s="179">
        <f>IF($G224=0,0,ROUND(($G224*(1+Assumptions_Dashboard!$D$114)+(1+Assumptions_Dashboard!$D$115)*Fleet!AC175),0))</f>
        <v>2</v>
      </c>
    </row>
    <row r="225" spans="3:32">
      <c r="C225" s="661" t="str">
        <f>Fleet!C176</f>
        <v xml:space="preserve">Pickup Van </v>
      </c>
      <c r="E225" s="211" t="s">
        <v>740</v>
      </c>
      <c r="F225" s="205" t="s">
        <v>228</v>
      </c>
      <c r="G225">
        <f>IF(Assumptions_Dashboard!$L$4="MDO",0,3)</f>
        <v>3</v>
      </c>
      <c r="H225" s="366">
        <f>IFERROR(VLOOKUP(F225,Assumptions_Dashboard!$C$38:$D$72,2,FALSE),0)</f>
        <v>300000</v>
      </c>
      <c r="J225" s="179"/>
      <c r="K225" s="179"/>
      <c r="L225" s="179"/>
      <c r="M225" s="179"/>
      <c r="N225" s="179">
        <f>IF($G225=0,0,ROUND(($G225*(1+Assumptions_Dashboard!$D$114)+(1+Assumptions_Dashboard!$D$115)*Fleet!K176),0))</f>
        <v>5</v>
      </c>
      <c r="O225" s="179">
        <f>IF($G225=0,0,ROUND(($G225*(1+Assumptions_Dashboard!$D$114)+(1+Assumptions_Dashboard!$D$115)*Fleet!L176),0))</f>
        <v>5</v>
      </c>
      <c r="P225" s="179">
        <f>IF($G225=0,0,ROUND(($G225*(1+Assumptions_Dashboard!$D$114)+(1+Assumptions_Dashboard!$D$115)*Fleet!M176),0))</f>
        <v>6</v>
      </c>
      <c r="Q225" s="179">
        <f>IF($G225=0,0,ROUND(($G225*(1+Assumptions_Dashboard!$D$114)+(1+Assumptions_Dashboard!$D$115)*Fleet!N176),0))</f>
        <v>6</v>
      </c>
      <c r="R225" s="179">
        <f>IF($G225=0,0,ROUND(($G225*(1+Assumptions_Dashboard!$D$114)+(1+Assumptions_Dashboard!$D$115)*Fleet!O176),0))</f>
        <v>6</v>
      </c>
      <c r="S225" s="179">
        <f>IF($G225=0,0,ROUND(($G225*(1+Assumptions_Dashboard!$D$114)+(1+Assumptions_Dashboard!$D$115)*Fleet!P176),0))</f>
        <v>6</v>
      </c>
      <c r="T225" s="179">
        <f>IF($G225=0,0,ROUND(($G225*(1+Assumptions_Dashboard!$D$114)+(1+Assumptions_Dashboard!$D$115)*Fleet!Q176),0))</f>
        <v>6</v>
      </c>
      <c r="U225" s="179">
        <f>IF($G225=0,0,ROUND(($G225*(1+Assumptions_Dashboard!$D$114)+(1+Assumptions_Dashboard!$D$115)*Fleet!R176),0))</f>
        <v>6</v>
      </c>
      <c r="V225" s="179">
        <f>IF($G225=0,0,ROUND(($G225*(1+Assumptions_Dashboard!$D$114)+(1+Assumptions_Dashboard!$D$115)*Fleet!S176),0))</f>
        <v>6</v>
      </c>
      <c r="W225" s="179">
        <f>IF($G225=0,0,ROUND(($G225*(1+Assumptions_Dashboard!$D$114)+(1+Assumptions_Dashboard!$D$115)*Fleet!T176),0))</f>
        <v>6</v>
      </c>
      <c r="X225" s="179">
        <f>IF($G225=0,0,ROUND(($G225*(1+Assumptions_Dashboard!$D$114)+(1+Assumptions_Dashboard!$D$115)*Fleet!U176),0))</f>
        <v>6</v>
      </c>
      <c r="Y225" s="179">
        <f>IF($G225=0,0,ROUND(($G225*(1+Assumptions_Dashboard!$D$114)+(1+Assumptions_Dashboard!$D$115)*Fleet!V176),0))</f>
        <v>6</v>
      </c>
      <c r="Z225" s="179">
        <f>IF($G225=0,0,ROUND(($G225*(1+Assumptions_Dashboard!$D$114)+(1+Assumptions_Dashboard!$D$115)*Fleet!W176),0))</f>
        <v>6</v>
      </c>
      <c r="AA225" s="179">
        <f>IF($G225=0,0,ROUND(($G225*(1+Assumptions_Dashboard!$D$114)+(1+Assumptions_Dashboard!$D$115)*Fleet!X176),0))</f>
        <v>6</v>
      </c>
      <c r="AB225" s="179">
        <f>IF($G225=0,0,ROUND(($G225*(1+Assumptions_Dashboard!$D$114)+(1+Assumptions_Dashboard!$D$115)*Fleet!Y176),0))</f>
        <v>6</v>
      </c>
      <c r="AC225" s="179">
        <f>IF($G225=0,0,ROUND(($G225*(1+Assumptions_Dashboard!$D$114)+(1+Assumptions_Dashboard!$D$115)*Fleet!Z176),0))</f>
        <v>6</v>
      </c>
      <c r="AD225" s="179">
        <f>IF($G225=0,0,ROUND(($G225*(1+Assumptions_Dashboard!$D$114)+(1+Assumptions_Dashboard!$D$115)*Fleet!AA176),0))</f>
        <v>6</v>
      </c>
      <c r="AE225" s="179">
        <f>IF($G225=0,0,ROUND(($G225*(1+Assumptions_Dashboard!$D$114)+(1+Assumptions_Dashboard!$D$115)*Fleet!AB176),0))</f>
        <v>5</v>
      </c>
      <c r="AF225" s="179">
        <f>IF($G225=0,0,ROUND(($G225*(1+Assumptions_Dashboard!$D$114)+(1+Assumptions_Dashboard!$D$115)*Fleet!AC176),0))</f>
        <v>5</v>
      </c>
    </row>
    <row r="226" spans="3:32">
      <c r="C226" s="661" t="str">
        <f>Fleet!C177</f>
        <v>Cars</v>
      </c>
      <c r="E226" s="211" t="s">
        <v>740</v>
      </c>
      <c r="F226" s="205" t="s">
        <v>228</v>
      </c>
      <c r="G226">
        <f>IF(Assumptions_Dashboard!$L$4="MDO",0,3)</f>
        <v>3</v>
      </c>
      <c r="H226" s="366">
        <f>IFERROR(VLOOKUP(F226,Assumptions_Dashboard!$C$38:$D$72,2,FALSE),0)</f>
        <v>300000</v>
      </c>
      <c r="J226" s="179"/>
      <c r="K226" s="179"/>
      <c r="L226" s="179"/>
      <c r="M226" s="179"/>
      <c r="N226" s="179">
        <f>IF($G226=0,0,ROUND(($G226*(1+Assumptions_Dashboard!$D$114)+(1+Assumptions_Dashboard!$D$115)*Fleet!K177),0))</f>
        <v>5</v>
      </c>
      <c r="O226" s="179">
        <f>IF($G226=0,0,ROUND(($G226*(1+Assumptions_Dashboard!$D$114)+(1+Assumptions_Dashboard!$D$115)*Fleet!L177),0))</f>
        <v>5</v>
      </c>
      <c r="P226" s="179">
        <f>IF($G226=0,0,ROUND(($G226*(1+Assumptions_Dashboard!$D$114)+(1+Assumptions_Dashboard!$D$115)*Fleet!M177),0))</f>
        <v>6</v>
      </c>
      <c r="Q226" s="179">
        <f>IF($G226=0,0,ROUND(($G226*(1+Assumptions_Dashboard!$D$114)+(1+Assumptions_Dashboard!$D$115)*Fleet!N177),0))</f>
        <v>6</v>
      </c>
      <c r="R226" s="179">
        <f>IF($G226=0,0,ROUND(($G226*(1+Assumptions_Dashboard!$D$114)+(1+Assumptions_Dashboard!$D$115)*Fleet!O177),0))</f>
        <v>6</v>
      </c>
      <c r="S226" s="179">
        <f>IF($G226=0,0,ROUND(($G226*(1+Assumptions_Dashboard!$D$114)+(1+Assumptions_Dashboard!$D$115)*Fleet!P177),0))</f>
        <v>6</v>
      </c>
      <c r="T226" s="179">
        <f>IF($G226=0,0,ROUND(($G226*(1+Assumptions_Dashboard!$D$114)+(1+Assumptions_Dashboard!$D$115)*Fleet!Q177),0))</f>
        <v>6</v>
      </c>
      <c r="U226" s="179">
        <f>IF($G226=0,0,ROUND(($G226*(1+Assumptions_Dashboard!$D$114)+(1+Assumptions_Dashboard!$D$115)*Fleet!R177),0))</f>
        <v>6</v>
      </c>
      <c r="V226" s="179">
        <f>IF($G226=0,0,ROUND(($G226*(1+Assumptions_Dashboard!$D$114)+(1+Assumptions_Dashboard!$D$115)*Fleet!S177),0))</f>
        <v>6</v>
      </c>
      <c r="W226" s="179">
        <f>IF($G226=0,0,ROUND(($G226*(1+Assumptions_Dashboard!$D$114)+(1+Assumptions_Dashboard!$D$115)*Fleet!T177),0))</f>
        <v>6</v>
      </c>
      <c r="X226" s="179">
        <f>IF($G226=0,0,ROUND(($G226*(1+Assumptions_Dashboard!$D$114)+(1+Assumptions_Dashboard!$D$115)*Fleet!U177),0))</f>
        <v>6</v>
      </c>
      <c r="Y226" s="179">
        <f>IF($G226=0,0,ROUND(($G226*(1+Assumptions_Dashboard!$D$114)+(1+Assumptions_Dashboard!$D$115)*Fleet!V177),0))</f>
        <v>6</v>
      </c>
      <c r="Z226" s="179">
        <f>IF($G226=0,0,ROUND(($G226*(1+Assumptions_Dashboard!$D$114)+(1+Assumptions_Dashboard!$D$115)*Fleet!W177),0))</f>
        <v>6</v>
      </c>
      <c r="AA226" s="179">
        <f>IF($G226=0,0,ROUND(($G226*(1+Assumptions_Dashboard!$D$114)+(1+Assumptions_Dashboard!$D$115)*Fleet!X177),0))</f>
        <v>6</v>
      </c>
      <c r="AB226" s="179">
        <f>IF($G226=0,0,ROUND(($G226*(1+Assumptions_Dashboard!$D$114)+(1+Assumptions_Dashboard!$D$115)*Fleet!Y177),0))</f>
        <v>6</v>
      </c>
      <c r="AC226" s="179">
        <f>IF($G226=0,0,ROUND(($G226*(1+Assumptions_Dashboard!$D$114)+(1+Assumptions_Dashboard!$D$115)*Fleet!Z177),0))</f>
        <v>6</v>
      </c>
      <c r="AD226" s="179">
        <f>IF($G226=0,0,ROUND(($G226*(1+Assumptions_Dashboard!$D$114)+(1+Assumptions_Dashboard!$D$115)*Fleet!AA177),0))</f>
        <v>6</v>
      </c>
      <c r="AE226" s="179">
        <f>IF($G226=0,0,ROUND(($G226*(1+Assumptions_Dashboard!$D$114)+(1+Assumptions_Dashboard!$D$115)*Fleet!AB177),0))</f>
        <v>5</v>
      </c>
      <c r="AF226" s="179">
        <f>IF($G226=0,0,ROUND(($G226*(1+Assumptions_Dashboard!$D$114)+(1+Assumptions_Dashboard!$D$115)*Fleet!AC177),0))</f>
        <v>5</v>
      </c>
    </row>
    <row r="227" spans="3:32">
      <c r="H227" s="366"/>
    </row>
    <row r="228" spans="3:32">
      <c r="H228" s="366"/>
    </row>
    <row r="229" spans="3:32">
      <c r="C229" s="191" t="s">
        <v>1477</v>
      </c>
      <c r="H229" s="366"/>
    </row>
    <row r="230" spans="3:32">
      <c r="C230" s="1281" t="s">
        <v>177</v>
      </c>
      <c r="D230" s="1281"/>
      <c r="E230" s="1281"/>
      <c r="F230" s="1281"/>
      <c r="G230" s="1281"/>
      <c r="H230" s="1412">
        <f>IFERROR(VLOOKUP(C230,Assumptions_Dashboard!$C$38:$D$72,2,FALSE),0)</f>
        <v>6000000</v>
      </c>
      <c r="I230" s="1281"/>
      <c r="J230" s="1413">
        <f ca="1">SUMIF($F$10:$BI$226,$C230,J$10:J$226)</f>
        <v>1</v>
      </c>
      <c r="K230" s="1413">
        <f t="shared" ref="J230:S239" ca="1" si="107">SUMIF($F$10:$BI$226,$C230,K$10:K$226)</f>
        <v>1</v>
      </c>
      <c r="L230" s="1413">
        <f t="shared" ca="1" si="107"/>
        <v>1</v>
      </c>
      <c r="M230" s="1413">
        <f t="shared" ca="1" si="107"/>
        <v>1</v>
      </c>
      <c r="N230" s="1413">
        <f t="shared" ca="1" si="107"/>
        <v>1</v>
      </c>
      <c r="O230" s="1413">
        <f t="shared" ca="1" si="107"/>
        <v>1</v>
      </c>
      <c r="P230" s="1413">
        <f t="shared" ca="1" si="107"/>
        <v>1</v>
      </c>
      <c r="Q230" s="1413">
        <f t="shared" ca="1" si="107"/>
        <v>1</v>
      </c>
      <c r="R230" s="1413">
        <f t="shared" ca="1" si="107"/>
        <v>1</v>
      </c>
      <c r="S230" s="1413">
        <f t="shared" ca="1" si="107"/>
        <v>1</v>
      </c>
      <c r="T230" s="1413">
        <f t="shared" ref="T230:AC239" ca="1" si="108">SUMIF($F$10:$BI$226,$C230,T$10:T$226)</f>
        <v>1</v>
      </c>
      <c r="U230" s="1413">
        <f t="shared" ca="1" si="108"/>
        <v>1</v>
      </c>
      <c r="V230" s="1413">
        <f t="shared" ca="1" si="108"/>
        <v>1</v>
      </c>
      <c r="W230" s="1413">
        <f t="shared" ca="1" si="108"/>
        <v>1</v>
      </c>
      <c r="X230" s="1413">
        <f t="shared" ca="1" si="108"/>
        <v>1</v>
      </c>
      <c r="Y230" s="1413">
        <f t="shared" ca="1" si="108"/>
        <v>1</v>
      </c>
      <c r="Z230" s="1413">
        <f t="shared" ca="1" si="108"/>
        <v>1</v>
      </c>
      <c r="AA230" s="1413">
        <f t="shared" ca="1" si="108"/>
        <v>1</v>
      </c>
      <c r="AB230" s="1413">
        <f t="shared" ca="1" si="108"/>
        <v>1</v>
      </c>
      <c r="AC230" s="1413">
        <f t="shared" ca="1" si="108"/>
        <v>1</v>
      </c>
      <c r="AD230" s="1413">
        <f t="shared" ref="AD230:AF239" ca="1" si="109">SUMIF($F$10:$BI$226,$C230,AD$10:AD$226)</f>
        <v>1</v>
      </c>
      <c r="AE230" s="1413">
        <f t="shared" ca="1" si="109"/>
        <v>1</v>
      </c>
      <c r="AF230" s="1413">
        <f t="shared" ca="1" si="109"/>
        <v>1</v>
      </c>
    </row>
    <row r="231" spans="3:32">
      <c r="C231" t="s">
        <v>180</v>
      </c>
      <c r="H231" s="1412">
        <f>IFERROR(VLOOKUP(C231,Assumptions_Dashboard!$C$38:$D$72,2,FALSE),0)</f>
        <v>4500000</v>
      </c>
      <c r="I231" s="1281"/>
      <c r="J231" s="1413">
        <f t="shared" ca="1" si="107"/>
        <v>1</v>
      </c>
      <c r="K231" s="1413">
        <f t="shared" ca="1" si="107"/>
        <v>1</v>
      </c>
      <c r="L231" s="1413">
        <f t="shared" ca="1" si="107"/>
        <v>1</v>
      </c>
      <c r="M231" s="1413">
        <f t="shared" ca="1" si="107"/>
        <v>2</v>
      </c>
      <c r="N231" s="1413">
        <f t="shared" ca="1" si="107"/>
        <v>2</v>
      </c>
      <c r="O231" s="1413">
        <f t="shared" ca="1" si="107"/>
        <v>2</v>
      </c>
      <c r="P231" s="1413">
        <f t="shared" ca="1" si="107"/>
        <v>2</v>
      </c>
      <c r="Q231" s="1413">
        <f t="shared" ca="1" si="107"/>
        <v>2</v>
      </c>
      <c r="R231" s="1413">
        <f t="shared" ca="1" si="107"/>
        <v>2</v>
      </c>
      <c r="S231" s="1413">
        <f t="shared" ca="1" si="107"/>
        <v>2</v>
      </c>
      <c r="T231" s="1413">
        <f t="shared" ca="1" si="108"/>
        <v>2</v>
      </c>
      <c r="U231" s="1413">
        <f t="shared" ca="1" si="108"/>
        <v>2</v>
      </c>
      <c r="V231" s="1413">
        <f t="shared" ca="1" si="108"/>
        <v>2</v>
      </c>
      <c r="W231" s="1413">
        <f t="shared" ca="1" si="108"/>
        <v>2</v>
      </c>
      <c r="X231" s="1413">
        <f t="shared" ca="1" si="108"/>
        <v>2</v>
      </c>
      <c r="Y231" s="1413">
        <f t="shared" ca="1" si="108"/>
        <v>2</v>
      </c>
      <c r="Z231" s="1413">
        <f t="shared" ca="1" si="108"/>
        <v>2</v>
      </c>
      <c r="AA231" s="1413">
        <f t="shared" ca="1" si="108"/>
        <v>2</v>
      </c>
      <c r="AB231" s="1413">
        <f t="shared" ca="1" si="108"/>
        <v>2</v>
      </c>
      <c r="AC231" s="1413">
        <f t="shared" ca="1" si="108"/>
        <v>2</v>
      </c>
      <c r="AD231" s="1413">
        <f t="shared" ca="1" si="109"/>
        <v>2</v>
      </c>
      <c r="AE231" s="1413">
        <f t="shared" ca="1" si="109"/>
        <v>2</v>
      </c>
      <c r="AF231" s="1413">
        <f t="shared" ca="1" si="109"/>
        <v>2</v>
      </c>
    </row>
    <row r="232" spans="3:32">
      <c r="C232" t="s">
        <v>182</v>
      </c>
      <c r="H232" s="1412">
        <f>IFERROR(VLOOKUP(C232,Assumptions_Dashboard!$C$38:$D$72,2,FALSE),0)</f>
        <v>4000000</v>
      </c>
      <c r="I232" s="1281"/>
      <c r="J232" s="1413">
        <f t="shared" ca="1" si="107"/>
        <v>0</v>
      </c>
      <c r="K232" s="1413">
        <f t="shared" ca="1" si="107"/>
        <v>0</v>
      </c>
      <c r="L232" s="1413">
        <f t="shared" ca="1" si="107"/>
        <v>0</v>
      </c>
      <c r="M232" s="1413">
        <f t="shared" ca="1" si="107"/>
        <v>0</v>
      </c>
      <c r="N232" s="1413">
        <f t="shared" ca="1" si="107"/>
        <v>0</v>
      </c>
      <c r="O232" s="1413">
        <f t="shared" ca="1" si="107"/>
        <v>0</v>
      </c>
      <c r="P232" s="1413">
        <f t="shared" ca="1" si="107"/>
        <v>0</v>
      </c>
      <c r="Q232" s="1413">
        <f t="shared" ca="1" si="107"/>
        <v>0</v>
      </c>
      <c r="R232" s="1413">
        <f t="shared" ca="1" si="107"/>
        <v>0</v>
      </c>
      <c r="S232" s="1413">
        <f t="shared" ca="1" si="107"/>
        <v>0</v>
      </c>
      <c r="T232" s="1413">
        <f t="shared" ca="1" si="108"/>
        <v>0</v>
      </c>
      <c r="U232" s="1413">
        <f t="shared" ca="1" si="108"/>
        <v>0</v>
      </c>
      <c r="V232" s="1413">
        <f t="shared" ca="1" si="108"/>
        <v>0</v>
      </c>
      <c r="W232" s="1413">
        <f t="shared" ca="1" si="108"/>
        <v>0</v>
      </c>
      <c r="X232" s="1413">
        <f t="shared" ca="1" si="108"/>
        <v>0</v>
      </c>
      <c r="Y232" s="1413">
        <f t="shared" ca="1" si="108"/>
        <v>0</v>
      </c>
      <c r="Z232" s="1413">
        <f t="shared" ca="1" si="108"/>
        <v>0</v>
      </c>
      <c r="AA232" s="1413">
        <f t="shared" ca="1" si="108"/>
        <v>0</v>
      </c>
      <c r="AB232" s="1413">
        <f t="shared" ca="1" si="108"/>
        <v>0</v>
      </c>
      <c r="AC232" s="1413">
        <f t="shared" ca="1" si="108"/>
        <v>0</v>
      </c>
      <c r="AD232" s="1413">
        <f t="shared" ca="1" si="109"/>
        <v>0</v>
      </c>
      <c r="AE232" s="1413">
        <f t="shared" ca="1" si="109"/>
        <v>0</v>
      </c>
      <c r="AF232" s="1413">
        <f t="shared" ca="1" si="109"/>
        <v>0</v>
      </c>
    </row>
    <row r="233" spans="3:32">
      <c r="C233" t="s">
        <v>184</v>
      </c>
      <c r="H233" s="1412">
        <f>IFERROR(VLOOKUP(C233,Assumptions_Dashboard!$C$38:$D$72,2,FALSE),0)</f>
        <v>3500000</v>
      </c>
      <c r="I233" s="1281"/>
      <c r="J233" s="1413">
        <f t="shared" ca="1" si="107"/>
        <v>1</v>
      </c>
      <c r="K233" s="1413">
        <f t="shared" ca="1" si="107"/>
        <v>1</v>
      </c>
      <c r="L233" s="1413">
        <f t="shared" ca="1" si="107"/>
        <v>3</v>
      </c>
      <c r="M233" s="1413">
        <f t="shared" ca="1" si="107"/>
        <v>3</v>
      </c>
      <c r="N233" s="1413">
        <f t="shared" ca="1" si="107"/>
        <v>4</v>
      </c>
      <c r="O233" s="1413">
        <f t="shared" ca="1" si="107"/>
        <v>4</v>
      </c>
      <c r="P233" s="1413">
        <f t="shared" ca="1" si="107"/>
        <v>4</v>
      </c>
      <c r="Q233" s="1413">
        <f t="shared" ca="1" si="107"/>
        <v>4</v>
      </c>
      <c r="R233" s="1413">
        <f t="shared" ca="1" si="107"/>
        <v>4</v>
      </c>
      <c r="S233" s="1413">
        <f t="shared" ca="1" si="107"/>
        <v>4</v>
      </c>
      <c r="T233" s="1413">
        <f t="shared" ca="1" si="108"/>
        <v>4</v>
      </c>
      <c r="U233" s="1413">
        <f t="shared" ca="1" si="108"/>
        <v>4</v>
      </c>
      <c r="V233" s="1413">
        <f t="shared" ca="1" si="108"/>
        <v>4</v>
      </c>
      <c r="W233" s="1413">
        <f t="shared" ca="1" si="108"/>
        <v>4</v>
      </c>
      <c r="X233" s="1413">
        <f t="shared" ca="1" si="108"/>
        <v>4</v>
      </c>
      <c r="Y233" s="1413">
        <f t="shared" ca="1" si="108"/>
        <v>4</v>
      </c>
      <c r="Z233" s="1413">
        <f t="shared" ca="1" si="108"/>
        <v>4</v>
      </c>
      <c r="AA233" s="1413">
        <f t="shared" ca="1" si="108"/>
        <v>4</v>
      </c>
      <c r="AB233" s="1413">
        <f t="shared" ca="1" si="108"/>
        <v>4</v>
      </c>
      <c r="AC233" s="1413">
        <f t="shared" ca="1" si="108"/>
        <v>4</v>
      </c>
      <c r="AD233" s="1413">
        <f t="shared" ca="1" si="109"/>
        <v>4</v>
      </c>
      <c r="AE233" s="1413">
        <f t="shared" ca="1" si="109"/>
        <v>4</v>
      </c>
      <c r="AF233" s="1413">
        <f t="shared" ca="1" si="109"/>
        <v>4</v>
      </c>
    </row>
    <row r="234" spans="3:32">
      <c r="C234" t="s">
        <v>186</v>
      </c>
      <c r="H234" s="1412">
        <f>IFERROR(VLOOKUP(C234,Assumptions_Dashboard!$C$38:$D$72,2,FALSE),0)</f>
        <v>2500000</v>
      </c>
      <c r="I234" s="1281"/>
      <c r="J234" s="1413">
        <f t="shared" ca="1" si="107"/>
        <v>5</v>
      </c>
      <c r="K234" s="1413">
        <f t="shared" ca="1" si="107"/>
        <v>5</v>
      </c>
      <c r="L234" s="1413">
        <f t="shared" ca="1" si="107"/>
        <v>7</v>
      </c>
      <c r="M234" s="1413">
        <f t="shared" ca="1" si="107"/>
        <v>7</v>
      </c>
      <c r="N234" s="1413">
        <f t="shared" ca="1" si="107"/>
        <v>10</v>
      </c>
      <c r="O234" s="1413">
        <f t="shared" ca="1" si="107"/>
        <v>10</v>
      </c>
      <c r="P234" s="1413">
        <f t="shared" ca="1" si="107"/>
        <v>10</v>
      </c>
      <c r="Q234" s="1413">
        <f t="shared" ca="1" si="107"/>
        <v>10</v>
      </c>
      <c r="R234" s="1413">
        <f t="shared" ca="1" si="107"/>
        <v>10</v>
      </c>
      <c r="S234" s="1413">
        <f t="shared" ca="1" si="107"/>
        <v>10</v>
      </c>
      <c r="T234" s="1413">
        <f t="shared" ca="1" si="108"/>
        <v>12</v>
      </c>
      <c r="U234" s="1413">
        <f t="shared" ca="1" si="108"/>
        <v>10</v>
      </c>
      <c r="V234" s="1413">
        <f t="shared" ca="1" si="108"/>
        <v>10</v>
      </c>
      <c r="W234" s="1413">
        <f t="shared" ca="1" si="108"/>
        <v>10</v>
      </c>
      <c r="X234" s="1413">
        <f t="shared" ca="1" si="108"/>
        <v>10</v>
      </c>
      <c r="Y234" s="1413">
        <f t="shared" ca="1" si="108"/>
        <v>10</v>
      </c>
      <c r="Z234" s="1413">
        <f t="shared" ca="1" si="108"/>
        <v>10</v>
      </c>
      <c r="AA234" s="1413">
        <f t="shared" ca="1" si="108"/>
        <v>10</v>
      </c>
      <c r="AB234" s="1413">
        <f t="shared" ca="1" si="108"/>
        <v>10</v>
      </c>
      <c r="AC234" s="1413">
        <f t="shared" ca="1" si="108"/>
        <v>10</v>
      </c>
      <c r="AD234" s="1413">
        <f t="shared" ca="1" si="109"/>
        <v>10</v>
      </c>
      <c r="AE234" s="1413">
        <f t="shared" ca="1" si="109"/>
        <v>10</v>
      </c>
      <c r="AF234" s="1413">
        <f t="shared" ca="1" si="109"/>
        <v>9</v>
      </c>
    </row>
    <row r="235" spans="3:32">
      <c r="C235" t="s">
        <v>188</v>
      </c>
      <c r="H235" s="1412">
        <f>IFERROR(VLOOKUP(C235,Assumptions_Dashboard!$C$38:$D$72,2,FALSE),0)</f>
        <v>1800000</v>
      </c>
      <c r="I235" s="1281"/>
      <c r="J235" s="1413">
        <f t="shared" ca="1" si="107"/>
        <v>4</v>
      </c>
      <c r="K235" s="1413">
        <f t="shared" ca="1" si="107"/>
        <v>4</v>
      </c>
      <c r="L235" s="1413">
        <f t="shared" ca="1" si="107"/>
        <v>4</v>
      </c>
      <c r="M235" s="1413">
        <f t="shared" ca="1" si="107"/>
        <v>5</v>
      </c>
      <c r="N235" s="1413">
        <f t="shared" ca="1" si="107"/>
        <v>5</v>
      </c>
      <c r="O235" s="1413">
        <f t="shared" ca="1" si="107"/>
        <v>5</v>
      </c>
      <c r="P235" s="1413">
        <f t="shared" ca="1" si="107"/>
        <v>6</v>
      </c>
      <c r="Q235" s="1413">
        <f t="shared" ca="1" si="107"/>
        <v>6</v>
      </c>
      <c r="R235" s="1413">
        <f t="shared" ca="1" si="107"/>
        <v>6</v>
      </c>
      <c r="S235" s="1413">
        <f t="shared" ca="1" si="107"/>
        <v>5</v>
      </c>
      <c r="T235" s="1413">
        <f t="shared" ca="1" si="108"/>
        <v>5</v>
      </c>
      <c r="U235" s="1413">
        <f t="shared" ca="1" si="108"/>
        <v>5</v>
      </c>
      <c r="V235" s="1413">
        <f t="shared" ca="1" si="108"/>
        <v>5</v>
      </c>
      <c r="W235" s="1413">
        <f t="shared" ca="1" si="108"/>
        <v>5</v>
      </c>
      <c r="X235" s="1413">
        <f t="shared" ca="1" si="108"/>
        <v>5</v>
      </c>
      <c r="Y235" s="1413">
        <f t="shared" ca="1" si="108"/>
        <v>5</v>
      </c>
      <c r="Z235" s="1413">
        <f t="shared" ca="1" si="108"/>
        <v>5</v>
      </c>
      <c r="AA235" s="1413">
        <f t="shared" ca="1" si="108"/>
        <v>5</v>
      </c>
      <c r="AB235" s="1413">
        <f t="shared" ca="1" si="108"/>
        <v>5</v>
      </c>
      <c r="AC235" s="1413">
        <f t="shared" ca="1" si="108"/>
        <v>5</v>
      </c>
      <c r="AD235" s="1413">
        <f t="shared" ca="1" si="109"/>
        <v>5</v>
      </c>
      <c r="AE235" s="1413">
        <f t="shared" ca="1" si="109"/>
        <v>4</v>
      </c>
      <c r="AF235" s="1413">
        <f t="shared" ca="1" si="109"/>
        <v>4</v>
      </c>
    </row>
    <row r="236" spans="3:32">
      <c r="C236" t="s">
        <v>190</v>
      </c>
      <c r="H236" s="1412">
        <f>IFERROR(VLOOKUP(C236,Assumptions_Dashboard!$C$38:$D$72,2,FALSE),0)</f>
        <v>1500000</v>
      </c>
      <c r="I236" s="1281"/>
      <c r="J236" s="1413">
        <f t="shared" ca="1" si="107"/>
        <v>0</v>
      </c>
      <c r="K236" s="1413">
        <f t="shared" ca="1" si="107"/>
        <v>0</v>
      </c>
      <c r="L236" s="1413">
        <f t="shared" ca="1" si="107"/>
        <v>0</v>
      </c>
      <c r="M236" s="1413">
        <f t="shared" ca="1" si="107"/>
        <v>0</v>
      </c>
      <c r="N236" s="1413">
        <f t="shared" ca="1" si="107"/>
        <v>5</v>
      </c>
      <c r="O236" s="1413">
        <f t="shared" ca="1" si="107"/>
        <v>5</v>
      </c>
      <c r="P236" s="1413">
        <f t="shared" ca="1" si="107"/>
        <v>7</v>
      </c>
      <c r="Q236" s="1413">
        <f t="shared" ca="1" si="107"/>
        <v>7</v>
      </c>
      <c r="R236" s="1413">
        <f t="shared" ca="1" si="107"/>
        <v>7</v>
      </c>
      <c r="S236" s="1413">
        <f t="shared" ca="1" si="107"/>
        <v>7</v>
      </c>
      <c r="T236" s="1413">
        <f t="shared" ca="1" si="108"/>
        <v>9</v>
      </c>
      <c r="U236" s="1413">
        <f t="shared" ca="1" si="108"/>
        <v>7</v>
      </c>
      <c r="V236" s="1413">
        <f t="shared" ca="1" si="108"/>
        <v>7</v>
      </c>
      <c r="W236" s="1413">
        <f t="shared" ca="1" si="108"/>
        <v>7</v>
      </c>
      <c r="X236" s="1413">
        <f t="shared" ca="1" si="108"/>
        <v>7</v>
      </c>
      <c r="Y236" s="1413">
        <f t="shared" ca="1" si="108"/>
        <v>7</v>
      </c>
      <c r="Z236" s="1413">
        <f t="shared" ca="1" si="108"/>
        <v>7</v>
      </c>
      <c r="AA236" s="1413">
        <f t="shared" ca="1" si="108"/>
        <v>7</v>
      </c>
      <c r="AB236" s="1413">
        <f t="shared" ca="1" si="108"/>
        <v>7</v>
      </c>
      <c r="AC236" s="1413">
        <f t="shared" ca="1" si="108"/>
        <v>7</v>
      </c>
      <c r="AD236" s="1413">
        <f t="shared" ca="1" si="109"/>
        <v>7</v>
      </c>
      <c r="AE236" s="1413">
        <f t="shared" ca="1" si="109"/>
        <v>5</v>
      </c>
      <c r="AF236" s="1413">
        <f t="shared" ca="1" si="109"/>
        <v>5</v>
      </c>
    </row>
    <row r="237" spans="3:32">
      <c r="C237" t="s">
        <v>192</v>
      </c>
      <c r="H237" s="1412">
        <f>IFERROR(VLOOKUP(C237,Assumptions_Dashboard!$C$38:$D$72,2,FALSE),0)</f>
        <v>1235000</v>
      </c>
      <c r="I237" s="1281"/>
      <c r="J237" s="1413">
        <f t="shared" ca="1" si="107"/>
        <v>2</v>
      </c>
      <c r="K237" s="1413">
        <f t="shared" ca="1" si="107"/>
        <v>2</v>
      </c>
      <c r="L237" s="1413">
        <f t="shared" ca="1" si="107"/>
        <v>2</v>
      </c>
      <c r="M237" s="1413">
        <f t="shared" ca="1" si="107"/>
        <v>2</v>
      </c>
      <c r="N237" s="1413">
        <f t="shared" ca="1" si="107"/>
        <v>28</v>
      </c>
      <c r="O237" s="1413">
        <f t="shared" ca="1" si="107"/>
        <v>28</v>
      </c>
      <c r="P237" s="1413">
        <f t="shared" ca="1" si="107"/>
        <v>28</v>
      </c>
      <c r="Q237" s="1413">
        <f t="shared" ca="1" si="107"/>
        <v>29</v>
      </c>
      <c r="R237" s="1413">
        <f t="shared" ca="1" si="107"/>
        <v>29</v>
      </c>
      <c r="S237" s="1413">
        <f t="shared" ca="1" si="107"/>
        <v>29</v>
      </c>
      <c r="T237" s="1413">
        <f t="shared" ca="1" si="108"/>
        <v>30</v>
      </c>
      <c r="U237" s="1413">
        <f t="shared" ca="1" si="108"/>
        <v>29</v>
      </c>
      <c r="V237" s="1413">
        <f t="shared" ca="1" si="108"/>
        <v>29</v>
      </c>
      <c r="W237" s="1413">
        <f t="shared" ca="1" si="108"/>
        <v>29</v>
      </c>
      <c r="X237" s="1413">
        <f t="shared" ca="1" si="108"/>
        <v>29</v>
      </c>
      <c r="Y237" s="1413">
        <f t="shared" ca="1" si="108"/>
        <v>29</v>
      </c>
      <c r="Z237" s="1413">
        <f t="shared" ca="1" si="108"/>
        <v>29</v>
      </c>
      <c r="AA237" s="1413">
        <f t="shared" ca="1" si="108"/>
        <v>29</v>
      </c>
      <c r="AB237" s="1413">
        <f t="shared" ca="1" si="108"/>
        <v>29</v>
      </c>
      <c r="AC237" s="1413">
        <f t="shared" ca="1" si="108"/>
        <v>29</v>
      </c>
      <c r="AD237" s="1413">
        <f t="shared" ca="1" si="109"/>
        <v>28</v>
      </c>
      <c r="AE237" s="1413">
        <f t="shared" ca="1" si="109"/>
        <v>28</v>
      </c>
      <c r="AF237" s="1413">
        <f t="shared" ca="1" si="109"/>
        <v>28</v>
      </c>
    </row>
    <row r="238" spans="3:32">
      <c r="C238" t="s">
        <v>194</v>
      </c>
      <c r="H238" s="1412">
        <f>IFERROR(VLOOKUP(C238,Assumptions_Dashboard!$C$38:$D$72,2,FALSE),0)</f>
        <v>960000</v>
      </c>
      <c r="I238" s="1281"/>
      <c r="J238" s="1413">
        <f t="shared" ca="1" si="107"/>
        <v>7</v>
      </c>
      <c r="K238" s="1413">
        <f t="shared" ca="1" si="107"/>
        <v>7</v>
      </c>
      <c r="L238" s="1413">
        <f t="shared" ca="1" si="107"/>
        <v>7</v>
      </c>
      <c r="M238" s="1413">
        <f t="shared" ca="1" si="107"/>
        <v>7</v>
      </c>
      <c r="N238" s="1413">
        <f t="shared" ca="1" si="107"/>
        <v>24</v>
      </c>
      <c r="O238" s="1413">
        <f t="shared" ca="1" si="107"/>
        <v>24</v>
      </c>
      <c r="P238" s="1413">
        <f t="shared" ca="1" si="107"/>
        <v>24</v>
      </c>
      <c r="Q238" s="1413">
        <f t="shared" ca="1" si="107"/>
        <v>24</v>
      </c>
      <c r="R238" s="1413">
        <f t="shared" ca="1" si="107"/>
        <v>24</v>
      </c>
      <c r="S238" s="1413">
        <f t="shared" ca="1" si="107"/>
        <v>24</v>
      </c>
      <c r="T238" s="1413">
        <f t="shared" ca="1" si="108"/>
        <v>24</v>
      </c>
      <c r="U238" s="1413">
        <f t="shared" ca="1" si="108"/>
        <v>24</v>
      </c>
      <c r="V238" s="1413">
        <f t="shared" ca="1" si="108"/>
        <v>24</v>
      </c>
      <c r="W238" s="1413">
        <f t="shared" ca="1" si="108"/>
        <v>24</v>
      </c>
      <c r="X238" s="1413">
        <f t="shared" ca="1" si="108"/>
        <v>24</v>
      </c>
      <c r="Y238" s="1413">
        <f t="shared" ca="1" si="108"/>
        <v>24</v>
      </c>
      <c r="Z238" s="1413">
        <f t="shared" ca="1" si="108"/>
        <v>24</v>
      </c>
      <c r="AA238" s="1413">
        <f t="shared" ca="1" si="108"/>
        <v>24</v>
      </c>
      <c r="AB238" s="1413">
        <f t="shared" ca="1" si="108"/>
        <v>24</v>
      </c>
      <c r="AC238" s="1413">
        <f t="shared" ca="1" si="108"/>
        <v>24</v>
      </c>
      <c r="AD238" s="1413">
        <f t="shared" ca="1" si="109"/>
        <v>24</v>
      </c>
      <c r="AE238" s="1413">
        <f t="shared" ca="1" si="109"/>
        <v>24</v>
      </c>
      <c r="AF238" s="1413">
        <f t="shared" ca="1" si="109"/>
        <v>24</v>
      </c>
    </row>
    <row r="239" spans="3:32">
      <c r="C239" t="s">
        <v>196</v>
      </c>
      <c r="H239" s="1412">
        <f>IFERROR(VLOOKUP(C239,Assumptions_Dashboard!$C$38:$D$72,2,FALSE),0)</f>
        <v>750000</v>
      </c>
      <c r="I239" s="1281"/>
      <c r="J239" s="1413">
        <f t="shared" ca="1" si="107"/>
        <v>0</v>
      </c>
      <c r="K239" s="1413">
        <f t="shared" ca="1" si="107"/>
        <v>0</v>
      </c>
      <c r="L239" s="1413">
        <f t="shared" ca="1" si="107"/>
        <v>0</v>
      </c>
      <c r="M239" s="1413">
        <f t="shared" ca="1" si="107"/>
        <v>0</v>
      </c>
      <c r="N239" s="1413">
        <f t="shared" ca="1" si="107"/>
        <v>3</v>
      </c>
      <c r="O239" s="1413">
        <f t="shared" ca="1" si="107"/>
        <v>3</v>
      </c>
      <c r="P239" s="1413">
        <f t="shared" ca="1" si="107"/>
        <v>3</v>
      </c>
      <c r="Q239" s="1413">
        <f t="shared" ca="1" si="107"/>
        <v>3</v>
      </c>
      <c r="R239" s="1413">
        <f t="shared" ca="1" si="107"/>
        <v>3</v>
      </c>
      <c r="S239" s="1413">
        <f t="shared" ca="1" si="107"/>
        <v>3</v>
      </c>
      <c r="T239" s="1413">
        <f t="shared" ca="1" si="108"/>
        <v>3</v>
      </c>
      <c r="U239" s="1413">
        <f t="shared" ca="1" si="108"/>
        <v>3</v>
      </c>
      <c r="V239" s="1413">
        <f t="shared" ca="1" si="108"/>
        <v>3</v>
      </c>
      <c r="W239" s="1413">
        <f t="shared" ca="1" si="108"/>
        <v>3</v>
      </c>
      <c r="X239" s="1413">
        <f t="shared" ca="1" si="108"/>
        <v>3</v>
      </c>
      <c r="Y239" s="1413">
        <f t="shared" ca="1" si="108"/>
        <v>3</v>
      </c>
      <c r="Z239" s="1413">
        <f t="shared" ca="1" si="108"/>
        <v>3</v>
      </c>
      <c r="AA239" s="1413">
        <f t="shared" ca="1" si="108"/>
        <v>3</v>
      </c>
      <c r="AB239" s="1413">
        <f t="shared" ca="1" si="108"/>
        <v>3</v>
      </c>
      <c r="AC239" s="1413">
        <f t="shared" ca="1" si="108"/>
        <v>3</v>
      </c>
      <c r="AD239" s="1413">
        <f t="shared" ca="1" si="109"/>
        <v>3</v>
      </c>
      <c r="AE239" s="1413">
        <f t="shared" ca="1" si="109"/>
        <v>3</v>
      </c>
      <c r="AF239" s="1413">
        <f t="shared" ca="1" si="109"/>
        <v>3</v>
      </c>
    </row>
    <row r="240" spans="3:32">
      <c r="C240" t="s">
        <v>210</v>
      </c>
      <c r="H240" s="1412">
        <f>IFERROR(VLOOKUP(C240,Assumptions_Dashboard!$C$38:$D$72,2,FALSE),0)</f>
        <v>900000</v>
      </c>
      <c r="I240" s="1281"/>
      <c r="J240" s="1413">
        <f t="shared" ref="J240:S252" ca="1" si="110">SUMIF($F$10:$BI$226,$C240,J$10:J$226)</f>
        <v>0</v>
      </c>
      <c r="K240" s="1413">
        <f t="shared" ca="1" si="110"/>
        <v>0</v>
      </c>
      <c r="L240" s="1413">
        <f t="shared" ca="1" si="110"/>
        <v>0</v>
      </c>
      <c r="M240" s="1413">
        <f t="shared" ca="1" si="110"/>
        <v>0</v>
      </c>
      <c r="N240" s="1413">
        <f t="shared" ca="1" si="110"/>
        <v>0</v>
      </c>
      <c r="O240" s="1413">
        <f t="shared" ca="1" si="110"/>
        <v>0</v>
      </c>
      <c r="P240" s="1413">
        <f t="shared" ca="1" si="110"/>
        <v>0</v>
      </c>
      <c r="Q240" s="1413">
        <f t="shared" ca="1" si="110"/>
        <v>0</v>
      </c>
      <c r="R240" s="1413">
        <f t="shared" ca="1" si="110"/>
        <v>0</v>
      </c>
      <c r="S240" s="1413">
        <f t="shared" ca="1" si="110"/>
        <v>0</v>
      </c>
      <c r="T240" s="1413">
        <f t="shared" ref="T240:AC252" ca="1" si="111">SUMIF($F$10:$BI$226,$C240,T$10:T$226)</f>
        <v>0</v>
      </c>
      <c r="U240" s="1413">
        <f t="shared" ca="1" si="111"/>
        <v>0</v>
      </c>
      <c r="V240" s="1413">
        <f t="shared" ca="1" si="111"/>
        <v>0</v>
      </c>
      <c r="W240" s="1413">
        <f t="shared" ca="1" si="111"/>
        <v>0</v>
      </c>
      <c r="X240" s="1413">
        <f t="shared" ca="1" si="111"/>
        <v>0</v>
      </c>
      <c r="Y240" s="1413">
        <f t="shared" ca="1" si="111"/>
        <v>0</v>
      </c>
      <c r="Z240" s="1413">
        <f t="shared" ca="1" si="111"/>
        <v>0</v>
      </c>
      <c r="AA240" s="1413">
        <f t="shared" ca="1" si="111"/>
        <v>0</v>
      </c>
      <c r="AB240" s="1413">
        <f t="shared" ca="1" si="111"/>
        <v>0</v>
      </c>
      <c r="AC240" s="1413">
        <f t="shared" ca="1" si="111"/>
        <v>0</v>
      </c>
      <c r="AD240" s="1413">
        <f t="shared" ref="AD240:AF252" ca="1" si="112">SUMIF($F$10:$BI$226,$C240,AD$10:AD$226)</f>
        <v>0</v>
      </c>
      <c r="AE240" s="1413">
        <f t="shared" ca="1" si="112"/>
        <v>0</v>
      </c>
      <c r="AF240" s="1413">
        <f t="shared" ca="1" si="112"/>
        <v>0</v>
      </c>
    </row>
    <row r="241" spans="3:32">
      <c r="C241" t="s">
        <v>211</v>
      </c>
      <c r="H241" s="1412">
        <f>IFERROR(VLOOKUP(C241,Assumptions_Dashboard!$C$38:$D$72,2,FALSE),0)</f>
        <v>780000</v>
      </c>
      <c r="I241" s="1281"/>
      <c r="J241" s="1413">
        <f t="shared" ca="1" si="110"/>
        <v>0</v>
      </c>
      <c r="K241" s="1413">
        <f t="shared" ca="1" si="110"/>
        <v>0</v>
      </c>
      <c r="L241" s="1413">
        <f t="shared" ca="1" si="110"/>
        <v>0</v>
      </c>
      <c r="M241" s="1413">
        <f t="shared" ca="1" si="110"/>
        <v>0</v>
      </c>
      <c r="N241" s="1413">
        <f t="shared" ca="1" si="110"/>
        <v>21</v>
      </c>
      <c r="O241" s="1413">
        <f t="shared" ca="1" si="110"/>
        <v>21</v>
      </c>
      <c r="P241" s="1413">
        <f t="shared" ca="1" si="110"/>
        <v>21</v>
      </c>
      <c r="Q241" s="1413">
        <f t="shared" ca="1" si="110"/>
        <v>21</v>
      </c>
      <c r="R241" s="1413">
        <f t="shared" ca="1" si="110"/>
        <v>21</v>
      </c>
      <c r="S241" s="1413">
        <f t="shared" ca="1" si="110"/>
        <v>21</v>
      </c>
      <c r="T241" s="1413">
        <f t="shared" ca="1" si="111"/>
        <v>21</v>
      </c>
      <c r="U241" s="1413">
        <f t="shared" ca="1" si="111"/>
        <v>21</v>
      </c>
      <c r="V241" s="1413">
        <f t="shared" ca="1" si="111"/>
        <v>21</v>
      </c>
      <c r="W241" s="1413">
        <f t="shared" ca="1" si="111"/>
        <v>21</v>
      </c>
      <c r="X241" s="1413">
        <f t="shared" ca="1" si="111"/>
        <v>21</v>
      </c>
      <c r="Y241" s="1413">
        <f t="shared" ca="1" si="111"/>
        <v>21</v>
      </c>
      <c r="Z241" s="1413">
        <f t="shared" ca="1" si="111"/>
        <v>21</v>
      </c>
      <c r="AA241" s="1413">
        <f t="shared" ca="1" si="111"/>
        <v>21</v>
      </c>
      <c r="AB241" s="1413">
        <f t="shared" ca="1" si="111"/>
        <v>21</v>
      </c>
      <c r="AC241" s="1413">
        <f t="shared" ca="1" si="111"/>
        <v>21</v>
      </c>
      <c r="AD241" s="1413">
        <f t="shared" ca="1" si="112"/>
        <v>21</v>
      </c>
      <c r="AE241" s="1413">
        <f t="shared" ca="1" si="112"/>
        <v>21</v>
      </c>
      <c r="AF241" s="1413">
        <f t="shared" ca="1" si="112"/>
        <v>21</v>
      </c>
    </row>
    <row r="242" spans="3:32">
      <c r="C242" t="s">
        <v>212</v>
      </c>
      <c r="H242" s="1412">
        <f>IFERROR(VLOOKUP(C242,Assumptions_Dashboard!$C$38:$D$72,2,FALSE),0)</f>
        <v>670000</v>
      </c>
      <c r="I242" s="1281"/>
      <c r="J242" s="1413">
        <f t="shared" ca="1" si="110"/>
        <v>1</v>
      </c>
      <c r="K242" s="1413">
        <f t="shared" ca="1" si="110"/>
        <v>1</v>
      </c>
      <c r="L242" s="1413">
        <f t="shared" ca="1" si="110"/>
        <v>1</v>
      </c>
      <c r="M242" s="1413">
        <f t="shared" ca="1" si="110"/>
        <v>1</v>
      </c>
      <c r="N242" s="1413">
        <f t="shared" ca="1" si="110"/>
        <v>47</v>
      </c>
      <c r="O242" s="1413">
        <f t="shared" ca="1" si="110"/>
        <v>47</v>
      </c>
      <c r="P242" s="1413">
        <f t="shared" ca="1" si="110"/>
        <v>47</v>
      </c>
      <c r="Q242" s="1413">
        <f t="shared" ca="1" si="110"/>
        <v>47</v>
      </c>
      <c r="R242" s="1413">
        <f t="shared" ca="1" si="110"/>
        <v>47</v>
      </c>
      <c r="S242" s="1413">
        <f t="shared" ca="1" si="110"/>
        <v>47</v>
      </c>
      <c r="T242" s="1413">
        <f t="shared" ca="1" si="111"/>
        <v>47</v>
      </c>
      <c r="U242" s="1413">
        <f t="shared" ca="1" si="111"/>
        <v>47</v>
      </c>
      <c r="V242" s="1413">
        <f t="shared" ca="1" si="111"/>
        <v>47</v>
      </c>
      <c r="W242" s="1413">
        <f t="shared" ca="1" si="111"/>
        <v>47</v>
      </c>
      <c r="X242" s="1413">
        <f t="shared" ca="1" si="111"/>
        <v>47</v>
      </c>
      <c r="Y242" s="1413">
        <f t="shared" ca="1" si="111"/>
        <v>47</v>
      </c>
      <c r="Z242" s="1413">
        <f t="shared" ca="1" si="111"/>
        <v>47</v>
      </c>
      <c r="AA242" s="1413">
        <f t="shared" ca="1" si="111"/>
        <v>47</v>
      </c>
      <c r="AB242" s="1413">
        <f t="shared" ca="1" si="111"/>
        <v>47</v>
      </c>
      <c r="AC242" s="1413">
        <f t="shared" ca="1" si="111"/>
        <v>47</v>
      </c>
      <c r="AD242" s="1413">
        <f t="shared" ca="1" si="112"/>
        <v>47</v>
      </c>
      <c r="AE242" s="1413">
        <f t="shared" ca="1" si="112"/>
        <v>47</v>
      </c>
      <c r="AF242" s="1413">
        <f t="shared" ca="1" si="112"/>
        <v>47</v>
      </c>
    </row>
    <row r="243" spans="3:32">
      <c r="C243" t="s">
        <v>213</v>
      </c>
      <c r="H243" s="1412">
        <f>IFERROR(VLOOKUP(C243,Assumptions_Dashboard!$C$38:$D$72,2,FALSE),0)</f>
        <v>400000</v>
      </c>
      <c r="I243" s="1281"/>
      <c r="J243" s="1413">
        <f t="shared" ca="1" si="110"/>
        <v>5</v>
      </c>
      <c r="K243" s="1413">
        <f t="shared" ca="1" si="110"/>
        <v>5</v>
      </c>
      <c r="L243" s="1413">
        <f t="shared" ca="1" si="110"/>
        <v>5</v>
      </c>
      <c r="M243" s="1413">
        <f t="shared" ca="1" si="110"/>
        <v>7</v>
      </c>
      <c r="N243" s="1413">
        <f t="shared" ca="1" si="110"/>
        <v>43</v>
      </c>
      <c r="O243" s="1413">
        <f t="shared" ca="1" si="110"/>
        <v>43</v>
      </c>
      <c r="P243" s="1413">
        <f t="shared" ca="1" si="110"/>
        <v>43</v>
      </c>
      <c r="Q243" s="1413">
        <f t="shared" ca="1" si="110"/>
        <v>43</v>
      </c>
      <c r="R243" s="1413">
        <f t="shared" ca="1" si="110"/>
        <v>43</v>
      </c>
      <c r="S243" s="1413">
        <f t="shared" ca="1" si="110"/>
        <v>43</v>
      </c>
      <c r="T243" s="1413">
        <f t="shared" ca="1" si="111"/>
        <v>43</v>
      </c>
      <c r="U243" s="1413">
        <f t="shared" ca="1" si="111"/>
        <v>43</v>
      </c>
      <c r="V243" s="1413">
        <f t="shared" ca="1" si="111"/>
        <v>43</v>
      </c>
      <c r="W243" s="1413">
        <f t="shared" ca="1" si="111"/>
        <v>43</v>
      </c>
      <c r="X243" s="1413">
        <f t="shared" ca="1" si="111"/>
        <v>43</v>
      </c>
      <c r="Y243" s="1413">
        <f t="shared" ca="1" si="111"/>
        <v>43</v>
      </c>
      <c r="Z243" s="1413">
        <f t="shared" ca="1" si="111"/>
        <v>43</v>
      </c>
      <c r="AA243" s="1413">
        <f t="shared" ca="1" si="111"/>
        <v>43</v>
      </c>
      <c r="AB243" s="1413">
        <f t="shared" ca="1" si="111"/>
        <v>43</v>
      </c>
      <c r="AC243" s="1413">
        <f t="shared" ca="1" si="111"/>
        <v>43</v>
      </c>
      <c r="AD243" s="1413">
        <f t="shared" ca="1" si="112"/>
        <v>43</v>
      </c>
      <c r="AE243" s="1413">
        <f t="shared" ca="1" si="112"/>
        <v>43</v>
      </c>
      <c r="AF243" s="1413">
        <f t="shared" ca="1" si="112"/>
        <v>43</v>
      </c>
    </row>
    <row r="244" spans="3:32">
      <c r="C244" t="s">
        <v>216</v>
      </c>
      <c r="H244" s="1412">
        <f>IFERROR(VLOOKUP(C244,Assumptions_Dashboard!$C$38:$D$72,2,FALSE),0)</f>
        <v>610000</v>
      </c>
      <c r="I244" s="1281"/>
      <c r="J244" s="1413">
        <f t="shared" ca="1" si="110"/>
        <v>0</v>
      </c>
      <c r="K244" s="1413">
        <f t="shared" ca="1" si="110"/>
        <v>0</v>
      </c>
      <c r="L244" s="1413">
        <f t="shared" ca="1" si="110"/>
        <v>0</v>
      </c>
      <c r="M244" s="1413">
        <f t="shared" ca="1" si="110"/>
        <v>0</v>
      </c>
      <c r="N244" s="1413">
        <f t="shared" ca="1" si="110"/>
        <v>43</v>
      </c>
      <c r="O244" s="1413">
        <f t="shared" ca="1" si="110"/>
        <v>43</v>
      </c>
      <c r="P244" s="1413">
        <f t="shared" ca="1" si="110"/>
        <v>49</v>
      </c>
      <c r="Q244" s="1413">
        <f t="shared" ca="1" si="110"/>
        <v>107</v>
      </c>
      <c r="R244" s="1413">
        <f t="shared" ca="1" si="110"/>
        <v>108</v>
      </c>
      <c r="S244" s="1413">
        <f t="shared" ca="1" si="110"/>
        <v>141</v>
      </c>
      <c r="T244" s="1413">
        <f t="shared" ca="1" si="111"/>
        <v>136</v>
      </c>
      <c r="U244" s="1413">
        <f t="shared" ca="1" si="111"/>
        <v>124</v>
      </c>
      <c r="V244" s="1413">
        <f t="shared" ca="1" si="111"/>
        <v>130</v>
      </c>
      <c r="W244" s="1413">
        <f t="shared" ca="1" si="111"/>
        <v>122</v>
      </c>
      <c r="X244" s="1413">
        <f t="shared" ca="1" si="111"/>
        <v>133</v>
      </c>
      <c r="Y244" s="1413">
        <f t="shared" ca="1" si="111"/>
        <v>107</v>
      </c>
      <c r="Z244" s="1413">
        <f t="shared" ca="1" si="111"/>
        <v>100</v>
      </c>
      <c r="AA244" s="1413">
        <f t="shared" ca="1" si="111"/>
        <v>113</v>
      </c>
      <c r="AB244" s="1413">
        <f t="shared" ca="1" si="111"/>
        <v>113</v>
      </c>
      <c r="AC244" s="1413">
        <f t="shared" ca="1" si="111"/>
        <v>134</v>
      </c>
      <c r="AD244" s="1413">
        <f t="shared" ca="1" si="112"/>
        <v>92</v>
      </c>
      <c r="AE244" s="1413">
        <f t="shared" ca="1" si="112"/>
        <v>50</v>
      </c>
      <c r="AF244" s="1413">
        <f t="shared" ca="1" si="112"/>
        <v>41</v>
      </c>
    </row>
    <row r="245" spans="3:32">
      <c r="C245" t="s">
        <v>218</v>
      </c>
      <c r="H245" s="1412">
        <f>IFERROR(VLOOKUP(C245,Assumptions_Dashboard!$C$38:$D$72,2,FALSE),0)</f>
        <v>600000</v>
      </c>
      <c r="I245" s="1281"/>
      <c r="J245" s="1413">
        <f ca="1">SUMIF($F$10:$BI$226,$C245,J$10:J$226)</f>
        <v>0</v>
      </c>
      <c r="K245" s="1413">
        <f t="shared" ca="1" si="110"/>
        <v>1</v>
      </c>
      <c r="L245" s="1413">
        <f t="shared" ca="1" si="110"/>
        <v>0</v>
      </c>
      <c r="M245" s="1413">
        <f ca="1">SUMIF($F$10:$BI$226,$C245,M$10:M$226)</f>
        <v>2</v>
      </c>
      <c r="N245" s="1413">
        <f t="shared" ca="1" si="110"/>
        <v>47</v>
      </c>
      <c r="O245" s="1413">
        <f t="shared" ca="1" si="110"/>
        <v>50</v>
      </c>
      <c r="P245" s="1413">
        <f t="shared" ca="1" si="110"/>
        <v>59</v>
      </c>
      <c r="Q245" s="1413">
        <f t="shared" ca="1" si="110"/>
        <v>71</v>
      </c>
      <c r="R245" s="1413">
        <f t="shared" ca="1" si="110"/>
        <v>77</v>
      </c>
      <c r="S245" s="1413">
        <f t="shared" ca="1" si="110"/>
        <v>80</v>
      </c>
      <c r="T245" s="1413">
        <f t="shared" ca="1" si="111"/>
        <v>82</v>
      </c>
      <c r="U245" s="1413">
        <f t="shared" ca="1" si="111"/>
        <v>82</v>
      </c>
      <c r="V245" s="1413">
        <f t="shared" ca="1" si="111"/>
        <v>83</v>
      </c>
      <c r="W245" s="1413">
        <f t="shared" ca="1" si="111"/>
        <v>84</v>
      </c>
      <c r="X245" s="1413">
        <f t="shared" ca="1" si="111"/>
        <v>87</v>
      </c>
      <c r="Y245" s="1413">
        <f t="shared" ca="1" si="111"/>
        <v>87</v>
      </c>
      <c r="Z245" s="1413">
        <f t="shared" ca="1" si="111"/>
        <v>88</v>
      </c>
      <c r="AA245" s="1413">
        <f t="shared" ca="1" si="111"/>
        <v>90</v>
      </c>
      <c r="AB245" s="1413">
        <f t="shared" ca="1" si="111"/>
        <v>92</v>
      </c>
      <c r="AC245" s="1413">
        <f t="shared" ca="1" si="111"/>
        <v>92</v>
      </c>
      <c r="AD245" s="1413">
        <f t="shared" ca="1" si="112"/>
        <v>76</v>
      </c>
      <c r="AE245" s="1413">
        <f t="shared" ca="1" si="112"/>
        <v>66</v>
      </c>
      <c r="AF245" s="1413">
        <f t="shared" ca="1" si="112"/>
        <v>50</v>
      </c>
    </row>
    <row r="246" spans="3:32">
      <c r="C246" t="s">
        <v>220</v>
      </c>
      <c r="H246" s="1412">
        <f>IFERROR(VLOOKUP(C246,Assumptions_Dashboard!$C$38:$D$72,2,FALSE),0)</f>
        <v>600000</v>
      </c>
      <c r="I246" s="1281"/>
      <c r="J246" s="1413">
        <f t="shared" ca="1" si="110"/>
        <v>0</v>
      </c>
      <c r="K246" s="1413">
        <f t="shared" ca="1" si="110"/>
        <v>0</v>
      </c>
      <c r="L246" s="1413">
        <f t="shared" ca="1" si="110"/>
        <v>0</v>
      </c>
      <c r="M246" s="1413">
        <f t="shared" ca="1" si="110"/>
        <v>0</v>
      </c>
      <c r="N246" s="1413">
        <f t="shared" ca="1" si="110"/>
        <v>135</v>
      </c>
      <c r="O246" s="1413">
        <f t="shared" ca="1" si="110"/>
        <v>136</v>
      </c>
      <c r="P246" s="1413">
        <f t="shared" ca="1" si="110"/>
        <v>161</v>
      </c>
      <c r="Q246" s="1413">
        <f t="shared" ca="1" si="110"/>
        <v>163</v>
      </c>
      <c r="R246" s="1413">
        <f t="shared" ca="1" si="110"/>
        <v>165</v>
      </c>
      <c r="S246" s="1413">
        <f t="shared" ca="1" si="110"/>
        <v>165</v>
      </c>
      <c r="T246" s="1413">
        <f t="shared" ca="1" si="111"/>
        <v>165</v>
      </c>
      <c r="U246" s="1413">
        <f t="shared" ca="1" si="111"/>
        <v>165</v>
      </c>
      <c r="V246" s="1413">
        <f t="shared" ca="1" si="111"/>
        <v>165</v>
      </c>
      <c r="W246" s="1413">
        <f t="shared" ca="1" si="111"/>
        <v>165</v>
      </c>
      <c r="X246" s="1413">
        <f t="shared" ca="1" si="111"/>
        <v>165</v>
      </c>
      <c r="Y246" s="1413">
        <f t="shared" ca="1" si="111"/>
        <v>165</v>
      </c>
      <c r="Z246" s="1413">
        <f t="shared" ca="1" si="111"/>
        <v>165</v>
      </c>
      <c r="AA246" s="1413">
        <f t="shared" ca="1" si="111"/>
        <v>165</v>
      </c>
      <c r="AB246" s="1413">
        <f t="shared" ca="1" si="111"/>
        <v>165</v>
      </c>
      <c r="AC246" s="1413">
        <f t="shared" ca="1" si="111"/>
        <v>163</v>
      </c>
      <c r="AD246" s="1413">
        <f t="shared" ca="1" si="112"/>
        <v>160</v>
      </c>
      <c r="AE246" s="1413">
        <f t="shared" ca="1" si="112"/>
        <v>138</v>
      </c>
      <c r="AF246" s="1413">
        <f t="shared" ca="1" si="112"/>
        <v>135</v>
      </c>
    </row>
    <row r="247" spans="3:32">
      <c r="C247" t="s">
        <v>223</v>
      </c>
      <c r="H247" s="1412">
        <f>IFERROR(VLOOKUP(C247,Assumptions_Dashboard!$C$38:$D$72,2,FALSE),0)</f>
        <v>420000</v>
      </c>
      <c r="I247" s="1281"/>
      <c r="J247" s="1413">
        <f t="shared" ca="1" si="110"/>
        <v>1</v>
      </c>
      <c r="K247" s="1413">
        <f t="shared" ca="1" si="110"/>
        <v>1</v>
      </c>
      <c r="L247" s="1413">
        <f t="shared" ca="1" si="110"/>
        <v>1</v>
      </c>
      <c r="M247" s="1413">
        <f t="shared" ca="1" si="110"/>
        <v>1</v>
      </c>
      <c r="N247" s="1413">
        <f t="shared" ca="1" si="110"/>
        <v>42</v>
      </c>
      <c r="O247" s="1413">
        <f t="shared" ca="1" si="110"/>
        <v>42</v>
      </c>
      <c r="P247" s="1413">
        <f t="shared" ca="1" si="110"/>
        <v>42</v>
      </c>
      <c r="Q247" s="1413">
        <f t="shared" ca="1" si="110"/>
        <v>42</v>
      </c>
      <c r="R247" s="1413">
        <f t="shared" ca="1" si="110"/>
        <v>42</v>
      </c>
      <c r="S247" s="1413">
        <f t="shared" ca="1" si="110"/>
        <v>42</v>
      </c>
      <c r="T247" s="1413">
        <f t="shared" ca="1" si="111"/>
        <v>42</v>
      </c>
      <c r="U247" s="1413">
        <f t="shared" ca="1" si="111"/>
        <v>42</v>
      </c>
      <c r="V247" s="1413">
        <f t="shared" ca="1" si="111"/>
        <v>42</v>
      </c>
      <c r="W247" s="1413">
        <f t="shared" ca="1" si="111"/>
        <v>42</v>
      </c>
      <c r="X247" s="1413">
        <f t="shared" ca="1" si="111"/>
        <v>42</v>
      </c>
      <c r="Y247" s="1413">
        <f t="shared" ca="1" si="111"/>
        <v>42</v>
      </c>
      <c r="Z247" s="1413">
        <f t="shared" ca="1" si="111"/>
        <v>42</v>
      </c>
      <c r="AA247" s="1413">
        <f t="shared" ca="1" si="111"/>
        <v>42</v>
      </c>
      <c r="AB247" s="1413">
        <f t="shared" ca="1" si="111"/>
        <v>42</v>
      </c>
      <c r="AC247" s="1413">
        <f t="shared" ca="1" si="111"/>
        <v>42</v>
      </c>
      <c r="AD247" s="1413">
        <f t="shared" ca="1" si="112"/>
        <v>42</v>
      </c>
      <c r="AE247" s="1413">
        <f t="shared" ca="1" si="112"/>
        <v>42</v>
      </c>
      <c r="AF247" s="1413">
        <f t="shared" ca="1" si="112"/>
        <v>42</v>
      </c>
    </row>
    <row r="248" spans="3:32">
      <c r="C248" t="s">
        <v>226</v>
      </c>
      <c r="H248" s="1412">
        <f>IFERROR(VLOOKUP(C248,Assumptions_Dashboard!$C$38:$D$72,2,FALSE),0)</f>
        <v>360000</v>
      </c>
      <c r="I248" s="1281"/>
      <c r="J248" s="1413">
        <f t="shared" ca="1" si="110"/>
        <v>0</v>
      </c>
      <c r="K248" s="1413">
        <f t="shared" ca="1" si="110"/>
        <v>0</v>
      </c>
      <c r="L248" s="1413">
        <f t="shared" ca="1" si="110"/>
        <v>0</v>
      </c>
      <c r="M248" s="1413">
        <f t="shared" ca="1" si="110"/>
        <v>0</v>
      </c>
      <c r="N248" s="1413">
        <f t="shared" ca="1" si="110"/>
        <v>7</v>
      </c>
      <c r="O248" s="1413">
        <f t="shared" ca="1" si="110"/>
        <v>7</v>
      </c>
      <c r="P248" s="1413">
        <f t="shared" ca="1" si="110"/>
        <v>7</v>
      </c>
      <c r="Q248" s="1413">
        <f t="shared" ca="1" si="110"/>
        <v>7</v>
      </c>
      <c r="R248" s="1413">
        <f t="shared" ca="1" si="110"/>
        <v>7</v>
      </c>
      <c r="S248" s="1413">
        <f t="shared" ca="1" si="110"/>
        <v>7</v>
      </c>
      <c r="T248" s="1413">
        <f t="shared" ca="1" si="111"/>
        <v>7</v>
      </c>
      <c r="U248" s="1413">
        <f t="shared" ca="1" si="111"/>
        <v>7</v>
      </c>
      <c r="V248" s="1413">
        <f t="shared" ca="1" si="111"/>
        <v>7</v>
      </c>
      <c r="W248" s="1413">
        <f t="shared" ca="1" si="111"/>
        <v>7</v>
      </c>
      <c r="X248" s="1413">
        <f t="shared" ca="1" si="111"/>
        <v>7</v>
      </c>
      <c r="Y248" s="1413">
        <f t="shared" ca="1" si="111"/>
        <v>7</v>
      </c>
      <c r="Z248" s="1413">
        <f t="shared" ca="1" si="111"/>
        <v>7</v>
      </c>
      <c r="AA248" s="1413">
        <f t="shared" ca="1" si="111"/>
        <v>7</v>
      </c>
      <c r="AB248" s="1413">
        <f t="shared" ca="1" si="111"/>
        <v>7</v>
      </c>
      <c r="AC248" s="1413">
        <f t="shared" ca="1" si="111"/>
        <v>7</v>
      </c>
      <c r="AD248" s="1413">
        <f t="shared" ca="1" si="112"/>
        <v>7</v>
      </c>
      <c r="AE248" s="1413">
        <f t="shared" ca="1" si="112"/>
        <v>7</v>
      </c>
      <c r="AF248" s="1413">
        <f t="shared" ca="1" si="112"/>
        <v>7</v>
      </c>
    </row>
    <row r="249" spans="3:32">
      <c r="C249" t="s">
        <v>228</v>
      </c>
      <c r="H249" s="1412">
        <f>IFERROR(VLOOKUP(C249,Assumptions_Dashboard!$C$38:$D$72,2,FALSE),0)</f>
        <v>300000</v>
      </c>
      <c r="I249" s="1281"/>
      <c r="J249" s="1413">
        <f t="shared" ca="1" si="110"/>
        <v>0</v>
      </c>
      <c r="K249" s="1413">
        <f t="shared" ca="1" si="110"/>
        <v>0</v>
      </c>
      <c r="L249" s="1413">
        <f t="shared" ca="1" si="110"/>
        <v>0</v>
      </c>
      <c r="M249" s="1413">
        <f t="shared" ca="1" si="110"/>
        <v>0</v>
      </c>
      <c r="N249" s="1413">
        <f t="shared" ca="1" si="110"/>
        <v>44</v>
      </c>
      <c r="O249" s="1413">
        <f t="shared" ca="1" si="110"/>
        <v>44</v>
      </c>
      <c r="P249" s="1413">
        <f t="shared" ca="1" si="110"/>
        <v>49</v>
      </c>
      <c r="Q249" s="1413">
        <f t="shared" ca="1" si="110"/>
        <v>49</v>
      </c>
      <c r="R249" s="1413">
        <f t="shared" ca="1" si="110"/>
        <v>49</v>
      </c>
      <c r="S249" s="1413">
        <f t="shared" ca="1" si="110"/>
        <v>49</v>
      </c>
      <c r="T249" s="1413">
        <f t="shared" ca="1" si="111"/>
        <v>49</v>
      </c>
      <c r="U249" s="1413">
        <f t="shared" ca="1" si="111"/>
        <v>49</v>
      </c>
      <c r="V249" s="1413">
        <f t="shared" ca="1" si="111"/>
        <v>49</v>
      </c>
      <c r="W249" s="1413">
        <f t="shared" ca="1" si="111"/>
        <v>49</v>
      </c>
      <c r="X249" s="1413">
        <f t="shared" ca="1" si="111"/>
        <v>49</v>
      </c>
      <c r="Y249" s="1413">
        <f t="shared" ca="1" si="111"/>
        <v>49</v>
      </c>
      <c r="Z249" s="1413">
        <f t="shared" ca="1" si="111"/>
        <v>49</v>
      </c>
      <c r="AA249" s="1413">
        <f t="shared" ca="1" si="111"/>
        <v>49</v>
      </c>
      <c r="AB249" s="1413">
        <f t="shared" ca="1" si="111"/>
        <v>49</v>
      </c>
      <c r="AC249" s="1413">
        <f t="shared" ca="1" si="111"/>
        <v>49</v>
      </c>
      <c r="AD249" s="1413">
        <f t="shared" ca="1" si="112"/>
        <v>49</v>
      </c>
      <c r="AE249" s="1413">
        <f t="shared" ca="1" si="112"/>
        <v>44</v>
      </c>
      <c r="AF249" s="1413">
        <f t="shared" ca="1" si="112"/>
        <v>44</v>
      </c>
    </row>
    <row r="250" spans="3:32">
      <c r="C250" t="s">
        <v>230</v>
      </c>
      <c r="H250" s="1412">
        <f>IFERROR(VLOOKUP(C250,Assumptions_Dashboard!$C$38:$D$72,2,FALSE),0)</f>
        <v>240000</v>
      </c>
      <c r="I250" s="1281"/>
      <c r="J250" s="1413">
        <f t="shared" ca="1" si="110"/>
        <v>0</v>
      </c>
      <c r="K250" s="1413">
        <f t="shared" ca="1" si="110"/>
        <v>0</v>
      </c>
      <c r="L250" s="1413">
        <f t="shared" ca="1" si="110"/>
        <v>2</v>
      </c>
      <c r="M250" s="1413">
        <f t="shared" ca="1" si="110"/>
        <v>2</v>
      </c>
      <c r="N250" s="1413">
        <f t="shared" ca="1" si="110"/>
        <v>181</v>
      </c>
      <c r="O250" s="1413">
        <f t="shared" ca="1" si="110"/>
        <v>181</v>
      </c>
      <c r="P250" s="1413">
        <f t="shared" ca="1" si="110"/>
        <v>181</v>
      </c>
      <c r="Q250" s="1413">
        <f t="shared" ca="1" si="110"/>
        <v>181</v>
      </c>
      <c r="R250" s="1413">
        <f t="shared" ca="1" si="110"/>
        <v>181</v>
      </c>
      <c r="S250" s="1413">
        <f t="shared" ca="1" si="110"/>
        <v>181</v>
      </c>
      <c r="T250" s="1413">
        <f t="shared" ca="1" si="111"/>
        <v>181</v>
      </c>
      <c r="U250" s="1413">
        <f t="shared" ca="1" si="111"/>
        <v>181</v>
      </c>
      <c r="V250" s="1413">
        <f t="shared" ca="1" si="111"/>
        <v>181</v>
      </c>
      <c r="W250" s="1413">
        <f t="shared" ca="1" si="111"/>
        <v>181</v>
      </c>
      <c r="X250" s="1413">
        <f t="shared" ca="1" si="111"/>
        <v>181</v>
      </c>
      <c r="Y250" s="1413">
        <f t="shared" ca="1" si="111"/>
        <v>181</v>
      </c>
      <c r="Z250" s="1413">
        <f t="shared" ca="1" si="111"/>
        <v>181</v>
      </c>
      <c r="AA250" s="1413">
        <f t="shared" ca="1" si="111"/>
        <v>181</v>
      </c>
      <c r="AB250" s="1413">
        <f t="shared" ca="1" si="111"/>
        <v>181</v>
      </c>
      <c r="AC250" s="1413">
        <f t="shared" ca="1" si="111"/>
        <v>181</v>
      </c>
      <c r="AD250" s="1413">
        <f t="shared" ca="1" si="112"/>
        <v>181</v>
      </c>
      <c r="AE250" s="1413">
        <f t="shared" ca="1" si="112"/>
        <v>181</v>
      </c>
      <c r="AF250" s="1413">
        <f t="shared" ca="1" si="112"/>
        <v>181</v>
      </c>
    </row>
    <row r="251" spans="3:32">
      <c r="C251" t="s">
        <v>232</v>
      </c>
      <c r="H251" s="1412">
        <f>IFERROR(VLOOKUP(C251,Assumptions_Dashboard!$C$38:$D$72,2,FALSE),0)</f>
        <v>320000</v>
      </c>
      <c r="I251" s="1281"/>
      <c r="J251" s="1413">
        <f t="shared" ca="1" si="110"/>
        <v>0</v>
      </c>
      <c r="K251" s="1413">
        <f t="shared" ca="1" si="110"/>
        <v>0</v>
      </c>
      <c r="L251" s="1413">
        <f t="shared" ca="1" si="110"/>
        <v>0</v>
      </c>
      <c r="M251" s="1413">
        <f t="shared" ca="1" si="110"/>
        <v>0</v>
      </c>
      <c r="N251" s="1413">
        <f t="shared" ca="1" si="110"/>
        <v>9</v>
      </c>
      <c r="O251" s="1413">
        <f t="shared" ca="1" si="110"/>
        <v>9</v>
      </c>
      <c r="P251" s="1413">
        <f t="shared" ca="1" si="110"/>
        <v>9</v>
      </c>
      <c r="Q251" s="1413">
        <f t="shared" ca="1" si="110"/>
        <v>9</v>
      </c>
      <c r="R251" s="1413">
        <f t="shared" ca="1" si="110"/>
        <v>9</v>
      </c>
      <c r="S251" s="1413">
        <f t="shared" ca="1" si="110"/>
        <v>9</v>
      </c>
      <c r="T251" s="1413">
        <f t="shared" ca="1" si="111"/>
        <v>9</v>
      </c>
      <c r="U251" s="1413">
        <f t="shared" ca="1" si="111"/>
        <v>9</v>
      </c>
      <c r="V251" s="1413">
        <f t="shared" ca="1" si="111"/>
        <v>9</v>
      </c>
      <c r="W251" s="1413">
        <f t="shared" ca="1" si="111"/>
        <v>9</v>
      </c>
      <c r="X251" s="1413">
        <f t="shared" ca="1" si="111"/>
        <v>9</v>
      </c>
      <c r="Y251" s="1413">
        <f t="shared" ca="1" si="111"/>
        <v>9</v>
      </c>
      <c r="Z251" s="1413">
        <f t="shared" ca="1" si="111"/>
        <v>9</v>
      </c>
      <c r="AA251" s="1413">
        <f t="shared" ca="1" si="111"/>
        <v>9</v>
      </c>
      <c r="AB251" s="1413">
        <f t="shared" ca="1" si="111"/>
        <v>9</v>
      </c>
      <c r="AC251" s="1413">
        <f t="shared" ca="1" si="111"/>
        <v>9</v>
      </c>
      <c r="AD251" s="1413">
        <f t="shared" ca="1" si="112"/>
        <v>9</v>
      </c>
      <c r="AE251" s="1413">
        <f t="shared" ca="1" si="112"/>
        <v>9</v>
      </c>
      <c r="AF251" s="1413">
        <f t="shared" ca="1" si="112"/>
        <v>9</v>
      </c>
    </row>
    <row r="252" spans="3:32">
      <c r="C252" t="s">
        <v>234</v>
      </c>
      <c r="H252" s="1412">
        <f>IFERROR(VLOOKUP(C252,Assumptions_Dashboard!$C$38:$D$72,2,FALSE),0)</f>
        <v>300000</v>
      </c>
      <c r="I252" s="1281"/>
      <c r="J252" s="1414">
        <f t="shared" ca="1" si="110"/>
        <v>0</v>
      </c>
      <c r="K252" s="1414">
        <f t="shared" ca="1" si="110"/>
        <v>0</v>
      </c>
      <c r="L252" s="1414">
        <f t="shared" ca="1" si="110"/>
        <v>0</v>
      </c>
      <c r="M252" s="1414">
        <f t="shared" ca="1" si="110"/>
        <v>0</v>
      </c>
      <c r="N252" s="1414">
        <f t="shared" ca="1" si="110"/>
        <v>45</v>
      </c>
      <c r="O252" s="1414">
        <f t="shared" ca="1" si="110"/>
        <v>45</v>
      </c>
      <c r="P252" s="1414">
        <f t="shared" ca="1" si="110"/>
        <v>45</v>
      </c>
      <c r="Q252" s="1414">
        <f t="shared" ca="1" si="110"/>
        <v>45</v>
      </c>
      <c r="R252" s="1414">
        <f t="shared" ca="1" si="110"/>
        <v>45</v>
      </c>
      <c r="S252" s="1414">
        <f t="shared" ca="1" si="110"/>
        <v>45</v>
      </c>
      <c r="T252" s="1414">
        <f t="shared" ca="1" si="111"/>
        <v>45</v>
      </c>
      <c r="U252" s="1414">
        <f t="shared" ca="1" si="111"/>
        <v>45</v>
      </c>
      <c r="V252" s="1414">
        <f t="shared" ca="1" si="111"/>
        <v>45</v>
      </c>
      <c r="W252" s="1414">
        <f t="shared" ca="1" si="111"/>
        <v>45</v>
      </c>
      <c r="X252" s="1414">
        <f t="shared" ca="1" si="111"/>
        <v>45</v>
      </c>
      <c r="Y252" s="1414">
        <f t="shared" ca="1" si="111"/>
        <v>45</v>
      </c>
      <c r="Z252" s="1414">
        <f t="shared" ca="1" si="111"/>
        <v>45</v>
      </c>
      <c r="AA252" s="1414">
        <f t="shared" ca="1" si="111"/>
        <v>45</v>
      </c>
      <c r="AB252" s="1414">
        <f t="shared" ca="1" si="111"/>
        <v>45</v>
      </c>
      <c r="AC252" s="1414">
        <f t="shared" ca="1" si="111"/>
        <v>45</v>
      </c>
      <c r="AD252" s="1414">
        <f t="shared" ca="1" si="112"/>
        <v>45</v>
      </c>
      <c r="AE252" s="1414">
        <f t="shared" ca="1" si="112"/>
        <v>45</v>
      </c>
      <c r="AF252" s="1414">
        <f t="shared" ca="1" si="112"/>
        <v>45</v>
      </c>
    </row>
    <row r="253" spans="3:32" ht="14" thickBot="1">
      <c r="C253" s="240" t="s">
        <v>267</v>
      </c>
      <c r="D253" s="242"/>
      <c r="E253" s="242"/>
      <c r="F253" s="242"/>
      <c r="G253" s="242"/>
      <c r="H253" s="242"/>
      <c r="I253" s="242"/>
      <c r="J253" s="1415">
        <f t="shared" ref="J253:AF253" ca="1" si="113">SUM(J230:J252)</f>
        <v>28</v>
      </c>
      <c r="K253" s="1415">
        <f t="shared" ca="1" si="113"/>
        <v>29</v>
      </c>
      <c r="L253" s="1415">
        <f t="shared" ca="1" si="113"/>
        <v>34</v>
      </c>
      <c r="M253" s="1415">
        <f t="shared" ca="1" si="113"/>
        <v>40</v>
      </c>
      <c r="N253" s="1415">
        <f t="shared" ca="1" si="113"/>
        <v>746</v>
      </c>
      <c r="O253" s="1415">
        <f t="shared" ca="1" si="113"/>
        <v>750</v>
      </c>
      <c r="P253" s="1415">
        <f t="shared" ca="1" si="113"/>
        <v>798</v>
      </c>
      <c r="Q253" s="1415">
        <f t="shared" ca="1" si="113"/>
        <v>871</v>
      </c>
      <c r="R253" s="1415">
        <f t="shared" ca="1" si="113"/>
        <v>880</v>
      </c>
      <c r="S253" s="1415">
        <f t="shared" ca="1" si="113"/>
        <v>915</v>
      </c>
      <c r="T253" s="1415">
        <f t="shared" ca="1" si="113"/>
        <v>917</v>
      </c>
      <c r="U253" s="1415">
        <f t="shared" ca="1" si="113"/>
        <v>900</v>
      </c>
      <c r="V253" s="1415">
        <f t="shared" ca="1" si="113"/>
        <v>907</v>
      </c>
      <c r="W253" s="1415">
        <f t="shared" ca="1" si="113"/>
        <v>900</v>
      </c>
      <c r="X253" s="1415">
        <f t="shared" ca="1" si="113"/>
        <v>914</v>
      </c>
      <c r="Y253" s="1415">
        <f t="shared" ca="1" si="113"/>
        <v>888</v>
      </c>
      <c r="Z253" s="1415">
        <f t="shared" ca="1" si="113"/>
        <v>882</v>
      </c>
      <c r="AA253" s="1415">
        <f t="shared" ca="1" si="113"/>
        <v>897</v>
      </c>
      <c r="AB253" s="1415">
        <f t="shared" ca="1" si="113"/>
        <v>899</v>
      </c>
      <c r="AC253" s="1415">
        <f t="shared" ca="1" si="113"/>
        <v>918</v>
      </c>
      <c r="AD253" s="1415">
        <f t="shared" ca="1" si="113"/>
        <v>856</v>
      </c>
      <c r="AE253" s="1415">
        <f t="shared" ca="1" si="113"/>
        <v>774</v>
      </c>
      <c r="AF253" s="1415">
        <f t="shared" ca="1" si="113"/>
        <v>745</v>
      </c>
    </row>
    <row r="254" spans="3:32" ht="14" thickTop="1">
      <c r="H254" s="366"/>
    </row>
    <row r="255" spans="3:32">
      <c r="H255" s="366"/>
    </row>
    <row r="256" spans="3:32">
      <c r="C256" s="191" t="s">
        <v>1478</v>
      </c>
    </row>
    <row r="257" spans="3:32">
      <c r="C257" s="1281" t="s">
        <v>177</v>
      </c>
      <c r="D257" s="1281"/>
      <c r="E257" s="1281"/>
      <c r="F257" s="1281"/>
      <c r="G257" s="1281"/>
      <c r="H257" s="1412">
        <f>IFERROR(VLOOKUP(C257,Assumptions_Dashboard!$C$38:$D$72,2,FALSE),0)</f>
        <v>6000000</v>
      </c>
      <c r="I257" s="1281"/>
      <c r="J257" s="1413">
        <f ca="1">$H257*J230/10000000</f>
        <v>0.6</v>
      </c>
      <c r="K257" s="1413">
        <f t="shared" ref="K257:AF266" ca="1" si="114">$H257*K230/10000000</f>
        <v>0.6</v>
      </c>
      <c r="L257" s="1413">
        <f t="shared" ca="1" si="114"/>
        <v>0.6</v>
      </c>
      <c r="M257" s="1413">
        <f t="shared" ca="1" si="114"/>
        <v>0.6</v>
      </c>
      <c r="N257" s="1413">
        <f t="shared" ca="1" si="114"/>
        <v>0.6</v>
      </c>
      <c r="O257" s="1413">
        <f t="shared" ca="1" si="114"/>
        <v>0.6</v>
      </c>
      <c r="P257" s="1413">
        <f t="shared" ca="1" si="114"/>
        <v>0.6</v>
      </c>
      <c r="Q257" s="1413">
        <f t="shared" ca="1" si="114"/>
        <v>0.6</v>
      </c>
      <c r="R257" s="1413">
        <f t="shared" ca="1" si="114"/>
        <v>0.6</v>
      </c>
      <c r="S257" s="1413">
        <f t="shared" ca="1" si="114"/>
        <v>0.6</v>
      </c>
      <c r="T257" s="1413">
        <f t="shared" ca="1" si="114"/>
        <v>0.6</v>
      </c>
      <c r="U257" s="1413">
        <f t="shared" ca="1" si="114"/>
        <v>0.6</v>
      </c>
      <c r="V257" s="1413">
        <f t="shared" ca="1" si="114"/>
        <v>0.6</v>
      </c>
      <c r="W257" s="1413">
        <f t="shared" ca="1" si="114"/>
        <v>0.6</v>
      </c>
      <c r="X257" s="1413">
        <f t="shared" ca="1" si="114"/>
        <v>0.6</v>
      </c>
      <c r="Y257" s="1413">
        <f t="shared" ca="1" si="114"/>
        <v>0.6</v>
      </c>
      <c r="Z257" s="1413">
        <f t="shared" ca="1" si="114"/>
        <v>0.6</v>
      </c>
      <c r="AA257" s="1413">
        <f t="shared" ca="1" si="114"/>
        <v>0.6</v>
      </c>
      <c r="AB257" s="1413">
        <f t="shared" ca="1" si="114"/>
        <v>0.6</v>
      </c>
      <c r="AC257" s="1413">
        <f t="shared" ca="1" si="114"/>
        <v>0.6</v>
      </c>
      <c r="AD257" s="1413">
        <f t="shared" ca="1" si="114"/>
        <v>0.6</v>
      </c>
      <c r="AE257" s="1413">
        <f t="shared" ca="1" si="114"/>
        <v>0.6</v>
      </c>
      <c r="AF257" s="1413">
        <f t="shared" ca="1" si="114"/>
        <v>0.6</v>
      </c>
    </row>
    <row r="258" spans="3:32">
      <c r="C258" t="s">
        <v>180</v>
      </c>
      <c r="H258" s="1412">
        <f>IFERROR(VLOOKUP(C258,Assumptions_Dashboard!$C$38:$D$72,2,FALSE),0)</f>
        <v>4500000</v>
      </c>
      <c r="I258" s="1281"/>
      <c r="J258" s="1413">
        <f t="shared" ref="J258:Y279" ca="1" si="115">$H258*J231/10000000</f>
        <v>0.45</v>
      </c>
      <c r="K258" s="1413">
        <f t="shared" ca="1" si="115"/>
        <v>0.45</v>
      </c>
      <c r="L258" s="1413">
        <f t="shared" ca="1" si="115"/>
        <v>0.45</v>
      </c>
      <c r="M258" s="1413">
        <f t="shared" ca="1" si="115"/>
        <v>0.9</v>
      </c>
      <c r="N258" s="1413">
        <f t="shared" ca="1" si="115"/>
        <v>0.9</v>
      </c>
      <c r="O258" s="1413">
        <f t="shared" ca="1" si="115"/>
        <v>0.9</v>
      </c>
      <c r="P258" s="1413">
        <f t="shared" ca="1" si="115"/>
        <v>0.9</v>
      </c>
      <c r="Q258" s="1413">
        <f t="shared" ca="1" si="115"/>
        <v>0.9</v>
      </c>
      <c r="R258" s="1413">
        <f t="shared" ca="1" si="115"/>
        <v>0.9</v>
      </c>
      <c r="S258" s="1413">
        <f t="shared" ca="1" si="115"/>
        <v>0.9</v>
      </c>
      <c r="T258" s="1413">
        <f t="shared" ca="1" si="115"/>
        <v>0.9</v>
      </c>
      <c r="U258" s="1413">
        <f t="shared" ca="1" si="115"/>
        <v>0.9</v>
      </c>
      <c r="V258" s="1413">
        <f t="shared" ca="1" si="115"/>
        <v>0.9</v>
      </c>
      <c r="W258" s="1413">
        <f t="shared" ca="1" si="115"/>
        <v>0.9</v>
      </c>
      <c r="X258" s="1413">
        <f t="shared" ca="1" si="115"/>
        <v>0.9</v>
      </c>
      <c r="Y258" s="1413">
        <f t="shared" ca="1" si="115"/>
        <v>0.9</v>
      </c>
      <c r="Z258" s="1413">
        <f t="shared" ca="1" si="114"/>
        <v>0.9</v>
      </c>
      <c r="AA258" s="1413">
        <f t="shared" ca="1" si="114"/>
        <v>0.9</v>
      </c>
      <c r="AB258" s="1413">
        <f t="shared" ca="1" si="114"/>
        <v>0.9</v>
      </c>
      <c r="AC258" s="1413">
        <f t="shared" ca="1" si="114"/>
        <v>0.9</v>
      </c>
      <c r="AD258" s="1413">
        <f t="shared" ca="1" si="114"/>
        <v>0.9</v>
      </c>
      <c r="AE258" s="1413">
        <f t="shared" ca="1" si="114"/>
        <v>0.9</v>
      </c>
      <c r="AF258" s="1413">
        <f t="shared" ca="1" si="114"/>
        <v>0.9</v>
      </c>
    </row>
    <row r="259" spans="3:32">
      <c r="C259" t="s">
        <v>182</v>
      </c>
      <c r="H259" s="1412">
        <f>IFERROR(VLOOKUP(C259,Assumptions_Dashboard!$C$38:$D$72,2,FALSE),0)</f>
        <v>4000000</v>
      </c>
      <c r="I259" s="1281"/>
      <c r="J259" s="1413">
        <f t="shared" ca="1" si="115"/>
        <v>0</v>
      </c>
      <c r="K259" s="1413">
        <f t="shared" ca="1" si="114"/>
        <v>0</v>
      </c>
      <c r="L259" s="1413">
        <f t="shared" ca="1" si="114"/>
        <v>0</v>
      </c>
      <c r="M259" s="1413">
        <f t="shared" ca="1" si="114"/>
        <v>0</v>
      </c>
      <c r="N259" s="1413">
        <f t="shared" ca="1" si="114"/>
        <v>0</v>
      </c>
      <c r="O259" s="1413">
        <f t="shared" ca="1" si="114"/>
        <v>0</v>
      </c>
      <c r="P259" s="1413">
        <f t="shared" ca="1" si="114"/>
        <v>0</v>
      </c>
      <c r="Q259" s="1413">
        <f t="shared" ca="1" si="114"/>
        <v>0</v>
      </c>
      <c r="R259" s="1413">
        <f t="shared" ca="1" si="114"/>
        <v>0</v>
      </c>
      <c r="S259" s="1413">
        <f t="shared" ca="1" si="114"/>
        <v>0</v>
      </c>
      <c r="T259" s="1413">
        <f t="shared" ca="1" si="114"/>
        <v>0</v>
      </c>
      <c r="U259" s="1413">
        <f t="shared" ca="1" si="114"/>
        <v>0</v>
      </c>
      <c r="V259" s="1413">
        <f t="shared" ca="1" si="114"/>
        <v>0</v>
      </c>
      <c r="W259" s="1413">
        <f t="shared" ca="1" si="114"/>
        <v>0</v>
      </c>
      <c r="X259" s="1413">
        <f t="shared" ca="1" si="114"/>
        <v>0</v>
      </c>
      <c r="Y259" s="1413">
        <f t="shared" ca="1" si="114"/>
        <v>0</v>
      </c>
      <c r="Z259" s="1413">
        <f t="shared" ca="1" si="114"/>
        <v>0</v>
      </c>
      <c r="AA259" s="1413">
        <f t="shared" ca="1" si="114"/>
        <v>0</v>
      </c>
      <c r="AB259" s="1413">
        <f t="shared" ca="1" si="114"/>
        <v>0</v>
      </c>
      <c r="AC259" s="1413">
        <f t="shared" ca="1" si="114"/>
        <v>0</v>
      </c>
      <c r="AD259" s="1413">
        <f t="shared" ca="1" si="114"/>
        <v>0</v>
      </c>
      <c r="AE259" s="1413">
        <f t="shared" ca="1" si="114"/>
        <v>0</v>
      </c>
      <c r="AF259" s="1413">
        <f t="shared" ca="1" si="114"/>
        <v>0</v>
      </c>
    </row>
    <row r="260" spans="3:32">
      <c r="C260" t="s">
        <v>184</v>
      </c>
      <c r="H260" s="1412">
        <f>IFERROR(VLOOKUP(C260,Assumptions_Dashboard!$C$38:$D$72,2,FALSE),0)</f>
        <v>3500000</v>
      </c>
      <c r="I260" s="1281"/>
      <c r="J260" s="1413">
        <f t="shared" ca="1" si="115"/>
        <v>0.35</v>
      </c>
      <c r="K260" s="1413">
        <f t="shared" ca="1" si="114"/>
        <v>0.35</v>
      </c>
      <c r="L260" s="1413">
        <f t="shared" ca="1" si="114"/>
        <v>1.05</v>
      </c>
      <c r="M260" s="1413">
        <f t="shared" ca="1" si="114"/>
        <v>1.05</v>
      </c>
      <c r="N260" s="1413">
        <f t="shared" ca="1" si="114"/>
        <v>1.4</v>
      </c>
      <c r="O260" s="1413">
        <f t="shared" ca="1" si="114"/>
        <v>1.4</v>
      </c>
      <c r="P260" s="1413">
        <f t="shared" ca="1" si="114"/>
        <v>1.4</v>
      </c>
      <c r="Q260" s="1413">
        <f t="shared" ca="1" si="114"/>
        <v>1.4</v>
      </c>
      <c r="R260" s="1413">
        <f t="shared" ca="1" si="114"/>
        <v>1.4</v>
      </c>
      <c r="S260" s="1413">
        <f t="shared" ca="1" si="114"/>
        <v>1.4</v>
      </c>
      <c r="T260" s="1413">
        <f t="shared" ca="1" si="114"/>
        <v>1.4</v>
      </c>
      <c r="U260" s="1413">
        <f t="shared" ca="1" si="114"/>
        <v>1.4</v>
      </c>
      <c r="V260" s="1413">
        <f t="shared" ca="1" si="114"/>
        <v>1.4</v>
      </c>
      <c r="W260" s="1413">
        <f t="shared" ca="1" si="114"/>
        <v>1.4</v>
      </c>
      <c r="X260" s="1413">
        <f t="shared" ca="1" si="114"/>
        <v>1.4</v>
      </c>
      <c r="Y260" s="1413">
        <f t="shared" ca="1" si="114"/>
        <v>1.4</v>
      </c>
      <c r="Z260" s="1413">
        <f t="shared" ca="1" si="114"/>
        <v>1.4</v>
      </c>
      <c r="AA260" s="1413">
        <f t="shared" ca="1" si="114"/>
        <v>1.4</v>
      </c>
      <c r="AB260" s="1413">
        <f t="shared" ca="1" si="114"/>
        <v>1.4</v>
      </c>
      <c r="AC260" s="1413">
        <f t="shared" ca="1" si="114"/>
        <v>1.4</v>
      </c>
      <c r="AD260" s="1413">
        <f t="shared" ca="1" si="114"/>
        <v>1.4</v>
      </c>
      <c r="AE260" s="1413">
        <f t="shared" ca="1" si="114"/>
        <v>1.4</v>
      </c>
      <c r="AF260" s="1413">
        <f t="shared" ca="1" si="114"/>
        <v>1.4</v>
      </c>
    </row>
    <row r="261" spans="3:32">
      <c r="C261" t="s">
        <v>186</v>
      </c>
      <c r="H261" s="1412">
        <f>IFERROR(VLOOKUP(C261,Assumptions_Dashboard!$C$38:$D$72,2,FALSE),0)</f>
        <v>2500000</v>
      </c>
      <c r="I261" s="1281"/>
      <c r="J261" s="1413">
        <f t="shared" ca="1" si="115"/>
        <v>1.25</v>
      </c>
      <c r="K261" s="1413">
        <f t="shared" ca="1" si="114"/>
        <v>1.25</v>
      </c>
      <c r="L261" s="1413">
        <f t="shared" ca="1" si="114"/>
        <v>1.75</v>
      </c>
      <c r="M261" s="1413">
        <f t="shared" ca="1" si="114"/>
        <v>1.75</v>
      </c>
      <c r="N261" s="1413">
        <f t="shared" ca="1" si="114"/>
        <v>2.5</v>
      </c>
      <c r="O261" s="1413">
        <f t="shared" ca="1" si="114"/>
        <v>2.5</v>
      </c>
      <c r="P261" s="1413">
        <f t="shared" ca="1" si="114"/>
        <v>2.5</v>
      </c>
      <c r="Q261" s="1413">
        <f t="shared" ca="1" si="114"/>
        <v>2.5</v>
      </c>
      <c r="R261" s="1413">
        <f t="shared" ca="1" si="114"/>
        <v>2.5</v>
      </c>
      <c r="S261" s="1413">
        <f t="shared" ca="1" si="114"/>
        <v>2.5</v>
      </c>
      <c r="T261" s="1413">
        <f t="shared" ca="1" si="114"/>
        <v>3</v>
      </c>
      <c r="U261" s="1413">
        <f t="shared" ca="1" si="114"/>
        <v>2.5</v>
      </c>
      <c r="V261" s="1413">
        <f t="shared" ca="1" si="114"/>
        <v>2.5</v>
      </c>
      <c r="W261" s="1413">
        <f t="shared" ca="1" si="114"/>
        <v>2.5</v>
      </c>
      <c r="X261" s="1413">
        <f t="shared" ca="1" si="114"/>
        <v>2.5</v>
      </c>
      <c r="Y261" s="1413">
        <f t="shared" ca="1" si="114"/>
        <v>2.5</v>
      </c>
      <c r="Z261" s="1413">
        <f t="shared" ca="1" si="114"/>
        <v>2.5</v>
      </c>
      <c r="AA261" s="1413">
        <f t="shared" ca="1" si="114"/>
        <v>2.5</v>
      </c>
      <c r="AB261" s="1413">
        <f t="shared" ca="1" si="114"/>
        <v>2.5</v>
      </c>
      <c r="AC261" s="1413">
        <f t="shared" ca="1" si="114"/>
        <v>2.5</v>
      </c>
      <c r="AD261" s="1413">
        <f t="shared" ca="1" si="114"/>
        <v>2.5</v>
      </c>
      <c r="AE261" s="1413">
        <f t="shared" ca="1" si="114"/>
        <v>2.5</v>
      </c>
      <c r="AF261" s="1413">
        <f t="shared" ca="1" si="114"/>
        <v>2.25</v>
      </c>
    </row>
    <row r="262" spans="3:32">
      <c r="C262" t="s">
        <v>188</v>
      </c>
      <c r="H262" s="1412">
        <f>IFERROR(VLOOKUP(C262,Assumptions_Dashboard!$C$38:$D$72,2,FALSE),0)</f>
        <v>1800000</v>
      </c>
      <c r="I262" s="1281"/>
      <c r="J262" s="1413">
        <f t="shared" ca="1" si="115"/>
        <v>0.72</v>
      </c>
      <c r="K262" s="1413">
        <f t="shared" ca="1" si="114"/>
        <v>0.72</v>
      </c>
      <c r="L262" s="1413">
        <f t="shared" ca="1" si="114"/>
        <v>0.72</v>
      </c>
      <c r="M262" s="1413">
        <f t="shared" ca="1" si="114"/>
        <v>0.9</v>
      </c>
      <c r="N262" s="1413">
        <f t="shared" ca="1" si="114"/>
        <v>0.9</v>
      </c>
      <c r="O262" s="1413">
        <f t="shared" ca="1" si="114"/>
        <v>0.9</v>
      </c>
      <c r="P262" s="1413">
        <f t="shared" ca="1" si="114"/>
        <v>1.08</v>
      </c>
      <c r="Q262" s="1413">
        <f t="shared" ca="1" si="114"/>
        <v>1.08</v>
      </c>
      <c r="R262" s="1413">
        <f t="shared" ca="1" si="114"/>
        <v>1.08</v>
      </c>
      <c r="S262" s="1413">
        <f t="shared" ca="1" si="114"/>
        <v>0.9</v>
      </c>
      <c r="T262" s="1413">
        <f t="shared" ca="1" si="114"/>
        <v>0.9</v>
      </c>
      <c r="U262" s="1413">
        <f t="shared" ca="1" si="114"/>
        <v>0.9</v>
      </c>
      <c r="V262" s="1413">
        <f t="shared" ca="1" si="114"/>
        <v>0.9</v>
      </c>
      <c r="W262" s="1413">
        <f t="shared" ca="1" si="114"/>
        <v>0.9</v>
      </c>
      <c r="X262" s="1413">
        <f t="shared" ca="1" si="114"/>
        <v>0.9</v>
      </c>
      <c r="Y262" s="1413">
        <f t="shared" ca="1" si="114"/>
        <v>0.9</v>
      </c>
      <c r="Z262" s="1413">
        <f t="shared" ca="1" si="114"/>
        <v>0.9</v>
      </c>
      <c r="AA262" s="1413">
        <f t="shared" ca="1" si="114"/>
        <v>0.9</v>
      </c>
      <c r="AB262" s="1413">
        <f t="shared" ca="1" si="114"/>
        <v>0.9</v>
      </c>
      <c r="AC262" s="1413">
        <f t="shared" ca="1" si="114"/>
        <v>0.9</v>
      </c>
      <c r="AD262" s="1413">
        <f t="shared" ca="1" si="114"/>
        <v>0.9</v>
      </c>
      <c r="AE262" s="1413">
        <f t="shared" ca="1" si="114"/>
        <v>0.72</v>
      </c>
      <c r="AF262" s="1413">
        <f t="shared" ca="1" si="114"/>
        <v>0.72</v>
      </c>
    </row>
    <row r="263" spans="3:32">
      <c r="C263" t="s">
        <v>190</v>
      </c>
      <c r="H263" s="1412">
        <f>IFERROR(VLOOKUP(C263,Assumptions_Dashboard!$C$38:$D$72,2,FALSE),0)</f>
        <v>1500000</v>
      </c>
      <c r="I263" s="1281"/>
      <c r="J263" s="1413">
        <f t="shared" ca="1" si="115"/>
        <v>0</v>
      </c>
      <c r="K263" s="1413">
        <f t="shared" ca="1" si="114"/>
        <v>0</v>
      </c>
      <c r="L263" s="1413">
        <f t="shared" ca="1" si="114"/>
        <v>0</v>
      </c>
      <c r="M263" s="1413">
        <f t="shared" ca="1" si="114"/>
        <v>0</v>
      </c>
      <c r="N263" s="1413">
        <f t="shared" ca="1" si="114"/>
        <v>0.75</v>
      </c>
      <c r="O263" s="1413">
        <f t="shared" ca="1" si="114"/>
        <v>0.75</v>
      </c>
      <c r="P263" s="1413">
        <f t="shared" ca="1" si="114"/>
        <v>1.05</v>
      </c>
      <c r="Q263" s="1413">
        <f t="shared" ca="1" si="114"/>
        <v>1.05</v>
      </c>
      <c r="R263" s="1413">
        <f t="shared" ca="1" si="114"/>
        <v>1.05</v>
      </c>
      <c r="S263" s="1413">
        <f t="shared" ca="1" si="114"/>
        <v>1.05</v>
      </c>
      <c r="T263" s="1413">
        <f t="shared" ca="1" si="114"/>
        <v>1.35</v>
      </c>
      <c r="U263" s="1413">
        <f t="shared" ca="1" si="114"/>
        <v>1.05</v>
      </c>
      <c r="V263" s="1413">
        <f t="shared" ca="1" si="114"/>
        <v>1.05</v>
      </c>
      <c r="W263" s="1413">
        <f t="shared" ca="1" si="114"/>
        <v>1.05</v>
      </c>
      <c r="X263" s="1413">
        <f t="shared" ca="1" si="114"/>
        <v>1.05</v>
      </c>
      <c r="Y263" s="1413">
        <f t="shared" ca="1" si="114"/>
        <v>1.05</v>
      </c>
      <c r="Z263" s="1413">
        <f t="shared" ca="1" si="114"/>
        <v>1.05</v>
      </c>
      <c r="AA263" s="1413">
        <f t="shared" ca="1" si="114"/>
        <v>1.05</v>
      </c>
      <c r="AB263" s="1413">
        <f t="shared" ca="1" si="114"/>
        <v>1.05</v>
      </c>
      <c r="AC263" s="1413">
        <f t="shared" ca="1" si="114"/>
        <v>1.05</v>
      </c>
      <c r="AD263" s="1413">
        <f t="shared" ca="1" si="114"/>
        <v>1.05</v>
      </c>
      <c r="AE263" s="1413">
        <f t="shared" ca="1" si="114"/>
        <v>0.75</v>
      </c>
      <c r="AF263" s="1413">
        <f t="shared" ca="1" si="114"/>
        <v>0.75</v>
      </c>
    </row>
    <row r="264" spans="3:32">
      <c r="C264" t="s">
        <v>192</v>
      </c>
      <c r="H264" s="1412">
        <f>IFERROR(VLOOKUP(C264,Assumptions_Dashboard!$C$38:$D$72,2,FALSE),0)</f>
        <v>1235000</v>
      </c>
      <c r="I264" s="1281"/>
      <c r="J264" s="1413">
        <f t="shared" ca="1" si="115"/>
        <v>0.247</v>
      </c>
      <c r="K264" s="1413">
        <f t="shared" ca="1" si="114"/>
        <v>0.247</v>
      </c>
      <c r="L264" s="1413">
        <f t="shared" ca="1" si="114"/>
        <v>0.247</v>
      </c>
      <c r="M264" s="1413">
        <f t="shared" ca="1" si="114"/>
        <v>0.247</v>
      </c>
      <c r="N264" s="1413">
        <f t="shared" ca="1" si="114"/>
        <v>3.4580000000000002</v>
      </c>
      <c r="O264" s="1413">
        <f t="shared" ca="1" si="114"/>
        <v>3.4580000000000002</v>
      </c>
      <c r="P264" s="1413">
        <f t="shared" ca="1" si="114"/>
        <v>3.4580000000000002</v>
      </c>
      <c r="Q264" s="1413">
        <f t="shared" ca="1" si="114"/>
        <v>3.5815000000000001</v>
      </c>
      <c r="R264" s="1413">
        <f t="shared" ca="1" si="114"/>
        <v>3.5815000000000001</v>
      </c>
      <c r="S264" s="1413">
        <f t="shared" ca="1" si="114"/>
        <v>3.5815000000000001</v>
      </c>
      <c r="T264" s="1413">
        <f t="shared" ca="1" si="114"/>
        <v>3.7050000000000001</v>
      </c>
      <c r="U264" s="1413">
        <f t="shared" ca="1" si="114"/>
        <v>3.5815000000000001</v>
      </c>
      <c r="V264" s="1413">
        <f t="shared" ca="1" si="114"/>
        <v>3.5815000000000001</v>
      </c>
      <c r="W264" s="1413">
        <f t="shared" ca="1" si="114"/>
        <v>3.5815000000000001</v>
      </c>
      <c r="X264" s="1413">
        <f t="shared" ca="1" si="114"/>
        <v>3.5815000000000001</v>
      </c>
      <c r="Y264" s="1413">
        <f t="shared" ca="1" si="114"/>
        <v>3.5815000000000001</v>
      </c>
      <c r="Z264" s="1413">
        <f t="shared" ca="1" si="114"/>
        <v>3.5815000000000001</v>
      </c>
      <c r="AA264" s="1413">
        <f t="shared" ca="1" si="114"/>
        <v>3.5815000000000001</v>
      </c>
      <c r="AB264" s="1413">
        <f t="shared" ca="1" si="114"/>
        <v>3.5815000000000001</v>
      </c>
      <c r="AC264" s="1413">
        <f t="shared" ca="1" si="114"/>
        <v>3.5815000000000001</v>
      </c>
      <c r="AD264" s="1413">
        <f t="shared" ca="1" si="114"/>
        <v>3.4580000000000002</v>
      </c>
      <c r="AE264" s="1413">
        <f t="shared" ca="1" si="114"/>
        <v>3.4580000000000002</v>
      </c>
      <c r="AF264" s="1413">
        <f t="shared" ca="1" si="114"/>
        <v>3.4580000000000002</v>
      </c>
    </row>
    <row r="265" spans="3:32">
      <c r="C265" t="s">
        <v>194</v>
      </c>
      <c r="H265" s="1412">
        <f>IFERROR(VLOOKUP(C265,Assumptions_Dashboard!$C$38:$D$72,2,FALSE),0)</f>
        <v>960000</v>
      </c>
      <c r="I265" s="1281"/>
      <c r="J265" s="1413">
        <f t="shared" ca="1" si="115"/>
        <v>0.67200000000000004</v>
      </c>
      <c r="K265" s="1413">
        <f t="shared" ca="1" si="114"/>
        <v>0.67200000000000004</v>
      </c>
      <c r="L265" s="1413">
        <f ca="1">$H265*L238/10000000</f>
        <v>0.67200000000000004</v>
      </c>
      <c r="M265" s="1413">
        <f t="shared" ca="1" si="114"/>
        <v>0.67200000000000004</v>
      </c>
      <c r="N265" s="1413">
        <f t="shared" ca="1" si="114"/>
        <v>2.3039999999999998</v>
      </c>
      <c r="O265" s="1413">
        <f t="shared" ca="1" si="114"/>
        <v>2.3039999999999998</v>
      </c>
      <c r="P265" s="1413">
        <f t="shared" ca="1" si="114"/>
        <v>2.3039999999999998</v>
      </c>
      <c r="Q265" s="1413">
        <f t="shared" ca="1" si="114"/>
        <v>2.3039999999999998</v>
      </c>
      <c r="R265" s="1413">
        <f t="shared" ca="1" si="114"/>
        <v>2.3039999999999998</v>
      </c>
      <c r="S265" s="1413">
        <f t="shared" ca="1" si="114"/>
        <v>2.3039999999999998</v>
      </c>
      <c r="T265" s="1413">
        <f t="shared" ca="1" si="114"/>
        <v>2.3039999999999998</v>
      </c>
      <c r="U265" s="1413">
        <f t="shared" ca="1" si="114"/>
        <v>2.3039999999999998</v>
      </c>
      <c r="V265" s="1413">
        <f t="shared" ca="1" si="114"/>
        <v>2.3039999999999998</v>
      </c>
      <c r="W265" s="1413">
        <f t="shared" ca="1" si="114"/>
        <v>2.3039999999999998</v>
      </c>
      <c r="X265" s="1413">
        <f t="shared" ca="1" si="114"/>
        <v>2.3039999999999998</v>
      </c>
      <c r="Y265" s="1413">
        <f t="shared" ca="1" si="114"/>
        <v>2.3039999999999998</v>
      </c>
      <c r="Z265" s="1413">
        <f t="shared" ca="1" si="114"/>
        <v>2.3039999999999998</v>
      </c>
      <c r="AA265" s="1413">
        <f t="shared" ca="1" si="114"/>
        <v>2.3039999999999998</v>
      </c>
      <c r="AB265" s="1413">
        <f t="shared" ca="1" si="114"/>
        <v>2.3039999999999998</v>
      </c>
      <c r="AC265" s="1413">
        <f t="shared" ca="1" si="114"/>
        <v>2.3039999999999998</v>
      </c>
      <c r="AD265" s="1413">
        <f t="shared" ca="1" si="114"/>
        <v>2.3039999999999998</v>
      </c>
      <c r="AE265" s="1413">
        <f t="shared" ca="1" si="114"/>
        <v>2.3039999999999998</v>
      </c>
      <c r="AF265" s="1413">
        <f t="shared" ca="1" si="114"/>
        <v>2.3039999999999998</v>
      </c>
    </row>
    <row r="266" spans="3:32">
      <c r="C266" t="s">
        <v>196</v>
      </c>
      <c r="H266" s="1412">
        <f>IFERROR(VLOOKUP(C266,Assumptions_Dashboard!$C$38:$D$72,2,FALSE),0)</f>
        <v>750000</v>
      </c>
      <c r="I266" s="1281"/>
      <c r="J266" s="1413">
        <f t="shared" ca="1" si="115"/>
        <v>0</v>
      </c>
      <c r="K266" s="1413">
        <f t="shared" ca="1" si="114"/>
        <v>0</v>
      </c>
      <c r="L266" s="1413">
        <f t="shared" ca="1" si="114"/>
        <v>0</v>
      </c>
      <c r="M266" s="1413">
        <f t="shared" ca="1" si="114"/>
        <v>0</v>
      </c>
      <c r="N266" s="1413">
        <f t="shared" ca="1" si="114"/>
        <v>0.22500000000000001</v>
      </c>
      <c r="O266" s="1413">
        <f t="shared" ca="1" si="114"/>
        <v>0.22500000000000001</v>
      </c>
      <c r="P266" s="1413">
        <f t="shared" ca="1" si="114"/>
        <v>0.22500000000000001</v>
      </c>
      <c r="Q266" s="1413">
        <f t="shared" ca="1" si="114"/>
        <v>0.22500000000000001</v>
      </c>
      <c r="R266" s="1413">
        <f t="shared" ca="1" si="114"/>
        <v>0.22500000000000001</v>
      </c>
      <c r="S266" s="1413">
        <f t="shared" ca="1" si="114"/>
        <v>0.22500000000000001</v>
      </c>
      <c r="T266" s="1413">
        <f t="shared" ref="K266:AF275" ca="1" si="116">$H266*T239/10000000</f>
        <v>0.22500000000000001</v>
      </c>
      <c r="U266" s="1413">
        <f t="shared" ca="1" si="116"/>
        <v>0.22500000000000001</v>
      </c>
      <c r="V266" s="1413">
        <f t="shared" ca="1" si="116"/>
        <v>0.22500000000000001</v>
      </c>
      <c r="W266" s="1413">
        <f t="shared" ca="1" si="116"/>
        <v>0.22500000000000001</v>
      </c>
      <c r="X266" s="1413">
        <f t="shared" ca="1" si="116"/>
        <v>0.22500000000000001</v>
      </c>
      <c r="Y266" s="1413">
        <f t="shared" ca="1" si="116"/>
        <v>0.22500000000000001</v>
      </c>
      <c r="Z266" s="1413">
        <f t="shared" ca="1" si="116"/>
        <v>0.22500000000000001</v>
      </c>
      <c r="AA266" s="1413">
        <f t="shared" ca="1" si="116"/>
        <v>0.22500000000000001</v>
      </c>
      <c r="AB266" s="1413">
        <f t="shared" ca="1" si="116"/>
        <v>0.22500000000000001</v>
      </c>
      <c r="AC266" s="1413">
        <f t="shared" ca="1" si="116"/>
        <v>0.22500000000000001</v>
      </c>
      <c r="AD266" s="1413">
        <f t="shared" ca="1" si="116"/>
        <v>0.22500000000000001</v>
      </c>
      <c r="AE266" s="1413">
        <f t="shared" ca="1" si="116"/>
        <v>0.22500000000000001</v>
      </c>
      <c r="AF266" s="1413">
        <f t="shared" ca="1" si="116"/>
        <v>0.22500000000000001</v>
      </c>
    </row>
    <row r="267" spans="3:32">
      <c r="C267" t="s">
        <v>210</v>
      </c>
      <c r="H267" s="1412">
        <f>IFERROR(VLOOKUP(C267,Assumptions_Dashboard!$C$38:$D$72,2,FALSE),0)</f>
        <v>900000</v>
      </c>
      <c r="I267" s="1281"/>
      <c r="J267" s="1413">
        <f t="shared" ca="1" si="115"/>
        <v>0</v>
      </c>
      <c r="K267" s="1413">
        <f t="shared" ca="1" si="116"/>
        <v>0</v>
      </c>
      <c r="L267" s="1413">
        <f t="shared" ca="1" si="116"/>
        <v>0</v>
      </c>
      <c r="M267" s="1413">
        <f t="shared" ca="1" si="116"/>
        <v>0</v>
      </c>
      <c r="N267" s="1413">
        <f t="shared" ca="1" si="116"/>
        <v>0</v>
      </c>
      <c r="O267" s="1413">
        <f t="shared" ca="1" si="116"/>
        <v>0</v>
      </c>
      <c r="P267" s="1413">
        <f t="shared" ca="1" si="116"/>
        <v>0</v>
      </c>
      <c r="Q267" s="1413">
        <f t="shared" ca="1" si="116"/>
        <v>0</v>
      </c>
      <c r="R267" s="1413">
        <f t="shared" ca="1" si="116"/>
        <v>0</v>
      </c>
      <c r="S267" s="1413">
        <f t="shared" ca="1" si="116"/>
        <v>0</v>
      </c>
      <c r="T267" s="1413">
        <f t="shared" ca="1" si="116"/>
        <v>0</v>
      </c>
      <c r="U267" s="1413">
        <f t="shared" ca="1" si="116"/>
        <v>0</v>
      </c>
      <c r="V267" s="1413">
        <f t="shared" ca="1" si="116"/>
        <v>0</v>
      </c>
      <c r="W267" s="1413">
        <f t="shared" ca="1" si="116"/>
        <v>0</v>
      </c>
      <c r="X267" s="1413">
        <f t="shared" ca="1" si="116"/>
        <v>0</v>
      </c>
      <c r="Y267" s="1413">
        <f t="shared" ca="1" si="116"/>
        <v>0</v>
      </c>
      <c r="Z267" s="1413">
        <f t="shared" ca="1" si="116"/>
        <v>0</v>
      </c>
      <c r="AA267" s="1413">
        <f t="shared" ca="1" si="116"/>
        <v>0</v>
      </c>
      <c r="AB267" s="1413">
        <f t="shared" ca="1" si="116"/>
        <v>0</v>
      </c>
      <c r="AC267" s="1413">
        <f t="shared" ca="1" si="116"/>
        <v>0</v>
      </c>
      <c r="AD267" s="1413">
        <f t="shared" ca="1" si="116"/>
        <v>0</v>
      </c>
      <c r="AE267" s="1413">
        <f t="shared" ca="1" si="116"/>
        <v>0</v>
      </c>
      <c r="AF267" s="1413">
        <f t="shared" ca="1" si="116"/>
        <v>0</v>
      </c>
    </row>
    <row r="268" spans="3:32">
      <c r="C268" t="s">
        <v>211</v>
      </c>
      <c r="H268" s="1412">
        <f>IFERROR(VLOOKUP(C268,Assumptions_Dashboard!$C$38:$D$72,2,FALSE),0)</f>
        <v>780000</v>
      </c>
      <c r="I268" s="1281"/>
      <c r="J268" s="1413">
        <f t="shared" ca="1" si="115"/>
        <v>0</v>
      </c>
      <c r="K268" s="1413">
        <f t="shared" ca="1" si="116"/>
        <v>0</v>
      </c>
      <c r="L268" s="1413">
        <f t="shared" ca="1" si="116"/>
        <v>0</v>
      </c>
      <c r="M268" s="1413">
        <f t="shared" ca="1" si="116"/>
        <v>0</v>
      </c>
      <c r="N268" s="1413">
        <f t="shared" ca="1" si="116"/>
        <v>1.6379999999999999</v>
      </c>
      <c r="O268" s="1413">
        <f t="shared" ca="1" si="116"/>
        <v>1.6379999999999999</v>
      </c>
      <c r="P268" s="1413">
        <f t="shared" ca="1" si="116"/>
        <v>1.6379999999999999</v>
      </c>
      <c r="Q268" s="1413">
        <f t="shared" ca="1" si="116"/>
        <v>1.6379999999999999</v>
      </c>
      <c r="R268" s="1413">
        <f t="shared" ca="1" si="116"/>
        <v>1.6379999999999999</v>
      </c>
      <c r="S268" s="1413">
        <f t="shared" ca="1" si="116"/>
        <v>1.6379999999999999</v>
      </c>
      <c r="T268" s="1413">
        <f t="shared" ca="1" si="116"/>
        <v>1.6379999999999999</v>
      </c>
      <c r="U268" s="1413">
        <f t="shared" ca="1" si="116"/>
        <v>1.6379999999999999</v>
      </c>
      <c r="V268" s="1413">
        <f t="shared" ca="1" si="116"/>
        <v>1.6379999999999999</v>
      </c>
      <c r="W268" s="1413">
        <f t="shared" ca="1" si="116"/>
        <v>1.6379999999999999</v>
      </c>
      <c r="X268" s="1413">
        <f t="shared" ca="1" si="116"/>
        <v>1.6379999999999999</v>
      </c>
      <c r="Y268" s="1413">
        <f t="shared" ca="1" si="116"/>
        <v>1.6379999999999999</v>
      </c>
      <c r="Z268" s="1413">
        <f t="shared" ca="1" si="116"/>
        <v>1.6379999999999999</v>
      </c>
      <c r="AA268" s="1413">
        <f t="shared" ca="1" si="116"/>
        <v>1.6379999999999999</v>
      </c>
      <c r="AB268" s="1413">
        <f t="shared" ca="1" si="116"/>
        <v>1.6379999999999999</v>
      </c>
      <c r="AC268" s="1413">
        <f t="shared" ca="1" si="116"/>
        <v>1.6379999999999999</v>
      </c>
      <c r="AD268" s="1413">
        <f t="shared" ca="1" si="116"/>
        <v>1.6379999999999999</v>
      </c>
      <c r="AE268" s="1413">
        <f t="shared" ca="1" si="116"/>
        <v>1.6379999999999999</v>
      </c>
      <c r="AF268" s="1413">
        <f t="shared" ca="1" si="116"/>
        <v>1.6379999999999999</v>
      </c>
    </row>
    <row r="269" spans="3:32">
      <c r="C269" t="s">
        <v>212</v>
      </c>
      <c r="H269" s="1412">
        <f>IFERROR(VLOOKUP(C269,Assumptions_Dashboard!$C$38:$D$72,2,FALSE),0)</f>
        <v>670000</v>
      </c>
      <c r="I269" s="1281"/>
      <c r="J269" s="1413">
        <f t="shared" ca="1" si="115"/>
        <v>6.7000000000000004E-2</v>
      </c>
      <c r="K269" s="1413">
        <f t="shared" ca="1" si="116"/>
        <v>6.7000000000000004E-2</v>
      </c>
      <c r="L269" s="1413">
        <f t="shared" ca="1" si="116"/>
        <v>6.7000000000000004E-2</v>
      </c>
      <c r="M269" s="1413">
        <f t="shared" ca="1" si="116"/>
        <v>6.7000000000000004E-2</v>
      </c>
      <c r="N269" s="1413">
        <f t="shared" ca="1" si="116"/>
        <v>3.149</v>
      </c>
      <c r="O269" s="1413">
        <f t="shared" ca="1" si="116"/>
        <v>3.149</v>
      </c>
      <c r="P269" s="1413">
        <f t="shared" ca="1" si="116"/>
        <v>3.149</v>
      </c>
      <c r="Q269" s="1413">
        <f t="shared" ca="1" si="116"/>
        <v>3.149</v>
      </c>
      <c r="R269" s="1413">
        <f t="shared" ca="1" si="116"/>
        <v>3.149</v>
      </c>
      <c r="S269" s="1413">
        <f t="shared" ca="1" si="116"/>
        <v>3.149</v>
      </c>
      <c r="T269" s="1413">
        <f t="shared" ca="1" si="116"/>
        <v>3.149</v>
      </c>
      <c r="U269" s="1413">
        <f t="shared" ca="1" si="116"/>
        <v>3.149</v>
      </c>
      <c r="V269" s="1413">
        <f t="shared" ca="1" si="116"/>
        <v>3.149</v>
      </c>
      <c r="W269" s="1413">
        <f t="shared" ca="1" si="116"/>
        <v>3.149</v>
      </c>
      <c r="X269" s="1413">
        <f t="shared" ca="1" si="116"/>
        <v>3.149</v>
      </c>
      <c r="Y269" s="1413">
        <f t="shared" ca="1" si="116"/>
        <v>3.149</v>
      </c>
      <c r="Z269" s="1413">
        <f t="shared" ca="1" si="116"/>
        <v>3.149</v>
      </c>
      <c r="AA269" s="1413">
        <f t="shared" ca="1" si="116"/>
        <v>3.149</v>
      </c>
      <c r="AB269" s="1413">
        <f t="shared" ca="1" si="116"/>
        <v>3.149</v>
      </c>
      <c r="AC269" s="1413">
        <f t="shared" ca="1" si="116"/>
        <v>3.149</v>
      </c>
      <c r="AD269" s="1413">
        <f t="shared" ca="1" si="116"/>
        <v>3.149</v>
      </c>
      <c r="AE269" s="1413">
        <f t="shared" ca="1" si="116"/>
        <v>3.149</v>
      </c>
      <c r="AF269" s="1413">
        <f t="shared" ca="1" si="116"/>
        <v>3.149</v>
      </c>
    </row>
    <row r="270" spans="3:32">
      <c r="C270" t="s">
        <v>213</v>
      </c>
      <c r="H270" s="1412">
        <f>IFERROR(VLOOKUP(C270,Assumptions_Dashboard!$C$38:$D$72,2,FALSE),0)</f>
        <v>400000</v>
      </c>
      <c r="I270" s="1281"/>
      <c r="J270" s="1413">
        <f t="shared" ca="1" si="115"/>
        <v>0.2</v>
      </c>
      <c r="K270" s="1413">
        <f t="shared" ca="1" si="116"/>
        <v>0.2</v>
      </c>
      <c r="L270" s="1413">
        <f t="shared" ca="1" si="116"/>
        <v>0.2</v>
      </c>
      <c r="M270" s="1413">
        <f t="shared" ca="1" si="116"/>
        <v>0.28000000000000003</v>
      </c>
      <c r="N270" s="1413">
        <f t="shared" ca="1" si="116"/>
        <v>1.72</v>
      </c>
      <c r="O270" s="1413">
        <f t="shared" ca="1" si="116"/>
        <v>1.72</v>
      </c>
      <c r="P270" s="1413">
        <f t="shared" ca="1" si="116"/>
        <v>1.72</v>
      </c>
      <c r="Q270" s="1413">
        <f t="shared" ca="1" si="116"/>
        <v>1.72</v>
      </c>
      <c r="R270" s="1413">
        <f t="shared" ca="1" si="116"/>
        <v>1.72</v>
      </c>
      <c r="S270" s="1413">
        <f t="shared" ca="1" si="116"/>
        <v>1.72</v>
      </c>
      <c r="T270" s="1413">
        <f t="shared" ca="1" si="116"/>
        <v>1.72</v>
      </c>
      <c r="U270" s="1413">
        <f t="shared" ca="1" si="116"/>
        <v>1.72</v>
      </c>
      <c r="V270" s="1413">
        <f t="shared" ca="1" si="116"/>
        <v>1.72</v>
      </c>
      <c r="W270" s="1413">
        <f t="shared" ca="1" si="116"/>
        <v>1.72</v>
      </c>
      <c r="X270" s="1413">
        <f t="shared" ca="1" si="116"/>
        <v>1.72</v>
      </c>
      <c r="Y270" s="1413">
        <f t="shared" ca="1" si="116"/>
        <v>1.72</v>
      </c>
      <c r="Z270" s="1413">
        <f t="shared" ca="1" si="116"/>
        <v>1.72</v>
      </c>
      <c r="AA270" s="1413">
        <f t="shared" ca="1" si="116"/>
        <v>1.72</v>
      </c>
      <c r="AB270" s="1413">
        <f t="shared" ca="1" si="116"/>
        <v>1.72</v>
      </c>
      <c r="AC270" s="1413">
        <f t="shared" ca="1" si="116"/>
        <v>1.72</v>
      </c>
      <c r="AD270" s="1413">
        <f t="shared" ca="1" si="116"/>
        <v>1.72</v>
      </c>
      <c r="AE270" s="1413">
        <f t="shared" ca="1" si="116"/>
        <v>1.72</v>
      </c>
      <c r="AF270" s="1413">
        <f t="shared" ca="1" si="116"/>
        <v>1.72</v>
      </c>
    </row>
    <row r="271" spans="3:32">
      <c r="C271" t="s">
        <v>216</v>
      </c>
      <c r="H271" s="1412">
        <f>IFERROR(VLOOKUP(C271,Assumptions_Dashboard!$C$38:$D$72,2,FALSE),0)</f>
        <v>610000</v>
      </c>
      <c r="I271" s="1281"/>
      <c r="J271" s="1413">
        <f t="shared" ca="1" si="115"/>
        <v>0</v>
      </c>
      <c r="K271" s="1413">
        <f t="shared" ca="1" si="116"/>
        <v>0</v>
      </c>
      <c r="L271" s="1413">
        <f t="shared" ca="1" si="116"/>
        <v>0</v>
      </c>
      <c r="M271" s="1413">
        <f t="shared" ca="1" si="116"/>
        <v>0</v>
      </c>
      <c r="N271" s="1413">
        <f t="shared" ca="1" si="116"/>
        <v>2.6230000000000002</v>
      </c>
      <c r="O271" s="1413">
        <f t="shared" ca="1" si="116"/>
        <v>2.6230000000000002</v>
      </c>
      <c r="P271" s="1413">
        <f t="shared" ca="1" si="116"/>
        <v>2.9889999999999999</v>
      </c>
      <c r="Q271" s="1413">
        <f t="shared" ca="1" si="116"/>
        <v>6.5270000000000001</v>
      </c>
      <c r="R271" s="1413">
        <f t="shared" ca="1" si="116"/>
        <v>6.5880000000000001</v>
      </c>
      <c r="S271" s="1413">
        <f t="shared" ca="1" si="116"/>
        <v>8.6010000000000009</v>
      </c>
      <c r="T271" s="1413">
        <f t="shared" ca="1" si="116"/>
        <v>8.2959999999999994</v>
      </c>
      <c r="U271" s="1413">
        <f t="shared" ca="1" si="116"/>
        <v>7.5640000000000001</v>
      </c>
      <c r="V271" s="1413">
        <f t="shared" ca="1" si="116"/>
        <v>7.93</v>
      </c>
      <c r="W271" s="1413">
        <f t="shared" ca="1" si="116"/>
        <v>7.4420000000000002</v>
      </c>
      <c r="X271" s="1413">
        <f t="shared" ca="1" si="116"/>
        <v>8.1129999999999995</v>
      </c>
      <c r="Y271" s="1413">
        <f t="shared" ca="1" si="116"/>
        <v>6.5270000000000001</v>
      </c>
      <c r="Z271" s="1413">
        <f t="shared" ca="1" si="116"/>
        <v>6.1</v>
      </c>
      <c r="AA271" s="1413">
        <f t="shared" ca="1" si="116"/>
        <v>6.8929999999999998</v>
      </c>
      <c r="AB271" s="1413">
        <f t="shared" ca="1" si="116"/>
        <v>6.8929999999999998</v>
      </c>
      <c r="AC271" s="1413">
        <f t="shared" ca="1" si="116"/>
        <v>8.1739999999999995</v>
      </c>
      <c r="AD271" s="1413">
        <f t="shared" ca="1" si="116"/>
        <v>5.6120000000000001</v>
      </c>
      <c r="AE271" s="1413">
        <f t="shared" ca="1" si="116"/>
        <v>3.05</v>
      </c>
      <c r="AF271" s="1413">
        <f t="shared" ca="1" si="116"/>
        <v>2.5009999999999999</v>
      </c>
    </row>
    <row r="272" spans="3:32">
      <c r="C272" t="s">
        <v>218</v>
      </c>
      <c r="H272" s="1412">
        <f>IFERROR(VLOOKUP(C272,Assumptions_Dashboard!$C$38:$D$72,2,FALSE),0)</f>
        <v>600000</v>
      </c>
      <c r="I272" s="1281"/>
      <c r="J272" s="1413">
        <f t="shared" ca="1" si="115"/>
        <v>0</v>
      </c>
      <c r="K272" s="1413">
        <f t="shared" ca="1" si="116"/>
        <v>0.06</v>
      </c>
      <c r="L272" s="1413">
        <f t="shared" ca="1" si="116"/>
        <v>0</v>
      </c>
      <c r="M272" s="1413">
        <f t="shared" ca="1" si="116"/>
        <v>0.12</v>
      </c>
      <c r="N272" s="1413">
        <f t="shared" ca="1" si="116"/>
        <v>2.82</v>
      </c>
      <c r="O272" s="1413">
        <f t="shared" ca="1" si="116"/>
        <v>3</v>
      </c>
      <c r="P272" s="1413">
        <f t="shared" ca="1" si="116"/>
        <v>3.54</v>
      </c>
      <c r="Q272" s="1413">
        <f t="shared" ca="1" si="116"/>
        <v>4.26</v>
      </c>
      <c r="R272" s="1413">
        <f t="shared" ca="1" si="116"/>
        <v>4.62</v>
      </c>
      <c r="S272" s="1413">
        <f t="shared" ca="1" si="116"/>
        <v>4.8</v>
      </c>
      <c r="T272" s="1413">
        <f t="shared" ca="1" si="116"/>
        <v>4.92</v>
      </c>
      <c r="U272" s="1413">
        <f t="shared" ca="1" si="116"/>
        <v>4.92</v>
      </c>
      <c r="V272" s="1413">
        <f t="shared" ca="1" si="116"/>
        <v>4.9800000000000004</v>
      </c>
      <c r="W272" s="1413">
        <f t="shared" ca="1" si="116"/>
        <v>5.04</v>
      </c>
      <c r="X272" s="1413">
        <f t="shared" ca="1" si="116"/>
        <v>5.22</v>
      </c>
      <c r="Y272" s="1413">
        <f t="shared" ca="1" si="116"/>
        <v>5.22</v>
      </c>
      <c r="Z272" s="1413">
        <f t="shared" ca="1" si="116"/>
        <v>5.28</v>
      </c>
      <c r="AA272" s="1413">
        <f t="shared" ca="1" si="116"/>
        <v>5.4</v>
      </c>
      <c r="AB272" s="1413">
        <f t="shared" ca="1" si="116"/>
        <v>5.52</v>
      </c>
      <c r="AC272" s="1413">
        <f t="shared" ca="1" si="116"/>
        <v>5.52</v>
      </c>
      <c r="AD272" s="1413">
        <f t="shared" ca="1" si="116"/>
        <v>4.5599999999999996</v>
      </c>
      <c r="AE272" s="1413">
        <f t="shared" ca="1" si="116"/>
        <v>3.96</v>
      </c>
      <c r="AF272" s="1413">
        <f t="shared" ca="1" si="116"/>
        <v>3</v>
      </c>
    </row>
    <row r="273" spans="3:32">
      <c r="C273" t="s">
        <v>220</v>
      </c>
      <c r="H273" s="1412">
        <f>IFERROR(VLOOKUP(C273,Assumptions_Dashboard!$C$38:$D$72,2,FALSE),0)</f>
        <v>600000</v>
      </c>
      <c r="I273" s="1281"/>
      <c r="J273" s="1413">
        <f t="shared" ca="1" si="115"/>
        <v>0</v>
      </c>
      <c r="K273" s="1413">
        <f t="shared" ca="1" si="116"/>
        <v>0</v>
      </c>
      <c r="L273" s="1413">
        <f t="shared" ca="1" si="116"/>
        <v>0</v>
      </c>
      <c r="M273" s="1413">
        <f t="shared" ca="1" si="116"/>
        <v>0</v>
      </c>
      <c r="N273" s="1413">
        <f t="shared" ca="1" si="116"/>
        <v>8.1</v>
      </c>
      <c r="O273" s="1413">
        <f t="shared" ca="1" si="116"/>
        <v>8.16</v>
      </c>
      <c r="P273" s="1413">
        <f t="shared" ca="1" si="116"/>
        <v>9.66</v>
      </c>
      <c r="Q273" s="1413">
        <f t="shared" ca="1" si="116"/>
        <v>9.7799999999999994</v>
      </c>
      <c r="R273" s="1413">
        <f t="shared" ca="1" si="116"/>
        <v>9.9</v>
      </c>
      <c r="S273" s="1413">
        <f t="shared" ca="1" si="116"/>
        <v>9.9</v>
      </c>
      <c r="T273" s="1413">
        <f t="shared" ca="1" si="116"/>
        <v>9.9</v>
      </c>
      <c r="U273" s="1413">
        <f t="shared" ca="1" si="116"/>
        <v>9.9</v>
      </c>
      <c r="V273" s="1413">
        <f t="shared" ca="1" si="116"/>
        <v>9.9</v>
      </c>
      <c r="W273" s="1413">
        <f t="shared" ca="1" si="116"/>
        <v>9.9</v>
      </c>
      <c r="X273" s="1413">
        <f t="shared" ca="1" si="116"/>
        <v>9.9</v>
      </c>
      <c r="Y273" s="1413">
        <f t="shared" ca="1" si="116"/>
        <v>9.9</v>
      </c>
      <c r="Z273" s="1413">
        <f t="shared" ca="1" si="116"/>
        <v>9.9</v>
      </c>
      <c r="AA273" s="1413">
        <f t="shared" ca="1" si="116"/>
        <v>9.9</v>
      </c>
      <c r="AB273" s="1413">
        <f t="shared" ca="1" si="116"/>
        <v>9.9</v>
      </c>
      <c r="AC273" s="1413">
        <f t="shared" ca="1" si="116"/>
        <v>9.7799999999999994</v>
      </c>
      <c r="AD273" s="1413">
        <f t="shared" ca="1" si="116"/>
        <v>9.6</v>
      </c>
      <c r="AE273" s="1413">
        <f t="shared" ca="1" si="116"/>
        <v>8.2799999999999994</v>
      </c>
      <c r="AF273" s="1413">
        <f t="shared" ca="1" si="116"/>
        <v>8.1</v>
      </c>
    </row>
    <row r="274" spans="3:32">
      <c r="C274" t="s">
        <v>223</v>
      </c>
      <c r="H274" s="1412">
        <f>IFERROR(VLOOKUP(C274,Assumptions_Dashboard!$C$38:$D$72,2,FALSE),0)</f>
        <v>420000</v>
      </c>
      <c r="I274" s="1281"/>
      <c r="J274" s="1413">
        <f t="shared" ca="1" si="115"/>
        <v>4.2000000000000003E-2</v>
      </c>
      <c r="K274" s="1413">
        <f t="shared" ca="1" si="116"/>
        <v>4.2000000000000003E-2</v>
      </c>
      <c r="L274" s="1413">
        <f t="shared" ca="1" si="116"/>
        <v>4.2000000000000003E-2</v>
      </c>
      <c r="M274" s="1413">
        <f t="shared" ca="1" si="116"/>
        <v>4.2000000000000003E-2</v>
      </c>
      <c r="N274" s="1413">
        <f t="shared" ca="1" si="116"/>
        <v>1.764</v>
      </c>
      <c r="O274" s="1413">
        <f t="shared" ca="1" si="116"/>
        <v>1.764</v>
      </c>
      <c r="P274" s="1413">
        <f t="shared" ca="1" si="116"/>
        <v>1.764</v>
      </c>
      <c r="Q274" s="1413">
        <f t="shared" ca="1" si="116"/>
        <v>1.764</v>
      </c>
      <c r="R274" s="1413">
        <f t="shared" ca="1" si="116"/>
        <v>1.764</v>
      </c>
      <c r="S274" s="1413">
        <f t="shared" ca="1" si="116"/>
        <v>1.764</v>
      </c>
      <c r="T274" s="1413">
        <f t="shared" ca="1" si="116"/>
        <v>1.764</v>
      </c>
      <c r="U274" s="1413">
        <f t="shared" ca="1" si="116"/>
        <v>1.764</v>
      </c>
      <c r="V274" s="1413">
        <f t="shared" ca="1" si="116"/>
        <v>1.764</v>
      </c>
      <c r="W274" s="1413">
        <f t="shared" ca="1" si="116"/>
        <v>1.764</v>
      </c>
      <c r="X274" s="1413">
        <f t="shared" ca="1" si="116"/>
        <v>1.764</v>
      </c>
      <c r="Y274" s="1413">
        <f t="shared" ca="1" si="116"/>
        <v>1.764</v>
      </c>
      <c r="Z274" s="1413">
        <f t="shared" ca="1" si="116"/>
        <v>1.764</v>
      </c>
      <c r="AA274" s="1413">
        <f t="shared" ca="1" si="116"/>
        <v>1.764</v>
      </c>
      <c r="AB274" s="1413">
        <f t="shared" ca="1" si="116"/>
        <v>1.764</v>
      </c>
      <c r="AC274" s="1413">
        <f t="shared" ca="1" si="116"/>
        <v>1.764</v>
      </c>
      <c r="AD274" s="1413">
        <f t="shared" ca="1" si="116"/>
        <v>1.764</v>
      </c>
      <c r="AE274" s="1413">
        <f t="shared" ca="1" si="116"/>
        <v>1.764</v>
      </c>
      <c r="AF274" s="1413">
        <f t="shared" ca="1" si="116"/>
        <v>1.764</v>
      </c>
    </row>
    <row r="275" spans="3:32">
      <c r="C275" t="s">
        <v>226</v>
      </c>
      <c r="H275" s="1412">
        <f>IFERROR(VLOOKUP(C275,Assumptions_Dashboard!$C$38:$D$72,2,FALSE),0)</f>
        <v>360000</v>
      </c>
      <c r="I275" s="1281"/>
      <c r="J275" s="1413">
        <f t="shared" ca="1" si="115"/>
        <v>0</v>
      </c>
      <c r="K275" s="1413">
        <f t="shared" ca="1" si="116"/>
        <v>0</v>
      </c>
      <c r="L275" s="1413">
        <f t="shared" ca="1" si="116"/>
        <v>0</v>
      </c>
      <c r="M275" s="1413">
        <f t="shared" ca="1" si="116"/>
        <v>0</v>
      </c>
      <c r="N275" s="1413">
        <f t="shared" ref="K275:AF279" ca="1" si="117">$H275*N248/10000000</f>
        <v>0.252</v>
      </c>
      <c r="O275" s="1413">
        <f t="shared" ca="1" si="117"/>
        <v>0.252</v>
      </c>
      <c r="P275" s="1413">
        <f t="shared" ca="1" si="117"/>
        <v>0.252</v>
      </c>
      <c r="Q275" s="1413">
        <f t="shared" ca="1" si="117"/>
        <v>0.252</v>
      </c>
      <c r="R275" s="1413">
        <f t="shared" ca="1" si="117"/>
        <v>0.252</v>
      </c>
      <c r="S275" s="1413">
        <f t="shared" ca="1" si="117"/>
        <v>0.252</v>
      </c>
      <c r="T275" s="1413">
        <f t="shared" ca="1" si="117"/>
        <v>0.252</v>
      </c>
      <c r="U275" s="1413">
        <f t="shared" ca="1" si="117"/>
        <v>0.252</v>
      </c>
      <c r="V275" s="1413">
        <f t="shared" ca="1" si="117"/>
        <v>0.252</v>
      </c>
      <c r="W275" s="1413">
        <f t="shared" ca="1" si="117"/>
        <v>0.252</v>
      </c>
      <c r="X275" s="1413">
        <f t="shared" ca="1" si="117"/>
        <v>0.252</v>
      </c>
      <c r="Y275" s="1413">
        <f t="shared" ca="1" si="117"/>
        <v>0.252</v>
      </c>
      <c r="Z275" s="1413">
        <f t="shared" ca="1" si="117"/>
        <v>0.252</v>
      </c>
      <c r="AA275" s="1413">
        <f t="shared" ca="1" si="117"/>
        <v>0.252</v>
      </c>
      <c r="AB275" s="1413">
        <f t="shared" ca="1" si="117"/>
        <v>0.252</v>
      </c>
      <c r="AC275" s="1413">
        <f t="shared" ca="1" si="117"/>
        <v>0.252</v>
      </c>
      <c r="AD275" s="1413">
        <f t="shared" ca="1" si="117"/>
        <v>0.252</v>
      </c>
      <c r="AE275" s="1413">
        <f t="shared" ca="1" si="117"/>
        <v>0.252</v>
      </c>
      <c r="AF275" s="1413">
        <f t="shared" ca="1" si="117"/>
        <v>0.252</v>
      </c>
    </row>
    <row r="276" spans="3:32">
      <c r="C276" t="s">
        <v>228</v>
      </c>
      <c r="H276" s="1412">
        <f>IFERROR(VLOOKUP(C276,Assumptions_Dashboard!$C$38:$D$72,2,FALSE),0)</f>
        <v>300000</v>
      </c>
      <c r="I276" s="1281"/>
      <c r="J276" s="1413">
        <f t="shared" ca="1" si="115"/>
        <v>0</v>
      </c>
      <c r="K276" s="1413">
        <f t="shared" ca="1" si="117"/>
        <v>0</v>
      </c>
      <c r="L276" s="1413">
        <f t="shared" ca="1" si="117"/>
        <v>0</v>
      </c>
      <c r="M276" s="1413">
        <f t="shared" ca="1" si="117"/>
        <v>0</v>
      </c>
      <c r="N276" s="1413">
        <f t="shared" ca="1" si="117"/>
        <v>1.32</v>
      </c>
      <c r="O276" s="1413">
        <f t="shared" ca="1" si="117"/>
        <v>1.32</v>
      </c>
      <c r="P276" s="1413">
        <f t="shared" ca="1" si="117"/>
        <v>1.47</v>
      </c>
      <c r="Q276" s="1413">
        <f t="shared" ca="1" si="117"/>
        <v>1.47</v>
      </c>
      <c r="R276" s="1413">
        <f t="shared" ca="1" si="117"/>
        <v>1.47</v>
      </c>
      <c r="S276" s="1413">
        <f t="shared" ca="1" si="117"/>
        <v>1.47</v>
      </c>
      <c r="T276" s="1413">
        <f t="shared" ca="1" si="117"/>
        <v>1.47</v>
      </c>
      <c r="U276" s="1413">
        <f t="shared" ca="1" si="117"/>
        <v>1.47</v>
      </c>
      <c r="V276" s="1413">
        <f t="shared" ca="1" si="117"/>
        <v>1.47</v>
      </c>
      <c r="W276" s="1413">
        <f t="shared" ca="1" si="117"/>
        <v>1.47</v>
      </c>
      <c r="X276" s="1413">
        <f t="shared" ca="1" si="117"/>
        <v>1.47</v>
      </c>
      <c r="Y276" s="1413">
        <f t="shared" ca="1" si="117"/>
        <v>1.47</v>
      </c>
      <c r="Z276" s="1413">
        <f t="shared" ca="1" si="117"/>
        <v>1.47</v>
      </c>
      <c r="AA276" s="1413">
        <f t="shared" ca="1" si="117"/>
        <v>1.47</v>
      </c>
      <c r="AB276" s="1413">
        <f t="shared" ca="1" si="117"/>
        <v>1.47</v>
      </c>
      <c r="AC276" s="1413">
        <f t="shared" ca="1" si="117"/>
        <v>1.47</v>
      </c>
      <c r="AD276" s="1413">
        <f t="shared" ca="1" si="117"/>
        <v>1.47</v>
      </c>
      <c r="AE276" s="1413">
        <f t="shared" ca="1" si="117"/>
        <v>1.32</v>
      </c>
      <c r="AF276" s="1413">
        <f t="shared" ca="1" si="117"/>
        <v>1.32</v>
      </c>
    </row>
    <row r="277" spans="3:32">
      <c r="C277" t="s">
        <v>230</v>
      </c>
      <c r="H277" s="1412">
        <f>IFERROR(VLOOKUP(C277,Assumptions_Dashboard!$C$38:$D$72,2,FALSE),0)</f>
        <v>240000</v>
      </c>
      <c r="I277" s="1281"/>
      <c r="J277" s="1413">
        <f t="shared" ca="1" si="115"/>
        <v>0</v>
      </c>
      <c r="K277" s="1413">
        <f t="shared" ca="1" si="117"/>
        <v>0</v>
      </c>
      <c r="L277" s="1413">
        <f t="shared" ca="1" si="117"/>
        <v>4.8000000000000001E-2</v>
      </c>
      <c r="M277" s="1413">
        <f t="shared" ca="1" si="117"/>
        <v>4.8000000000000001E-2</v>
      </c>
      <c r="N277" s="1413">
        <f t="shared" ca="1" si="117"/>
        <v>4.3440000000000003</v>
      </c>
      <c r="O277" s="1413">
        <f t="shared" ca="1" si="117"/>
        <v>4.3440000000000003</v>
      </c>
      <c r="P277" s="1413">
        <f t="shared" ca="1" si="117"/>
        <v>4.3440000000000003</v>
      </c>
      <c r="Q277" s="1413">
        <f t="shared" ca="1" si="117"/>
        <v>4.3440000000000003</v>
      </c>
      <c r="R277" s="1413">
        <f t="shared" ca="1" si="117"/>
        <v>4.3440000000000003</v>
      </c>
      <c r="S277" s="1413">
        <f t="shared" ca="1" si="117"/>
        <v>4.3440000000000003</v>
      </c>
      <c r="T277" s="1413">
        <f t="shared" ca="1" si="117"/>
        <v>4.3440000000000003</v>
      </c>
      <c r="U277" s="1413">
        <f t="shared" ca="1" si="117"/>
        <v>4.3440000000000003</v>
      </c>
      <c r="V277" s="1413">
        <f t="shared" ca="1" si="117"/>
        <v>4.3440000000000003</v>
      </c>
      <c r="W277" s="1413">
        <f t="shared" ca="1" si="117"/>
        <v>4.3440000000000003</v>
      </c>
      <c r="X277" s="1413">
        <f t="shared" ca="1" si="117"/>
        <v>4.3440000000000003</v>
      </c>
      <c r="Y277" s="1413">
        <f t="shared" ca="1" si="117"/>
        <v>4.3440000000000003</v>
      </c>
      <c r="Z277" s="1413">
        <f t="shared" ca="1" si="117"/>
        <v>4.3440000000000003</v>
      </c>
      <c r="AA277" s="1413">
        <f t="shared" ca="1" si="117"/>
        <v>4.3440000000000003</v>
      </c>
      <c r="AB277" s="1413">
        <f t="shared" ca="1" si="117"/>
        <v>4.3440000000000003</v>
      </c>
      <c r="AC277" s="1413">
        <f t="shared" ca="1" si="117"/>
        <v>4.3440000000000003</v>
      </c>
      <c r="AD277" s="1413">
        <f t="shared" ca="1" si="117"/>
        <v>4.3440000000000003</v>
      </c>
      <c r="AE277" s="1413">
        <f t="shared" ca="1" si="117"/>
        <v>4.3440000000000003</v>
      </c>
      <c r="AF277" s="1413">
        <f t="shared" ca="1" si="117"/>
        <v>4.3440000000000003</v>
      </c>
    </row>
    <row r="278" spans="3:32">
      <c r="C278" t="s">
        <v>232</v>
      </c>
      <c r="H278" s="1412">
        <f>IFERROR(VLOOKUP(C278,Assumptions_Dashboard!$C$38:$D$72,2,FALSE),0)</f>
        <v>320000</v>
      </c>
      <c r="I278" s="1281"/>
      <c r="J278" s="1413">
        <f t="shared" ca="1" si="115"/>
        <v>0</v>
      </c>
      <c r="K278" s="1413">
        <f t="shared" ca="1" si="117"/>
        <v>0</v>
      </c>
      <c r="L278" s="1413">
        <f t="shared" ca="1" si="117"/>
        <v>0</v>
      </c>
      <c r="M278" s="1413">
        <f t="shared" ca="1" si="117"/>
        <v>0</v>
      </c>
      <c r="N278" s="1413">
        <f t="shared" ca="1" si="117"/>
        <v>0.28799999999999998</v>
      </c>
      <c r="O278" s="1413">
        <f t="shared" ca="1" si="117"/>
        <v>0.28799999999999998</v>
      </c>
      <c r="P278" s="1413">
        <f t="shared" ca="1" si="117"/>
        <v>0.28799999999999998</v>
      </c>
      <c r="Q278" s="1413">
        <f t="shared" ca="1" si="117"/>
        <v>0.28799999999999998</v>
      </c>
      <c r="R278" s="1413">
        <f t="shared" ca="1" si="117"/>
        <v>0.28799999999999998</v>
      </c>
      <c r="S278" s="1413">
        <f t="shared" ca="1" si="117"/>
        <v>0.28799999999999998</v>
      </c>
      <c r="T278" s="1413">
        <f t="shared" ca="1" si="117"/>
        <v>0.28799999999999998</v>
      </c>
      <c r="U278" s="1413">
        <f t="shared" ca="1" si="117"/>
        <v>0.28799999999999998</v>
      </c>
      <c r="V278" s="1413">
        <f t="shared" ca="1" si="117"/>
        <v>0.28799999999999998</v>
      </c>
      <c r="W278" s="1413">
        <f t="shared" ca="1" si="117"/>
        <v>0.28799999999999998</v>
      </c>
      <c r="X278" s="1413">
        <f t="shared" ca="1" si="117"/>
        <v>0.28799999999999998</v>
      </c>
      <c r="Y278" s="1413">
        <f t="shared" ca="1" si="117"/>
        <v>0.28799999999999998</v>
      </c>
      <c r="Z278" s="1413">
        <f t="shared" ca="1" si="117"/>
        <v>0.28799999999999998</v>
      </c>
      <c r="AA278" s="1413">
        <f t="shared" ca="1" si="117"/>
        <v>0.28799999999999998</v>
      </c>
      <c r="AB278" s="1413">
        <f t="shared" ca="1" si="117"/>
        <v>0.28799999999999998</v>
      </c>
      <c r="AC278" s="1413">
        <f t="shared" ca="1" si="117"/>
        <v>0.28799999999999998</v>
      </c>
      <c r="AD278" s="1413">
        <f t="shared" ca="1" si="117"/>
        <v>0.28799999999999998</v>
      </c>
      <c r="AE278" s="1413">
        <f t="shared" ca="1" si="117"/>
        <v>0.28799999999999998</v>
      </c>
      <c r="AF278" s="1413">
        <f t="shared" ca="1" si="117"/>
        <v>0.28799999999999998</v>
      </c>
    </row>
    <row r="279" spans="3:32">
      <c r="C279" t="s">
        <v>234</v>
      </c>
      <c r="H279" s="1412">
        <f>IFERROR(VLOOKUP(C279,Assumptions_Dashboard!$C$38:$D$72,2,FALSE),0)</f>
        <v>300000</v>
      </c>
      <c r="I279" s="1281"/>
      <c r="J279" s="1413">
        <f t="shared" ca="1" si="115"/>
        <v>0</v>
      </c>
      <c r="K279" s="1413">
        <f t="shared" ca="1" si="117"/>
        <v>0</v>
      </c>
      <c r="L279" s="1413">
        <f t="shared" ca="1" si="117"/>
        <v>0</v>
      </c>
      <c r="M279" s="1413">
        <f t="shared" ca="1" si="117"/>
        <v>0</v>
      </c>
      <c r="N279" s="1413">
        <f t="shared" ca="1" si="117"/>
        <v>1.35</v>
      </c>
      <c r="O279" s="1413">
        <f t="shared" ca="1" si="117"/>
        <v>1.35</v>
      </c>
      <c r="P279" s="1413">
        <f t="shared" ca="1" si="117"/>
        <v>1.35</v>
      </c>
      <c r="Q279" s="1413">
        <f t="shared" ca="1" si="117"/>
        <v>1.35</v>
      </c>
      <c r="R279" s="1413">
        <f t="shared" ca="1" si="117"/>
        <v>1.35</v>
      </c>
      <c r="S279" s="1413">
        <f t="shared" ca="1" si="117"/>
        <v>1.35</v>
      </c>
      <c r="T279" s="1413">
        <f t="shared" ca="1" si="117"/>
        <v>1.35</v>
      </c>
      <c r="U279" s="1413">
        <f t="shared" ca="1" si="117"/>
        <v>1.35</v>
      </c>
      <c r="V279" s="1413">
        <f t="shared" ca="1" si="117"/>
        <v>1.35</v>
      </c>
      <c r="W279" s="1413">
        <f t="shared" ca="1" si="117"/>
        <v>1.35</v>
      </c>
      <c r="X279" s="1413">
        <f t="shared" ca="1" si="117"/>
        <v>1.35</v>
      </c>
      <c r="Y279" s="1413">
        <f t="shared" ca="1" si="117"/>
        <v>1.35</v>
      </c>
      <c r="Z279" s="1413">
        <f t="shared" ca="1" si="117"/>
        <v>1.35</v>
      </c>
      <c r="AA279" s="1413">
        <f t="shared" ca="1" si="117"/>
        <v>1.35</v>
      </c>
      <c r="AB279" s="1413">
        <f t="shared" ca="1" si="117"/>
        <v>1.35</v>
      </c>
      <c r="AC279" s="1413">
        <f t="shared" ca="1" si="117"/>
        <v>1.35</v>
      </c>
      <c r="AD279" s="1413">
        <f t="shared" ca="1" si="117"/>
        <v>1.35</v>
      </c>
      <c r="AE279" s="1413">
        <f t="shared" ca="1" si="117"/>
        <v>1.35</v>
      </c>
      <c r="AF279" s="1413">
        <f t="shared" ca="1" si="117"/>
        <v>1.35</v>
      </c>
    </row>
    <row r="280" spans="3:32" ht="14" thickBot="1">
      <c r="C280" s="240" t="s">
        <v>267</v>
      </c>
      <c r="D280" s="242"/>
      <c r="E280" s="242"/>
      <c r="F280" s="242"/>
      <c r="G280" s="242"/>
      <c r="H280" s="242"/>
      <c r="I280" s="242"/>
      <c r="J280" s="1415">
        <f t="shared" ref="J280:AF280" ca="1" si="118">SUM(J257:J279)</f>
        <v>4.5979999999999999</v>
      </c>
      <c r="K280" s="1415">
        <f t="shared" ca="1" si="118"/>
        <v>4.6579999999999995</v>
      </c>
      <c r="L280" s="1415">
        <f t="shared" ca="1" si="118"/>
        <v>5.8460000000000001</v>
      </c>
      <c r="M280" s="1415">
        <f t="shared" ca="1" si="118"/>
        <v>6.6760000000000002</v>
      </c>
      <c r="N280" s="1415">
        <f ca="1">SUM(N257:N279)</f>
        <v>42.405000000000008</v>
      </c>
      <c r="O280" s="1415">
        <f t="shared" ca="1" si="118"/>
        <v>42.645000000000003</v>
      </c>
      <c r="P280" s="1415">
        <f t="shared" ca="1" si="118"/>
        <v>45.680999999999997</v>
      </c>
      <c r="Q280" s="1415">
        <f t="shared" ca="1" si="118"/>
        <v>50.182500000000005</v>
      </c>
      <c r="R280" s="1415">
        <f t="shared" ca="1" si="118"/>
        <v>50.723500000000001</v>
      </c>
      <c r="S280" s="1415">
        <f t="shared" ca="1" si="118"/>
        <v>52.736499999999999</v>
      </c>
      <c r="T280" s="1415">
        <f t="shared" ca="1" si="118"/>
        <v>53.475000000000001</v>
      </c>
      <c r="U280" s="1415">
        <f t="shared" ca="1" si="118"/>
        <v>51.819499999999998</v>
      </c>
      <c r="V280" s="1415">
        <f t="shared" ca="1" si="118"/>
        <v>52.2455</v>
      </c>
      <c r="W280" s="1415">
        <f t="shared" ca="1" si="118"/>
        <v>51.817500000000003</v>
      </c>
      <c r="X280" s="1415">
        <f t="shared" ca="1" si="118"/>
        <v>52.668500000000002</v>
      </c>
      <c r="Y280" s="1415">
        <f t="shared" ca="1" si="118"/>
        <v>51.082500000000003</v>
      </c>
      <c r="Z280" s="1415">
        <f t="shared" ca="1" si="118"/>
        <v>50.715499999999999</v>
      </c>
      <c r="AA280" s="1415">
        <f t="shared" ca="1" si="118"/>
        <v>51.628500000000003</v>
      </c>
      <c r="AB280" s="1415">
        <f t="shared" ca="1" si="118"/>
        <v>51.7485</v>
      </c>
      <c r="AC280" s="1415">
        <f t="shared" ca="1" si="118"/>
        <v>52.909500000000001</v>
      </c>
      <c r="AD280" s="1415">
        <f t="shared" ca="1" si="118"/>
        <v>49.083999999999996</v>
      </c>
      <c r="AE280" s="1415">
        <f t="shared" ca="1" si="118"/>
        <v>43.972000000000001</v>
      </c>
      <c r="AF280" s="1415">
        <f t="shared" ca="1" si="118"/>
        <v>42.033000000000001</v>
      </c>
    </row>
    <row r="281" spans="3:32" ht="14" thickTop="1"/>
    <row r="283" spans="3:32">
      <c r="C283" s="191" t="s">
        <v>1479</v>
      </c>
      <c r="H283" t="s">
        <v>1480</v>
      </c>
    </row>
    <row r="284" spans="3:32">
      <c r="C284" s="630" t="s">
        <v>1481</v>
      </c>
      <c r="H284" s="434">
        <f t="shared" ref="H284:H299" si="119">MAX(N284:R284)</f>
        <v>21</v>
      </c>
      <c r="I284" s="434">
        <f>MAX(J284:AM284)</f>
        <v>21</v>
      </c>
      <c r="J284" s="434">
        <f>SUM(J11:J19,J25:J27,J29,J31,J33:J40)</f>
        <v>11</v>
      </c>
      <c r="K284" s="434">
        <f t="shared" ref="K284:AF284" si="120">SUM(K11:K19,K25:K27,K29,K31,K33:K40)</f>
        <v>11</v>
      </c>
      <c r="L284" s="434">
        <f t="shared" si="120"/>
        <v>14</v>
      </c>
      <c r="M284" s="434">
        <f t="shared" si="120"/>
        <v>19</v>
      </c>
      <c r="N284" s="434">
        <f t="shared" si="120"/>
        <v>21</v>
      </c>
      <c r="O284" s="434">
        <f t="shared" si="120"/>
        <v>21</v>
      </c>
      <c r="P284" s="434">
        <f t="shared" si="120"/>
        <v>21</v>
      </c>
      <c r="Q284" s="434">
        <f t="shared" si="120"/>
        <v>21</v>
      </c>
      <c r="R284" s="434">
        <f t="shared" si="120"/>
        <v>21</v>
      </c>
      <c r="S284" s="434">
        <f t="shared" si="120"/>
        <v>20</v>
      </c>
      <c r="T284" s="434">
        <f t="shared" si="120"/>
        <v>20</v>
      </c>
      <c r="U284" s="434">
        <f t="shared" si="120"/>
        <v>20</v>
      </c>
      <c r="V284" s="434">
        <f t="shared" si="120"/>
        <v>20</v>
      </c>
      <c r="W284" s="434">
        <f t="shared" si="120"/>
        <v>20</v>
      </c>
      <c r="X284" s="434">
        <f t="shared" si="120"/>
        <v>20</v>
      </c>
      <c r="Y284" s="434">
        <f t="shared" si="120"/>
        <v>20</v>
      </c>
      <c r="Z284" s="434">
        <f t="shared" si="120"/>
        <v>20</v>
      </c>
      <c r="AA284" s="434">
        <f t="shared" si="120"/>
        <v>20</v>
      </c>
      <c r="AB284" s="434">
        <f t="shared" si="120"/>
        <v>20</v>
      </c>
      <c r="AC284" s="434">
        <f t="shared" si="120"/>
        <v>20</v>
      </c>
      <c r="AD284" s="434">
        <f t="shared" si="120"/>
        <v>20</v>
      </c>
      <c r="AE284" s="434">
        <f t="shared" si="120"/>
        <v>20</v>
      </c>
      <c r="AF284" s="434">
        <f t="shared" si="120"/>
        <v>20</v>
      </c>
    </row>
    <row r="285" spans="3:32">
      <c r="C285" s="631" t="s">
        <v>1482</v>
      </c>
      <c r="H285" s="434">
        <f t="shared" si="119"/>
        <v>42</v>
      </c>
      <c r="I285" s="434">
        <f t="shared" ref="I285:I299" si="121">MAX(J285:AM285)</f>
        <v>47</v>
      </c>
      <c r="J285" s="434">
        <f t="shared" ref="J285:AF285" si="122">SUM(J151:J173)</f>
        <v>1</v>
      </c>
      <c r="K285" s="434">
        <f t="shared" si="122"/>
        <v>1</v>
      </c>
      <c r="L285" s="434">
        <f t="shared" si="122"/>
        <v>1</v>
      </c>
      <c r="M285" s="434">
        <f t="shared" si="122"/>
        <v>1</v>
      </c>
      <c r="N285" s="434">
        <f t="shared" si="122"/>
        <v>38</v>
      </c>
      <c r="O285" s="434">
        <f t="shared" si="122"/>
        <v>38</v>
      </c>
      <c r="P285" s="434">
        <f t="shared" si="122"/>
        <v>41</v>
      </c>
      <c r="Q285" s="434">
        <f t="shared" si="122"/>
        <v>42</v>
      </c>
      <c r="R285" s="434">
        <f t="shared" si="122"/>
        <v>42</v>
      </c>
      <c r="S285" s="434">
        <f t="shared" si="122"/>
        <v>42</v>
      </c>
      <c r="T285" s="434">
        <f t="shared" si="122"/>
        <v>47</v>
      </c>
      <c r="U285" s="434">
        <f t="shared" si="122"/>
        <v>42</v>
      </c>
      <c r="V285" s="434">
        <f t="shared" si="122"/>
        <v>42</v>
      </c>
      <c r="W285" s="434">
        <f t="shared" si="122"/>
        <v>42</v>
      </c>
      <c r="X285" s="434">
        <f t="shared" si="122"/>
        <v>42</v>
      </c>
      <c r="Y285" s="434">
        <f t="shared" si="122"/>
        <v>42</v>
      </c>
      <c r="Z285" s="434">
        <f t="shared" si="122"/>
        <v>42</v>
      </c>
      <c r="AA285" s="434">
        <f t="shared" si="122"/>
        <v>42</v>
      </c>
      <c r="AB285" s="434">
        <f t="shared" si="122"/>
        <v>42</v>
      </c>
      <c r="AC285" s="434">
        <f t="shared" si="122"/>
        <v>42</v>
      </c>
      <c r="AD285" s="434">
        <f t="shared" si="122"/>
        <v>41</v>
      </c>
      <c r="AE285" s="434">
        <f t="shared" si="122"/>
        <v>38</v>
      </c>
      <c r="AF285" s="434">
        <f t="shared" si="122"/>
        <v>37</v>
      </c>
    </row>
    <row r="286" spans="3:32">
      <c r="C286" s="632" t="s">
        <v>1483</v>
      </c>
      <c r="H286" s="434">
        <f t="shared" si="119"/>
        <v>81</v>
      </c>
      <c r="I286" s="434">
        <f t="shared" si="121"/>
        <v>81</v>
      </c>
      <c r="J286" s="434">
        <f t="shared" ref="J286:AF286" si="123">SUM(J41,J43:J44,J48:J56,J74:J75,J178:J182)</f>
        <v>7</v>
      </c>
      <c r="K286" s="434">
        <f t="shared" si="123"/>
        <v>7</v>
      </c>
      <c r="L286" s="434">
        <f t="shared" si="123"/>
        <v>9</v>
      </c>
      <c r="M286" s="434">
        <f t="shared" si="123"/>
        <v>9</v>
      </c>
      <c r="N286" s="434">
        <f t="shared" si="123"/>
        <v>81</v>
      </c>
      <c r="O286" s="434">
        <f t="shared" si="123"/>
        <v>81</v>
      </c>
      <c r="P286" s="434">
        <f t="shared" si="123"/>
        <v>81</v>
      </c>
      <c r="Q286" s="434">
        <f t="shared" si="123"/>
        <v>81</v>
      </c>
      <c r="R286" s="434">
        <f t="shared" si="123"/>
        <v>81</v>
      </c>
      <c r="S286" s="434">
        <f t="shared" si="123"/>
        <v>81</v>
      </c>
      <c r="T286" s="434">
        <f t="shared" si="123"/>
        <v>81</v>
      </c>
      <c r="U286" s="434">
        <f t="shared" si="123"/>
        <v>81</v>
      </c>
      <c r="V286" s="434">
        <f t="shared" si="123"/>
        <v>81</v>
      </c>
      <c r="W286" s="434">
        <f t="shared" si="123"/>
        <v>81</v>
      </c>
      <c r="X286" s="434">
        <f t="shared" si="123"/>
        <v>81</v>
      </c>
      <c r="Y286" s="434">
        <f t="shared" si="123"/>
        <v>81</v>
      </c>
      <c r="Z286" s="434">
        <f t="shared" si="123"/>
        <v>81</v>
      </c>
      <c r="AA286" s="434">
        <f t="shared" si="123"/>
        <v>81</v>
      </c>
      <c r="AB286" s="434">
        <f t="shared" si="123"/>
        <v>81</v>
      </c>
      <c r="AC286" s="434">
        <f t="shared" si="123"/>
        <v>81</v>
      </c>
      <c r="AD286" s="434">
        <f t="shared" si="123"/>
        <v>81</v>
      </c>
      <c r="AE286" s="434">
        <f t="shared" si="123"/>
        <v>81</v>
      </c>
      <c r="AF286" s="434">
        <f t="shared" si="123"/>
        <v>81</v>
      </c>
    </row>
    <row r="287" spans="3:32">
      <c r="C287" s="633" t="s">
        <v>1476</v>
      </c>
      <c r="H287" s="434">
        <f t="shared" si="119"/>
        <v>329</v>
      </c>
      <c r="I287" s="434">
        <f t="shared" si="121"/>
        <v>368</v>
      </c>
      <c r="J287" s="434">
        <f t="shared" ref="J287:AF287" si="124">SUM(J185:J226)</f>
        <v>0</v>
      </c>
      <c r="K287" s="434">
        <f t="shared" si="124"/>
        <v>0</v>
      </c>
      <c r="L287" s="434">
        <f t="shared" si="124"/>
        <v>0</v>
      </c>
      <c r="M287" s="434">
        <f t="shared" si="124"/>
        <v>0</v>
      </c>
      <c r="N287" s="434">
        <f t="shared" si="124"/>
        <v>199</v>
      </c>
      <c r="O287" s="434">
        <f t="shared" si="124"/>
        <v>203</v>
      </c>
      <c r="P287" s="434">
        <f t="shared" si="124"/>
        <v>248</v>
      </c>
      <c r="Q287" s="434">
        <f t="shared" si="124"/>
        <v>320</v>
      </c>
      <c r="R287" s="434">
        <f t="shared" si="124"/>
        <v>329</v>
      </c>
      <c r="S287" s="434">
        <f t="shared" si="124"/>
        <v>365</v>
      </c>
      <c r="T287" s="434">
        <f t="shared" si="124"/>
        <v>362</v>
      </c>
      <c r="U287" s="434">
        <f t="shared" si="124"/>
        <v>350</v>
      </c>
      <c r="V287" s="434">
        <f t="shared" si="124"/>
        <v>357</v>
      </c>
      <c r="W287" s="434">
        <f t="shared" si="124"/>
        <v>350</v>
      </c>
      <c r="X287" s="434">
        <f t="shared" si="124"/>
        <v>364</v>
      </c>
      <c r="Y287" s="434">
        <f t="shared" si="124"/>
        <v>338</v>
      </c>
      <c r="Z287" s="434">
        <f t="shared" si="124"/>
        <v>332</v>
      </c>
      <c r="AA287" s="434">
        <f t="shared" si="124"/>
        <v>347</v>
      </c>
      <c r="AB287" s="434">
        <f t="shared" si="124"/>
        <v>349</v>
      </c>
      <c r="AC287" s="434">
        <f t="shared" si="124"/>
        <v>368</v>
      </c>
      <c r="AD287" s="434">
        <f t="shared" si="124"/>
        <v>307</v>
      </c>
      <c r="AE287" s="434">
        <f t="shared" si="124"/>
        <v>228</v>
      </c>
      <c r="AF287" s="434">
        <f t="shared" si="124"/>
        <v>200</v>
      </c>
    </row>
    <row r="288" spans="3:32">
      <c r="C288" s="634" t="s">
        <v>1484</v>
      </c>
      <c r="H288" s="434">
        <f t="shared" si="119"/>
        <v>106</v>
      </c>
      <c r="I288" s="434">
        <f t="shared" si="121"/>
        <v>106</v>
      </c>
      <c r="J288" s="434">
        <f t="shared" ref="J288:AF288" si="125">SUM(J115:J133)</f>
        <v>0</v>
      </c>
      <c r="K288" s="434">
        <f t="shared" si="125"/>
        <v>0</v>
      </c>
      <c r="L288" s="434">
        <f t="shared" si="125"/>
        <v>0</v>
      </c>
      <c r="M288" s="434">
        <f t="shared" si="125"/>
        <v>0</v>
      </c>
      <c r="N288" s="434">
        <f t="shared" si="125"/>
        <v>106</v>
      </c>
      <c r="O288" s="434">
        <f t="shared" si="125"/>
        <v>106</v>
      </c>
      <c r="P288" s="434">
        <f t="shared" si="125"/>
        <v>106</v>
      </c>
      <c r="Q288" s="434">
        <f t="shared" si="125"/>
        <v>106</v>
      </c>
      <c r="R288" s="434">
        <f t="shared" si="125"/>
        <v>106</v>
      </c>
      <c r="S288" s="434">
        <f t="shared" si="125"/>
        <v>106</v>
      </c>
      <c r="T288" s="434">
        <f t="shared" si="125"/>
        <v>106</v>
      </c>
      <c r="U288" s="434">
        <f t="shared" si="125"/>
        <v>106</v>
      </c>
      <c r="V288" s="434">
        <f t="shared" si="125"/>
        <v>106</v>
      </c>
      <c r="W288" s="434">
        <f t="shared" si="125"/>
        <v>106</v>
      </c>
      <c r="X288" s="434">
        <f t="shared" si="125"/>
        <v>106</v>
      </c>
      <c r="Y288" s="434">
        <f t="shared" si="125"/>
        <v>106</v>
      </c>
      <c r="Z288" s="434">
        <f t="shared" si="125"/>
        <v>106</v>
      </c>
      <c r="AA288" s="434">
        <f t="shared" si="125"/>
        <v>106</v>
      </c>
      <c r="AB288" s="434">
        <f t="shared" si="125"/>
        <v>106</v>
      </c>
      <c r="AC288" s="434">
        <f t="shared" si="125"/>
        <v>106</v>
      </c>
      <c r="AD288" s="434">
        <f t="shared" si="125"/>
        <v>106</v>
      </c>
      <c r="AE288" s="434">
        <f t="shared" si="125"/>
        <v>106</v>
      </c>
      <c r="AF288" s="434">
        <f t="shared" si="125"/>
        <v>106</v>
      </c>
    </row>
    <row r="289" spans="3:32">
      <c r="C289" s="635" t="s">
        <v>1436</v>
      </c>
      <c r="H289" s="434">
        <f t="shared" si="119"/>
        <v>56</v>
      </c>
      <c r="I289" s="434">
        <f t="shared" si="121"/>
        <v>56</v>
      </c>
      <c r="J289" s="434">
        <f t="shared" ref="J289:AF289" si="126">SUM(J136:J146)</f>
        <v>1</v>
      </c>
      <c r="K289" s="434">
        <f t="shared" si="126"/>
        <v>1</v>
      </c>
      <c r="L289" s="434">
        <f t="shared" si="126"/>
        <v>1</v>
      </c>
      <c r="M289" s="434">
        <f t="shared" si="126"/>
        <v>1</v>
      </c>
      <c r="N289" s="434">
        <f t="shared" si="126"/>
        <v>56</v>
      </c>
      <c r="O289" s="434">
        <f t="shared" si="126"/>
        <v>56</v>
      </c>
      <c r="P289" s="434">
        <f t="shared" si="126"/>
        <v>56</v>
      </c>
      <c r="Q289" s="434">
        <f t="shared" si="126"/>
        <v>56</v>
      </c>
      <c r="R289" s="434">
        <f t="shared" si="126"/>
        <v>56</v>
      </c>
      <c r="S289" s="434">
        <f t="shared" si="126"/>
        <v>56</v>
      </c>
      <c r="T289" s="434">
        <f t="shared" si="126"/>
        <v>56</v>
      </c>
      <c r="U289" s="434">
        <f t="shared" si="126"/>
        <v>56</v>
      </c>
      <c r="V289" s="434">
        <f t="shared" si="126"/>
        <v>56</v>
      </c>
      <c r="W289" s="434">
        <f t="shared" si="126"/>
        <v>56</v>
      </c>
      <c r="X289" s="434">
        <f t="shared" si="126"/>
        <v>56</v>
      </c>
      <c r="Y289" s="434">
        <f t="shared" si="126"/>
        <v>56</v>
      </c>
      <c r="Z289" s="434">
        <f t="shared" si="126"/>
        <v>56</v>
      </c>
      <c r="AA289" s="434">
        <f t="shared" si="126"/>
        <v>56</v>
      </c>
      <c r="AB289" s="434">
        <f t="shared" si="126"/>
        <v>56</v>
      </c>
      <c r="AC289" s="434">
        <f t="shared" si="126"/>
        <v>56</v>
      </c>
      <c r="AD289" s="434">
        <f t="shared" si="126"/>
        <v>56</v>
      </c>
      <c r="AE289" s="434">
        <f t="shared" si="126"/>
        <v>56</v>
      </c>
      <c r="AF289" s="434">
        <f t="shared" si="126"/>
        <v>56</v>
      </c>
    </row>
    <row r="290" spans="3:32">
      <c r="C290" s="636" t="s">
        <v>1444</v>
      </c>
      <c r="H290" s="434">
        <f t="shared" si="119"/>
        <v>18</v>
      </c>
      <c r="I290" s="434">
        <f t="shared" si="121"/>
        <v>18</v>
      </c>
      <c r="J290" s="434">
        <f t="shared" ref="J290:AF290" si="127">SUM(J147:J148)</f>
        <v>0</v>
      </c>
      <c r="K290" s="434">
        <f t="shared" si="127"/>
        <v>0</v>
      </c>
      <c r="L290" s="434">
        <f t="shared" si="127"/>
        <v>0</v>
      </c>
      <c r="M290" s="434">
        <f t="shared" si="127"/>
        <v>0</v>
      </c>
      <c r="N290" s="434">
        <f t="shared" si="127"/>
        <v>18</v>
      </c>
      <c r="O290" s="434">
        <f t="shared" si="127"/>
        <v>18</v>
      </c>
      <c r="P290" s="434">
        <f t="shared" si="127"/>
        <v>18</v>
      </c>
      <c r="Q290" s="434">
        <f t="shared" si="127"/>
        <v>18</v>
      </c>
      <c r="R290" s="434">
        <f t="shared" si="127"/>
        <v>18</v>
      </c>
      <c r="S290" s="434">
        <f t="shared" si="127"/>
        <v>18</v>
      </c>
      <c r="T290" s="434">
        <f t="shared" si="127"/>
        <v>18</v>
      </c>
      <c r="U290" s="434">
        <f t="shared" si="127"/>
        <v>18</v>
      </c>
      <c r="V290" s="434">
        <f t="shared" si="127"/>
        <v>18</v>
      </c>
      <c r="W290" s="434">
        <f t="shared" si="127"/>
        <v>18</v>
      </c>
      <c r="X290" s="434">
        <f t="shared" si="127"/>
        <v>18</v>
      </c>
      <c r="Y290" s="434">
        <f t="shared" si="127"/>
        <v>18</v>
      </c>
      <c r="Z290" s="434">
        <f t="shared" si="127"/>
        <v>18</v>
      </c>
      <c r="AA290" s="434">
        <f t="shared" si="127"/>
        <v>18</v>
      </c>
      <c r="AB290" s="434">
        <f t="shared" si="127"/>
        <v>18</v>
      </c>
      <c r="AC290" s="434">
        <f t="shared" si="127"/>
        <v>18</v>
      </c>
      <c r="AD290" s="434">
        <f t="shared" si="127"/>
        <v>18</v>
      </c>
      <c r="AE290" s="434">
        <f t="shared" si="127"/>
        <v>18</v>
      </c>
      <c r="AF290" s="434">
        <f t="shared" si="127"/>
        <v>18</v>
      </c>
    </row>
    <row r="291" spans="3:32">
      <c r="C291" s="637" t="s">
        <v>1485</v>
      </c>
      <c r="H291" s="434">
        <f t="shared" si="119"/>
        <v>113</v>
      </c>
      <c r="I291" s="434">
        <f t="shared" si="121"/>
        <v>113</v>
      </c>
      <c r="J291" s="434">
        <f t="shared" ref="J291:AF291" si="128">SUM(J79:J91,J98:J112,J67:J68)</f>
        <v>2</v>
      </c>
      <c r="K291" s="434">
        <f t="shared" si="128"/>
        <v>2</v>
      </c>
      <c r="L291" s="434">
        <f t="shared" si="128"/>
        <v>2</v>
      </c>
      <c r="M291" s="434">
        <f t="shared" si="128"/>
        <v>2</v>
      </c>
      <c r="N291" s="434">
        <f t="shared" si="128"/>
        <v>113</v>
      </c>
      <c r="O291" s="434">
        <f t="shared" si="128"/>
        <v>113</v>
      </c>
      <c r="P291" s="434">
        <f t="shared" si="128"/>
        <v>113</v>
      </c>
      <c r="Q291" s="434">
        <f t="shared" si="128"/>
        <v>113</v>
      </c>
      <c r="R291" s="434">
        <f t="shared" si="128"/>
        <v>113</v>
      </c>
      <c r="S291" s="434">
        <f t="shared" si="128"/>
        <v>113</v>
      </c>
      <c r="T291" s="434">
        <f t="shared" si="128"/>
        <v>113</v>
      </c>
      <c r="U291" s="434">
        <f t="shared" si="128"/>
        <v>113</v>
      </c>
      <c r="V291" s="434">
        <f t="shared" si="128"/>
        <v>113</v>
      </c>
      <c r="W291" s="434">
        <f t="shared" si="128"/>
        <v>113</v>
      </c>
      <c r="X291" s="434">
        <f t="shared" si="128"/>
        <v>113</v>
      </c>
      <c r="Y291" s="434">
        <f t="shared" si="128"/>
        <v>113</v>
      </c>
      <c r="Z291" s="434">
        <f t="shared" si="128"/>
        <v>113</v>
      </c>
      <c r="AA291" s="434">
        <f t="shared" si="128"/>
        <v>113</v>
      </c>
      <c r="AB291" s="434">
        <f t="shared" si="128"/>
        <v>113</v>
      </c>
      <c r="AC291" s="434">
        <f t="shared" si="128"/>
        <v>113</v>
      </c>
      <c r="AD291" s="434">
        <f t="shared" si="128"/>
        <v>113</v>
      </c>
      <c r="AE291" s="434">
        <f t="shared" si="128"/>
        <v>113</v>
      </c>
      <c r="AF291" s="434">
        <f t="shared" si="128"/>
        <v>113</v>
      </c>
    </row>
    <row r="292" spans="3:32">
      <c r="C292" s="638" t="s">
        <v>1486</v>
      </c>
      <c r="H292" s="434">
        <f t="shared" si="119"/>
        <v>19</v>
      </c>
      <c r="I292" s="434">
        <f t="shared" si="121"/>
        <v>19</v>
      </c>
      <c r="J292" s="434">
        <f t="shared" ref="J292:AF292" si="129">SUM(J92:J96)</f>
        <v>0</v>
      </c>
      <c r="K292" s="434">
        <f t="shared" si="129"/>
        <v>0</v>
      </c>
      <c r="L292" s="434">
        <f t="shared" si="129"/>
        <v>0</v>
      </c>
      <c r="M292" s="434">
        <f t="shared" si="129"/>
        <v>0</v>
      </c>
      <c r="N292" s="434">
        <f t="shared" si="129"/>
        <v>19</v>
      </c>
      <c r="O292" s="434">
        <f t="shared" si="129"/>
        <v>19</v>
      </c>
      <c r="P292" s="434">
        <f t="shared" si="129"/>
        <v>19</v>
      </c>
      <c r="Q292" s="434">
        <f t="shared" si="129"/>
        <v>19</v>
      </c>
      <c r="R292" s="434">
        <f t="shared" si="129"/>
        <v>19</v>
      </c>
      <c r="S292" s="434">
        <f t="shared" si="129"/>
        <v>19</v>
      </c>
      <c r="T292" s="434">
        <f t="shared" si="129"/>
        <v>19</v>
      </c>
      <c r="U292" s="434">
        <f t="shared" si="129"/>
        <v>19</v>
      </c>
      <c r="V292" s="434">
        <f t="shared" si="129"/>
        <v>19</v>
      </c>
      <c r="W292" s="434">
        <f t="shared" si="129"/>
        <v>19</v>
      </c>
      <c r="X292" s="434">
        <f t="shared" si="129"/>
        <v>19</v>
      </c>
      <c r="Y292" s="434">
        <f t="shared" si="129"/>
        <v>19</v>
      </c>
      <c r="Z292" s="434">
        <f t="shared" si="129"/>
        <v>19</v>
      </c>
      <c r="AA292" s="434">
        <f t="shared" si="129"/>
        <v>19</v>
      </c>
      <c r="AB292" s="434">
        <f t="shared" si="129"/>
        <v>19</v>
      </c>
      <c r="AC292" s="434">
        <f t="shared" si="129"/>
        <v>19</v>
      </c>
      <c r="AD292" s="434">
        <f t="shared" si="129"/>
        <v>19</v>
      </c>
      <c r="AE292" s="434">
        <f t="shared" si="129"/>
        <v>19</v>
      </c>
      <c r="AF292" s="434">
        <f t="shared" si="129"/>
        <v>19</v>
      </c>
    </row>
    <row r="293" spans="3:32">
      <c r="C293" s="639" t="s">
        <v>1487</v>
      </c>
      <c r="H293" s="434">
        <f t="shared" si="119"/>
        <v>4</v>
      </c>
      <c r="I293" s="434">
        <f t="shared" si="121"/>
        <v>4</v>
      </c>
      <c r="J293" s="434">
        <f t="shared" ref="J293:AF293" si="130">SUM(J28,J42)</f>
        <v>0</v>
      </c>
      <c r="K293" s="434">
        <f t="shared" si="130"/>
        <v>0</v>
      </c>
      <c r="L293" s="434">
        <f t="shared" si="130"/>
        <v>0</v>
      </c>
      <c r="M293" s="434">
        <f t="shared" si="130"/>
        <v>0</v>
      </c>
      <c r="N293" s="434">
        <f t="shared" si="130"/>
        <v>4</v>
      </c>
      <c r="O293" s="434">
        <f t="shared" si="130"/>
        <v>4</v>
      </c>
      <c r="P293" s="434">
        <f t="shared" si="130"/>
        <v>4</v>
      </c>
      <c r="Q293" s="434">
        <f t="shared" si="130"/>
        <v>4</v>
      </c>
      <c r="R293" s="434">
        <f t="shared" si="130"/>
        <v>4</v>
      </c>
      <c r="S293" s="434">
        <f t="shared" si="130"/>
        <v>4</v>
      </c>
      <c r="T293" s="434">
        <f t="shared" si="130"/>
        <v>4</v>
      </c>
      <c r="U293" s="434">
        <f t="shared" si="130"/>
        <v>4</v>
      </c>
      <c r="V293" s="434">
        <f t="shared" si="130"/>
        <v>4</v>
      </c>
      <c r="W293" s="434">
        <f t="shared" si="130"/>
        <v>4</v>
      </c>
      <c r="X293" s="434">
        <f t="shared" si="130"/>
        <v>4</v>
      </c>
      <c r="Y293" s="434">
        <f t="shared" si="130"/>
        <v>4</v>
      </c>
      <c r="Z293" s="434">
        <f t="shared" si="130"/>
        <v>4</v>
      </c>
      <c r="AA293" s="434">
        <f t="shared" si="130"/>
        <v>4</v>
      </c>
      <c r="AB293" s="434">
        <f t="shared" si="130"/>
        <v>4</v>
      </c>
      <c r="AC293" s="434">
        <f t="shared" si="130"/>
        <v>4</v>
      </c>
      <c r="AD293" s="434">
        <f t="shared" si="130"/>
        <v>4</v>
      </c>
      <c r="AE293" s="434">
        <f t="shared" si="130"/>
        <v>4</v>
      </c>
      <c r="AF293" s="434">
        <f t="shared" si="130"/>
        <v>4</v>
      </c>
    </row>
    <row r="294" spans="3:32">
      <c r="C294" s="435" t="s">
        <v>1349</v>
      </c>
      <c r="H294" s="434">
        <f t="shared" si="119"/>
        <v>8</v>
      </c>
      <c r="I294" s="434">
        <f t="shared" si="121"/>
        <v>8</v>
      </c>
      <c r="J294" s="434">
        <f t="shared" ref="J294:AF294" si="131">SUM(J30,J45:J47)</f>
        <v>0</v>
      </c>
      <c r="K294" s="434">
        <f t="shared" si="131"/>
        <v>0</v>
      </c>
      <c r="L294" s="434">
        <f t="shared" si="131"/>
        <v>0</v>
      </c>
      <c r="M294" s="434">
        <f t="shared" si="131"/>
        <v>0</v>
      </c>
      <c r="N294" s="434">
        <f t="shared" si="131"/>
        <v>8</v>
      </c>
      <c r="O294" s="434">
        <f t="shared" si="131"/>
        <v>8</v>
      </c>
      <c r="P294" s="434">
        <f t="shared" si="131"/>
        <v>8</v>
      </c>
      <c r="Q294" s="434">
        <f t="shared" si="131"/>
        <v>8</v>
      </c>
      <c r="R294" s="434">
        <f t="shared" si="131"/>
        <v>8</v>
      </c>
      <c r="S294" s="434">
        <f t="shared" si="131"/>
        <v>8</v>
      </c>
      <c r="T294" s="434">
        <f t="shared" si="131"/>
        <v>8</v>
      </c>
      <c r="U294" s="434">
        <f t="shared" si="131"/>
        <v>8</v>
      </c>
      <c r="V294" s="434">
        <f t="shared" si="131"/>
        <v>8</v>
      </c>
      <c r="W294" s="434">
        <f t="shared" si="131"/>
        <v>8</v>
      </c>
      <c r="X294" s="434">
        <f t="shared" si="131"/>
        <v>8</v>
      </c>
      <c r="Y294" s="434">
        <f t="shared" si="131"/>
        <v>8</v>
      </c>
      <c r="Z294" s="434">
        <f t="shared" si="131"/>
        <v>8</v>
      </c>
      <c r="AA294" s="434">
        <f t="shared" si="131"/>
        <v>8</v>
      </c>
      <c r="AB294" s="434">
        <f t="shared" si="131"/>
        <v>8</v>
      </c>
      <c r="AC294" s="434">
        <f t="shared" si="131"/>
        <v>8</v>
      </c>
      <c r="AD294" s="434">
        <f t="shared" si="131"/>
        <v>8</v>
      </c>
      <c r="AE294" s="434">
        <f t="shared" si="131"/>
        <v>8</v>
      </c>
      <c r="AF294" s="434">
        <f t="shared" si="131"/>
        <v>8</v>
      </c>
    </row>
    <row r="295" spans="3:32">
      <c r="C295" s="640" t="s">
        <v>1488</v>
      </c>
      <c r="H295" s="434">
        <f t="shared" si="119"/>
        <v>9</v>
      </c>
      <c r="I295" s="434">
        <f t="shared" si="121"/>
        <v>9</v>
      </c>
      <c r="J295" s="434">
        <f t="shared" ref="J295:AF295" si="132">SUM(J20:J21,J174:J177)</f>
        <v>1</v>
      </c>
      <c r="K295" s="434">
        <f t="shared" si="132"/>
        <v>2</v>
      </c>
      <c r="L295" s="434">
        <f t="shared" si="132"/>
        <v>2</v>
      </c>
      <c r="M295" s="434">
        <f t="shared" si="132"/>
        <v>2</v>
      </c>
      <c r="N295" s="434">
        <f t="shared" si="132"/>
        <v>9</v>
      </c>
      <c r="O295" s="434">
        <f t="shared" si="132"/>
        <v>9</v>
      </c>
      <c r="P295" s="434">
        <f t="shared" si="132"/>
        <v>9</v>
      </c>
      <c r="Q295" s="434">
        <f t="shared" si="132"/>
        <v>9</v>
      </c>
      <c r="R295" s="434">
        <f t="shared" si="132"/>
        <v>9</v>
      </c>
      <c r="S295" s="434">
        <f t="shared" si="132"/>
        <v>9</v>
      </c>
      <c r="T295" s="434">
        <f t="shared" si="132"/>
        <v>9</v>
      </c>
      <c r="U295" s="434">
        <f t="shared" si="132"/>
        <v>9</v>
      </c>
      <c r="V295" s="434">
        <f t="shared" si="132"/>
        <v>9</v>
      </c>
      <c r="W295" s="434">
        <f t="shared" si="132"/>
        <v>9</v>
      </c>
      <c r="X295" s="434">
        <f t="shared" si="132"/>
        <v>9</v>
      </c>
      <c r="Y295" s="434">
        <f t="shared" si="132"/>
        <v>9</v>
      </c>
      <c r="Z295" s="434">
        <f t="shared" si="132"/>
        <v>9</v>
      </c>
      <c r="AA295" s="434">
        <f t="shared" si="132"/>
        <v>9</v>
      </c>
      <c r="AB295" s="434">
        <f t="shared" si="132"/>
        <v>9</v>
      </c>
      <c r="AC295" s="434">
        <f t="shared" si="132"/>
        <v>9</v>
      </c>
      <c r="AD295" s="434">
        <f t="shared" si="132"/>
        <v>9</v>
      </c>
      <c r="AE295" s="434">
        <f t="shared" si="132"/>
        <v>9</v>
      </c>
      <c r="AF295" s="434">
        <f t="shared" si="132"/>
        <v>9</v>
      </c>
    </row>
    <row r="296" spans="3:32">
      <c r="C296" s="641" t="s">
        <v>1366</v>
      </c>
      <c r="H296" s="434">
        <f t="shared" si="119"/>
        <v>11</v>
      </c>
      <c r="I296" s="434">
        <f t="shared" si="121"/>
        <v>11</v>
      </c>
      <c r="J296" s="434">
        <f t="shared" ref="J296:AF296" si="133">SUM(J22,J61:J64)</f>
        <v>1</v>
      </c>
      <c r="K296" s="434">
        <f t="shared" si="133"/>
        <v>1</v>
      </c>
      <c r="L296" s="434">
        <f t="shared" si="133"/>
        <v>1</v>
      </c>
      <c r="M296" s="434">
        <f t="shared" si="133"/>
        <v>1</v>
      </c>
      <c r="N296" s="434">
        <f t="shared" si="133"/>
        <v>11</v>
      </c>
      <c r="O296" s="434">
        <f t="shared" si="133"/>
        <v>11</v>
      </c>
      <c r="P296" s="434">
        <f t="shared" si="133"/>
        <v>11</v>
      </c>
      <c r="Q296" s="434">
        <f t="shared" si="133"/>
        <v>11</v>
      </c>
      <c r="R296" s="434">
        <f t="shared" si="133"/>
        <v>11</v>
      </c>
      <c r="S296" s="434">
        <f t="shared" si="133"/>
        <v>11</v>
      </c>
      <c r="T296" s="434">
        <f t="shared" si="133"/>
        <v>11</v>
      </c>
      <c r="U296" s="434">
        <f t="shared" si="133"/>
        <v>11</v>
      </c>
      <c r="V296" s="434">
        <f t="shared" si="133"/>
        <v>11</v>
      </c>
      <c r="W296" s="434">
        <f t="shared" si="133"/>
        <v>11</v>
      </c>
      <c r="X296" s="434">
        <f t="shared" si="133"/>
        <v>11</v>
      </c>
      <c r="Y296" s="434">
        <f t="shared" si="133"/>
        <v>11</v>
      </c>
      <c r="Z296" s="434">
        <f t="shared" si="133"/>
        <v>11</v>
      </c>
      <c r="AA296" s="434">
        <f t="shared" si="133"/>
        <v>11</v>
      </c>
      <c r="AB296" s="434">
        <f t="shared" si="133"/>
        <v>11</v>
      </c>
      <c r="AC296" s="434">
        <f t="shared" si="133"/>
        <v>11</v>
      </c>
      <c r="AD296" s="434">
        <f t="shared" si="133"/>
        <v>11</v>
      </c>
      <c r="AE296" s="434">
        <f t="shared" si="133"/>
        <v>11</v>
      </c>
      <c r="AF296" s="434">
        <f t="shared" si="133"/>
        <v>11</v>
      </c>
    </row>
    <row r="297" spans="3:32">
      <c r="C297" s="642" t="s">
        <v>1371</v>
      </c>
      <c r="H297" s="434">
        <f t="shared" si="119"/>
        <v>5</v>
      </c>
      <c r="I297" s="434">
        <f t="shared" si="121"/>
        <v>5</v>
      </c>
      <c r="J297" s="434">
        <f t="shared" ref="J297:AF297" si="134">SUM(J23,J65:J66)</f>
        <v>3</v>
      </c>
      <c r="K297" s="434">
        <f t="shared" si="134"/>
        <v>3</v>
      </c>
      <c r="L297" s="434">
        <f t="shared" si="134"/>
        <v>3</v>
      </c>
      <c r="M297" s="434">
        <f t="shared" si="134"/>
        <v>5</v>
      </c>
      <c r="N297" s="434">
        <f t="shared" si="134"/>
        <v>5</v>
      </c>
      <c r="O297" s="434">
        <f t="shared" si="134"/>
        <v>5</v>
      </c>
      <c r="P297" s="434">
        <f t="shared" si="134"/>
        <v>5</v>
      </c>
      <c r="Q297" s="434">
        <f t="shared" si="134"/>
        <v>5</v>
      </c>
      <c r="R297" s="434">
        <f t="shared" si="134"/>
        <v>5</v>
      </c>
      <c r="S297" s="434">
        <f t="shared" si="134"/>
        <v>5</v>
      </c>
      <c r="T297" s="434">
        <f t="shared" si="134"/>
        <v>5</v>
      </c>
      <c r="U297" s="434">
        <f t="shared" si="134"/>
        <v>5</v>
      </c>
      <c r="V297" s="434">
        <f t="shared" si="134"/>
        <v>5</v>
      </c>
      <c r="W297" s="434">
        <f t="shared" si="134"/>
        <v>5</v>
      </c>
      <c r="X297" s="434">
        <f t="shared" si="134"/>
        <v>5</v>
      </c>
      <c r="Y297" s="434">
        <f t="shared" si="134"/>
        <v>5</v>
      </c>
      <c r="Z297" s="434">
        <f t="shared" si="134"/>
        <v>5</v>
      </c>
      <c r="AA297" s="434">
        <f t="shared" si="134"/>
        <v>5</v>
      </c>
      <c r="AB297" s="434">
        <f t="shared" si="134"/>
        <v>5</v>
      </c>
      <c r="AC297" s="434">
        <f t="shared" si="134"/>
        <v>5</v>
      </c>
      <c r="AD297" s="434">
        <f t="shared" si="134"/>
        <v>5</v>
      </c>
      <c r="AE297" s="434">
        <f t="shared" si="134"/>
        <v>5</v>
      </c>
      <c r="AF297" s="434">
        <f t="shared" si="134"/>
        <v>5</v>
      </c>
    </row>
    <row r="298" spans="3:32">
      <c r="C298" s="643" t="s">
        <v>1489</v>
      </c>
      <c r="H298" s="434">
        <f t="shared" si="119"/>
        <v>1</v>
      </c>
      <c r="I298" s="434">
        <f t="shared" si="121"/>
        <v>1</v>
      </c>
      <c r="J298" s="434">
        <f t="shared" ref="J298:AF298" si="135">SUM(J24)</f>
        <v>1</v>
      </c>
      <c r="K298" s="434">
        <f t="shared" si="135"/>
        <v>1</v>
      </c>
      <c r="L298" s="434">
        <f t="shared" si="135"/>
        <v>1</v>
      </c>
      <c r="M298" s="434">
        <f t="shared" si="135"/>
        <v>1</v>
      </c>
      <c r="N298" s="434">
        <f t="shared" si="135"/>
        <v>1</v>
      </c>
      <c r="O298" s="434">
        <f t="shared" si="135"/>
        <v>1</v>
      </c>
      <c r="P298" s="434">
        <f t="shared" si="135"/>
        <v>1</v>
      </c>
      <c r="Q298" s="434">
        <f t="shared" si="135"/>
        <v>1</v>
      </c>
      <c r="R298" s="434">
        <f t="shared" si="135"/>
        <v>1</v>
      </c>
      <c r="S298" s="434">
        <f t="shared" si="135"/>
        <v>1</v>
      </c>
      <c r="T298" s="434">
        <f t="shared" si="135"/>
        <v>1</v>
      </c>
      <c r="U298" s="434">
        <f t="shared" si="135"/>
        <v>1</v>
      </c>
      <c r="V298" s="434">
        <f t="shared" si="135"/>
        <v>1</v>
      </c>
      <c r="W298" s="434">
        <f t="shared" si="135"/>
        <v>1</v>
      </c>
      <c r="X298" s="434">
        <f t="shared" si="135"/>
        <v>1</v>
      </c>
      <c r="Y298" s="434">
        <f t="shared" si="135"/>
        <v>1</v>
      </c>
      <c r="Z298" s="434">
        <f t="shared" si="135"/>
        <v>1</v>
      </c>
      <c r="AA298" s="434">
        <f t="shared" si="135"/>
        <v>1</v>
      </c>
      <c r="AB298" s="434">
        <f t="shared" si="135"/>
        <v>1</v>
      </c>
      <c r="AC298" s="434">
        <f t="shared" si="135"/>
        <v>1</v>
      </c>
      <c r="AD298" s="434">
        <f t="shared" si="135"/>
        <v>1</v>
      </c>
      <c r="AE298" s="434">
        <f t="shared" si="135"/>
        <v>1</v>
      </c>
      <c r="AF298" s="434">
        <f t="shared" si="135"/>
        <v>1</v>
      </c>
    </row>
    <row r="299" spans="3:32">
      <c r="C299" s="367" t="s">
        <v>1362</v>
      </c>
      <c r="H299" s="434">
        <f t="shared" si="119"/>
        <v>58</v>
      </c>
      <c r="I299" s="434">
        <f t="shared" si="121"/>
        <v>58</v>
      </c>
      <c r="J299" s="434">
        <f t="shared" ref="J299:AF299" si="136">SUM(J57:J60)</f>
        <v>0</v>
      </c>
      <c r="K299" s="434">
        <f t="shared" si="136"/>
        <v>0</v>
      </c>
      <c r="L299" s="434">
        <f t="shared" si="136"/>
        <v>0</v>
      </c>
      <c r="M299" s="434">
        <f t="shared" si="136"/>
        <v>0</v>
      </c>
      <c r="N299" s="434">
        <f t="shared" si="136"/>
        <v>58</v>
      </c>
      <c r="O299" s="434">
        <f t="shared" si="136"/>
        <v>58</v>
      </c>
      <c r="P299" s="434">
        <f t="shared" si="136"/>
        <v>58</v>
      </c>
      <c r="Q299" s="434">
        <f t="shared" si="136"/>
        <v>58</v>
      </c>
      <c r="R299" s="434">
        <f t="shared" si="136"/>
        <v>58</v>
      </c>
      <c r="S299" s="434">
        <f t="shared" si="136"/>
        <v>58</v>
      </c>
      <c r="T299" s="434">
        <f t="shared" si="136"/>
        <v>58</v>
      </c>
      <c r="U299" s="434">
        <f t="shared" si="136"/>
        <v>58</v>
      </c>
      <c r="V299" s="434">
        <f t="shared" si="136"/>
        <v>58</v>
      </c>
      <c r="W299" s="434">
        <f t="shared" si="136"/>
        <v>58</v>
      </c>
      <c r="X299" s="434">
        <f t="shared" si="136"/>
        <v>58</v>
      </c>
      <c r="Y299" s="434">
        <f t="shared" si="136"/>
        <v>58</v>
      </c>
      <c r="Z299" s="434">
        <f t="shared" si="136"/>
        <v>58</v>
      </c>
      <c r="AA299" s="434">
        <f t="shared" si="136"/>
        <v>58</v>
      </c>
      <c r="AB299" s="434">
        <f t="shared" si="136"/>
        <v>58</v>
      </c>
      <c r="AC299" s="434">
        <f t="shared" si="136"/>
        <v>58</v>
      </c>
      <c r="AD299" s="434">
        <f t="shared" si="136"/>
        <v>58</v>
      </c>
      <c r="AE299" s="434">
        <f t="shared" si="136"/>
        <v>58</v>
      </c>
      <c r="AF299" s="434">
        <f t="shared" si="136"/>
        <v>58</v>
      </c>
    </row>
    <row r="300" spans="3:32">
      <c r="C300" t="s">
        <v>267</v>
      </c>
      <c r="H300" s="434">
        <f>SUM(H284:H299)</f>
        <v>881</v>
      </c>
      <c r="I300" s="434">
        <f>SUM(I284:I299)</f>
        <v>925</v>
      </c>
      <c r="J300" s="434">
        <f t="shared" ref="J300:AF300" si="137">SUM(J284:J299)</f>
        <v>28</v>
      </c>
      <c r="K300" s="434">
        <f t="shared" si="137"/>
        <v>29</v>
      </c>
      <c r="L300" s="434">
        <f t="shared" si="137"/>
        <v>34</v>
      </c>
      <c r="M300" s="434">
        <f t="shared" si="137"/>
        <v>41</v>
      </c>
      <c r="N300" s="434">
        <f t="shared" si="137"/>
        <v>747</v>
      </c>
      <c r="O300" s="434">
        <f t="shared" si="137"/>
        <v>751</v>
      </c>
      <c r="P300" s="434">
        <f t="shared" si="137"/>
        <v>799</v>
      </c>
      <c r="Q300" s="434">
        <f t="shared" si="137"/>
        <v>872</v>
      </c>
      <c r="R300" s="434">
        <f t="shared" si="137"/>
        <v>881</v>
      </c>
      <c r="S300" s="434">
        <f t="shared" si="137"/>
        <v>916</v>
      </c>
      <c r="T300" s="434">
        <f t="shared" si="137"/>
        <v>918</v>
      </c>
      <c r="U300" s="434">
        <f t="shared" si="137"/>
        <v>901</v>
      </c>
      <c r="V300" s="434">
        <f t="shared" si="137"/>
        <v>908</v>
      </c>
      <c r="W300" s="434">
        <f t="shared" si="137"/>
        <v>901</v>
      </c>
      <c r="X300" s="434">
        <f t="shared" si="137"/>
        <v>915</v>
      </c>
      <c r="Y300" s="434">
        <f t="shared" si="137"/>
        <v>889</v>
      </c>
      <c r="Z300" s="434">
        <f t="shared" si="137"/>
        <v>883</v>
      </c>
      <c r="AA300" s="434">
        <f t="shared" si="137"/>
        <v>898</v>
      </c>
      <c r="AB300" s="434">
        <f t="shared" si="137"/>
        <v>900</v>
      </c>
      <c r="AC300" s="434">
        <f t="shared" si="137"/>
        <v>919</v>
      </c>
      <c r="AD300" s="434">
        <f t="shared" si="137"/>
        <v>857</v>
      </c>
      <c r="AE300" s="434">
        <f t="shared" si="137"/>
        <v>775</v>
      </c>
      <c r="AF300" s="434">
        <f t="shared" si="137"/>
        <v>746</v>
      </c>
    </row>
    <row r="301" spans="3:32">
      <c r="J301" s="639" t="b">
        <f t="shared" ref="J301:AF301" ca="1" si="138">J300=J253</f>
        <v>1</v>
      </c>
      <c r="K301" s="639" t="b">
        <f t="shared" ca="1" si="138"/>
        <v>1</v>
      </c>
      <c r="L301" s="639" t="b">
        <f t="shared" ca="1" si="138"/>
        <v>1</v>
      </c>
      <c r="M301" t="b">
        <f t="shared" ca="1" si="138"/>
        <v>0</v>
      </c>
      <c r="N301" t="b">
        <f t="shared" ca="1" si="138"/>
        <v>0</v>
      </c>
      <c r="O301" t="b">
        <f t="shared" ca="1" si="138"/>
        <v>0</v>
      </c>
      <c r="P301" t="b">
        <f t="shared" ca="1" si="138"/>
        <v>0</v>
      </c>
      <c r="Q301" t="b">
        <f t="shared" ca="1" si="138"/>
        <v>0</v>
      </c>
      <c r="R301" t="b">
        <f t="shared" ca="1" si="138"/>
        <v>0</v>
      </c>
      <c r="S301" t="b">
        <f t="shared" ca="1" si="138"/>
        <v>0</v>
      </c>
      <c r="T301" t="b">
        <f t="shared" ca="1" si="138"/>
        <v>0</v>
      </c>
      <c r="U301" t="b">
        <f t="shared" ca="1" si="138"/>
        <v>0</v>
      </c>
      <c r="V301" t="b">
        <f t="shared" ca="1" si="138"/>
        <v>0</v>
      </c>
      <c r="W301" t="b">
        <f t="shared" ca="1" si="138"/>
        <v>0</v>
      </c>
      <c r="X301" t="b">
        <f t="shared" ca="1" si="138"/>
        <v>0</v>
      </c>
      <c r="Y301" t="b">
        <f t="shared" ca="1" si="138"/>
        <v>0</v>
      </c>
      <c r="Z301" t="b">
        <f t="shared" ca="1" si="138"/>
        <v>0</v>
      </c>
      <c r="AA301" t="b">
        <f t="shared" ca="1" si="138"/>
        <v>0</v>
      </c>
      <c r="AB301" t="b">
        <f t="shared" ca="1" si="138"/>
        <v>0</v>
      </c>
      <c r="AC301" t="b">
        <f t="shared" ca="1" si="138"/>
        <v>0</v>
      </c>
      <c r="AD301" t="b">
        <f t="shared" ca="1" si="138"/>
        <v>0</v>
      </c>
      <c r="AE301" t="b">
        <f t="shared" ca="1" si="138"/>
        <v>0</v>
      </c>
      <c r="AF301" t="b">
        <f t="shared" ca="1" si="138"/>
        <v>0</v>
      </c>
    </row>
    <row r="306" spans="3:5">
      <c r="C306" s="191" t="s">
        <v>1490</v>
      </c>
      <c r="D306" s="191" t="s">
        <v>1491</v>
      </c>
      <c r="E306" s="191" t="s">
        <v>1492</v>
      </c>
    </row>
    <row r="307" spans="3:5">
      <c r="C307" s="94" t="s">
        <v>1493</v>
      </c>
      <c r="D307">
        <f>3</f>
        <v>3</v>
      </c>
      <c r="E307">
        <f>1*3</f>
        <v>3</v>
      </c>
    </row>
    <row r="308" spans="3:5">
      <c r="C308" s="368" t="s">
        <v>1494</v>
      </c>
      <c r="D308">
        <v>3</v>
      </c>
    </row>
    <row r="309" spans="3:5">
      <c r="C309" s="368" t="s">
        <v>1495</v>
      </c>
    </row>
    <row r="310" spans="3:5">
      <c r="C310" s="94" t="s">
        <v>1496</v>
      </c>
      <c r="D310">
        <v>3</v>
      </c>
    </row>
    <row r="311" spans="3:5">
      <c r="C311" s="94" t="s">
        <v>1497</v>
      </c>
      <c r="D311">
        <v>3</v>
      </c>
    </row>
    <row r="312" spans="3:5">
      <c r="C312" s="94" t="s">
        <v>1498</v>
      </c>
      <c r="D312">
        <v>3</v>
      </c>
    </row>
    <row r="313" spans="3:5">
      <c r="C313" s="94" t="s">
        <v>1499</v>
      </c>
      <c r="D313">
        <v>3</v>
      </c>
    </row>
    <row r="314" spans="3:5">
      <c r="C314" s="94" t="s">
        <v>1500</v>
      </c>
      <c r="D314">
        <v>3</v>
      </c>
    </row>
    <row r="315" spans="3:5">
      <c r="C315" s="94" t="s">
        <v>1501</v>
      </c>
      <c r="D315">
        <v>3</v>
      </c>
    </row>
    <row r="316" spans="3:5">
      <c r="C316" s="94" t="s">
        <v>251</v>
      </c>
      <c r="D316">
        <f>3*3</f>
        <v>9</v>
      </c>
    </row>
    <row r="317" spans="3:5">
      <c r="C317" s="94" t="s">
        <v>1502</v>
      </c>
    </row>
    <row r="318" spans="3:5">
      <c r="C318" s="94" t="s">
        <v>1503</v>
      </c>
      <c r="D318">
        <v>3</v>
      </c>
    </row>
    <row r="319" spans="3:5">
      <c r="C319" s="94" t="s">
        <v>624</v>
      </c>
      <c r="E319">
        <f>2*3</f>
        <v>6</v>
      </c>
    </row>
    <row r="320" spans="3:5">
      <c r="C320" s="94" t="s">
        <v>1504</v>
      </c>
      <c r="D320">
        <f>3*3</f>
        <v>9</v>
      </c>
    </row>
    <row r="321" spans="4:5">
      <c r="D321">
        <f>SUM(D307:D320)</f>
        <v>45</v>
      </c>
      <c r="E321">
        <f>SUM(E307:E320)</f>
        <v>9</v>
      </c>
    </row>
  </sheetData>
  <phoneticPr fontId="92" type="noConversion"/>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8498-B31A-491F-B429-EA8B80787C7C}">
  <sheetPr codeName="Sheet37">
    <tabColor rgb="FF0070C0"/>
  </sheetPr>
  <dimension ref="B2:BI321"/>
  <sheetViews>
    <sheetView showGridLines="0" workbookViewId="0"/>
  </sheetViews>
  <sheetFormatPr baseColWidth="10" defaultColWidth="8.83203125" defaultRowHeight="13"/>
  <cols>
    <col min="1" max="1" width="2.5" customWidth="1"/>
    <col min="2" max="2" width="26.5" customWidth="1"/>
    <col min="3" max="3" width="50.1640625" bestFit="1" customWidth="1"/>
    <col min="4" max="4" width="10.5" customWidth="1"/>
    <col min="6" max="6" width="5.83203125" customWidth="1"/>
    <col min="7" max="7" width="6.6640625" customWidth="1"/>
    <col min="8" max="8" width="12.83203125" bestFit="1" customWidth="1"/>
    <col min="9" max="9" width="9.33203125" customWidth="1"/>
  </cols>
  <sheetData>
    <row r="2" spans="2:61">
      <c r="B2" s="142"/>
      <c r="C2" s="140" t="s">
        <v>1300</v>
      </c>
      <c r="D2" s="140"/>
      <c r="J2" s="201">
        <f>'Production Schedule'!E1</f>
        <v>46023</v>
      </c>
      <c r="K2" s="201">
        <f>'Production Schedule'!F1</f>
        <v>46389</v>
      </c>
      <c r="L2" s="201">
        <f>'Production Schedule'!G1</f>
        <v>46755</v>
      </c>
      <c r="M2" s="201">
        <f>'Production Schedule'!H1</f>
        <v>47121</v>
      </c>
      <c r="N2" s="201">
        <f>'Production Schedule'!I1</f>
        <v>47487</v>
      </c>
      <c r="O2" s="201">
        <f>'Production Schedule'!J1</f>
        <v>47853</v>
      </c>
      <c r="P2" s="201">
        <f>'Production Schedule'!K1</f>
        <v>48219</v>
      </c>
      <c r="Q2" s="201">
        <f>'Production Schedule'!L1</f>
        <v>48585</v>
      </c>
      <c r="R2" s="201">
        <f>'Production Schedule'!M1</f>
        <v>48951</v>
      </c>
      <c r="S2" s="201">
        <f>'Production Schedule'!N1</f>
        <v>49317</v>
      </c>
      <c r="T2" s="201">
        <f>'Production Schedule'!O1</f>
        <v>49683</v>
      </c>
      <c r="U2" s="201">
        <f>'Production Schedule'!P1</f>
        <v>50049</v>
      </c>
      <c r="V2" s="201">
        <f>'Production Schedule'!Q1</f>
        <v>50415</v>
      </c>
      <c r="W2" s="201">
        <f>'Production Schedule'!R1</f>
        <v>50781</v>
      </c>
      <c r="X2" s="201">
        <f>'Production Schedule'!S1</f>
        <v>51147</v>
      </c>
      <c r="Y2" s="201">
        <f>'Production Schedule'!T1</f>
        <v>51513</v>
      </c>
      <c r="Z2" s="201">
        <f>'Production Schedule'!U1</f>
        <v>51879</v>
      </c>
      <c r="AA2" s="201">
        <f>'Production Schedule'!V1</f>
        <v>52245</v>
      </c>
      <c r="AB2" s="201">
        <f>'Production Schedule'!W1</f>
        <v>52611</v>
      </c>
      <c r="AC2" s="201">
        <f>'Production Schedule'!X1</f>
        <v>52977</v>
      </c>
      <c r="AD2" s="201">
        <f>'Production Schedule'!Y1</f>
        <v>53343</v>
      </c>
      <c r="AE2" s="201">
        <f>'Production Schedule'!Z1</f>
        <v>53709</v>
      </c>
      <c r="AF2" s="201">
        <f>'Production Schedule'!AA1</f>
        <v>54075</v>
      </c>
      <c r="AG2" s="201">
        <f>'Production Schedule'!AB1</f>
        <v>0</v>
      </c>
      <c r="AH2" s="201">
        <f>'Production Schedule'!AC1</f>
        <v>0</v>
      </c>
      <c r="AI2" s="201">
        <f>'Production Schedule'!AD1</f>
        <v>0</v>
      </c>
      <c r="AJ2" s="201">
        <f>'Production Schedule'!AE1</f>
        <v>0</v>
      </c>
      <c r="AK2" s="201">
        <f>'Production Schedule'!AF1</f>
        <v>0</v>
      </c>
      <c r="AL2" s="201">
        <f>'Production Schedule'!AG1</f>
        <v>0</v>
      </c>
      <c r="AM2" s="201">
        <f>'Production Schedule'!AH1</f>
        <v>0</v>
      </c>
      <c r="AN2" s="201">
        <f>'Production Schedule'!AI1</f>
        <v>0</v>
      </c>
      <c r="AO2" s="201">
        <f>'Production Schedule'!AJ1</f>
        <v>0</v>
      </c>
      <c r="AP2" s="201">
        <f>'Production Schedule'!AK1</f>
        <v>0</v>
      </c>
      <c r="AQ2" s="201">
        <f>'Production Schedule'!AL1</f>
        <v>0</v>
      </c>
      <c r="AR2" s="201">
        <f>'Production Schedule'!AM1</f>
        <v>0</v>
      </c>
      <c r="AS2" s="201">
        <f>'Production Schedule'!AN1</f>
        <v>0</v>
      </c>
      <c r="AT2" s="201">
        <f>'Production Schedule'!AO1</f>
        <v>0</v>
      </c>
    </row>
    <row r="3" spans="2:61" ht="28">
      <c r="B3" s="142"/>
      <c r="C3" s="140"/>
      <c r="D3" s="140"/>
      <c r="E3" s="144" t="s">
        <v>88</v>
      </c>
      <c r="F3" s="144"/>
      <c r="G3" s="144"/>
      <c r="H3" s="144"/>
      <c r="I3" s="143" t="s">
        <v>1301</v>
      </c>
      <c r="J3" s="1141">
        <f>'Production Schedule'!E3</f>
        <v>-4</v>
      </c>
      <c r="K3" s="1141">
        <f>'Production Schedule'!F3</f>
        <v>-3</v>
      </c>
      <c r="L3" s="1141">
        <f>'Production Schedule'!G3</f>
        <v>-2</v>
      </c>
      <c r="M3" s="1141">
        <f>'Production Schedule'!H3</f>
        <v>-1</v>
      </c>
      <c r="N3" s="1141">
        <f>'Production Schedule'!I3</f>
        <v>1</v>
      </c>
      <c r="O3" s="1141">
        <f>'Production Schedule'!J3</f>
        <v>2</v>
      </c>
      <c r="P3" s="1141">
        <f>'Production Schedule'!K3</f>
        <v>3</v>
      </c>
      <c r="Q3" s="1141">
        <f>'Production Schedule'!L3</f>
        <v>4</v>
      </c>
      <c r="R3" s="1141">
        <f>'Production Schedule'!M3</f>
        <v>5</v>
      </c>
      <c r="S3" s="1141">
        <f>'Production Schedule'!N3</f>
        <v>6</v>
      </c>
      <c r="T3" s="1141">
        <f>'Production Schedule'!O3</f>
        <v>7</v>
      </c>
      <c r="U3" s="1141">
        <f>'Production Schedule'!P3</f>
        <v>8</v>
      </c>
      <c r="V3" s="1141">
        <f>'Production Schedule'!Q3</f>
        <v>9</v>
      </c>
      <c r="W3" s="1141">
        <f>'Production Schedule'!R3</f>
        <v>10</v>
      </c>
      <c r="X3" s="1141">
        <f>'Production Schedule'!S3</f>
        <v>11</v>
      </c>
      <c r="Y3" s="1141">
        <f>'Production Schedule'!T3</f>
        <v>12</v>
      </c>
      <c r="Z3" s="1141">
        <f>'Production Schedule'!U3</f>
        <v>13</v>
      </c>
      <c r="AA3" s="1141">
        <f>'Production Schedule'!V3</f>
        <v>14</v>
      </c>
      <c r="AB3" s="1141">
        <f>'Production Schedule'!W3</f>
        <v>15</v>
      </c>
      <c r="AC3" s="1141">
        <f>'Production Schedule'!X3</f>
        <v>16</v>
      </c>
      <c r="AD3" s="1141">
        <f>'Production Schedule'!Y3</f>
        <v>17</v>
      </c>
      <c r="AE3" s="1141">
        <f>'Production Schedule'!Z3</f>
        <v>18</v>
      </c>
      <c r="AF3" s="1141">
        <f>'Production Schedule'!AA3</f>
        <v>19</v>
      </c>
      <c r="AG3" s="1141">
        <f>'Production Schedule'!AB3</f>
        <v>0</v>
      </c>
      <c r="AH3" s="1141">
        <f>'Production Schedule'!AC3</f>
        <v>0</v>
      </c>
      <c r="AI3" s="1141">
        <f>'Production Schedule'!AD3</f>
        <v>0</v>
      </c>
      <c r="AJ3" s="1141">
        <f>'Production Schedule'!AE3</f>
        <v>0</v>
      </c>
      <c r="AK3" s="1141">
        <f>'Production Schedule'!AF3</f>
        <v>0</v>
      </c>
      <c r="AL3" s="1141">
        <f>'Production Schedule'!AG3</f>
        <v>0</v>
      </c>
      <c r="AM3" s="1141">
        <f>'Production Schedule'!AH3</f>
        <v>0</v>
      </c>
      <c r="AN3" s="1141">
        <f>'Production Schedule'!AI3</f>
        <v>0</v>
      </c>
      <c r="AO3" s="1141">
        <f>'Production Schedule'!AJ3</f>
        <v>0</v>
      </c>
      <c r="AP3" s="1141">
        <f>'Production Schedule'!AK3</f>
        <v>0</v>
      </c>
      <c r="AQ3" s="1141">
        <f>'Production Schedule'!AL3</f>
        <v>0</v>
      </c>
      <c r="AR3" s="1141">
        <f>'Production Schedule'!AM3</f>
        <v>0</v>
      </c>
      <c r="AS3" s="1141">
        <f>'Production Schedule'!AN3</f>
        <v>0</v>
      </c>
      <c r="AT3" s="1141">
        <f>'Production Schedule'!AO3</f>
        <v>0</v>
      </c>
      <c r="AU3" s="1141">
        <f>'Production Schedule'!AP3</f>
        <v>0</v>
      </c>
      <c r="AV3" s="1141">
        <f>'Production Schedule'!AQ3</f>
        <v>0</v>
      </c>
      <c r="AW3" s="1141">
        <f>'Production Schedule'!AR3</f>
        <v>0</v>
      </c>
      <c r="AX3" s="1141">
        <f>'Production Schedule'!AS3</f>
        <v>0</v>
      </c>
      <c r="AY3" s="1141">
        <f>'Production Schedule'!AT3</f>
        <v>0</v>
      </c>
      <c r="AZ3" s="1141">
        <f>'Production Schedule'!AU3</f>
        <v>0</v>
      </c>
      <c r="BA3" s="1141">
        <f>'Production Schedule'!AV3</f>
        <v>0</v>
      </c>
      <c r="BB3" s="1141">
        <f>'Production Schedule'!AW3</f>
        <v>0</v>
      </c>
      <c r="BC3" s="1141">
        <f>'Production Schedule'!AX3</f>
        <v>0</v>
      </c>
      <c r="BD3" s="1141">
        <f>'Production Schedule'!AY3</f>
        <v>0</v>
      </c>
      <c r="BE3" s="1141">
        <f>'Production Schedule'!AZ3</f>
        <v>0</v>
      </c>
      <c r="BF3" s="1141">
        <f>'Production Schedule'!BA3</f>
        <v>0</v>
      </c>
      <c r="BG3" s="1141">
        <f>'Production Schedule'!BB3</f>
        <v>0</v>
      </c>
      <c r="BH3" s="1141">
        <f>'Production Schedule'!BC3</f>
        <v>0</v>
      </c>
      <c r="BI3" s="1141">
        <f>'Production Schedule'!BD3</f>
        <v>0</v>
      </c>
    </row>
    <row r="4" spans="2:61">
      <c r="C4" t="s">
        <v>509</v>
      </c>
      <c r="E4" s="141" t="s">
        <v>113</v>
      </c>
      <c r="F4" s="141"/>
      <c r="G4" s="141"/>
      <c r="H4" s="141"/>
      <c r="J4" s="181">
        <f>'Production Schedule'!E5</f>
        <v>0</v>
      </c>
      <c r="K4" s="181">
        <f>'Production Schedule'!F5</f>
        <v>0</v>
      </c>
      <c r="L4" s="181">
        <f>'Production Schedule'!G5</f>
        <v>0</v>
      </c>
      <c r="M4" s="181">
        <f>'Production Schedule'!H5</f>
        <v>0</v>
      </c>
      <c r="N4" s="181">
        <f>'Production Schedule'!I5</f>
        <v>1.9999997549999999</v>
      </c>
      <c r="O4" s="181">
        <f>'Production Schedule'!J5</f>
        <v>3.9999986549999997</v>
      </c>
      <c r="P4" s="181">
        <f>'Production Schedule'!K5</f>
        <v>8.00000073</v>
      </c>
      <c r="Q4" s="181">
        <f>'Production Schedule'!L5</f>
        <v>11.999998529999999</v>
      </c>
      <c r="R4" s="181">
        <f>'Production Schedule'!M5</f>
        <v>14.99999517</v>
      </c>
      <c r="S4" s="181">
        <f>'Production Schedule'!N5</f>
        <v>15.000007140000001</v>
      </c>
      <c r="T4" s="181">
        <f>'Production Schedule'!O5</f>
        <v>14.999998590000001</v>
      </c>
      <c r="U4" s="181">
        <f>'Production Schedule'!P5</f>
        <v>14.999996879999999</v>
      </c>
      <c r="V4" s="181">
        <f>'Production Schedule'!Q5</f>
        <v>15.000003719999999</v>
      </c>
      <c r="W4" s="181">
        <f>'Production Schedule'!R5</f>
        <v>14.99999517</v>
      </c>
      <c r="X4" s="181">
        <f>'Production Schedule'!S5</f>
        <v>14.999996879999999</v>
      </c>
      <c r="Y4" s="181">
        <f>'Production Schedule'!T5</f>
        <v>15.000002009999999</v>
      </c>
      <c r="Z4" s="181">
        <f>'Production Schedule'!U5</f>
        <v>15.00001569</v>
      </c>
      <c r="AA4" s="181">
        <f>'Production Schedule'!V5</f>
        <v>15.000002009999999</v>
      </c>
      <c r="AB4" s="181">
        <f>'Production Schedule'!W5</f>
        <v>15.000002009999999</v>
      </c>
      <c r="AC4" s="181">
        <f>'Production Schedule'!X5</f>
        <v>15.000000299999998</v>
      </c>
      <c r="AD4" s="181">
        <f>'Production Schedule'!Y5</f>
        <v>9.9999996299999996</v>
      </c>
      <c r="AE4" s="181">
        <f>'Production Schedule'!Z5</f>
        <v>7.5000027149999999</v>
      </c>
      <c r="AF4" s="181">
        <f>'Production Schedule'!AA5</f>
        <v>2.2043909249999998</v>
      </c>
      <c r="AG4" s="181">
        <f>'Production Schedule'!AB5</f>
        <v>0</v>
      </c>
      <c r="AH4" s="181">
        <f>'Production Schedule'!AC5</f>
        <v>0</v>
      </c>
      <c r="AI4" s="181">
        <f>'Production Schedule'!AD5</f>
        <v>0</v>
      </c>
      <c r="AJ4" s="181">
        <f>'Production Schedule'!AE5</f>
        <v>0</v>
      </c>
      <c r="AK4" s="181">
        <f>'Production Schedule'!AF5</f>
        <v>0</v>
      </c>
      <c r="AL4" s="181">
        <f>'Production Schedule'!AG5</f>
        <v>0</v>
      </c>
      <c r="AM4" s="181">
        <f>'Production Schedule'!AH5</f>
        <v>0</v>
      </c>
      <c r="AN4" s="181">
        <f>'Production Schedule'!AI5</f>
        <v>0</v>
      </c>
      <c r="AO4" s="181">
        <f>'Production Schedule'!AJ5</f>
        <v>0</v>
      </c>
      <c r="AP4" s="181">
        <f>'Production Schedule'!AK5</f>
        <v>0</v>
      </c>
      <c r="AQ4" s="181">
        <f>'Production Schedule'!AL5</f>
        <v>0</v>
      </c>
      <c r="AR4" s="181">
        <f>'Production Schedule'!AM5</f>
        <v>0</v>
      </c>
      <c r="AS4" s="181">
        <f>'Production Schedule'!AN5</f>
        <v>0</v>
      </c>
      <c r="AT4" s="181">
        <f>'Production Schedule'!AO5</f>
        <v>0</v>
      </c>
      <c r="AU4" s="181">
        <f>'Production Schedule'!AP5</f>
        <v>0</v>
      </c>
      <c r="AV4" s="181">
        <f>'Production Schedule'!AQ5</f>
        <v>0</v>
      </c>
      <c r="AW4" s="181">
        <f>'Production Schedule'!AR5</f>
        <v>0</v>
      </c>
      <c r="AX4" s="181">
        <f>'Production Schedule'!AS5</f>
        <v>0</v>
      </c>
      <c r="AY4" s="181">
        <f>'Production Schedule'!AT5</f>
        <v>0</v>
      </c>
      <c r="AZ4" s="181">
        <f>'Production Schedule'!AU5</f>
        <v>0</v>
      </c>
      <c r="BA4" s="181">
        <f>'Production Schedule'!AV5</f>
        <v>0</v>
      </c>
      <c r="BB4" s="181">
        <f>'Production Schedule'!AW5</f>
        <v>0</v>
      </c>
      <c r="BC4" s="181">
        <f>'Production Schedule'!AX5</f>
        <v>0</v>
      </c>
      <c r="BD4" s="181">
        <f>'Production Schedule'!AY5</f>
        <v>0</v>
      </c>
      <c r="BE4" s="181">
        <f>'Production Schedule'!AZ5</f>
        <v>0</v>
      </c>
      <c r="BF4" s="181">
        <f>'Production Schedule'!BA5</f>
        <v>0</v>
      </c>
      <c r="BG4" s="181">
        <f>'Production Schedule'!BB5</f>
        <v>0</v>
      </c>
      <c r="BH4" s="181">
        <f>'Production Schedule'!BC5</f>
        <v>0</v>
      </c>
      <c r="BI4" s="181">
        <f>'Production Schedule'!BD5</f>
        <v>0</v>
      </c>
    </row>
    <row r="5" spans="2:61">
      <c r="C5" t="s">
        <v>539</v>
      </c>
      <c r="E5" s="141" t="s">
        <v>118</v>
      </c>
      <c r="F5" s="141"/>
      <c r="G5" s="141"/>
      <c r="H5" s="141"/>
      <c r="J5" s="181">
        <f>'Production Schedule'!E8</f>
        <v>0</v>
      </c>
      <c r="K5" s="181">
        <f>'Production Schedule'!F8</f>
        <v>0</v>
      </c>
      <c r="L5" s="181">
        <f>'Production Schedule'!G8</f>
        <v>0</v>
      </c>
      <c r="M5" s="181">
        <f>'Production Schedule'!H8</f>
        <v>0</v>
      </c>
      <c r="N5" s="181">
        <f>'Production Schedule'!I8</f>
        <v>11.466045729050279</v>
      </c>
      <c r="O5" s="181">
        <f>'Production Schedule'!J8</f>
        <v>9.5178188259668506</v>
      </c>
      <c r="P5" s="181">
        <f>'Production Schedule'!K8</f>
        <v>17.240514972375692</v>
      </c>
      <c r="Q5" s="181">
        <f>'Production Schedule'!L8</f>
        <v>36.817196150000001</v>
      </c>
      <c r="R5" s="181">
        <f>'Production Schedule'!M8</f>
        <v>35.420574905555554</v>
      </c>
      <c r="S5" s="181">
        <f>'Production Schedule'!N8</f>
        <v>47.463611318435753</v>
      </c>
      <c r="T5" s="181">
        <f>'Production Schedule'!O8</f>
        <v>43.447467227777778</v>
      </c>
      <c r="U5" s="181">
        <f>'Production Schedule'!P8</f>
        <v>36.33747506666667</v>
      </c>
      <c r="V5" s="181">
        <f>'Production Schedule'!Q8</f>
        <v>37.865191711111116</v>
      </c>
      <c r="W5" s="181">
        <f>'Production Schedule'!R8</f>
        <v>33.778948184357539</v>
      </c>
      <c r="X5" s="181">
        <f>'Production Schedule'!S8</f>
        <v>38.053482346368718</v>
      </c>
      <c r="Y5" s="181">
        <f>'Production Schedule'!T8</f>
        <v>28.983164832402235</v>
      </c>
      <c r="Z5" s="181">
        <f>'Production Schedule'!U8</f>
        <v>25.4498801284916</v>
      </c>
      <c r="AA5" s="181">
        <f>'Production Schedule'!V8</f>
        <v>31.615550832402231</v>
      </c>
      <c r="AB5" s="181">
        <f>'Production Schedule'!W8</f>
        <v>31.515274825842699</v>
      </c>
      <c r="AC5" s="181">
        <f>'Production Schedule'!X8</f>
        <v>40.123366662921349</v>
      </c>
      <c r="AD5" s="181">
        <f>'Production Schedule'!Y8</f>
        <v>24.726595192090397</v>
      </c>
      <c r="AE5" s="181">
        <f>'Production Schedule'!Z8</f>
        <v>4.2960406619318183</v>
      </c>
      <c r="AF5" s="181">
        <f>'Production Schedule'!AA8</f>
        <v>1.2764738410404626</v>
      </c>
      <c r="AG5" s="181">
        <f>'Production Schedule'!AB8</f>
        <v>0</v>
      </c>
      <c r="AH5" s="181">
        <f>'Production Schedule'!AC8</f>
        <v>0</v>
      </c>
      <c r="AI5" s="181">
        <f>'Production Schedule'!AD8</f>
        <v>0</v>
      </c>
      <c r="AJ5" s="181">
        <f>'Production Schedule'!AE8</f>
        <v>0</v>
      </c>
      <c r="AK5" s="181">
        <f>'Production Schedule'!AF8</f>
        <v>0</v>
      </c>
      <c r="AL5" s="181">
        <f>'Production Schedule'!AG8</f>
        <v>0</v>
      </c>
      <c r="AM5" s="181">
        <f>'Production Schedule'!AH8</f>
        <v>0</v>
      </c>
      <c r="AN5" s="181">
        <f>'Production Schedule'!AI8</f>
        <v>0</v>
      </c>
      <c r="AO5" s="181">
        <f>'Production Schedule'!AJ8</f>
        <v>0</v>
      </c>
      <c r="AP5" s="181">
        <f>'Production Schedule'!AK8</f>
        <v>0</v>
      </c>
      <c r="AQ5" s="181">
        <f>'Production Schedule'!AL8</f>
        <v>0</v>
      </c>
      <c r="AR5" s="181">
        <f>'Production Schedule'!AM8</f>
        <v>0</v>
      </c>
      <c r="AS5" s="181">
        <f>'Production Schedule'!AN8</f>
        <v>0</v>
      </c>
      <c r="AT5" s="181">
        <f>'Production Schedule'!AO8</f>
        <v>0</v>
      </c>
      <c r="AU5" s="181">
        <f>'Production Schedule'!AP8</f>
        <v>0</v>
      </c>
      <c r="AV5" s="181">
        <f>'Production Schedule'!AQ8</f>
        <v>0</v>
      </c>
      <c r="AW5" s="181">
        <f>'Production Schedule'!AR8</f>
        <v>0</v>
      </c>
      <c r="AX5" s="181">
        <f>'Production Schedule'!AS8</f>
        <v>0</v>
      </c>
      <c r="AY5" s="181">
        <f>'Production Schedule'!AT8</f>
        <v>0</v>
      </c>
      <c r="AZ5" s="181">
        <f>'Production Schedule'!AU8</f>
        <v>0</v>
      </c>
      <c r="BA5" s="181">
        <f>'Production Schedule'!AV8</f>
        <v>0</v>
      </c>
      <c r="BB5" s="181">
        <f>'Production Schedule'!AW8</f>
        <v>0</v>
      </c>
      <c r="BC5" s="181">
        <f>'Production Schedule'!AX8</f>
        <v>0</v>
      </c>
      <c r="BD5" s="181">
        <f>'Production Schedule'!AY8</f>
        <v>0</v>
      </c>
      <c r="BE5" s="181">
        <f>'Production Schedule'!AZ8</f>
        <v>0</v>
      </c>
      <c r="BF5" s="181">
        <f>'Production Schedule'!BA8</f>
        <v>0</v>
      </c>
      <c r="BG5" s="181">
        <f>'Production Schedule'!BB8</f>
        <v>0</v>
      </c>
      <c r="BH5" s="181">
        <f>'Production Schedule'!BC8</f>
        <v>0</v>
      </c>
      <c r="BI5" s="181">
        <f>'Production Schedule'!BD8</f>
        <v>0</v>
      </c>
    </row>
    <row r="6" spans="2:61">
      <c r="C6" t="s">
        <v>540</v>
      </c>
      <c r="E6" s="141" t="s">
        <v>118</v>
      </c>
      <c r="F6" s="141"/>
      <c r="G6" s="141"/>
      <c r="H6" s="141"/>
      <c r="J6" s="181">
        <f>'Production Schedule'!E13</f>
        <v>0</v>
      </c>
      <c r="K6" s="181">
        <f>'Production Schedule'!F13</f>
        <v>0</v>
      </c>
      <c r="L6" s="181">
        <f>'Production Schedule'!G13</f>
        <v>0</v>
      </c>
      <c r="M6" s="181">
        <f>'Production Schedule'!H13</f>
        <v>0</v>
      </c>
      <c r="N6" s="181">
        <f>'Production Schedule'!I13</f>
        <v>0</v>
      </c>
      <c r="O6" s="181">
        <f>'Production Schedule'!J13</f>
        <v>0</v>
      </c>
      <c r="P6" s="181">
        <f>'Production Schedule'!K13</f>
        <v>0</v>
      </c>
      <c r="Q6" s="181">
        <f>'Production Schedule'!L13</f>
        <v>0</v>
      </c>
      <c r="R6" s="181">
        <f>'Production Schedule'!M13</f>
        <v>0</v>
      </c>
      <c r="S6" s="181">
        <f>'Production Schedule'!N13</f>
        <v>0</v>
      </c>
      <c r="T6" s="181">
        <f>'Production Schedule'!O13</f>
        <v>11.85</v>
      </c>
      <c r="U6" s="181">
        <f>'Production Schedule'!P13</f>
        <v>11.85</v>
      </c>
      <c r="V6" s="181">
        <f>'Production Schedule'!Q13</f>
        <v>11.85</v>
      </c>
      <c r="W6" s="181">
        <f>'Production Schedule'!R13</f>
        <v>11.85</v>
      </c>
      <c r="X6" s="181">
        <f>'Production Schedule'!S13</f>
        <v>7.06</v>
      </c>
      <c r="Y6" s="181">
        <f>'Production Schedule'!T13</f>
        <v>7.06</v>
      </c>
      <c r="Z6" s="181">
        <f>'Production Schedule'!U13</f>
        <v>7.06</v>
      </c>
      <c r="AA6" s="181">
        <f>'Production Schedule'!V13</f>
        <v>7.06</v>
      </c>
      <c r="AB6" s="181">
        <f>'Production Schedule'!W13</f>
        <v>0</v>
      </c>
      <c r="AC6" s="181">
        <f>'Production Schedule'!X13</f>
        <v>0</v>
      </c>
      <c r="AD6" s="181">
        <f>'Production Schedule'!Y13</f>
        <v>0</v>
      </c>
      <c r="AE6" s="181">
        <f>'Production Schedule'!Z13</f>
        <v>0</v>
      </c>
      <c r="AF6" s="181">
        <f>'Production Schedule'!AA13</f>
        <v>0</v>
      </c>
      <c r="AG6" s="181">
        <f>'Production Schedule'!AB13</f>
        <v>0</v>
      </c>
      <c r="AH6" s="181">
        <f>'Production Schedule'!AC13</f>
        <v>0</v>
      </c>
      <c r="AI6" s="181">
        <f>'Production Schedule'!AD13</f>
        <v>0</v>
      </c>
      <c r="AJ6" s="181">
        <f>'Production Schedule'!AE13</f>
        <v>0</v>
      </c>
      <c r="AK6" s="181">
        <f>'Production Schedule'!AF13</f>
        <v>0</v>
      </c>
      <c r="AL6" s="181">
        <f>'Production Schedule'!AG13</f>
        <v>0</v>
      </c>
      <c r="AM6" s="181">
        <f>'Production Schedule'!AH13</f>
        <v>0</v>
      </c>
      <c r="AN6" s="181">
        <f>'Production Schedule'!AI13</f>
        <v>0</v>
      </c>
      <c r="AO6" s="181">
        <f>'Production Schedule'!AJ13</f>
        <v>0</v>
      </c>
      <c r="AP6" s="181">
        <f>'Production Schedule'!AK13</f>
        <v>0</v>
      </c>
      <c r="AQ6" s="181">
        <f>'Production Schedule'!AL13</f>
        <v>0</v>
      </c>
      <c r="AR6" s="181">
        <f>'Production Schedule'!AM13</f>
        <v>0</v>
      </c>
      <c r="AS6" s="181">
        <f>'Production Schedule'!AN13</f>
        <v>0</v>
      </c>
      <c r="AT6" s="181">
        <f>'Production Schedule'!AO13</f>
        <v>0</v>
      </c>
      <c r="AU6" s="181">
        <f>'Production Schedule'!AP13</f>
        <v>0</v>
      </c>
      <c r="AV6" s="181">
        <f>'Production Schedule'!AQ13</f>
        <v>0</v>
      </c>
      <c r="AW6" s="181">
        <f>'Production Schedule'!AR13</f>
        <v>0</v>
      </c>
      <c r="AX6" s="181">
        <f>'Production Schedule'!AS13</f>
        <v>0</v>
      </c>
      <c r="AY6" s="181">
        <f>'Production Schedule'!AT13</f>
        <v>0</v>
      </c>
      <c r="AZ6" s="181">
        <f>'Production Schedule'!AU13</f>
        <v>0</v>
      </c>
      <c r="BA6" s="181">
        <f>'Production Schedule'!AV13</f>
        <v>0</v>
      </c>
      <c r="BB6" s="181">
        <f>'Production Schedule'!AW13</f>
        <v>0</v>
      </c>
      <c r="BC6" s="181">
        <f>'Production Schedule'!AX13</f>
        <v>0</v>
      </c>
      <c r="BD6" s="181">
        <f>'Production Schedule'!AY13</f>
        <v>0</v>
      </c>
      <c r="BE6" s="181">
        <f>'Production Schedule'!AZ13</f>
        <v>0</v>
      </c>
      <c r="BF6" s="181">
        <f>'Production Schedule'!BA13</f>
        <v>0</v>
      </c>
      <c r="BG6" s="181">
        <f>'Production Schedule'!BB13</f>
        <v>0</v>
      </c>
      <c r="BH6" s="181">
        <f>'Production Schedule'!BC13</f>
        <v>0</v>
      </c>
      <c r="BI6" s="181">
        <f>'Production Schedule'!BD13</f>
        <v>0</v>
      </c>
    </row>
    <row r="7" spans="2:61" ht="13.25" customHeight="1">
      <c r="C7" s="94" t="s">
        <v>541</v>
      </c>
      <c r="E7" s="141" t="s">
        <v>118</v>
      </c>
      <c r="J7" s="209">
        <f>(J4/Assumptions_Dashboard!$D$32)+J5+J6</f>
        <v>0</v>
      </c>
      <c r="K7" s="209">
        <f>(K4/Assumptions_Dashboard!$D$32)+K5+K6</f>
        <v>0</v>
      </c>
      <c r="L7" s="209">
        <f>(L4/Assumptions_Dashboard!$D$32)+L5+L6</f>
        <v>0</v>
      </c>
      <c r="M7" s="209">
        <f>(M4/Assumptions_Dashboard!$D$32)+M5+M6</f>
        <v>0</v>
      </c>
      <c r="N7" s="370">
        <f>(N4/Assumptions_Dashboard!$D$32)+N5+N6</f>
        <v>12.628836284282837</v>
      </c>
      <c r="O7" s="370">
        <f>(O4/Assumptions_Dashboard!$D$32)+O5+O6</f>
        <v>11.843399439338944</v>
      </c>
      <c r="P7" s="370">
        <f>(P4/Assumptions_Dashboard!$D$32)+P5+P6</f>
        <v>21.891678187491969</v>
      </c>
      <c r="Q7" s="370">
        <f>(Q4/Assumptions_Dashboard!$D$32)+Q5+Q6</f>
        <v>43.793939481395348</v>
      </c>
      <c r="R7" s="370">
        <f>(R4/Assumptions_Dashboard!$D$32)+R5+R6</f>
        <v>44.141502329974159</v>
      </c>
      <c r="S7" s="370">
        <f>(S4/Assumptions_Dashboard!$D$32)+S5+S6</f>
        <v>56.184545702156683</v>
      </c>
      <c r="T7" s="370">
        <f>(T4/Assumptions_Dashboard!$D$32)+T5+T6</f>
        <v>64.018396640568469</v>
      </c>
      <c r="U7" s="370">
        <f>(U4/Assumptions_Dashboard!$D$32)+U5+U6</f>
        <v>56.908403485271322</v>
      </c>
      <c r="V7" s="370">
        <f>(V4/Assumptions_Dashboard!$D$32)+V5+V6</f>
        <v>58.43612410645995</v>
      </c>
      <c r="W7" s="370">
        <f>(W4/Assumptions_Dashboard!$D$32)+W5+W6</f>
        <v>54.349875608776145</v>
      </c>
      <c r="X7" s="370">
        <f>(X4/Assumptions_Dashboard!$D$32)+X5+X6</f>
        <v>53.83441076497337</v>
      </c>
      <c r="Y7" s="370">
        <f>(Y4/Assumptions_Dashboard!$D$32)+Y5+Y6</f>
        <v>44.764096233565027</v>
      </c>
      <c r="Z7" s="370">
        <f>(Z4/Assumptions_Dashboard!$D$32)+Z5+Z6</f>
        <v>41.230819483142767</v>
      </c>
      <c r="AA7" s="370">
        <f>(AA4/Assumptions_Dashboard!$D$32)+AA5+AA6</f>
        <v>47.396482233565024</v>
      </c>
      <c r="AB7" s="370">
        <f>(AB4/Assumptions_Dashboard!$D$32)+AB5+AB6</f>
        <v>40.236206227005489</v>
      </c>
      <c r="AC7" s="370">
        <f>(AC4/Assumptions_Dashboard!$D$32)+AC5+AC6</f>
        <v>48.84429706989809</v>
      </c>
      <c r="AD7" s="370">
        <f>(AD4/Assumptions_Dashboard!$D$32)+AD5+AD6</f>
        <v>30.540548465346212</v>
      </c>
      <c r="AE7" s="370">
        <f>(AE4/Assumptions_Dashboard!$D$32)+AE5+AE6</f>
        <v>8.6565073566992599</v>
      </c>
      <c r="AF7" s="370">
        <f>(AF4/Assumptions_Dashboard!$D$32)+AF5+AF6</f>
        <v>2.5580964718544159</v>
      </c>
      <c r="AG7" s="370">
        <f>(AG4/Assumptions_Dashboard!$D$32)+AG5+AG6</f>
        <v>0</v>
      </c>
      <c r="AH7" s="370">
        <f>(AH4/Assumptions_Dashboard!$D$32)+AH5+AH6</f>
        <v>0</v>
      </c>
      <c r="AI7" s="370">
        <f>(AI4/Assumptions_Dashboard!$D$32)+AI5+AI6</f>
        <v>0</v>
      </c>
      <c r="AJ7" s="370">
        <f>(AJ4/Assumptions_Dashboard!$D$32)+AJ5+AJ6</f>
        <v>0</v>
      </c>
      <c r="AK7" s="370">
        <f>(AK4/Assumptions_Dashboard!$D$32)+AK5+AK6</f>
        <v>0</v>
      </c>
      <c r="AL7" s="370">
        <f>(AL4/Assumptions_Dashboard!$D$32)+AL5+AL6</f>
        <v>0</v>
      </c>
      <c r="AM7" s="370">
        <f>(AM4/Assumptions_Dashboard!$D$32)+AM5+AM6</f>
        <v>0</v>
      </c>
      <c r="AN7" s="370">
        <f>(AN4/Assumptions_Dashboard!$D$32)+AN5+AN6</f>
        <v>0</v>
      </c>
      <c r="AO7" s="370">
        <f>(AO4/Assumptions_Dashboard!$D$32)+AO5+AO6</f>
        <v>0</v>
      </c>
      <c r="AP7" s="370">
        <f>(AP4/Assumptions_Dashboard!$D$32)+AP5+AP6</f>
        <v>0</v>
      </c>
      <c r="AQ7" s="370">
        <f>(AQ4/Assumptions_Dashboard!$D$32)+AQ5+AQ6</f>
        <v>0</v>
      </c>
      <c r="AR7" s="370">
        <f>(AR4/Assumptions_Dashboard!$D$32)+AR5+AR6</f>
        <v>0</v>
      </c>
      <c r="AS7" s="370">
        <f>(AS4/Assumptions_Dashboard!$D$32)+AS5+AS6</f>
        <v>0</v>
      </c>
      <c r="AT7" s="370">
        <f>(AT4/Assumptions_Dashboard!$D$32)+AT5+AT6</f>
        <v>0</v>
      </c>
      <c r="AU7" s="370">
        <f>(AU4/Assumptions_Dashboard!$D$32)+AU5+AU6</f>
        <v>0</v>
      </c>
      <c r="AV7" s="370">
        <f>(AV4/Assumptions_Dashboard!$D$32)+AV5+AV6</f>
        <v>0</v>
      </c>
      <c r="AW7" s="370">
        <f>(AW4/Assumptions_Dashboard!$D$32)+AW5+AW6</f>
        <v>0</v>
      </c>
      <c r="AX7" s="370">
        <f>(AX4/Assumptions_Dashboard!$D$32)+AX5+AX6</f>
        <v>0</v>
      </c>
      <c r="AY7" s="370">
        <f>(AY4/Assumptions_Dashboard!$D$32)+AY5+AY6</f>
        <v>0</v>
      </c>
      <c r="AZ7" s="370">
        <f>(AZ4/Assumptions_Dashboard!$D$32)+AZ5+AZ6</f>
        <v>0</v>
      </c>
      <c r="BA7" s="370">
        <f>(BA4/Assumptions_Dashboard!$D$32)+BA5+BA6</f>
        <v>0</v>
      </c>
      <c r="BB7" s="370">
        <f>(BB4/Assumptions_Dashboard!$D$32)+BB5+BB6</f>
        <v>0</v>
      </c>
      <c r="BC7" s="370">
        <f>(BC4/Assumptions_Dashboard!$D$32)+BC5+BC6</f>
        <v>0</v>
      </c>
      <c r="BD7" s="370">
        <f>(BD4/Assumptions_Dashboard!$D$32)+BD5+BD6</f>
        <v>0</v>
      </c>
      <c r="BE7" s="370">
        <f>(BE4/Assumptions_Dashboard!$D$32)+BE5+BE6</f>
        <v>0</v>
      </c>
      <c r="BF7" s="370">
        <f>(BF4/Assumptions_Dashboard!$D$32)+BF5+BF6</f>
        <v>0</v>
      </c>
      <c r="BG7" s="370">
        <f>(BG4/Assumptions_Dashboard!$D$32)+BG5+BG6</f>
        <v>0</v>
      </c>
      <c r="BH7" s="370">
        <f>(BH4/Assumptions_Dashboard!$D$32)+BH5+BH6</f>
        <v>0</v>
      </c>
      <c r="BI7" s="370">
        <f>(BI4/Assumptions_Dashboard!$D$32)+BI5+BI6</f>
        <v>0</v>
      </c>
    </row>
    <row r="8" spans="2:61">
      <c r="C8" s="186" t="s">
        <v>1303</v>
      </c>
      <c r="D8" s="186"/>
    </row>
    <row r="9" spans="2:61" ht="14">
      <c r="C9" s="1141" t="s">
        <v>1304</v>
      </c>
      <c r="D9" s="1141"/>
      <c r="E9" s="1141" t="s">
        <v>88</v>
      </c>
      <c r="F9" s="1141" t="s">
        <v>1305</v>
      </c>
      <c r="G9" s="1141" t="s">
        <v>1306</v>
      </c>
      <c r="H9" s="1141" t="s">
        <v>1307</v>
      </c>
      <c r="I9" s="1141" t="s">
        <v>886</v>
      </c>
      <c r="J9" s="1141">
        <f>'Production Schedule'!E3</f>
        <v>-4</v>
      </c>
      <c r="K9" s="1141">
        <f>'Production Schedule'!F3</f>
        <v>-3</v>
      </c>
      <c r="L9" s="1141">
        <f>'Production Schedule'!G3</f>
        <v>-2</v>
      </c>
      <c r="M9" s="1141">
        <f>'Production Schedule'!H3</f>
        <v>-1</v>
      </c>
      <c r="N9" s="1141">
        <f>'Production Schedule'!I3</f>
        <v>1</v>
      </c>
      <c r="O9" s="1141">
        <f>'Production Schedule'!J3</f>
        <v>2</v>
      </c>
      <c r="P9" s="1141">
        <f>'Production Schedule'!K3</f>
        <v>3</v>
      </c>
      <c r="Q9" s="1141">
        <f>'Production Schedule'!L3</f>
        <v>4</v>
      </c>
      <c r="R9" s="1141">
        <f>'Production Schedule'!M3</f>
        <v>5</v>
      </c>
      <c r="S9" s="1141">
        <f>'Production Schedule'!N3</f>
        <v>6</v>
      </c>
      <c r="T9" s="1141">
        <f>'Production Schedule'!O3</f>
        <v>7</v>
      </c>
      <c r="U9" s="1141">
        <f>'Production Schedule'!P3</f>
        <v>8</v>
      </c>
      <c r="V9" s="1141">
        <f>'Production Schedule'!Q3</f>
        <v>9</v>
      </c>
      <c r="W9" s="1141">
        <f>'Production Schedule'!R3</f>
        <v>10</v>
      </c>
      <c r="X9" s="1141">
        <f>'Production Schedule'!S3</f>
        <v>11</v>
      </c>
      <c r="Y9" s="1141">
        <f>'Production Schedule'!T3</f>
        <v>12</v>
      </c>
      <c r="Z9" s="1141">
        <f>'Production Schedule'!U3</f>
        <v>13</v>
      </c>
      <c r="AA9" s="1141">
        <f>'Production Schedule'!V3</f>
        <v>14</v>
      </c>
      <c r="AB9" s="1141">
        <f>'Production Schedule'!W3</f>
        <v>15</v>
      </c>
      <c r="AC9" s="1141">
        <f>'Production Schedule'!X3</f>
        <v>16</v>
      </c>
      <c r="AD9" s="1141">
        <f>'Production Schedule'!Y3</f>
        <v>17</v>
      </c>
      <c r="AE9" s="1141">
        <f>'Production Schedule'!Z3</f>
        <v>18</v>
      </c>
      <c r="AF9" s="1141">
        <f>'Production Schedule'!AA3</f>
        <v>19</v>
      </c>
      <c r="AG9" s="1141">
        <f>'Production Schedule'!AB3</f>
        <v>0</v>
      </c>
      <c r="AH9" s="1141">
        <f>'Production Schedule'!AC3</f>
        <v>0</v>
      </c>
      <c r="AI9" s="1141">
        <f>'Production Schedule'!AD3</f>
        <v>0</v>
      </c>
      <c r="AJ9" s="1141">
        <f>'Production Schedule'!AE3</f>
        <v>0</v>
      </c>
      <c r="AK9" s="1141">
        <f>'Production Schedule'!AF3</f>
        <v>0</v>
      </c>
      <c r="AL9" s="1141">
        <f>'Production Schedule'!AG3</f>
        <v>0</v>
      </c>
      <c r="AM9" s="1141">
        <f>'Production Schedule'!AH3</f>
        <v>0</v>
      </c>
      <c r="AN9" s="1141">
        <f>'Production Schedule'!AI3</f>
        <v>0</v>
      </c>
      <c r="AO9" s="1141">
        <f>'Production Schedule'!AJ3</f>
        <v>0</v>
      </c>
      <c r="AP9" s="1141">
        <f>'Production Schedule'!AK3</f>
        <v>0</v>
      </c>
      <c r="AQ9" s="1141">
        <f>'Production Schedule'!AL3</f>
        <v>0</v>
      </c>
      <c r="AR9" s="1141">
        <f>'Production Schedule'!AM3</f>
        <v>0</v>
      </c>
      <c r="AS9" s="1141">
        <f>'Production Schedule'!AN3</f>
        <v>0</v>
      </c>
      <c r="AT9" s="1141">
        <f>'Production Schedule'!AO3</f>
        <v>0</v>
      </c>
      <c r="AU9" s="1141">
        <f>'Production Schedule'!AP3</f>
        <v>0</v>
      </c>
      <c r="AV9" s="1141">
        <f>'Production Schedule'!AQ3</f>
        <v>0</v>
      </c>
      <c r="AW9" s="1141">
        <f>'Production Schedule'!AR3</f>
        <v>0</v>
      </c>
      <c r="AX9" s="1141">
        <f>'Production Schedule'!AS3</f>
        <v>0</v>
      </c>
      <c r="AY9" s="1141">
        <f>'Production Schedule'!AT3</f>
        <v>0</v>
      </c>
      <c r="AZ9" s="1141">
        <f>'Production Schedule'!AU3</f>
        <v>0</v>
      </c>
      <c r="BA9" s="1141">
        <f>'Production Schedule'!AV3</f>
        <v>0</v>
      </c>
      <c r="BB9" s="1141">
        <f>'Production Schedule'!AW3</f>
        <v>0</v>
      </c>
      <c r="BC9" s="1141">
        <f>'Production Schedule'!AX3</f>
        <v>0</v>
      </c>
      <c r="BD9" s="1141">
        <f>'Production Schedule'!AY3</f>
        <v>0</v>
      </c>
      <c r="BE9" s="1141">
        <f>'Production Schedule'!AZ3</f>
        <v>0</v>
      </c>
      <c r="BF9" s="1141">
        <f>'Production Schedule'!BA3</f>
        <v>0</v>
      </c>
      <c r="BG9" s="1141">
        <f>'Production Schedule'!BB3</f>
        <v>0</v>
      </c>
      <c r="BH9" s="1141">
        <f>'Production Schedule'!BC3</f>
        <v>0</v>
      </c>
      <c r="BI9" s="1141">
        <f>'Production Schedule'!BD3</f>
        <v>0</v>
      </c>
    </row>
    <row r="10" spans="2:61" ht="14">
      <c r="C10" s="258" t="s">
        <v>1308</v>
      </c>
      <c r="D10" s="259"/>
      <c r="E10" s="259"/>
      <c r="F10" s="259"/>
      <c r="G10" s="259"/>
      <c r="H10" s="259"/>
      <c r="I10" s="259"/>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259"/>
      <c r="AU10" s="259"/>
      <c r="AV10" s="259"/>
      <c r="AW10" s="259"/>
      <c r="AX10" s="259"/>
      <c r="AY10" s="259"/>
      <c r="AZ10" s="259"/>
      <c r="BA10" s="259"/>
      <c r="BB10" s="259"/>
      <c r="BC10" s="259"/>
      <c r="BD10" s="259"/>
      <c r="BE10" s="259"/>
      <c r="BF10" s="259"/>
      <c r="BG10" s="259"/>
      <c r="BH10" s="259"/>
      <c r="BI10" s="259"/>
    </row>
    <row r="11" spans="2:61">
      <c r="B11" s="117"/>
      <c r="C11" s="646" t="s">
        <v>1309</v>
      </c>
      <c r="D11" s="121"/>
      <c r="E11" s="121" t="s">
        <v>740</v>
      </c>
      <c r="F11" s="376" t="s">
        <v>197</v>
      </c>
      <c r="G11">
        <f>IF(Sensitivity!$C$42="Departmental",0,1)</f>
        <v>0</v>
      </c>
      <c r="H11" s="375">
        <f>IFERROR(VLOOKUP(F11,Assumptions_Dashboard!$C$38:$D$72,4,FALSE),)</f>
        <v>0</v>
      </c>
      <c r="J11" s="179"/>
      <c r="K11" s="179"/>
      <c r="L11" s="179"/>
      <c r="M11" s="179"/>
      <c r="N11" s="179">
        <f>G11</f>
        <v>0</v>
      </c>
      <c r="O11" s="179">
        <f t="shared" ref="O11:AM12" si="0">N11</f>
        <v>0</v>
      </c>
      <c r="P11" s="179">
        <f t="shared" si="0"/>
        <v>0</v>
      </c>
      <c r="Q11" s="179">
        <f t="shared" si="0"/>
        <v>0</v>
      </c>
      <c r="R11" s="179">
        <f t="shared" si="0"/>
        <v>0</v>
      </c>
      <c r="S11" s="179">
        <f t="shared" si="0"/>
        <v>0</v>
      </c>
      <c r="T11" s="179">
        <f t="shared" si="0"/>
        <v>0</v>
      </c>
      <c r="U11" s="179">
        <f t="shared" si="0"/>
        <v>0</v>
      </c>
      <c r="V11" s="179">
        <f t="shared" si="0"/>
        <v>0</v>
      </c>
      <c r="W11" s="179">
        <f t="shared" si="0"/>
        <v>0</v>
      </c>
      <c r="X11" s="179">
        <f t="shared" si="0"/>
        <v>0</v>
      </c>
      <c r="Y11" s="179">
        <f t="shared" si="0"/>
        <v>0</v>
      </c>
      <c r="Z11" s="179">
        <f t="shared" si="0"/>
        <v>0</v>
      </c>
      <c r="AA11" s="179">
        <f t="shared" si="0"/>
        <v>0</v>
      </c>
      <c r="AB11" s="179">
        <f t="shared" si="0"/>
        <v>0</v>
      </c>
      <c r="AC11" s="179">
        <f t="shared" si="0"/>
        <v>0</v>
      </c>
      <c r="AD11" s="179">
        <f t="shared" si="0"/>
        <v>0</v>
      </c>
      <c r="AE11" s="179">
        <f t="shared" si="0"/>
        <v>0</v>
      </c>
      <c r="AF11" s="179">
        <f t="shared" si="0"/>
        <v>0</v>
      </c>
      <c r="AG11" s="179">
        <f t="shared" si="0"/>
        <v>0</v>
      </c>
      <c r="AH11" s="179">
        <f t="shared" si="0"/>
        <v>0</v>
      </c>
      <c r="AI11" s="179">
        <f t="shared" si="0"/>
        <v>0</v>
      </c>
      <c r="AJ11" s="179">
        <f t="shared" si="0"/>
        <v>0</v>
      </c>
      <c r="AK11" s="179">
        <f t="shared" si="0"/>
        <v>0</v>
      </c>
      <c r="AL11" s="179">
        <f t="shared" si="0"/>
        <v>0</v>
      </c>
      <c r="AM11" s="179">
        <f t="shared" si="0"/>
        <v>0</v>
      </c>
      <c r="AN11" s="179"/>
      <c r="AO11" s="179"/>
      <c r="AP11" s="179"/>
      <c r="AQ11" s="179"/>
      <c r="AR11" s="179"/>
      <c r="AS11" s="179"/>
    </row>
    <row r="12" spans="2:61">
      <c r="B12" s="121"/>
      <c r="C12" s="646" t="s">
        <v>1310</v>
      </c>
      <c r="D12" s="121"/>
      <c r="E12" s="121" t="s">
        <v>740</v>
      </c>
      <c r="F12" s="95" t="s">
        <v>203</v>
      </c>
      <c r="G12">
        <f>IF(Sensitivity!$C$42="Departmental",0,1)</f>
        <v>0</v>
      </c>
      <c r="H12" s="375">
        <f>IFERROR(VLOOKUP(F12,Assumptions_Dashboard!$C$38:$D$72,4,FALSE),)</f>
        <v>0</v>
      </c>
      <c r="J12" s="179"/>
      <c r="K12" s="179"/>
      <c r="L12" s="179"/>
      <c r="M12" s="179"/>
      <c r="N12" s="179">
        <f>G12</f>
        <v>0</v>
      </c>
      <c r="O12" s="179">
        <f t="shared" si="0"/>
        <v>0</v>
      </c>
      <c r="P12" s="179">
        <f t="shared" si="0"/>
        <v>0</v>
      </c>
      <c r="Q12" s="179">
        <f t="shared" si="0"/>
        <v>0</v>
      </c>
      <c r="R12" s="179">
        <f t="shared" si="0"/>
        <v>0</v>
      </c>
      <c r="S12" s="179">
        <f t="shared" si="0"/>
        <v>0</v>
      </c>
      <c r="T12" s="179">
        <f t="shared" si="0"/>
        <v>0</v>
      </c>
      <c r="U12" s="179">
        <f t="shared" si="0"/>
        <v>0</v>
      </c>
      <c r="V12" s="179">
        <f t="shared" si="0"/>
        <v>0</v>
      </c>
      <c r="W12" s="179">
        <f t="shared" si="0"/>
        <v>0</v>
      </c>
      <c r="X12" s="179">
        <f t="shared" si="0"/>
        <v>0</v>
      </c>
      <c r="Y12" s="179">
        <f t="shared" si="0"/>
        <v>0</v>
      </c>
      <c r="Z12" s="179">
        <f t="shared" si="0"/>
        <v>0</v>
      </c>
      <c r="AA12" s="179">
        <f t="shared" si="0"/>
        <v>0</v>
      </c>
      <c r="AB12" s="179">
        <f t="shared" si="0"/>
        <v>0</v>
      </c>
      <c r="AC12" s="179">
        <f t="shared" si="0"/>
        <v>0</v>
      </c>
      <c r="AD12" s="179">
        <f t="shared" si="0"/>
        <v>0</v>
      </c>
      <c r="AE12" s="179">
        <f t="shared" si="0"/>
        <v>0</v>
      </c>
      <c r="AF12" s="179">
        <f t="shared" si="0"/>
        <v>0</v>
      </c>
      <c r="AG12" s="179">
        <f t="shared" si="0"/>
        <v>0</v>
      </c>
      <c r="AH12" s="179">
        <f t="shared" si="0"/>
        <v>0</v>
      </c>
      <c r="AI12" s="179">
        <f t="shared" si="0"/>
        <v>0</v>
      </c>
      <c r="AJ12" s="179">
        <f t="shared" si="0"/>
        <v>0</v>
      </c>
      <c r="AK12" s="179">
        <f t="shared" si="0"/>
        <v>0</v>
      </c>
      <c r="AL12" s="179">
        <f t="shared" si="0"/>
        <v>0</v>
      </c>
      <c r="AM12" s="179">
        <f t="shared" si="0"/>
        <v>0</v>
      </c>
      <c r="AN12" s="179"/>
      <c r="AO12" s="179"/>
      <c r="AP12" s="179"/>
      <c r="AQ12" s="179"/>
      <c r="AR12" s="179"/>
      <c r="AS12" s="179"/>
    </row>
    <row r="13" spans="2:61">
      <c r="B13" s="121"/>
      <c r="C13" s="664" t="s">
        <v>1311</v>
      </c>
      <c r="D13" s="186"/>
      <c r="E13" s="121"/>
      <c r="F13" s="205"/>
      <c r="H13" s="377"/>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row>
    <row r="14" spans="2:61">
      <c r="B14" s="121"/>
      <c r="C14" s="646" t="s">
        <v>1312</v>
      </c>
      <c r="D14" s="257" t="s">
        <v>1313</v>
      </c>
      <c r="E14" s="121" t="s">
        <v>740</v>
      </c>
      <c r="F14" s="265"/>
      <c r="H14" s="377"/>
      <c r="J14" s="179"/>
      <c r="K14" s="179"/>
      <c r="L14" s="179"/>
      <c r="M14" s="179"/>
      <c r="N14" s="179">
        <f t="shared" ref="N14:AM14" si="1">M14</f>
        <v>0</v>
      </c>
      <c r="O14" s="179">
        <f t="shared" si="1"/>
        <v>0</v>
      </c>
      <c r="P14" s="179">
        <f t="shared" si="1"/>
        <v>0</v>
      </c>
      <c r="Q14" s="179">
        <f t="shared" si="1"/>
        <v>0</v>
      </c>
      <c r="R14" s="179">
        <f t="shared" si="1"/>
        <v>0</v>
      </c>
      <c r="S14" s="179">
        <f t="shared" si="1"/>
        <v>0</v>
      </c>
      <c r="T14" s="179">
        <f t="shared" si="1"/>
        <v>0</v>
      </c>
      <c r="U14" s="179">
        <f t="shared" si="1"/>
        <v>0</v>
      </c>
      <c r="V14" s="179">
        <f t="shared" si="1"/>
        <v>0</v>
      </c>
      <c r="W14" s="179">
        <f t="shared" si="1"/>
        <v>0</v>
      </c>
      <c r="X14" s="179">
        <f t="shared" si="1"/>
        <v>0</v>
      </c>
      <c r="Y14" s="179">
        <f t="shared" si="1"/>
        <v>0</v>
      </c>
      <c r="Z14" s="179">
        <f t="shared" si="1"/>
        <v>0</v>
      </c>
      <c r="AA14" s="179">
        <f t="shared" si="1"/>
        <v>0</v>
      </c>
      <c r="AB14" s="179">
        <f t="shared" si="1"/>
        <v>0</v>
      </c>
      <c r="AC14" s="179">
        <f t="shared" si="1"/>
        <v>0</v>
      </c>
      <c r="AD14" s="179">
        <f t="shared" si="1"/>
        <v>0</v>
      </c>
      <c r="AE14" s="179">
        <f t="shared" si="1"/>
        <v>0</v>
      </c>
      <c r="AF14" s="179">
        <f t="shared" si="1"/>
        <v>0</v>
      </c>
      <c r="AG14" s="179">
        <f t="shared" si="1"/>
        <v>0</v>
      </c>
      <c r="AH14" s="179">
        <f t="shared" si="1"/>
        <v>0</v>
      </c>
      <c r="AI14" s="179">
        <f t="shared" si="1"/>
        <v>0</v>
      </c>
      <c r="AJ14" s="179">
        <f t="shared" si="1"/>
        <v>0</v>
      </c>
      <c r="AK14" s="179">
        <f t="shared" si="1"/>
        <v>0</v>
      </c>
      <c r="AL14" s="179">
        <f t="shared" si="1"/>
        <v>0</v>
      </c>
      <c r="AM14" s="179">
        <f t="shared" si="1"/>
        <v>0</v>
      </c>
      <c r="AN14" s="179"/>
      <c r="AO14" s="179"/>
      <c r="AP14" s="179"/>
      <c r="AQ14" s="179"/>
      <c r="AR14" s="179"/>
      <c r="AS14" s="179"/>
    </row>
    <row r="15" spans="2:61">
      <c r="B15" s="121"/>
      <c r="C15" s="646" t="s">
        <v>1314</v>
      </c>
      <c r="D15" s="257" t="s">
        <v>1315</v>
      </c>
      <c r="E15" s="121" t="s">
        <v>740</v>
      </c>
      <c r="F15" s="265" t="s">
        <v>201</v>
      </c>
      <c r="G15">
        <f>IF(Sensitivity!$C$42="Departmental",0,1)</f>
        <v>0</v>
      </c>
      <c r="H15" s="375">
        <f>IFERROR(VLOOKUP(F15,Assumptions_Dashboard!$C$38:$D$72,4,FALSE),)</f>
        <v>0</v>
      </c>
      <c r="J15" s="179"/>
      <c r="K15" s="179"/>
      <c r="L15" s="179"/>
      <c r="M15" s="179"/>
      <c r="N15" s="179">
        <f>G15</f>
        <v>0</v>
      </c>
      <c r="O15" s="179">
        <f t="shared" ref="N15:Z28" si="2">N15</f>
        <v>0</v>
      </c>
      <c r="P15" s="179">
        <f t="shared" si="2"/>
        <v>0</v>
      </c>
      <c r="Q15" s="179">
        <f t="shared" si="2"/>
        <v>0</v>
      </c>
      <c r="R15" s="179">
        <f t="shared" si="2"/>
        <v>0</v>
      </c>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row>
    <row r="16" spans="2:61">
      <c r="B16" s="121"/>
      <c r="C16" s="646" t="s">
        <v>1316</v>
      </c>
      <c r="D16" s="257" t="s">
        <v>1313</v>
      </c>
      <c r="E16" s="121" t="s">
        <v>740</v>
      </c>
      <c r="F16" s="265" t="s">
        <v>201</v>
      </c>
      <c r="G16">
        <f>IF(Sensitivity!$C$42="Departmental",0,1)</f>
        <v>0</v>
      </c>
      <c r="H16" s="375">
        <f>IFERROR(VLOOKUP(F16,Assumptions_Dashboard!$C$38:$D$72,4,FALSE),)</f>
        <v>0</v>
      </c>
      <c r="J16" s="179"/>
      <c r="K16" s="179"/>
      <c r="L16" s="179"/>
      <c r="M16" s="179"/>
      <c r="N16" s="179">
        <f>G16</f>
        <v>0</v>
      </c>
      <c r="O16" s="179">
        <f t="shared" si="2"/>
        <v>0</v>
      </c>
      <c r="P16" s="179">
        <f t="shared" si="2"/>
        <v>0</v>
      </c>
      <c r="Q16" s="179">
        <f t="shared" si="2"/>
        <v>0</v>
      </c>
      <c r="R16" s="179">
        <f t="shared" si="2"/>
        <v>0</v>
      </c>
      <c r="S16" s="179">
        <f t="shared" si="2"/>
        <v>0</v>
      </c>
      <c r="T16" s="179">
        <f t="shared" si="2"/>
        <v>0</v>
      </c>
      <c r="U16" s="179">
        <f t="shared" si="2"/>
        <v>0</v>
      </c>
      <c r="V16" s="179">
        <f t="shared" si="2"/>
        <v>0</v>
      </c>
      <c r="W16" s="179">
        <f t="shared" si="2"/>
        <v>0</v>
      </c>
      <c r="X16" s="179">
        <f t="shared" si="2"/>
        <v>0</v>
      </c>
      <c r="Y16" s="179">
        <f t="shared" si="2"/>
        <v>0</v>
      </c>
      <c r="Z16" s="179">
        <f t="shared" si="2"/>
        <v>0</v>
      </c>
      <c r="AA16" s="179">
        <f t="shared" ref="AA16:AM28" si="3">Z16</f>
        <v>0</v>
      </c>
      <c r="AB16" s="179">
        <f t="shared" si="3"/>
        <v>0</v>
      </c>
      <c r="AC16" s="179">
        <f t="shared" si="3"/>
        <v>0</v>
      </c>
      <c r="AD16" s="179">
        <f t="shared" si="3"/>
        <v>0</v>
      </c>
      <c r="AE16" s="179">
        <f t="shared" si="3"/>
        <v>0</v>
      </c>
      <c r="AF16" s="179">
        <f t="shared" si="3"/>
        <v>0</v>
      </c>
      <c r="AG16" s="179">
        <f t="shared" si="3"/>
        <v>0</v>
      </c>
      <c r="AH16" s="179">
        <f t="shared" si="3"/>
        <v>0</v>
      </c>
      <c r="AI16" s="179">
        <f t="shared" si="3"/>
        <v>0</v>
      </c>
      <c r="AJ16" s="179">
        <f t="shared" si="3"/>
        <v>0</v>
      </c>
      <c r="AK16" s="179">
        <f t="shared" si="3"/>
        <v>0</v>
      </c>
      <c r="AL16" s="179">
        <f t="shared" si="3"/>
        <v>0</v>
      </c>
      <c r="AM16" s="179">
        <f t="shared" si="3"/>
        <v>0</v>
      </c>
      <c r="AN16" s="179"/>
      <c r="AO16" s="179"/>
      <c r="AP16" s="179"/>
      <c r="AQ16" s="179"/>
      <c r="AR16" s="179"/>
      <c r="AS16" s="179"/>
    </row>
    <row r="17" spans="2:45">
      <c r="B17" s="121"/>
      <c r="C17" s="646" t="s">
        <v>1317</v>
      </c>
      <c r="D17" s="257" t="s">
        <v>1313</v>
      </c>
      <c r="E17" s="121" t="s">
        <v>740</v>
      </c>
      <c r="F17" s="265" t="s">
        <v>201</v>
      </c>
      <c r="G17">
        <f>IF(Sensitivity!$C$42="Departmental",0,1)</f>
        <v>0</v>
      </c>
      <c r="H17" s="375">
        <f>IFERROR(VLOOKUP(F17,Assumptions_Dashboard!$C$38:$D$72,4,FALSE),)</f>
        <v>0</v>
      </c>
      <c r="J17" s="179"/>
      <c r="K17" s="179"/>
      <c r="L17" s="179"/>
      <c r="M17" s="179"/>
      <c r="N17" s="179">
        <f>G17</f>
        <v>0</v>
      </c>
      <c r="O17" s="179">
        <f t="shared" si="2"/>
        <v>0</v>
      </c>
      <c r="P17" s="179">
        <f t="shared" si="2"/>
        <v>0</v>
      </c>
      <c r="Q17" s="179">
        <f t="shared" si="2"/>
        <v>0</v>
      </c>
      <c r="R17" s="179">
        <f t="shared" si="2"/>
        <v>0</v>
      </c>
      <c r="S17" s="179">
        <f t="shared" si="2"/>
        <v>0</v>
      </c>
      <c r="T17" s="179">
        <f t="shared" si="2"/>
        <v>0</v>
      </c>
      <c r="U17" s="179">
        <f t="shared" si="2"/>
        <v>0</v>
      </c>
      <c r="V17" s="179">
        <f t="shared" si="2"/>
        <v>0</v>
      </c>
      <c r="W17" s="179">
        <f t="shared" si="2"/>
        <v>0</v>
      </c>
      <c r="X17" s="179">
        <f t="shared" si="2"/>
        <v>0</v>
      </c>
      <c r="Y17" s="179">
        <f t="shared" si="2"/>
        <v>0</v>
      </c>
      <c r="Z17" s="179">
        <f t="shared" si="2"/>
        <v>0</v>
      </c>
      <c r="AA17" s="179">
        <f t="shared" si="3"/>
        <v>0</v>
      </c>
      <c r="AB17" s="179">
        <f t="shared" si="3"/>
        <v>0</v>
      </c>
      <c r="AC17" s="179">
        <f t="shared" si="3"/>
        <v>0</v>
      </c>
      <c r="AD17" s="179">
        <f t="shared" si="3"/>
        <v>0</v>
      </c>
      <c r="AE17" s="179">
        <f t="shared" si="3"/>
        <v>0</v>
      </c>
      <c r="AF17" s="179">
        <f t="shared" si="3"/>
        <v>0</v>
      </c>
      <c r="AG17" s="179">
        <f t="shared" si="3"/>
        <v>0</v>
      </c>
      <c r="AH17" s="179">
        <f t="shared" si="3"/>
        <v>0</v>
      </c>
      <c r="AI17" s="179">
        <f t="shared" si="3"/>
        <v>0</v>
      </c>
      <c r="AJ17" s="179">
        <f t="shared" si="3"/>
        <v>0</v>
      </c>
      <c r="AK17" s="179">
        <f t="shared" si="3"/>
        <v>0</v>
      </c>
      <c r="AL17" s="179">
        <f t="shared" si="3"/>
        <v>0</v>
      </c>
      <c r="AM17" s="179">
        <f t="shared" si="3"/>
        <v>0</v>
      </c>
      <c r="AN17" s="179"/>
      <c r="AO17" s="179"/>
      <c r="AP17" s="179"/>
      <c r="AQ17" s="179"/>
      <c r="AR17" s="179"/>
      <c r="AS17" s="179"/>
    </row>
    <row r="18" spans="2:45">
      <c r="B18" s="121"/>
      <c r="C18" s="646" t="s">
        <v>1318</v>
      </c>
      <c r="D18" s="257" t="s">
        <v>1315</v>
      </c>
      <c r="E18" s="121" t="s">
        <v>740</v>
      </c>
      <c r="F18" s="265"/>
      <c r="H18" s="377"/>
      <c r="J18" s="179"/>
      <c r="K18" s="179"/>
      <c r="L18" s="179"/>
      <c r="M18" s="179"/>
      <c r="N18" s="179">
        <f t="shared" si="2"/>
        <v>0</v>
      </c>
      <c r="O18" s="179">
        <f t="shared" si="2"/>
        <v>0</v>
      </c>
      <c r="P18" s="179">
        <f t="shared" si="2"/>
        <v>0</v>
      </c>
      <c r="Q18" s="179">
        <f t="shared" si="2"/>
        <v>0</v>
      </c>
      <c r="R18" s="179">
        <f t="shared" si="2"/>
        <v>0</v>
      </c>
      <c r="S18" s="179">
        <f t="shared" si="2"/>
        <v>0</v>
      </c>
      <c r="T18" s="179">
        <f t="shared" si="2"/>
        <v>0</v>
      </c>
      <c r="U18" s="179">
        <f t="shared" si="2"/>
        <v>0</v>
      </c>
      <c r="V18" s="179">
        <f t="shared" si="2"/>
        <v>0</v>
      </c>
      <c r="W18" s="179">
        <f t="shared" si="2"/>
        <v>0</v>
      </c>
      <c r="X18" s="179">
        <f t="shared" si="2"/>
        <v>0</v>
      </c>
      <c r="Y18" s="179">
        <f t="shared" si="2"/>
        <v>0</v>
      </c>
      <c r="Z18" s="179">
        <f t="shared" si="2"/>
        <v>0</v>
      </c>
      <c r="AA18" s="179">
        <f t="shared" si="3"/>
        <v>0</v>
      </c>
      <c r="AB18" s="179">
        <f t="shared" si="3"/>
        <v>0</v>
      </c>
      <c r="AC18" s="179">
        <f t="shared" si="3"/>
        <v>0</v>
      </c>
      <c r="AD18" s="179">
        <f t="shared" si="3"/>
        <v>0</v>
      </c>
      <c r="AE18" s="179">
        <f t="shared" si="3"/>
        <v>0</v>
      </c>
      <c r="AF18" s="179">
        <f t="shared" si="3"/>
        <v>0</v>
      </c>
      <c r="AG18" s="179">
        <f t="shared" si="3"/>
        <v>0</v>
      </c>
      <c r="AH18" s="179">
        <f t="shared" si="3"/>
        <v>0</v>
      </c>
      <c r="AI18" s="179">
        <f t="shared" si="3"/>
        <v>0</v>
      </c>
      <c r="AJ18" s="179">
        <f t="shared" si="3"/>
        <v>0</v>
      </c>
      <c r="AK18" s="179">
        <f t="shared" si="3"/>
        <v>0</v>
      </c>
      <c r="AL18" s="179">
        <f t="shared" si="3"/>
        <v>0</v>
      </c>
      <c r="AM18" s="179">
        <f t="shared" si="3"/>
        <v>0</v>
      </c>
      <c r="AN18" s="179"/>
      <c r="AO18" s="179"/>
      <c r="AP18" s="179"/>
      <c r="AQ18" s="179"/>
      <c r="AR18" s="179"/>
      <c r="AS18" s="179"/>
    </row>
    <row r="19" spans="2:45">
      <c r="B19" s="121"/>
      <c r="C19" s="646" t="s">
        <v>1319</v>
      </c>
      <c r="D19" s="257" t="s">
        <v>1313</v>
      </c>
      <c r="E19" s="121" t="s">
        <v>740</v>
      </c>
      <c r="F19" s="205"/>
      <c r="H19" s="377"/>
      <c r="J19" s="179"/>
      <c r="K19" s="179"/>
      <c r="L19" s="179"/>
      <c r="M19" s="179"/>
      <c r="N19" s="179">
        <f t="shared" si="2"/>
        <v>0</v>
      </c>
      <c r="O19" s="179">
        <f t="shared" si="2"/>
        <v>0</v>
      </c>
      <c r="P19" s="179">
        <f t="shared" si="2"/>
        <v>0</v>
      </c>
      <c r="Q19" s="179">
        <f t="shared" si="2"/>
        <v>0</v>
      </c>
      <c r="R19" s="179">
        <f t="shared" si="2"/>
        <v>0</v>
      </c>
      <c r="S19" s="179">
        <f t="shared" si="2"/>
        <v>0</v>
      </c>
      <c r="T19" s="179">
        <f t="shared" si="2"/>
        <v>0</v>
      </c>
      <c r="U19" s="179">
        <f t="shared" si="2"/>
        <v>0</v>
      </c>
      <c r="V19" s="179">
        <f t="shared" si="2"/>
        <v>0</v>
      </c>
      <c r="W19" s="179">
        <f t="shared" si="2"/>
        <v>0</v>
      </c>
      <c r="X19" s="179">
        <f t="shared" si="2"/>
        <v>0</v>
      </c>
      <c r="Y19" s="179">
        <f t="shared" si="2"/>
        <v>0</v>
      </c>
      <c r="Z19" s="179">
        <f t="shared" si="2"/>
        <v>0</v>
      </c>
      <c r="AA19" s="179">
        <f t="shared" si="3"/>
        <v>0</v>
      </c>
      <c r="AB19" s="179">
        <f t="shared" si="3"/>
        <v>0</v>
      </c>
      <c r="AC19" s="179">
        <f t="shared" si="3"/>
        <v>0</v>
      </c>
      <c r="AD19" s="179">
        <f t="shared" si="3"/>
        <v>0</v>
      </c>
      <c r="AE19" s="179">
        <f t="shared" si="3"/>
        <v>0</v>
      </c>
      <c r="AF19" s="179">
        <f t="shared" si="3"/>
        <v>0</v>
      </c>
      <c r="AG19" s="179">
        <f t="shared" si="3"/>
        <v>0</v>
      </c>
      <c r="AH19" s="179">
        <f t="shared" si="3"/>
        <v>0</v>
      </c>
      <c r="AI19" s="179">
        <f t="shared" si="3"/>
        <v>0</v>
      </c>
      <c r="AJ19" s="179">
        <f t="shared" si="3"/>
        <v>0</v>
      </c>
      <c r="AK19" s="179">
        <f t="shared" si="3"/>
        <v>0</v>
      </c>
      <c r="AL19" s="179">
        <f t="shared" si="3"/>
        <v>0</v>
      </c>
      <c r="AM19" s="179">
        <f t="shared" si="3"/>
        <v>0</v>
      </c>
      <c r="AN19" s="179"/>
      <c r="AO19" s="179"/>
      <c r="AP19" s="179"/>
      <c r="AQ19" s="179"/>
      <c r="AR19" s="179"/>
      <c r="AS19" s="179"/>
    </row>
    <row r="20" spans="2:45">
      <c r="B20" s="121"/>
      <c r="C20" s="647" t="s">
        <v>1320</v>
      </c>
      <c r="D20" s="257" t="s">
        <v>1313</v>
      </c>
      <c r="E20" s="121" t="s">
        <v>740</v>
      </c>
      <c r="F20" s="95" t="s">
        <v>202</v>
      </c>
      <c r="G20">
        <f>IF(Sensitivity!$C$42="Departmental",0,1)</f>
        <v>0</v>
      </c>
      <c r="H20" s="375">
        <f>IFERROR(VLOOKUP(F20,Assumptions_Dashboard!$C$38:$D$72,4,FALSE),)</f>
        <v>0</v>
      </c>
      <c r="J20" s="179"/>
      <c r="K20" s="179"/>
      <c r="L20" s="179"/>
      <c r="M20" s="179"/>
      <c r="N20" s="179">
        <f>G20</f>
        <v>0</v>
      </c>
      <c r="O20" s="179">
        <f t="shared" si="2"/>
        <v>0</v>
      </c>
      <c r="P20" s="179">
        <f t="shared" si="2"/>
        <v>0</v>
      </c>
      <c r="Q20" s="179">
        <f t="shared" si="2"/>
        <v>0</v>
      </c>
      <c r="R20" s="179">
        <f t="shared" si="2"/>
        <v>0</v>
      </c>
      <c r="S20" s="179">
        <f t="shared" si="2"/>
        <v>0</v>
      </c>
      <c r="T20" s="179">
        <f t="shared" si="2"/>
        <v>0</v>
      </c>
      <c r="U20" s="179">
        <f t="shared" si="2"/>
        <v>0</v>
      </c>
      <c r="V20" s="179">
        <f t="shared" si="2"/>
        <v>0</v>
      </c>
      <c r="W20" s="179">
        <f t="shared" si="2"/>
        <v>0</v>
      </c>
      <c r="X20" s="179">
        <f t="shared" si="2"/>
        <v>0</v>
      </c>
      <c r="Y20" s="179">
        <f t="shared" si="2"/>
        <v>0</v>
      </c>
      <c r="Z20" s="179">
        <f t="shared" si="2"/>
        <v>0</v>
      </c>
      <c r="AA20" s="179">
        <f t="shared" si="3"/>
        <v>0</v>
      </c>
      <c r="AB20" s="179">
        <f t="shared" si="3"/>
        <v>0</v>
      </c>
      <c r="AC20" s="179">
        <f t="shared" si="3"/>
        <v>0</v>
      </c>
      <c r="AD20" s="179">
        <f t="shared" si="3"/>
        <v>0</v>
      </c>
      <c r="AE20" s="179">
        <f t="shared" si="3"/>
        <v>0</v>
      </c>
      <c r="AF20" s="179">
        <f t="shared" si="3"/>
        <v>0</v>
      </c>
      <c r="AG20" s="179">
        <f t="shared" si="3"/>
        <v>0</v>
      </c>
      <c r="AH20" s="179">
        <f t="shared" si="3"/>
        <v>0</v>
      </c>
      <c r="AI20" s="179">
        <f t="shared" si="3"/>
        <v>0</v>
      </c>
      <c r="AJ20" s="179">
        <f t="shared" si="3"/>
        <v>0</v>
      </c>
      <c r="AK20" s="179">
        <f t="shared" si="3"/>
        <v>0</v>
      </c>
      <c r="AL20" s="179">
        <f t="shared" si="3"/>
        <v>0</v>
      </c>
      <c r="AM20" s="179">
        <f t="shared" si="3"/>
        <v>0</v>
      </c>
      <c r="AN20" s="179"/>
      <c r="AO20" s="179"/>
      <c r="AP20" s="179"/>
      <c r="AQ20" s="179"/>
      <c r="AR20" s="179"/>
      <c r="AS20" s="179"/>
    </row>
    <row r="21" spans="2:45">
      <c r="B21" s="121"/>
      <c r="C21" s="647" t="s">
        <v>1321</v>
      </c>
      <c r="D21" s="257" t="s">
        <v>1313</v>
      </c>
      <c r="E21" s="121" t="s">
        <v>740</v>
      </c>
      <c r="F21" s="205"/>
      <c r="H21" s="377"/>
      <c r="J21" s="179"/>
      <c r="K21" s="179"/>
      <c r="L21" s="179"/>
      <c r="M21" s="179"/>
      <c r="N21" s="179">
        <f t="shared" si="2"/>
        <v>0</v>
      </c>
      <c r="O21" s="179">
        <f t="shared" si="2"/>
        <v>0</v>
      </c>
      <c r="P21" s="179">
        <f t="shared" si="2"/>
        <v>0</v>
      </c>
      <c r="Q21" s="179">
        <f t="shared" si="2"/>
        <v>0</v>
      </c>
      <c r="R21" s="179">
        <f t="shared" si="2"/>
        <v>0</v>
      </c>
      <c r="S21" s="179">
        <f t="shared" si="2"/>
        <v>0</v>
      </c>
      <c r="T21" s="179">
        <f t="shared" si="2"/>
        <v>0</v>
      </c>
      <c r="U21" s="179">
        <f t="shared" si="2"/>
        <v>0</v>
      </c>
      <c r="V21" s="179">
        <f t="shared" si="2"/>
        <v>0</v>
      </c>
      <c r="W21" s="179">
        <f t="shared" si="2"/>
        <v>0</v>
      </c>
      <c r="X21" s="179">
        <f t="shared" si="2"/>
        <v>0</v>
      </c>
      <c r="Y21" s="179">
        <f t="shared" si="2"/>
        <v>0</v>
      </c>
      <c r="Z21" s="179">
        <f t="shared" si="2"/>
        <v>0</v>
      </c>
      <c r="AA21" s="179">
        <f t="shared" si="3"/>
        <v>0</v>
      </c>
      <c r="AB21" s="179">
        <f t="shared" si="3"/>
        <v>0</v>
      </c>
      <c r="AC21" s="179">
        <f t="shared" si="3"/>
        <v>0</v>
      </c>
      <c r="AD21" s="179">
        <f t="shared" si="3"/>
        <v>0</v>
      </c>
      <c r="AE21" s="179">
        <f t="shared" si="3"/>
        <v>0</v>
      </c>
      <c r="AF21" s="179">
        <f t="shared" si="3"/>
        <v>0</v>
      </c>
      <c r="AG21" s="179">
        <f t="shared" si="3"/>
        <v>0</v>
      </c>
      <c r="AH21" s="179">
        <f t="shared" si="3"/>
        <v>0</v>
      </c>
      <c r="AI21" s="179">
        <f t="shared" si="3"/>
        <v>0</v>
      </c>
      <c r="AJ21" s="179">
        <f t="shared" si="3"/>
        <v>0</v>
      </c>
      <c r="AK21" s="179">
        <f t="shared" si="3"/>
        <v>0</v>
      </c>
      <c r="AL21" s="179">
        <f t="shared" si="3"/>
        <v>0</v>
      </c>
      <c r="AM21" s="179">
        <f t="shared" si="3"/>
        <v>0</v>
      </c>
      <c r="AN21" s="179"/>
      <c r="AO21" s="179"/>
      <c r="AP21" s="179"/>
      <c r="AQ21" s="179"/>
      <c r="AR21" s="179"/>
      <c r="AS21" s="179"/>
    </row>
    <row r="22" spans="2:45">
      <c r="B22" s="121"/>
      <c r="C22" s="648" t="s">
        <v>1322</v>
      </c>
      <c r="D22" s="257" t="s">
        <v>1315</v>
      </c>
      <c r="E22" s="121" t="s">
        <v>740</v>
      </c>
      <c r="F22" s="95" t="s">
        <v>203</v>
      </c>
      <c r="G22">
        <f>IF(Sensitivity!$C$42="Departmental",0,1)</f>
        <v>0</v>
      </c>
      <c r="H22" s="375">
        <f>IFERROR(VLOOKUP(F22,Assumptions_Dashboard!$C$38:$D$72,4,FALSE),)</f>
        <v>0</v>
      </c>
      <c r="J22" s="179"/>
      <c r="K22" s="179"/>
      <c r="L22" s="179"/>
      <c r="M22" s="179"/>
      <c r="N22" s="179">
        <f t="shared" ref="N22:N28" si="4">G22</f>
        <v>0</v>
      </c>
      <c r="O22" s="179">
        <f t="shared" si="2"/>
        <v>0</v>
      </c>
      <c r="P22" s="179">
        <f t="shared" si="2"/>
        <v>0</v>
      </c>
      <c r="Q22" s="179">
        <f t="shared" si="2"/>
        <v>0</v>
      </c>
      <c r="R22" s="179">
        <f t="shared" si="2"/>
        <v>0</v>
      </c>
      <c r="S22" s="179">
        <f t="shared" si="2"/>
        <v>0</v>
      </c>
      <c r="T22" s="179">
        <f t="shared" si="2"/>
        <v>0</v>
      </c>
      <c r="U22" s="179">
        <f t="shared" si="2"/>
        <v>0</v>
      </c>
      <c r="V22" s="179">
        <f t="shared" si="2"/>
        <v>0</v>
      </c>
      <c r="W22" s="179">
        <f t="shared" si="2"/>
        <v>0</v>
      </c>
      <c r="X22" s="179">
        <f t="shared" si="2"/>
        <v>0</v>
      </c>
      <c r="Y22" s="179">
        <f t="shared" si="2"/>
        <v>0</v>
      </c>
      <c r="Z22" s="179">
        <f t="shared" si="2"/>
        <v>0</v>
      </c>
      <c r="AA22" s="179">
        <f t="shared" si="3"/>
        <v>0</v>
      </c>
      <c r="AB22" s="179">
        <f t="shared" si="3"/>
        <v>0</v>
      </c>
      <c r="AC22" s="179">
        <f t="shared" si="3"/>
        <v>0</v>
      </c>
      <c r="AD22" s="179">
        <f t="shared" si="3"/>
        <v>0</v>
      </c>
      <c r="AE22" s="179">
        <f t="shared" si="3"/>
        <v>0</v>
      </c>
      <c r="AF22" s="179">
        <f t="shared" si="3"/>
        <v>0</v>
      </c>
      <c r="AG22" s="179">
        <f t="shared" si="3"/>
        <v>0</v>
      </c>
      <c r="AH22" s="179">
        <f t="shared" si="3"/>
        <v>0</v>
      </c>
      <c r="AI22" s="179">
        <f t="shared" si="3"/>
        <v>0</v>
      </c>
      <c r="AJ22" s="179">
        <f t="shared" si="3"/>
        <v>0</v>
      </c>
      <c r="AK22" s="179">
        <f t="shared" si="3"/>
        <v>0</v>
      </c>
      <c r="AL22" s="179">
        <f t="shared" si="3"/>
        <v>0</v>
      </c>
      <c r="AM22" s="179">
        <f t="shared" si="3"/>
        <v>0</v>
      </c>
      <c r="AN22" s="179"/>
      <c r="AO22" s="179"/>
      <c r="AP22" s="179"/>
      <c r="AQ22" s="179"/>
      <c r="AR22" s="179"/>
      <c r="AS22" s="179"/>
    </row>
    <row r="23" spans="2:45">
      <c r="B23" s="121"/>
      <c r="C23" s="649" t="s">
        <v>1323</v>
      </c>
      <c r="D23" s="257" t="s">
        <v>1313</v>
      </c>
      <c r="E23" s="121" t="s">
        <v>740</v>
      </c>
      <c r="F23" s="95" t="s">
        <v>202</v>
      </c>
      <c r="G23">
        <f>IF(Sensitivity!$C$42="Departmental",0,1)</f>
        <v>0</v>
      </c>
      <c r="H23" s="375">
        <f>IFERROR(VLOOKUP(F23,Assumptions_Dashboard!$C$38:$D$72,4,FALSE),)</f>
        <v>0</v>
      </c>
      <c r="J23" s="179"/>
      <c r="K23" s="179"/>
      <c r="L23" s="179"/>
      <c r="M23" s="179"/>
      <c r="N23" s="179">
        <f t="shared" si="4"/>
        <v>0</v>
      </c>
      <c r="O23" s="179">
        <f t="shared" si="2"/>
        <v>0</v>
      </c>
      <c r="P23" s="179">
        <f t="shared" si="2"/>
        <v>0</v>
      </c>
      <c r="Q23" s="179">
        <f t="shared" si="2"/>
        <v>0</v>
      </c>
      <c r="R23" s="179">
        <f t="shared" si="2"/>
        <v>0</v>
      </c>
      <c r="S23" s="179">
        <f t="shared" si="2"/>
        <v>0</v>
      </c>
      <c r="T23" s="179">
        <f t="shared" si="2"/>
        <v>0</v>
      </c>
      <c r="U23" s="179">
        <f t="shared" si="2"/>
        <v>0</v>
      </c>
      <c r="V23" s="179">
        <f t="shared" si="2"/>
        <v>0</v>
      </c>
      <c r="W23" s="179">
        <f t="shared" si="2"/>
        <v>0</v>
      </c>
      <c r="X23" s="179">
        <f t="shared" si="2"/>
        <v>0</v>
      </c>
      <c r="Y23" s="179">
        <f t="shared" si="2"/>
        <v>0</v>
      </c>
      <c r="Z23" s="179">
        <f t="shared" si="2"/>
        <v>0</v>
      </c>
      <c r="AA23" s="179">
        <f t="shared" si="3"/>
        <v>0</v>
      </c>
      <c r="AB23" s="179">
        <f t="shared" si="3"/>
        <v>0</v>
      </c>
      <c r="AC23" s="179">
        <f t="shared" si="3"/>
        <v>0</v>
      </c>
      <c r="AD23" s="179">
        <f t="shared" si="3"/>
        <v>0</v>
      </c>
      <c r="AE23" s="179">
        <f t="shared" si="3"/>
        <v>0</v>
      </c>
      <c r="AF23" s="179">
        <f t="shared" si="3"/>
        <v>0</v>
      </c>
      <c r="AG23" s="179">
        <f t="shared" si="3"/>
        <v>0</v>
      </c>
      <c r="AH23" s="179">
        <f t="shared" si="3"/>
        <v>0</v>
      </c>
      <c r="AI23" s="179">
        <f t="shared" si="3"/>
        <v>0</v>
      </c>
      <c r="AJ23" s="179">
        <f t="shared" si="3"/>
        <v>0</v>
      </c>
      <c r="AK23" s="179">
        <f t="shared" si="3"/>
        <v>0</v>
      </c>
      <c r="AL23" s="179">
        <f t="shared" si="3"/>
        <v>0</v>
      </c>
      <c r="AM23" s="179">
        <f t="shared" si="3"/>
        <v>0</v>
      </c>
      <c r="AN23" s="179"/>
      <c r="AO23" s="179"/>
      <c r="AP23" s="179"/>
      <c r="AQ23" s="179"/>
      <c r="AR23" s="179"/>
      <c r="AS23" s="179"/>
    </row>
    <row r="24" spans="2:45">
      <c r="B24" s="121"/>
      <c r="C24" s="650" t="s">
        <v>1324</v>
      </c>
      <c r="D24" s="257" t="s">
        <v>1313</v>
      </c>
      <c r="E24" s="121" t="s">
        <v>740</v>
      </c>
      <c r="F24" s="95" t="s">
        <v>205</v>
      </c>
      <c r="G24">
        <f>IF(Sensitivity!$C$42="Departmental",0,1)</f>
        <v>0</v>
      </c>
      <c r="H24" s="375">
        <f>IFERROR(VLOOKUP(F24,Assumptions_Dashboard!$C$38:$D$72,4,FALSE),)</f>
        <v>0</v>
      </c>
      <c r="J24" s="179"/>
      <c r="K24" s="179"/>
      <c r="L24" s="179"/>
      <c r="M24" s="179"/>
      <c r="N24" s="179">
        <f t="shared" si="4"/>
        <v>0</v>
      </c>
      <c r="O24" s="179">
        <f t="shared" si="2"/>
        <v>0</v>
      </c>
      <c r="P24" s="179">
        <f t="shared" si="2"/>
        <v>0</v>
      </c>
      <c r="Q24" s="179">
        <f t="shared" si="2"/>
        <v>0</v>
      </c>
      <c r="R24" s="179">
        <f t="shared" si="2"/>
        <v>0</v>
      </c>
      <c r="S24" s="179">
        <f t="shared" si="2"/>
        <v>0</v>
      </c>
      <c r="T24" s="179">
        <f t="shared" si="2"/>
        <v>0</v>
      </c>
      <c r="U24" s="179">
        <f t="shared" si="2"/>
        <v>0</v>
      </c>
      <c r="V24" s="179">
        <f t="shared" si="2"/>
        <v>0</v>
      </c>
      <c r="W24" s="179">
        <f t="shared" si="2"/>
        <v>0</v>
      </c>
      <c r="X24" s="179">
        <f t="shared" si="2"/>
        <v>0</v>
      </c>
      <c r="Y24" s="179">
        <f t="shared" si="2"/>
        <v>0</v>
      </c>
      <c r="Z24" s="179">
        <f t="shared" si="2"/>
        <v>0</v>
      </c>
      <c r="AA24" s="179">
        <f t="shared" si="3"/>
        <v>0</v>
      </c>
      <c r="AB24" s="179">
        <f t="shared" si="3"/>
        <v>0</v>
      </c>
      <c r="AC24" s="179">
        <f t="shared" si="3"/>
        <v>0</v>
      </c>
      <c r="AD24" s="179">
        <f t="shared" si="3"/>
        <v>0</v>
      </c>
      <c r="AE24" s="179">
        <f t="shared" si="3"/>
        <v>0</v>
      </c>
      <c r="AF24" s="179">
        <f t="shared" si="3"/>
        <v>0</v>
      </c>
      <c r="AG24" s="179">
        <f t="shared" si="3"/>
        <v>0</v>
      </c>
      <c r="AH24" s="179">
        <f t="shared" si="3"/>
        <v>0</v>
      </c>
      <c r="AI24" s="179">
        <f t="shared" si="3"/>
        <v>0</v>
      </c>
      <c r="AJ24" s="179">
        <f t="shared" si="3"/>
        <v>0</v>
      </c>
      <c r="AK24" s="179">
        <f t="shared" si="3"/>
        <v>0</v>
      </c>
      <c r="AL24" s="179">
        <f t="shared" si="3"/>
        <v>0</v>
      </c>
      <c r="AM24" s="179">
        <f t="shared" si="3"/>
        <v>0</v>
      </c>
      <c r="AN24" s="179"/>
      <c r="AO24" s="179"/>
      <c r="AP24" s="179"/>
      <c r="AQ24" s="179"/>
      <c r="AR24" s="179"/>
      <c r="AS24" s="179"/>
    </row>
    <row r="25" spans="2:45">
      <c r="B25" s="121"/>
      <c r="C25" s="646" t="s">
        <v>1325</v>
      </c>
      <c r="D25" s="257" t="s">
        <v>1313</v>
      </c>
      <c r="E25" s="121" t="s">
        <v>740</v>
      </c>
      <c r="F25" s="95" t="s">
        <v>203</v>
      </c>
      <c r="G25">
        <f>IF(Sensitivity!$C$42="Departmental",0,1)</f>
        <v>0</v>
      </c>
      <c r="H25" s="375">
        <f>IFERROR(VLOOKUP(F25,Assumptions_Dashboard!$C$38:$D$72,4,FALSE),)</f>
        <v>0</v>
      </c>
      <c r="J25" s="179"/>
      <c r="K25" s="179"/>
      <c r="L25" s="179"/>
      <c r="M25" s="179"/>
      <c r="N25" s="179">
        <f t="shared" si="4"/>
        <v>0</v>
      </c>
      <c r="O25" s="179">
        <f t="shared" si="2"/>
        <v>0</v>
      </c>
      <c r="P25" s="179">
        <f t="shared" si="2"/>
        <v>0</v>
      </c>
      <c r="Q25" s="179">
        <f t="shared" si="2"/>
        <v>0</v>
      </c>
      <c r="R25" s="179">
        <f t="shared" si="2"/>
        <v>0</v>
      </c>
      <c r="S25" s="179">
        <f t="shared" si="2"/>
        <v>0</v>
      </c>
      <c r="T25" s="179">
        <f t="shared" si="2"/>
        <v>0</v>
      </c>
      <c r="U25" s="179">
        <f t="shared" si="2"/>
        <v>0</v>
      </c>
      <c r="V25" s="179">
        <f t="shared" si="2"/>
        <v>0</v>
      </c>
      <c r="W25" s="179">
        <f t="shared" si="2"/>
        <v>0</v>
      </c>
      <c r="X25" s="179">
        <f t="shared" si="2"/>
        <v>0</v>
      </c>
      <c r="Y25" s="179">
        <f t="shared" si="2"/>
        <v>0</v>
      </c>
      <c r="Z25" s="179">
        <f t="shared" si="2"/>
        <v>0</v>
      </c>
      <c r="AA25" s="179">
        <f t="shared" si="3"/>
        <v>0</v>
      </c>
      <c r="AB25" s="179">
        <f t="shared" si="3"/>
        <v>0</v>
      </c>
      <c r="AC25" s="179">
        <f t="shared" si="3"/>
        <v>0</v>
      </c>
      <c r="AD25" s="179">
        <f t="shared" si="3"/>
        <v>0</v>
      </c>
      <c r="AE25" s="179">
        <f t="shared" si="3"/>
        <v>0</v>
      </c>
      <c r="AF25" s="179">
        <f t="shared" si="3"/>
        <v>0</v>
      </c>
      <c r="AG25" s="179">
        <f t="shared" si="3"/>
        <v>0</v>
      </c>
      <c r="AH25" s="179">
        <f t="shared" si="3"/>
        <v>0</v>
      </c>
      <c r="AI25" s="179">
        <f t="shared" si="3"/>
        <v>0</v>
      </c>
      <c r="AJ25" s="179">
        <f t="shared" si="3"/>
        <v>0</v>
      </c>
      <c r="AK25" s="179">
        <f t="shared" si="3"/>
        <v>0</v>
      </c>
      <c r="AL25" s="179">
        <f t="shared" si="3"/>
        <v>0</v>
      </c>
      <c r="AM25" s="179">
        <f t="shared" si="3"/>
        <v>0</v>
      </c>
      <c r="AN25" s="179"/>
      <c r="AO25" s="179"/>
      <c r="AP25" s="179"/>
      <c r="AQ25" s="179"/>
      <c r="AR25" s="179"/>
      <c r="AS25" s="179"/>
    </row>
    <row r="26" spans="2:45">
      <c r="B26" s="121"/>
      <c r="C26" s="646" t="s">
        <v>1326</v>
      </c>
      <c r="D26" s="257" t="s">
        <v>1313</v>
      </c>
      <c r="E26" s="121" t="s">
        <v>740</v>
      </c>
      <c r="F26" s="95" t="s">
        <v>203</v>
      </c>
      <c r="G26">
        <f>IF(Sensitivity!$C$42="Departmental",0,1)</f>
        <v>0</v>
      </c>
      <c r="H26" s="375">
        <f>IFERROR(VLOOKUP(F26,Assumptions_Dashboard!$C$38:$D$72,4,FALSE),)</f>
        <v>0</v>
      </c>
      <c r="J26" s="179"/>
      <c r="K26" s="179"/>
      <c r="L26" s="179"/>
      <c r="M26" s="179"/>
      <c r="N26" s="179">
        <f t="shared" si="4"/>
        <v>0</v>
      </c>
      <c r="O26" s="179">
        <f t="shared" si="2"/>
        <v>0</v>
      </c>
      <c r="P26" s="179">
        <f t="shared" si="2"/>
        <v>0</v>
      </c>
      <c r="Q26" s="179">
        <f t="shared" si="2"/>
        <v>0</v>
      </c>
      <c r="R26" s="179">
        <f t="shared" si="2"/>
        <v>0</v>
      </c>
      <c r="S26" s="179">
        <f t="shared" si="2"/>
        <v>0</v>
      </c>
      <c r="T26" s="179">
        <f t="shared" si="2"/>
        <v>0</v>
      </c>
      <c r="U26" s="179">
        <f t="shared" si="2"/>
        <v>0</v>
      </c>
      <c r="V26" s="179">
        <f t="shared" si="2"/>
        <v>0</v>
      </c>
      <c r="W26" s="179">
        <f t="shared" si="2"/>
        <v>0</v>
      </c>
      <c r="X26" s="179">
        <f t="shared" si="2"/>
        <v>0</v>
      </c>
      <c r="Y26" s="179">
        <f t="shared" si="2"/>
        <v>0</v>
      </c>
      <c r="Z26" s="179">
        <f t="shared" si="2"/>
        <v>0</v>
      </c>
      <c r="AA26" s="179">
        <f t="shared" si="3"/>
        <v>0</v>
      </c>
      <c r="AB26" s="179">
        <f t="shared" si="3"/>
        <v>0</v>
      </c>
      <c r="AC26" s="179">
        <f t="shared" si="3"/>
        <v>0</v>
      </c>
      <c r="AD26" s="179">
        <f t="shared" si="3"/>
        <v>0</v>
      </c>
      <c r="AE26" s="179">
        <f t="shared" si="3"/>
        <v>0</v>
      </c>
      <c r="AF26" s="179">
        <f t="shared" si="3"/>
        <v>0</v>
      </c>
      <c r="AG26" s="179">
        <f t="shared" si="3"/>
        <v>0</v>
      </c>
      <c r="AH26" s="179">
        <f t="shared" si="3"/>
        <v>0</v>
      </c>
      <c r="AI26" s="179">
        <f t="shared" si="3"/>
        <v>0</v>
      </c>
      <c r="AJ26" s="179">
        <f t="shared" si="3"/>
        <v>0</v>
      </c>
      <c r="AK26" s="179">
        <f t="shared" si="3"/>
        <v>0</v>
      </c>
      <c r="AL26" s="179">
        <f t="shared" si="3"/>
        <v>0</v>
      </c>
      <c r="AM26" s="179">
        <f t="shared" si="3"/>
        <v>0</v>
      </c>
      <c r="AN26" s="179"/>
      <c r="AO26" s="179"/>
      <c r="AP26" s="179"/>
      <c r="AQ26" s="179"/>
      <c r="AR26" s="179"/>
      <c r="AS26" s="179"/>
    </row>
    <row r="27" spans="2:45">
      <c r="B27" s="121"/>
      <c r="C27" s="646" t="s">
        <v>1327</v>
      </c>
      <c r="D27" s="257" t="s">
        <v>1313</v>
      </c>
      <c r="E27" s="121" t="s">
        <v>740</v>
      </c>
      <c r="F27" s="95" t="s">
        <v>205</v>
      </c>
      <c r="G27">
        <f>IF(Sensitivity!$C$42="Departmental",0,1)</f>
        <v>0</v>
      </c>
      <c r="H27" s="375">
        <f>IFERROR(VLOOKUP(F27,Assumptions_Dashboard!$C$38:$D$72,4,FALSE),)</f>
        <v>0</v>
      </c>
      <c r="J27" s="179"/>
      <c r="K27" s="179"/>
      <c r="L27" s="179"/>
      <c r="M27" s="179"/>
      <c r="N27" s="179">
        <f t="shared" si="4"/>
        <v>0</v>
      </c>
      <c r="O27" s="179">
        <f t="shared" si="2"/>
        <v>0</v>
      </c>
      <c r="P27" s="179">
        <f t="shared" si="2"/>
        <v>0</v>
      </c>
      <c r="Q27" s="179">
        <f t="shared" si="2"/>
        <v>0</v>
      </c>
      <c r="R27" s="179">
        <f t="shared" si="2"/>
        <v>0</v>
      </c>
      <c r="S27" s="179">
        <f t="shared" si="2"/>
        <v>0</v>
      </c>
      <c r="T27" s="179">
        <f t="shared" si="2"/>
        <v>0</v>
      </c>
      <c r="U27" s="179">
        <f t="shared" si="2"/>
        <v>0</v>
      </c>
      <c r="V27" s="179">
        <f t="shared" si="2"/>
        <v>0</v>
      </c>
      <c r="W27" s="179">
        <f t="shared" si="2"/>
        <v>0</v>
      </c>
      <c r="X27" s="179">
        <f t="shared" si="2"/>
        <v>0</v>
      </c>
      <c r="Y27" s="179">
        <f t="shared" si="2"/>
        <v>0</v>
      </c>
      <c r="Z27" s="179">
        <f t="shared" si="2"/>
        <v>0</v>
      </c>
      <c r="AA27" s="179">
        <f t="shared" si="3"/>
        <v>0</v>
      </c>
      <c r="AB27" s="179">
        <f t="shared" si="3"/>
        <v>0</v>
      </c>
      <c r="AC27" s="179">
        <f t="shared" si="3"/>
        <v>0</v>
      </c>
      <c r="AD27" s="179">
        <f t="shared" si="3"/>
        <v>0</v>
      </c>
      <c r="AE27" s="179">
        <f t="shared" si="3"/>
        <v>0</v>
      </c>
      <c r="AF27" s="179">
        <f t="shared" si="3"/>
        <v>0</v>
      </c>
      <c r="AG27" s="179">
        <f t="shared" si="3"/>
        <v>0</v>
      </c>
      <c r="AH27" s="179">
        <f t="shared" si="3"/>
        <v>0</v>
      </c>
      <c r="AI27" s="179">
        <f t="shared" si="3"/>
        <v>0</v>
      </c>
      <c r="AJ27" s="179">
        <f t="shared" si="3"/>
        <v>0</v>
      </c>
      <c r="AK27" s="179">
        <f t="shared" si="3"/>
        <v>0</v>
      </c>
      <c r="AL27" s="179">
        <f t="shared" si="3"/>
        <v>0</v>
      </c>
      <c r="AM27" s="179">
        <f t="shared" si="3"/>
        <v>0</v>
      </c>
      <c r="AN27" s="179"/>
      <c r="AO27" s="179"/>
      <c r="AP27" s="179"/>
      <c r="AQ27" s="179"/>
      <c r="AR27" s="179"/>
      <c r="AS27" s="179"/>
    </row>
    <row r="28" spans="2:45">
      <c r="B28" s="121"/>
      <c r="C28" s="651" t="s">
        <v>1328</v>
      </c>
      <c r="D28" s="257" t="s">
        <v>1313</v>
      </c>
      <c r="E28" s="121" t="s">
        <v>740</v>
      </c>
      <c r="F28" s="95" t="s">
        <v>204</v>
      </c>
      <c r="G28">
        <f>IF(Sensitivity!$C$42="Departmental",0,1)</f>
        <v>0</v>
      </c>
      <c r="H28" s="375">
        <f>IFERROR(VLOOKUP(F28,Assumptions_Dashboard!$C$38:$D$72,4,FALSE),)</f>
        <v>0</v>
      </c>
      <c r="J28" s="179"/>
      <c r="K28" s="179"/>
      <c r="L28" s="179"/>
      <c r="M28" s="179"/>
      <c r="N28" s="179">
        <f t="shared" si="4"/>
        <v>0</v>
      </c>
      <c r="O28" s="179">
        <f t="shared" si="2"/>
        <v>0</v>
      </c>
      <c r="P28" s="179">
        <f t="shared" si="2"/>
        <v>0</v>
      </c>
      <c r="Q28" s="179">
        <f>P28</f>
        <v>0</v>
      </c>
      <c r="R28" s="179">
        <f t="shared" si="2"/>
        <v>0</v>
      </c>
      <c r="S28" s="179">
        <f t="shared" si="2"/>
        <v>0</v>
      </c>
      <c r="T28" s="179">
        <f t="shared" si="2"/>
        <v>0</v>
      </c>
      <c r="U28" s="179">
        <f t="shared" si="2"/>
        <v>0</v>
      </c>
      <c r="V28" s="179">
        <f t="shared" si="2"/>
        <v>0</v>
      </c>
      <c r="W28" s="179">
        <f t="shared" si="2"/>
        <v>0</v>
      </c>
      <c r="X28" s="179">
        <f t="shared" si="2"/>
        <v>0</v>
      </c>
      <c r="Y28" s="179">
        <f t="shared" si="2"/>
        <v>0</v>
      </c>
      <c r="Z28" s="179">
        <f t="shared" si="2"/>
        <v>0</v>
      </c>
      <c r="AA28" s="179">
        <f t="shared" si="3"/>
        <v>0</v>
      </c>
      <c r="AB28" s="179">
        <f t="shared" si="3"/>
        <v>0</v>
      </c>
      <c r="AC28" s="179">
        <f t="shared" si="3"/>
        <v>0</v>
      </c>
      <c r="AD28" s="179">
        <f t="shared" si="3"/>
        <v>0</v>
      </c>
      <c r="AE28" s="179">
        <f t="shared" si="3"/>
        <v>0</v>
      </c>
      <c r="AF28" s="179">
        <f t="shared" si="3"/>
        <v>0</v>
      </c>
      <c r="AG28" s="179">
        <f t="shared" si="3"/>
        <v>0</v>
      </c>
      <c r="AH28" s="179">
        <f t="shared" si="3"/>
        <v>0</v>
      </c>
      <c r="AI28" s="179">
        <f t="shared" si="3"/>
        <v>0</v>
      </c>
      <c r="AJ28" s="179">
        <f t="shared" si="3"/>
        <v>0</v>
      </c>
      <c r="AK28" s="179">
        <f t="shared" si="3"/>
        <v>0</v>
      </c>
      <c r="AL28" s="179">
        <f t="shared" si="3"/>
        <v>0</v>
      </c>
      <c r="AM28" s="179">
        <f t="shared" si="3"/>
        <v>0</v>
      </c>
      <c r="AN28" s="179"/>
      <c r="AO28" s="179"/>
      <c r="AP28" s="179"/>
      <c r="AQ28" s="179"/>
      <c r="AR28" s="179"/>
      <c r="AS28" s="179"/>
    </row>
    <row r="29" spans="2:45">
      <c r="B29" s="121"/>
      <c r="C29" s="646" t="s">
        <v>1329</v>
      </c>
      <c r="D29" s="257" t="s">
        <v>1313</v>
      </c>
      <c r="E29" s="121" t="s">
        <v>740</v>
      </c>
      <c r="F29" s="205"/>
      <c r="H29" s="377"/>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row>
    <row r="30" spans="2:45">
      <c r="B30" s="121"/>
      <c r="C30" s="652" t="s">
        <v>1330</v>
      </c>
      <c r="D30" s="257" t="s">
        <v>1315</v>
      </c>
      <c r="E30" s="121" t="s">
        <v>740</v>
      </c>
      <c r="F30" s="95" t="s">
        <v>203</v>
      </c>
      <c r="G30">
        <f>IF(Sensitivity!$C$42="Departmental",0,1)</f>
        <v>0</v>
      </c>
      <c r="H30" s="375">
        <f>IFERROR(VLOOKUP(F30,Assumptions_Dashboard!$C$38:$D$72,4,FALSE),)</f>
        <v>0</v>
      </c>
      <c r="J30" s="179"/>
      <c r="K30" s="179"/>
      <c r="L30" s="179"/>
      <c r="M30" s="179"/>
      <c r="N30" s="179">
        <f>G30</f>
        <v>0</v>
      </c>
      <c r="O30" s="179">
        <f t="shared" ref="O30:AD31" si="5">N30</f>
        <v>0</v>
      </c>
      <c r="P30" s="179">
        <f t="shared" si="5"/>
        <v>0</v>
      </c>
      <c r="Q30" s="179">
        <f t="shared" si="5"/>
        <v>0</v>
      </c>
      <c r="R30" s="179">
        <f t="shared" si="5"/>
        <v>0</v>
      </c>
      <c r="S30" s="179">
        <f t="shared" si="5"/>
        <v>0</v>
      </c>
      <c r="T30" s="179">
        <f t="shared" si="5"/>
        <v>0</v>
      </c>
      <c r="U30" s="179">
        <f t="shared" si="5"/>
        <v>0</v>
      </c>
      <c r="V30" s="179">
        <f t="shared" si="5"/>
        <v>0</v>
      </c>
      <c r="W30" s="179">
        <f t="shared" si="5"/>
        <v>0</v>
      </c>
      <c r="X30" s="179">
        <f t="shared" si="5"/>
        <v>0</v>
      </c>
      <c r="Y30" s="179">
        <f t="shared" si="5"/>
        <v>0</v>
      </c>
      <c r="Z30" s="179">
        <f t="shared" si="5"/>
        <v>0</v>
      </c>
      <c r="AA30" s="179">
        <f t="shared" si="5"/>
        <v>0</v>
      </c>
      <c r="AB30" s="179">
        <f t="shared" si="5"/>
        <v>0</v>
      </c>
      <c r="AC30" s="179">
        <f t="shared" si="5"/>
        <v>0</v>
      </c>
      <c r="AD30" s="179">
        <f t="shared" si="5"/>
        <v>0</v>
      </c>
      <c r="AE30" s="179">
        <f t="shared" ref="AE30:AM31" si="6">AD30</f>
        <v>0</v>
      </c>
      <c r="AF30" s="179">
        <f t="shared" si="6"/>
        <v>0</v>
      </c>
      <c r="AG30" s="179">
        <f t="shared" si="6"/>
        <v>0</v>
      </c>
      <c r="AH30" s="179">
        <f t="shared" si="6"/>
        <v>0</v>
      </c>
      <c r="AI30" s="179">
        <f t="shared" si="6"/>
        <v>0</v>
      </c>
      <c r="AJ30" s="179">
        <f t="shared" si="6"/>
        <v>0</v>
      </c>
      <c r="AK30" s="179">
        <f t="shared" si="6"/>
        <v>0</v>
      </c>
      <c r="AL30" s="179">
        <f t="shared" si="6"/>
        <v>0</v>
      </c>
      <c r="AM30" s="179">
        <f t="shared" si="6"/>
        <v>0</v>
      </c>
      <c r="AN30" s="179"/>
      <c r="AO30" s="179"/>
      <c r="AP30" s="179"/>
      <c r="AQ30" s="179"/>
      <c r="AR30" s="179"/>
      <c r="AS30" s="179"/>
    </row>
    <row r="31" spans="2:45">
      <c r="B31" s="121"/>
      <c r="C31" s="646" t="s">
        <v>1331</v>
      </c>
      <c r="D31" s="257" t="s">
        <v>1313</v>
      </c>
      <c r="E31" s="121" t="s">
        <v>740</v>
      </c>
      <c r="F31" s="205"/>
      <c r="G31">
        <f>IF(Sensitivity!$C$42="Departmental",0,1)</f>
        <v>0</v>
      </c>
      <c r="H31" s="377"/>
      <c r="J31" s="179"/>
      <c r="K31" s="179"/>
      <c r="L31" s="179"/>
      <c r="M31" s="179"/>
      <c r="N31" s="179">
        <f>G31</f>
        <v>0</v>
      </c>
      <c r="O31" s="179">
        <f t="shared" ref="O31:P31" si="7">N31</f>
        <v>0</v>
      </c>
      <c r="P31" s="179">
        <f t="shared" si="7"/>
        <v>0</v>
      </c>
      <c r="Q31" s="179">
        <f>P31</f>
        <v>0</v>
      </c>
      <c r="R31" s="179">
        <f>Q31</f>
        <v>0</v>
      </c>
      <c r="S31" s="179">
        <f>R31</f>
        <v>0</v>
      </c>
      <c r="T31" s="179">
        <f>S31</f>
        <v>0</v>
      </c>
      <c r="U31" s="179">
        <f t="shared" si="5"/>
        <v>0</v>
      </c>
      <c r="V31" s="179">
        <f t="shared" si="5"/>
        <v>0</v>
      </c>
      <c r="W31" s="179">
        <f t="shared" si="5"/>
        <v>0</v>
      </c>
      <c r="X31" s="179">
        <f t="shared" si="5"/>
        <v>0</v>
      </c>
      <c r="Y31" s="179">
        <f t="shared" si="5"/>
        <v>0</v>
      </c>
      <c r="Z31" s="179">
        <f t="shared" si="5"/>
        <v>0</v>
      </c>
      <c r="AA31" s="179">
        <f t="shared" si="5"/>
        <v>0</v>
      </c>
      <c r="AB31" s="179">
        <f t="shared" si="5"/>
        <v>0</v>
      </c>
      <c r="AC31" s="179">
        <f t="shared" si="5"/>
        <v>0</v>
      </c>
      <c r="AD31" s="179">
        <f t="shared" si="5"/>
        <v>0</v>
      </c>
      <c r="AE31" s="179">
        <f t="shared" si="6"/>
        <v>0</v>
      </c>
      <c r="AF31" s="179">
        <f t="shared" si="6"/>
        <v>0</v>
      </c>
      <c r="AG31" s="179">
        <f t="shared" si="6"/>
        <v>0</v>
      </c>
      <c r="AH31" s="179">
        <f t="shared" si="6"/>
        <v>0</v>
      </c>
      <c r="AI31" s="179">
        <f t="shared" si="6"/>
        <v>0</v>
      </c>
      <c r="AJ31" s="179">
        <f t="shared" si="6"/>
        <v>0</v>
      </c>
      <c r="AK31" s="179">
        <f t="shared" si="6"/>
        <v>0</v>
      </c>
      <c r="AL31" s="179">
        <f t="shared" si="6"/>
        <v>0</v>
      </c>
      <c r="AM31" s="179">
        <f t="shared" si="6"/>
        <v>0</v>
      </c>
      <c r="AN31" s="179"/>
      <c r="AO31" s="179"/>
      <c r="AP31" s="179"/>
      <c r="AQ31" s="179"/>
      <c r="AR31" s="179"/>
      <c r="AS31" s="179"/>
    </row>
    <row r="32" spans="2:45">
      <c r="B32" s="121"/>
      <c r="C32" s="186" t="s">
        <v>1332</v>
      </c>
      <c r="D32" s="186"/>
      <c r="E32" s="1374"/>
      <c r="F32" s="205"/>
      <c r="H32" s="377"/>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row>
    <row r="33" spans="2:45">
      <c r="B33" s="255" t="s">
        <v>1333</v>
      </c>
      <c r="C33" s="646" t="s">
        <v>1334</v>
      </c>
      <c r="D33" s="257" t="s">
        <v>1315</v>
      </c>
      <c r="E33" s="121" t="s">
        <v>740</v>
      </c>
      <c r="F33" s="205"/>
      <c r="H33" s="377"/>
      <c r="J33" s="179"/>
      <c r="K33" s="179"/>
      <c r="L33" s="179"/>
      <c r="M33" s="179"/>
      <c r="N33" s="179">
        <f>M33</f>
        <v>0</v>
      </c>
      <c r="O33" s="179">
        <f t="shared" ref="O33:AM34" si="8">N33</f>
        <v>0</v>
      </c>
      <c r="P33" s="179">
        <f t="shared" si="8"/>
        <v>0</v>
      </c>
      <c r="Q33" s="179">
        <f t="shared" si="8"/>
        <v>0</v>
      </c>
      <c r="R33" s="179">
        <f t="shared" si="8"/>
        <v>0</v>
      </c>
      <c r="S33" s="179">
        <f t="shared" si="8"/>
        <v>0</v>
      </c>
      <c r="T33" s="179">
        <f t="shared" si="8"/>
        <v>0</v>
      </c>
      <c r="U33" s="179">
        <f t="shared" si="8"/>
        <v>0</v>
      </c>
      <c r="V33" s="179">
        <f t="shared" si="8"/>
        <v>0</v>
      </c>
      <c r="W33" s="179">
        <f t="shared" si="8"/>
        <v>0</v>
      </c>
      <c r="X33" s="179">
        <f t="shared" si="8"/>
        <v>0</v>
      </c>
      <c r="Y33" s="179">
        <f t="shared" si="8"/>
        <v>0</v>
      </c>
      <c r="Z33" s="179">
        <f t="shared" si="8"/>
        <v>0</v>
      </c>
      <c r="AA33" s="179">
        <f t="shared" si="8"/>
        <v>0</v>
      </c>
      <c r="AB33" s="179">
        <f t="shared" si="8"/>
        <v>0</v>
      </c>
      <c r="AC33" s="179">
        <f t="shared" si="8"/>
        <v>0</v>
      </c>
      <c r="AD33" s="179">
        <f t="shared" si="8"/>
        <v>0</v>
      </c>
      <c r="AE33" s="179">
        <f t="shared" si="8"/>
        <v>0</v>
      </c>
      <c r="AF33" s="179">
        <f t="shared" si="8"/>
        <v>0</v>
      </c>
      <c r="AG33" s="179">
        <f t="shared" si="8"/>
        <v>0</v>
      </c>
      <c r="AH33" s="179">
        <f t="shared" si="8"/>
        <v>0</v>
      </c>
      <c r="AI33" s="179">
        <f t="shared" si="8"/>
        <v>0</v>
      </c>
      <c r="AJ33" s="179">
        <f t="shared" si="8"/>
        <v>0</v>
      </c>
      <c r="AK33" s="179">
        <f t="shared" si="8"/>
        <v>0</v>
      </c>
      <c r="AL33" s="179">
        <f t="shared" si="8"/>
        <v>0</v>
      </c>
      <c r="AM33" s="179">
        <f t="shared" si="8"/>
        <v>0</v>
      </c>
      <c r="AN33" s="179"/>
      <c r="AO33" s="179"/>
      <c r="AP33" s="179"/>
      <c r="AQ33" s="179"/>
      <c r="AR33" s="179"/>
      <c r="AS33" s="179"/>
    </row>
    <row r="34" spans="2:45">
      <c r="B34" s="255"/>
      <c r="C34" s="646" t="s">
        <v>1335</v>
      </c>
      <c r="D34" s="257" t="s">
        <v>1336</v>
      </c>
      <c r="E34" s="121" t="s">
        <v>740</v>
      </c>
      <c r="F34" s="95" t="s">
        <v>206</v>
      </c>
      <c r="G34">
        <f>IF(Sensitivity!$C$42="Departmental",0,2)</f>
        <v>0</v>
      </c>
      <c r="H34" s="375">
        <f>IFERROR(VLOOKUP(F34,Assumptions_Dashboard!$C$38:$D$72,4,FALSE),)</f>
        <v>0</v>
      </c>
      <c r="J34" s="369"/>
      <c r="K34" s="369"/>
      <c r="L34" s="369"/>
      <c r="M34" s="369"/>
      <c r="N34" s="179">
        <f>G34</f>
        <v>0</v>
      </c>
      <c r="O34" s="179">
        <f>N34</f>
        <v>0</v>
      </c>
      <c r="P34" s="179">
        <f t="shared" si="8"/>
        <v>0</v>
      </c>
      <c r="Q34" s="179">
        <f t="shared" si="8"/>
        <v>0</v>
      </c>
      <c r="R34" s="179">
        <f t="shared" si="8"/>
        <v>0</v>
      </c>
      <c r="S34" s="179">
        <f t="shared" si="8"/>
        <v>0</v>
      </c>
      <c r="T34" s="179">
        <f t="shared" si="8"/>
        <v>0</v>
      </c>
      <c r="U34" s="179">
        <f t="shared" si="8"/>
        <v>0</v>
      </c>
      <c r="V34" s="179">
        <f t="shared" si="8"/>
        <v>0</v>
      </c>
      <c r="W34" s="179">
        <f t="shared" si="8"/>
        <v>0</v>
      </c>
      <c r="X34" s="179">
        <f t="shared" si="8"/>
        <v>0</v>
      </c>
      <c r="Y34" s="179">
        <f t="shared" si="8"/>
        <v>0</v>
      </c>
      <c r="Z34" s="179">
        <f t="shared" si="8"/>
        <v>0</v>
      </c>
      <c r="AA34" s="179">
        <f t="shared" si="8"/>
        <v>0</v>
      </c>
      <c r="AB34" s="179">
        <f t="shared" si="8"/>
        <v>0</v>
      </c>
      <c r="AC34" s="179">
        <f t="shared" si="8"/>
        <v>0</v>
      </c>
      <c r="AD34" s="179">
        <f t="shared" si="8"/>
        <v>0</v>
      </c>
      <c r="AE34" s="179">
        <f t="shared" si="8"/>
        <v>0</v>
      </c>
      <c r="AF34" s="179">
        <f t="shared" si="8"/>
        <v>0</v>
      </c>
      <c r="AG34" s="179">
        <f t="shared" si="8"/>
        <v>0</v>
      </c>
      <c r="AH34" s="179">
        <f t="shared" si="8"/>
        <v>0</v>
      </c>
      <c r="AI34" s="179">
        <f t="shared" si="8"/>
        <v>0</v>
      </c>
      <c r="AJ34" s="179">
        <f t="shared" si="8"/>
        <v>0</v>
      </c>
      <c r="AK34" s="179">
        <f t="shared" si="8"/>
        <v>0</v>
      </c>
      <c r="AL34" s="179">
        <f t="shared" si="8"/>
        <v>0</v>
      </c>
      <c r="AM34" s="179">
        <f t="shared" si="8"/>
        <v>0</v>
      </c>
      <c r="AN34" s="179"/>
      <c r="AO34" s="179"/>
      <c r="AP34" s="179"/>
      <c r="AQ34" s="179"/>
      <c r="AR34" s="179"/>
      <c r="AS34" s="179"/>
    </row>
    <row r="35" spans="2:45">
      <c r="B35" s="121"/>
      <c r="C35" s="646" t="s">
        <v>1337</v>
      </c>
      <c r="D35" s="257" t="s">
        <v>1315</v>
      </c>
      <c r="E35" s="121" t="s">
        <v>740</v>
      </c>
      <c r="F35" s="95" t="s">
        <v>203</v>
      </c>
      <c r="G35">
        <f>IF(Sensitivity!$C$42="Departmental",0,1)</f>
        <v>0</v>
      </c>
      <c r="H35" s="375">
        <f>IFERROR(VLOOKUP(F35,Assumptions_Dashboard!$C$38:$D$72,4,FALSE),)</f>
        <v>0</v>
      </c>
      <c r="J35" s="179"/>
      <c r="K35" s="179"/>
      <c r="L35" s="179"/>
      <c r="M35" s="179"/>
      <c r="N35" s="179">
        <f>G35</f>
        <v>0</v>
      </c>
      <c r="O35" s="179">
        <f t="shared" ref="O35:AM38" si="9">N35</f>
        <v>0</v>
      </c>
      <c r="P35" s="179">
        <f t="shared" si="9"/>
        <v>0</v>
      </c>
      <c r="Q35" s="179">
        <f t="shared" si="9"/>
        <v>0</v>
      </c>
      <c r="R35" s="179">
        <f t="shared" si="9"/>
        <v>0</v>
      </c>
      <c r="S35" s="179">
        <f t="shared" si="9"/>
        <v>0</v>
      </c>
      <c r="T35" s="179">
        <f t="shared" si="9"/>
        <v>0</v>
      </c>
      <c r="U35" s="179">
        <f t="shared" si="9"/>
        <v>0</v>
      </c>
      <c r="V35" s="179">
        <f t="shared" si="9"/>
        <v>0</v>
      </c>
      <c r="W35" s="179">
        <f t="shared" si="9"/>
        <v>0</v>
      </c>
      <c r="X35" s="179">
        <f t="shared" si="9"/>
        <v>0</v>
      </c>
      <c r="Y35" s="179">
        <f t="shared" si="9"/>
        <v>0</v>
      </c>
      <c r="Z35" s="179">
        <f t="shared" si="9"/>
        <v>0</v>
      </c>
      <c r="AA35" s="179">
        <f t="shared" si="9"/>
        <v>0</v>
      </c>
      <c r="AB35" s="179">
        <f t="shared" si="9"/>
        <v>0</v>
      </c>
      <c r="AC35" s="179">
        <f t="shared" si="9"/>
        <v>0</v>
      </c>
      <c r="AD35" s="179">
        <f t="shared" si="9"/>
        <v>0</v>
      </c>
      <c r="AE35" s="179">
        <f t="shared" si="9"/>
        <v>0</v>
      </c>
      <c r="AF35" s="179">
        <f t="shared" si="9"/>
        <v>0</v>
      </c>
      <c r="AG35" s="179">
        <f t="shared" si="9"/>
        <v>0</v>
      </c>
      <c r="AH35" s="179">
        <f t="shared" si="9"/>
        <v>0</v>
      </c>
      <c r="AI35" s="179">
        <f t="shared" si="9"/>
        <v>0</v>
      </c>
      <c r="AJ35" s="179">
        <f t="shared" si="9"/>
        <v>0</v>
      </c>
      <c r="AK35" s="179">
        <f t="shared" si="9"/>
        <v>0</v>
      </c>
      <c r="AL35" s="179">
        <f t="shared" si="9"/>
        <v>0</v>
      </c>
      <c r="AM35" s="179">
        <f t="shared" si="9"/>
        <v>0</v>
      </c>
      <c r="AN35" s="179"/>
      <c r="AO35" s="179"/>
      <c r="AP35" s="179"/>
      <c r="AQ35" s="179"/>
      <c r="AR35" s="179"/>
      <c r="AS35" s="179"/>
    </row>
    <row r="36" spans="2:45">
      <c r="B36" s="121"/>
      <c r="C36" s="646" t="s">
        <v>1338</v>
      </c>
      <c r="D36" s="257"/>
      <c r="E36" s="121" t="s">
        <v>740</v>
      </c>
      <c r="F36" s="205" t="s">
        <v>213</v>
      </c>
      <c r="G36">
        <f>IF(Sensitivity!$C$42="Departmental",0,2)</f>
        <v>0</v>
      </c>
      <c r="H36" s="375">
        <f>IFERROR(VLOOKUP(F36,Assumptions_Dashboard!$C$38:$D$72,4,FALSE),)</f>
        <v>0</v>
      </c>
      <c r="J36" s="179"/>
      <c r="K36" s="179"/>
      <c r="L36" s="179"/>
      <c r="M36" s="179"/>
      <c r="N36" s="179">
        <f>G36</f>
        <v>0</v>
      </c>
      <c r="O36" s="179">
        <f t="shared" si="9"/>
        <v>0</v>
      </c>
      <c r="P36" s="179">
        <f t="shared" si="9"/>
        <v>0</v>
      </c>
      <c r="Q36" s="179">
        <f t="shared" si="9"/>
        <v>0</v>
      </c>
      <c r="R36" s="179">
        <f t="shared" si="9"/>
        <v>0</v>
      </c>
      <c r="S36" s="179">
        <f t="shared" si="9"/>
        <v>0</v>
      </c>
      <c r="T36" s="179">
        <f t="shared" si="9"/>
        <v>0</v>
      </c>
      <c r="U36" s="179">
        <f t="shared" si="9"/>
        <v>0</v>
      </c>
      <c r="V36" s="179">
        <f t="shared" si="9"/>
        <v>0</v>
      </c>
      <c r="W36" s="179">
        <f t="shared" si="9"/>
        <v>0</v>
      </c>
      <c r="X36" s="179">
        <f t="shared" si="9"/>
        <v>0</v>
      </c>
      <c r="Y36" s="179">
        <f t="shared" si="9"/>
        <v>0</v>
      </c>
      <c r="Z36" s="179">
        <f t="shared" si="9"/>
        <v>0</v>
      </c>
      <c r="AA36" s="179">
        <f t="shared" si="9"/>
        <v>0</v>
      </c>
      <c r="AB36" s="179">
        <f t="shared" si="9"/>
        <v>0</v>
      </c>
      <c r="AC36" s="179">
        <f t="shared" si="9"/>
        <v>0</v>
      </c>
      <c r="AD36" s="179">
        <f t="shared" si="9"/>
        <v>0</v>
      </c>
      <c r="AE36" s="179">
        <f t="shared" si="9"/>
        <v>0</v>
      </c>
      <c r="AF36" s="179">
        <f t="shared" si="9"/>
        <v>0</v>
      </c>
      <c r="AG36" s="179">
        <f t="shared" si="9"/>
        <v>0</v>
      </c>
      <c r="AH36" s="179">
        <f t="shared" si="9"/>
        <v>0</v>
      </c>
      <c r="AI36" s="179">
        <f t="shared" si="9"/>
        <v>0</v>
      </c>
      <c r="AJ36" s="179">
        <f t="shared" si="9"/>
        <v>0</v>
      </c>
      <c r="AK36" s="179">
        <f t="shared" si="9"/>
        <v>0</v>
      </c>
      <c r="AL36" s="179">
        <f t="shared" si="9"/>
        <v>0</v>
      </c>
      <c r="AM36" s="179">
        <f t="shared" si="9"/>
        <v>0</v>
      </c>
      <c r="AN36" s="179"/>
      <c r="AO36" s="179"/>
      <c r="AP36" s="179"/>
      <c r="AQ36" s="179"/>
      <c r="AR36" s="179"/>
      <c r="AS36" s="179"/>
    </row>
    <row r="37" spans="2:45">
      <c r="B37" s="255" t="s">
        <v>1339</v>
      </c>
      <c r="C37" s="646" t="s">
        <v>1340</v>
      </c>
      <c r="D37" s="257" t="s">
        <v>1315</v>
      </c>
      <c r="E37" s="121" t="s">
        <v>740</v>
      </c>
      <c r="F37" s="95" t="s">
        <v>203</v>
      </c>
      <c r="G37">
        <f>IF(Sensitivity!$C$42="Departmental",0,1)</f>
        <v>0</v>
      </c>
      <c r="H37" s="375">
        <f>IFERROR(VLOOKUP(F37,Assumptions_Dashboard!$C$38:$D$72,4,FALSE),)</f>
        <v>0</v>
      </c>
      <c r="J37" s="179"/>
      <c r="K37" s="179"/>
      <c r="L37" s="179"/>
      <c r="M37" s="179"/>
      <c r="N37" s="179">
        <f>G37</f>
        <v>0</v>
      </c>
      <c r="O37" s="179">
        <f t="shared" si="9"/>
        <v>0</v>
      </c>
      <c r="P37" s="179">
        <f t="shared" si="9"/>
        <v>0</v>
      </c>
      <c r="Q37" s="179">
        <f t="shared" si="9"/>
        <v>0</v>
      </c>
      <c r="R37" s="179">
        <f t="shared" si="9"/>
        <v>0</v>
      </c>
      <c r="S37" s="179">
        <f t="shared" si="9"/>
        <v>0</v>
      </c>
      <c r="T37" s="179">
        <f t="shared" si="9"/>
        <v>0</v>
      </c>
      <c r="U37" s="179">
        <f t="shared" si="9"/>
        <v>0</v>
      </c>
      <c r="V37" s="179">
        <f t="shared" si="9"/>
        <v>0</v>
      </c>
      <c r="W37" s="179">
        <f t="shared" si="9"/>
        <v>0</v>
      </c>
      <c r="X37" s="179">
        <f t="shared" si="9"/>
        <v>0</v>
      </c>
      <c r="Y37" s="179">
        <f t="shared" si="9"/>
        <v>0</v>
      </c>
      <c r="Z37" s="179">
        <f t="shared" si="9"/>
        <v>0</v>
      </c>
      <c r="AA37" s="179">
        <f t="shared" si="9"/>
        <v>0</v>
      </c>
      <c r="AB37" s="179">
        <f t="shared" si="9"/>
        <v>0</v>
      </c>
      <c r="AC37" s="179">
        <f t="shared" si="9"/>
        <v>0</v>
      </c>
      <c r="AD37" s="179">
        <f t="shared" si="9"/>
        <v>0</v>
      </c>
      <c r="AE37" s="179">
        <f t="shared" si="9"/>
        <v>0</v>
      </c>
      <c r="AF37" s="179">
        <f t="shared" si="9"/>
        <v>0</v>
      </c>
      <c r="AG37" s="179">
        <f t="shared" si="9"/>
        <v>0</v>
      </c>
      <c r="AH37" s="179">
        <f t="shared" si="9"/>
        <v>0</v>
      </c>
      <c r="AI37" s="179">
        <f t="shared" si="9"/>
        <v>0</v>
      </c>
      <c r="AJ37" s="179">
        <f t="shared" si="9"/>
        <v>0</v>
      </c>
      <c r="AK37" s="179">
        <f t="shared" si="9"/>
        <v>0</v>
      </c>
      <c r="AL37" s="179">
        <f t="shared" si="9"/>
        <v>0</v>
      </c>
      <c r="AM37" s="179">
        <f t="shared" si="9"/>
        <v>0</v>
      </c>
      <c r="AN37" s="179"/>
      <c r="AO37" s="179"/>
      <c r="AP37" s="179"/>
      <c r="AQ37" s="179"/>
      <c r="AR37" s="179"/>
      <c r="AS37" s="179"/>
    </row>
    <row r="38" spans="2:45">
      <c r="B38" s="255"/>
      <c r="C38" s="646" t="s">
        <v>1341</v>
      </c>
      <c r="D38" s="257" t="s">
        <v>1336</v>
      </c>
      <c r="E38" s="121" t="s">
        <v>740</v>
      </c>
      <c r="F38" s="95" t="s">
        <v>206</v>
      </c>
      <c r="G38">
        <f>IF(Sensitivity!$C$42="Departmental",0,1)</f>
        <v>0</v>
      </c>
      <c r="H38" s="375">
        <f>IFERROR(VLOOKUP(F38,Assumptions_Dashboard!$C$38:$D$72,4,FALSE),)</f>
        <v>0</v>
      </c>
      <c r="J38" s="179"/>
      <c r="K38" s="179"/>
      <c r="L38" s="179"/>
      <c r="M38" s="179"/>
      <c r="N38" s="179">
        <f>G38</f>
        <v>0</v>
      </c>
      <c r="O38" s="179">
        <f t="shared" si="9"/>
        <v>0</v>
      </c>
      <c r="P38" s="179">
        <f t="shared" si="9"/>
        <v>0</v>
      </c>
      <c r="Q38" s="179">
        <f t="shared" si="9"/>
        <v>0</v>
      </c>
      <c r="R38" s="179">
        <f t="shared" si="9"/>
        <v>0</v>
      </c>
      <c r="S38" s="179">
        <f t="shared" si="9"/>
        <v>0</v>
      </c>
      <c r="T38" s="179">
        <f t="shared" si="9"/>
        <v>0</v>
      </c>
      <c r="U38" s="179">
        <f t="shared" si="9"/>
        <v>0</v>
      </c>
      <c r="V38" s="179">
        <f t="shared" si="9"/>
        <v>0</v>
      </c>
      <c r="W38" s="179">
        <f t="shared" si="9"/>
        <v>0</v>
      </c>
      <c r="X38" s="179">
        <f t="shared" si="9"/>
        <v>0</v>
      </c>
      <c r="Y38" s="179">
        <f t="shared" si="9"/>
        <v>0</v>
      </c>
      <c r="Z38" s="179">
        <f t="shared" si="9"/>
        <v>0</v>
      </c>
      <c r="AA38" s="179">
        <f t="shared" si="9"/>
        <v>0</v>
      </c>
      <c r="AB38" s="179">
        <f t="shared" si="9"/>
        <v>0</v>
      </c>
      <c r="AC38" s="179">
        <f t="shared" si="9"/>
        <v>0</v>
      </c>
      <c r="AD38" s="179">
        <f t="shared" si="9"/>
        <v>0</v>
      </c>
      <c r="AE38" s="179">
        <f t="shared" si="9"/>
        <v>0</v>
      </c>
      <c r="AF38" s="179">
        <f t="shared" si="9"/>
        <v>0</v>
      </c>
      <c r="AG38" s="179">
        <f t="shared" si="9"/>
        <v>0</v>
      </c>
      <c r="AH38" s="179">
        <f t="shared" si="9"/>
        <v>0</v>
      </c>
      <c r="AI38" s="179">
        <f t="shared" si="9"/>
        <v>0</v>
      </c>
      <c r="AJ38" s="179">
        <f t="shared" si="9"/>
        <v>0</v>
      </c>
      <c r="AK38" s="179">
        <f t="shared" si="9"/>
        <v>0</v>
      </c>
      <c r="AL38" s="179">
        <f t="shared" si="9"/>
        <v>0</v>
      </c>
      <c r="AM38" s="179">
        <f t="shared" si="9"/>
        <v>0</v>
      </c>
      <c r="AN38" s="179"/>
      <c r="AO38" s="179"/>
      <c r="AP38" s="179"/>
      <c r="AQ38" s="179"/>
      <c r="AR38" s="179"/>
      <c r="AS38" s="179"/>
    </row>
    <row r="39" spans="2:45">
      <c r="B39" s="121"/>
      <c r="C39" s="646" t="s">
        <v>1342</v>
      </c>
      <c r="D39" s="257" t="s">
        <v>1315</v>
      </c>
      <c r="E39" s="121" t="s">
        <v>740</v>
      </c>
      <c r="F39" s="95" t="s">
        <v>203</v>
      </c>
      <c r="H39" s="375">
        <f>IFERROR(VLOOKUP(F39,Assumptions_Dashboard!$C$38:$D$72,4,FALSE),)</f>
        <v>0</v>
      </c>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row>
    <row r="40" spans="2:45">
      <c r="B40" s="121"/>
      <c r="C40" s="646" t="s">
        <v>1342</v>
      </c>
      <c r="D40" s="257" t="s">
        <v>1336</v>
      </c>
      <c r="E40" s="121" t="s">
        <v>740</v>
      </c>
      <c r="F40" s="95" t="s">
        <v>206</v>
      </c>
      <c r="H40" s="375">
        <f>IFERROR(VLOOKUP(F40,Assumptions_Dashboard!$C$38:$D$72,4,FALSE),)</f>
        <v>0</v>
      </c>
      <c r="J40" s="179"/>
      <c r="K40" s="179"/>
      <c r="L40" s="179"/>
      <c r="M40" s="179"/>
      <c r="N40" s="179">
        <f t="shared" ref="N40:AM42" si="10">M40</f>
        <v>0</v>
      </c>
      <c r="O40" s="179">
        <f t="shared" si="10"/>
        <v>0</v>
      </c>
      <c r="P40" s="179">
        <f t="shared" si="10"/>
        <v>0</v>
      </c>
      <c r="Q40" s="179">
        <f t="shared" si="10"/>
        <v>0</v>
      </c>
      <c r="R40" s="179">
        <f t="shared" si="10"/>
        <v>0</v>
      </c>
      <c r="S40" s="179">
        <f t="shared" si="10"/>
        <v>0</v>
      </c>
      <c r="T40" s="179">
        <f t="shared" si="10"/>
        <v>0</v>
      </c>
      <c r="U40" s="179">
        <f t="shared" si="10"/>
        <v>0</v>
      </c>
      <c r="V40" s="179">
        <f t="shared" si="10"/>
        <v>0</v>
      </c>
      <c r="W40" s="179">
        <f t="shared" si="10"/>
        <v>0</v>
      </c>
      <c r="X40" s="179">
        <f t="shared" si="10"/>
        <v>0</v>
      </c>
      <c r="Y40" s="179">
        <f t="shared" si="10"/>
        <v>0</v>
      </c>
      <c r="Z40" s="179">
        <f t="shared" si="10"/>
        <v>0</v>
      </c>
      <c r="AA40" s="179">
        <f t="shared" si="10"/>
        <v>0</v>
      </c>
      <c r="AB40" s="179">
        <f t="shared" si="10"/>
        <v>0</v>
      </c>
      <c r="AC40" s="179">
        <f t="shared" si="10"/>
        <v>0</v>
      </c>
      <c r="AD40" s="179">
        <f t="shared" si="10"/>
        <v>0</v>
      </c>
      <c r="AE40" s="179">
        <f t="shared" si="10"/>
        <v>0</v>
      </c>
      <c r="AF40" s="179">
        <f t="shared" si="10"/>
        <v>0</v>
      </c>
      <c r="AG40" s="179">
        <f t="shared" si="10"/>
        <v>0</v>
      </c>
      <c r="AH40" s="179">
        <f t="shared" si="10"/>
        <v>0</v>
      </c>
      <c r="AI40" s="179">
        <f t="shared" si="10"/>
        <v>0</v>
      </c>
      <c r="AJ40" s="179">
        <f t="shared" si="10"/>
        <v>0</v>
      </c>
      <c r="AK40" s="179">
        <f t="shared" si="10"/>
        <v>0</v>
      </c>
      <c r="AL40" s="179">
        <f t="shared" si="10"/>
        <v>0</v>
      </c>
      <c r="AM40" s="179">
        <f t="shared" si="10"/>
        <v>0</v>
      </c>
      <c r="AN40" s="179"/>
      <c r="AO40" s="179"/>
      <c r="AP40" s="179"/>
      <c r="AQ40" s="179"/>
      <c r="AR40" s="179"/>
      <c r="AS40" s="179"/>
    </row>
    <row r="41" spans="2:45">
      <c r="B41" s="121"/>
      <c r="C41" s="653" t="s">
        <v>1343</v>
      </c>
      <c r="D41" s="257"/>
      <c r="E41" s="121" t="s">
        <v>740</v>
      </c>
      <c r="F41" s="205" t="s">
        <v>213</v>
      </c>
      <c r="G41">
        <f>IF(Sensitivity!$C$42="Departmental",0,5)</f>
        <v>0</v>
      </c>
      <c r="H41" s="375">
        <f>IFERROR(VLOOKUP(F41,Assumptions_Dashboard!$C$38:$D$72,4,FALSE),)</f>
        <v>0</v>
      </c>
      <c r="J41" s="179"/>
      <c r="K41" s="179"/>
      <c r="L41" s="179"/>
      <c r="M41" s="179"/>
      <c r="N41" s="179">
        <f>G41</f>
        <v>0</v>
      </c>
      <c r="O41" s="179">
        <f t="shared" si="10"/>
        <v>0</v>
      </c>
      <c r="P41" s="179">
        <f t="shared" si="10"/>
        <v>0</v>
      </c>
      <c r="Q41" s="179">
        <f t="shared" si="10"/>
        <v>0</v>
      </c>
      <c r="R41" s="179">
        <f t="shared" si="10"/>
        <v>0</v>
      </c>
      <c r="S41" s="179">
        <f t="shared" si="10"/>
        <v>0</v>
      </c>
      <c r="T41" s="179">
        <f t="shared" si="10"/>
        <v>0</v>
      </c>
      <c r="U41" s="179">
        <f t="shared" si="10"/>
        <v>0</v>
      </c>
      <c r="V41" s="179">
        <f t="shared" si="10"/>
        <v>0</v>
      </c>
      <c r="W41" s="179">
        <f t="shared" si="10"/>
        <v>0</v>
      </c>
      <c r="X41" s="179">
        <f t="shared" si="10"/>
        <v>0</v>
      </c>
      <c r="Y41" s="179">
        <f t="shared" si="10"/>
        <v>0</v>
      </c>
      <c r="Z41" s="179">
        <f t="shared" si="10"/>
        <v>0</v>
      </c>
      <c r="AA41" s="179">
        <f t="shared" si="10"/>
        <v>0</v>
      </c>
      <c r="AB41" s="179">
        <f t="shared" si="10"/>
        <v>0</v>
      </c>
      <c r="AC41" s="179">
        <f t="shared" si="10"/>
        <v>0</v>
      </c>
      <c r="AD41" s="179">
        <f t="shared" si="10"/>
        <v>0</v>
      </c>
      <c r="AE41" s="179">
        <f t="shared" si="10"/>
        <v>0</v>
      </c>
      <c r="AF41" s="179">
        <f t="shared" si="10"/>
        <v>0</v>
      </c>
      <c r="AG41" s="179">
        <f t="shared" si="10"/>
        <v>0</v>
      </c>
      <c r="AH41" s="179">
        <f t="shared" si="10"/>
        <v>0</v>
      </c>
      <c r="AI41" s="179">
        <f t="shared" si="10"/>
        <v>0</v>
      </c>
      <c r="AJ41" s="179">
        <f t="shared" si="10"/>
        <v>0</v>
      </c>
      <c r="AK41" s="179">
        <f t="shared" si="10"/>
        <v>0</v>
      </c>
      <c r="AL41" s="179">
        <f t="shared" si="10"/>
        <v>0</v>
      </c>
      <c r="AM41" s="179">
        <f t="shared" si="10"/>
        <v>0</v>
      </c>
      <c r="AN41" s="179"/>
      <c r="AO41" s="179"/>
      <c r="AP41" s="179"/>
      <c r="AQ41" s="179"/>
      <c r="AR41" s="179"/>
      <c r="AS41" s="179"/>
    </row>
    <row r="42" spans="2:45">
      <c r="B42" s="255" t="s">
        <v>1344</v>
      </c>
      <c r="C42" s="651" t="s">
        <v>1345</v>
      </c>
      <c r="D42" s="257"/>
      <c r="E42" s="121" t="s">
        <v>740</v>
      </c>
      <c r="F42" s="205" t="s">
        <v>213</v>
      </c>
      <c r="G42">
        <f>IF(Sensitivity!$C$42="Departmental",0,3)</f>
        <v>0</v>
      </c>
      <c r="H42" s="375">
        <f>IFERROR(VLOOKUP(F42,Assumptions_Dashboard!$C$38:$D$72,4,FALSE),)</f>
        <v>0</v>
      </c>
      <c r="J42" s="179"/>
      <c r="K42" s="179"/>
      <c r="L42" s="179"/>
      <c r="M42" s="179"/>
      <c r="N42" s="179">
        <f>G42</f>
        <v>0</v>
      </c>
      <c r="O42" s="179">
        <f>N42</f>
        <v>0</v>
      </c>
      <c r="P42" s="179">
        <f t="shared" si="10"/>
        <v>0</v>
      </c>
      <c r="Q42" s="179">
        <f t="shared" si="10"/>
        <v>0</v>
      </c>
      <c r="R42" s="179">
        <f t="shared" si="10"/>
        <v>0</v>
      </c>
      <c r="S42" s="179">
        <f t="shared" si="10"/>
        <v>0</v>
      </c>
      <c r="T42" s="179">
        <f t="shared" si="10"/>
        <v>0</v>
      </c>
      <c r="U42" s="179">
        <f t="shared" si="10"/>
        <v>0</v>
      </c>
      <c r="V42" s="179">
        <f t="shared" si="10"/>
        <v>0</v>
      </c>
      <c r="W42" s="179">
        <f t="shared" si="10"/>
        <v>0</v>
      </c>
      <c r="X42" s="179">
        <f t="shared" si="10"/>
        <v>0</v>
      </c>
      <c r="Y42" s="179">
        <f t="shared" si="10"/>
        <v>0</v>
      </c>
      <c r="Z42" s="179">
        <f t="shared" si="10"/>
        <v>0</v>
      </c>
      <c r="AA42" s="179">
        <f t="shared" si="10"/>
        <v>0</v>
      </c>
      <c r="AB42" s="179">
        <f t="shared" si="10"/>
        <v>0</v>
      </c>
      <c r="AC42" s="179">
        <f t="shared" si="10"/>
        <v>0</v>
      </c>
      <c r="AD42" s="179">
        <f t="shared" si="10"/>
        <v>0</v>
      </c>
      <c r="AE42" s="179">
        <f t="shared" si="10"/>
        <v>0</v>
      </c>
      <c r="AF42" s="179">
        <f t="shared" si="10"/>
        <v>0</v>
      </c>
      <c r="AG42" s="179">
        <f t="shared" si="10"/>
        <v>0</v>
      </c>
      <c r="AH42" s="179">
        <f t="shared" si="10"/>
        <v>0</v>
      </c>
      <c r="AI42" s="179">
        <f t="shared" si="10"/>
        <v>0</v>
      </c>
      <c r="AJ42" s="179">
        <f t="shared" si="10"/>
        <v>0</v>
      </c>
      <c r="AK42" s="179">
        <f t="shared" si="10"/>
        <v>0</v>
      </c>
      <c r="AL42" s="179">
        <f t="shared" si="10"/>
        <v>0</v>
      </c>
      <c r="AM42" s="179">
        <f t="shared" si="10"/>
        <v>0</v>
      </c>
      <c r="AN42" s="179"/>
      <c r="AO42" s="179"/>
      <c r="AP42" s="179"/>
      <c r="AQ42" s="179"/>
      <c r="AR42" s="179"/>
      <c r="AS42" s="179"/>
    </row>
    <row r="43" spans="2:45">
      <c r="B43" s="255" t="s">
        <v>1346</v>
      </c>
      <c r="C43" s="653" t="s">
        <v>1347</v>
      </c>
      <c r="D43" s="257"/>
      <c r="E43" s="121" t="s">
        <v>740</v>
      </c>
      <c r="F43" s="205" t="s">
        <v>226</v>
      </c>
      <c r="H43" s="375">
        <f>IFERROR(VLOOKUP(F43,Assumptions_Dashboard!$C$38:$D$72,4,FALSE),)</f>
        <v>0</v>
      </c>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row>
    <row r="44" spans="2:45">
      <c r="B44" s="121"/>
      <c r="C44" s="653" t="s">
        <v>1348</v>
      </c>
      <c r="D44" s="257"/>
      <c r="E44" s="121" t="s">
        <v>740</v>
      </c>
      <c r="F44" s="205" t="s">
        <v>230</v>
      </c>
      <c r="G44">
        <f>IF(Sensitivity!$C$42="Departmental",0,2)</f>
        <v>0</v>
      </c>
      <c r="H44" s="375">
        <f>IFERROR(VLOOKUP(F44,Assumptions_Dashboard!$C$38:$D$72,4,FALSE),)</f>
        <v>0</v>
      </c>
      <c r="J44" s="179"/>
      <c r="K44" s="179"/>
      <c r="L44" s="179"/>
      <c r="M44" s="179"/>
      <c r="N44" s="179">
        <f>M44</f>
        <v>0</v>
      </c>
      <c r="O44" s="179">
        <f t="shared" ref="O44:AD59" si="11">N44</f>
        <v>0</v>
      </c>
      <c r="P44" s="179">
        <f t="shared" si="11"/>
        <v>0</v>
      </c>
      <c r="Q44" s="179">
        <f t="shared" si="11"/>
        <v>0</v>
      </c>
      <c r="R44" s="179">
        <f t="shared" si="11"/>
        <v>0</v>
      </c>
      <c r="S44" s="179">
        <f t="shared" si="11"/>
        <v>0</v>
      </c>
      <c r="T44" s="179">
        <f t="shared" si="11"/>
        <v>0</v>
      </c>
      <c r="U44" s="179">
        <f t="shared" si="11"/>
        <v>0</v>
      </c>
      <c r="V44" s="179">
        <f t="shared" si="11"/>
        <v>0</v>
      </c>
      <c r="W44" s="179">
        <f t="shared" si="11"/>
        <v>0</v>
      </c>
      <c r="X44" s="179">
        <f t="shared" si="11"/>
        <v>0</v>
      </c>
      <c r="Y44" s="179">
        <f t="shared" si="11"/>
        <v>0</v>
      </c>
      <c r="Z44" s="179">
        <f t="shared" si="11"/>
        <v>0</v>
      </c>
      <c r="AA44" s="179">
        <f t="shared" si="11"/>
        <v>0</v>
      </c>
      <c r="AB44" s="179">
        <f t="shared" si="11"/>
        <v>0</v>
      </c>
      <c r="AC44" s="179">
        <f t="shared" si="11"/>
        <v>0</v>
      </c>
      <c r="AD44" s="179">
        <f t="shared" si="11"/>
        <v>0</v>
      </c>
      <c r="AE44" s="179">
        <f t="shared" ref="AE44:AM59" si="12">AD44</f>
        <v>0</v>
      </c>
      <c r="AF44" s="179">
        <f t="shared" si="12"/>
        <v>0</v>
      </c>
      <c r="AG44" s="179">
        <f t="shared" si="12"/>
        <v>0</v>
      </c>
      <c r="AH44" s="179">
        <f t="shared" si="12"/>
        <v>0</v>
      </c>
      <c r="AI44" s="179">
        <f t="shared" si="12"/>
        <v>0</v>
      </c>
      <c r="AJ44" s="179">
        <f t="shared" si="12"/>
        <v>0</v>
      </c>
      <c r="AK44" s="179">
        <f t="shared" si="12"/>
        <v>0</v>
      </c>
      <c r="AL44" s="179">
        <f t="shared" si="12"/>
        <v>0</v>
      </c>
      <c r="AM44" s="179">
        <f t="shared" si="12"/>
        <v>0</v>
      </c>
      <c r="AN44" s="179"/>
      <c r="AO44" s="179"/>
      <c r="AP44" s="179"/>
      <c r="AQ44" s="179"/>
      <c r="AR44" s="179"/>
      <c r="AS44" s="179"/>
    </row>
    <row r="45" spans="2:45">
      <c r="B45" s="255" t="s">
        <v>1349</v>
      </c>
      <c r="C45" s="652" t="s">
        <v>1350</v>
      </c>
      <c r="D45" s="257"/>
      <c r="E45" s="121" t="s">
        <v>740</v>
      </c>
      <c r="F45" s="205" t="s">
        <v>223</v>
      </c>
      <c r="G45">
        <f>IF(Sensitivity!$C$42="Departmental",0,5)</f>
        <v>0</v>
      </c>
      <c r="H45" s="375">
        <f>IFERROR(VLOOKUP(F45,Assumptions_Dashboard!$C$38:$D$72,4,FALSE),)</f>
        <v>0</v>
      </c>
      <c r="J45" s="179"/>
      <c r="K45" s="179"/>
      <c r="L45" s="179"/>
      <c r="M45" s="179"/>
      <c r="N45" s="179">
        <f>G45</f>
        <v>0</v>
      </c>
      <c r="O45" s="179">
        <f t="shared" ref="O45:O75" si="13">N45</f>
        <v>0</v>
      </c>
      <c r="P45" s="179">
        <f t="shared" si="11"/>
        <v>0</v>
      </c>
      <c r="Q45" s="179">
        <f t="shared" si="11"/>
        <v>0</v>
      </c>
      <c r="R45" s="179">
        <f t="shared" si="11"/>
        <v>0</v>
      </c>
      <c r="S45" s="179">
        <f t="shared" si="11"/>
        <v>0</v>
      </c>
      <c r="T45" s="179">
        <f t="shared" si="11"/>
        <v>0</v>
      </c>
      <c r="U45" s="179">
        <f t="shared" si="11"/>
        <v>0</v>
      </c>
      <c r="V45" s="179">
        <f t="shared" si="11"/>
        <v>0</v>
      </c>
      <c r="W45" s="179">
        <f t="shared" si="11"/>
        <v>0</v>
      </c>
      <c r="X45" s="179">
        <f t="shared" si="11"/>
        <v>0</v>
      </c>
      <c r="Y45" s="179">
        <f t="shared" si="11"/>
        <v>0</v>
      </c>
      <c r="Z45" s="179">
        <f t="shared" si="11"/>
        <v>0</v>
      </c>
      <c r="AA45" s="179">
        <f t="shared" si="11"/>
        <v>0</v>
      </c>
      <c r="AB45" s="179">
        <f t="shared" si="11"/>
        <v>0</v>
      </c>
      <c r="AC45" s="179">
        <f t="shared" si="11"/>
        <v>0</v>
      </c>
      <c r="AD45" s="179">
        <f t="shared" si="11"/>
        <v>0</v>
      </c>
      <c r="AE45" s="179">
        <f t="shared" si="12"/>
        <v>0</v>
      </c>
      <c r="AF45" s="179">
        <f t="shared" si="12"/>
        <v>0</v>
      </c>
      <c r="AG45" s="179">
        <f t="shared" si="12"/>
        <v>0</v>
      </c>
      <c r="AH45" s="179">
        <f t="shared" si="12"/>
        <v>0</v>
      </c>
      <c r="AI45" s="179">
        <f t="shared" si="12"/>
        <v>0</v>
      </c>
      <c r="AJ45" s="179">
        <f t="shared" si="12"/>
        <v>0</v>
      </c>
      <c r="AK45" s="179">
        <f t="shared" si="12"/>
        <v>0</v>
      </c>
      <c r="AL45" s="179">
        <f t="shared" si="12"/>
        <v>0</v>
      </c>
      <c r="AM45" s="179">
        <f t="shared" si="12"/>
        <v>0</v>
      </c>
      <c r="AN45" s="179"/>
      <c r="AO45" s="179"/>
      <c r="AP45" s="179"/>
      <c r="AQ45" s="179"/>
      <c r="AR45" s="179"/>
      <c r="AS45" s="179"/>
    </row>
    <row r="46" spans="2:45">
      <c r="B46" s="121"/>
      <c r="C46" s="652" t="s">
        <v>1351</v>
      </c>
      <c r="D46" s="257"/>
      <c r="E46" s="121" t="s">
        <v>740</v>
      </c>
      <c r="F46" s="205" t="s">
        <v>223</v>
      </c>
      <c r="G46">
        <f>IF(Sensitivity!$C$42="Departmental",0,2)</f>
        <v>0</v>
      </c>
      <c r="H46" s="375">
        <f>IFERROR(VLOOKUP(F46,Assumptions_Dashboard!$C$38:$D$72,4,FALSE),)</f>
        <v>0</v>
      </c>
      <c r="J46" s="179"/>
      <c r="K46" s="179"/>
      <c r="L46" s="179"/>
      <c r="M46" s="179"/>
      <c r="N46" s="179">
        <f>G46</f>
        <v>0</v>
      </c>
      <c r="O46" s="179">
        <f t="shared" si="13"/>
        <v>0</v>
      </c>
      <c r="P46" s="179">
        <f t="shared" si="11"/>
        <v>0</v>
      </c>
      <c r="Q46" s="179">
        <f t="shared" si="11"/>
        <v>0</v>
      </c>
      <c r="R46" s="179">
        <f t="shared" si="11"/>
        <v>0</v>
      </c>
      <c r="S46" s="179">
        <f t="shared" si="11"/>
        <v>0</v>
      </c>
      <c r="T46" s="179">
        <f t="shared" si="11"/>
        <v>0</v>
      </c>
      <c r="U46" s="179">
        <f t="shared" si="11"/>
        <v>0</v>
      </c>
      <c r="V46" s="179">
        <f t="shared" si="11"/>
        <v>0</v>
      </c>
      <c r="W46" s="179">
        <f t="shared" si="11"/>
        <v>0</v>
      </c>
      <c r="X46" s="179">
        <f t="shared" si="11"/>
        <v>0</v>
      </c>
      <c r="Y46" s="179">
        <f t="shared" si="11"/>
        <v>0</v>
      </c>
      <c r="Z46" s="179">
        <f t="shared" si="11"/>
        <v>0</v>
      </c>
      <c r="AA46" s="179">
        <f t="shared" si="11"/>
        <v>0</v>
      </c>
      <c r="AB46" s="179">
        <f t="shared" si="11"/>
        <v>0</v>
      </c>
      <c r="AC46" s="179">
        <f t="shared" si="11"/>
        <v>0</v>
      </c>
      <c r="AD46" s="179">
        <f t="shared" si="11"/>
        <v>0</v>
      </c>
      <c r="AE46" s="179">
        <f t="shared" si="12"/>
        <v>0</v>
      </c>
      <c r="AF46" s="179">
        <f t="shared" si="12"/>
        <v>0</v>
      </c>
      <c r="AG46" s="179">
        <f t="shared" si="12"/>
        <v>0</v>
      </c>
      <c r="AH46" s="179">
        <f t="shared" si="12"/>
        <v>0</v>
      </c>
      <c r="AI46" s="179">
        <f t="shared" si="12"/>
        <v>0</v>
      </c>
      <c r="AJ46" s="179">
        <f t="shared" si="12"/>
        <v>0</v>
      </c>
      <c r="AK46" s="179">
        <f t="shared" si="12"/>
        <v>0</v>
      </c>
      <c r="AL46" s="179">
        <f t="shared" si="12"/>
        <v>0</v>
      </c>
      <c r="AM46" s="179">
        <f t="shared" si="12"/>
        <v>0</v>
      </c>
      <c r="AN46" s="179"/>
      <c r="AO46" s="179"/>
      <c r="AP46" s="179"/>
      <c r="AQ46" s="179"/>
      <c r="AR46" s="179"/>
      <c r="AS46" s="179"/>
    </row>
    <row r="47" spans="2:45">
      <c r="B47" s="121"/>
      <c r="C47" s="652" t="s">
        <v>1352</v>
      </c>
      <c r="D47" s="257"/>
      <c r="E47" s="121" t="s">
        <v>740</v>
      </c>
      <c r="F47" s="205" t="s">
        <v>230</v>
      </c>
      <c r="H47" s="375">
        <f>IFERROR(VLOOKUP(F47,Assumptions_Dashboard!$C$38:$D$72,4,FALSE),)</f>
        <v>0</v>
      </c>
      <c r="J47" s="179"/>
      <c r="K47" s="179"/>
      <c r="L47" s="179"/>
      <c r="M47" s="179"/>
      <c r="N47" s="179">
        <f>G47</f>
        <v>0</v>
      </c>
      <c r="O47" s="179">
        <f t="shared" si="13"/>
        <v>0</v>
      </c>
      <c r="P47" s="179">
        <f t="shared" si="11"/>
        <v>0</v>
      </c>
      <c r="Q47" s="179">
        <f t="shared" si="11"/>
        <v>0</v>
      </c>
      <c r="R47" s="179">
        <f t="shared" si="11"/>
        <v>0</v>
      </c>
      <c r="S47" s="179">
        <f t="shared" si="11"/>
        <v>0</v>
      </c>
      <c r="T47" s="179">
        <f t="shared" si="11"/>
        <v>0</v>
      </c>
      <c r="U47" s="179">
        <f t="shared" si="11"/>
        <v>0</v>
      </c>
      <c r="V47" s="179">
        <f t="shared" si="11"/>
        <v>0</v>
      </c>
      <c r="W47" s="179">
        <f t="shared" si="11"/>
        <v>0</v>
      </c>
      <c r="X47" s="179">
        <f t="shared" si="11"/>
        <v>0</v>
      </c>
      <c r="Y47" s="179">
        <f t="shared" si="11"/>
        <v>0</v>
      </c>
      <c r="Z47" s="179">
        <f t="shared" si="11"/>
        <v>0</v>
      </c>
      <c r="AA47" s="179">
        <f t="shared" si="11"/>
        <v>0</v>
      </c>
      <c r="AB47" s="179">
        <f t="shared" si="11"/>
        <v>0</v>
      </c>
      <c r="AC47" s="179">
        <f t="shared" si="11"/>
        <v>0</v>
      </c>
      <c r="AD47" s="179">
        <f t="shared" si="11"/>
        <v>0</v>
      </c>
      <c r="AE47" s="179">
        <f t="shared" si="12"/>
        <v>0</v>
      </c>
      <c r="AF47" s="179">
        <f t="shared" si="12"/>
        <v>0</v>
      </c>
      <c r="AG47" s="179">
        <f t="shared" si="12"/>
        <v>0</v>
      </c>
      <c r="AH47" s="179">
        <f t="shared" si="12"/>
        <v>0</v>
      </c>
      <c r="AI47" s="179">
        <f t="shared" si="12"/>
        <v>0</v>
      </c>
      <c r="AJ47" s="179">
        <f t="shared" si="12"/>
        <v>0</v>
      </c>
      <c r="AK47" s="179">
        <f t="shared" si="12"/>
        <v>0</v>
      </c>
      <c r="AL47" s="179">
        <f t="shared" si="12"/>
        <v>0</v>
      </c>
      <c r="AM47" s="179">
        <f t="shared" si="12"/>
        <v>0</v>
      </c>
      <c r="AN47" s="179"/>
      <c r="AO47" s="179"/>
      <c r="AP47" s="179"/>
      <c r="AQ47" s="179"/>
      <c r="AR47" s="179"/>
      <c r="AS47" s="179"/>
    </row>
    <row r="48" spans="2:45">
      <c r="B48" s="255" t="s">
        <v>1353</v>
      </c>
      <c r="C48" s="653" t="s">
        <v>1354</v>
      </c>
      <c r="D48" s="257" t="s">
        <v>1336</v>
      </c>
      <c r="E48" s="121" t="s">
        <v>740</v>
      </c>
      <c r="F48" s="205" t="s">
        <v>212</v>
      </c>
      <c r="G48">
        <f>IF(Sensitivity!$C$42="Departmental",0,1)</f>
        <v>0</v>
      </c>
      <c r="H48" s="375">
        <f>IFERROR(VLOOKUP(F48,Assumptions_Dashboard!$C$38:$D$72,4,FALSE),)</f>
        <v>0</v>
      </c>
      <c r="J48" s="179"/>
      <c r="K48" s="179"/>
      <c r="L48" s="179"/>
      <c r="M48" s="179"/>
      <c r="N48" s="179">
        <f>M48</f>
        <v>0</v>
      </c>
      <c r="O48" s="179">
        <f t="shared" si="13"/>
        <v>0</v>
      </c>
      <c r="P48" s="179">
        <f t="shared" si="11"/>
        <v>0</v>
      </c>
      <c r="Q48" s="179">
        <f t="shared" si="11"/>
        <v>0</v>
      </c>
      <c r="R48" s="179">
        <f t="shared" si="11"/>
        <v>0</v>
      </c>
      <c r="S48" s="179">
        <f t="shared" si="11"/>
        <v>0</v>
      </c>
      <c r="T48" s="179">
        <f t="shared" si="11"/>
        <v>0</v>
      </c>
      <c r="U48" s="179">
        <f t="shared" si="11"/>
        <v>0</v>
      </c>
      <c r="V48" s="179">
        <f t="shared" si="11"/>
        <v>0</v>
      </c>
      <c r="W48" s="179">
        <f t="shared" si="11"/>
        <v>0</v>
      </c>
      <c r="X48" s="179">
        <f t="shared" si="11"/>
        <v>0</v>
      </c>
      <c r="Y48" s="179">
        <f t="shared" si="11"/>
        <v>0</v>
      </c>
      <c r="Z48" s="179">
        <f t="shared" si="11"/>
        <v>0</v>
      </c>
      <c r="AA48" s="179">
        <f t="shared" si="11"/>
        <v>0</v>
      </c>
      <c r="AB48" s="179">
        <f t="shared" si="11"/>
        <v>0</v>
      </c>
      <c r="AC48" s="179">
        <f t="shared" si="11"/>
        <v>0</v>
      </c>
      <c r="AD48" s="179">
        <f t="shared" si="11"/>
        <v>0</v>
      </c>
      <c r="AE48" s="179">
        <f t="shared" si="12"/>
        <v>0</v>
      </c>
      <c r="AF48" s="179">
        <f t="shared" si="12"/>
        <v>0</v>
      </c>
      <c r="AG48" s="179">
        <f t="shared" si="12"/>
        <v>0</v>
      </c>
      <c r="AH48" s="179">
        <f t="shared" si="12"/>
        <v>0</v>
      </c>
      <c r="AI48" s="179">
        <f t="shared" si="12"/>
        <v>0</v>
      </c>
      <c r="AJ48" s="179">
        <f t="shared" si="12"/>
        <v>0</v>
      </c>
      <c r="AK48" s="179">
        <f t="shared" si="12"/>
        <v>0</v>
      </c>
      <c r="AL48" s="179">
        <f t="shared" si="12"/>
        <v>0</v>
      </c>
      <c r="AM48" s="179">
        <f t="shared" si="12"/>
        <v>0</v>
      </c>
      <c r="AN48" s="179"/>
      <c r="AO48" s="179"/>
      <c r="AP48" s="179"/>
      <c r="AQ48" s="179"/>
      <c r="AR48" s="179"/>
      <c r="AS48" s="179"/>
    </row>
    <row r="49" spans="2:45">
      <c r="B49" s="255"/>
      <c r="C49" s="653" t="s">
        <v>1355</v>
      </c>
      <c r="D49" s="257"/>
      <c r="E49" s="121" t="s">
        <v>740</v>
      </c>
      <c r="F49" s="205" t="s">
        <v>223</v>
      </c>
      <c r="G49">
        <f>IF(Sensitivity!$C$42="Departmental",0,2)</f>
        <v>0</v>
      </c>
      <c r="H49" s="375">
        <f>IFERROR(VLOOKUP(F49,Assumptions_Dashboard!$C$38:$D$72,4,FALSE),)</f>
        <v>0</v>
      </c>
      <c r="J49" s="369"/>
      <c r="K49" s="179"/>
      <c r="L49" s="179"/>
      <c r="M49" s="179"/>
      <c r="N49" s="369">
        <f t="shared" ref="N49:N75" si="14">G49</f>
        <v>0</v>
      </c>
      <c r="O49" s="179">
        <f t="shared" si="13"/>
        <v>0</v>
      </c>
      <c r="P49" s="179">
        <f t="shared" si="11"/>
        <v>0</v>
      </c>
      <c r="Q49" s="179">
        <f t="shared" si="11"/>
        <v>0</v>
      </c>
      <c r="R49" s="179">
        <f t="shared" si="11"/>
        <v>0</v>
      </c>
      <c r="S49" s="179">
        <f t="shared" si="11"/>
        <v>0</v>
      </c>
      <c r="T49" s="179">
        <f t="shared" si="11"/>
        <v>0</v>
      </c>
      <c r="U49" s="179">
        <f t="shared" si="11"/>
        <v>0</v>
      </c>
      <c r="V49" s="179">
        <f t="shared" si="11"/>
        <v>0</v>
      </c>
      <c r="W49" s="179">
        <f t="shared" si="11"/>
        <v>0</v>
      </c>
      <c r="X49" s="179">
        <f t="shared" si="11"/>
        <v>0</v>
      </c>
      <c r="Y49" s="179">
        <f t="shared" si="11"/>
        <v>0</v>
      </c>
      <c r="Z49" s="179">
        <f t="shared" si="11"/>
        <v>0</v>
      </c>
      <c r="AA49" s="179">
        <f t="shared" si="11"/>
        <v>0</v>
      </c>
      <c r="AB49" s="179">
        <f t="shared" si="11"/>
        <v>0</v>
      </c>
      <c r="AC49" s="179">
        <f t="shared" si="11"/>
        <v>0</v>
      </c>
      <c r="AD49" s="179">
        <f t="shared" si="11"/>
        <v>0</v>
      </c>
      <c r="AE49" s="179">
        <f t="shared" si="12"/>
        <v>0</v>
      </c>
      <c r="AF49" s="179">
        <f t="shared" si="12"/>
        <v>0</v>
      </c>
      <c r="AG49" s="179">
        <f t="shared" si="12"/>
        <v>0</v>
      </c>
      <c r="AH49" s="179">
        <f t="shared" si="12"/>
        <v>0</v>
      </c>
      <c r="AI49" s="179">
        <f t="shared" si="12"/>
        <v>0</v>
      </c>
      <c r="AJ49" s="179">
        <f t="shared" si="12"/>
        <v>0</v>
      </c>
      <c r="AK49" s="179">
        <f t="shared" si="12"/>
        <v>0</v>
      </c>
      <c r="AL49" s="179">
        <f t="shared" si="12"/>
        <v>0</v>
      </c>
      <c r="AM49" s="179">
        <f t="shared" si="12"/>
        <v>0</v>
      </c>
      <c r="AN49" s="179"/>
      <c r="AO49" s="179"/>
      <c r="AP49" s="179"/>
      <c r="AQ49" s="179"/>
      <c r="AR49" s="179"/>
      <c r="AS49" s="179"/>
    </row>
    <row r="50" spans="2:45">
      <c r="B50" s="121"/>
      <c r="C50" s="653" t="s">
        <v>1356</v>
      </c>
      <c r="D50" s="257"/>
      <c r="E50" s="121" t="s">
        <v>740</v>
      </c>
      <c r="F50" s="205" t="s">
        <v>223</v>
      </c>
      <c r="G50">
        <f>IF(Sensitivity!$C$42="Departmental",0,2)</f>
        <v>0</v>
      </c>
      <c r="H50" s="375">
        <f>IFERROR(VLOOKUP(F50,Assumptions_Dashboard!$C$38:$D$72,4,FALSE),)</f>
        <v>0</v>
      </c>
      <c r="J50" s="179"/>
      <c r="K50" s="179"/>
      <c r="L50" s="179"/>
      <c r="M50" s="179"/>
      <c r="N50" s="179">
        <f t="shared" si="14"/>
        <v>0</v>
      </c>
      <c r="O50" s="179">
        <f t="shared" si="13"/>
        <v>0</v>
      </c>
      <c r="P50" s="179">
        <f t="shared" si="11"/>
        <v>0</v>
      </c>
      <c r="Q50" s="179">
        <f t="shared" si="11"/>
        <v>0</v>
      </c>
      <c r="R50" s="179">
        <f t="shared" si="11"/>
        <v>0</v>
      </c>
      <c r="S50" s="179">
        <f t="shared" si="11"/>
        <v>0</v>
      </c>
      <c r="T50" s="179">
        <f t="shared" si="11"/>
        <v>0</v>
      </c>
      <c r="U50" s="179">
        <f t="shared" si="11"/>
        <v>0</v>
      </c>
      <c r="V50" s="179">
        <f t="shared" si="11"/>
        <v>0</v>
      </c>
      <c r="W50" s="179">
        <f t="shared" si="11"/>
        <v>0</v>
      </c>
      <c r="X50" s="179">
        <f t="shared" si="11"/>
        <v>0</v>
      </c>
      <c r="Y50" s="179">
        <f t="shared" si="11"/>
        <v>0</v>
      </c>
      <c r="Z50" s="179">
        <f t="shared" si="11"/>
        <v>0</v>
      </c>
      <c r="AA50" s="179">
        <f t="shared" si="11"/>
        <v>0</v>
      </c>
      <c r="AB50" s="179">
        <f t="shared" si="11"/>
        <v>0</v>
      </c>
      <c r="AC50" s="179">
        <f t="shared" si="11"/>
        <v>0</v>
      </c>
      <c r="AD50" s="179">
        <f t="shared" si="11"/>
        <v>0</v>
      </c>
      <c r="AE50" s="179">
        <f t="shared" si="12"/>
        <v>0</v>
      </c>
      <c r="AF50" s="179">
        <f t="shared" si="12"/>
        <v>0</v>
      </c>
      <c r="AG50" s="179">
        <f t="shared" si="12"/>
        <v>0</v>
      </c>
      <c r="AH50" s="179">
        <f t="shared" si="12"/>
        <v>0</v>
      </c>
      <c r="AI50" s="179">
        <f t="shared" si="12"/>
        <v>0</v>
      </c>
      <c r="AJ50" s="179">
        <f t="shared" si="12"/>
        <v>0</v>
      </c>
      <c r="AK50" s="179">
        <f t="shared" si="12"/>
        <v>0</v>
      </c>
      <c r="AL50" s="179">
        <f t="shared" si="12"/>
        <v>0</v>
      </c>
      <c r="AM50" s="179">
        <f t="shared" si="12"/>
        <v>0</v>
      </c>
      <c r="AN50" s="179"/>
      <c r="AO50" s="179"/>
      <c r="AP50" s="179"/>
      <c r="AQ50" s="179"/>
      <c r="AR50" s="179"/>
      <c r="AS50" s="179"/>
    </row>
    <row r="51" spans="2:45">
      <c r="B51" s="121"/>
      <c r="C51" s="653" t="s">
        <v>1357</v>
      </c>
      <c r="D51" s="257"/>
      <c r="E51" s="121" t="s">
        <v>740</v>
      </c>
      <c r="F51" s="205" t="s">
        <v>230</v>
      </c>
      <c r="G51">
        <f>IF(Sensitivity!$C$42="Departmental",0,5)</f>
        <v>0</v>
      </c>
      <c r="H51" s="375">
        <f>IFERROR(VLOOKUP(F51,Assumptions_Dashboard!$C$38:$D$72,4,FALSE),)</f>
        <v>0</v>
      </c>
      <c r="J51" s="179"/>
      <c r="K51" s="179"/>
      <c r="L51" s="179"/>
      <c r="M51" s="179"/>
      <c r="N51" s="179">
        <f t="shared" si="14"/>
        <v>0</v>
      </c>
      <c r="O51" s="179">
        <f t="shared" si="13"/>
        <v>0</v>
      </c>
      <c r="P51" s="179">
        <f t="shared" si="11"/>
        <v>0</v>
      </c>
      <c r="Q51" s="179">
        <f t="shared" si="11"/>
        <v>0</v>
      </c>
      <c r="R51" s="179">
        <f t="shared" si="11"/>
        <v>0</v>
      </c>
      <c r="S51" s="179">
        <f t="shared" si="11"/>
        <v>0</v>
      </c>
      <c r="T51" s="179">
        <f t="shared" si="11"/>
        <v>0</v>
      </c>
      <c r="U51" s="179">
        <f t="shared" si="11"/>
        <v>0</v>
      </c>
      <c r="V51" s="179">
        <f t="shared" si="11"/>
        <v>0</v>
      </c>
      <c r="W51" s="179">
        <f t="shared" si="11"/>
        <v>0</v>
      </c>
      <c r="X51" s="179">
        <f t="shared" si="11"/>
        <v>0</v>
      </c>
      <c r="Y51" s="179">
        <f t="shared" si="11"/>
        <v>0</v>
      </c>
      <c r="Z51" s="179">
        <f t="shared" si="11"/>
        <v>0</v>
      </c>
      <c r="AA51" s="179">
        <f t="shared" si="11"/>
        <v>0</v>
      </c>
      <c r="AB51" s="179">
        <f t="shared" si="11"/>
        <v>0</v>
      </c>
      <c r="AC51" s="179">
        <f t="shared" si="11"/>
        <v>0</v>
      </c>
      <c r="AD51" s="179">
        <f t="shared" si="11"/>
        <v>0</v>
      </c>
      <c r="AE51" s="179">
        <f t="shared" si="12"/>
        <v>0</v>
      </c>
      <c r="AF51" s="179">
        <f t="shared" si="12"/>
        <v>0</v>
      </c>
      <c r="AG51" s="179">
        <f t="shared" si="12"/>
        <v>0</v>
      </c>
      <c r="AH51" s="179">
        <f t="shared" si="12"/>
        <v>0</v>
      </c>
      <c r="AI51" s="179">
        <f t="shared" si="12"/>
        <v>0</v>
      </c>
      <c r="AJ51" s="179">
        <f t="shared" si="12"/>
        <v>0</v>
      </c>
      <c r="AK51" s="179">
        <f t="shared" si="12"/>
        <v>0</v>
      </c>
      <c r="AL51" s="179">
        <f t="shared" si="12"/>
        <v>0</v>
      </c>
      <c r="AM51" s="179">
        <f t="shared" si="12"/>
        <v>0</v>
      </c>
      <c r="AN51" s="179"/>
      <c r="AO51" s="179"/>
      <c r="AP51" s="179"/>
      <c r="AQ51" s="179"/>
      <c r="AR51" s="179"/>
      <c r="AS51" s="179"/>
    </row>
    <row r="52" spans="2:45">
      <c r="B52" s="121"/>
      <c r="C52" s="653" t="s">
        <v>1358</v>
      </c>
      <c r="D52" s="257"/>
      <c r="E52" s="121" t="s">
        <v>740</v>
      </c>
      <c r="F52" s="205" t="s">
        <v>230</v>
      </c>
      <c r="G52">
        <f>IF(Sensitivity!$C$42="Departmental",0,10)</f>
        <v>0</v>
      </c>
      <c r="H52" s="375">
        <f>IFERROR(VLOOKUP(F52,Assumptions_Dashboard!$C$38:$D$72,4,FALSE),)</f>
        <v>0</v>
      </c>
      <c r="J52" s="179"/>
      <c r="K52" s="179"/>
      <c r="L52" s="179"/>
      <c r="M52" s="179"/>
      <c r="N52" s="179">
        <f t="shared" si="14"/>
        <v>0</v>
      </c>
      <c r="O52" s="179">
        <f t="shared" si="13"/>
        <v>0</v>
      </c>
      <c r="P52" s="179">
        <f t="shared" si="11"/>
        <v>0</v>
      </c>
      <c r="Q52" s="179">
        <f t="shared" si="11"/>
        <v>0</v>
      </c>
      <c r="R52" s="179">
        <f t="shared" si="11"/>
        <v>0</v>
      </c>
      <c r="S52" s="179">
        <f t="shared" si="11"/>
        <v>0</v>
      </c>
      <c r="T52" s="179">
        <f t="shared" si="11"/>
        <v>0</v>
      </c>
      <c r="U52" s="179">
        <f t="shared" si="11"/>
        <v>0</v>
      </c>
      <c r="V52" s="179">
        <f t="shared" si="11"/>
        <v>0</v>
      </c>
      <c r="W52" s="179">
        <f t="shared" si="11"/>
        <v>0</v>
      </c>
      <c r="X52" s="179">
        <f t="shared" si="11"/>
        <v>0</v>
      </c>
      <c r="Y52" s="179">
        <f t="shared" si="11"/>
        <v>0</v>
      </c>
      <c r="Z52" s="179">
        <f t="shared" si="11"/>
        <v>0</v>
      </c>
      <c r="AA52" s="179">
        <f t="shared" si="11"/>
        <v>0</v>
      </c>
      <c r="AB52" s="179">
        <f t="shared" si="11"/>
        <v>0</v>
      </c>
      <c r="AC52" s="179">
        <f t="shared" si="11"/>
        <v>0</v>
      </c>
      <c r="AD52" s="179">
        <f t="shared" si="11"/>
        <v>0</v>
      </c>
      <c r="AE52" s="179">
        <f t="shared" si="12"/>
        <v>0</v>
      </c>
      <c r="AF52" s="179">
        <f t="shared" si="12"/>
        <v>0</v>
      </c>
      <c r="AG52" s="179">
        <f t="shared" si="12"/>
        <v>0</v>
      </c>
      <c r="AH52" s="179">
        <f t="shared" si="12"/>
        <v>0</v>
      </c>
      <c r="AI52" s="179">
        <f t="shared" si="12"/>
        <v>0</v>
      </c>
      <c r="AJ52" s="179">
        <f t="shared" si="12"/>
        <v>0</v>
      </c>
      <c r="AK52" s="179">
        <f t="shared" si="12"/>
        <v>0</v>
      </c>
      <c r="AL52" s="179">
        <f t="shared" si="12"/>
        <v>0</v>
      </c>
      <c r="AM52" s="179">
        <f t="shared" si="12"/>
        <v>0</v>
      </c>
      <c r="AN52" s="179"/>
      <c r="AO52" s="179"/>
      <c r="AP52" s="179"/>
      <c r="AQ52" s="179"/>
      <c r="AR52" s="179"/>
      <c r="AS52" s="179"/>
    </row>
    <row r="53" spans="2:45">
      <c r="B53" s="121"/>
      <c r="C53" s="653" t="s">
        <v>1359</v>
      </c>
      <c r="D53" s="257"/>
      <c r="E53" s="121" t="s">
        <v>740</v>
      </c>
      <c r="F53" s="205" t="s">
        <v>230</v>
      </c>
      <c r="G53">
        <f>IF(Sensitivity!$C$42="Departmental",0,2*3)</f>
        <v>0</v>
      </c>
      <c r="H53" s="375">
        <f>IFERROR(VLOOKUP(F53,Assumptions_Dashboard!$C$38:$D$72,4,FALSE),)</f>
        <v>0</v>
      </c>
      <c r="J53" s="179"/>
      <c r="K53" s="179"/>
      <c r="L53" s="179"/>
      <c r="M53" s="179"/>
      <c r="N53" s="179">
        <f t="shared" si="14"/>
        <v>0</v>
      </c>
      <c r="O53" s="179">
        <f t="shared" si="13"/>
        <v>0</v>
      </c>
      <c r="P53" s="179">
        <f t="shared" si="11"/>
        <v>0</v>
      </c>
      <c r="Q53" s="179">
        <f t="shared" si="11"/>
        <v>0</v>
      </c>
      <c r="R53" s="179">
        <f t="shared" si="11"/>
        <v>0</v>
      </c>
      <c r="S53" s="179">
        <f t="shared" si="11"/>
        <v>0</v>
      </c>
      <c r="T53" s="179">
        <f t="shared" si="11"/>
        <v>0</v>
      </c>
      <c r="U53" s="179">
        <f t="shared" si="11"/>
        <v>0</v>
      </c>
      <c r="V53" s="179">
        <f t="shared" si="11"/>
        <v>0</v>
      </c>
      <c r="W53" s="179">
        <f t="shared" si="11"/>
        <v>0</v>
      </c>
      <c r="X53" s="179">
        <f t="shared" si="11"/>
        <v>0</v>
      </c>
      <c r="Y53" s="179">
        <f t="shared" si="11"/>
        <v>0</v>
      </c>
      <c r="Z53" s="179">
        <f t="shared" si="11"/>
        <v>0</v>
      </c>
      <c r="AA53" s="179">
        <f t="shared" si="11"/>
        <v>0</v>
      </c>
      <c r="AB53" s="179">
        <f t="shared" si="11"/>
        <v>0</v>
      </c>
      <c r="AC53" s="179">
        <f t="shared" si="11"/>
        <v>0</v>
      </c>
      <c r="AD53" s="179">
        <f t="shared" si="11"/>
        <v>0</v>
      </c>
      <c r="AE53" s="179">
        <f t="shared" si="12"/>
        <v>0</v>
      </c>
      <c r="AF53" s="179">
        <f t="shared" si="12"/>
        <v>0</v>
      </c>
      <c r="AG53" s="179">
        <f t="shared" si="12"/>
        <v>0</v>
      </c>
      <c r="AH53" s="179">
        <f t="shared" si="12"/>
        <v>0</v>
      </c>
      <c r="AI53" s="179">
        <f t="shared" si="12"/>
        <v>0</v>
      </c>
      <c r="AJ53" s="179">
        <f t="shared" si="12"/>
        <v>0</v>
      </c>
      <c r="AK53" s="179">
        <f t="shared" si="12"/>
        <v>0</v>
      </c>
      <c r="AL53" s="179">
        <f t="shared" si="12"/>
        <v>0</v>
      </c>
      <c r="AM53" s="179">
        <f t="shared" si="12"/>
        <v>0</v>
      </c>
      <c r="AN53" s="179"/>
      <c r="AO53" s="179"/>
      <c r="AP53" s="179"/>
      <c r="AQ53" s="179"/>
      <c r="AR53" s="179"/>
      <c r="AS53" s="179"/>
    </row>
    <row r="54" spans="2:45">
      <c r="B54" s="121"/>
      <c r="C54" s="653" t="s">
        <v>1360</v>
      </c>
      <c r="D54" s="257"/>
      <c r="E54" s="121" t="s">
        <v>740</v>
      </c>
      <c r="F54" s="205" t="s">
        <v>230</v>
      </c>
      <c r="G54">
        <f>IF(Sensitivity!$C$42="Departmental",0,2*3)</f>
        <v>0</v>
      </c>
      <c r="H54" s="375">
        <f>IFERROR(VLOOKUP(F54,Assumptions_Dashboard!$C$38:$D$72,4,FALSE),)</f>
        <v>0</v>
      </c>
      <c r="J54" s="179"/>
      <c r="K54" s="179"/>
      <c r="L54" s="179"/>
      <c r="M54" s="179"/>
      <c r="N54" s="179">
        <f t="shared" si="14"/>
        <v>0</v>
      </c>
      <c r="O54" s="179">
        <f t="shared" si="13"/>
        <v>0</v>
      </c>
      <c r="P54" s="179">
        <f t="shared" si="11"/>
        <v>0</v>
      </c>
      <c r="Q54" s="179">
        <f t="shared" si="11"/>
        <v>0</v>
      </c>
      <c r="R54" s="179">
        <f t="shared" si="11"/>
        <v>0</v>
      </c>
      <c r="S54" s="179">
        <f t="shared" si="11"/>
        <v>0</v>
      </c>
      <c r="T54" s="179">
        <f t="shared" si="11"/>
        <v>0</v>
      </c>
      <c r="U54" s="179">
        <f t="shared" si="11"/>
        <v>0</v>
      </c>
      <c r="V54" s="179">
        <f t="shared" si="11"/>
        <v>0</v>
      </c>
      <c r="W54" s="179">
        <f t="shared" si="11"/>
        <v>0</v>
      </c>
      <c r="X54" s="179">
        <f t="shared" si="11"/>
        <v>0</v>
      </c>
      <c r="Y54" s="179">
        <f t="shared" si="11"/>
        <v>0</v>
      </c>
      <c r="Z54" s="179">
        <f t="shared" si="11"/>
        <v>0</v>
      </c>
      <c r="AA54" s="179">
        <f t="shared" si="11"/>
        <v>0</v>
      </c>
      <c r="AB54" s="179">
        <f t="shared" si="11"/>
        <v>0</v>
      </c>
      <c r="AC54" s="179">
        <f t="shared" si="11"/>
        <v>0</v>
      </c>
      <c r="AD54" s="179">
        <f t="shared" si="11"/>
        <v>0</v>
      </c>
      <c r="AE54" s="179">
        <f t="shared" si="12"/>
        <v>0</v>
      </c>
      <c r="AF54" s="179">
        <f t="shared" si="12"/>
        <v>0</v>
      </c>
      <c r="AG54" s="179">
        <f t="shared" si="12"/>
        <v>0</v>
      </c>
      <c r="AH54" s="179">
        <f t="shared" si="12"/>
        <v>0</v>
      </c>
      <c r="AI54" s="179">
        <f t="shared" si="12"/>
        <v>0</v>
      </c>
      <c r="AJ54" s="179">
        <f t="shared" si="12"/>
        <v>0</v>
      </c>
      <c r="AK54" s="179">
        <f t="shared" si="12"/>
        <v>0</v>
      </c>
      <c r="AL54" s="179">
        <f t="shared" si="12"/>
        <v>0</v>
      </c>
      <c r="AM54" s="179">
        <f t="shared" si="12"/>
        <v>0</v>
      </c>
      <c r="AN54" s="179"/>
      <c r="AO54" s="179"/>
      <c r="AP54" s="179"/>
      <c r="AQ54" s="179"/>
      <c r="AR54" s="179"/>
      <c r="AS54" s="179"/>
    </row>
    <row r="55" spans="2:45">
      <c r="B55" s="121"/>
      <c r="C55" s="653" t="s">
        <v>1361</v>
      </c>
      <c r="D55" s="257"/>
      <c r="E55" s="121" t="s">
        <v>740</v>
      </c>
      <c r="F55" s="205" t="s">
        <v>230</v>
      </c>
      <c r="G55">
        <f>IF(Sensitivity!$C$42="Departmental",0,10)</f>
        <v>0</v>
      </c>
      <c r="H55" s="375">
        <f>IFERROR(VLOOKUP(F55,Assumptions_Dashboard!$C$38:$D$72,4,FALSE),)</f>
        <v>0</v>
      </c>
      <c r="J55" s="179"/>
      <c r="K55" s="179"/>
      <c r="L55" s="179"/>
      <c r="M55" s="179"/>
      <c r="N55" s="179">
        <f t="shared" si="14"/>
        <v>0</v>
      </c>
      <c r="O55" s="179">
        <f t="shared" si="13"/>
        <v>0</v>
      </c>
      <c r="P55" s="179">
        <f t="shared" si="11"/>
        <v>0</v>
      </c>
      <c r="Q55" s="179">
        <f t="shared" si="11"/>
        <v>0</v>
      </c>
      <c r="R55" s="179">
        <f t="shared" si="11"/>
        <v>0</v>
      </c>
      <c r="S55" s="179">
        <f t="shared" si="11"/>
        <v>0</v>
      </c>
      <c r="T55" s="179">
        <f t="shared" si="11"/>
        <v>0</v>
      </c>
      <c r="U55" s="179">
        <f t="shared" si="11"/>
        <v>0</v>
      </c>
      <c r="V55" s="179">
        <f t="shared" si="11"/>
        <v>0</v>
      </c>
      <c r="W55" s="179">
        <f t="shared" si="11"/>
        <v>0</v>
      </c>
      <c r="X55" s="179">
        <f t="shared" si="11"/>
        <v>0</v>
      </c>
      <c r="Y55" s="179">
        <f t="shared" si="11"/>
        <v>0</v>
      </c>
      <c r="Z55" s="179">
        <f t="shared" si="11"/>
        <v>0</v>
      </c>
      <c r="AA55" s="179">
        <f t="shared" si="11"/>
        <v>0</v>
      </c>
      <c r="AB55" s="179">
        <f t="shared" si="11"/>
        <v>0</v>
      </c>
      <c r="AC55" s="179">
        <f t="shared" si="11"/>
        <v>0</v>
      </c>
      <c r="AD55" s="179">
        <f t="shared" si="11"/>
        <v>0</v>
      </c>
      <c r="AE55" s="179">
        <f t="shared" si="12"/>
        <v>0</v>
      </c>
      <c r="AF55" s="179">
        <f t="shared" si="12"/>
        <v>0</v>
      </c>
      <c r="AG55" s="179">
        <f t="shared" si="12"/>
        <v>0</v>
      </c>
      <c r="AH55" s="179">
        <f t="shared" si="12"/>
        <v>0</v>
      </c>
      <c r="AI55" s="179">
        <f t="shared" si="12"/>
        <v>0</v>
      </c>
      <c r="AJ55" s="179">
        <f t="shared" si="12"/>
        <v>0</v>
      </c>
      <c r="AK55" s="179">
        <f t="shared" si="12"/>
        <v>0</v>
      </c>
      <c r="AL55" s="179">
        <f t="shared" si="12"/>
        <v>0</v>
      </c>
      <c r="AM55" s="179">
        <f t="shared" si="12"/>
        <v>0</v>
      </c>
      <c r="AN55" s="179"/>
      <c r="AO55" s="179"/>
      <c r="AP55" s="179"/>
      <c r="AQ55" s="179"/>
      <c r="AR55" s="179"/>
      <c r="AS55" s="179"/>
    </row>
    <row r="56" spans="2:45">
      <c r="B56" s="121"/>
      <c r="C56" s="653" t="s">
        <v>1352</v>
      </c>
      <c r="D56" s="257"/>
      <c r="E56" s="121" t="s">
        <v>740</v>
      </c>
      <c r="F56" s="205" t="s">
        <v>230</v>
      </c>
      <c r="H56" s="375">
        <f>IFERROR(VLOOKUP(F56,Assumptions_Dashboard!$C$38:$D$72,4,FALSE),)</f>
        <v>0</v>
      </c>
      <c r="J56" s="179"/>
      <c r="K56" s="179"/>
      <c r="L56" s="179"/>
      <c r="M56" s="179"/>
      <c r="N56" s="179">
        <f t="shared" si="14"/>
        <v>0</v>
      </c>
      <c r="O56" s="179">
        <f t="shared" si="13"/>
        <v>0</v>
      </c>
      <c r="P56" s="179">
        <f t="shared" si="11"/>
        <v>0</v>
      </c>
      <c r="Q56" s="179">
        <f t="shared" si="11"/>
        <v>0</v>
      </c>
      <c r="R56" s="179">
        <f t="shared" si="11"/>
        <v>0</v>
      </c>
      <c r="S56" s="179">
        <f t="shared" si="11"/>
        <v>0</v>
      </c>
      <c r="T56" s="179">
        <f t="shared" si="11"/>
        <v>0</v>
      </c>
      <c r="U56" s="179">
        <f t="shared" si="11"/>
        <v>0</v>
      </c>
      <c r="V56" s="179">
        <f t="shared" si="11"/>
        <v>0</v>
      </c>
      <c r="W56" s="179">
        <f t="shared" si="11"/>
        <v>0</v>
      </c>
      <c r="X56" s="179">
        <f t="shared" si="11"/>
        <v>0</v>
      </c>
      <c r="Y56" s="179">
        <f t="shared" si="11"/>
        <v>0</v>
      </c>
      <c r="Z56" s="179">
        <f t="shared" si="11"/>
        <v>0</v>
      </c>
      <c r="AA56" s="179">
        <f t="shared" si="11"/>
        <v>0</v>
      </c>
      <c r="AB56" s="179">
        <f t="shared" si="11"/>
        <v>0</v>
      </c>
      <c r="AC56" s="179">
        <f t="shared" si="11"/>
        <v>0</v>
      </c>
      <c r="AD56" s="179">
        <f t="shared" si="11"/>
        <v>0</v>
      </c>
      <c r="AE56" s="179">
        <f t="shared" si="12"/>
        <v>0</v>
      </c>
      <c r="AF56" s="179">
        <f t="shared" si="12"/>
        <v>0</v>
      </c>
      <c r="AG56" s="179">
        <f t="shared" si="12"/>
        <v>0</v>
      </c>
      <c r="AH56" s="179">
        <f t="shared" si="12"/>
        <v>0</v>
      </c>
      <c r="AI56" s="179">
        <f t="shared" si="12"/>
        <v>0</v>
      </c>
      <c r="AJ56" s="179">
        <f t="shared" si="12"/>
        <v>0</v>
      </c>
      <c r="AK56" s="179">
        <f t="shared" si="12"/>
        <v>0</v>
      </c>
      <c r="AL56" s="179">
        <f t="shared" si="12"/>
        <v>0</v>
      </c>
      <c r="AM56" s="179">
        <f t="shared" si="12"/>
        <v>0</v>
      </c>
      <c r="AN56" s="179"/>
      <c r="AO56" s="179"/>
      <c r="AP56" s="179"/>
      <c r="AQ56" s="179"/>
      <c r="AR56" s="179"/>
      <c r="AS56" s="179"/>
    </row>
    <row r="57" spans="2:45">
      <c r="B57" s="255" t="s">
        <v>1362</v>
      </c>
      <c r="C57" s="654" t="s">
        <v>1363</v>
      </c>
      <c r="D57" s="257" t="s">
        <v>1313</v>
      </c>
      <c r="E57" s="121" t="s">
        <v>740</v>
      </c>
      <c r="F57" s="95" t="s">
        <v>205</v>
      </c>
      <c r="G57" s="121">
        <f>IF(Sensitivity!$C$42="Departmental",0,1)</f>
        <v>0</v>
      </c>
      <c r="H57" s="375">
        <f>IFERROR(VLOOKUP(F57,Assumptions_Dashboard!$C$38:$D$72,4,FALSE),)</f>
        <v>0</v>
      </c>
      <c r="J57" s="179"/>
      <c r="K57" s="179"/>
      <c r="L57" s="179"/>
      <c r="M57" s="179"/>
      <c r="N57" s="179">
        <f t="shared" si="14"/>
        <v>0</v>
      </c>
      <c r="O57" s="179">
        <f t="shared" si="13"/>
        <v>0</v>
      </c>
      <c r="P57" s="179">
        <f t="shared" si="11"/>
        <v>0</v>
      </c>
      <c r="Q57" s="179">
        <f t="shared" si="11"/>
        <v>0</v>
      </c>
      <c r="R57" s="179">
        <f t="shared" si="11"/>
        <v>0</v>
      </c>
      <c r="S57" s="179">
        <f t="shared" si="11"/>
        <v>0</v>
      </c>
      <c r="T57" s="179">
        <f t="shared" si="11"/>
        <v>0</v>
      </c>
      <c r="U57" s="179">
        <f t="shared" si="11"/>
        <v>0</v>
      </c>
      <c r="V57" s="179">
        <f t="shared" si="11"/>
        <v>0</v>
      </c>
      <c r="W57" s="179">
        <f t="shared" si="11"/>
        <v>0</v>
      </c>
      <c r="X57" s="179">
        <f t="shared" si="11"/>
        <v>0</v>
      </c>
      <c r="Y57" s="179">
        <f t="shared" si="11"/>
        <v>0</v>
      </c>
      <c r="Z57" s="179">
        <f t="shared" si="11"/>
        <v>0</v>
      </c>
      <c r="AA57" s="179">
        <f t="shared" si="11"/>
        <v>0</v>
      </c>
      <c r="AB57" s="179">
        <f t="shared" si="11"/>
        <v>0</v>
      </c>
      <c r="AC57" s="179">
        <f t="shared" si="11"/>
        <v>0</v>
      </c>
      <c r="AD57" s="179">
        <f t="shared" si="11"/>
        <v>0</v>
      </c>
      <c r="AE57" s="179">
        <f t="shared" si="12"/>
        <v>0</v>
      </c>
      <c r="AF57" s="179">
        <f t="shared" si="12"/>
        <v>0</v>
      </c>
      <c r="AG57" s="179">
        <f t="shared" si="12"/>
        <v>0</v>
      </c>
      <c r="AH57" s="179">
        <f t="shared" si="12"/>
        <v>0</v>
      </c>
      <c r="AI57" s="179">
        <f t="shared" si="12"/>
        <v>0</v>
      </c>
      <c r="AJ57" s="179">
        <f t="shared" si="12"/>
        <v>0</v>
      </c>
      <c r="AK57" s="179">
        <f t="shared" si="12"/>
        <v>0</v>
      </c>
      <c r="AL57" s="179">
        <f t="shared" si="12"/>
        <v>0</v>
      </c>
      <c r="AM57" s="179">
        <f t="shared" si="12"/>
        <v>0</v>
      </c>
      <c r="AN57" s="179"/>
      <c r="AO57" s="179"/>
      <c r="AP57" s="179"/>
      <c r="AQ57" s="179"/>
      <c r="AR57" s="179"/>
      <c r="AS57" s="179"/>
    </row>
    <row r="58" spans="2:45">
      <c r="B58" s="121"/>
      <c r="C58" s="654" t="s">
        <v>1364</v>
      </c>
      <c r="D58" s="257" t="s">
        <v>1315</v>
      </c>
      <c r="E58" s="121" t="s">
        <v>740</v>
      </c>
      <c r="F58" s="205" t="s">
        <v>212</v>
      </c>
      <c r="G58" s="121">
        <f>IF(Sensitivity!$C$42="Departmental",0,3)</f>
        <v>0</v>
      </c>
      <c r="H58" s="375">
        <f>IFERROR(VLOOKUP(F58,Assumptions_Dashboard!$C$38:$D$72,4,FALSE),)</f>
        <v>0</v>
      </c>
      <c r="J58" s="179"/>
      <c r="K58" s="179"/>
      <c r="L58" s="179"/>
      <c r="M58" s="179"/>
      <c r="N58" s="179">
        <f t="shared" si="14"/>
        <v>0</v>
      </c>
      <c r="O58" s="179">
        <f t="shared" si="13"/>
        <v>0</v>
      </c>
      <c r="P58" s="179">
        <f t="shared" si="11"/>
        <v>0</v>
      </c>
      <c r="Q58" s="179">
        <f t="shared" si="11"/>
        <v>0</v>
      </c>
      <c r="R58" s="179">
        <f t="shared" si="11"/>
        <v>0</v>
      </c>
      <c r="S58" s="179">
        <f t="shared" si="11"/>
        <v>0</v>
      </c>
      <c r="T58" s="179">
        <f t="shared" si="11"/>
        <v>0</v>
      </c>
      <c r="U58" s="179">
        <f t="shared" si="11"/>
        <v>0</v>
      </c>
      <c r="V58" s="179">
        <f t="shared" si="11"/>
        <v>0</v>
      </c>
      <c r="W58" s="179">
        <f t="shared" si="11"/>
        <v>0</v>
      </c>
      <c r="X58" s="179">
        <f t="shared" si="11"/>
        <v>0</v>
      </c>
      <c r="Y58" s="179">
        <f t="shared" si="11"/>
        <v>0</v>
      </c>
      <c r="Z58" s="179">
        <f t="shared" si="11"/>
        <v>0</v>
      </c>
      <c r="AA58" s="179">
        <f t="shared" si="11"/>
        <v>0</v>
      </c>
      <c r="AB58" s="179">
        <f t="shared" si="11"/>
        <v>0</v>
      </c>
      <c r="AC58" s="179">
        <f t="shared" si="11"/>
        <v>0</v>
      </c>
      <c r="AD58" s="179">
        <f t="shared" si="11"/>
        <v>0</v>
      </c>
      <c r="AE58" s="179">
        <f t="shared" si="12"/>
        <v>0</v>
      </c>
      <c r="AF58" s="179">
        <f t="shared" si="12"/>
        <v>0</v>
      </c>
      <c r="AG58" s="179">
        <f t="shared" si="12"/>
        <v>0</v>
      </c>
      <c r="AH58" s="179">
        <f t="shared" si="12"/>
        <v>0</v>
      </c>
      <c r="AI58" s="179">
        <f t="shared" si="12"/>
        <v>0</v>
      </c>
      <c r="AJ58" s="179">
        <f t="shared" si="12"/>
        <v>0</v>
      </c>
      <c r="AK58" s="179">
        <f t="shared" si="12"/>
        <v>0</v>
      </c>
      <c r="AL58" s="179">
        <f t="shared" si="12"/>
        <v>0</v>
      </c>
      <c r="AM58" s="179">
        <f t="shared" si="12"/>
        <v>0</v>
      </c>
      <c r="AN58" s="179"/>
      <c r="AO58" s="179"/>
      <c r="AP58" s="179"/>
      <c r="AQ58" s="179"/>
      <c r="AR58" s="179"/>
      <c r="AS58" s="179"/>
    </row>
    <row r="59" spans="2:45">
      <c r="B59" s="121"/>
      <c r="C59" s="654" t="s">
        <v>1365</v>
      </c>
      <c r="D59" s="257"/>
      <c r="E59" s="121" t="s">
        <v>740</v>
      </c>
      <c r="F59" s="205" t="s">
        <v>232</v>
      </c>
      <c r="G59" s="121">
        <f>IF(Sensitivity!$C$42="Departmental",0,E321)</f>
        <v>0</v>
      </c>
      <c r="H59" s="375">
        <f>IFERROR(VLOOKUP(F59,Assumptions_Dashboard!$C$38:$D$72,4,FALSE),)</f>
        <v>0</v>
      </c>
      <c r="J59" s="179"/>
      <c r="K59" s="179"/>
      <c r="L59" s="179"/>
      <c r="M59" s="179"/>
      <c r="N59" s="179">
        <f t="shared" si="14"/>
        <v>0</v>
      </c>
      <c r="O59" s="179">
        <f t="shared" si="13"/>
        <v>0</v>
      </c>
      <c r="P59" s="179">
        <f t="shared" si="11"/>
        <v>0</v>
      </c>
      <c r="Q59" s="179">
        <f t="shared" si="11"/>
        <v>0</v>
      </c>
      <c r="R59" s="179">
        <f t="shared" si="11"/>
        <v>0</v>
      </c>
      <c r="S59" s="179">
        <f t="shared" si="11"/>
        <v>0</v>
      </c>
      <c r="T59" s="179">
        <f t="shared" si="11"/>
        <v>0</v>
      </c>
      <c r="U59" s="179">
        <f t="shared" si="11"/>
        <v>0</v>
      </c>
      <c r="V59" s="179">
        <f t="shared" si="11"/>
        <v>0</v>
      </c>
      <c r="W59" s="179">
        <f t="shared" si="11"/>
        <v>0</v>
      </c>
      <c r="X59" s="179">
        <f t="shared" si="11"/>
        <v>0</v>
      </c>
      <c r="Y59" s="179">
        <f t="shared" si="11"/>
        <v>0</v>
      </c>
      <c r="Z59" s="179">
        <f t="shared" si="11"/>
        <v>0</v>
      </c>
      <c r="AA59" s="179">
        <f t="shared" si="11"/>
        <v>0</v>
      </c>
      <c r="AB59" s="179">
        <f t="shared" si="11"/>
        <v>0</v>
      </c>
      <c r="AC59" s="179">
        <f t="shared" si="11"/>
        <v>0</v>
      </c>
      <c r="AD59" s="179">
        <f t="shared" si="11"/>
        <v>0</v>
      </c>
      <c r="AE59" s="179">
        <f t="shared" si="12"/>
        <v>0</v>
      </c>
      <c r="AF59" s="179">
        <f t="shared" si="12"/>
        <v>0</v>
      </c>
      <c r="AG59" s="179">
        <f t="shared" si="12"/>
        <v>0</v>
      </c>
      <c r="AH59" s="179">
        <f t="shared" si="12"/>
        <v>0</v>
      </c>
      <c r="AI59" s="179">
        <f t="shared" si="12"/>
        <v>0</v>
      </c>
      <c r="AJ59" s="179">
        <f t="shared" si="12"/>
        <v>0</v>
      </c>
      <c r="AK59" s="179">
        <f t="shared" si="12"/>
        <v>0</v>
      </c>
      <c r="AL59" s="179">
        <f t="shared" si="12"/>
        <v>0</v>
      </c>
      <c r="AM59" s="179">
        <f t="shared" si="12"/>
        <v>0</v>
      </c>
      <c r="AN59" s="179"/>
      <c r="AO59" s="179"/>
      <c r="AP59" s="179"/>
      <c r="AQ59" s="179"/>
      <c r="AR59" s="179"/>
      <c r="AS59" s="179"/>
    </row>
    <row r="60" spans="2:45">
      <c r="B60" s="121"/>
      <c r="C60" s="654" t="s">
        <v>1365</v>
      </c>
      <c r="D60" s="257"/>
      <c r="E60" s="121" t="s">
        <v>740</v>
      </c>
      <c r="F60" s="205" t="s">
        <v>234</v>
      </c>
      <c r="G60" s="121">
        <f>IF(Sensitivity!$C$42="Departmental",0,D321)</f>
        <v>0</v>
      </c>
      <c r="H60" s="375">
        <f>IFERROR(VLOOKUP(F60,Assumptions_Dashboard!$C$38:$D$72,4,FALSE),)</f>
        <v>0</v>
      </c>
      <c r="J60" s="179"/>
      <c r="K60" s="179"/>
      <c r="L60" s="179"/>
      <c r="M60" s="179"/>
      <c r="N60" s="179">
        <f t="shared" si="14"/>
        <v>0</v>
      </c>
      <c r="O60" s="179">
        <f t="shared" si="13"/>
        <v>0</v>
      </c>
      <c r="P60" s="179">
        <f t="shared" ref="P60:AE75" si="15">O60</f>
        <v>0</v>
      </c>
      <c r="Q60" s="179">
        <f t="shared" si="15"/>
        <v>0</v>
      </c>
      <c r="R60" s="179">
        <f t="shared" si="15"/>
        <v>0</v>
      </c>
      <c r="S60" s="179">
        <f t="shared" si="15"/>
        <v>0</v>
      </c>
      <c r="T60" s="179">
        <f t="shared" si="15"/>
        <v>0</v>
      </c>
      <c r="U60" s="179">
        <f t="shared" si="15"/>
        <v>0</v>
      </c>
      <c r="V60" s="179">
        <f t="shared" si="15"/>
        <v>0</v>
      </c>
      <c r="W60" s="179">
        <f t="shared" si="15"/>
        <v>0</v>
      </c>
      <c r="X60" s="179">
        <f t="shared" si="15"/>
        <v>0</v>
      </c>
      <c r="Y60" s="179">
        <f t="shared" si="15"/>
        <v>0</v>
      </c>
      <c r="Z60" s="179">
        <f t="shared" si="15"/>
        <v>0</v>
      </c>
      <c r="AA60" s="179">
        <f t="shared" si="15"/>
        <v>0</v>
      </c>
      <c r="AB60" s="179">
        <f t="shared" si="15"/>
        <v>0</v>
      </c>
      <c r="AC60" s="179">
        <f t="shared" si="15"/>
        <v>0</v>
      </c>
      <c r="AD60" s="179">
        <f t="shared" si="15"/>
        <v>0</v>
      </c>
      <c r="AE60" s="179">
        <f t="shared" si="15"/>
        <v>0</v>
      </c>
      <c r="AF60" s="179">
        <f t="shared" ref="AC60:AM75" si="16">AE60</f>
        <v>0</v>
      </c>
      <c r="AG60" s="179">
        <f t="shared" si="16"/>
        <v>0</v>
      </c>
      <c r="AH60" s="179">
        <f t="shared" si="16"/>
        <v>0</v>
      </c>
      <c r="AI60" s="179">
        <f t="shared" si="16"/>
        <v>0</v>
      </c>
      <c r="AJ60" s="179">
        <f t="shared" si="16"/>
        <v>0</v>
      </c>
      <c r="AK60" s="179">
        <f t="shared" si="16"/>
        <v>0</v>
      </c>
      <c r="AL60" s="179">
        <f t="shared" si="16"/>
        <v>0</v>
      </c>
      <c r="AM60" s="179">
        <f t="shared" si="16"/>
        <v>0</v>
      </c>
      <c r="AN60" s="179"/>
      <c r="AO60" s="179"/>
      <c r="AP60" s="179"/>
      <c r="AQ60" s="179"/>
      <c r="AR60" s="179"/>
      <c r="AS60" s="179"/>
    </row>
    <row r="61" spans="2:45">
      <c r="B61" s="255" t="s">
        <v>1366</v>
      </c>
      <c r="C61" s="648" t="s">
        <v>1367</v>
      </c>
      <c r="D61" s="257"/>
      <c r="E61" s="121" t="s">
        <v>740</v>
      </c>
      <c r="F61" s="205" t="s">
        <v>213</v>
      </c>
      <c r="H61" s="366">
        <f>IFERROR(VLOOKUP(F61,Assumptions_Dashboard!$C$38:$D$72,4,FALSE),)</f>
        <v>0</v>
      </c>
      <c r="J61" s="179"/>
      <c r="K61" s="179"/>
      <c r="L61" s="179"/>
      <c r="M61" s="179"/>
      <c r="N61" s="179">
        <f t="shared" si="14"/>
        <v>0</v>
      </c>
      <c r="O61" s="179">
        <f t="shared" si="13"/>
        <v>0</v>
      </c>
      <c r="P61" s="179">
        <f t="shared" si="15"/>
        <v>0</v>
      </c>
      <c r="Q61" s="179">
        <f t="shared" si="15"/>
        <v>0</v>
      </c>
      <c r="R61" s="179">
        <f t="shared" si="15"/>
        <v>0</v>
      </c>
      <c r="S61" s="179">
        <f t="shared" si="15"/>
        <v>0</v>
      </c>
      <c r="T61" s="179">
        <f t="shared" si="15"/>
        <v>0</v>
      </c>
      <c r="U61" s="179">
        <f t="shared" si="15"/>
        <v>0</v>
      </c>
      <c r="V61" s="179">
        <f t="shared" si="15"/>
        <v>0</v>
      </c>
      <c r="W61" s="179">
        <f t="shared" si="15"/>
        <v>0</v>
      </c>
      <c r="X61" s="179">
        <f t="shared" si="15"/>
        <v>0</v>
      </c>
      <c r="Y61" s="179">
        <f t="shared" si="15"/>
        <v>0</v>
      </c>
      <c r="Z61" s="179">
        <f t="shared" si="15"/>
        <v>0</v>
      </c>
      <c r="AA61" s="179">
        <f t="shared" si="15"/>
        <v>0</v>
      </c>
      <c r="AB61" s="179">
        <f t="shared" si="15"/>
        <v>0</v>
      </c>
      <c r="AC61" s="179">
        <f t="shared" si="15"/>
        <v>0</v>
      </c>
      <c r="AD61" s="179">
        <f t="shared" si="15"/>
        <v>0</v>
      </c>
      <c r="AE61" s="179">
        <f t="shared" si="15"/>
        <v>0</v>
      </c>
      <c r="AF61" s="179">
        <f t="shared" si="16"/>
        <v>0</v>
      </c>
      <c r="AG61" s="179">
        <f t="shared" si="16"/>
        <v>0</v>
      </c>
      <c r="AH61" s="179">
        <f t="shared" si="16"/>
        <v>0</v>
      </c>
      <c r="AI61" s="179">
        <f t="shared" si="16"/>
        <v>0</v>
      </c>
      <c r="AJ61" s="179">
        <f t="shared" si="16"/>
        <v>0</v>
      </c>
      <c r="AK61" s="179">
        <f t="shared" si="16"/>
        <v>0</v>
      </c>
      <c r="AL61" s="179">
        <f t="shared" si="16"/>
        <v>0</v>
      </c>
      <c r="AM61" s="179">
        <f t="shared" si="16"/>
        <v>0</v>
      </c>
      <c r="AN61" s="179"/>
      <c r="AO61" s="179"/>
      <c r="AP61" s="179"/>
      <c r="AQ61" s="179"/>
      <c r="AR61" s="179"/>
      <c r="AS61" s="179"/>
    </row>
    <row r="62" spans="2:45">
      <c r="B62" s="121"/>
      <c r="C62" s="648" t="s">
        <v>1368</v>
      </c>
      <c r="D62" s="257"/>
      <c r="E62" s="121" t="s">
        <v>740</v>
      </c>
      <c r="F62" s="205" t="s">
        <v>230</v>
      </c>
      <c r="G62">
        <f>IF(Sensitivity!$C$42="Departmental",0,10)</f>
        <v>0</v>
      </c>
      <c r="H62" s="366">
        <f>IFERROR(VLOOKUP(F62,Assumptions_Dashboard!$C$38:$D$72,4,FALSE),)</f>
        <v>0</v>
      </c>
      <c r="J62" s="179"/>
      <c r="K62" s="179"/>
      <c r="L62" s="179"/>
      <c r="M62" s="179"/>
      <c r="N62" s="179">
        <f t="shared" si="14"/>
        <v>0</v>
      </c>
      <c r="O62" s="179">
        <f t="shared" si="13"/>
        <v>0</v>
      </c>
      <c r="P62" s="179">
        <f t="shared" si="15"/>
        <v>0</v>
      </c>
      <c r="Q62" s="179">
        <f t="shared" si="15"/>
        <v>0</v>
      </c>
      <c r="R62" s="179">
        <f t="shared" si="15"/>
        <v>0</v>
      </c>
      <c r="S62" s="179">
        <f t="shared" si="15"/>
        <v>0</v>
      </c>
      <c r="T62" s="179">
        <f t="shared" si="15"/>
        <v>0</v>
      </c>
      <c r="U62" s="179">
        <f t="shared" si="15"/>
        <v>0</v>
      </c>
      <c r="V62" s="179">
        <f t="shared" si="15"/>
        <v>0</v>
      </c>
      <c r="W62" s="179">
        <f t="shared" si="15"/>
        <v>0</v>
      </c>
      <c r="X62" s="179">
        <f t="shared" si="15"/>
        <v>0</v>
      </c>
      <c r="Y62" s="179">
        <f t="shared" si="15"/>
        <v>0</v>
      </c>
      <c r="Z62" s="179">
        <f t="shared" si="15"/>
        <v>0</v>
      </c>
      <c r="AA62" s="179">
        <f t="shared" si="15"/>
        <v>0</v>
      </c>
      <c r="AB62" s="179">
        <f t="shared" si="15"/>
        <v>0</v>
      </c>
      <c r="AC62" s="179">
        <f t="shared" si="15"/>
        <v>0</v>
      </c>
      <c r="AD62" s="179">
        <f t="shared" si="15"/>
        <v>0</v>
      </c>
      <c r="AE62" s="179">
        <f t="shared" si="15"/>
        <v>0</v>
      </c>
      <c r="AF62" s="179">
        <f t="shared" si="16"/>
        <v>0</v>
      </c>
      <c r="AG62" s="179">
        <f t="shared" si="16"/>
        <v>0</v>
      </c>
      <c r="AH62" s="179">
        <f t="shared" si="16"/>
        <v>0</v>
      </c>
      <c r="AI62" s="179">
        <f t="shared" si="16"/>
        <v>0</v>
      </c>
      <c r="AJ62" s="179">
        <f t="shared" si="16"/>
        <v>0</v>
      </c>
      <c r="AK62" s="179">
        <f t="shared" si="16"/>
        <v>0</v>
      </c>
      <c r="AL62" s="179">
        <f t="shared" si="16"/>
        <v>0</v>
      </c>
      <c r="AM62" s="179">
        <f t="shared" si="16"/>
        <v>0</v>
      </c>
      <c r="AN62" s="179"/>
      <c r="AO62" s="179"/>
      <c r="AP62" s="179"/>
      <c r="AQ62" s="179"/>
      <c r="AR62" s="179"/>
      <c r="AS62" s="179"/>
    </row>
    <row r="63" spans="2:45">
      <c r="B63" s="121"/>
      <c r="C63" s="648" t="s">
        <v>1369</v>
      </c>
      <c r="D63" s="257"/>
      <c r="E63" s="121" t="s">
        <v>740</v>
      </c>
      <c r="F63" s="205" t="s">
        <v>228</v>
      </c>
      <c r="H63" s="366">
        <f>IFERROR(VLOOKUP(F63,Assumptions_Dashboard!$C$38:$D$72,4,FALSE),)</f>
        <v>0</v>
      </c>
      <c r="J63" s="179"/>
      <c r="K63" s="179"/>
      <c r="L63" s="179"/>
      <c r="M63" s="179"/>
      <c r="N63" s="179">
        <f t="shared" si="14"/>
        <v>0</v>
      </c>
      <c r="O63" s="179">
        <f t="shared" si="13"/>
        <v>0</v>
      </c>
      <c r="P63" s="179">
        <f t="shared" si="15"/>
        <v>0</v>
      </c>
      <c r="Q63" s="179">
        <f t="shared" si="15"/>
        <v>0</v>
      </c>
      <c r="R63" s="179">
        <f t="shared" si="15"/>
        <v>0</v>
      </c>
      <c r="S63" s="179">
        <f t="shared" si="15"/>
        <v>0</v>
      </c>
      <c r="T63" s="179">
        <f t="shared" si="15"/>
        <v>0</v>
      </c>
      <c r="U63" s="179">
        <f t="shared" si="15"/>
        <v>0</v>
      </c>
      <c r="V63" s="179">
        <f t="shared" si="15"/>
        <v>0</v>
      </c>
      <c r="W63" s="179">
        <f t="shared" si="15"/>
        <v>0</v>
      </c>
      <c r="X63" s="179">
        <f t="shared" si="15"/>
        <v>0</v>
      </c>
      <c r="Y63" s="179">
        <f t="shared" si="15"/>
        <v>0</v>
      </c>
      <c r="Z63" s="179">
        <f t="shared" si="15"/>
        <v>0</v>
      </c>
      <c r="AA63" s="179">
        <f t="shared" si="15"/>
        <v>0</v>
      </c>
      <c r="AB63" s="179">
        <f t="shared" si="15"/>
        <v>0</v>
      </c>
      <c r="AC63" s="179">
        <f t="shared" si="15"/>
        <v>0</v>
      </c>
      <c r="AD63" s="179">
        <f t="shared" si="15"/>
        <v>0</v>
      </c>
      <c r="AE63" s="179">
        <f t="shared" si="15"/>
        <v>0</v>
      </c>
      <c r="AF63" s="179">
        <f t="shared" si="16"/>
        <v>0</v>
      </c>
      <c r="AG63" s="179">
        <f t="shared" si="16"/>
        <v>0</v>
      </c>
      <c r="AH63" s="179">
        <f t="shared" si="16"/>
        <v>0</v>
      </c>
      <c r="AI63" s="179">
        <f t="shared" si="16"/>
        <v>0</v>
      </c>
      <c r="AJ63" s="179">
        <f t="shared" si="16"/>
        <v>0</v>
      </c>
      <c r="AK63" s="179">
        <f t="shared" si="16"/>
        <v>0</v>
      </c>
      <c r="AL63" s="179">
        <f t="shared" si="16"/>
        <v>0</v>
      </c>
      <c r="AM63" s="179">
        <f t="shared" si="16"/>
        <v>0</v>
      </c>
      <c r="AN63" s="179"/>
      <c r="AO63" s="179"/>
      <c r="AP63" s="179"/>
      <c r="AQ63" s="179"/>
      <c r="AR63" s="179"/>
      <c r="AS63" s="179"/>
    </row>
    <row r="64" spans="2:45">
      <c r="B64" s="121"/>
      <c r="C64" s="648" t="s">
        <v>1370</v>
      </c>
      <c r="D64" s="257"/>
      <c r="E64" s="121" t="s">
        <v>740</v>
      </c>
      <c r="F64" s="205" t="s">
        <v>230</v>
      </c>
      <c r="H64" s="366">
        <f>IFERROR(VLOOKUP(F64,Assumptions_Dashboard!$C$38:$D$72,4,FALSE),)</f>
        <v>0</v>
      </c>
      <c r="J64" s="179"/>
      <c r="K64" s="179"/>
      <c r="L64" s="179"/>
      <c r="M64" s="179"/>
      <c r="N64" s="179">
        <f t="shared" si="14"/>
        <v>0</v>
      </c>
      <c r="O64" s="179">
        <f t="shared" si="13"/>
        <v>0</v>
      </c>
      <c r="P64" s="179">
        <f t="shared" si="15"/>
        <v>0</v>
      </c>
      <c r="Q64" s="179">
        <f t="shared" si="15"/>
        <v>0</v>
      </c>
      <c r="R64" s="179">
        <f t="shared" si="15"/>
        <v>0</v>
      </c>
      <c r="S64" s="179">
        <f t="shared" si="15"/>
        <v>0</v>
      </c>
      <c r="T64" s="179">
        <f t="shared" si="15"/>
        <v>0</v>
      </c>
      <c r="U64" s="179">
        <f t="shared" si="15"/>
        <v>0</v>
      </c>
      <c r="V64" s="179">
        <f t="shared" si="15"/>
        <v>0</v>
      </c>
      <c r="W64" s="179">
        <f t="shared" si="15"/>
        <v>0</v>
      </c>
      <c r="X64" s="179">
        <f t="shared" si="15"/>
        <v>0</v>
      </c>
      <c r="Y64" s="179">
        <f t="shared" si="15"/>
        <v>0</v>
      </c>
      <c r="Z64" s="179">
        <f t="shared" si="15"/>
        <v>0</v>
      </c>
      <c r="AA64" s="179">
        <f t="shared" si="15"/>
        <v>0</v>
      </c>
      <c r="AB64" s="179">
        <f t="shared" si="15"/>
        <v>0</v>
      </c>
      <c r="AC64" s="179">
        <f t="shared" si="15"/>
        <v>0</v>
      </c>
      <c r="AD64" s="179">
        <f t="shared" si="15"/>
        <v>0</v>
      </c>
      <c r="AE64" s="179">
        <f t="shared" si="15"/>
        <v>0</v>
      </c>
      <c r="AF64" s="179">
        <f t="shared" si="16"/>
        <v>0</v>
      </c>
      <c r="AG64" s="179">
        <f t="shared" si="16"/>
        <v>0</v>
      </c>
      <c r="AH64" s="179">
        <f t="shared" si="16"/>
        <v>0</v>
      </c>
      <c r="AI64" s="179">
        <f t="shared" si="16"/>
        <v>0</v>
      </c>
      <c r="AJ64" s="179">
        <f t="shared" si="16"/>
        <v>0</v>
      </c>
      <c r="AK64" s="179">
        <f t="shared" si="16"/>
        <v>0</v>
      </c>
      <c r="AL64" s="179">
        <f t="shared" si="16"/>
        <v>0</v>
      </c>
      <c r="AM64" s="179">
        <f t="shared" si="16"/>
        <v>0</v>
      </c>
      <c r="AN64" s="179"/>
      <c r="AO64" s="179"/>
      <c r="AP64" s="179"/>
      <c r="AQ64" s="179"/>
      <c r="AR64" s="179"/>
      <c r="AS64" s="179"/>
    </row>
    <row r="65" spans="2:45">
      <c r="B65" s="255" t="s">
        <v>1371</v>
      </c>
      <c r="C65" s="649" t="s">
        <v>1372</v>
      </c>
      <c r="D65" s="257" t="s">
        <v>1336</v>
      </c>
      <c r="E65" s="121" t="s">
        <v>740</v>
      </c>
      <c r="F65" s="95" t="s">
        <v>206</v>
      </c>
      <c r="G65">
        <f>IF(Sensitivity!$C$42="Departmental",0,2)</f>
        <v>0</v>
      </c>
      <c r="H65" s="366">
        <f>IFERROR(VLOOKUP(F65,Assumptions_Dashboard!$C$38:$D$72,4,FALSE),)</f>
        <v>0</v>
      </c>
      <c r="J65" s="179"/>
      <c r="K65" s="179"/>
      <c r="L65" s="179"/>
      <c r="M65" s="179"/>
      <c r="N65" s="179">
        <f t="shared" si="14"/>
        <v>0</v>
      </c>
      <c r="O65" s="179">
        <f t="shared" si="13"/>
        <v>0</v>
      </c>
      <c r="P65" s="179">
        <f t="shared" si="15"/>
        <v>0</v>
      </c>
      <c r="Q65" s="179">
        <f t="shared" si="15"/>
        <v>0</v>
      </c>
      <c r="R65" s="179">
        <f t="shared" si="15"/>
        <v>0</v>
      </c>
      <c r="S65" s="179">
        <f t="shared" si="15"/>
        <v>0</v>
      </c>
      <c r="T65" s="179">
        <f t="shared" si="15"/>
        <v>0</v>
      </c>
      <c r="U65" s="179">
        <f t="shared" si="15"/>
        <v>0</v>
      </c>
      <c r="V65" s="179">
        <f t="shared" si="15"/>
        <v>0</v>
      </c>
      <c r="W65" s="179">
        <f t="shared" si="15"/>
        <v>0</v>
      </c>
      <c r="X65" s="179">
        <f t="shared" si="15"/>
        <v>0</v>
      </c>
      <c r="Y65" s="179">
        <f t="shared" si="15"/>
        <v>0</v>
      </c>
      <c r="Z65" s="179">
        <f t="shared" si="15"/>
        <v>0</v>
      </c>
      <c r="AA65" s="179">
        <f t="shared" si="15"/>
        <v>0</v>
      </c>
      <c r="AB65" s="179">
        <f t="shared" si="15"/>
        <v>0</v>
      </c>
      <c r="AC65" s="179">
        <f t="shared" si="16"/>
        <v>0</v>
      </c>
      <c r="AD65" s="179">
        <f t="shared" si="16"/>
        <v>0</v>
      </c>
      <c r="AE65" s="179">
        <f t="shared" si="16"/>
        <v>0</v>
      </c>
      <c r="AF65" s="179">
        <f t="shared" si="16"/>
        <v>0</v>
      </c>
      <c r="AG65" s="179">
        <f t="shared" si="16"/>
        <v>0</v>
      </c>
      <c r="AH65" s="179">
        <f t="shared" si="16"/>
        <v>0</v>
      </c>
      <c r="AI65" s="179">
        <f t="shared" si="16"/>
        <v>0</v>
      </c>
      <c r="AJ65" s="179">
        <f t="shared" si="16"/>
        <v>0</v>
      </c>
      <c r="AK65" s="179">
        <f t="shared" si="16"/>
        <v>0</v>
      </c>
      <c r="AL65" s="179">
        <f t="shared" si="16"/>
        <v>0</v>
      </c>
      <c r="AM65" s="179">
        <f t="shared" si="16"/>
        <v>0</v>
      </c>
      <c r="AN65" s="179"/>
      <c r="AO65" s="179"/>
      <c r="AP65" s="179"/>
      <c r="AQ65" s="179"/>
      <c r="AR65" s="179"/>
      <c r="AS65" s="179"/>
    </row>
    <row r="66" spans="2:45">
      <c r="B66" s="121"/>
      <c r="C66" s="649" t="s">
        <v>1373</v>
      </c>
      <c r="D66" s="257"/>
      <c r="E66" s="121" t="s">
        <v>740</v>
      </c>
      <c r="F66" s="205" t="s">
        <v>218</v>
      </c>
      <c r="G66">
        <f>IF(Sensitivity!$C$42="Departmental",0,2)</f>
        <v>0</v>
      </c>
      <c r="H66" s="366">
        <f>IFERROR(VLOOKUP(F66,Assumptions_Dashboard!$C$38:$D$72,4,FALSE),)</f>
        <v>0</v>
      </c>
      <c r="J66" s="179"/>
      <c r="K66" s="179"/>
      <c r="L66" s="179"/>
      <c r="M66" s="179"/>
      <c r="N66" s="179">
        <f t="shared" si="14"/>
        <v>0</v>
      </c>
      <c r="O66" s="179">
        <f t="shared" si="13"/>
        <v>0</v>
      </c>
      <c r="P66" s="179">
        <f t="shared" si="15"/>
        <v>0</v>
      </c>
      <c r="Q66" s="179">
        <f t="shared" si="15"/>
        <v>0</v>
      </c>
      <c r="R66" s="179">
        <f t="shared" si="15"/>
        <v>0</v>
      </c>
      <c r="S66" s="179">
        <f t="shared" si="15"/>
        <v>0</v>
      </c>
      <c r="T66" s="179">
        <f t="shared" si="15"/>
        <v>0</v>
      </c>
      <c r="U66" s="179">
        <f t="shared" si="15"/>
        <v>0</v>
      </c>
      <c r="V66" s="179">
        <f t="shared" si="15"/>
        <v>0</v>
      </c>
      <c r="W66" s="179">
        <f t="shared" si="15"/>
        <v>0</v>
      </c>
      <c r="X66" s="179">
        <f t="shared" si="15"/>
        <v>0</v>
      </c>
      <c r="Y66" s="179">
        <f t="shared" si="15"/>
        <v>0</v>
      </c>
      <c r="Z66" s="179">
        <f t="shared" si="15"/>
        <v>0</v>
      </c>
      <c r="AA66" s="179">
        <f t="shared" si="15"/>
        <v>0</v>
      </c>
      <c r="AB66" s="179">
        <f t="shared" si="15"/>
        <v>0</v>
      </c>
      <c r="AC66" s="179">
        <f t="shared" si="16"/>
        <v>0</v>
      </c>
      <c r="AD66" s="179">
        <f t="shared" si="16"/>
        <v>0</v>
      </c>
      <c r="AE66" s="179">
        <f t="shared" si="16"/>
        <v>0</v>
      </c>
      <c r="AF66" s="179">
        <f t="shared" si="16"/>
        <v>0</v>
      </c>
      <c r="AG66" s="179">
        <f t="shared" si="16"/>
        <v>0</v>
      </c>
      <c r="AH66" s="179">
        <f t="shared" si="16"/>
        <v>0</v>
      </c>
      <c r="AI66" s="179">
        <f t="shared" si="16"/>
        <v>0</v>
      </c>
      <c r="AJ66" s="179">
        <f t="shared" si="16"/>
        <v>0</v>
      </c>
      <c r="AK66" s="179">
        <f t="shared" si="16"/>
        <v>0</v>
      </c>
      <c r="AL66" s="179">
        <f t="shared" si="16"/>
        <v>0</v>
      </c>
      <c r="AM66" s="179">
        <f t="shared" si="16"/>
        <v>0</v>
      </c>
      <c r="AN66" s="179"/>
      <c r="AO66" s="179"/>
      <c r="AP66" s="179"/>
      <c r="AQ66" s="179"/>
      <c r="AR66" s="179"/>
      <c r="AS66" s="179"/>
    </row>
    <row r="67" spans="2:45">
      <c r="B67" s="255" t="s">
        <v>1374</v>
      </c>
      <c r="C67" s="637" t="s">
        <v>1375</v>
      </c>
      <c r="D67" s="257" t="s">
        <v>1315</v>
      </c>
      <c r="E67" s="121" t="s">
        <v>740</v>
      </c>
      <c r="F67" s="95" t="s">
        <v>206</v>
      </c>
      <c r="H67" s="366">
        <f>IFERROR(VLOOKUP(F67,Assumptions_Dashboard!$C$38:$D$72,4,FALSE),)</f>
        <v>0</v>
      </c>
      <c r="J67" s="179"/>
      <c r="K67" s="179"/>
      <c r="L67" s="179"/>
      <c r="M67" s="179"/>
      <c r="N67" s="179">
        <f t="shared" si="14"/>
        <v>0</v>
      </c>
      <c r="O67" s="179">
        <f t="shared" si="13"/>
        <v>0</v>
      </c>
      <c r="P67" s="179">
        <f t="shared" si="15"/>
        <v>0</v>
      </c>
      <c r="Q67" s="179">
        <f t="shared" si="15"/>
        <v>0</v>
      </c>
      <c r="R67" s="179">
        <f t="shared" si="15"/>
        <v>0</v>
      </c>
      <c r="S67" s="179">
        <f t="shared" si="15"/>
        <v>0</v>
      </c>
      <c r="T67" s="179">
        <f t="shared" si="15"/>
        <v>0</v>
      </c>
      <c r="U67" s="179">
        <f t="shared" si="15"/>
        <v>0</v>
      </c>
      <c r="V67" s="179">
        <f t="shared" si="15"/>
        <v>0</v>
      </c>
      <c r="W67" s="179">
        <f t="shared" si="15"/>
        <v>0</v>
      </c>
      <c r="X67" s="179">
        <f t="shared" si="15"/>
        <v>0</v>
      </c>
      <c r="Y67" s="179">
        <f t="shared" si="15"/>
        <v>0</v>
      </c>
      <c r="Z67" s="179">
        <f t="shared" si="15"/>
        <v>0</v>
      </c>
      <c r="AA67" s="179">
        <f t="shared" si="15"/>
        <v>0</v>
      </c>
      <c r="AB67" s="179">
        <f t="shared" si="15"/>
        <v>0</v>
      </c>
      <c r="AC67" s="179">
        <f t="shared" si="16"/>
        <v>0</v>
      </c>
      <c r="AD67" s="179">
        <f t="shared" si="16"/>
        <v>0</v>
      </c>
      <c r="AE67" s="179">
        <f t="shared" si="16"/>
        <v>0</v>
      </c>
      <c r="AF67" s="179">
        <f t="shared" si="16"/>
        <v>0</v>
      </c>
      <c r="AG67" s="179">
        <f t="shared" si="16"/>
        <v>0</v>
      </c>
      <c r="AH67" s="179">
        <f t="shared" si="16"/>
        <v>0</v>
      </c>
      <c r="AI67" s="179">
        <f t="shared" si="16"/>
        <v>0</v>
      </c>
      <c r="AJ67" s="179">
        <f t="shared" si="16"/>
        <v>0</v>
      </c>
      <c r="AK67" s="179">
        <f t="shared" si="16"/>
        <v>0</v>
      </c>
      <c r="AL67" s="179">
        <f t="shared" si="16"/>
        <v>0</v>
      </c>
      <c r="AM67" s="179">
        <f t="shared" si="16"/>
        <v>0</v>
      </c>
      <c r="AN67" s="179"/>
      <c r="AO67" s="179"/>
      <c r="AP67" s="179"/>
      <c r="AQ67" s="179"/>
      <c r="AR67" s="179"/>
      <c r="AS67" s="179"/>
    </row>
    <row r="68" spans="2:45">
      <c r="B68" s="121"/>
      <c r="C68" s="637" t="s">
        <v>1376</v>
      </c>
      <c r="D68" s="257" t="s">
        <v>1336</v>
      </c>
      <c r="E68" s="121" t="s">
        <v>740</v>
      </c>
      <c r="F68" s="205" t="s">
        <v>226</v>
      </c>
      <c r="H68" s="366">
        <f>IFERROR(VLOOKUP(F68,Assumptions_Dashboard!$C$38:$D$72,4,FALSE),)</f>
        <v>0</v>
      </c>
      <c r="J68" s="179"/>
      <c r="K68" s="179"/>
      <c r="L68" s="179"/>
      <c r="M68" s="179"/>
      <c r="N68" s="179">
        <f t="shared" si="14"/>
        <v>0</v>
      </c>
      <c r="O68" s="179">
        <f t="shared" si="13"/>
        <v>0</v>
      </c>
      <c r="P68" s="179">
        <f t="shared" si="15"/>
        <v>0</v>
      </c>
      <c r="Q68" s="179">
        <f t="shared" si="15"/>
        <v>0</v>
      </c>
      <c r="R68" s="179">
        <f t="shared" si="15"/>
        <v>0</v>
      </c>
      <c r="S68" s="179">
        <f t="shared" si="15"/>
        <v>0</v>
      </c>
      <c r="T68" s="179">
        <f t="shared" si="15"/>
        <v>0</v>
      </c>
      <c r="U68" s="179">
        <f t="shared" si="15"/>
        <v>0</v>
      </c>
      <c r="V68" s="179">
        <f t="shared" si="15"/>
        <v>0</v>
      </c>
      <c r="W68" s="179">
        <f t="shared" si="15"/>
        <v>0</v>
      </c>
      <c r="X68" s="179">
        <f t="shared" si="15"/>
        <v>0</v>
      </c>
      <c r="Y68" s="179">
        <f t="shared" si="15"/>
        <v>0</v>
      </c>
      <c r="Z68" s="179">
        <f t="shared" si="15"/>
        <v>0</v>
      </c>
      <c r="AA68" s="179">
        <f t="shared" si="15"/>
        <v>0</v>
      </c>
      <c r="AB68" s="179">
        <f t="shared" si="15"/>
        <v>0</v>
      </c>
      <c r="AC68" s="179">
        <f t="shared" si="16"/>
        <v>0</v>
      </c>
      <c r="AD68" s="179">
        <f t="shared" si="16"/>
        <v>0</v>
      </c>
      <c r="AE68" s="179">
        <f t="shared" si="16"/>
        <v>0</v>
      </c>
      <c r="AF68" s="179">
        <f t="shared" si="16"/>
        <v>0</v>
      </c>
      <c r="AG68" s="179">
        <f t="shared" si="16"/>
        <v>0</v>
      </c>
      <c r="AH68" s="179">
        <f t="shared" si="16"/>
        <v>0</v>
      </c>
      <c r="AI68" s="179">
        <f t="shared" si="16"/>
        <v>0</v>
      </c>
      <c r="AJ68" s="179">
        <f t="shared" si="16"/>
        <v>0</v>
      </c>
      <c r="AK68" s="179">
        <f t="shared" si="16"/>
        <v>0</v>
      </c>
      <c r="AL68" s="179">
        <f t="shared" si="16"/>
        <v>0</v>
      </c>
      <c r="AM68" s="179">
        <f t="shared" si="16"/>
        <v>0</v>
      </c>
      <c r="AN68" s="179"/>
      <c r="AO68" s="179"/>
      <c r="AP68" s="179"/>
      <c r="AQ68" s="179"/>
      <c r="AR68" s="179"/>
      <c r="AS68" s="179"/>
    </row>
    <row r="69" spans="2:45">
      <c r="B69" s="255" t="s">
        <v>1377</v>
      </c>
      <c r="C69" s="121" t="s">
        <v>1378</v>
      </c>
      <c r="D69" s="257"/>
      <c r="E69" s="121" t="s">
        <v>740</v>
      </c>
      <c r="F69" s="205"/>
      <c r="H69" s="366">
        <f>IFERROR(VLOOKUP(F69,Assumptions_Dashboard!$C$38:$D$72,4,FALSE),)</f>
        <v>0</v>
      </c>
      <c r="J69" s="179"/>
      <c r="K69" s="179"/>
      <c r="L69" s="179"/>
      <c r="M69" s="179"/>
      <c r="N69" s="179">
        <f t="shared" si="14"/>
        <v>0</v>
      </c>
      <c r="O69" s="179">
        <f t="shared" si="13"/>
        <v>0</v>
      </c>
      <c r="P69" s="179">
        <f t="shared" si="15"/>
        <v>0</v>
      </c>
      <c r="Q69" s="179">
        <f t="shared" si="15"/>
        <v>0</v>
      </c>
      <c r="R69" s="179">
        <f t="shared" si="15"/>
        <v>0</v>
      </c>
      <c r="S69" s="179">
        <f t="shared" si="15"/>
        <v>0</v>
      </c>
      <c r="T69" s="179">
        <f t="shared" si="15"/>
        <v>0</v>
      </c>
      <c r="U69" s="179">
        <f t="shared" si="15"/>
        <v>0</v>
      </c>
      <c r="V69" s="179">
        <f t="shared" si="15"/>
        <v>0</v>
      </c>
      <c r="W69" s="179">
        <f t="shared" si="15"/>
        <v>0</v>
      </c>
      <c r="X69" s="179">
        <f t="shared" si="15"/>
        <v>0</v>
      </c>
      <c r="Y69" s="179">
        <f t="shared" si="15"/>
        <v>0</v>
      </c>
      <c r="Z69" s="179">
        <f t="shared" si="15"/>
        <v>0</v>
      </c>
      <c r="AA69" s="179">
        <f t="shared" si="15"/>
        <v>0</v>
      </c>
      <c r="AB69" s="179">
        <f t="shared" si="15"/>
        <v>0</v>
      </c>
      <c r="AC69" s="179">
        <f t="shared" si="16"/>
        <v>0</v>
      </c>
      <c r="AD69" s="179">
        <f t="shared" si="16"/>
        <v>0</v>
      </c>
      <c r="AE69" s="179">
        <f t="shared" si="16"/>
        <v>0</v>
      </c>
      <c r="AF69" s="179">
        <f t="shared" si="16"/>
        <v>0</v>
      </c>
      <c r="AG69" s="179">
        <f t="shared" si="16"/>
        <v>0</v>
      </c>
      <c r="AH69" s="179">
        <f t="shared" si="16"/>
        <v>0</v>
      </c>
      <c r="AI69" s="179">
        <f t="shared" si="16"/>
        <v>0</v>
      </c>
      <c r="AJ69" s="179">
        <f t="shared" si="16"/>
        <v>0</v>
      </c>
      <c r="AK69" s="179">
        <f t="shared" si="16"/>
        <v>0</v>
      </c>
      <c r="AL69" s="179">
        <f t="shared" si="16"/>
        <v>0</v>
      </c>
      <c r="AM69" s="179">
        <f t="shared" si="16"/>
        <v>0</v>
      </c>
      <c r="AN69" s="179"/>
      <c r="AO69" s="179"/>
      <c r="AP69" s="179"/>
      <c r="AQ69" s="179"/>
      <c r="AR69" s="179"/>
      <c r="AS69" s="179"/>
    </row>
    <row r="70" spans="2:45">
      <c r="B70" s="121"/>
      <c r="C70" s="121" t="s">
        <v>1379</v>
      </c>
      <c r="D70" s="257"/>
      <c r="E70" s="121" t="s">
        <v>740</v>
      </c>
      <c r="F70" s="205"/>
      <c r="H70" s="366">
        <f>IFERROR(VLOOKUP(F70,Assumptions_Dashboard!$C$38:$D$72,4,FALSE),)</f>
        <v>0</v>
      </c>
      <c r="J70" s="179"/>
      <c r="K70" s="179"/>
      <c r="L70" s="179"/>
      <c r="M70" s="179"/>
      <c r="N70" s="179">
        <f t="shared" si="14"/>
        <v>0</v>
      </c>
      <c r="O70" s="179">
        <f t="shared" si="13"/>
        <v>0</v>
      </c>
      <c r="P70" s="179">
        <f t="shared" si="15"/>
        <v>0</v>
      </c>
      <c r="Q70" s="179">
        <f t="shared" si="15"/>
        <v>0</v>
      </c>
      <c r="R70" s="179">
        <f t="shared" si="15"/>
        <v>0</v>
      </c>
      <c r="S70" s="179">
        <f t="shared" si="15"/>
        <v>0</v>
      </c>
      <c r="T70" s="179">
        <f t="shared" si="15"/>
        <v>0</v>
      </c>
      <c r="U70" s="179">
        <f t="shared" si="15"/>
        <v>0</v>
      </c>
      <c r="V70" s="179">
        <f t="shared" si="15"/>
        <v>0</v>
      </c>
      <c r="W70" s="179">
        <f t="shared" si="15"/>
        <v>0</v>
      </c>
      <c r="X70" s="179">
        <f t="shared" si="15"/>
        <v>0</v>
      </c>
      <c r="Y70" s="179">
        <f t="shared" si="15"/>
        <v>0</v>
      </c>
      <c r="Z70" s="179">
        <f t="shared" si="15"/>
        <v>0</v>
      </c>
      <c r="AA70" s="179">
        <f t="shared" si="15"/>
        <v>0</v>
      </c>
      <c r="AB70" s="179">
        <f t="shared" si="15"/>
        <v>0</v>
      </c>
      <c r="AC70" s="179">
        <f t="shared" si="16"/>
        <v>0</v>
      </c>
      <c r="AD70" s="179">
        <f t="shared" si="16"/>
        <v>0</v>
      </c>
      <c r="AE70" s="179">
        <f t="shared" si="16"/>
        <v>0</v>
      </c>
      <c r="AF70" s="179">
        <f t="shared" si="16"/>
        <v>0</v>
      </c>
      <c r="AG70" s="179">
        <f t="shared" si="16"/>
        <v>0</v>
      </c>
      <c r="AH70" s="179">
        <f t="shared" si="16"/>
        <v>0</v>
      </c>
      <c r="AI70" s="179">
        <f t="shared" si="16"/>
        <v>0</v>
      </c>
      <c r="AJ70" s="179">
        <f t="shared" si="16"/>
        <v>0</v>
      </c>
      <c r="AK70" s="179">
        <f t="shared" si="16"/>
        <v>0</v>
      </c>
      <c r="AL70" s="179">
        <f t="shared" si="16"/>
        <v>0</v>
      </c>
      <c r="AM70" s="179">
        <f t="shared" si="16"/>
        <v>0</v>
      </c>
      <c r="AN70" s="179"/>
      <c r="AO70" s="179"/>
      <c r="AP70" s="179"/>
      <c r="AQ70" s="179"/>
      <c r="AR70" s="179"/>
      <c r="AS70" s="179"/>
    </row>
    <row r="71" spans="2:45">
      <c r="B71" s="121"/>
      <c r="C71" s="121" t="s">
        <v>1380</v>
      </c>
      <c r="D71" s="257"/>
      <c r="E71" s="121" t="s">
        <v>740</v>
      </c>
      <c r="F71" s="205"/>
      <c r="H71" s="366">
        <f>IFERROR(VLOOKUP(F71,Assumptions_Dashboard!$C$38:$D$72,4,FALSE),)</f>
        <v>0</v>
      </c>
      <c r="J71" s="179"/>
      <c r="K71" s="179"/>
      <c r="L71" s="179"/>
      <c r="M71" s="179"/>
      <c r="N71" s="179">
        <f t="shared" si="14"/>
        <v>0</v>
      </c>
      <c r="O71" s="179">
        <f t="shared" si="13"/>
        <v>0</v>
      </c>
      <c r="P71" s="179">
        <f t="shared" si="15"/>
        <v>0</v>
      </c>
      <c r="Q71" s="179">
        <f t="shared" si="15"/>
        <v>0</v>
      </c>
      <c r="R71" s="179">
        <f t="shared" si="15"/>
        <v>0</v>
      </c>
      <c r="S71" s="179">
        <f t="shared" si="15"/>
        <v>0</v>
      </c>
      <c r="T71" s="179">
        <f t="shared" si="15"/>
        <v>0</v>
      </c>
      <c r="U71" s="179">
        <f t="shared" si="15"/>
        <v>0</v>
      </c>
      <c r="V71" s="179">
        <f t="shared" si="15"/>
        <v>0</v>
      </c>
      <c r="W71" s="179">
        <f t="shared" si="15"/>
        <v>0</v>
      </c>
      <c r="X71" s="179">
        <f t="shared" si="15"/>
        <v>0</v>
      </c>
      <c r="Y71" s="179">
        <f t="shared" si="15"/>
        <v>0</v>
      </c>
      <c r="Z71" s="179">
        <f t="shared" si="15"/>
        <v>0</v>
      </c>
      <c r="AA71" s="179">
        <f t="shared" si="15"/>
        <v>0</v>
      </c>
      <c r="AB71" s="179">
        <f t="shared" si="15"/>
        <v>0</v>
      </c>
      <c r="AC71" s="179">
        <f t="shared" si="16"/>
        <v>0</v>
      </c>
      <c r="AD71" s="179">
        <f t="shared" si="16"/>
        <v>0</v>
      </c>
      <c r="AE71" s="179">
        <f t="shared" si="16"/>
        <v>0</v>
      </c>
      <c r="AF71" s="179">
        <f t="shared" si="16"/>
        <v>0</v>
      </c>
      <c r="AG71" s="179">
        <f t="shared" si="16"/>
        <v>0</v>
      </c>
      <c r="AH71" s="179">
        <f t="shared" si="16"/>
        <v>0</v>
      </c>
      <c r="AI71" s="179">
        <f t="shared" si="16"/>
        <v>0</v>
      </c>
      <c r="AJ71" s="179">
        <f t="shared" si="16"/>
        <v>0</v>
      </c>
      <c r="AK71" s="179">
        <f t="shared" si="16"/>
        <v>0</v>
      </c>
      <c r="AL71" s="179">
        <f t="shared" si="16"/>
        <v>0</v>
      </c>
      <c r="AM71" s="179">
        <f t="shared" si="16"/>
        <v>0</v>
      </c>
      <c r="AN71" s="179"/>
      <c r="AO71" s="179"/>
      <c r="AP71" s="179"/>
      <c r="AQ71" s="179"/>
      <c r="AR71" s="179"/>
      <c r="AS71" s="179"/>
    </row>
    <row r="72" spans="2:45">
      <c r="B72" s="121"/>
      <c r="C72" s="121" t="s">
        <v>1347</v>
      </c>
      <c r="D72" s="257"/>
      <c r="E72" s="121" t="s">
        <v>740</v>
      </c>
      <c r="F72" s="205"/>
      <c r="H72" s="366">
        <f>IFERROR(VLOOKUP(F72,Assumptions_Dashboard!$C$38:$D$72,4,FALSE),)</f>
        <v>0</v>
      </c>
      <c r="J72" s="179"/>
      <c r="K72" s="179"/>
      <c r="L72" s="179"/>
      <c r="M72" s="179"/>
      <c r="N72" s="179">
        <f t="shared" si="14"/>
        <v>0</v>
      </c>
      <c r="O72" s="179">
        <f t="shared" si="13"/>
        <v>0</v>
      </c>
      <c r="P72" s="179">
        <f t="shared" si="15"/>
        <v>0</v>
      </c>
      <c r="Q72" s="179">
        <f t="shared" si="15"/>
        <v>0</v>
      </c>
      <c r="R72" s="179">
        <f t="shared" si="15"/>
        <v>0</v>
      </c>
      <c r="S72" s="179">
        <f t="shared" si="15"/>
        <v>0</v>
      </c>
      <c r="T72" s="179">
        <f t="shared" si="15"/>
        <v>0</v>
      </c>
      <c r="U72" s="179">
        <f t="shared" si="15"/>
        <v>0</v>
      </c>
      <c r="V72" s="179">
        <f t="shared" si="15"/>
        <v>0</v>
      </c>
      <c r="W72" s="179">
        <f t="shared" si="15"/>
        <v>0</v>
      </c>
      <c r="X72" s="179">
        <f t="shared" si="15"/>
        <v>0</v>
      </c>
      <c r="Y72" s="179">
        <f t="shared" si="15"/>
        <v>0</v>
      </c>
      <c r="Z72" s="179">
        <f t="shared" si="15"/>
        <v>0</v>
      </c>
      <c r="AA72" s="179">
        <f t="shared" si="15"/>
        <v>0</v>
      </c>
      <c r="AB72" s="179">
        <f t="shared" si="15"/>
        <v>0</v>
      </c>
      <c r="AC72" s="179">
        <f t="shared" si="16"/>
        <v>0</v>
      </c>
      <c r="AD72" s="179">
        <f t="shared" si="16"/>
        <v>0</v>
      </c>
      <c r="AE72" s="179">
        <f t="shared" si="16"/>
        <v>0</v>
      </c>
      <c r="AF72" s="179">
        <f t="shared" si="16"/>
        <v>0</v>
      </c>
      <c r="AG72" s="179">
        <f t="shared" si="16"/>
        <v>0</v>
      </c>
      <c r="AH72" s="179">
        <f t="shared" si="16"/>
        <v>0</v>
      </c>
      <c r="AI72" s="179">
        <f t="shared" si="16"/>
        <v>0</v>
      </c>
      <c r="AJ72" s="179">
        <f t="shared" si="16"/>
        <v>0</v>
      </c>
      <c r="AK72" s="179">
        <f t="shared" si="16"/>
        <v>0</v>
      </c>
      <c r="AL72" s="179">
        <f t="shared" si="16"/>
        <v>0</v>
      </c>
      <c r="AM72" s="179">
        <f t="shared" si="16"/>
        <v>0</v>
      </c>
      <c r="AN72" s="179"/>
      <c r="AO72" s="179"/>
      <c r="AP72" s="179"/>
      <c r="AQ72" s="179"/>
      <c r="AR72" s="179"/>
      <c r="AS72" s="179"/>
    </row>
    <row r="73" spans="2:45">
      <c r="B73" s="121"/>
      <c r="C73" s="121" t="s">
        <v>1348</v>
      </c>
      <c r="D73" s="257"/>
      <c r="E73" s="121" t="s">
        <v>740</v>
      </c>
      <c r="F73" s="205"/>
      <c r="H73" s="366">
        <f>IFERROR(VLOOKUP(F73,Assumptions_Dashboard!$C$38:$D$72,4,FALSE),)</f>
        <v>0</v>
      </c>
      <c r="J73" s="179"/>
      <c r="K73" s="179"/>
      <c r="L73" s="179"/>
      <c r="M73" s="179"/>
      <c r="N73" s="179">
        <f t="shared" si="14"/>
        <v>0</v>
      </c>
      <c r="O73" s="179">
        <f t="shared" si="13"/>
        <v>0</v>
      </c>
      <c r="P73" s="179">
        <f t="shared" si="15"/>
        <v>0</v>
      </c>
      <c r="Q73" s="179">
        <f t="shared" si="15"/>
        <v>0</v>
      </c>
      <c r="R73" s="179">
        <f t="shared" si="15"/>
        <v>0</v>
      </c>
      <c r="S73" s="179">
        <f t="shared" si="15"/>
        <v>0</v>
      </c>
      <c r="T73" s="179">
        <f t="shared" si="15"/>
        <v>0</v>
      </c>
      <c r="U73" s="179">
        <f t="shared" si="15"/>
        <v>0</v>
      </c>
      <c r="V73" s="179">
        <f t="shared" si="15"/>
        <v>0</v>
      </c>
      <c r="W73" s="179">
        <f t="shared" si="15"/>
        <v>0</v>
      </c>
      <c r="X73" s="179">
        <f t="shared" si="15"/>
        <v>0</v>
      </c>
      <c r="Y73" s="179">
        <f t="shared" si="15"/>
        <v>0</v>
      </c>
      <c r="Z73" s="179">
        <f t="shared" si="15"/>
        <v>0</v>
      </c>
      <c r="AA73" s="179">
        <f t="shared" si="15"/>
        <v>0</v>
      </c>
      <c r="AB73" s="179">
        <f t="shared" si="15"/>
        <v>0</v>
      </c>
      <c r="AC73" s="179">
        <f t="shared" si="16"/>
        <v>0</v>
      </c>
      <c r="AD73" s="179">
        <f t="shared" si="16"/>
        <v>0</v>
      </c>
      <c r="AE73" s="179">
        <f t="shared" si="16"/>
        <v>0</v>
      </c>
      <c r="AF73" s="179">
        <f t="shared" si="16"/>
        <v>0</v>
      </c>
      <c r="AG73" s="179">
        <f t="shared" si="16"/>
        <v>0</v>
      </c>
      <c r="AH73" s="179">
        <f t="shared" si="16"/>
        <v>0</v>
      </c>
      <c r="AI73" s="179">
        <f t="shared" si="16"/>
        <v>0</v>
      </c>
      <c r="AJ73" s="179">
        <f t="shared" si="16"/>
        <v>0</v>
      </c>
      <c r="AK73" s="179">
        <f t="shared" si="16"/>
        <v>0</v>
      </c>
      <c r="AL73" s="179">
        <f t="shared" si="16"/>
        <v>0</v>
      </c>
      <c r="AM73" s="179">
        <f t="shared" si="16"/>
        <v>0</v>
      </c>
      <c r="AN73" s="179"/>
      <c r="AO73" s="179"/>
      <c r="AP73" s="179"/>
      <c r="AQ73" s="179"/>
      <c r="AR73" s="179"/>
      <c r="AS73" s="179"/>
    </row>
    <row r="74" spans="2:45">
      <c r="B74" s="121"/>
      <c r="C74" s="653" t="s">
        <v>1381</v>
      </c>
      <c r="D74" s="257"/>
      <c r="E74" s="121" t="s">
        <v>740</v>
      </c>
      <c r="F74" s="205"/>
      <c r="H74" s="366">
        <f>IFERROR(VLOOKUP(F74,Assumptions_Dashboard!$C$38:$D$72,4,FALSE),)</f>
        <v>0</v>
      </c>
      <c r="J74" s="179"/>
      <c r="K74" s="179"/>
      <c r="L74" s="179"/>
      <c r="M74" s="179"/>
      <c r="N74" s="179">
        <f t="shared" si="14"/>
        <v>0</v>
      </c>
      <c r="O74" s="179">
        <f t="shared" si="13"/>
        <v>0</v>
      </c>
      <c r="P74" s="179">
        <f t="shared" si="15"/>
        <v>0</v>
      </c>
      <c r="Q74" s="179">
        <f t="shared" si="15"/>
        <v>0</v>
      </c>
      <c r="R74" s="179">
        <f t="shared" si="15"/>
        <v>0</v>
      </c>
      <c r="S74" s="179">
        <f t="shared" si="15"/>
        <v>0</v>
      </c>
      <c r="T74" s="179">
        <f t="shared" si="15"/>
        <v>0</v>
      </c>
      <c r="U74" s="179">
        <f t="shared" si="15"/>
        <v>0</v>
      </c>
      <c r="V74" s="179">
        <f t="shared" si="15"/>
        <v>0</v>
      </c>
      <c r="W74" s="179">
        <f t="shared" si="15"/>
        <v>0</v>
      </c>
      <c r="X74" s="179">
        <f t="shared" si="15"/>
        <v>0</v>
      </c>
      <c r="Y74" s="179">
        <f t="shared" si="15"/>
        <v>0</v>
      </c>
      <c r="Z74" s="179">
        <f t="shared" si="15"/>
        <v>0</v>
      </c>
      <c r="AA74" s="179">
        <f t="shared" si="15"/>
        <v>0</v>
      </c>
      <c r="AB74" s="179">
        <f t="shared" si="15"/>
        <v>0</v>
      </c>
      <c r="AC74" s="179">
        <f t="shared" si="16"/>
        <v>0</v>
      </c>
      <c r="AD74" s="179">
        <f t="shared" si="16"/>
        <v>0</v>
      </c>
      <c r="AE74" s="179">
        <f t="shared" si="16"/>
        <v>0</v>
      </c>
      <c r="AF74" s="179">
        <f t="shared" si="16"/>
        <v>0</v>
      </c>
      <c r="AG74" s="179">
        <f t="shared" si="16"/>
        <v>0</v>
      </c>
      <c r="AH74" s="179">
        <f t="shared" si="16"/>
        <v>0</v>
      </c>
      <c r="AI74" s="179">
        <f t="shared" si="16"/>
        <v>0</v>
      </c>
      <c r="AJ74" s="179">
        <f t="shared" si="16"/>
        <v>0</v>
      </c>
      <c r="AK74" s="179">
        <f t="shared" si="16"/>
        <v>0</v>
      </c>
      <c r="AL74" s="179">
        <f t="shared" si="16"/>
        <v>0</v>
      </c>
      <c r="AM74" s="179">
        <f t="shared" si="16"/>
        <v>0</v>
      </c>
      <c r="AN74" s="179"/>
      <c r="AO74" s="179"/>
      <c r="AP74" s="179"/>
      <c r="AQ74" s="179"/>
      <c r="AR74" s="179"/>
      <c r="AS74" s="179"/>
    </row>
    <row r="75" spans="2:45">
      <c r="B75" s="255" t="s">
        <v>1382</v>
      </c>
      <c r="C75" s="653" t="s">
        <v>1383</v>
      </c>
      <c r="D75" s="257" t="s">
        <v>1313</v>
      </c>
      <c r="E75" s="121" t="s">
        <v>740</v>
      </c>
      <c r="F75" s="205" t="s">
        <v>212</v>
      </c>
      <c r="H75" s="366">
        <f>IFERROR(VLOOKUP(F75,Assumptions_Dashboard!$C$38:$D$72,4,FALSE),)</f>
        <v>0</v>
      </c>
      <c r="J75" s="179"/>
      <c r="K75" s="179"/>
      <c r="L75" s="179"/>
      <c r="M75" s="179"/>
      <c r="N75" s="179">
        <f t="shared" si="14"/>
        <v>0</v>
      </c>
      <c r="O75" s="179">
        <f t="shared" si="13"/>
        <v>0</v>
      </c>
      <c r="P75" s="179">
        <f t="shared" si="15"/>
        <v>0</v>
      </c>
      <c r="Q75" s="179">
        <f t="shared" si="15"/>
        <v>0</v>
      </c>
      <c r="R75" s="179">
        <f t="shared" si="15"/>
        <v>0</v>
      </c>
      <c r="S75" s="179">
        <f t="shared" si="15"/>
        <v>0</v>
      </c>
      <c r="T75" s="179">
        <f t="shared" si="15"/>
        <v>0</v>
      </c>
      <c r="U75" s="179">
        <f t="shared" si="15"/>
        <v>0</v>
      </c>
      <c r="V75" s="179">
        <f t="shared" si="15"/>
        <v>0</v>
      </c>
      <c r="W75" s="179">
        <f t="shared" si="15"/>
        <v>0</v>
      </c>
      <c r="X75" s="179">
        <f t="shared" si="15"/>
        <v>0</v>
      </c>
      <c r="Y75" s="179">
        <f t="shared" si="15"/>
        <v>0</v>
      </c>
      <c r="Z75" s="179">
        <f t="shared" si="15"/>
        <v>0</v>
      </c>
      <c r="AA75" s="179">
        <f t="shared" si="15"/>
        <v>0</v>
      </c>
      <c r="AB75" s="179">
        <f t="shared" si="15"/>
        <v>0</v>
      </c>
      <c r="AC75" s="179">
        <f t="shared" si="16"/>
        <v>0</v>
      </c>
      <c r="AD75" s="179">
        <f t="shared" si="16"/>
        <v>0</v>
      </c>
      <c r="AE75" s="179">
        <f t="shared" si="16"/>
        <v>0</v>
      </c>
      <c r="AF75" s="179">
        <f t="shared" si="16"/>
        <v>0</v>
      </c>
      <c r="AG75" s="179">
        <f t="shared" si="16"/>
        <v>0</v>
      </c>
      <c r="AH75" s="179">
        <f t="shared" si="16"/>
        <v>0</v>
      </c>
      <c r="AI75" s="179">
        <f t="shared" si="16"/>
        <v>0</v>
      </c>
      <c r="AJ75" s="179">
        <f t="shared" si="16"/>
        <v>0</v>
      </c>
      <c r="AK75" s="179">
        <f t="shared" si="16"/>
        <v>0</v>
      </c>
      <c r="AL75" s="179">
        <f t="shared" si="16"/>
        <v>0</v>
      </c>
      <c r="AM75" s="179">
        <f t="shared" si="16"/>
        <v>0</v>
      </c>
      <c r="AN75" s="179"/>
      <c r="AO75" s="179"/>
      <c r="AP75" s="179"/>
      <c r="AQ75" s="179"/>
      <c r="AR75" s="179"/>
      <c r="AS75" s="179"/>
    </row>
    <row r="76" spans="2:45">
      <c r="B76" s="121"/>
      <c r="C76" s="121"/>
      <c r="D76" s="257"/>
      <c r="E76" s="121"/>
      <c r="F76" s="205"/>
      <c r="H76" s="366">
        <f>IFERROR(VLOOKUP(F76,Assumptions_Dashboard!$C$38:$D$72,4,FALSE),)</f>
        <v>0</v>
      </c>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row>
    <row r="77" spans="2:45">
      <c r="B77" s="121"/>
      <c r="C77" s="117" t="s">
        <v>1384</v>
      </c>
      <c r="D77" s="257"/>
      <c r="E77" s="121"/>
      <c r="F77" s="205"/>
      <c r="H77" s="366">
        <f>IFERROR(VLOOKUP(F77,Assumptions_Dashboard!$C$38:$D$72,4,FALSE),)</f>
        <v>0</v>
      </c>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c r="AH77" s="179"/>
      <c r="AI77" s="179"/>
      <c r="AJ77" s="179"/>
      <c r="AK77" s="179"/>
      <c r="AL77" s="179"/>
      <c r="AM77" s="179"/>
      <c r="AN77" s="179"/>
      <c r="AO77" s="179"/>
      <c r="AP77" s="179"/>
      <c r="AQ77" s="179"/>
      <c r="AR77" s="179"/>
      <c r="AS77" s="179"/>
    </row>
    <row r="78" spans="2:45">
      <c r="B78" s="121"/>
      <c r="C78" s="186" t="s">
        <v>1385</v>
      </c>
      <c r="D78" s="257"/>
      <c r="E78" s="121"/>
      <c r="F78" s="205"/>
      <c r="H78" s="366">
        <f>IFERROR(VLOOKUP(F78,Assumptions_Dashboard!$C$38:$D$72,4,FALSE),)</f>
        <v>0</v>
      </c>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row>
    <row r="79" spans="2:45">
      <c r="C79" s="655" t="s">
        <v>1386</v>
      </c>
      <c r="D79" s="257" t="s">
        <v>1315</v>
      </c>
      <c r="E79" s="121" t="s">
        <v>740</v>
      </c>
      <c r="F79" s="95" t="s">
        <v>205</v>
      </c>
      <c r="G79">
        <f>IF(Sensitivity!$C$42="Departmental",0,1)</f>
        <v>0</v>
      </c>
      <c r="H79" s="366">
        <f>IFERROR(VLOOKUP(F79,Assumptions_Dashboard!$C$38:$D$72,4,FALSE),)</f>
        <v>0</v>
      </c>
      <c r="J79" s="179"/>
      <c r="K79" s="179"/>
      <c r="L79" s="179"/>
      <c r="M79" s="179"/>
      <c r="N79" s="179">
        <f>G79</f>
        <v>0</v>
      </c>
      <c r="O79" s="179">
        <f>N79</f>
        <v>0</v>
      </c>
      <c r="P79" s="179">
        <f t="shared" ref="P79:AM80" si="17">O79</f>
        <v>0</v>
      </c>
      <c r="Q79" s="179">
        <f t="shared" si="17"/>
        <v>0</v>
      </c>
      <c r="R79" s="179">
        <f t="shared" si="17"/>
        <v>0</v>
      </c>
      <c r="S79" s="179">
        <f t="shared" si="17"/>
        <v>0</v>
      </c>
      <c r="T79" s="179">
        <f t="shared" si="17"/>
        <v>0</v>
      </c>
      <c r="U79" s="179">
        <f t="shared" si="17"/>
        <v>0</v>
      </c>
      <c r="V79" s="179">
        <f t="shared" si="17"/>
        <v>0</v>
      </c>
      <c r="W79" s="179">
        <f t="shared" si="17"/>
        <v>0</v>
      </c>
      <c r="X79" s="179">
        <f t="shared" si="17"/>
        <v>0</v>
      </c>
      <c r="Y79" s="179">
        <f t="shared" si="17"/>
        <v>0</v>
      </c>
      <c r="Z79" s="179">
        <f t="shared" si="17"/>
        <v>0</v>
      </c>
      <c r="AA79" s="179">
        <f t="shared" si="17"/>
        <v>0</v>
      </c>
      <c r="AB79" s="179">
        <f t="shared" si="17"/>
        <v>0</v>
      </c>
      <c r="AC79" s="179">
        <f t="shared" si="17"/>
        <v>0</v>
      </c>
      <c r="AD79" s="179">
        <f t="shared" si="17"/>
        <v>0</v>
      </c>
      <c r="AE79" s="179">
        <f t="shared" si="17"/>
        <v>0</v>
      </c>
      <c r="AF79" s="179">
        <f t="shared" si="17"/>
        <v>0</v>
      </c>
      <c r="AG79" s="179">
        <f t="shared" si="17"/>
        <v>0</v>
      </c>
      <c r="AH79" s="179">
        <f t="shared" si="17"/>
        <v>0</v>
      </c>
      <c r="AI79" s="179">
        <f t="shared" si="17"/>
        <v>0</v>
      </c>
      <c r="AJ79" s="179">
        <f t="shared" si="17"/>
        <v>0</v>
      </c>
      <c r="AK79" s="179">
        <f t="shared" si="17"/>
        <v>0</v>
      </c>
      <c r="AL79" s="179">
        <f t="shared" si="17"/>
        <v>0</v>
      </c>
      <c r="AM79" s="179">
        <f t="shared" si="17"/>
        <v>0</v>
      </c>
      <c r="AN79" s="179"/>
      <c r="AO79" s="179"/>
      <c r="AP79" s="179"/>
      <c r="AQ79" s="179"/>
      <c r="AR79" s="179"/>
      <c r="AS79" s="179"/>
    </row>
    <row r="80" spans="2:45">
      <c r="B80" s="121"/>
      <c r="C80" s="655" t="s">
        <v>1387</v>
      </c>
      <c r="D80" s="257" t="s">
        <v>1336</v>
      </c>
      <c r="E80" s="121" t="s">
        <v>740</v>
      </c>
      <c r="F80" s="95" t="s">
        <v>206</v>
      </c>
      <c r="G80">
        <f>IF(Sensitivity!$C$42="Departmental",0,1)</f>
        <v>0</v>
      </c>
      <c r="H80" s="366">
        <f>IFERROR(VLOOKUP(F80,Assumptions_Dashboard!$C$38:$D$72,4,FALSE),)</f>
        <v>0</v>
      </c>
      <c r="J80" s="179"/>
      <c r="K80" s="179"/>
      <c r="L80" s="179"/>
      <c r="M80" s="179"/>
      <c r="N80" s="179">
        <f>G80</f>
        <v>0</v>
      </c>
      <c r="O80" s="179">
        <f>N80</f>
        <v>0</v>
      </c>
      <c r="P80" s="179">
        <f t="shared" si="17"/>
        <v>0</v>
      </c>
      <c r="Q80" s="179">
        <f t="shared" si="17"/>
        <v>0</v>
      </c>
      <c r="R80" s="179">
        <f t="shared" si="17"/>
        <v>0</v>
      </c>
      <c r="S80" s="179">
        <f t="shared" si="17"/>
        <v>0</v>
      </c>
      <c r="T80" s="179">
        <f t="shared" si="17"/>
        <v>0</v>
      </c>
      <c r="U80" s="179">
        <f t="shared" si="17"/>
        <v>0</v>
      </c>
      <c r="V80" s="179">
        <f t="shared" si="17"/>
        <v>0</v>
      </c>
      <c r="W80" s="179">
        <f t="shared" si="17"/>
        <v>0</v>
      </c>
      <c r="X80" s="179">
        <f t="shared" si="17"/>
        <v>0</v>
      </c>
      <c r="Y80" s="179">
        <f t="shared" si="17"/>
        <v>0</v>
      </c>
      <c r="Z80" s="179">
        <f t="shared" si="17"/>
        <v>0</v>
      </c>
      <c r="AA80" s="179">
        <f t="shared" si="17"/>
        <v>0</v>
      </c>
      <c r="AB80" s="179">
        <f t="shared" si="17"/>
        <v>0</v>
      </c>
      <c r="AC80" s="179">
        <f t="shared" si="17"/>
        <v>0</v>
      </c>
      <c r="AD80" s="179">
        <f t="shared" si="17"/>
        <v>0</v>
      </c>
      <c r="AE80" s="179">
        <f t="shared" si="17"/>
        <v>0</v>
      </c>
      <c r="AF80" s="179">
        <f t="shared" si="17"/>
        <v>0</v>
      </c>
      <c r="AG80" s="179">
        <f t="shared" si="17"/>
        <v>0</v>
      </c>
      <c r="AH80" s="179">
        <f t="shared" si="17"/>
        <v>0</v>
      </c>
      <c r="AI80" s="179">
        <f t="shared" si="17"/>
        <v>0</v>
      </c>
      <c r="AJ80" s="179">
        <f t="shared" si="17"/>
        <v>0</v>
      </c>
      <c r="AK80" s="179">
        <f t="shared" si="17"/>
        <v>0</v>
      </c>
      <c r="AL80" s="179">
        <f t="shared" si="17"/>
        <v>0</v>
      </c>
      <c r="AM80" s="179">
        <f t="shared" si="17"/>
        <v>0</v>
      </c>
      <c r="AN80" s="179"/>
      <c r="AO80" s="179"/>
      <c r="AP80" s="179"/>
      <c r="AQ80" s="179"/>
      <c r="AR80" s="179"/>
      <c r="AS80" s="179"/>
    </row>
    <row r="81" spans="2:45">
      <c r="B81" s="121"/>
      <c r="C81" s="655" t="s">
        <v>1388</v>
      </c>
      <c r="D81" s="257"/>
      <c r="E81" s="121" t="s">
        <v>740</v>
      </c>
      <c r="F81" s="205"/>
      <c r="H81" s="366">
        <f>IFERROR(VLOOKUP(F81,Assumptions_Dashboard!$C$38:$D$72,4,FALSE),)</f>
        <v>0</v>
      </c>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row>
    <row r="82" spans="2:45">
      <c r="B82" s="121"/>
      <c r="C82" s="655" t="s">
        <v>1389</v>
      </c>
      <c r="D82" s="257"/>
      <c r="E82" s="121" t="s">
        <v>740</v>
      </c>
      <c r="F82" s="205" t="s">
        <v>220</v>
      </c>
      <c r="G82">
        <f>IF(Sensitivity!$C$42="Departmental",0,6)</f>
        <v>0</v>
      </c>
      <c r="H82" s="366">
        <f>IFERROR(VLOOKUP(F82,Assumptions_Dashboard!$C$38:$D$72,4,FALSE),)</f>
        <v>0</v>
      </c>
      <c r="J82" s="179"/>
      <c r="K82" s="179"/>
      <c r="L82" s="179"/>
      <c r="M82" s="179"/>
      <c r="N82" s="179">
        <f>G82</f>
        <v>0</v>
      </c>
      <c r="O82" s="179">
        <f>N82</f>
        <v>0</v>
      </c>
      <c r="P82" s="179">
        <f>O82</f>
        <v>0</v>
      </c>
      <c r="Q82" s="179">
        <f t="shared" ref="Q82:AM97" si="18">P82</f>
        <v>0</v>
      </c>
      <c r="R82" s="179">
        <f t="shared" si="18"/>
        <v>0</v>
      </c>
      <c r="S82" s="179">
        <f t="shared" si="18"/>
        <v>0</v>
      </c>
      <c r="T82" s="179">
        <f t="shared" si="18"/>
        <v>0</v>
      </c>
      <c r="U82" s="179">
        <f t="shared" si="18"/>
        <v>0</v>
      </c>
      <c r="V82" s="179">
        <f t="shared" si="18"/>
        <v>0</v>
      </c>
      <c r="W82" s="179">
        <f t="shared" si="18"/>
        <v>0</v>
      </c>
      <c r="X82" s="179">
        <f t="shared" si="18"/>
        <v>0</v>
      </c>
      <c r="Y82" s="179">
        <f t="shared" si="18"/>
        <v>0</v>
      </c>
      <c r="Z82" s="179">
        <f t="shared" si="18"/>
        <v>0</v>
      </c>
      <c r="AA82" s="179">
        <f t="shared" si="18"/>
        <v>0</v>
      </c>
      <c r="AB82" s="179">
        <f t="shared" si="18"/>
        <v>0</v>
      </c>
      <c r="AC82" s="179">
        <f t="shared" si="18"/>
        <v>0</v>
      </c>
      <c r="AD82" s="179">
        <f t="shared" si="18"/>
        <v>0</v>
      </c>
      <c r="AE82" s="179">
        <f t="shared" si="18"/>
        <v>0</v>
      </c>
      <c r="AF82" s="179">
        <f t="shared" si="18"/>
        <v>0</v>
      </c>
      <c r="AG82" s="179">
        <f t="shared" si="18"/>
        <v>0</v>
      </c>
      <c r="AH82" s="179">
        <f t="shared" si="18"/>
        <v>0</v>
      </c>
      <c r="AI82" s="179">
        <f t="shared" si="18"/>
        <v>0</v>
      </c>
      <c r="AJ82" s="179">
        <f t="shared" si="18"/>
        <v>0</v>
      </c>
      <c r="AK82" s="179">
        <f t="shared" si="18"/>
        <v>0</v>
      </c>
      <c r="AL82" s="179">
        <f t="shared" si="18"/>
        <v>0</v>
      </c>
      <c r="AM82" s="179">
        <f t="shared" si="18"/>
        <v>0</v>
      </c>
      <c r="AN82" s="179"/>
      <c r="AO82" s="179"/>
      <c r="AP82" s="179"/>
      <c r="AQ82" s="179"/>
      <c r="AR82" s="179"/>
      <c r="AS82" s="179"/>
    </row>
    <row r="83" spans="2:45">
      <c r="B83" s="121"/>
      <c r="C83" s="655" t="s">
        <v>1390</v>
      </c>
      <c r="D83" s="257"/>
      <c r="E83" s="121" t="s">
        <v>740</v>
      </c>
      <c r="F83" s="95" t="s">
        <v>206</v>
      </c>
      <c r="G83">
        <f>IF(Sensitivity!$C$42="Departmental",0,3)</f>
        <v>0</v>
      </c>
      <c r="H83" s="366">
        <f>IFERROR(VLOOKUP(F83,Assumptions_Dashboard!$C$38:$D$72,4,FALSE),)</f>
        <v>0</v>
      </c>
      <c r="J83" s="179"/>
      <c r="K83" s="179"/>
      <c r="L83" s="179"/>
      <c r="M83" s="179"/>
      <c r="N83" s="179">
        <f>G83</f>
        <v>0</v>
      </c>
      <c r="O83" s="179">
        <f>N83</f>
        <v>0</v>
      </c>
      <c r="P83" s="179">
        <f>O83</f>
        <v>0</v>
      </c>
      <c r="Q83" s="179">
        <f t="shared" si="18"/>
        <v>0</v>
      </c>
      <c r="R83" s="179">
        <f t="shared" si="18"/>
        <v>0</v>
      </c>
      <c r="S83" s="179">
        <f t="shared" si="18"/>
        <v>0</v>
      </c>
      <c r="T83" s="179">
        <f t="shared" si="18"/>
        <v>0</v>
      </c>
      <c r="U83" s="179">
        <f t="shared" si="18"/>
        <v>0</v>
      </c>
      <c r="V83" s="179">
        <f t="shared" si="18"/>
        <v>0</v>
      </c>
      <c r="W83" s="179">
        <f t="shared" si="18"/>
        <v>0</v>
      </c>
      <c r="X83" s="179">
        <f t="shared" si="18"/>
        <v>0</v>
      </c>
      <c r="Y83" s="179">
        <f t="shared" si="18"/>
        <v>0</v>
      </c>
      <c r="Z83" s="179">
        <f t="shared" si="18"/>
        <v>0</v>
      </c>
      <c r="AA83" s="179">
        <f t="shared" si="18"/>
        <v>0</v>
      </c>
      <c r="AB83" s="179">
        <f t="shared" si="18"/>
        <v>0</v>
      </c>
      <c r="AC83" s="179">
        <f t="shared" si="18"/>
        <v>0</v>
      </c>
      <c r="AD83" s="179">
        <f t="shared" si="18"/>
        <v>0</v>
      </c>
      <c r="AE83" s="179">
        <f t="shared" si="18"/>
        <v>0</v>
      </c>
      <c r="AF83" s="179">
        <f t="shared" si="18"/>
        <v>0</v>
      </c>
      <c r="AG83" s="179">
        <f t="shared" si="18"/>
        <v>0</v>
      </c>
      <c r="AH83" s="179">
        <f t="shared" si="18"/>
        <v>0</v>
      </c>
      <c r="AI83" s="179">
        <f t="shared" si="18"/>
        <v>0</v>
      </c>
      <c r="AJ83" s="179">
        <f t="shared" si="18"/>
        <v>0</v>
      </c>
      <c r="AK83" s="179">
        <f t="shared" si="18"/>
        <v>0</v>
      </c>
      <c r="AL83" s="179">
        <f t="shared" si="18"/>
        <v>0</v>
      </c>
      <c r="AM83" s="179">
        <f t="shared" si="18"/>
        <v>0</v>
      </c>
      <c r="AN83" s="179"/>
      <c r="AO83" s="179"/>
      <c r="AP83" s="179"/>
      <c r="AQ83" s="179"/>
      <c r="AR83" s="179"/>
      <c r="AS83" s="179"/>
    </row>
    <row r="84" spans="2:45">
      <c r="B84" s="121"/>
      <c r="C84" s="655" t="s">
        <v>1391</v>
      </c>
      <c r="D84" s="257"/>
      <c r="E84" s="121" t="s">
        <v>740</v>
      </c>
      <c r="F84" s="205" t="s">
        <v>212</v>
      </c>
      <c r="G84">
        <f>IF(Sensitivity!$C$42="Departmental",0,6)</f>
        <v>0</v>
      </c>
      <c r="H84" s="366">
        <f>IFERROR(VLOOKUP(F84,Assumptions_Dashboard!$C$38:$D$72,4,FALSE),)</f>
        <v>0</v>
      </c>
      <c r="J84" s="179"/>
      <c r="K84" s="179"/>
      <c r="L84" s="179"/>
      <c r="M84" s="179"/>
      <c r="N84" s="179">
        <f t="shared" ref="N84:N147" si="19">G84</f>
        <v>0</v>
      </c>
      <c r="O84" s="179">
        <f t="shared" ref="O84:AD99" si="20">N84</f>
        <v>0</v>
      </c>
      <c r="P84" s="179">
        <f t="shared" si="20"/>
        <v>0</v>
      </c>
      <c r="Q84" s="179">
        <f t="shared" si="20"/>
        <v>0</v>
      </c>
      <c r="R84" s="179">
        <f t="shared" si="20"/>
        <v>0</v>
      </c>
      <c r="S84" s="179">
        <f t="shared" si="20"/>
        <v>0</v>
      </c>
      <c r="T84" s="179">
        <f t="shared" si="20"/>
        <v>0</v>
      </c>
      <c r="U84" s="179">
        <f t="shared" si="20"/>
        <v>0</v>
      </c>
      <c r="V84" s="179">
        <f t="shared" si="20"/>
        <v>0</v>
      </c>
      <c r="W84" s="179">
        <f t="shared" si="20"/>
        <v>0</v>
      </c>
      <c r="X84" s="179">
        <f t="shared" si="20"/>
        <v>0</v>
      </c>
      <c r="Y84" s="179">
        <f t="shared" si="20"/>
        <v>0</v>
      </c>
      <c r="Z84" s="179">
        <f t="shared" si="20"/>
        <v>0</v>
      </c>
      <c r="AA84" s="179">
        <f t="shared" si="20"/>
        <v>0</v>
      </c>
      <c r="AB84" s="179">
        <f t="shared" si="20"/>
        <v>0</v>
      </c>
      <c r="AC84" s="179">
        <f t="shared" si="20"/>
        <v>0</v>
      </c>
      <c r="AD84" s="179">
        <f t="shared" si="20"/>
        <v>0</v>
      </c>
      <c r="AE84" s="179">
        <f t="shared" si="18"/>
        <v>0</v>
      </c>
      <c r="AF84" s="179">
        <f t="shared" si="18"/>
        <v>0</v>
      </c>
      <c r="AG84" s="179">
        <f t="shared" si="18"/>
        <v>0</v>
      </c>
      <c r="AH84" s="179">
        <f t="shared" si="18"/>
        <v>0</v>
      </c>
      <c r="AI84" s="179">
        <f t="shared" si="18"/>
        <v>0</v>
      </c>
      <c r="AJ84" s="179">
        <f t="shared" si="18"/>
        <v>0</v>
      </c>
      <c r="AK84" s="179">
        <f t="shared" si="18"/>
        <v>0</v>
      </c>
      <c r="AL84" s="179">
        <f t="shared" si="18"/>
        <v>0</v>
      </c>
      <c r="AM84" s="179">
        <f t="shared" si="18"/>
        <v>0</v>
      </c>
      <c r="AN84" s="179"/>
      <c r="AO84" s="179"/>
      <c r="AP84" s="179"/>
      <c r="AQ84" s="179"/>
      <c r="AR84" s="179"/>
      <c r="AS84" s="179"/>
    </row>
    <row r="85" spans="2:45">
      <c r="B85" s="121"/>
      <c r="C85" s="655" t="s">
        <v>1392</v>
      </c>
      <c r="D85" s="257"/>
      <c r="E85" s="121" t="s">
        <v>740</v>
      </c>
      <c r="F85" s="205" t="s">
        <v>211</v>
      </c>
      <c r="G85">
        <f>IF(Sensitivity!$C$42="Departmental",0,3)</f>
        <v>0</v>
      </c>
      <c r="H85" s="366">
        <f>IFERROR(VLOOKUP(F85,Assumptions_Dashboard!$C$38:$D$72,4,FALSE),)</f>
        <v>0</v>
      </c>
      <c r="J85" s="179"/>
      <c r="K85" s="179"/>
      <c r="L85" s="179"/>
      <c r="M85" s="179"/>
      <c r="N85" s="179">
        <f t="shared" si="19"/>
        <v>0</v>
      </c>
      <c r="O85" s="179">
        <f t="shared" si="20"/>
        <v>0</v>
      </c>
      <c r="P85" s="179">
        <f t="shared" si="20"/>
        <v>0</v>
      </c>
      <c r="Q85" s="179">
        <f t="shared" si="20"/>
        <v>0</v>
      </c>
      <c r="R85" s="179">
        <f t="shared" si="20"/>
        <v>0</v>
      </c>
      <c r="S85" s="179">
        <f t="shared" si="20"/>
        <v>0</v>
      </c>
      <c r="T85" s="179">
        <f t="shared" si="20"/>
        <v>0</v>
      </c>
      <c r="U85" s="179">
        <f t="shared" si="20"/>
        <v>0</v>
      </c>
      <c r="V85" s="179">
        <f t="shared" si="20"/>
        <v>0</v>
      </c>
      <c r="W85" s="179">
        <f t="shared" si="20"/>
        <v>0</v>
      </c>
      <c r="X85" s="179">
        <f t="shared" si="20"/>
        <v>0</v>
      </c>
      <c r="Y85" s="179">
        <f t="shared" si="20"/>
        <v>0</v>
      </c>
      <c r="Z85" s="179">
        <f t="shared" si="20"/>
        <v>0</v>
      </c>
      <c r="AA85" s="179">
        <f t="shared" si="20"/>
        <v>0</v>
      </c>
      <c r="AB85" s="179">
        <f t="shared" si="20"/>
        <v>0</v>
      </c>
      <c r="AC85" s="179">
        <f t="shared" si="20"/>
        <v>0</v>
      </c>
      <c r="AD85" s="179">
        <f t="shared" si="20"/>
        <v>0</v>
      </c>
      <c r="AE85" s="179">
        <f t="shared" si="18"/>
        <v>0</v>
      </c>
      <c r="AF85" s="179">
        <f t="shared" si="18"/>
        <v>0</v>
      </c>
      <c r="AG85" s="179">
        <f t="shared" si="18"/>
        <v>0</v>
      </c>
      <c r="AH85" s="179">
        <f t="shared" si="18"/>
        <v>0</v>
      </c>
      <c r="AI85" s="179">
        <f t="shared" si="18"/>
        <v>0</v>
      </c>
      <c r="AJ85" s="179">
        <f t="shared" si="18"/>
        <v>0</v>
      </c>
      <c r="AK85" s="179">
        <f t="shared" si="18"/>
        <v>0</v>
      </c>
      <c r="AL85" s="179">
        <f t="shared" si="18"/>
        <v>0</v>
      </c>
      <c r="AM85" s="179">
        <f t="shared" si="18"/>
        <v>0</v>
      </c>
      <c r="AN85" s="179"/>
      <c r="AO85" s="179"/>
      <c r="AP85" s="179"/>
      <c r="AQ85" s="179"/>
      <c r="AR85" s="179"/>
      <c r="AS85" s="179"/>
    </row>
    <row r="86" spans="2:45">
      <c r="B86" s="121"/>
      <c r="C86" s="655" t="s">
        <v>1393</v>
      </c>
      <c r="D86" s="257"/>
      <c r="E86" s="121" t="s">
        <v>740</v>
      </c>
      <c r="F86" s="205" t="s">
        <v>211</v>
      </c>
      <c r="G86">
        <f>IF(Sensitivity!$C$42="Departmental",0,9)</f>
        <v>0</v>
      </c>
      <c r="H86" s="366">
        <f>IFERROR(VLOOKUP(F86,Assumptions_Dashboard!$C$38:$D$72,4,FALSE),)</f>
        <v>0</v>
      </c>
      <c r="J86" s="179"/>
      <c r="K86" s="179"/>
      <c r="L86" s="179"/>
      <c r="M86" s="179"/>
      <c r="N86" s="179">
        <f t="shared" si="19"/>
        <v>0</v>
      </c>
      <c r="O86" s="179">
        <f t="shared" si="20"/>
        <v>0</v>
      </c>
      <c r="P86" s="179">
        <f t="shared" si="20"/>
        <v>0</v>
      </c>
      <c r="Q86" s="179">
        <f t="shared" si="20"/>
        <v>0</v>
      </c>
      <c r="R86" s="179">
        <f t="shared" si="20"/>
        <v>0</v>
      </c>
      <c r="S86" s="179">
        <f t="shared" si="20"/>
        <v>0</v>
      </c>
      <c r="T86" s="179">
        <f t="shared" si="20"/>
        <v>0</v>
      </c>
      <c r="U86" s="179">
        <f t="shared" si="20"/>
        <v>0</v>
      </c>
      <c r="V86" s="179">
        <f t="shared" si="20"/>
        <v>0</v>
      </c>
      <c r="W86" s="179">
        <f t="shared" si="20"/>
        <v>0</v>
      </c>
      <c r="X86" s="179">
        <f t="shared" si="20"/>
        <v>0</v>
      </c>
      <c r="Y86" s="179">
        <f t="shared" si="20"/>
        <v>0</v>
      </c>
      <c r="Z86" s="179">
        <f t="shared" si="20"/>
        <v>0</v>
      </c>
      <c r="AA86" s="179">
        <f t="shared" si="20"/>
        <v>0</v>
      </c>
      <c r="AB86" s="179">
        <f t="shared" si="20"/>
        <v>0</v>
      </c>
      <c r="AC86" s="179">
        <f t="shared" si="20"/>
        <v>0</v>
      </c>
      <c r="AD86" s="179">
        <f t="shared" si="20"/>
        <v>0</v>
      </c>
      <c r="AE86" s="179">
        <f t="shared" si="18"/>
        <v>0</v>
      </c>
      <c r="AF86" s="179">
        <f t="shared" si="18"/>
        <v>0</v>
      </c>
      <c r="AG86" s="179">
        <f t="shared" si="18"/>
        <v>0</v>
      </c>
      <c r="AH86" s="179">
        <f t="shared" si="18"/>
        <v>0</v>
      </c>
      <c r="AI86" s="179">
        <f t="shared" si="18"/>
        <v>0</v>
      </c>
      <c r="AJ86" s="179">
        <f t="shared" si="18"/>
        <v>0</v>
      </c>
      <c r="AK86" s="179">
        <f t="shared" si="18"/>
        <v>0</v>
      </c>
      <c r="AL86" s="179">
        <f t="shared" si="18"/>
        <v>0</v>
      </c>
      <c r="AM86" s="179">
        <f t="shared" si="18"/>
        <v>0</v>
      </c>
      <c r="AN86" s="179"/>
      <c r="AO86" s="179"/>
      <c r="AP86" s="179"/>
      <c r="AQ86" s="179"/>
      <c r="AR86" s="179"/>
      <c r="AS86" s="179"/>
    </row>
    <row r="87" spans="2:45">
      <c r="B87" s="121"/>
      <c r="C87" s="655" t="s">
        <v>1394</v>
      </c>
      <c r="D87" s="257"/>
      <c r="E87" s="121" t="s">
        <v>740</v>
      </c>
      <c r="F87" s="205" t="s">
        <v>223</v>
      </c>
      <c r="G87">
        <f>IF(Sensitivity!$C$42="Departmental",0,2)</f>
        <v>0</v>
      </c>
      <c r="H87" s="366">
        <f>IFERROR(VLOOKUP(F87,Assumptions_Dashboard!$C$38:$D$72,4,FALSE),)</f>
        <v>0</v>
      </c>
      <c r="J87" s="179"/>
      <c r="K87" s="179"/>
      <c r="L87" s="179"/>
      <c r="M87" s="179"/>
      <c r="N87" s="179">
        <f t="shared" si="19"/>
        <v>0</v>
      </c>
      <c r="O87" s="179">
        <f t="shared" si="20"/>
        <v>0</v>
      </c>
      <c r="P87" s="179">
        <f t="shared" si="20"/>
        <v>0</v>
      </c>
      <c r="Q87" s="179">
        <f t="shared" si="20"/>
        <v>0</v>
      </c>
      <c r="R87" s="179">
        <f t="shared" si="20"/>
        <v>0</v>
      </c>
      <c r="S87" s="179">
        <f t="shared" si="20"/>
        <v>0</v>
      </c>
      <c r="T87" s="179">
        <f t="shared" si="20"/>
        <v>0</v>
      </c>
      <c r="U87" s="179">
        <f t="shared" si="20"/>
        <v>0</v>
      </c>
      <c r="V87" s="179">
        <f t="shared" si="20"/>
        <v>0</v>
      </c>
      <c r="W87" s="179">
        <f t="shared" si="20"/>
        <v>0</v>
      </c>
      <c r="X87" s="179">
        <f t="shared" si="20"/>
        <v>0</v>
      </c>
      <c r="Y87" s="179">
        <f t="shared" si="20"/>
        <v>0</v>
      </c>
      <c r="Z87" s="179">
        <f t="shared" si="20"/>
        <v>0</v>
      </c>
      <c r="AA87" s="179">
        <f t="shared" si="20"/>
        <v>0</v>
      </c>
      <c r="AB87" s="179">
        <f t="shared" si="20"/>
        <v>0</v>
      </c>
      <c r="AC87" s="179">
        <f t="shared" si="20"/>
        <v>0</v>
      </c>
      <c r="AD87" s="179">
        <f t="shared" si="20"/>
        <v>0</v>
      </c>
      <c r="AE87" s="179">
        <f t="shared" si="18"/>
        <v>0</v>
      </c>
      <c r="AF87" s="179">
        <f t="shared" si="18"/>
        <v>0</v>
      </c>
      <c r="AG87" s="179">
        <f t="shared" si="18"/>
        <v>0</v>
      </c>
      <c r="AH87" s="179">
        <f t="shared" si="18"/>
        <v>0</v>
      </c>
      <c r="AI87" s="179">
        <f t="shared" si="18"/>
        <v>0</v>
      </c>
      <c r="AJ87" s="179">
        <f t="shared" si="18"/>
        <v>0</v>
      </c>
      <c r="AK87" s="179">
        <f t="shared" si="18"/>
        <v>0</v>
      </c>
      <c r="AL87" s="179">
        <f t="shared" si="18"/>
        <v>0</v>
      </c>
      <c r="AM87" s="179">
        <f t="shared" si="18"/>
        <v>0</v>
      </c>
      <c r="AN87" s="179"/>
      <c r="AO87" s="179"/>
      <c r="AP87" s="179"/>
      <c r="AQ87" s="179"/>
      <c r="AR87" s="179"/>
      <c r="AS87" s="179"/>
    </row>
    <row r="88" spans="2:45">
      <c r="B88" s="121"/>
      <c r="C88" s="655" t="s">
        <v>1395</v>
      </c>
      <c r="D88" s="257"/>
      <c r="E88" s="121" t="s">
        <v>740</v>
      </c>
      <c r="F88" s="205" t="s">
        <v>218</v>
      </c>
      <c r="G88">
        <f>IF(Sensitivity!$C$42="Departmental",0,9)</f>
        <v>0</v>
      </c>
      <c r="H88" s="366">
        <f>IFERROR(VLOOKUP(F88,Assumptions_Dashboard!$C$38:$D$72,4,FALSE),)</f>
        <v>0</v>
      </c>
      <c r="J88" s="179"/>
      <c r="K88" s="179"/>
      <c r="L88" s="179"/>
      <c r="M88" s="179"/>
      <c r="N88" s="179">
        <f t="shared" si="19"/>
        <v>0</v>
      </c>
      <c r="O88" s="179">
        <f t="shared" si="20"/>
        <v>0</v>
      </c>
      <c r="P88" s="179">
        <f t="shared" si="20"/>
        <v>0</v>
      </c>
      <c r="Q88" s="179">
        <f t="shared" si="20"/>
        <v>0</v>
      </c>
      <c r="R88" s="179">
        <f t="shared" si="20"/>
        <v>0</v>
      </c>
      <c r="S88" s="179">
        <f t="shared" si="20"/>
        <v>0</v>
      </c>
      <c r="T88" s="179">
        <f t="shared" si="20"/>
        <v>0</v>
      </c>
      <c r="U88" s="179">
        <f t="shared" si="20"/>
        <v>0</v>
      </c>
      <c r="V88" s="179">
        <f t="shared" si="20"/>
        <v>0</v>
      </c>
      <c r="W88" s="179">
        <f t="shared" si="20"/>
        <v>0</v>
      </c>
      <c r="X88" s="179">
        <f t="shared" si="20"/>
        <v>0</v>
      </c>
      <c r="Y88" s="179">
        <f t="shared" si="20"/>
        <v>0</v>
      </c>
      <c r="Z88" s="179">
        <f t="shared" si="20"/>
        <v>0</v>
      </c>
      <c r="AA88" s="179">
        <f t="shared" si="20"/>
        <v>0</v>
      </c>
      <c r="AB88" s="179">
        <f t="shared" si="20"/>
        <v>0</v>
      </c>
      <c r="AC88" s="179">
        <f t="shared" si="20"/>
        <v>0</v>
      </c>
      <c r="AD88" s="179">
        <f t="shared" si="20"/>
        <v>0</v>
      </c>
      <c r="AE88" s="179">
        <f t="shared" si="18"/>
        <v>0</v>
      </c>
      <c r="AF88" s="179">
        <f t="shared" si="18"/>
        <v>0</v>
      </c>
      <c r="AG88" s="179">
        <f t="shared" si="18"/>
        <v>0</v>
      </c>
      <c r="AH88" s="179">
        <f t="shared" si="18"/>
        <v>0</v>
      </c>
      <c r="AI88" s="179">
        <f t="shared" si="18"/>
        <v>0</v>
      </c>
      <c r="AJ88" s="179">
        <f t="shared" si="18"/>
        <v>0</v>
      </c>
      <c r="AK88" s="179">
        <f t="shared" si="18"/>
        <v>0</v>
      </c>
      <c r="AL88" s="179">
        <f t="shared" si="18"/>
        <v>0</v>
      </c>
      <c r="AM88" s="179">
        <f t="shared" si="18"/>
        <v>0</v>
      </c>
      <c r="AN88" s="179"/>
      <c r="AO88" s="179"/>
      <c r="AP88" s="179"/>
      <c r="AQ88" s="179"/>
      <c r="AR88" s="179"/>
      <c r="AS88" s="179"/>
    </row>
    <row r="89" spans="2:45">
      <c r="B89" s="121"/>
      <c r="C89" s="655" t="s">
        <v>1396</v>
      </c>
      <c r="D89" s="257"/>
      <c r="E89" s="121" t="s">
        <v>740</v>
      </c>
      <c r="F89" s="205" t="s">
        <v>218</v>
      </c>
      <c r="H89" s="366">
        <f>IFERROR(VLOOKUP(F89,Assumptions_Dashboard!$C$38:$D$72,4,FALSE),)</f>
        <v>0</v>
      </c>
      <c r="J89" s="179"/>
      <c r="K89" s="179"/>
      <c r="L89" s="179"/>
      <c r="M89" s="179"/>
      <c r="N89" s="179">
        <f t="shared" si="19"/>
        <v>0</v>
      </c>
      <c r="O89" s="179">
        <f t="shared" si="20"/>
        <v>0</v>
      </c>
      <c r="P89" s="179">
        <f t="shared" si="20"/>
        <v>0</v>
      </c>
      <c r="Q89" s="179">
        <f t="shared" si="20"/>
        <v>0</v>
      </c>
      <c r="R89" s="179">
        <f t="shared" si="20"/>
        <v>0</v>
      </c>
      <c r="S89" s="179">
        <f t="shared" si="20"/>
        <v>0</v>
      </c>
      <c r="T89" s="179">
        <f t="shared" si="20"/>
        <v>0</v>
      </c>
      <c r="U89" s="179">
        <f t="shared" si="20"/>
        <v>0</v>
      </c>
      <c r="V89" s="179">
        <f t="shared" si="20"/>
        <v>0</v>
      </c>
      <c r="W89" s="179">
        <f t="shared" si="20"/>
        <v>0</v>
      </c>
      <c r="X89" s="179">
        <f t="shared" si="20"/>
        <v>0</v>
      </c>
      <c r="Y89" s="179">
        <f t="shared" si="20"/>
        <v>0</v>
      </c>
      <c r="Z89" s="179">
        <f t="shared" si="20"/>
        <v>0</v>
      </c>
      <c r="AA89" s="179">
        <f t="shared" si="20"/>
        <v>0</v>
      </c>
      <c r="AB89" s="179">
        <f t="shared" si="20"/>
        <v>0</v>
      </c>
      <c r="AC89" s="179">
        <f t="shared" si="20"/>
        <v>0</v>
      </c>
      <c r="AD89" s="179">
        <f t="shared" si="20"/>
        <v>0</v>
      </c>
      <c r="AE89" s="179">
        <f t="shared" si="18"/>
        <v>0</v>
      </c>
      <c r="AF89" s="179">
        <f t="shared" si="18"/>
        <v>0</v>
      </c>
      <c r="AG89" s="179">
        <f t="shared" si="18"/>
        <v>0</v>
      </c>
      <c r="AH89" s="179">
        <f t="shared" si="18"/>
        <v>0</v>
      </c>
      <c r="AI89" s="179">
        <f t="shared" si="18"/>
        <v>0</v>
      </c>
      <c r="AJ89" s="179">
        <f t="shared" si="18"/>
        <v>0</v>
      </c>
      <c r="AK89" s="179">
        <f t="shared" si="18"/>
        <v>0</v>
      </c>
      <c r="AL89" s="179">
        <f t="shared" si="18"/>
        <v>0</v>
      </c>
      <c r="AM89" s="179">
        <f t="shared" si="18"/>
        <v>0</v>
      </c>
      <c r="AN89" s="179"/>
      <c r="AO89" s="179"/>
      <c r="AP89" s="179"/>
      <c r="AQ89" s="179"/>
      <c r="AR89" s="179"/>
      <c r="AS89" s="179"/>
    </row>
    <row r="90" spans="2:45">
      <c r="B90" s="121"/>
      <c r="C90" s="655" t="s">
        <v>1397</v>
      </c>
      <c r="D90" s="257"/>
      <c r="E90" s="121" t="s">
        <v>740</v>
      </c>
      <c r="F90" s="205" t="s">
        <v>230</v>
      </c>
      <c r="G90">
        <f>IF(Sensitivity!$C$42="Departmental",0,2)</f>
        <v>0</v>
      </c>
      <c r="H90" s="366">
        <f>IFERROR(VLOOKUP(F90,Assumptions_Dashboard!$C$38:$D$72,4,FALSE),)</f>
        <v>0</v>
      </c>
      <c r="J90" s="179"/>
      <c r="K90" s="179"/>
      <c r="L90" s="179"/>
      <c r="M90" s="179"/>
      <c r="N90" s="179">
        <f t="shared" si="19"/>
        <v>0</v>
      </c>
      <c r="O90" s="179">
        <f t="shared" si="20"/>
        <v>0</v>
      </c>
      <c r="P90" s="179">
        <f t="shared" si="20"/>
        <v>0</v>
      </c>
      <c r="Q90" s="179">
        <f t="shared" si="20"/>
        <v>0</v>
      </c>
      <c r="R90" s="179">
        <f t="shared" si="20"/>
        <v>0</v>
      </c>
      <c r="S90" s="179">
        <f t="shared" si="20"/>
        <v>0</v>
      </c>
      <c r="T90" s="179">
        <f t="shared" si="20"/>
        <v>0</v>
      </c>
      <c r="U90" s="179">
        <f t="shared" si="20"/>
        <v>0</v>
      </c>
      <c r="V90" s="179">
        <f t="shared" si="20"/>
        <v>0</v>
      </c>
      <c r="W90" s="179">
        <f t="shared" si="20"/>
        <v>0</v>
      </c>
      <c r="X90" s="179">
        <f t="shared" si="20"/>
        <v>0</v>
      </c>
      <c r="Y90" s="179">
        <f t="shared" si="20"/>
        <v>0</v>
      </c>
      <c r="Z90" s="179">
        <f t="shared" si="20"/>
        <v>0</v>
      </c>
      <c r="AA90" s="179">
        <f t="shared" si="20"/>
        <v>0</v>
      </c>
      <c r="AB90" s="179">
        <f t="shared" si="20"/>
        <v>0</v>
      </c>
      <c r="AC90" s="179">
        <f t="shared" si="20"/>
        <v>0</v>
      </c>
      <c r="AD90" s="179">
        <f t="shared" si="20"/>
        <v>0</v>
      </c>
      <c r="AE90" s="179">
        <f t="shared" si="18"/>
        <v>0</v>
      </c>
      <c r="AF90" s="179">
        <f t="shared" si="18"/>
        <v>0</v>
      </c>
      <c r="AG90" s="179">
        <f t="shared" si="18"/>
        <v>0</v>
      </c>
      <c r="AH90" s="179">
        <f t="shared" si="18"/>
        <v>0</v>
      </c>
      <c r="AI90" s="179">
        <f t="shared" si="18"/>
        <v>0</v>
      </c>
      <c r="AJ90" s="179">
        <f t="shared" si="18"/>
        <v>0</v>
      </c>
      <c r="AK90" s="179">
        <f t="shared" si="18"/>
        <v>0</v>
      </c>
      <c r="AL90" s="179">
        <f t="shared" si="18"/>
        <v>0</v>
      </c>
      <c r="AM90" s="179">
        <f t="shared" si="18"/>
        <v>0</v>
      </c>
      <c r="AN90" s="179"/>
      <c r="AO90" s="179"/>
      <c r="AP90" s="179"/>
      <c r="AQ90" s="179"/>
      <c r="AR90" s="179"/>
      <c r="AS90" s="179"/>
    </row>
    <row r="91" spans="2:45">
      <c r="B91" s="121"/>
      <c r="C91" s="655" t="s">
        <v>1398</v>
      </c>
      <c r="D91" s="257"/>
      <c r="E91" s="121" t="s">
        <v>740</v>
      </c>
      <c r="F91" s="205" t="s">
        <v>230</v>
      </c>
      <c r="G91">
        <f>IF(Sensitivity!$C$42="Departmental",0,30)</f>
        <v>0</v>
      </c>
      <c r="H91" s="366">
        <f>IFERROR(VLOOKUP(F91,Assumptions_Dashboard!$C$38:$D$72,4,FALSE),)</f>
        <v>0</v>
      </c>
      <c r="J91" s="179"/>
      <c r="K91" s="179"/>
      <c r="L91" s="179"/>
      <c r="M91" s="179"/>
      <c r="N91" s="179">
        <f t="shared" si="19"/>
        <v>0</v>
      </c>
      <c r="O91" s="179">
        <f t="shared" si="20"/>
        <v>0</v>
      </c>
      <c r="P91" s="179">
        <f t="shared" si="20"/>
        <v>0</v>
      </c>
      <c r="Q91" s="179">
        <f t="shared" si="20"/>
        <v>0</v>
      </c>
      <c r="R91" s="179">
        <f t="shared" si="20"/>
        <v>0</v>
      </c>
      <c r="S91" s="179">
        <f t="shared" si="20"/>
        <v>0</v>
      </c>
      <c r="T91" s="179">
        <f t="shared" si="20"/>
        <v>0</v>
      </c>
      <c r="U91" s="179">
        <f t="shared" si="20"/>
        <v>0</v>
      </c>
      <c r="V91" s="179">
        <f t="shared" si="20"/>
        <v>0</v>
      </c>
      <c r="W91" s="179">
        <f t="shared" si="20"/>
        <v>0</v>
      </c>
      <c r="X91" s="179">
        <f t="shared" si="20"/>
        <v>0</v>
      </c>
      <c r="Y91" s="179">
        <f t="shared" si="20"/>
        <v>0</v>
      </c>
      <c r="Z91" s="179">
        <f t="shared" si="20"/>
        <v>0</v>
      </c>
      <c r="AA91" s="179">
        <f t="shared" si="20"/>
        <v>0</v>
      </c>
      <c r="AB91" s="179">
        <f t="shared" si="20"/>
        <v>0</v>
      </c>
      <c r="AC91" s="179">
        <f t="shared" si="20"/>
        <v>0</v>
      </c>
      <c r="AD91" s="179">
        <f t="shared" si="20"/>
        <v>0</v>
      </c>
      <c r="AE91" s="179">
        <f t="shared" si="18"/>
        <v>0</v>
      </c>
      <c r="AF91" s="179">
        <f t="shared" si="18"/>
        <v>0</v>
      </c>
      <c r="AG91" s="179">
        <f t="shared" si="18"/>
        <v>0</v>
      </c>
      <c r="AH91" s="179">
        <f t="shared" si="18"/>
        <v>0</v>
      </c>
      <c r="AI91" s="179">
        <f t="shared" si="18"/>
        <v>0</v>
      </c>
      <c r="AJ91" s="179">
        <f t="shared" si="18"/>
        <v>0</v>
      </c>
      <c r="AK91" s="179">
        <f t="shared" si="18"/>
        <v>0</v>
      </c>
      <c r="AL91" s="179">
        <f t="shared" si="18"/>
        <v>0</v>
      </c>
      <c r="AM91" s="179">
        <f t="shared" si="18"/>
        <v>0</v>
      </c>
      <c r="AN91" s="179"/>
      <c r="AO91" s="179"/>
      <c r="AP91" s="179"/>
      <c r="AQ91" s="179"/>
      <c r="AR91" s="179"/>
      <c r="AS91" s="179"/>
    </row>
    <row r="92" spans="2:45">
      <c r="B92" s="121"/>
      <c r="C92" s="656" t="s">
        <v>1399</v>
      </c>
      <c r="D92" s="257" t="s">
        <v>1315</v>
      </c>
      <c r="E92" s="121"/>
      <c r="F92" s="205" t="s">
        <v>212</v>
      </c>
      <c r="H92" s="366">
        <f>IFERROR(VLOOKUP(F92,Assumptions_Dashboard!$C$38:$D$72,4,FALSE),)</f>
        <v>0</v>
      </c>
      <c r="J92" s="179"/>
      <c r="K92" s="179"/>
      <c r="L92" s="179"/>
      <c r="M92" s="179"/>
      <c r="N92" s="179">
        <f t="shared" si="19"/>
        <v>0</v>
      </c>
      <c r="O92" s="179">
        <f t="shared" si="20"/>
        <v>0</v>
      </c>
      <c r="P92" s="179">
        <f t="shared" si="20"/>
        <v>0</v>
      </c>
      <c r="Q92" s="179">
        <f t="shared" si="20"/>
        <v>0</v>
      </c>
      <c r="R92" s="179">
        <f t="shared" si="20"/>
        <v>0</v>
      </c>
      <c r="S92" s="179">
        <f t="shared" si="20"/>
        <v>0</v>
      </c>
      <c r="T92" s="179">
        <f t="shared" si="20"/>
        <v>0</v>
      </c>
      <c r="U92" s="179">
        <f t="shared" si="20"/>
        <v>0</v>
      </c>
      <c r="V92" s="179">
        <f t="shared" si="20"/>
        <v>0</v>
      </c>
      <c r="W92" s="179">
        <f t="shared" si="20"/>
        <v>0</v>
      </c>
      <c r="X92" s="179">
        <f t="shared" si="20"/>
        <v>0</v>
      </c>
      <c r="Y92" s="179">
        <f t="shared" si="20"/>
        <v>0</v>
      </c>
      <c r="Z92" s="179">
        <f t="shared" si="20"/>
        <v>0</v>
      </c>
      <c r="AA92" s="179">
        <f t="shared" si="20"/>
        <v>0</v>
      </c>
      <c r="AB92" s="179">
        <f t="shared" si="20"/>
        <v>0</v>
      </c>
      <c r="AC92" s="179">
        <f t="shared" si="20"/>
        <v>0</v>
      </c>
      <c r="AD92" s="179">
        <f t="shared" si="20"/>
        <v>0</v>
      </c>
      <c r="AE92" s="179">
        <f t="shared" si="18"/>
        <v>0</v>
      </c>
      <c r="AF92" s="179">
        <f t="shared" si="18"/>
        <v>0</v>
      </c>
      <c r="AG92" s="179">
        <f t="shared" si="18"/>
        <v>0</v>
      </c>
      <c r="AH92" s="179">
        <f t="shared" si="18"/>
        <v>0</v>
      </c>
      <c r="AI92" s="179">
        <f t="shared" si="18"/>
        <v>0</v>
      </c>
      <c r="AJ92" s="179">
        <f t="shared" si="18"/>
        <v>0</v>
      </c>
      <c r="AK92" s="179">
        <f t="shared" si="18"/>
        <v>0</v>
      </c>
      <c r="AL92" s="179">
        <f t="shared" si="18"/>
        <v>0</v>
      </c>
      <c r="AM92" s="179">
        <f t="shared" si="18"/>
        <v>0</v>
      </c>
      <c r="AN92" s="179"/>
      <c r="AO92" s="179"/>
      <c r="AP92" s="179"/>
      <c r="AQ92" s="179"/>
      <c r="AR92" s="179"/>
      <c r="AS92" s="179"/>
    </row>
    <row r="93" spans="2:45">
      <c r="B93" s="249"/>
      <c r="C93" s="656" t="s">
        <v>1400</v>
      </c>
      <c r="D93" s="257" t="s">
        <v>1336</v>
      </c>
      <c r="E93" s="121" t="s">
        <v>740</v>
      </c>
      <c r="F93" s="205" t="s">
        <v>216</v>
      </c>
      <c r="H93" s="366">
        <f>IFERROR(VLOOKUP(F93,Assumptions_Dashboard!$C$38:$D$72,4,FALSE),)</f>
        <v>0</v>
      </c>
      <c r="J93" s="179"/>
      <c r="K93" s="179"/>
      <c r="L93" s="179"/>
      <c r="M93" s="179"/>
      <c r="N93" s="179">
        <f t="shared" si="19"/>
        <v>0</v>
      </c>
      <c r="O93" s="179">
        <f t="shared" si="20"/>
        <v>0</v>
      </c>
      <c r="P93" s="179">
        <f t="shared" si="20"/>
        <v>0</v>
      </c>
      <c r="Q93" s="179">
        <f t="shared" si="20"/>
        <v>0</v>
      </c>
      <c r="R93" s="179">
        <f t="shared" si="20"/>
        <v>0</v>
      </c>
      <c r="S93" s="179">
        <f t="shared" si="20"/>
        <v>0</v>
      </c>
      <c r="T93" s="179">
        <f t="shared" si="20"/>
        <v>0</v>
      </c>
      <c r="U93" s="179">
        <f t="shared" si="20"/>
        <v>0</v>
      </c>
      <c r="V93" s="179">
        <f t="shared" si="20"/>
        <v>0</v>
      </c>
      <c r="W93" s="179">
        <f t="shared" si="20"/>
        <v>0</v>
      </c>
      <c r="X93" s="179">
        <f t="shared" si="20"/>
        <v>0</v>
      </c>
      <c r="Y93" s="179">
        <f t="shared" si="20"/>
        <v>0</v>
      </c>
      <c r="Z93" s="179">
        <f t="shared" si="20"/>
        <v>0</v>
      </c>
      <c r="AA93" s="179">
        <f t="shared" si="20"/>
        <v>0</v>
      </c>
      <c r="AB93" s="179">
        <f t="shared" si="20"/>
        <v>0</v>
      </c>
      <c r="AC93" s="179">
        <f t="shared" si="20"/>
        <v>0</v>
      </c>
      <c r="AD93" s="179">
        <f t="shared" si="20"/>
        <v>0</v>
      </c>
      <c r="AE93" s="179">
        <f t="shared" si="18"/>
        <v>0</v>
      </c>
      <c r="AF93" s="179">
        <f t="shared" si="18"/>
        <v>0</v>
      </c>
      <c r="AG93" s="179">
        <f t="shared" si="18"/>
        <v>0</v>
      </c>
      <c r="AH93" s="179">
        <f t="shared" si="18"/>
        <v>0</v>
      </c>
      <c r="AI93" s="179">
        <f t="shared" si="18"/>
        <v>0</v>
      </c>
      <c r="AJ93" s="179">
        <f t="shared" si="18"/>
        <v>0</v>
      </c>
      <c r="AK93" s="179">
        <f t="shared" si="18"/>
        <v>0</v>
      </c>
      <c r="AL93" s="179">
        <f t="shared" si="18"/>
        <v>0</v>
      </c>
      <c r="AM93" s="179">
        <f t="shared" si="18"/>
        <v>0</v>
      </c>
      <c r="AN93" s="179"/>
      <c r="AO93" s="179"/>
      <c r="AP93" s="179"/>
      <c r="AQ93" s="179"/>
      <c r="AR93" s="179"/>
      <c r="AS93" s="179"/>
    </row>
    <row r="94" spans="2:45">
      <c r="B94" s="121"/>
      <c r="C94" s="656" t="s">
        <v>1401</v>
      </c>
      <c r="D94" s="257"/>
      <c r="E94" s="121" t="s">
        <v>740</v>
      </c>
      <c r="F94" s="205" t="s">
        <v>230</v>
      </c>
      <c r="G94">
        <f>IF(Sensitivity!$C$42="Departmental",0,15)</f>
        <v>0</v>
      </c>
      <c r="H94" s="366">
        <f>IFERROR(VLOOKUP(F94,Assumptions_Dashboard!$C$38:$D$72,4,FALSE),)</f>
        <v>0</v>
      </c>
      <c r="J94" s="179"/>
      <c r="K94" s="179"/>
      <c r="L94" s="179"/>
      <c r="M94" s="179"/>
      <c r="N94" s="179">
        <f t="shared" si="19"/>
        <v>0</v>
      </c>
      <c r="O94" s="179">
        <f t="shared" si="20"/>
        <v>0</v>
      </c>
      <c r="P94" s="179">
        <f t="shared" si="20"/>
        <v>0</v>
      </c>
      <c r="Q94" s="179">
        <f t="shared" si="20"/>
        <v>0</v>
      </c>
      <c r="R94" s="179">
        <f t="shared" si="20"/>
        <v>0</v>
      </c>
      <c r="S94" s="179">
        <f t="shared" si="20"/>
        <v>0</v>
      </c>
      <c r="T94" s="179">
        <f t="shared" si="20"/>
        <v>0</v>
      </c>
      <c r="U94" s="179">
        <f t="shared" si="20"/>
        <v>0</v>
      </c>
      <c r="V94" s="179">
        <f t="shared" si="20"/>
        <v>0</v>
      </c>
      <c r="W94" s="179">
        <f t="shared" si="20"/>
        <v>0</v>
      </c>
      <c r="X94" s="179">
        <f t="shared" si="20"/>
        <v>0</v>
      </c>
      <c r="Y94" s="179">
        <f t="shared" si="20"/>
        <v>0</v>
      </c>
      <c r="Z94" s="179">
        <f t="shared" si="20"/>
        <v>0</v>
      </c>
      <c r="AA94" s="179">
        <f t="shared" si="20"/>
        <v>0</v>
      </c>
      <c r="AB94" s="179">
        <f t="shared" si="20"/>
        <v>0</v>
      </c>
      <c r="AC94" s="179">
        <f t="shared" si="20"/>
        <v>0</v>
      </c>
      <c r="AD94" s="179">
        <f t="shared" si="20"/>
        <v>0</v>
      </c>
      <c r="AE94" s="179">
        <f t="shared" si="18"/>
        <v>0</v>
      </c>
      <c r="AF94" s="179">
        <f t="shared" si="18"/>
        <v>0</v>
      </c>
      <c r="AG94" s="179">
        <f t="shared" si="18"/>
        <v>0</v>
      </c>
      <c r="AH94" s="179">
        <f t="shared" si="18"/>
        <v>0</v>
      </c>
      <c r="AI94" s="179">
        <f t="shared" si="18"/>
        <v>0</v>
      </c>
      <c r="AJ94" s="179">
        <f t="shared" si="18"/>
        <v>0</v>
      </c>
      <c r="AK94" s="179">
        <f t="shared" si="18"/>
        <v>0</v>
      </c>
      <c r="AL94" s="179">
        <f t="shared" si="18"/>
        <v>0</v>
      </c>
      <c r="AM94" s="179">
        <f t="shared" si="18"/>
        <v>0</v>
      </c>
      <c r="AN94" s="179"/>
      <c r="AO94" s="179"/>
      <c r="AP94" s="179"/>
      <c r="AQ94" s="179"/>
      <c r="AR94" s="179"/>
      <c r="AS94" s="179"/>
    </row>
    <row r="95" spans="2:45">
      <c r="B95" s="121"/>
      <c r="C95" s="656" t="s">
        <v>1402</v>
      </c>
      <c r="D95" s="257"/>
      <c r="E95" s="121" t="s">
        <v>740</v>
      </c>
      <c r="F95" s="205" t="s">
        <v>223</v>
      </c>
      <c r="G95">
        <f>IF(Sensitivity!$C$42="Departmental",0,1)</f>
        <v>0</v>
      </c>
      <c r="H95" s="366">
        <f>IFERROR(VLOOKUP(F95,Assumptions_Dashboard!$C$38:$D$72,4,FALSE),)</f>
        <v>0</v>
      </c>
      <c r="J95" s="179"/>
      <c r="K95" s="179"/>
      <c r="L95" s="179"/>
      <c r="M95" s="179"/>
      <c r="N95" s="179">
        <f t="shared" si="19"/>
        <v>0</v>
      </c>
      <c r="O95" s="179">
        <f t="shared" si="20"/>
        <v>0</v>
      </c>
      <c r="P95" s="179">
        <f t="shared" si="20"/>
        <v>0</v>
      </c>
      <c r="Q95" s="179">
        <f t="shared" si="20"/>
        <v>0</v>
      </c>
      <c r="R95" s="179">
        <f t="shared" si="20"/>
        <v>0</v>
      </c>
      <c r="S95" s="179">
        <f t="shared" si="20"/>
        <v>0</v>
      </c>
      <c r="T95" s="179">
        <f t="shared" si="20"/>
        <v>0</v>
      </c>
      <c r="U95" s="179">
        <f t="shared" si="20"/>
        <v>0</v>
      </c>
      <c r="V95" s="179">
        <f t="shared" si="20"/>
        <v>0</v>
      </c>
      <c r="W95" s="179">
        <f t="shared" si="20"/>
        <v>0</v>
      </c>
      <c r="X95" s="179">
        <f t="shared" si="20"/>
        <v>0</v>
      </c>
      <c r="Y95" s="179">
        <f t="shared" si="20"/>
        <v>0</v>
      </c>
      <c r="Z95" s="179">
        <f t="shared" si="20"/>
        <v>0</v>
      </c>
      <c r="AA95" s="179">
        <f t="shared" si="20"/>
        <v>0</v>
      </c>
      <c r="AB95" s="179">
        <f t="shared" si="20"/>
        <v>0</v>
      </c>
      <c r="AC95" s="179">
        <f t="shared" si="20"/>
        <v>0</v>
      </c>
      <c r="AD95" s="179">
        <f t="shared" si="20"/>
        <v>0</v>
      </c>
      <c r="AE95" s="179">
        <f t="shared" si="18"/>
        <v>0</v>
      </c>
      <c r="AF95" s="179">
        <f t="shared" si="18"/>
        <v>0</v>
      </c>
      <c r="AG95" s="179">
        <f t="shared" si="18"/>
        <v>0</v>
      </c>
      <c r="AH95" s="179">
        <f t="shared" si="18"/>
        <v>0</v>
      </c>
      <c r="AI95" s="179">
        <f t="shared" si="18"/>
        <v>0</v>
      </c>
      <c r="AJ95" s="179">
        <f t="shared" si="18"/>
        <v>0</v>
      </c>
      <c r="AK95" s="179">
        <f t="shared" si="18"/>
        <v>0</v>
      </c>
      <c r="AL95" s="179">
        <f t="shared" si="18"/>
        <v>0</v>
      </c>
      <c r="AM95" s="179">
        <f t="shared" si="18"/>
        <v>0</v>
      </c>
      <c r="AN95" s="179"/>
      <c r="AO95" s="179"/>
      <c r="AP95" s="179"/>
      <c r="AQ95" s="179"/>
      <c r="AR95" s="179"/>
      <c r="AS95" s="179"/>
    </row>
    <row r="96" spans="2:45">
      <c r="B96" s="121"/>
      <c r="C96" s="656" t="s">
        <v>1403</v>
      </c>
      <c r="D96" s="257"/>
      <c r="E96" s="121" t="s">
        <v>740</v>
      </c>
      <c r="F96" s="205" t="s">
        <v>223</v>
      </c>
      <c r="G96">
        <f>IF(Sensitivity!$C$42="Departmental",0,1)</f>
        <v>0</v>
      </c>
      <c r="H96" s="366">
        <f>IFERROR(VLOOKUP(F96,Assumptions_Dashboard!$C$38:$D$72,4,FALSE),)</f>
        <v>0</v>
      </c>
      <c r="J96" s="179"/>
      <c r="K96" s="179"/>
      <c r="L96" s="179"/>
      <c r="M96" s="179"/>
      <c r="N96" s="179">
        <f t="shared" si="19"/>
        <v>0</v>
      </c>
      <c r="O96" s="179">
        <f t="shared" si="20"/>
        <v>0</v>
      </c>
      <c r="P96" s="179">
        <f t="shared" si="20"/>
        <v>0</v>
      </c>
      <c r="Q96" s="179">
        <f t="shared" si="20"/>
        <v>0</v>
      </c>
      <c r="R96" s="179">
        <f t="shared" si="20"/>
        <v>0</v>
      </c>
      <c r="S96" s="179">
        <f t="shared" si="20"/>
        <v>0</v>
      </c>
      <c r="T96" s="179">
        <f t="shared" si="20"/>
        <v>0</v>
      </c>
      <c r="U96" s="179">
        <f t="shared" si="20"/>
        <v>0</v>
      </c>
      <c r="V96" s="179">
        <f t="shared" si="20"/>
        <v>0</v>
      </c>
      <c r="W96" s="179">
        <f t="shared" si="20"/>
        <v>0</v>
      </c>
      <c r="X96" s="179">
        <f t="shared" si="20"/>
        <v>0</v>
      </c>
      <c r="Y96" s="179">
        <f t="shared" si="20"/>
        <v>0</v>
      </c>
      <c r="Z96" s="179">
        <f t="shared" si="20"/>
        <v>0</v>
      </c>
      <c r="AA96" s="179">
        <f t="shared" si="20"/>
        <v>0</v>
      </c>
      <c r="AB96" s="179">
        <f t="shared" si="20"/>
        <v>0</v>
      </c>
      <c r="AC96" s="179">
        <f t="shared" si="20"/>
        <v>0</v>
      </c>
      <c r="AD96" s="179">
        <f t="shared" si="20"/>
        <v>0</v>
      </c>
      <c r="AE96" s="179">
        <f t="shared" si="18"/>
        <v>0</v>
      </c>
      <c r="AF96" s="179">
        <f t="shared" si="18"/>
        <v>0</v>
      </c>
      <c r="AG96" s="179">
        <f t="shared" si="18"/>
        <v>0</v>
      </c>
      <c r="AH96" s="179">
        <f t="shared" si="18"/>
        <v>0</v>
      </c>
      <c r="AI96" s="179">
        <f t="shared" si="18"/>
        <v>0</v>
      </c>
      <c r="AJ96" s="179">
        <f t="shared" si="18"/>
        <v>0</v>
      </c>
      <c r="AK96" s="179">
        <f t="shared" si="18"/>
        <v>0</v>
      </c>
      <c r="AL96" s="179">
        <f t="shared" si="18"/>
        <v>0</v>
      </c>
      <c r="AM96" s="179">
        <f t="shared" si="18"/>
        <v>0</v>
      </c>
      <c r="AN96" s="179"/>
      <c r="AO96" s="179"/>
      <c r="AP96" s="179"/>
      <c r="AQ96" s="179"/>
      <c r="AR96" s="179"/>
      <c r="AS96" s="179"/>
    </row>
    <row r="97" spans="2:45">
      <c r="B97" s="121"/>
      <c r="C97" s="186" t="s">
        <v>1404</v>
      </c>
      <c r="D97" s="257"/>
      <c r="E97" s="121"/>
      <c r="F97" s="205"/>
      <c r="H97" s="366">
        <f>IFERROR(VLOOKUP(F97,Assumptions_Dashboard!$C$38:$D$72,4,FALSE),)</f>
        <v>0</v>
      </c>
      <c r="J97" s="179"/>
      <c r="K97" s="179"/>
      <c r="L97" s="179"/>
      <c r="M97" s="179"/>
      <c r="N97" s="179">
        <f t="shared" si="19"/>
        <v>0</v>
      </c>
      <c r="O97" s="179">
        <f t="shared" si="20"/>
        <v>0</v>
      </c>
      <c r="P97" s="179">
        <f t="shared" si="20"/>
        <v>0</v>
      </c>
      <c r="Q97" s="179">
        <f t="shared" si="20"/>
        <v>0</v>
      </c>
      <c r="R97" s="179">
        <f t="shared" si="20"/>
        <v>0</v>
      </c>
      <c r="S97" s="179">
        <f t="shared" si="20"/>
        <v>0</v>
      </c>
      <c r="T97" s="179">
        <f t="shared" si="20"/>
        <v>0</v>
      </c>
      <c r="U97" s="179">
        <f t="shared" si="20"/>
        <v>0</v>
      </c>
      <c r="V97" s="179">
        <f t="shared" si="20"/>
        <v>0</v>
      </c>
      <c r="W97" s="179">
        <f t="shared" si="20"/>
        <v>0</v>
      </c>
      <c r="X97" s="179">
        <f t="shared" si="20"/>
        <v>0</v>
      </c>
      <c r="Y97" s="179">
        <f t="shared" si="20"/>
        <v>0</v>
      </c>
      <c r="Z97" s="179">
        <f t="shared" si="20"/>
        <v>0</v>
      </c>
      <c r="AA97" s="179">
        <f t="shared" si="20"/>
        <v>0</v>
      </c>
      <c r="AB97" s="179">
        <f t="shared" si="20"/>
        <v>0</v>
      </c>
      <c r="AC97" s="179">
        <f t="shared" si="20"/>
        <v>0</v>
      </c>
      <c r="AD97" s="179">
        <f t="shared" si="20"/>
        <v>0</v>
      </c>
      <c r="AE97" s="179">
        <f t="shared" si="18"/>
        <v>0</v>
      </c>
      <c r="AF97" s="179">
        <f t="shared" si="18"/>
        <v>0</v>
      </c>
      <c r="AG97" s="179">
        <f t="shared" si="18"/>
        <v>0</v>
      </c>
      <c r="AH97" s="179">
        <f t="shared" si="18"/>
        <v>0</v>
      </c>
      <c r="AI97" s="179">
        <f t="shared" si="18"/>
        <v>0</v>
      </c>
      <c r="AJ97" s="179">
        <f t="shared" si="18"/>
        <v>0</v>
      </c>
      <c r="AK97" s="179">
        <f t="shared" si="18"/>
        <v>0</v>
      </c>
      <c r="AL97" s="179">
        <f t="shared" si="18"/>
        <v>0</v>
      </c>
      <c r="AM97" s="179">
        <f t="shared" si="18"/>
        <v>0</v>
      </c>
      <c r="AN97" s="179"/>
      <c r="AO97" s="179"/>
      <c r="AP97" s="179"/>
      <c r="AQ97" s="179"/>
      <c r="AR97" s="179"/>
      <c r="AS97" s="179"/>
    </row>
    <row r="98" spans="2:45">
      <c r="C98" s="655" t="s">
        <v>1405</v>
      </c>
      <c r="D98" s="257" t="s">
        <v>1336</v>
      </c>
      <c r="E98" s="121" t="s">
        <v>740</v>
      </c>
      <c r="F98" s="205" t="s">
        <v>212</v>
      </c>
      <c r="H98" s="366">
        <f>IFERROR(VLOOKUP(F98,Assumptions_Dashboard!$C$38:$D$72,4,FALSE),)</f>
        <v>0</v>
      </c>
      <c r="J98" s="179"/>
      <c r="K98" s="179"/>
      <c r="L98" s="179"/>
      <c r="M98" s="179"/>
      <c r="N98" s="179">
        <f t="shared" si="19"/>
        <v>0</v>
      </c>
      <c r="O98" s="179">
        <f t="shared" si="20"/>
        <v>0</v>
      </c>
      <c r="P98" s="179">
        <f t="shared" si="20"/>
        <v>0</v>
      </c>
      <c r="Q98" s="179">
        <f t="shared" si="20"/>
        <v>0</v>
      </c>
      <c r="R98" s="179">
        <f t="shared" si="20"/>
        <v>0</v>
      </c>
      <c r="S98" s="179">
        <f t="shared" si="20"/>
        <v>0</v>
      </c>
      <c r="T98" s="179">
        <f t="shared" si="20"/>
        <v>0</v>
      </c>
      <c r="U98" s="179">
        <f t="shared" si="20"/>
        <v>0</v>
      </c>
      <c r="V98" s="179">
        <f t="shared" si="20"/>
        <v>0</v>
      </c>
      <c r="W98" s="179">
        <f t="shared" si="20"/>
        <v>0</v>
      </c>
      <c r="X98" s="179">
        <f t="shared" si="20"/>
        <v>0</v>
      </c>
      <c r="Y98" s="179">
        <f t="shared" si="20"/>
        <v>0</v>
      </c>
      <c r="Z98" s="179">
        <f t="shared" si="20"/>
        <v>0</v>
      </c>
      <c r="AA98" s="179">
        <f t="shared" si="20"/>
        <v>0</v>
      </c>
      <c r="AB98" s="179">
        <f t="shared" si="20"/>
        <v>0</v>
      </c>
      <c r="AC98" s="179">
        <f t="shared" si="20"/>
        <v>0</v>
      </c>
      <c r="AD98" s="179">
        <f t="shared" si="20"/>
        <v>0</v>
      </c>
      <c r="AE98" s="179">
        <f t="shared" ref="AE98:AM98" si="21">AD98</f>
        <v>0</v>
      </c>
      <c r="AF98" s="179">
        <f t="shared" si="21"/>
        <v>0</v>
      </c>
      <c r="AG98" s="179">
        <f t="shared" si="21"/>
        <v>0</v>
      </c>
      <c r="AH98" s="179">
        <f t="shared" si="21"/>
        <v>0</v>
      </c>
      <c r="AI98" s="179">
        <f t="shared" si="21"/>
        <v>0</v>
      </c>
      <c r="AJ98" s="179">
        <f t="shared" si="21"/>
        <v>0</v>
      </c>
      <c r="AK98" s="179">
        <f t="shared" si="21"/>
        <v>0</v>
      </c>
      <c r="AL98" s="179">
        <f t="shared" si="21"/>
        <v>0</v>
      </c>
      <c r="AM98" s="179">
        <f t="shared" si="21"/>
        <v>0</v>
      </c>
      <c r="AN98" s="179"/>
      <c r="AO98" s="179"/>
      <c r="AP98" s="179"/>
      <c r="AQ98" s="179"/>
      <c r="AR98" s="179"/>
      <c r="AS98" s="179"/>
    </row>
    <row r="99" spans="2:45">
      <c r="B99" s="117"/>
      <c r="C99" s="655" t="s">
        <v>1406</v>
      </c>
      <c r="D99" s="257" t="s">
        <v>1336</v>
      </c>
      <c r="E99" s="121" t="s">
        <v>740</v>
      </c>
      <c r="F99" s="95" t="s">
        <v>206</v>
      </c>
      <c r="H99" s="366">
        <f>IFERROR(VLOOKUP(F99,Assumptions_Dashboard!$C$38:$D$72,4,FALSE),)</f>
        <v>0</v>
      </c>
      <c r="J99" s="179"/>
      <c r="K99" s="179"/>
      <c r="L99" s="179"/>
      <c r="M99" s="179"/>
      <c r="N99" s="179">
        <f t="shared" si="19"/>
        <v>0</v>
      </c>
      <c r="O99" s="179">
        <f t="shared" si="20"/>
        <v>0</v>
      </c>
      <c r="P99" s="179">
        <f t="shared" si="20"/>
        <v>0</v>
      </c>
      <c r="Q99" s="179">
        <f t="shared" si="20"/>
        <v>0</v>
      </c>
      <c r="R99" s="179">
        <f t="shared" si="20"/>
        <v>0</v>
      </c>
      <c r="S99" s="179">
        <f t="shared" si="20"/>
        <v>0</v>
      </c>
      <c r="T99" s="179">
        <f t="shared" si="20"/>
        <v>0</v>
      </c>
      <c r="U99" s="179">
        <f t="shared" si="20"/>
        <v>0</v>
      </c>
      <c r="V99" s="179">
        <f t="shared" si="20"/>
        <v>0</v>
      </c>
      <c r="W99" s="179">
        <f t="shared" si="20"/>
        <v>0</v>
      </c>
      <c r="X99" s="179">
        <f t="shared" si="20"/>
        <v>0</v>
      </c>
      <c r="Y99" s="179">
        <f t="shared" si="20"/>
        <v>0</v>
      </c>
      <c r="Z99" s="179">
        <f t="shared" si="20"/>
        <v>0</v>
      </c>
      <c r="AA99" s="179">
        <f t="shared" si="20"/>
        <v>0</v>
      </c>
      <c r="AB99" s="179">
        <f t="shared" si="20"/>
        <v>0</v>
      </c>
      <c r="AC99" s="179">
        <f t="shared" si="20"/>
        <v>0</v>
      </c>
      <c r="AD99" s="179">
        <f t="shared" ref="AD99:AM99" si="22">AC99</f>
        <v>0</v>
      </c>
      <c r="AE99" s="179">
        <f t="shared" si="22"/>
        <v>0</v>
      </c>
      <c r="AF99" s="179">
        <f t="shared" si="22"/>
        <v>0</v>
      </c>
      <c r="AG99" s="179">
        <f t="shared" si="22"/>
        <v>0</v>
      </c>
      <c r="AH99" s="179">
        <f t="shared" si="22"/>
        <v>0</v>
      </c>
      <c r="AI99" s="179">
        <f t="shared" si="22"/>
        <v>0</v>
      </c>
      <c r="AJ99" s="179">
        <f t="shared" si="22"/>
        <v>0</v>
      </c>
      <c r="AK99" s="179">
        <f t="shared" si="22"/>
        <v>0</v>
      </c>
      <c r="AL99" s="179">
        <f t="shared" si="22"/>
        <v>0</v>
      </c>
      <c r="AM99" s="179">
        <f t="shared" si="22"/>
        <v>0</v>
      </c>
      <c r="AN99" s="179"/>
      <c r="AO99" s="179"/>
      <c r="AP99" s="179"/>
      <c r="AQ99" s="179"/>
      <c r="AR99" s="179"/>
      <c r="AS99" s="179"/>
    </row>
    <row r="100" spans="2:45">
      <c r="B100" s="117"/>
      <c r="C100" s="655" t="s">
        <v>1407</v>
      </c>
      <c r="D100" s="257"/>
      <c r="E100" s="121" t="s">
        <v>740</v>
      </c>
      <c r="F100" s="205" t="s">
        <v>211</v>
      </c>
      <c r="G100">
        <f>IF(Sensitivity!$C$42="Departmental",0,3)</f>
        <v>0</v>
      </c>
      <c r="H100" s="366">
        <f>IFERROR(VLOOKUP(F100,Assumptions_Dashboard!$C$38:$D$72,4,FALSE),)</f>
        <v>0</v>
      </c>
      <c r="J100" s="179"/>
      <c r="K100" s="179"/>
      <c r="L100" s="179"/>
      <c r="M100" s="179"/>
      <c r="N100" s="179">
        <f t="shared" si="19"/>
        <v>0</v>
      </c>
      <c r="O100" s="179">
        <f t="shared" ref="O100:AM108" si="23">N100</f>
        <v>0</v>
      </c>
      <c r="P100" s="179">
        <f t="shared" si="23"/>
        <v>0</v>
      </c>
      <c r="Q100" s="179">
        <f t="shared" si="23"/>
        <v>0</v>
      </c>
      <c r="R100" s="179">
        <f t="shared" si="23"/>
        <v>0</v>
      </c>
      <c r="S100" s="179">
        <f t="shared" si="23"/>
        <v>0</v>
      </c>
      <c r="T100" s="179">
        <f t="shared" si="23"/>
        <v>0</v>
      </c>
      <c r="U100" s="179">
        <f t="shared" si="23"/>
        <v>0</v>
      </c>
      <c r="V100" s="179">
        <f t="shared" si="23"/>
        <v>0</v>
      </c>
      <c r="W100" s="179">
        <f t="shared" si="23"/>
        <v>0</v>
      </c>
      <c r="X100" s="179">
        <f t="shared" si="23"/>
        <v>0</v>
      </c>
      <c r="Y100" s="179">
        <f t="shared" si="23"/>
        <v>0</v>
      </c>
      <c r="Z100" s="179">
        <f t="shared" si="23"/>
        <v>0</v>
      </c>
      <c r="AA100" s="179">
        <f t="shared" si="23"/>
        <v>0</v>
      </c>
      <c r="AB100" s="179">
        <f t="shared" si="23"/>
        <v>0</v>
      </c>
      <c r="AC100" s="179">
        <f t="shared" si="23"/>
        <v>0</v>
      </c>
      <c r="AD100" s="179">
        <f t="shared" si="23"/>
        <v>0</v>
      </c>
      <c r="AE100" s="179">
        <f t="shared" si="23"/>
        <v>0</v>
      </c>
      <c r="AF100" s="179">
        <f t="shared" si="23"/>
        <v>0</v>
      </c>
      <c r="AG100" s="179">
        <f t="shared" si="23"/>
        <v>0</v>
      </c>
      <c r="AH100" s="179">
        <f t="shared" si="23"/>
        <v>0</v>
      </c>
      <c r="AI100" s="179">
        <f t="shared" si="23"/>
        <v>0</v>
      </c>
      <c r="AJ100" s="179">
        <f t="shared" si="23"/>
        <v>0</v>
      </c>
      <c r="AK100" s="179">
        <f t="shared" si="23"/>
        <v>0</v>
      </c>
      <c r="AL100" s="179">
        <f t="shared" si="23"/>
        <v>0</v>
      </c>
      <c r="AM100" s="179">
        <f t="shared" si="23"/>
        <v>0</v>
      </c>
      <c r="AN100" s="179"/>
      <c r="AO100" s="179"/>
      <c r="AP100" s="179"/>
      <c r="AQ100" s="179"/>
      <c r="AR100" s="179"/>
      <c r="AS100" s="179"/>
    </row>
    <row r="101" spans="2:45">
      <c r="B101" s="117"/>
      <c r="C101" s="655" t="s">
        <v>1408</v>
      </c>
      <c r="D101" s="257"/>
      <c r="E101" s="121" t="s">
        <v>740</v>
      </c>
      <c r="F101" s="205" t="s">
        <v>218</v>
      </c>
      <c r="G101">
        <f>IF(Sensitivity!$C$42="Departmental",0,6)</f>
        <v>0</v>
      </c>
      <c r="H101" s="366">
        <f>IFERROR(VLOOKUP(F101,Assumptions_Dashboard!$C$38:$D$72,4,FALSE),)</f>
        <v>0</v>
      </c>
      <c r="J101" s="179"/>
      <c r="K101" s="179"/>
      <c r="L101" s="179"/>
      <c r="M101" s="179"/>
      <c r="N101" s="179">
        <f t="shared" si="19"/>
        <v>0</v>
      </c>
      <c r="O101" s="179">
        <f t="shared" si="23"/>
        <v>0</v>
      </c>
      <c r="P101" s="179">
        <f t="shared" si="23"/>
        <v>0</v>
      </c>
      <c r="Q101" s="179">
        <f t="shared" si="23"/>
        <v>0</v>
      </c>
      <c r="R101" s="179">
        <f t="shared" si="23"/>
        <v>0</v>
      </c>
      <c r="S101" s="179">
        <f t="shared" si="23"/>
        <v>0</v>
      </c>
      <c r="T101" s="179">
        <f t="shared" si="23"/>
        <v>0</v>
      </c>
      <c r="U101" s="179">
        <f t="shared" si="23"/>
        <v>0</v>
      </c>
      <c r="V101" s="179">
        <f t="shared" si="23"/>
        <v>0</v>
      </c>
      <c r="W101" s="179">
        <f t="shared" si="23"/>
        <v>0</v>
      </c>
      <c r="X101" s="179">
        <f t="shared" si="23"/>
        <v>0</v>
      </c>
      <c r="Y101" s="179">
        <f t="shared" si="23"/>
        <v>0</v>
      </c>
      <c r="Z101" s="179">
        <f t="shared" si="23"/>
        <v>0</v>
      </c>
      <c r="AA101" s="179">
        <f t="shared" si="23"/>
        <v>0</v>
      </c>
      <c r="AB101" s="179">
        <f t="shared" si="23"/>
        <v>0</v>
      </c>
      <c r="AC101" s="179">
        <f t="shared" si="23"/>
        <v>0</v>
      </c>
      <c r="AD101" s="179">
        <f t="shared" si="23"/>
        <v>0</v>
      </c>
      <c r="AE101" s="179">
        <f t="shared" si="23"/>
        <v>0</v>
      </c>
      <c r="AF101" s="179">
        <f t="shared" si="23"/>
        <v>0</v>
      </c>
      <c r="AG101" s="179">
        <f t="shared" si="23"/>
        <v>0</v>
      </c>
      <c r="AH101" s="179">
        <f t="shared" si="23"/>
        <v>0</v>
      </c>
      <c r="AI101" s="179">
        <f t="shared" si="23"/>
        <v>0</v>
      </c>
      <c r="AJ101" s="179">
        <f t="shared" si="23"/>
        <v>0</v>
      </c>
      <c r="AK101" s="179">
        <f t="shared" si="23"/>
        <v>0</v>
      </c>
      <c r="AL101" s="179">
        <f t="shared" si="23"/>
        <v>0</v>
      </c>
      <c r="AM101" s="179">
        <f t="shared" si="23"/>
        <v>0</v>
      </c>
      <c r="AN101" s="179"/>
      <c r="AO101" s="179"/>
      <c r="AP101" s="179"/>
      <c r="AQ101" s="179"/>
      <c r="AR101" s="179"/>
      <c r="AS101" s="179"/>
    </row>
    <row r="102" spans="2:45">
      <c r="B102" s="121"/>
      <c r="C102" s="655" t="s">
        <v>1409</v>
      </c>
      <c r="D102" s="257"/>
      <c r="E102" s="121" t="s">
        <v>740</v>
      </c>
      <c r="F102" s="205"/>
      <c r="H102" s="366">
        <f>IFERROR(VLOOKUP(F102,Assumptions_Dashboard!$C$38:$D$72,4,FALSE),)</f>
        <v>0</v>
      </c>
      <c r="J102" s="179"/>
      <c r="K102" s="179"/>
      <c r="L102" s="179"/>
      <c r="M102" s="179"/>
      <c r="N102" s="179">
        <f t="shared" si="19"/>
        <v>0</v>
      </c>
      <c r="O102" s="179">
        <f t="shared" si="23"/>
        <v>0</v>
      </c>
      <c r="P102" s="179">
        <f t="shared" si="23"/>
        <v>0</v>
      </c>
      <c r="Q102" s="179">
        <f t="shared" si="23"/>
        <v>0</v>
      </c>
      <c r="R102" s="179">
        <f t="shared" si="23"/>
        <v>0</v>
      </c>
      <c r="S102" s="179">
        <f t="shared" si="23"/>
        <v>0</v>
      </c>
      <c r="T102" s="179">
        <f t="shared" si="23"/>
        <v>0</v>
      </c>
      <c r="U102" s="179">
        <f t="shared" si="23"/>
        <v>0</v>
      </c>
      <c r="V102" s="179">
        <f t="shared" si="23"/>
        <v>0</v>
      </c>
      <c r="W102" s="179">
        <f t="shared" si="23"/>
        <v>0</v>
      </c>
      <c r="X102" s="179">
        <f t="shared" si="23"/>
        <v>0</v>
      </c>
      <c r="Y102" s="179">
        <f t="shared" si="23"/>
        <v>0</v>
      </c>
      <c r="Z102" s="179">
        <f t="shared" si="23"/>
        <v>0</v>
      </c>
      <c r="AA102" s="179">
        <f t="shared" si="23"/>
        <v>0</v>
      </c>
      <c r="AB102" s="179">
        <f t="shared" si="23"/>
        <v>0</v>
      </c>
      <c r="AC102" s="179">
        <f t="shared" si="23"/>
        <v>0</v>
      </c>
      <c r="AD102" s="179">
        <f t="shared" si="23"/>
        <v>0</v>
      </c>
      <c r="AE102" s="179">
        <f t="shared" si="23"/>
        <v>0</v>
      </c>
      <c r="AF102" s="179">
        <f t="shared" si="23"/>
        <v>0</v>
      </c>
      <c r="AG102" s="179">
        <f t="shared" si="23"/>
        <v>0</v>
      </c>
      <c r="AH102" s="179">
        <f t="shared" si="23"/>
        <v>0</v>
      </c>
      <c r="AI102" s="179">
        <f t="shared" si="23"/>
        <v>0</v>
      </c>
      <c r="AJ102" s="179">
        <f t="shared" si="23"/>
        <v>0</v>
      </c>
      <c r="AK102" s="179">
        <f t="shared" si="23"/>
        <v>0</v>
      </c>
      <c r="AL102" s="179">
        <f t="shared" si="23"/>
        <v>0</v>
      </c>
      <c r="AM102" s="179">
        <f t="shared" si="23"/>
        <v>0</v>
      </c>
      <c r="AN102" s="179"/>
      <c r="AO102" s="179"/>
      <c r="AP102" s="179"/>
      <c r="AQ102" s="179"/>
      <c r="AR102" s="179"/>
      <c r="AS102" s="179"/>
    </row>
    <row r="103" spans="2:45">
      <c r="B103" s="121"/>
      <c r="C103" s="655" t="s">
        <v>1410</v>
      </c>
      <c r="D103" s="257"/>
      <c r="E103" s="121" t="s">
        <v>740</v>
      </c>
      <c r="F103" s="205" t="s">
        <v>218</v>
      </c>
      <c r="G103">
        <f>IF(Sensitivity!$C$42="Departmental",0,3)</f>
        <v>0</v>
      </c>
      <c r="H103" s="366">
        <f>IFERROR(VLOOKUP(F103,Assumptions_Dashboard!$C$38:$D$72,4,FALSE),)</f>
        <v>0</v>
      </c>
      <c r="J103" s="179"/>
      <c r="K103" s="179"/>
      <c r="L103" s="179"/>
      <c r="M103" s="179"/>
      <c r="N103" s="179">
        <f t="shared" si="19"/>
        <v>0</v>
      </c>
      <c r="O103" s="179">
        <f t="shared" si="23"/>
        <v>0</v>
      </c>
      <c r="P103" s="179">
        <f t="shared" si="23"/>
        <v>0</v>
      </c>
      <c r="Q103" s="179">
        <f t="shared" si="23"/>
        <v>0</v>
      </c>
      <c r="R103" s="179">
        <f t="shared" si="23"/>
        <v>0</v>
      </c>
      <c r="S103" s="179">
        <f t="shared" si="23"/>
        <v>0</v>
      </c>
      <c r="T103" s="179">
        <f t="shared" si="23"/>
        <v>0</v>
      </c>
      <c r="U103" s="179">
        <f t="shared" si="23"/>
        <v>0</v>
      </c>
      <c r="V103" s="179">
        <f t="shared" si="23"/>
        <v>0</v>
      </c>
      <c r="W103" s="179">
        <f t="shared" si="23"/>
        <v>0</v>
      </c>
      <c r="X103" s="179">
        <f t="shared" si="23"/>
        <v>0</v>
      </c>
      <c r="Y103" s="179">
        <f t="shared" si="23"/>
        <v>0</v>
      </c>
      <c r="Z103" s="179">
        <f t="shared" si="23"/>
        <v>0</v>
      </c>
      <c r="AA103" s="179">
        <f t="shared" si="23"/>
        <v>0</v>
      </c>
      <c r="AB103" s="179">
        <f t="shared" si="23"/>
        <v>0</v>
      </c>
      <c r="AC103" s="179">
        <f t="shared" si="23"/>
        <v>0</v>
      </c>
      <c r="AD103" s="179">
        <f t="shared" si="23"/>
        <v>0</v>
      </c>
      <c r="AE103" s="179">
        <f t="shared" si="23"/>
        <v>0</v>
      </c>
      <c r="AF103" s="179">
        <f t="shared" si="23"/>
        <v>0</v>
      </c>
      <c r="AG103" s="179">
        <f t="shared" si="23"/>
        <v>0</v>
      </c>
      <c r="AH103" s="179">
        <f t="shared" si="23"/>
        <v>0</v>
      </c>
      <c r="AI103" s="179">
        <f t="shared" si="23"/>
        <v>0</v>
      </c>
      <c r="AJ103" s="179">
        <f t="shared" si="23"/>
        <v>0</v>
      </c>
      <c r="AK103" s="179">
        <f t="shared" si="23"/>
        <v>0</v>
      </c>
      <c r="AL103" s="179">
        <f t="shared" si="23"/>
        <v>0</v>
      </c>
      <c r="AM103" s="179">
        <f t="shared" si="23"/>
        <v>0</v>
      </c>
      <c r="AN103" s="179"/>
      <c r="AO103" s="179"/>
      <c r="AP103" s="179"/>
      <c r="AQ103" s="179"/>
      <c r="AR103" s="179"/>
      <c r="AS103" s="179"/>
    </row>
    <row r="104" spans="2:45">
      <c r="B104" s="121"/>
      <c r="C104" s="655" t="s">
        <v>1411</v>
      </c>
      <c r="D104" s="257"/>
      <c r="E104" s="121" t="s">
        <v>740</v>
      </c>
      <c r="F104" s="205" t="s">
        <v>216</v>
      </c>
      <c r="G104">
        <f>IF(Sensitivity!$C$42="Departmental",0,3)</f>
        <v>0</v>
      </c>
      <c r="H104" s="366">
        <f>IFERROR(VLOOKUP(F104,Assumptions_Dashboard!$C$38:$D$72,4,FALSE),)</f>
        <v>0</v>
      </c>
      <c r="J104" s="179"/>
      <c r="K104" s="179"/>
      <c r="L104" s="179"/>
      <c r="M104" s="179"/>
      <c r="N104" s="179">
        <f t="shared" si="19"/>
        <v>0</v>
      </c>
      <c r="O104" s="179">
        <f t="shared" si="23"/>
        <v>0</v>
      </c>
      <c r="P104" s="179">
        <f t="shared" si="23"/>
        <v>0</v>
      </c>
      <c r="Q104" s="179">
        <f t="shared" si="23"/>
        <v>0</v>
      </c>
      <c r="R104" s="179">
        <f t="shared" si="23"/>
        <v>0</v>
      </c>
      <c r="S104" s="179">
        <f t="shared" si="23"/>
        <v>0</v>
      </c>
      <c r="T104" s="179">
        <f t="shared" si="23"/>
        <v>0</v>
      </c>
      <c r="U104" s="179">
        <f t="shared" si="23"/>
        <v>0</v>
      </c>
      <c r="V104" s="179">
        <f t="shared" si="23"/>
        <v>0</v>
      </c>
      <c r="W104" s="179">
        <f t="shared" si="23"/>
        <v>0</v>
      </c>
      <c r="X104" s="179">
        <f t="shared" si="23"/>
        <v>0</v>
      </c>
      <c r="Y104" s="179">
        <f t="shared" si="23"/>
        <v>0</v>
      </c>
      <c r="Z104" s="179">
        <f t="shared" si="23"/>
        <v>0</v>
      </c>
      <c r="AA104" s="179">
        <f t="shared" si="23"/>
        <v>0</v>
      </c>
      <c r="AB104" s="179">
        <f t="shared" si="23"/>
        <v>0</v>
      </c>
      <c r="AC104" s="179">
        <f t="shared" si="23"/>
        <v>0</v>
      </c>
      <c r="AD104" s="179">
        <f t="shared" si="23"/>
        <v>0</v>
      </c>
      <c r="AE104" s="179">
        <f t="shared" si="23"/>
        <v>0</v>
      </c>
      <c r="AF104" s="179">
        <f t="shared" si="23"/>
        <v>0</v>
      </c>
      <c r="AG104" s="179">
        <f t="shared" si="23"/>
        <v>0</v>
      </c>
      <c r="AH104" s="179">
        <f t="shared" si="23"/>
        <v>0</v>
      </c>
      <c r="AI104" s="179">
        <f t="shared" si="23"/>
        <v>0</v>
      </c>
      <c r="AJ104" s="179">
        <f t="shared" si="23"/>
        <v>0</v>
      </c>
      <c r="AK104" s="179">
        <f t="shared" si="23"/>
        <v>0</v>
      </c>
      <c r="AL104" s="179">
        <f t="shared" si="23"/>
        <v>0</v>
      </c>
      <c r="AM104" s="179">
        <f t="shared" si="23"/>
        <v>0</v>
      </c>
      <c r="AN104" s="179"/>
      <c r="AO104" s="179"/>
      <c r="AP104" s="179"/>
      <c r="AQ104" s="179"/>
      <c r="AR104" s="179"/>
      <c r="AS104" s="179"/>
    </row>
    <row r="105" spans="2:45">
      <c r="B105" s="121"/>
      <c r="C105" s="655" t="s">
        <v>1392</v>
      </c>
      <c r="D105" s="257"/>
      <c r="E105" s="121" t="s">
        <v>740</v>
      </c>
      <c r="F105" s="205" t="s">
        <v>220</v>
      </c>
      <c r="G105">
        <f>IF(Sensitivity!$C$42="Departmental",0,6)</f>
        <v>0</v>
      </c>
      <c r="H105" s="366">
        <f>IFERROR(VLOOKUP(F105,Assumptions_Dashboard!$C$38:$D$72,4,FALSE),)</f>
        <v>0</v>
      </c>
      <c r="J105" s="179"/>
      <c r="K105" s="179"/>
      <c r="L105" s="179"/>
      <c r="M105" s="179"/>
      <c r="N105" s="179">
        <f t="shared" si="19"/>
        <v>0</v>
      </c>
      <c r="O105" s="179">
        <f t="shared" si="23"/>
        <v>0</v>
      </c>
      <c r="P105" s="179">
        <f t="shared" si="23"/>
        <v>0</v>
      </c>
      <c r="Q105" s="179">
        <f t="shared" si="23"/>
        <v>0</v>
      </c>
      <c r="R105" s="179">
        <f t="shared" si="23"/>
        <v>0</v>
      </c>
      <c r="S105" s="179">
        <f t="shared" si="23"/>
        <v>0</v>
      </c>
      <c r="T105" s="179">
        <f t="shared" si="23"/>
        <v>0</v>
      </c>
      <c r="U105" s="179">
        <f t="shared" si="23"/>
        <v>0</v>
      </c>
      <c r="V105" s="179">
        <f t="shared" si="23"/>
        <v>0</v>
      </c>
      <c r="W105" s="179">
        <f t="shared" si="23"/>
        <v>0</v>
      </c>
      <c r="X105" s="179">
        <f t="shared" si="23"/>
        <v>0</v>
      </c>
      <c r="Y105" s="179">
        <f t="shared" si="23"/>
        <v>0</v>
      </c>
      <c r="Z105" s="179">
        <f t="shared" si="23"/>
        <v>0</v>
      </c>
      <c r="AA105" s="179">
        <f t="shared" si="23"/>
        <v>0</v>
      </c>
      <c r="AB105" s="179">
        <f t="shared" si="23"/>
        <v>0</v>
      </c>
      <c r="AC105" s="179">
        <f t="shared" si="23"/>
        <v>0</v>
      </c>
      <c r="AD105" s="179">
        <f t="shared" si="23"/>
        <v>0</v>
      </c>
      <c r="AE105" s="179">
        <f t="shared" si="23"/>
        <v>0</v>
      </c>
      <c r="AF105" s="179">
        <f t="shared" si="23"/>
        <v>0</v>
      </c>
      <c r="AG105" s="179">
        <f t="shared" si="23"/>
        <v>0</v>
      </c>
      <c r="AH105" s="179">
        <f t="shared" si="23"/>
        <v>0</v>
      </c>
      <c r="AI105" s="179">
        <f t="shared" si="23"/>
        <v>0</v>
      </c>
      <c r="AJ105" s="179">
        <f t="shared" si="23"/>
        <v>0</v>
      </c>
      <c r="AK105" s="179">
        <f t="shared" si="23"/>
        <v>0</v>
      </c>
      <c r="AL105" s="179">
        <f t="shared" si="23"/>
        <v>0</v>
      </c>
      <c r="AM105" s="179">
        <f t="shared" si="23"/>
        <v>0</v>
      </c>
      <c r="AN105" s="179"/>
      <c r="AO105" s="179"/>
      <c r="AP105" s="179"/>
      <c r="AQ105" s="179"/>
      <c r="AR105" s="179"/>
      <c r="AS105" s="179"/>
    </row>
    <row r="106" spans="2:45">
      <c r="B106" s="121"/>
      <c r="C106" s="655" t="s">
        <v>1393</v>
      </c>
      <c r="D106" s="257"/>
      <c r="E106" s="121" t="s">
        <v>740</v>
      </c>
      <c r="F106" s="205" t="s">
        <v>220</v>
      </c>
      <c r="G106">
        <f>IF(Sensitivity!$C$42="Departmental",0,3)</f>
        <v>0</v>
      </c>
      <c r="H106" s="366">
        <f>IFERROR(VLOOKUP(F106,Assumptions_Dashboard!$C$38:$D$72,4,FALSE),)</f>
        <v>0</v>
      </c>
      <c r="J106" s="179"/>
      <c r="K106" s="179"/>
      <c r="L106" s="179"/>
      <c r="M106" s="179"/>
      <c r="N106" s="179">
        <f t="shared" si="19"/>
        <v>0</v>
      </c>
      <c r="O106" s="179">
        <f t="shared" si="23"/>
        <v>0</v>
      </c>
      <c r="P106" s="179">
        <f t="shared" si="23"/>
        <v>0</v>
      </c>
      <c r="Q106" s="179">
        <f t="shared" si="23"/>
        <v>0</v>
      </c>
      <c r="R106" s="179">
        <f t="shared" si="23"/>
        <v>0</v>
      </c>
      <c r="S106" s="179">
        <f t="shared" si="23"/>
        <v>0</v>
      </c>
      <c r="T106" s="179">
        <f t="shared" si="23"/>
        <v>0</v>
      </c>
      <c r="U106" s="179">
        <f t="shared" si="23"/>
        <v>0</v>
      </c>
      <c r="V106" s="179">
        <f t="shared" si="23"/>
        <v>0</v>
      </c>
      <c r="W106" s="179">
        <f t="shared" si="23"/>
        <v>0</v>
      </c>
      <c r="X106" s="179">
        <f t="shared" si="23"/>
        <v>0</v>
      </c>
      <c r="Y106" s="179">
        <f t="shared" si="23"/>
        <v>0</v>
      </c>
      <c r="Z106" s="179">
        <f t="shared" si="23"/>
        <v>0</v>
      </c>
      <c r="AA106" s="179">
        <f t="shared" si="23"/>
        <v>0</v>
      </c>
      <c r="AB106" s="179">
        <f t="shared" si="23"/>
        <v>0</v>
      </c>
      <c r="AC106" s="179">
        <f t="shared" si="23"/>
        <v>0</v>
      </c>
      <c r="AD106" s="179">
        <f t="shared" si="23"/>
        <v>0</v>
      </c>
      <c r="AE106" s="179">
        <f t="shared" si="23"/>
        <v>0</v>
      </c>
      <c r="AF106" s="179">
        <f t="shared" si="23"/>
        <v>0</v>
      </c>
      <c r="AG106" s="179">
        <f t="shared" si="23"/>
        <v>0</v>
      </c>
      <c r="AH106" s="179">
        <f t="shared" si="23"/>
        <v>0</v>
      </c>
      <c r="AI106" s="179">
        <f t="shared" si="23"/>
        <v>0</v>
      </c>
      <c r="AJ106" s="179">
        <f t="shared" si="23"/>
        <v>0</v>
      </c>
      <c r="AK106" s="179">
        <f t="shared" si="23"/>
        <v>0</v>
      </c>
      <c r="AL106" s="179">
        <f t="shared" si="23"/>
        <v>0</v>
      </c>
      <c r="AM106" s="179">
        <f t="shared" si="23"/>
        <v>0</v>
      </c>
      <c r="AN106" s="179"/>
      <c r="AO106" s="179"/>
      <c r="AP106" s="179"/>
      <c r="AQ106" s="179"/>
      <c r="AR106" s="179"/>
      <c r="AS106" s="179"/>
    </row>
    <row r="107" spans="2:45">
      <c r="B107" s="121"/>
      <c r="C107" s="655" t="s">
        <v>1394</v>
      </c>
      <c r="D107" s="257"/>
      <c r="E107" s="121" t="s">
        <v>740</v>
      </c>
      <c r="F107" s="205" t="s">
        <v>228</v>
      </c>
      <c r="G107">
        <f>IF(Sensitivity!$C$42="Departmental",0,6)</f>
        <v>0</v>
      </c>
      <c r="H107" s="366">
        <f>IFERROR(VLOOKUP(F107,Assumptions_Dashboard!$C$38:$D$72,4,FALSE),)</f>
        <v>0</v>
      </c>
      <c r="J107" s="179"/>
      <c r="K107" s="179"/>
      <c r="L107" s="179"/>
      <c r="M107" s="179"/>
      <c r="N107" s="179">
        <f t="shared" si="19"/>
        <v>0</v>
      </c>
      <c r="O107" s="179">
        <f t="shared" si="23"/>
        <v>0</v>
      </c>
      <c r="P107" s="179">
        <f t="shared" si="23"/>
        <v>0</v>
      </c>
      <c r="Q107" s="179">
        <f t="shared" si="23"/>
        <v>0</v>
      </c>
      <c r="R107" s="179">
        <f t="shared" si="23"/>
        <v>0</v>
      </c>
      <c r="S107" s="179">
        <f t="shared" si="23"/>
        <v>0</v>
      </c>
      <c r="T107" s="179">
        <f t="shared" si="23"/>
        <v>0</v>
      </c>
      <c r="U107" s="179">
        <f t="shared" si="23"/>
        <v>0</v>
      </c>
      <c r="V107" s="179">
        <f t="shared" si="23"/>
        <v>0</v>
      </c>
      <c r="W107" s="179">
        <f t="shared" si="23"/>
        <v>0</v>
      </c>
      <c r="X107" s="179">
        <f t="shared" si="23"/>
        <v>0</v>
      </c>
      <c r="Y107" s="179">
        <f t="shared" si="23"/>
        <v>0</v>
      </c>
      <c r="Z107" s="179">
        <f t="shared" si="23"/>
        <v>0</v>
      </c>
      <c r="AA107" s="179">
        <f t="shared" si="23"/>
        <v>0</v>
      </c>
      <c r="AB107" s="179">
        <f t="shared" si="23"/>
        <v>0</v>
      </c>
      <c r="AC107" s="179">
        <f t="shared" si="23"/>
        <v>0</v>
      </c>
      <c r="AD107" s="179">
        <f t="shared" si="23"/>
        <v>0</v>
      </c>
      <c r="AE107" s="179">
        <f t="shared" si="23"/>
        <v>0</v>
      </c>
      <c r="AF107" s="179">
        <f t="shared" si="23"/>
        <v>0</v>
      </c>
      <c r="AG107" s="179">
        <f t="shared" si="23"/>
        <v>0</v>
      </c>
      <c r="AH107" s="179">
        <f t="shared" si="23"/>
        <v>0</v>
      </c>
      <c r="AI107" s="179">
        <f t="shared" si="23"/>
        <v>0</v>
      </c>
      <c r="AJ107" s="179">
        <f t="shared" si="23"/>
        <v>0</v>
      </c>
      <c r="AK107" s="179">
        <f t="shared" si="23"/>
        <v>0</v>
      </c>
      <c r="AL107" s="179">
        <f t="shared" si="23"/>
        <v>0</v>
      </c>
      <c r="AM107" s="179">
        <f t="shared" si="23"/>
        <v>0</v>
      </c>
      <c r="AN107" s="179"/>
      <c r="AO107" s="179"/>
      <c r="AP107" s="179"/>
      <c r="AQ107" s="179"/>
      <c r="AR107" s="179"/>
      <c r="AS107" s="179"/>
    </row>
    <row r="108" spans="2:45">
      <c r="B108" s="121"/>
      <c r="C108" s="655" t="s">
        <v>1412</v>
      </c>
      <c r="D108" s="257"/>
      <c r="E108" s="121" t="s">
        <v>740</v>
      </c>
      <c r="F108" s="205" t="s">
        <v>228</v>
      </c>
      <c r="G108">
        <f>IF(Sensitivity!$C$42="Departmental",0,3)</f>
        <v>0</v>
      </c>
      <c r="H108" s="366">
        <f>IFERROR(VLOOKUP(F108,Assumptions_Dashboard!$C$38:$D$72,4,FALSE),)</f>
        <v>0</v>
      </c>
      <c r="J108" s="179"/>
      <c r="K108" s="179"/>
      <c r="L108" s="179"/>
      <c r="M108" s="179"/>
      <c r="N108" s="179">
        <f t="shared" si="19"/>
        <v>0</v>
      </c>
      <c r="O108" s="179">
        <f t="shared" si="23"/>
        <v>0</v>
      </c>
      <c r="P108" s="179">
        <f t="shared" si="23"/>
        <v>0</v>
      </c>
      <c r="Q108" s="179">
        <f t="shared" si="23"/>
        <v>0</v>
      </c>
      <c r="R108" s="179">
        <f t="shared" si="23"/>
        <v>0</v>
      </c>
      <c r="S108" s="179">
        <f t="shared" si="23"/>
        <v>0</v>
      </c>
      <c r="T108" s="179">
        <f t="shared" si="23"/>
        <v>0</v>
      </c>
      <c r="U108" s="179">
        <f t="shared" si="23"/>
        <v>0</v>
      </c>
      <c r="V108" s="179">
        <f t="shared" si="23"/>
        <v>0</v>
      </c>
      <c r="W108" s="179">
        <f t="shared" si="23"/>
        <v>0</v>
      </c>
      <c r="X108" s="179">
        <f t="shared" si="23"/>
        <v>0</v>
      </c>
      <c r="Y108" s="179">
        <f t="shared" si="23"/>
        <v>0</v>
      </c>
      <c r="Z108" s="179">
        <f t="shared" si="23"/>
        <v>0</v>
      </c>
      <c r="AA108" s="179">
        <f t="shared" si="23"/>
        <v>0</v>
      </c>
      <c r="AB108" s="179">
        <f t="shared" si="23"/>
        <v>0</v>
      </c>
      <c r="AC108" s="179">
        <f t="shared" si="23"/>
        <v>0</v>
      </c>
      <c r="AD108" s="179">
        <f t="shared" ref="AD108:AM108" si="24">AC108</f>
        <v>0</v>
      </c>
      <c r="AE108" s="179">
        <f t="shared" si="24"/>
        <v>0</v>
      </c>
      <c r="AF108" s="179">
        <f t="shared" si="24"/>
        <v>0</v>
      </c>
      <c r="AG108" s="179">
        <f t="shared" si="24"/>
        <v>0</v>
      </c>
      <c r="AH108" s="179">
        <f t="shared" si="24"/>
        <v>0</v>
      </c>
      <c r="AI108" s="179">
        <f t="shared" si="24"/>
        <v>0</v>
      </c>
      <c r="AJ108" s="179">
        <f t="shared" si="24"/>
        <v>0</v>
      </c>
      <c r="AK108" s="179">
        <f t="shared" si="24"/>
        <v>0</v>
      </c>
      <c r="AL108" s="179">
        <f t="shared" si="24"/>
        <v>0</v>
      </c>
      <c r="AM108" s="179">
        <f t="shared" si="24"/>
        <v>0</v>
      </c>
      <c r="AN108" s="179"/>
      <c r="AO108" s="179"/>
      <c r="AP108" s="179"/>
      <c r="AQ108" s="179"/>
      <c r="AR108" s="179"/>
      <c r="AS108" s="179"/>
    </row>
    <row r="109" spans="2:45">
      <c r="B109" s="121"/>
      <c r="C109" s="655" t="s">
        <v>1413</v>
      </c>
      <c r="D109" s="257"/>
      <c r="E109" s="121" t="s">
        <v>740</v>
      </c>
      <c r="F109" s="205" t="s">
        <v>213</v>
      </c>
      <c r="G109">
        <f>IF(Sensitivity!$C$42="Departmental",0,3)</f>
        <v>0</v>
      </c>
      <c r="H109" s="366">
        <f>IFERROR(VLOOKUP(F109,Assumptions_Dashboard!$C$38:$D$72,4,FALSE),)</f>
        <v>0</v>
      </c>
      <c r="J109" s="179"/>
      <c r="K109" s="179"/>
      <c r="L109" s="179"/>
      <c r="M109" s="179"/>
      <c r="N109" s="179">
        <f t="shared" si="19"/>
        <v>0</v>
      </c>
      <c r="O109" s="179">
        <f t="shared" ref="O109:AM117" si="25">N109</f>
        <v>0</v>
      </c>
      <c r="P109" s="179">
        <f t="shared" si="25"/>
        <v>0</v>
      </c>
      <c r="Q109" s="179">
        <f t="shared" si="25"/>
        <v>0</v>
      </c>
      <c r="R109" s="179">
        <f t="shared" si="25"/>
        <v>0</v>
      </c>
      <c r="S109" s="179">
        <f t="shared" si="25"/>
        <v>0</v>
      </c>
      <c r="T109" s="179">
        <f t="shared" si="25"/>
        <v>0</v>
      </c>
      <c r="U109" s="179">
        <f t="shared" si="25"/>
        <v>0</v>
      </c>
      <c r="V109" s="179">
        <f t="shared" si="25"/>
        <v>0</v>
      </c>
      <c r="W109" s="179">
        <f t="shared" si="25"/>
        <v>0</v>
      </c>
      <c r="X109" s="179">
        <f t="shared" si="25"/>
        <v>0</v>
      </c>
      <c r="Y109" s="179">
        <f t="shared" si="25"/>
        <v>0</v>
      </c>
      <c r="Z109" s="179">
        <f t="shared" si="25"/>
        <v>0</v>
      </c>
      <c r="AA109" s="179">
        <f t="shared" si="25"/>
        <v>0</v>
      </c>
      <c r="AB109" s="179">
        <f t="shared" si="25"/>
        <v>0</v>
      </c>
      <c r="AC109" s="179">
        <f t="shared" si="25"/>
        <v>0</v>
      </c>
      <c r="AD109" s="179">
        <f t="shared" si="25"/>
        <v>0</v>
      </c>
      <c r="AE109" s="179">
        <f t="shared" si="25"/>
        <v>0</v>
      </c>
      <c r="AF109" s="179">
        <f t="shared" si="25"/>
        <v>0</v>
      </c>
      <c r="AG109" s="179">
        <f t="shared" si="25"/>
        <v>0</v>
      </c>
      <c r="AH109" s="179">
        <f t="shared" si="25"/>
        <v>0</v>
      </c>
      <c r="AI109" s="179">
        <f t="shared" si="25"/>
        <v>0</v>
      </c>
      <c r="AJ109" s="179">
        <f t="shared" si="25"/>
        <v>0</v>
      </c>
      <c r="AK109" s="179">
        <f t="shared" si="25"/>
        <v>0</v>
      </c>
      <c r="AL109" s="179">
        <f t="shared" si="25"/>
        <v>0</v>
      </c>
      <c r="AM109" s="179">
        <f t="shared" si="25"/>
        <v>0</v>
      </c>
      <c r="AN109" s="179"/>
      <c r="AO109" s="179"/>
      <c r="AP109" s="179"/>
      <c r="AQ109" s="179"/>
      <c r="AR109" s="179"/>
      <c r="AS109" s="179"/>
    </row>
    <row r="110" spans="2:45">
      <c r="B110" s="121"/>
      <c r="C110" s="655" t="s">
        <v>1414</v>
      </c>
      <c r="D110" s="257"/>
      <c r="E110" s="121" t="s">
        <v>740</v>
      </c>
      <c r="F110" s="205" t="s">
        <v>226</v>
      </c>
      <c r="H110" s="366">
        <f>IFERROR(VLOOKUP(F110,Assumptions_Dashboard!$C$38:$D$72,4,FALSE),)</f>
        <v>0</v>
      </c>
      <c r="J110" s="179"/>
      <c r="K110" s="179"/>
      <c r="L110" s="179"/>
      <c r="M110" s="179"/>
      <c r="N110" s="179">
        <f t="shared" si="19"/>
        <v>0</v>
      </c>
      <c r="O110" s="179">
        <f t="shared" si="25"/>
        <v>0</v>
      </c>
      <c r="P110" s="179">
        <f t="shared" si="25"/>
        <v>0</v>
      </c>
      <c r="Q110" s="179">
        <f t="shared" si="25"/>
        <v>0</v>
      </c>
      <c r="R110" s="179">
        <f t="shared" si="25"/>
        <v>0</v>
      </c>
      <c r="S110" s="179">
        <f t="shared" si="25"/>
        <v>0</v>
      </c>
      <c r="T110" s="179">
        <f t="shared" si="25"/>
        <v>0</v>
      </c>
      <c r="U110" s="179">
        <f t="shared" si="25"/>
        <v>0</v>
      </c>
      <c r="V110" s="179">
        <f t="shared" si="25"/>
        <v>0</v>
      </c>
      <c r="W110" s="179">
        <f t="shared" si="25"/>
        <v>0</v>
      </c>
      <c r="X110" s="179">
        <f t="shared" si="25"/>
        <v>0</v>
      </c>
      <c r="Y110" s="179">
        <f t="shared" si="25"/>
        <v>0</v>
      </c>
      <c r="Z110" s="179">
        <f t="shared" si="25"/>
        <v>0</v>
      </c>
      <c r="AA110" s="179">
        <f t="shared" si="25"/>
        <v>0</v>
      </c>
      <c r="AB110" s="179">
        <f t="shared" si="25"/>
        <v>0</v>
      </c>
      <c r="AC110" s="179">
        <f t="shared" si="25"/>
        <v>0</v>
      </c>
      <c r="AD110" s="179">
        <f t="shared" si="25"/>
        <v>0</v>
      </c>
      <c r="AE110" s="179">
        <f t="shared" si="25"/>
        <v>0</v>
      </c>
      <c r="AF110" s="179">
        <f t="shared" si="25"/>
        <v>0</v>
      </c>
      <c r="AG110" s="179">
        <f t="shared" si="25"/>
        <v>0</v>
      </c>
      <c r="AH110" s="179">
        <f t="shared" si="25"/>
        <v>0</v>
      </c>
      <c r="AI110" s="179">
        <f t="shared" si="25"/>
        <v>0</v>
      </c>
      <c r="AJ110" s="179">
        <f t="shared" si="25"/>
        <v>0</v>
      </c>
      <c r="AK110" s="179">
        <f t="shared" si="25"/>
        <v>0</v>
      </c>
      <c r="AL110" s="179">
        <f t="shared" si="25"/>
        <v>0</v>
      </c>
      <c r="AM110" s="179">
        <f t="shared" si="25"/>
        <v>0</v>
      </c>
      <c r="AN110" s="179"/>
      <c r="AO110" s="179"/>
      <c r="AP110" s="179"/>
      <c r="AQ110" s="179"/>
      <c r="AR110" s="179"/>
      <c r="AS110" s="179"/>
    </row>
    <row r="111" spans="2:45">
      <c r="B111" s="121"/>
      <c r="C111" s="655" t="s">
        <v>1415</v>
      </c>
      <c r="D111" s="257"/>
      <c r="E111" s="121" t="s">
        <v>740</v>
      </c>
      <c r="F111" s="205" t="s">
        <v>228</v>
      </c>
      <c r="G111">
        <f>IF(Sensitivity!$C$42="Departmental",0,3)</f>
        <v>0</v>
      </c>
      <c r="H111" s="366">
        <f>IFERROR(VLOOKUP(F111,Assumptions_Dashboard!$C$38:$D$72,4,FALSE),)</f>
        <v>0</v>
      </c>
      <c r="J111" s="179"/>
      <c r="K111" s="179"/>
      <c r="L111" s="179"/>
      <c r="M111" s="179"/>
      <c r="N111" s="179">
        <f t="shared" si="19"/>
        <v>0</v>
      </c>
      <c r="O111" s="179">
        <f t="shared" si="25"/>
        <v>0</v>
      </c>
      <c r="P111" s="179">
        <f t="shared" si="25"/>
        <v>0</v>
      </c>
      <c r="Q111" s="179">
        <f t="shared" si="25"/>
        <v>0</v>
      </c>
      <c r="R111" s="179">
        <f t="shared" si="25"/>
        <v>0</v>
      </c>
      <c r="S111" s="179">
        <f t="shared" si="25"/>
        <v>0</v>
      </c>
      <c r="T111" s="179">
        <f t="shared" si="25"/>
        <v>0</v>
      </c>
      <c r="U111" s="179">
        <f t="shared" si="25"/>
        <v>0</v>
      </c>
      <c r="V111" s="179">
        <f t="shared" si="25"/>
        <v>0</v>
      </c>
      <c r="W111" s="179">
        <f t="shared" si="25"/>
        <v>0</v>
      </c>
      <c r="X111" s="179">
        <f t="shared" si="25"/>
        <v>0</v>
      </c>
      <c r="Y111" s="179">
        <f t="shared" si="25"/>
        <v>0</v>
      </c>
      <c r="Z111" s="179">
        <f t="shared" si="25"/>
        <v>0</v>
      </c>
      <c r="AA111" s="179">
        <f t="shared" si="25"/>
        <v>0</v>
      </c>
      <c r="AB111" s="179">
        <f t="shared" si="25"/>
        <v>0</v>
      </c>
      <c r="AC111" s="179">
        <f t="shared" si="25"/>
        <v>0</v>
      </c>
      <c r="AD111" s="179">
        <f t="shared" si="25"/>
        <v>0</v>
      </c>
      <c r="AE111" s="179">
        <f t="shared" si="25"/>
        <v>0</v>
      </c>
      <c r="AF111" s="179">
        <f t="shared" si="25"/>
        <v>0</v>
      </c>
      <c r="AG111" s="179">
        <f t="shared" si="25"/>
        <v>0</v>
      </c>
      <c r="AH111" s="179">
        <f t="shared" si="25"/>
        <v>0</v>
      </c>
      <c r="AI111" s="179">
        <f t="shared" si="25"/>
        <v>0</v>
      </c>
      <c r="AJ111" s="179">
        <f t="shared" si="25"/>
        <v>0</v>
      </c>
      <c r="AK111" s="179">
        <f t="shared" si="25"/>
        <v>0</v>
      </c>
      <c r="AL111" s="179">
        <f t="shared" si="25"/>
        <v>0</v>
      </c>
      <c r="AM111" s="179">
        <f t="shared" si="25"/>
        <v>0</v>
      </c>
      <c r="AN111" s="179"/>
      <c r="AO111" s="179"/>
      <c r="AP111" s="179"/>
      <c r="AQ111" s="179"/>
      <c r="AR111" s="179"/>
      <c r="AS111" s="179"/>
    </row>
    <row r="112" spans="2:45">
      <c r="B112" s="121"/>
      <c r="C112" s="655" t="s">
        <v>1416</v>
      </c>
      <c r="D112" s="257"/>
      <c r="E112" s="121" t="s">
        <v>740</v>
      </c>
      <c r="F112" s="205" t="s">
        <v>218</v>
      </c>
      <c r="H112" s="366">
        <f>IFERROR(VLOOKUP(F112,Assumptions_Dashboard!$C$38:$D$72,4,FALSE),)</f>
        <v>0</v>
      </c>
      <c r="J112" s="179"/>
      <c r="K112" s="179"/>
      <c r="L112" s="179"/>
      <c r="M112" s="179"/>
      <c r="N112" s="179">
        <f t="shared" si="19"/>
        <v>0</v>
      </c>
      <c r="O112" s="179">
        <f t="shared" si="25"/>
        <v>0</v>
      </c>
      <c r="P112" s="179">
        <f t="shared" si="25"/>
        <v>0</v>
      </c>
      <c r="Q112" s="179">
        <f t="shared" si="25"/>
        <v>0</v>
      </c>
      <c r="R112" s="179">
        <f t="shared" si="25"/>
        <v>0</v>
      </c>
      <c r="S112" s="179">
        <f t="shared" si="25"/>
        <v>0</v>
      </c>
      <c r="T112" s="179">
        <f t="shared" si="25"/>
        <v>0</v>
      </c>
      <c r="U112" s="179">
        <f t="shared" si="25"/>
        <v>0</v>
      </c>
      <c r="V112" s="179">
        <f t="shared" si="25"/>
        <v>0</v>
      </c>
      <c r="W112" s="179">
        <f t="shared" si="25"/>
        <v>0</v>
      </c>
      <c r="X112" s="179">
        <f t="shared" si="25"/>
        <v>0</v>
      </c>
      <c r="Y112" s="179">
        <f t="shared" si="25"/>
        <v>0</v>
      </c>
      <c r="Z112" s="179">
        <f t="shared" si="25"/>
        <v>0</v>
      </c>
      <c r="AA112" s="179">
        <f t="shared" si="25"/>
        <v>0</v>
      </c>
      <c r="AB112" s="179">
        <f t="shared" si="25"/>
        <v>0</v>
      </c>
      <c r="AC112" s="179">
        <f t="shared" si="25"/>
        <v>0</v>
      </c>
      <c r="AD112" s="179">
        <f t="shared" si="25"/>
        <v>0</v>
      </c>
      <c r="AE112" s="179">
        <f t="shared" si="25"/>
        <v>0</v>
      </c>
      <c r="AF112" s="179">
        <f t="shared" si="25"/>
        <v>0</v>
      </c>
      <c r="AG112" s="179">
        <f t="shared" si="25"/>
        <v>0</v>
      </c>
      <c r="AH112" s="179">
        <f t="shared" si="25"/>
        <v>0</v>
      </c>
      <c r="AI112" s="179">
        <f t="shared" si="25"/>
        <v>0</v>
      </c>
      <c r="AJ112" s="179">
        <f t="shared" si="25"/>
        <v>0</v>
      </c>
      <c r="AK112" s="179">
        <f t="shared" si="25"/>
        <v>0</v>
      </c>
      <c r="AL112" s="179">
        <f t="shared" si="25"/>
        <v>0</v>
      </c>
      <c r="AM112" s="179">
        <f t="shared" si="25"/>
        <v>0</v>
      </c>
      <c r="AN112" s="179"/>
      <c r="AO112" s="179"/>
      <c r="AP112" s="179"/>
      <c r="AQ112" s="179"/>
      <c r="AR112" s="179"/>
      <c r="AS112" s="179"/>
    </row>
    <row r="113" spans="2:45">
      <c r="B113" s="121"/>
      <c r="C113" s="121"/>
      <c r="D113" s="257"/>
      <c r="E113" s="121"/>
      <c r="F113" s="205"/>
      <c r="H113" s="366">
        <f>IFERROR(VLOOKUP(F113,Assumptions_Dashboard!$C$38:$D$72,4,FALSE),)</f>
        <v>0</v>
      </c>
      <c r="J113" s="179"/>
      <c r="K113" s="179"/>
      <c r="L113" s="179"/>
      <c r="M113" s="179"/>
      <c r="N113" s="179">
        <f t="shared" si="19"/>
        <v>0</v>
      </c>
      <c r="O113" s="179">
        <f t="shared" si="25"/>
        <v>0</v>
      </c>
      <c r="P113" s="179">
        <f t="shared" si="25"/>
        <v>0</v>
      </c>
      <c r="Q113" s="179">
        <f t="shared" si="25"/>
        <v>0</v>
      </c>
      <c r="R113" s="179">
        <f t="shared" si="25"/>
        <v>0</v>
      </c>
      <c r="S113" s="179">
        <f t="shared" si="25"/>
        <v>0</v>
      </c>
      <c r="T113" s="179">
        <f t="shared" si="25"/>
        <v>0</v>
      </c>
      <c r="U113" s="179">
        <f t="shared" si="25"/>
        <v>0</v>
      </c>
      <c r="V113" s="179">
        <f t="shared" si="25"/>
        <v>0</v>
      </c>
      <c r="W113" s="179">
        <f t="shared" si="25"/>
        <v>0</v>
      </c>
      <c r="X113" s="179">
        <f t="shared" si="25"/>
        <v>0</v>
      </c>
      <c r="Y113" s="179">
        <f t="shared" si="25"/>
        <v>0</v>
      </c>
      <c r="Z113" s="179">
        <f t="shared" si="25"/>
        <v>0</v>
      </c>
      <c r="AA113" s="179">
        <f t="shared" si="25"/>
        <v>0</v>
      </c>
      <c r="AB113" s="179">
        <f t="shared" si="25"/>
        <v>0</v>
      </c>
      <c r="AC113" s="179">
        <f t="shared" si="25"/>
        <v>0</v>
      </c>
      <c r="AD113" s="179">
        <f t="shared" si="25"/>
        <v>0</v>
      </c>
      <c r="AE113" s="179">
        <f t="shared" si="25"/>
        <v>0</v>
      </c>
      <c r="AF113" s="179">
        <f t="shared" si="25"/>
        <v>0</v>
      </c>
      <c r="AG113" s="179">
        <f t="shared" si="25"/>
        <v>0</v>
      </c>
      <c r="AH113" s="179">
        <f t="shared" si="25"/>
        <v>0</v>
      </c>
      <c r="AI113" s="179">
        <f t="shared" si="25"/>
        <v>0</v>
      </c>
      <c r="AJ113" s="179">
        <f t="shared" si="25"/>
        <v>0</v>
      </c>
      <c r="AK113" s="179">
        <f t="shared" si="25"/>
        <v>0</v>
      </c>
      <c r="AL113" s="179">
        <f t="shared" si="25"/>
        <v>0</v>
      </c>
      <c r="AM113" s="179">
        <f t="shared" si="25"/>
        <v>0</v>
      </c>
      <c r="AN113" s="179"/>
      <c r="AO113" s="179"/>
      <c r="AP113" s="179"/>
      <c r="AQ113" s="179"/>
      <c r="AR113" s="179"/>
      <c r="AS113" s="179"/>
    </row>
    <row r="114" spans="2:45">
      <c r="B114" s="121"/>
      <c r="C114" s="117" t="s">
        <v>1417</v>
      </c>
      <c r="D114" s="257"/>
      <c r="E114" s="121"/>
      <c r="F114" s="205"/>
      <c r="H114" s="366">
        <f>IFERROR(VLOOKUP(F114,Assumptions_Dashboard!$C$38:$D$72,4,FALSE),)</f>
        <v>0</v>
      </c>
      <c r="J114" s="179"/>
      <c r="K114" s="179"/>
      <c r="L114" s="179"/>
      <c r="M114" s="179"/>
      <c r="N114" s="179">
        <f t="shared" si="19"/>
        <v>0</v>
      </c>
      <c r="O114" s="179">
        <f t="shared" si="25"/>
        <v>0</v>
      </c>
      <c r="P114" s="179">
        <f t="shared" si="25"/>
        <v>0</v>
      </c>
      <c r="Q114" s="179">
        <f t="shared" si="25"/>
        <v>0</v>
      </c>
      <c r="R114" s="179">
        <f t="shared" si="25"/>
        <v>0</v>
      </c>
      <c r="S114" s="179">
        <f t="shared" si="25"/>
        <v>0</v>
      </c>
      <c r="T114" s="179">
        <f t="shared" si="25"/>
        <v>0</v>
      </c>
      <c r="U114" s="179">
        <f t="shared" si="25"/>
        <v>0</v>
      </c>
      <c r="V114" s="179">
        <f t="shared" si="25"/>
        <v>0</v>
      </c>
      <c r="W114" s="179">
        <f t="shared" si="25"/>
        <v>0</v>
      </c>
      <c r="X114" s="179">
        <f t="shared" si="25"/>
        <v>0</v>
      </c>
      <c r="Y114" s="179">
        <f t="shared" si="25"/>
        <v>0</v>
      </c>
      <c r="Z114" s="179">
        <f t="shared" si="25"/>
        <v>0</v>
      </c>
      <c r="AA114" s="179">
        <f t="shared" si="25"/>
        <v>0</v>
      </c>
      <c r="AB114" s="179">
        <f t="shared" si="25"/>
        <v>0</v>
      </c>
      <c r="AC114" s="179">
        <f t="shared" si="25"/>
        <v>0</v>
      </c>
      <c r="AD114" s="179">
        <f t="shared" si="25"/>
        <v>0</v>
      </c>
      <c r="AE114" s="179">
        <f t="shared" si="25"/>
        <v>0</v>
      </c>
      <c r="AF114" s="179">
        <f t="shared" si="25"/>
        <v>0</v>
      </c>
      <c r="AG114" s="179">
        <f t="shared" si="25"/>
        <v>0</v>
      </c>
      <c r="AH114" s="179">
        <f t="shared" si="25"/>
        <v>0</v>
      </c>
      <c r="AI114" s="179">
        <f t="shared" si="25"/>
        <v>0</v>
      </c>
      <c r="AJ114" s="179">
        <f t="shared" si="25"/>
        <v>0</v>
      </c>
      <c r="AK114" s="179">
        <f t="shared" si="25"/>
        <v>0</v>
      </c>
      <c r="AL114" s="179">
        <f t="shared" si="25"/>
        <v>0</v>
      </c>
      <c r="AM114" s="179">
        <f t="shared" si="25"/>
        <v>0</v>
      </c>
      <c r="AN114" s="179"/>
      <c r="AO114" s="179"/>
      <c r="AP114" s="179"/>
      <c r="AQ114" s="179"/>
      <c r="AR114" s="179"/>
      <c r="AS114" s="179"/>
    </row>
    <row r="115" spans="2:45">
      <c r="B115" s="121"/>
      <c r="C115" s="657" t="s">
        <v>1418</v>
      </c>
      <c r="D115" s="257" t="s">
        <v>1315</v>
      </c>
      <c r="E115" s="121" t="s">
        <v>740</v>
      </c>
      <c r="F115" s="95" t="s">
        <v>202</v>
      </c>
      <c r="G115">
        <f>IF(Sensitivity!$C$42="Departmental",0,1)</f>
        <v>0</v>
      </c>
      <c r="H115" s="366">
        <f>IFERROR(VLOOKUP(F115,Assumptions_Dashboard!$C$38:$D$72,4,FALSE),)</f>
        <v>0</v>
      </c>
      <c r="J115" s="179"/>
      <c r="K115" s="179"/>
      <c r="L115" s="179"/>
      <c r="M115" s="179"/>
      <c r="N115" s="179">
        <f t="shared" si="19"/>
        <v>0</v>
      </c>
      <c r="O115" s="179">
        <f t="shared" si="25"/>
        <v>0</v>
      </c>
      <c r="P115" s="179">
        <f t="shared" si="25"/>
        <v>0</v>
      </c>
      <c r="Q115" s="179">
        <f t="shared" si="25"/>
        <v>0</v>
      </c>
      <c r="R115" s="179">
        <f t="shared" si="25"/>
        <v>0</v>
      </c>
      <c r="S115" s="179">
        <f t="shared" si="25"/>
        <v>0</v>
      </c>
      <c r="T115" s="179">
        <f t="shared" si="25"/>
        <v>0</v>
      </c>
      <c r="U115" s="179">
        <f t="shared" si="25"/>
        <v>0</v>
      </c>
      <c r="V115" s="179">
        <f t="shared" si="25"/>
        <v>0</v>
      </c>
      <c r="W115" s="179">
        <f t="shared" si="25"/>
        <v>0</v>
      </c>
      <c r="X115" s="179">
        <f t="shared" si="25"/>
        <v>0</v>
      </c>
      <c r="Y115" s="179">
        <f t="shared" si="25"/>
        <v>0</v>
      </c>
      <c r="Z115" s="179">
        <f t="shared" si="25"/>
        <v>0</v>
      </c>
      <c r="AA115" s="179">
        <f t="shared" si="25"/>
        <v>0</v>
      </c>
      <c r="AB115" s="179">
        <f t="shared" si="25"/>
        <v>0</v>
      </c>
      <c r="AC115" s="179">
        <f t="shared" si="25"/>
        <v>0</v>
      </c>
      <c r="AD115" s="179">
        <f t="shared" si="25"/>
        <v>0</v>
      </c>
      <c r="AE115" s="179">
        <f t="shared" si="25"/>
        <v>0</v>
      </c>
      <c r="AF115" s="179">
        <f t="shared" si="25"/>
        <v>0</v>
      </c>
      <c r="AG115" s="179">
        <f t="shared" si="25"/>
        <v>0</v>
      </c>
      <c r="AH115" s="179">
        <f t="shared" si="25"/>
        <v>0</v>
      </c>
      <c r="AI115" s="179">
        <f t="shared" si="25"/>
        <v>0</v>
      </c>
      <c r="AJ115" s="179">
        <f t="shared" si="25"/>
        <v>0</v>
      </c>
      <c r="AK115" s="179">
        <f t="shared" si="25"/>
        <v>0</v>
      </c>
      <c r="AL115" s="179">
        <f t="shared" si="25"/>
        <v>0</v>
      </c>
      <c r="AM115" s="179">
        <f t="shared" si="25"/>
        <v>0</v>
      </c>
      <c r="AN115" s="179"/>
      <c r="AO115" s="179"/>
      <c r="AP115" s="179"/>
      <c r="AQ115" s="179"/>
      <c r="AR115" s="179"/>
      <c r="AS115" s="179"/>
    </row>
    <row r="116" spans="2:45">
      <c r="B116" s="117"/>
      <c r="C116" s="657" t="s">
        <v>1419</v>
      </c>
      <c r="D116" s="257" t="s">
        <v>1336</v>
      </c>
      <c r="E116" s="121" t="s">
        <v>740</v>
      </c>
      <c r="F116" s="95" t="s">
        <v>204</v>
      </c>
      <c r="G116">
        <f>IF(Sensitivity!$C$42="Departmental",0,1)</f>
        <v>0</v>
      </c>
      <c r="H116" s="366">
        <f>IFERROR(VLOOKUP(F116,Assumptions_Dashboard!$C$38:$D$72,4,FALSE),)</f>
        <v>0</v>
      </c>
      <c r="J116" s="179"/>
      <c r="K116" s="179"/>
      <c r="L116" s="179"/>
      <c r="M116" s="179"/>
      <c r="N116" s="179">
        <f t="shared" si="19"/>
        <v>0</v>
      </c>
      <c r="O116" s="179">
        <f t="shared" si="25"/>
        <v>0</v>
      </c>
      <c r="P116" s="179">
        <f t="shared" si="25"/>
        <v>0</v>
      </c>
      <c r="Q116" s="179">
        <f t="shared" si="25"/>
        <v>0</v>
      </c>
      <c r="R116" s="179">
        <f t="shared" si="25"/>
        <v>0</v>
      </c>
      <c r="S116" s="179">
        <f t="shared" si="25"/>
        <v>0</v>
      </c>
      <c r="T116" s="179">
        <f t="shared" si="25"/>
        <v>0</v>
      </c>
      <c r="U116" s="179">
        <f t="shared" si="25"/>
        <v>0</v>
      </c>
      <c r="V116" s="179">
        <f t="shared" si="25"/>
        <v>0</v>
      </c>
      <c r="W116" s="179">
        <f t="shared" si="25"/>
        <v>0</v>
      </c>
      <c r="X116" s="179">
        <f t="shared" si="25"/>
        <v>0</v>
      </c>
      <c r="Y116" s="179">
        <f t="shared" si="25"/>
        <v>0</v>
      </c>
      <c r="Z116" s="179">
        <f t="shared" si="25"/>
        <v>0</v>
      </c>
      <c r="AA116" s="179">
        <f t="shared" si="25"/>
        <v>0</v>
      </c>
      <c r="AB116" s="179">
        <f t="shared" si="25"/>
        <v>0</v>
      </c>
      <c r="AC116" s="179">
        <f t="shared" si="25"/>
        <v>0</v>
      </c>
      <c r="AD116" s="179">
        <f t="shared" si="25"/>
        <v>0</v>
      </c>
      <c r="AE116" s="179">
        <f t="shared" si="25"/>
        <v>0</v>
      </c>
      <c r="AF116" s="179">
        <f t="shared" si="25"/>
        <v>0</v>
      </c>
      <c r="AG116" s="179">
        <f t="shared" si="25"/>
        <v>0</v>
      </c>
      <c r="AH116" s="179">
        <f t="shared" si="25"/>
        <v>0</v>
      </c>
      <c r="AI116" s="179">
        <f t="shared" si="25"/>
        <v>0</v>
      </c>
      <c r="AJ116" s="179">
        <f t="shared" si="25"/>
        <v>0</v>
      </c>
      <c r="AK116" s="179">
        <f t="shared" si="25"/>
        <v>0</v>
      </c>
      <c r="AL116" s="179">
        <f t="shared" si="25"/>
        <v>0</v>
      </c>
      <c r="AM116" s="179">
        <f t="shared" si="25"/>
        <v>0</v>
      </c>
      <c r="AN116" s="179"/>
      <c r="AO116" s="179"/>
      <c r="AP116" s="179"/>
      <c r="AQ116" s="179"/>
      <c r="AR116" s="179"/>
      <c r="AS116" s="179"/>
    </row>
    <row r="117" spans="2:45">
      <c r="B117" s="121"/>
      <c r="C117" s="657" t="s">
        <v>1420</v>
      </c>
      <c r="D117" s="257" t="s">
        <v>1336</v>
      </c>
      <c r="E117" s="121" t="s">
        <v>740</v>
      </c>
      <c r="F117" s="95" t="s">
        <v>204</v>
      </c>
      <c r="G117">
        <f>IF(Sensitivity!$C$42="Departmental",0,1)</f>
        <v>0</v>
      </c>
      <c r="H117" s="366">
        <f>IFERROR(VLOOKUP(F117,Assumptions_Dashboard!$C$38:$D$72,4,FALSE),)</f>
        <v>0</v>
      </c>
      <c r="J117" s="179"/>
      <c r="K117" s="179"/>
      <c r="L117" s="179"/>
      <c r="M117" s="179"/>
      <c r="N117" s="179">
        <f t="shared" si="19"/>
        <v>0</v>
      </c>
      <c r="O117" s="179">
        <f t="shared" si="25"/>
        <v>0</v>
      </c>
      <c r="P117" s="179">
        <f t="shared" si="25"/>
        <v>0</v>
      </c>
      <c r="Q117" s="179">
        <f t="shared" si="25"/>
        <v>0</v>
      </c>
      <c r="R117" s="179">
        <f t="shared" si="25"/>
        <v>0</v>
      </c>
      <c r="S117" s="179">
        <f t="shared" si="25"/>
        <v>0</v>
      </c>
      <c r="T117" s="179">
        <f t="shared" si="25"/>
        <v>0</v>
      </c>
      <c r="U117" s="179">
        <f t="shared" si="25"/>
        <v>0</v>
      </c>
      <c r="V117" s="179">
        <f t="shared" si="25"/>
        <v>0</v>
      </c>
      <c r="W117" s="179">
        <f t="shared" si="25"/>
        <v>0</v>
      </c>
      <c r="X117" s="179">
        <f t="shared" si="25"/>
        <v>0</v>
      </c>
      <c r="Y117" s="179">
        <f t="shared" si="25"/>
        <v>0</v>
      </c>
      <c r="Z117" s="179">
        <f t="shared" si="25"/>
        <v>0</v>
      </c>
      <c r="AA117" s="179">
        <f t="shared" si="25"/>
        <v>0</v>
      </c>
      <c r="AB117" s="179">
        <f t="shared" si="25"/>
        <v>0</v>
      </c>
      <c r="AC117" s="179">
        <f t="shared" si="25"/>
        <v>0</v>
      </c>
      <c r="AD117" s="179">
        <f t="shared" ref="AD117:AM117" si="26">AC117</f>
        <v>0</v>
      </c>
      <c r="AE117" s="179">
        <f t="shared" si="26"/>
        <v>0</v>
      </c>
      <c r="AF117" s="179">
        <f t="shared" si="26"/>
        <v>0</v>
      </c>
      <c r="AG117" s="179">
        <f t="shared" si="26"/>
        <v>0</v>
      </c>
      <c r="AH117" s="179">
        <f t="shared" si="26"/>
        <v>0</v>
      </c>
      <c r="AI117" s="179">
        <f t="shared" si="26"/>
        <v>0</v>
      </c>
      <c r="AJ117" s="179">
        <f t="shared" si="26"/>
        <v>0</v>
      </c>
      <c r="AK117" s="179">
        <f t="shared" si="26"/>
        <v>0</v>
      </c>
      <c r="AL117" s="179">
        <f t="shared" si="26"/>
        <v>0</v>
      </c>
      <c r="AM117" s="179">
        <f t="shared" si="26"/>
        <v>0</v>
      </c>
      <c r="AN117" s="179"/>
      <c r="AO117" s="179"/>
      <c r="AP117" s="179"/>
      <c r="AQ117" s="179"/>
      <c r="AR117" s="179"/>
      <c r="AS117" s="179"/>
    </row>
    <row r="118" spans="2:45">
      <c r="B118" s="121"/>
      <c r="C118" s="657" t="s">
        <v>1421</v>
      </c>
      <c r="D118" s="257"/>
      <c r="E118" s="121" t="s">
        <v>740</v>
      </c>
      <c r="F118" s="95" t="s">
        <v>205</v>
      </c>
      <c r="G118">
        <f>IF(Sensitivity!$C$42="Departmental",0,6)</f>
        <v>0</v>
      </c>
      <c r="H118" s="366">
        <f>IFERROR(VLOOKUP(F118,Assumptions_Dashboard!$C$38:$D$72,4,FALSE),)</f>
        <v>0</v>
      </c>
      <c r="J118" s="179"/>
      <c r="K118" s="179"/>
      <c r="L118" s="179"/>
      <c r="M118" s="179"/>
      <c r="N118" s="179">
        <f t="shared" si="19"/>
        <v>0</v>
      </c>
      <c r="O118" s="179">
        <f t="shared" ref="O118:AM126" si="27">N118</f>
        <v>0</v>
      </c>
      <c r="P118" s="179">
        <f t="shared" si="27"/>
        <v>0</v>
      </c>
      <c r="Q118" s="179">
        <f t="shared" si="27"/>
        <v>0</v>
      </c>
      <c r="R118" s="179">
        <f t="shared" si="27"/>
        <v>0</v>
      </c>
      <c r="S118" s="179">
        <f t="shared" si="27"/>
        <v>0</v>
      </c>
      <c r="T118" s="179">
        <f t="shared" si="27"/>
        <v>0</v>
      </c>
      <c r="U118" s="179">
        <f t="shared" si="27"/>
        <v>0</v>
      </c>
      <c r="V118" s="179">
        <f t="shared" si="27"/>
        <v>0</v>
      </c>
      <c r="W118" s="179">
        <f t="shared" si="27"/>
        <v>0</v>
      </c>
      <c r="X118" s="179">
        <f t="shared" si="27"/>
        <v>0</v>
      </c>
      <c r="Y118" s="179">
        <f t="shared" si="27"/>
        <v>0</v>
      </c>
      <c r="Z118" s="179">
        <f t="shared" si="27"/>
        <v>0</v>
      </c>
      <c r="AA118" s="179">
        <f t="shared" si="27"/>
        <v>0</v>
      </c>
      <c r="AB118" s="179">
        <f t="shared" si="27"/>
        <v>0</v>
      </c>
      <c r="AC118" s="179">
        <f t="shared" si="27"/>
        <v>0</v>
      </c>
      <c r="AD118" s="179">
        <f t="shared" si="27"/>
        <v>0</v>
      </c>
      <c r="AE118" s="179">
        <f t="shared" si="27"/>
        <v>0</v>
      </c>
      <c r="AF118" s="179">
        <f t="shared" si="27"/>
        <v>0</v>
      </c>
      <c r="AG118" s="179">
        <f t="shared" si="27"/>
        <v>0</v>
      </c>
      <c r="AH118" s="179">
        <f t="shared" si="27"/>
        <v>0</v>
      </c>
      <c r="AI118" s="179">
        <f t="shared" si="27"/>
        <v>0</v>
      </c>
      <c r="AJ118" s="179">
        <f t="shared" si="27"/>
        <v>0</v>
      </c>
      <c r="AK118" s="179">
        <f t="shared" si="27"/>
        <v>0</v>
      </c>
      <c r="AL118" s="179">
        <f t="shared" si="27"/>
        <v>0</v>
      </c>
      <c r="AM118" s="179">
        <f t="shared" si="27"/>
        <v>0</v>
      </c>
      <c r="AN118" s="179"/>
      <c r="AO118" s="179"/>
      <c r="AP118" s="179"/>
      <c r="AQ118" s="179"/>
      <c r="AR118" s="179"/>
      <c r="AS118" s="179"/>
    </row>
    <row r="119" spans="2:45">
      <c r="B119" s="121"/>
      <c r="C119" s="657" t="s">
        <v>1422</v>
      </c>
      <c r="D119" s="257"/>
      <c r="E119" s="121" t="s">
        <v>740</v>
      </c>
      <c r="F119" s="205" t="s">
        <v>211</v>
      </c>
      <c r="G119">
        <f>IF(Sensitivity!$C$42="Departmental",0,3)</f>
        <v>0</v>
      </c>
      <c r="H119" s="366">
        <f>IFERROR(VLOOKUP(F119,Assumptions_Dashboard!$C$38:$D$72,4,FALSE),)</f>
        <v>0</v>
      </c>
      <c r="J119" s="179"/>
      <c r="K119" s="179"/>
      <c r="L119" s="179"/>
      <c r="M119" s="179"/>
      <c r="N119" s="179">
        <f t="shared" si="19"/>
        <v>0</v>
      </c>
      <c r="O119" s="179">
        <f t="shared" si="27"/>
        <v>0</v>
      </c>
      <c r="P119" s="179">
        <f t="shared" si="27"/>
        <v>0</v>
      </c>
      <c r="Q119" s="179">
        <f t="shared" si="27"/>
        <v>0</v>
      </c>
      <c r="R119" s="179">
        <f t="shared" si="27"/>
        <v>0</v>
      </c>
      <c r="S119" s="179">
        <f t="shared" si="27"/>
        <v>0</v>
      </c>
      <c r="T119" s="179">
        <f t="shared" si="27"/>
        <v>0</v>
      </c>
      <c r="U119" s="179">
        <f t="shared" si="27"/>
        <v>0</v>
      </c>
      <c r="V119" s="179">
        <f t="shared" si="27"/>
        <v>0</v>
      </c>
      <c r="W119" s="179">
        <f t="shared" si="27"/>
        <v>0</v>
      </c>
      <c r="X119" s="179">
        <f t="shared" si="27"/>
        <v>0</v>
      </c>
      <c r="Y119" s="179">
        <f t="shared" si="27"/>
        <v>0</v>
      </c>
      <c r="Z119" s="179">
        <f t="shared" si="27"/>
        <v>0</v>
      </c>
      <c r="AA119" s="179">
        <f t="shared" si="27"/>
        <v>0</v>
      </c>
      <c r="AB119" s="179">
        <f t="shared" si="27"/>
        <v>0</v>
      </c>
      <c r="AC119" s="179">
        <f t="shared" si="27"/>
        <v>0</v>
      </c>
      <c r="AD119" s="179">
        <f t="shared" si="27"/>
        <v>0</v>
      </c>
      <c r="AE119" s="179">
        <f t="shared" si="27"/>
        <v>0</v>
      </c>
      <c r="AF119" s="179">
        <f t="shared" si="27"/>
        <v>0</v>
      </c>
      <c r="AG119" s="179">
        <f t="shared" si="27"/>
        <v>0</v>
      </c>
      <c r="AH119" s="179">
        <f t="shared" si="27"/>
        <v>0</v>
      </c>
      <c r="AI119" s="179">
        <f t="shared" si="27"/>
        <v>0</v>
      </c>
      <c r="AJ119" s="179">
        <f t="shared" si="27"/>
        <v>0</v>
      </c>
      <c r="AK119" s="179">
        <f t="shared" si="27"/>
        <v>0</v>
      </c>
      <c r="AL119" s="179">
        <f t="shared" si="27"/>
        <v>0</v>
      </c>
      <c r="AM119" s="179">
        <f t="shared" si="27"/>
        <v>0</v>
      </c>
      <c r="AN119" s="179"/>
      <c r="AO119" s="179"/>
      <c r="AP119" s="179"/>
      <c r="AQ119" s="179"/>
      <c r="AR119" s="179"/>
      <c r="AS119" s="179"/>
    </row>
    <row r="120" spans="2:45">
      <c r="B120" s="121"/>
      <c r="C120" s="657" t="s">
        <v>1423</v>
      </c>
      <c r="D120" s="257"/>
      <c r="E120" s="121" t="s">
        <v>740</v>
      </c>
      <c r="F120" s="205" t="s">
        <v>212</v>
      </c>
      <c r="G120">
        <f>IF(Sensitivity!$C$42="Departmental",0,6)</f>
        <v>0</v>
      </c>
      <c r="H120" s="366">
        <f>IFERROR(VLOOKUP(F120,Assumptions_Dashboard!$C$38:$D$72,4,FALSE),)</f>
        <v>0</v>
      </c>
      <c r="J120" s="179"/>
      <c r="K120" s="179"/>
      <c r="L120" s="179"/>
      <c r="M120" s="179"/>
      <c r="N120" s="179">
        <f t="shared" si="19"/>
        <v>0</v>
      </c>
      <c r="O120" s="179">
        <f t="shared" si="27"/>
        <v>0</v>
      </c>
      <c r="P120" s="179">
        <f t="shared" si="27"/>
        <v>0</v>
      </c>
      <c r="Q120" s="179">
        <f t="shared" si="27"/>
        <v>0</v>
      </c>
      <c r="R120" s="179">
        <f t="shared" si="27"/>
        <v>0</v>
      </c>
      <c r="S120" s="179">
        <f t="shared" si="27"/>
        <v>0</v>
      </c>
      <c r="T120" s="179">
        <f t="shared" si="27"/>
        <v>0</v>
      </c>
      <c r="U120" s="179">
        <f t="shared" si="27"/>
        <v>0</v>
      </c>
      <c r="V120" s="179">
        <f t="shared" si="27"/>
        <v>0</v>
      </c>
      <c r="W120" s="179">
        <f t="shared" si="27"/>
        <v>0</v>
      </c>
      <c r="X120" s="179">
        <f t="shared" si="27"/>
        <v>0</v>
      </c>
      <c r="Y120" s="179">
        <f t="shared" si="27"/>
        <v>0</v>
      </c>
      <c r="Z120" s="179">
        <f t="shared" si="27"/>
        <v>0</v>
      </c>
      <c r="AA120" s="179">
        <f t="shared" si="27"/>
        <v>0</v>
      </c>
      <c r="AB120" s="179">
        <f t="shared" si="27"/>
        <v>0</v>
      </c>
      <c r="AC120" s="179">
        <f t="shared" si="27"/>
        <v>0</v>
      </c>
      <c r="AD120" s="179">
        <f t="shared" si="27"/>
        <v>0</v>
      </c>
      <c r="AE120" s="179">
        <f t="shared" si="27"/>
        <v>0</v>
      </c>
      <c r="AF120" s="179">
        <f t="shared" si="27"/>
        <v>0</v>
      </c>
      <c r="AG120" s="179">
        <f t="shared" si="27"/>
        <v>0</v>
      </c>
      <c r="AH120" s="179">
        <f t="shared" si="27"/>
        <v>0</v>
      </c>
      <c r="AI120" s="179">
        <f t="shared" si="27"/>
        <v>0</v>
      </c>
      <c r="AJ120" s="179">
        <f t="shared" si="27"/>
        <v>0</v>
      </c>
      <c r="AK120" s="179">
        <f t="shared" si="27"/>
        <v>0</v>
      </c>
      <c r="AL120" s="179">
        <f t="shared" si="27"/>
        <v>0</v>
      </c>
      <c r="AM120" s="179">
        <f t="shared" si="27"/>
        <v>0</v>
      </c>
      <c r="AN120" s="179"/>
      <c r="AO120" s="179"/>
      <c r="AP120" s="179"/>
      <c r="AQ120" s="179"/>
      <c r="AR120" s="179"/>
      <c r="AS120" s="179"/>
    </row>
    <row r="121" spans="2:45">
      <c r="B121" s="121"/>
      <c r="C121" s="657" t="s">
        <v>1424</v>
      </c>
      <c r="D121" s="257"/>
      <c r="E121" s="121" t="s">
        <v>740</v>
      </c>
      <c r="F121" s="205" t="s">
        <v>211</v>
      </c>
      <c r="G121">
        <f>IF(Sensitivity!$C$42="Departmental",0,3)</f>
        <v>0</v>
      </c>
      <c r="H121" s="366">
        <f>IFERROR(VLOOKUP(F121,Assumptions_Dashboard!$C$38:$D$72,4,FALSE),)</f>
        <v>0</v>
      </c>
      <c r="J121" s="179"/>
      <c r="K121" s="179"/>
      <c r="L121" s="179"/>
      <c r="M121" s="179"/>
      <c r="N121" s="179">
        <f t="shared" si="19"/>
        <v>0</v>
      </c>
      <c r="O121" s="179">
        <f t="shared" si="27"/>
        <v>0</v>
      </c>
      <c r="P121" s="179">
        <f t="shared" si="27"/>
        <v>0</v>
      </c>
      <c r="Q121" s="179">
        <f t="shared" si="27"/>
        <v>0</v>
      </c>
      <c r="R121" s="179">
        <f t="shared" si="27"/>
        <v>0</v>
      </c>
      <c r="S121" s="179">
        <f t="shared" si="27"/>
        <v>0</v>
      </c>
      <c r="T121" s="179">
        <f t="shared" si="27"/>
        <v>0</v>
      </c>
      <c r="U121" s="179">
        <f t="shared" si="27"/>
        <v>0</v>
      </c>
      <c r="V121" s="179">
        <f t="shared" si="27"/>
        <v>0</v>
      </c>
      <c r="W121" s="179">
        <f t="shared" si="27"/>
        <v>0</v>
      </c>
      <c r="X121" s="179">
        <f t="shared" si="27"/>
        <v>0</v>
      </c>
      <c r="Y121" s="179">
        <f t="shared" si="27"/>
        <v>0</v>
      </c>
      <c r="Z121" s="179">
        <f t="shared" si="27"/>
        <v>0</v>
      </c>
      <c r="AA121" s="179">
        <f t="shared" si="27"/>
        <v>0</v>
      </c>
      <c r="AB121" s="179">
        <f t="shared" si="27"/>
        <v>0</v>
      </c>
      <c r="AC121" s="179">
        <f t="shared" si="27"/>
        <v>0</v>
      </c>
      <c r="AD121" s="179">
        <f t="shared" si="27"/>
        <v>0</v>
      </c>
      <c r="AE121" s="179">
        <f t="shared" si="27"/>
        <v>0</v>
      </c>
      <c r="AF121" s="179">
        <f t="shared" si="27"/>
        <v>0</v>
      </c>
      <c r="AG121" s="179">
        <f t="shared" si="27"/>
        <v>0</v>
      </c>
      <c r="AH121" s="179">
        <f t="shared" si="27"/>
        <v>0</v>
      </c>
      <c r="AI121" s="179">
        <f t="shared" si="27"/>
        <v>0</v>
      </c>
      <c r="AJ121" s="179">
        <f t="shared" si="27"/>
        <v>0</v>
      </c>
      <c r="AK121" s="179">
        <f t="shared" si="27"/>
        <v>0</v>
      </c>
      <c r="AL121" s="179">
        <f t="shared" si="27"/>
        <v>0</v>
      </c>
      <c r="AM121" s="179">
        <f t="shared" si="27"/>
        <v>0</v>
      </c>
      <c r="AN121" s="179"/>
      <c r="AO121" s="179"/>
      <c r="AP121" s="179"/>
      <c r="AQ121" s="179"/>
      <c r="AR121" s="179"/>
      <c r="AS121" s="179"/>
    </row>
    <row r="122" spans="2:45">
      <c r="B122" s="121"/>
      <c r="C122" s="657" t="s">
        <v>1425</v>
      </c>
      <c r="D122" s="257"/>
      <c r="E122" s="121" t="s">
        <v>740</v>
      </c>
      <c r="F122" s="205" t="s">
        <v>212</v>
      </c>
      <c r="G122">
        <f>IF(Sensitivity!$C$42="Departmental",0,6)</f>
        <v>0</v>
      </c>
      <c r="H122" s="366">
        <f>IFERROR(VLOOKUP(F122,Assumptions_Dashboard!$C$38:$D$72,4,FALSE),)</f>
        <v>0</v>
      </c>
      <c r="J122" s="179"/>
      <c r="K122" s="179"/>
      <c r="L122" s="179"/>
      <c r="M122" s="179"/>
      <c r="N122" s="179">
        <f t="shared" si="19"/>
        <v>0</v>
      </c>
      <c r="O122" s="179">
        <f t="shared" si="27"/>
        <v>0</v>
      </c>
      <c r="P122" s="179">
        <f t="shared" si="27"/>
        <v>0</v>
      </c>
      <c r="Q122" s="179">
        <f t="shared" si="27"/>
        <v>0</v>
      </c>
      <c r="R122" s="179">
        <f t="shared" si="27"/>
        <v>0</v>
      </c>
      <c r="S122" s="179">
        <f t="shared" si="27"/>
        <v>0</v>
      </c>
      <c r="T122" s="179">
        <f t="shared" si="27"/>
        <v>0</v>
      </c>
      <c r="U122" s="179">
        <f t="shared" si="27"/>
        <v>0</v>
      </c>
      <c r="V122" s="179">
        <f t="shared" si="27"/>
        <v>0</v>
      </c>
      <c r="W122" s="179">
        <f t="shared" si="27"/>
        <v>0</v>
      </c>
      <c r="X122" s="179">
        <f t="shared" si="27"/>
        <v>0</v>
      </c>
      <c r="Y122" s="179">
        <f t="shared" si="27"/>
        <v>0</v>
      </c>
      <c r="Z122" s="179">
        <f t="shared" si="27"/>
        <v>0</v>
      </c>
      <c r="AA122" s="179">
        <f t="shared" si="27"/>
        <v>0</v>
      </c>
      <c r="AB122" s="179">
        <f t="shared" si="27"/>
        <v>0</v>
      </c>
      <c r="AC122" s="179">
        <f t="shared" si="27"/>
        <v>0</v>
      </c>
      <c r="AD122" s="179">
        <f t="shared" si="27"/>
        <v>0</v>
      </c>
      <c r="AE122" s="179">
        <f t="shared" si="27"/>
        <v>0</v>
      </c>
      <c r="AF122" s="179">
        <f t="shared" si="27"/>
        <v>0</v>
      </c>
      <c r="AG122" s="179">
        <f t="shared" si="27"/>
        <v>0</v>
      </c>
      <c r="AH122" s="179">
        <f t="shared" si="27"/>
        <v>0</v>
      </c>
      <c r="AI122" s="179">
        <f t="shared" si="27"/>
        <v>0</v>
      </c>
      <c r="AJ122" s="179">
        <f t="shared" si="27"/>
        <v>0</v>
      </c>
      <c r="AK122" s="179">
        <f t="shared" si="27"/>
        <v>0</v>
      </c>
      <c r="AL122" s="179">
        <f t="shared" si="27"/>
        <v>0</v>
      </c>
      <c r="AM122" s="179">
        <f t="shared" si="27"/>
        <v>0</v>
      </c>
      <c r="AN122" s="179"/>
      <c r="AO122" s="179"/>
      <c r="AP122" s="179"/>
      <c r="AQ122" s="179"/>
      <c r="AR122" s="179"/>
      <c r="AS122" s="179"/>
    </row>
    <row r="123" spans="2:45">
      <c r="B123" s="121"/>
      <c r="C123" s="657" t="s">
        <v>1426</v>
      </c>
      <c r="D123" s="257"/>
      <c r="E123" s="121" t="s">
        <v>740</v>
      </c>
      <c r="F123" s="205" t="s">
        <v>212</v>
      </c>
      <c r="G123">
        <f>IF(Sensitivity!$C$42="Departmental",0,3)</f>
        <v>0</v>
      </c>
      <c r="H123" s="366">
        <f>IFERROR(VLOOKUP(F123,Assumptions_Dashboard!$C$38:$D$72,4,FALSE),)</f>
        <v>0</v>
      </c>
      <c r="J123" s="179"/>
      <c r="K123" s="179"/>
      <c r="L123" s="179"/>
      <c r="M123" s="179"/>
      <c r="N123" s="179">
        <f t="shared" si="19"/>
        <v>0</v>
      </c>
      <c r="O123" s="179">
        <f t="shared" si="27"/>
        <v>0</v>
      </c>
      <c r="P123" s="179">
        <f t="shared" si="27"/>
        <v>0</v>
      </c>
      <c r="Q123" s="179">
        <f t="shared" si="27"/>
        <v>0</v>
      </c>
      <c r="R123" s="179">
        <f t="shared" si="27"/>
        <v>0</v>
      </c>
      <c r="S123" s="179">
        <f t="shared" si="27"/>
        <v>0</v>
      </c>
      <c r="T123" s="179">
        <f t="shared" si="27"/>
        <v>0</v>
      </c>
      <c r="U123" s="179">
        <f t="shared" si="27"/>
        <v>0</v>
      </c>
      <c r="V123" s="179">
        <f t="shared" si="27"/>
        <v>0</v>
      </c>
      <c r="W123" s="179">
        <f t="shared" si="27"/>
        <v>0</v>
      </c>
      <c r="X123" s="179">
        <f t="shared" si="27"/>
        <v>0</v>
      </c>
      <c r="Y123" s="179">
        <f t="shared" si="27"/>
        <v>0</v>
      </c>
      <c r="Z123" s="179">
        <f t="shared" si="27"/>
        <v>0</v>
      </c>
      <c r="AA123" s="179">
        <f t="shared" si="27"/>
        <v>0</v>
      </c>
      <c r="AB123" s="179">
        <f t="shared" si="27"/>
        <v>0</v>
      </c>
      <c r="AC123" s="179">
        <f t="shared" si="27"/>
        <v>0</v>
      </c>
      <c r="AD123" s="179">
        <f t="shared" si="27"/>
        <v>0</v>
      </c>
      <c r="AE123" s="179">
        <f t="shared" si="27"/>
        <v>0</v>
      </c>
      <c r="AF123" s="179">
        <f t="shared" si="27"/>
        <v>0</v>
      </c>
      <c r="AG123" s="179">
        <f t="shared" si="27"/>
        <v>0</v>
      </c>
      <c r="AH123" s="179">
        <f t="shared" si="27"/>
        <v>0</v>
      </c>
      <c r="AI123" s="179">
        <f t="shared" si="27"/>
        <v>0</v>
      </c>
      <c r="AJ123" s="179">
        <f t="shared" si="27"/>
        <v>0</v>
      </c>
      <c r="AK123" s="179">
        <f t="shared" si="27"/>
        <v>0</v>
      </c>
      <c r="AL123" s="179">
        <f t="shared" si="27"/>
        <v>0</v>
      </c>
      <c r="AM123" s="179">
        <f t="shared" si="27"/>
        <v>0</v>
      </c>
      <c r="AN123" s="179"/>
      <c r="AO123" s="179"/>
      <c r="AP123" s="179"/>
      <c r="AQ123" s="179"/>
      <c r="AR123" s="179"/>
      <c r="AS123" s="179"/>
    </row>
    <row r="124" spans="2:45">
      <c r="B124" s="121"/>
      <c r="C124" s="657" t="s">
        <v>1427</v>
      </c>
      <c r="D124" s="257"/>
      <c r="E124" s="121" t="s">
        <v>740</v>
      </c>
      <c r="F124" s="205" t="s">
        <v>213</v>
      </c>
      <c r="G124">
        <f>IF(Sensitivity!$C$42="Departmental",0,6)</f>
        <v>0</v>
      </c>
      <c r="H124" s="366">
        <f>IFERROR(VLOOKUP(F124,Assumptions_Dashboard!$C$38:$D$72,4,FALSE),)</f>
        <v>0</v>
      </c>
      <c r="J124" s="179"/>
      <c r="K124" s="179"/>
      <c r="L124" s="179"/>
      <c r="M124" s="179"/>
      <c r="N124" s="179">
        <f t="shared" si="19"/>
        <v>0</v>
      </c>
      <c r="O124" s="179">
        <f t="shared" si="27"/>
        <v>0</v>
      </c>
      <c r="P124" s="179">
        <f t="shared" si="27"/>
        <v>0</v>
      </c>
      <c r="Q124" s="179">
        <f t="shared" si="27"/>
        <v>0</v>
      </c>
      <c r="R124" s="179">
        <f t="shared" si="27"/>
        <v>0</v>
      </c>
      <c r="S124" s="179">
        <f t="shared" si="27"/>
        <v>0</v>
      </c>
      <c r="T124" s="179">
        <f t="shared" si="27"/>
        <v>0</v>
      </c>
      <c r="U124" s="179">
        <f t="shared" si="27"/>
        <v>0</v>
      </c>
      <c r="V124" s="179">
        <f t="shared" si="27"/>
        <v>0</v>
      </c>
      <c r="W124" s="179">
        <f t="shared" si="27"/>
        <v>0</v>
      </c>
      <c r="X124" s="179">
        <f t="shared" si="27"/>
        <v>0</v>
      </c>
      <c r="Y124" s="179">
        <f t="shared" si="27"/>
        <v>0</v>
      </c>
      <c r="Z124" s="179">
        <f t="shared" si="27"/>
        <v>0</v>
      </c>
      <c r="AA124" s="179">
        <f t="shared" si="27"/>
        <v>0</v>
      </c>
      <c r="AB124" s="179">
        <f t="shared" si="27"/>
        <v>0</v>
      </c>
      <c r="AC124" s="179">
        <f t="shared" si="27"/>
        <v>0</v>
      </c>
      <c r="AD124" s="179">
        <f t="shared" si="27"/>
        <v>0</v>
      </c>
      <c r="AE124" s="179">
        <f t="shared" si="27"/>
        <v>0</v>
      </c>
      <c r="AF124" s="179">
        <f t="shared" si="27"/>
        <v>0</v>
      </c>
      <c r="AG124" s="179">
        <f t="shared" si="27"/>
        <v>0</v>
      </c>
      <c r="AH124" s="179">
        <f t="shared" si="27"/>
        <v>0</v>
      </c>
      <c r="AI124" s="179">
        <f t="shared" si="27"/>
        <v>0</v>
      </c>
      <c r="AJ124" s="179">
        <f t="shared" si="27"/>
        <v>0</v>
      </c>
      <c r="AK124" s="179">
        <f t="shared" si="27"/>
        <v>0</v>
      </c>
      <c r="AL124" s="179">
        <f t="shared" si="27"/>
        <v>0</v>
      </c>
      <c r="AM124" s="179">
        <f t="shared" si="27"/>
        <v>0</v>
      </c>
      <c r="AN124" s="179"/>
      <c r="AO124" s="179"/>
      <c r="AP124" s="179"/>
      <c r="AQ124" s="179"/>
      <c r="AR124" s="179"/>
      <c r="AS124" s="179"/>
    </row>
    <row r="125" spans="2:45">
      <c r="B125" s="121"/>
      <c r="C125" s="657" t="s">
        <v>1428</v>
      </c>
      <c r="D125" s="257"/>
      <c r="E125" s="121" t="s">
        <v>740</v>
      </c>
      <c r="F125" s="205" t="s">
        <v>212</v>
      </c>
      <c r="G125">
        <f>IF(Sensitivity!$C$42="Departmental",0,3)</f>
        <v>0</v>
      </c>
      <c r="H125" s="366">
        <f>IFERROR(VLOOKUP(F125,Assumptions_Dashboard!$C$38:$D$72,4,FALSE),)</f>
        <v>0</v>
      </c>
      <c r="J125" s="179"/>
      <c r="K125" s="179"/>
      <c r="L125" s="179"/>
      <c r="M125" s="179"/>
      <c r="N125" s="179">
        <f t="shared" si="19"/>
        <v>0</v>
      </c>
      <c r="O125" s="179">
        <f t="shared" si="27"/>
        <v>0</v>
      </c>
      <c r="P125" s="179">
        <f t="shared" si="27"/>
        <v>0</v>
      </c>
      <c r="Q125" s="179">
        <f t="shared" si="27"/>
        <v>0</v>
      </c>
      <c r="R125" s="179">
        <f t="shared" si="27"/>
        <v>0</v>
      </c>
      <c r="S125" s="179">
        <f t="shared" si="27"/>
        <v>0</v>
      </c>
      <c r="T125" s="179">
        <f t="shared" si="27"/>
        <v>0</v>
      </c>
      <c r="U125" s="179">
        <f t="shared" si="27"/>
        <v>0</v>
      </c>
      <c r="V125" s="179">
        <f t="shared" si="27"/>
        <v>0</v>
      </c>
      <c r="W125" s="179">
        <f t="shared" si="27"/>
        <v>0</v>
      </c>
      <c r="X125" s="179">
        <f t="shared" si="27"/>
        <v>0</v>
      </c>
      <c r="Y125" s="179">
        <f t="shared" si="27"/>
        <v>0</v>
      </c>
      <c r="Z125" s="179">
        <f t="shared" si="27"/>
        <v>0</v>
      </c>
      <c r="AA125" s="179">
        <f t="shared" si="27"/>
        <v>0</v>
      </c>
      <c r="AB125" s="179">
        <f t="shared" si="27"/>
        <v>0</v>
      </c>
      <c r="AC125" s="179">
        <f t="shared" si="27"/>
        <v>0</v>
      </c>
      <c r="AD125" s="179">
        <f t="shared" si="27"/>
        <v>0</v>
      </c>
      <c r="AE125" s="179">
        <f t="shared" si="27"/>
        <v>0</v>
      </c>
      <c r="AF125" s="179">
        <f t="shared" si="27"/>
        <v>0</v>
      </c>
      <c r="AG125" s="179">
        <f t="shared" si="27"/>
        <v>0</v>
      </c>
      <c r="AH125" s="179">
        <f t="shared" si="27"/>
        <v>0</v>
      </c>
      <c r="AI125" s="179">
        <f t="shared" si="27"/>
        <v>0</v>
      </c>
      <c r="AJ125" s="179">
        <f t="shared" si="27"/>
        <v>0</v>
      </c>
      <c r="AK125" s="179">
        <f t="shared" si="27"/>
        <v>0</v>
      </c>
      <c r="AL125" s="179">
        <f t="shared" si="27"/>
        <v>0</v>
      </c>
      <c r="AM125" s="179">
        <f t="shared" si="27"/>
        <v>0</v>
      </c>
      <c r="AN125" s="179"/>
      <c r="AO125" s="179"/>
      <c r="AP125" s="179"/>
      <c r="AQ125" s="179"/>
      <c r="AR125" s="179"/>
      <c r="AS125" s="179"/>
    </row>
    <row r="126" spans="2:45">
      <c r="B126" s="121"/>
      <c r="C126" s="657" t="s">
        <v>1429</v>
      </c>
      <c r="D126" s="257"/>
      <c r="E126" s="121" t="s">
        <v>740</v>
      </c>
      <c r="F126" s="205" t="s">
        <v>213</v>
      </c>
      <c r="G126">
        <f>IF(Sensitivity!$C$42="Departmental",0,3)</f>
        <v>0</v>
      </c>
      <c r="H126" s="366">
        <f>IFERROR(VLOOKUP(F126,Assumptions_Dashboard!$C$38:$D$72,4,FALSE),)</f>
        <v>0</v>
      </c>
      <c r="J126" s="179"/>
      <c r="K126" s="179"/>
      <c r="L126" s="179"/>
      <c r="M126" s="179"/>
      <c r="N126" s="179">
        <f t="shared" si="19"/>
        <v>0</v>
      </c>
      <c r="O126" s="179">
        <f t="shared" si="27"/>
        <v>0</v>
      </c>
      <c r="P126" s="179">
        <f t="shared" si="27"/>
        <v>0</v>
      </c>
      <c r="Q126" s="179">
        <f t="shared" si="27"/>
        <v>0</v>
      </c>
      <c r="R126" s="179">
        <f t="shared" si="27"/>
        <v>0</v>
      </c>
      <c r="S126" s="179">
        <f t="shared" si="27"/>
        <v>0</v>
      </c>
      <c r="T126" s="179">
        <f t="shared" si="27"/>
        <v>0</v>
      </c>
      <c r="U126" s="179">
        <f t="shared" si="27"/>
        <v>0</v>
      </c>
      <c r="V126" s="179">
        <f t="shared" si="27"/>
        <v>0</v>
      </c>
      <c r="W126" s="179">
        <f t="shared" si="27"/>
        <v>0</v>
      </c>
      <c r="X126" s="179">
        <f t="shared" si="27"/>
        <v>0</v>
      </c>
      <c r="Y126" s="179">
        <f t="shared" si="27"/>
        <v>0</v>
      </c>
      <c r="Z126" s="179">
        <f t="shared" si="27"/>
        <v>0</v>
      </c>
      <c r="AA126" s="179">
        <f t="shared" si="27"/>
        <v>0</v>
      </c>
      <c r="AB126" s="179">
        <f t="shared" si="27"/>
        <v>0</v>
      </c>
      <c r="AC126" s="179">
        <f t="shared" si="27"/>
        <v>0</v>
      </c>
      <c r="AD126" s="179">
        <f t="shared" ref="AD126:AM126" si="28">AC126</f>
        <v>0</v>
      </c>
      <c r="AE126" s="179">
        <f t="shared" si="28"/>
        <v>0</v>
      </c>
      <c r="AF126" s="179">
        <f t="shared" si="28"/>
        <v>0</v>
      </c>
      <c r="AG126" s="179">
        <f t="shared" si="28"/>
        <v>0</v>
      </c>
      <c r="AH126" s="179">
        <f t="shared" si="28"/>
        <v>0</v>
      </c>
      <c r="AI126" s="179">
        <f t="shared" si="28"/>
        <v>0</v>
      </c>
      <c r="AJ126" s="179">
        <f t="shared" si="28"/>
        <v>0</v>
      </c>
      <c r="AK126" s="179">
        <f t="shared" si="28"/>
        <v>0</v>
      </c>
      <c r="AL126" s="179">
        <f t="shared" si="28"/>
        <v>0</v>
      </c>
      <c r="AM126" s="179">
        <f t="shared" si="28"/>
        <v>0</v>
      </c>
      <c r="AN126" s="179"/>
      <c r="AO126" s="179"/>
      <c r="AP126" s="179"/>
      <c r="AQ126" s="179"/>
      <c r="AR126" s="179"/>
      <c r="AS126" s="179"/>
    </row>
    <row r="127" spans="2:45">
      <c r="B127" s="121"/>
      <c r="C127" s="657" t="s">
        <v>1430</v>
      </c>
      <c r="D127" s="257"/>
      <c r="E127" s="121" t="s">
        <v>740</v>
      </c>
      <c r="F127" s="205" t="s">
        <v>212</v>
      </c>
      <c r="G127">
        <f>IF(Sensitivity!$C$42="Departmental",0,3)</f>
        <v>0</v>
      </c>
      <c r="H127" s="366">
        <f>IFERROR(VLOOKUP(F127,Assumptions_Dashboard!$C$38:$D$72,4,FALSE),)</f>
        <v>0</v>
      </c>
      <c r="J127" s="179"/>
      <c r="K127" s="179"/>
      <c r="L127" s="179"/>
      <c r="M127" s="179"/>
      <c r="N127" s="179">
        <f t="shared" si="19"/>
        <v>0</v>
      </c>
      <c r="O127" s="179">
        <f t="shared" ref="O127:AM135" si="29">N127</f>
        <v>0</v>
      </c>
      <c r="P127" s="179">
        <f t="shared" si="29"/>
        <v>0</v>
      </c>
      <c r="Q127" s="179">
        <f t="shared" si="29"/>
        <v>0</v>
      </c>
      <c r="R127" s="179">
        <f t="shared" si="29"/>
        <v>0</v>
      </c>
      <c r="S127" s="179">
        <f t="shared" si="29"/>
        <v>0</v>
      </c>
      <c r="T127" s="179">
        <f t="shared" si="29"/>
        <v>0</v>
      </c>
      <c r="U127" s="179">
        <f t="shared" si="29"/>
        <v>0</v>
      </c>
      <c r="V127" s="179">
        <f t="shared" si="29"/>
        <v>0</v>
      </c>
      <c r="W127" s="179">
        <f t="shared" si="29"/>
        <v>0</v>
      </c>
      <c r="X127" s="179">
        <f t="shared" si="29"/>
        <v>0</v>
      </c>
      <c r="Y127" s="179">
        <f t="shared" si="29"/>
        <v>0</v>
      </c>
      <c r="Z127" s="179">
        <f t="shared" si="29"/>
        <v>0</v>
      </c>
      <c r="AA127" s="179">
        <f t="shared" si="29"/>
        <v>0</v>
      </c>
      <c r="AB127" s="179">
        <f t="shared" si="29"/>
        <v>0</v>
      </c>
      <c r="AC127" s="179">
        <f t="shared" si="29"/>
        <v>0</v>
      </c>
      <c r="AD127" s="179">
        <f t="shared" si="29"/>
        <v>0</v>
      </c>
      <c r="AE127" s="179">
        <f t="shared" si="29"/>
        <v>0</v>
      </c>
      <c r="AF127" s="179">
        <f t="shared" si="29"/>
        <v>0</v>
      </c>
      <c r="AG127" s="179">
        <f t="shared" si="29"/>
        <v>0</v>
      </c>
      <c r="AH127" s="179">
        <f t="shared" si="29"/>
        <v>0</v>
      </c>
      <c r="AI127" s="179">
        <f t="shared" si="29"/>
        <v>0</v>
      </c>
      <c r="AJ127" s="179">
        <f t="shared" si="29"/>
        <v>0</v>
      </c>
      <c r="AK127" s="179">
        <f t="shared" si="29"/>
        <v>0</v>
      </c>
      <c r="AL127" s="179">
        <f t="shared" si="29"/>
        <v>0</v>
      </c>
      <c r="AM127" s="179">
        <f t="shared" si="29"/>
        <v>0</v>
      </c>
      <c r="AN127" s="179"/>
      <c r="AO127" s="179"/>
      <c r="AP127" s="179"/>
      <c r="AQ127" s="179"/>
      <c r="AR127" s="179"/>
      <c r="AS127" s="179"/>
    </row>
    <row r="128" spans="2:45">
      <c r="B128" s="121"/>
      <c r="C128" s="657" t="s">
        <v>1431</v>
      </c>
      <c r="D128" s="257"/>
      <c r="E128" s="121" t="s">
        <v>740</v>
      </c>
      <c r="F128" s="205" t="s">
        <v>213</v>
      </c>
      <c r="G128">
        <f>IF(Sensitivity!$C$42="Departmental",0,3)</f>
        <v>0</v>
      </c>
      <c r="H128" s="366">
        <f>IFERROR(VLOOKUP(F128,Assumptions_Dashboard!$C$38:$D$72,4,FALSE),)</f>
        <v>0</v>
      </c>
      <c r="J128" s="179"/>
      <c r="K128" s="179"/>
      <c r="L128" s="179"/>
      <c r="M128" s="179"/>
      <c r="N128" s="179">
        <f t="shared" si="19"/>
        <v>0</v>
      </c>
      <c r="O128" s="179">
        <f t="shared" si="29"/>
        <v>0</v>
      </c>
      <c r="P128" s="179">
        <f t="shared" si="29"/>
        <v>0</v>
      </c>
      <c r="Q128" s="179">
        <f t="shared" si="29"/>
        <v>0</v>
      </c>
      <c r="R128" s="179">
        <f t="shared" si="29"/>
        <v>0</v>
      </c>
      <c r="S128" s="179">
        <f t="shared" si="29"/>
        <v>0</v>
      </c>
      <c r="T128" s="179">
        <f t="shared" si="29"/>
        <v>0</v>
      </c>
      <c r="U128" s="179">
        <f t="shared" si="29"/>
        <v>0</v>
      </c>
      <c r="V128" s="179">
        <f t="shared" si="29"/>
        <v>0</v>
      </c>
      <c r="W128" s="179">
        <f t="shared" si="29"/>
        <v>0</v>
      </c>
      <c r="X128" s="179">
        <f t="shared" si="29"/>
        <v>0</v>
      </c>
      <c r="Y128" s="179">
        <f t="shared" si="29"/>
        <v>0</v>
      </c>
      <c r="Z128" s="179">
        <f t="shared" si="29"/>
        <v>0</v>
      </c>
      <c r="AA128" s="179">
        <f t="shared" si="29"/>
        <v>0</v>
      </c>
      <c r="AB128" s="179">
        <f t="shared" si="29"/>
        <v>0</v>
      </c>
      <c r="AC128" s="179">
        <f t="shared" si="29"/>
        <v>0</v>
      </c>
      <c r="AD128" s="179">
        <f t="shared" si="29"/>
        <v>0</v>
      </c>
      <c r="AE128" s="179">
        <f t="shared" si="29"/>
        <v>0</v>
      </c>
      <c r="AF128" s="179">
        <f t="shared" si="29"/>
        <v>0</v>
      </c>
      <c r="AG128" s="179">
        <f t="shared" si="29"/>
        <v>0</v>
      </c>
      <c r="AH128" s="179">
        <f t="shared" si="29"/>
        <v>0</v>
      </c>
      <c r="AI128" s="179">
        <f t="shared" si="29"/>
        <v>0</v>
      </c>
      <c r="AJ128" s="179">
        <f t="shared" si="29"/>
        <v>0</v>
      </c>
      <c r="AK128" s="179">
        <f t="shared" si="29"/>
        <v>0</v>
      </c>
      <c r="AL128" s="179">
        <f t="shared" si="29"/>
        <v>0</v>
      </c>
      <c r="AM128" s="179">
        <f t="shared" si="29"/>
        <v>0</v>
      </c>
      <c r="AN128" s="179"/>
      <c r="AO128" s="179"/>
      <c r="AP128" s="179"/>
      <c r="AQ128" s="179"/>
      <c r="AR128" s="179"/>
      <c r="AS128" s="179"/>
    </row>
    <row r="129" spans="2:45">
      <c r="B129" s="121"/>
      <c r="C129" s="657" t="s">
        <v>1432</v>
      </c>
      <c r="D129" s="257"/>
      <c r="E129" s="121" t="s">
        <v>740</v>
      </c>
      <c r="F129" s="205" t="s">
        <v>213</v>
      </c>
      <c r="G129">
        <f>IF(Sensitivity!$C$42="Departmental",0,3)</f>
        <v>0</v>
      </c>
      <c r="H129" s="366">
        <f>IFERROR(VLOOKUP(F129,Assumptions_Dashboard!$C$38:$D$72,4,FALSE),)</f>
        <v>0</v>
      </c>
      <c r="J129" s="179"/>
      <c r="K129" s="179"/>
      <c r="L129" s="179"/>
      <c r="M129" s="179"/>
      <c r="N129" s="179">
        <f t="shared" si="19"/>
        <v>0</v>
      </c>
      <c r="O129" s="179">
        <f t="shared" si="29"/>
        <v>0</v>
      </c>
      <c r="P129" s="179">
        <f t="shared" si="29"/>
        <v>0</v>
      </c>
      <c r="Q129" s="179">
        <f t="shared" si="29"/>
        <v>0</v>
      </c>
      <c r="R129" s="179">
        <f t="shared" si="29"/>
        <v>0</v>
      </c>
      <c r="S129" s="179">
        <f t="shared" si="29"/>
        <v>0</v>
      </c>
      <c r="T129" s="179">
        <f t="shared" si="29"/>
        <v>0</v>
      </c>
      <c r="U129" s="179">
        <f t="shared" si="29"/>
        <v>0</v>
      </c>
      <c r="V129" s="179">
        <f t="shared" si="29"/>
        <v>0</v>
      </c>
      <c r="W129" s="179">
        <f t="shared" si="29"/>
        <v>0</v>
      </c>
      <c r="X129" s="179">
        <f t="shared" si="29"/>
        <v>0</v>
      </c>
      <c r="Y129" s="179">
        <f t="shared" si="29"/>
        <v>0</v>
      </c>
      <c r="Z129" s="179">
        <f t="shared" si="29"/>
        <v>0</v>
      </c>
      <c r="AA129" s="179">
        <f t="shared" si="29"/>
        <v>0</v>
      </c>
      <c r="AB129" s="179">
        <f t="shared" si="29"/>
        <v>0</v>
      </c>
      <c r="AC129" s="179">
        <f t="shared" si="29"/>
        <v>0</v>
      </c>
      <c r="AD129" s="179">
        <f t="shared" si="29"/>
        <v>0</v>
      </c>
      <c r="AE129" s="179">
        <f t="shared" si="29"/>
        <v>0</v>
      </c>
      <c r="AF129" s="179">
        <f t="shared" si="29"/>
        <v>0</v>
      </c>
      <c r="AG129" s="179">
        <f t="shared" si="29"/>
        <v>0</v>
      </c>
      <c r="AH129" s="179">
        <f t="shared" si="29"/>
        <v>0</v>
      </c>
      <c r="AI129" s="179">
        <f t="shared" si="29"/>
        <v>0</v>
      </c>
      <c r="AJ129" s="179">
        <f t="shared" si="29"/>
        <v>0</v>
      </c>
      <c r="AK129" s="179">
        <f t="shared" si="29"/>
        <v>0</v>
      </c>
      <c r="AL129" s="179">
        <f t="shared" si="29"/>
        <v>0</v>
      </c>
      <c r="AM129" s="179">
        <f t="shared" si="29"/>
        <v>0</v>
      </c>
      <c r="AN129" s="179"/>
      <c r="AO129" s="179"/>
      <c r="AP129" s="179"/>
      <c r="AQ129" s="179"/>
      <c r="AR129" s="179"/>
      <c r="AS129" s="179"/>
    </row>
    <row r="130" spans="2:45">
      <c r="B130" s="121"/>
      <c r="C130" s="657" t="s">
        <v>1433</v>
      </c>
      <c r="D130" s="257"/>
      <c r="E130" s="121" t="s">
        <v>740</v>
      </c>
      <c r="F130" s="205" t="s">
        <v>226</v>
      </c>
      <c r="G130">
        <f>IF(Sensitivity!$C$42="Departmental",0,3)</f>
        <v>0</v>
      </c>
      <c r="H130" s="366">
        <f>IFERROR(VLOOKUP(F130,Assumptions_Dashboard!$C$38:$D$72,4,FALSE),)</f>
        <v>0</v>
      </c>
      <c r="J130" s="179"/>
      <c r="K130" s="179"/>
      <c r="L130" s="179"/>
      <c r="M130" s="179"/>
      <c r="N130" s="179">
        <f t="shared" si="19"/>
        <v>0</v>
      </c>
      <c r="O130" s="179">
        <f t="shared" si="29"/>
        <v>0</v>
      </c>
      <c r="P130" s="179">
        <f t="shared" si="29"/>
        <v>0</v>
      </c>
      <c r="Q130" s="179">
        <f t="shared" si="29"/>
        <v>0</v>
      </c>
      <c r="R130" s="179">
        <f t="shared" si="29"/>
        <v>0</v>
      </c>
      <c r="S130" s="179">
        <f t="shared" si="29"/>
        <v>0</v>
      </c>
      <c r="T130" s="179">
        <f t="shared" si="29"/>
        <v>0</v>
      </c>
      <c r="U130" s="179">
        <f t="shared" si="29"/>
        <v>0</v>
      </c>
      <c r="V130" s="179">
        <f t="shared" si="29"/>
        <v>0</v>
      </c>
      <c r="W130" s="179">
        <f t="shared" si="29"/>
        <v>0</v>
      </c>
      <c r="X130" s="179">
        <f t="shared" si="29"/>
        <v>0</v>
      </c>
      <c r="Y130" s="179">
        <f t="shared" si="29"/>
        <v>0</v>
      </c>
      <c r="Z130" s="179">
        <f t="shared" si="29"/>
        <v>0</v>
      </c>
      <c r="AA130" s="179">
        <f t="shared" si="29"/>
        <v>0</v>
      </c>
      <c r="AB130" s="179">
        <f t="shared" si="29"/>
        <v>0</v>
      </c>
      <c r="AC130" s="179">
        <f t="shared" si="29"/>
        <v>0</v>
      </c>
      <c r="AD130" s="179">
        <f t="shared" si="29"/>
        <v>0</v>
      </c>
      <c r="AE130" s="179">
        <f t="shared" si="29"/>
        <v>0</v>
      </c>
      <c r="AF130" s="179">
        <f t="shared" si="29"/>
        <v>0</v>
      </c>
      <c r="AG130" s="179">
        <f t="shared" si="29"/>
        <v>0</v>
      </c>
      <c r="AH130" s="179">
        <f t="shared" si="29"/>
        <v>0</v>
      </c>
      <c r="AI130" s="179">
        <f t="shared" si="29"/>
        <v>0</v>
      </c>
      <c r="AJ130" s="179">
        <f t="shared" si="29"/>
        <v>0</v>
      </c>
      <c r="AK130" s="179">
        <f t="shared" si="29"/>
        <v>0</v>
      </c>
      <c r="AL130" s="179">
        <f t="shared" si="29"/>
        <v>0</v>
      </c>
      <c r="AM130" s="179">
        <f t="shared" si="29"/>
        <v>0</v>
      </c>
      <c r="AN130" s="179"/>
      <c r="AO130" s="179"/>
      <c r="AP130" s="179"/>
      <c r="AQ130" s="179"/>
      <c r="AR130" s="179"/>
      <c r="AS130" s="179"/>
    </row>
    <row r="131" spans="2:45">
      <c r="B131" s="121"/>
      <c r="C131" s="657" t="s">
        <v>1434</v>
      </c>
      <c r="D131" s="257"/>
      <c r="E131" s="121" t="s">
        <v>740</v>
      </c>
      <c r="F131" s="205" t="s">
        <v>228</v>
      </c>
      <c r="G131">
        <f>IF(Sensitivity!$C$42="Departmental",0,1)</f>
        <v>0</v>
      </c>
      <c r="H131" s="366">
        <f>IFERROR(VLOOKUP(F131,Assumptions_Dashboard!$C$38:$D$72,4,FALSE),)</f>
        <v>0</v>
      </c>
      <c r="J131" s="179"/>
      <c r="K131" s="179"/>
      <c r="L131" s="179"/>
      <c r="M131" s="179"/>
      <c r="N131" s="179">
        <f t="shared" si="19"/>
        <v>0</v>
      </c>
      <c r="O131" s="179">
        <f t="shared" si="29"/>
        <v>0</v>
      </c>
      <c r="P131" s="179">
        <f t="shared" si="29"/>
        <v>0</v>
      </c>
      <c r="Q131" s="179">
        <f t="shared" si="29"/>
        <v>0</v>
      </c>
      <c r="R131" s="179">
        <f t="shared" si="29"/>
        <v>0</v>
      </c>
      <c r="S131" s="179">
        <f t="shared" si="29"/>
        <v>0</v>
      </c>
      <c r="T131" s="179">
        <f t="shared" si="29"/>
        <v>0</v>
      </c>
      <c r="U131" s="179">
        <f t="shared" si="29"/>
        <v>0</v>
      </c>
      <c r="V131" s="179">
        <f t="shared" si="29"/>
        <v>0</v>
      </c>
      <c r="W131" s="179">
        <f t="shared" si="29"/>
        <v>0</v>
      </c>
      <c r="X131" s="179">
        <f t="shared" si="29"/>
        <v>0</v>
      </c>
      <c r="Y131" s="179">
        <f t="shared" si="29"/>
        <v>0</v>
      </c>
      <c r="Z131" s="179">
        <f t="shared" si="29"/>
        <v>0</v>
      </c>
      <c r="AA131" s="179">
        <f t="shared" si="29"/>
        <v>0</v>
      </c>
      <c r="AB131" s="179">
        <f t="shared" si="29"/>
        <v>0</v>
      </c>
      <c r="AC131" s="179">
        <f t="shared" si="29"/>
        <v>0</v>
      </c>
      <c r="AD131" s="179">
        <f t="shared" si="29"/>
        <v>0</v>
      </c>
      <c r="AE131" s="179">
        <f t="shared" si="29"/>
        <v>0</v>
      </c>
      <c r="AF131" s="179">
        <f t="shared" si="29"/>
        <v>0</v>
      </c>
      <c r="AG131" s="179">
        <f t="shared" si="29"/>
        <v>0</v>
      </c>
      <c r="AH131" s="179">
        <f t="shared" si="29"/>
        <v>0</v>
      </c>
      <c r="AI131" s="179">
        <f t="shared" si="29"/>
        <v>0</v>
      </c>
      <c r="AJ131" s="179">
        <f t="shared" si="29"/>
        <v>0</v>
      </c>
      <c r="AK131" s="179">
        <f t="shared" si="29"/>
        <v>0</v>
      </c>
      <c r="AL131" s="179">
        <f t="shared" si="29"/>
        <v>0</v>
      </c>
      <c r="AM131" s="179">
        <f t="shared" si="29"/>
        <v>0</v>
      </c>
      <c r="AN131" s="179"/>
      <c r="AO131" s="179"/>
      <c r="AP131" s="179"/>
      <c r="AQ131" s="179"/>
      <c r="AR131" s="179"/>
      <c r="AS131" s="179"/>
    </row>
    <row r="132" spans="2:45">
      <c r="B132" s="121"/>
      <c r="C132" s="657" t="s">
        <v>1435</v>
      </c>
      <c r="D132" s="257"/>
      <c r="E132" s="121" t="s">
        <v>740</v>
      </c>
      <c r="F132" s="205" t="s">
        <v>230</v>
      </c>
      <c r="G132">
        <f>IF(Sensitivity!$C$42="Departmental",0,6)</f>
        <v>0</v>
      </c>
      <c r="H132" s="366">
        <f>IFERROR(VLOOKUP(F132,Assumptions_Dashboard!$C$38:$D$72,4,FALSE),)</f>
        <v>0</v>
      </c>
      <c r="J132" s="179"/>
      <c r="K132" s="179"/>
      <c r="L132" s="179"/>
      <c r="M132" s="179"/>
      <c r="N132" s="179">
        <f t="shared" si="19"/>
        <v>0</v>
      </c>
      <c r="O132" s="179">
        <f t="shared" si="29"/>
        <v>0</v>
      </c>
      <c r="P132" s="179">
        <f t="shared" si="29"/>
        <v>0</v>
      </c>
      <c r="Q132" s="179">
        <f t="shared" si="29"/>
        <v>0</v>
      </c>
      <c r="R132" s="179">
        <f t="shared" si="29"/>
        <v>0</v>
      </c>
      <c r="S132" s="179">
        <f t="shared" si="29"/>
        <v>0</v>
      </c>
      <c r="T132" s="179">
        <f t="shared" si="29"/>
        <v>0</v>
      </c>
      <c r="U132" s="179">
        <f t="shared" si="29"/>
        <v>0</v>
      </c>
      <c r="V132" s="179">
        <f t="shared" si="29"/>
        <v>0</v>
      </c>
      <c r="W132" s="179">
        <f t="shared" si="29"/>
        <v>0</v>
      </c>
      <c r="X132" s="179">
        <f t="shared" si="29"/>
        <v>0</v>
      </c>
      <c r="Y132" s="179">
        <f t="shared" si="29"/>
        <v>0</v>
      </c>
      <c r="Z132" s="179">
        <f t="shared" si="29"/>
        <v>0</v>
      </c>
      <c r="AA132" s="179">
        <f t="shared" si="29"/>
        <v>0</v>
      </c>
      <c r="AB132" s="179">
        <f t="shared" si="29"/>
        <v>0</v>
      </c>
      <c r="AC132" s="179">
        <f t="shared" si="29"/>
        <v>0</v>
      </c>
      <c r="AD132" s="179">
        <f t="shared" si="29"/>
        <v>0</v>
      </c>
      <c r="AE132" s="179">
        <f t="shared" si="29"/>
        <v>0</v>
      </c>
      <c r="AF132" s="179">
        <f t="shared" si="29"/>
        <v>0</v>
      </c>
      <c r="AG132" s="179">
        <f t="shared" si="29"/>
        <v>0</v>
      </c>
      <c r="AH132" s="179">
        <f t="shared" si="29"/>
        <v>0</v>
      </c>
      <c r="AI132" s="179">
        <f t="shared" si="29"/>
        <v>0</v>
      </c>
      <c r="AJ132" s="179">
        <f t="shared" si="29"/>
        <v>0</v>
      </c>
      <c r="AK132" s="179">
        <f t="shared" si="29"/>
        <v>0</v>
      </c>
      <c r="AL132" s="179">
        <f t="shared" si="29"/>
        <v>0</v>
      </c>
      <c r="AM132" s="179">
        <f t="shared" si="29"/>
        <v>0</v>
      </c>
      <c r="AN132" s="179"/>
      <c r="AO132" s="179"/>
      <c r="AP132" s="179"/>
      <c r="AQ132" s="179"/>
      <c r="AR132" s="179"/>
      <c r="AS132" s="179"/>
    </row>
    <row r="133" spans="2:45">
      <c r="B133" s="121"/>
      <c r="C133" s="657" t="s">
        <v>1352</v>
      </c>
      <c r="D133" s="257"/>
      <c r="E133" s="121" t="s">
        <v>740</v>
      </c>
      <c r="F133" s="205" t="s">
        <v>230</v>
      </c>
      <c r="G133">
        <f>IF(Sensitivity!$C$42="Departmental",0,45)</f>
        <v>0</v>
      </c>
      <c r="H133" s="366">
        <f>IFERROR(VLOOKUP(F133,Assumptions_Dashboard!$C$38:$D$72,4,FALSE),)</f>
        <v>0</v>
      </c>
      <c r="J133" s="179"/>
      <c r="K133" s="179"/>
      <c r="L133" s="179"/>
      <c r="M133" s="179"/>
      <c r="N133" s="179">
        <f t="shared" si="19"/>
        <v>0</v>
      </c>
      <c r="O133" s="179">
        <f t="shared" si="29"/>
        <v>0</v>
      </c>
      <c r="P133" s="179">
        <f t="shared" si="29"/>
        <v>0</v>
      </c>
      <c r="Q133" s="179">
        <f t="shared" si="29"/>
        <v>0</v>
      </c>
      <c r="R133" s="179">
        <f t="shared" si="29"/>
        <v>0</v>
      </c>
      <c r="S133" s="179">
        <f t="shared" si="29"/>
        <v>0</v>
      </c>
      <c r="T133" s="179">
        <f t="shared" si="29"/>
        <v>0</v>
      </c>
      <c r="U133" s="179">
        <f t="shared" si="29"/>
        <v>0</v>
      </c>
      <c r="V133" s="179">
        <f t="shared" si="29"/>
        <v>0</v>
      </c>
      <c r="W133" s="179">
        <f t="shared" si="29"/>
        <v>0</v>
      </c>
      <c r="X133" s="179">
        <f t="shared" si="29"/>
        <v>0</v>
      </c>
      <c r="Y133" s="179">
        <f t="shared" si="29"/>
        <v>0</v>
      </c>
      <c r="Z133" s="179">
        <f t="shared" si="29"/>
        <v>0</v>
      </c>
      <c r="AA133" s="179">
        <f t="shared" si="29"/>
        <v>0</v>
      </c>
      <c r="AB133" s="179">
        <f t="shared" si="29"/>
        <v>0</v>
      </c>
      <c r="AC133" s="179">
        <f t="shared" si="29"/>
        <v>0</v>
      </c>
      <c r="AD133" s="179">
        <f t="shared" si="29"/>
        <v>0</v>
      </c>
      <c r="AE133" s="179">
        <f t="shared" si="29"/>
        <v>0</v>
      </c>
      <c r="AF133" s="179">
        <f t="shared" si="29"/>
        <v>0</v>
      </c>
      <c r="AG133" s="179">
        <f t="shared" si="29"/>
        <v>0</v>
      </c>
      <c r="AH133" s="179">
        <f t="shared" si="29"/>
        <v>0</v>
      </c>
      <c r="AI133" s="179">
        <f t="shared" si="29"/>
        <v>0</v>
      </c>
      <c r="AJ133" s="179">
        <f t="shared" si="29"/>
        <v>0</v>
      </c>
      <c r="AK133" s="179">
        <f t="shared" si="29"/>
        <v>0</v>
      </c>
      <c r="AL133" s="179">
        <f t="shared" si="29"/>
        <v>0</v>
      </c>
      <c r="AM133" s="179">
        <f t="shared" si="29"/>
        <v>0</v>
      </c>
      <c r="AN133" s="179"/>
      <c r="AO133" s="179"/>
      <c r="AP133" s="179"/>
      <c r="AQ133" s="179"/>
      <c r="AR133" s="179"/>
      <c r="AS133" s="179"/>
    </row>
    <row r="134" spans="2:45">
      <c r="B134" s="121"/>
      <c r="C134" s="121"/>
      <c r="D134" s="257"/>
      <c r="E134" s="121"/>
      <c r="F134" s="205"/>
      <c r="H134" s="366">
        <f>IFERROR(VLOOKUP(F134,Assumptions_Dashboard!$C$38:$D$72,4,FALSE),)</f>
        <v>0</v>
      </c>
      <c r="J134" s="179"/>
      <c r="K134" s="179"/>
      <c r="L134" s="179"/>
      <c r="M134" s="179"/>
      <c r="N134" s="179">
        <f t="shared" si="19"/>
        <v>0</v>
      </c>
      <c r="O134" s="179">
        <f t="shared" si="29"/>
        <v>0</v>
      </c>
      <c r="P134" s="179">
        <f t="shared" si="29"/>
        <v>0</v>
      </c>
      <c r="Q134" s="179">
        <f t="shared" si="29"/>
        <v>0</v>
      </c>
      <c r="R134" s="179">
        <f t="shared" si="29"/>
        <v>0</v>
      </c>
      <c r="S134" s="179">
        <f t="shared" si="29"/>
        <v>0</v>
      </c>
      <c r="T134" s="179">
        <f t="shared" si="29"/>
        <v>0</v>
      </c>
      <c r="U134" s="179">
        <f t="shared" si="29"/>
        <v>0</v>
      </c>
      <c r="V134" s="179">
        <f t="shared" si="29"/>
        <v>0</v>
      </c>
      <c r="W134" s="179">
        <f t="shared" si="29"/>
        <v>0</v>
      </c>
      <c r="X134" s="179">
        <f t="shared" si="29"/>
        <v>0</v>
      </c>
      <c r="Y134" s="179">
        <f t="shared" si="29"/>
        <v>0</v>
      </c>
      <c r="Z134" s="179">
        <f t="shared" si="29"/>
        <v>0</v>
      </c>
      <c r="AA134" s="179">
        <f t="shared" si="29"/>
        <v>0</v>
      </c>
      <c r="AB134" s="179">
        <f t="shared" si="29"/>
        <v>0</v>
      </c>
      <c r="AC134" s="179">
        <f t="shared" si="29"/>
        <v>0</v>
      </c>
      <c r="AD134" s="179">
        <f t="shared" si="29"/>
        <v>0</v>
      </c>
      <c r="AE134" s="179">
        <f t="shared" si="29"/>
        <v>0</v>
      </c>
      <c r="AF134" s="179">
        <f t="shared" si="29"/>
        <v>0</v>
      </c>
      <c r="AG134" s="179">
        <f t="shared" si="29"/>
        <v>0</v>
      </c>
      <c r="AH134" s="179">
        <f t="shared" si="29"/>
        <v>0</v>
      </c>
      <c r="AI134" s="179">
        <f t="shared" si="29"/>
        <v>0</v>
      </c>
      <c r="AJ134" s="179">
        <f t="shared" si="29"/>
        <v>0</v>
      </c>
      <c r="AK134" s="179">
        <f t="shared" si="29"/>
        <v>0</v>
      </c>
      <c r="AL134" s="179">
        <f t="shared" si="29"/>
        <v>0</v>
      </c>
      <c r="AM134" s="179">
        <f t="shared" si="29"/>
        <v>0</v>
      </c>
      <c r="AN134" s="179"/>
      <c r="AO134" s="179"/>
      <c r="AP134" s="179"/>
      <c r="AQ134" s="179"/>
      <c r="AR134" s="179"/>
      <c r="AS134" s="179"/>
    </row>
    <row r="135" spans="2:45">
      <c r="B135" s="121"/>
      <c r="C135" s="117" t="s">
        <v>1436</v>
      </c>
      <c r="D135" s="257"/>
      <c r="E135" s="121"/>
      <c r="F135" s="205"/>
      <c r="H135" s="366">
        <f>IFERROR(VLOOKUP(F135,Assumptions_Dashboard!$C$38:$D$72,4,FALSE),)</f>
        <v>0</v>
      </c>
      <c r="J135" s="179"/>
      <c r="K135" s="179"/>
      <c r="L135" s="179"/>
      <c r="M135" s="179"/>
      <c r="N135" s="179">
        <f t="shared" si="19"/>
        <v>0</v>
      </c>
      <c r="O135" s="179">
        <f t="shared" si="29"/>
        <v>0</v>
      </c>
      <c r="P135" s="179">
        <f t="shared" si="29"/>
        <v>0</v>
      </c>
      <c r="Q135" s="179">
        <f t="shared" si="29"/>
        <v>0</v>
      </c>
      <c r="R135" s="179">
        <f t="shared" si="29"/>
        <v>0</v>
      </c>
      <c r="S135" s="179">
        <f t="shared" si="29"/>
        <v>0</v>
      </c>
      <c r="T135" s="179">
        <f t="shared" si="29"/>
        <v>0</v>
      </c>
      <c r="U135" s="179">
        <f t="shared" si="29"/>
        <v>0</v>
      </c>
      <c r="V135" s="179">
        <f t="shared" si="29"/>
        <v>0</v>
      </c>
      <c r="W135" s="179">
        <f t="shared" si="29"/>
        <v>0</v>
      </c>
      <c r="X135" s="179">
        <f t="shared" si="29"/>
        <v>0</v>
      </c>
      <c r="Y135" s="179">
        <f t="shared" si="29"/>
        <v>0</v>
      </c>
      <c r="Z135" s="179">
        <f t="shared" si="29"/>
        <v>0</v>
      </c>
      <c r="AA135" s="179">
        <f t="shared" si="29"/>
        <v>0</v>
      </c>
      <c r="AB135" s="179">
        <f t="shared" si="29"/>
        <v>0</v>
      </c>
      <c r="AC135" s="179">
        <f t="shared" si="29"/>
        <v>0</v>
      </c>
      <c r="AD135" s="179">
        <f t="shared" ref="AD135:AM135" si="30">AC135</f>
        <v>0</v>
      </c>
      <c r="AE135" s="179">
        <f t="shared" si="30"/>
        <v>0</v>
      </c>
      <c r="AF135" s="179">
        <f t="shared" si="30"/>
        <v>0</v>
      </c>
      <c r="AG135" s="179">
        <f t="shared" si="30"/>
        <v>0</v>
      </c>
      <c r="AH135" s="179">
        <f t="shared" si="30"/>
        <v>0</v>
      </c>
      <c r="AI135" s="179">
        <f t="shared" si="30"/>
        <v>0</v>
      </c>
      <c r="AJ135" s="179">
        <f t="shared" si="30"/>
        <v>0</v>
      </c>
      <c r="AK135" s="179">
        <f t="shared" si="30"/>
        <v>0</v>
      </c>
      <c r="AL135" s="179">
        <f t="shared" si="30"/>
        <v>0</v>
      </c>
      <c r="AM135" s="179">
        <f t="shared" si="30"/>
        <v>0</v>
      </c>
      <c r="AN135" s="179"/>
      <c r="AO135" s="179"/>
      <c r="AP135" s="179"/>
      <c r="AQ135" s="179"/>
      <c r="AR135" s="179"/>
      <c r="AS135" s="179"/>
    </row>
    <row r="136" spans="2:45">
      <c r="B136" s="121"/>
      <c r="C136" s="658" t="s">
        <v>1437</v>
      </c>
      <c r="D136" s="257" t="s">
        <v>1315</v>
      </c>
      <c r="E136" s="121" t="s">
        <v>740</v>
      </c>
      <c r="F136" s="95" t="s">
        <v>205</v>
      </c>
      <c r="G136">
        <f>IF(Sensitivity!$C$42="Departmental",0,1)</f>
        <v>0</v>
      </c>
      <c r="H136" s="366">
        <f>IFERROR(VLOOKUP(F136,Assumptions_Dashboard!$C$38:$D$72,4,FALSE),)</f>
        <v>0</v>
      </c>
      <c r="J136" s="179"/>
      <c r="K136" s="179"/>
      <c r="L136" s="179"/>
      <c r="M136" s="179"/>
      <c r="N136" s="179">
        <f>G136</f>
        <v>0</v>
      </c>
      <c r="O136" s="179">
        <f t="shared" ref="O136:AM144" si="31">N136</f>
        <v>0</v>
      </c>
      <c r="P136" s="179">
        <f t="shared" si="31"/>
        <v>0</v>
      </c>
      <c r="Q136" s="179">
        <f t="shared" si="31"/>
        <v>0</v>
      </c>
      <c r="R136" s="179">
        <f t="shared" si="31"/>
        <v>0</v>
      </c>
      <c r="S136" s="179">
        <f t="shared" si="31"/>
        <v>0</v>
      </c>
      <c r="T136" s="179">
        <f t="shared" si="31"/>
        <v>0</v>
      </c>
      <c r="U136" s="179">
        <f t="shared" si="31"/>
        <v>0</v>
      </c>
      <c r="V136" s="179">
        <f t="shared" si="31"/>
        <v>0</v>
      </c>
      <c r="W136" s="179">
        <f t="shared" si="31"/>
        <v>0</v>
      </c>
      <c r="X136" s="179">
        <f t="shared" si="31"/>
        <v>0</v>
      </c>
      <c r="Y136" s="179">
        <f t="shared" si="31"/>
        <v>0</v>
      </c>
      <c r="Z136" s="179">
        <f t="shared" si="31"/>
        <v>0</v>
      </c>
      <c r="AA136" s="179">
        <f t="shared" si="31"/>
        <v>0</v>
      </c>
      <c r="AB136" s="179">
        <f t="shared" si="31"/>
        <v>0</v>
      </c>
      <c r="AC136" s="179">
        <f t="shared" si="31"/>
        <v>0</v>
      </c>
      <c r="AD136" s="179">
        <f t="shared" si="31"/>
        <v>0</v>
      </c>
      <c r="AE136" s="179">
        <f t="shared" si="31"/>
        <v>0</v>
      </c>
      <c r="AF136" s="179">
        <f t="shared" si="31"/>
        <v>0</v>
      </c>
      <c r="AG136" s="179">
        <f t="shared" si="31"/>
        <v>0</v>
      </c>
      <c r="AH136" s="179">
        <f t="shared" si="31"/>
        <v>0</v>
      </c>
      <c r="AI136" s="179">
        <f t="shared" si="31"/>
        <v>0</v>
      </c>
      <c r="AJ136" s="179">
        <f t="shared" si="31"/>
        <v>0</v>
      </c>
      <c r="AK136" s="179">
        <f t="shared" si="31"/>
        <v>0</v>
      </c>
      <c r="AL136" s="179">
        <f t="shared" si="31"/>
        <v>0</v>
      </c>
      <c r="AM136" s="179">
        <f t="shared" si="31"/>
        <v>0</v>
      </c>
      <c r="AN136" s="179"/>
      <c r="AO136" s="179"/>
      <c r="AP136" s="179"/>
      <c r="AQ136" s="179"/>
      <c r="AR136" s="179"/>
      <c r="AS136" s="179"/>
    </row>
    <row r="137" spans="2:45">
      <c r="B137" s="117"/>
      <c r="C137" s="658" t="s">
        <v>1438</v>
      </c>
      <c r="D137" s="257"/>
      <c r="E137" s="121" t="s">
        <v>740</v>
      </c>
      <c r="F137" s="205" t="s">
        <v>212</v>
      </c>
      <c r="H137" s="366">
        <f>IFERROR(VLOOKUP(F137,Assumptions_Dashboard!$C$38:$D$72,4,FALSE),)</f>
        <v>0</v>
      </c>
      <c r="J137" s="179"/>
      <c r="K137" s="179"/>
      <c r="L137" s="179"/>
      <c r="M137" s="179"/>
      <c r="N137" s="179">
        <f t="shared" si="19"/>
        <v>0</v>
      </c>
      <c r="O137" s="179">
        <f t="shared" si="31"/>
        <v>0</v>
      </c>
      <c r="P137" s="179">
        <f t="shared" si="31"/>
        <v>0</v>
      </c>
      <c r="Q137" s="179">
        <f t="shared" si="31"/>
        <v>0</v>
      </c>
      <c r="R137" s="179">
        <f t="shared" si="31"/>
        <v>0</v>
      </c>
      <c r="S137" s="179">
        <f t="shared" si="31"/>
        <v>0</v>
      </c>
      <c r="T137" s="179">
        <f t="shared" si="31"/>
        <v>0</v>
      </c>
      <c r="U137" s="179">
        <f t="shared" si="31"/>
        <v>0</v>
      </c>
      <c r="V137" s="179">
        <f t="shared" si="31"/>
        <v>0</v>
      </c>
      <c r="W137" s="179">
        <f t="shared" si="31"/>
        <v>0</v>
      </c>
      <c r="X137" s="179">
        <f t="shared" si="31"/>
        <v>0</v>
      </c>
      <c r="Y137" s="179">
        <f t="shared" si="31"/>
        <v>0</v>
      </c>
      <c r="Z137" s="179">
        <f t="shared" si="31"/>
        <v>0</v>
      </c>
      <c r="AA137" s="179">
        <f t="shared" si="31"/>
        <v>0</v>
      </c>
      <c r="AB137" s="179">
        <f t="shared" si="31"/>
        <v>0</v>
      </c>
      <c r="AC137" s="179">
        <f t="shared" si="31"/>
        <v>0</v>
      </c>
      <c r="AD137" s="179">
        <f t="shared" si="31"/>
        <v>0</v>
      </c>
      <c r="AE137" s="179">
        <f t="shared" si="31"/>
        <v>0</v>
      </c>
      <c r="AF137" s="179">
        <f t="shared" si="31"/>
        <v>0</v>
      </c>
      <c r="AG137" s="179">
        <f t="shared" si="31"/>
        <v>0</v>
      </c>
      <c r="AH137" s="179">
        <f t="shared" si="31"/>
        <v>0</v>
      </c>
      <c r="AI137" s="179">
        <f t="shared" si="31"/>
        <v>0</v>
      </c>
      <c r="AJ137" s="179">
        <f t="shared" si="31"/>
        <v>0</v>
      </c>
      <c r="AK137" s="179">
        <f t="shared" si="31"/>
        <v>0</v>
      </c>
      <c r="AL137" s="179">
        <f t="shared" si="31"/>
        <v>0</v>
      </c>
      <c r="AM137" s="179">
        <f t="shared" si="31"/>
        <v>0</v>
      </c>
      <c r="AN137" s="179"/>
      <c r="AO137" s="179"/>
      <c r="AP137" s="179"/>
      <c r="AQ137" s="179"/>
      <c r="AR137" s="179"/>
      <c r="AS137" s="179"/>
    </row>
    <row r="138" spans="2:45">
      <c r="B138" s="121"/>
      <c r="C138" s="658" t="s">
        <v>1356</v>
      </c>
      <c r="D138" s="257"/>
      <c r="E138" s="121" t="s">
        <v>740</v>
      </c>
      <c r="F138" s="205" t="s">
        <v>212</v>
      </c>
      <c r="G138">
        <f>IF(Sensitivity!$C$42="Departmental",0,15)</f>
        <v>0</v>
      </c>
      <c r="H138" s="366">
        <f>IFERROR(VLOOKUP(F138,Assumptions_Dashboard!$C$38:$D$72,4,FALSE),)</f>
        <v>0</v>
      </c>
      <c r="J138" s="179"/>
      <c r="K138" s="179"/>
      <c r="L138" s="179"/>
      <c r="M138" s="179"/>
      <c r="N138" s="179">
        <f t="shared" si="19"/>
        <v>0</v>
      </c>
      <c r="O138" s="179">
        <f t="shared" si="31"/>
        <v>0</v>
      </c>
      <c r="P138" s="179">
        <f t="shared" si="31"/>
        <v>0</v>
      </c>
      <c r="Q138" s="179">
        <f t="shared" si="31"/>
        <v>0</v>
      </c>
      <c r="R138" s="179">
        <f t="shared" si="31"/>
        <v>0</v>
      </c>
      <c r="S138" s="179">
        <f t="shared" si="31"/>
        <v>0</v>
      </c>
      <c r="T138" s="179">
        <f t="shared" si="31"/>
        <v>0</v>
      </c>
      <c r="U138" s="179">
        <f t="shared" si="31"/>
        <v>0</v>
      </c>
      <c r="V138" s="179">
        <f t="shared" si="31"/>
        <v>0</v>
      </c>
      <c r="W138" s="179">
        <f t="shared" si="31"/>
        <v>0</v>
      </c>
      <c r="X138" s="179">
        <f t="shared" si="31"/>
        <v>0</v>
      </c>
      <c r="Y138" s="179">
        <f t="shared" si="31"/>
        <v>0</v>
      </c>
      <c r="Z138" s="179">
        <f t="shared" si="31"/>
        <v>0</v>
      </c>
      <c r="AA138" s="179">
        <f t="shared" si="31"/>
        <v>0</v>
      </c>
      <c r="AB138" s="179">
        <f t="shared" si="31"/>
        <v>0</v>
      </c>
      <c r="AC138" s="179">
        <f t="shared" si="31"/>
        <v>0</v>
      </c>
      <c r="AD138" s="179">
        <f t="shared" si="31"/>
        <v>0</v>
      </c>
      <c r="AE138" s="179">
        <f t="shared" si="31"/>
        <v>0</v>
      </c>
      <c r="AF138" s="179">
        <f t="shared" si="31"/>
        <v>0</v>
      </c>
      <c r="AG138" s="179">
        <f t="shared" si="31"/>
        <v>0</v>
      </c>
      <c r="AH138" s="179">
        <f t="shared" si="31"/>
        <v>0</v>
      </c>
      <c r="AI138" s="179">
        <f t="shared" si="31"/>
        <v>0</v>
      </c>
      <c r="AJ138" s="179">
        <f t="shared" si="31"/>
        <v>0</v>
      </c>
      <c r="AK138" s="179">
        <f t="shared" si="31"/>
        <v>0</v>
      </c>
      <c r="AL138" s="179">
        <f t="shared" si="31"/>
        <v>0</v>
      </c>
      <c r="AM138" s="179">
        <f t="shared" si="31"/>
        <v>0</v>
      </c>
      <c r="AN138" s="179"/>
      <c r="AO138" s="179"/>
      <c r="AP138" s="179"/>
      <c r="AQ138" s="179"/>
      <c r="AR138" s="179"/>
      <c r="AS138" s="179"/>
    </row>
    <row r="139" spans="2:45">
      <c r="B139" s="121"/>
      <c r="C139" s="658" t="s">
        <v>1439</v>
      </c>
      <c r="D139" s="257"/>
      <c r="E139" s="121" t="s">
        <v>740</v>
      </c>
      <c r="F139" s="205" t="s">
        <v>213</v>
      </c>
      <c r="G139">
        <f>IF(Sensitivity!$C$42="Departmental",0,15)</f>
        <v>0</v>
      </c>
      <c r="H139" s="366">
        <f>IFERROR(VLOOKUP(F139,Assumptions_Dashboard!$C$38:$D$72,4,FALSE),)</f>
        <v>0</v>
      </c>
      <c r="J139" s="179"/>
      <c r="K139" s="179"/>
      <c r="L139" s="179"/>
      <c r="M139" s="179"/>
      <c r="N139" s="179">
        <f t="shared" si="19"/>
        <v>0</v>
      </c>
      <c r="O139" s="179">
        <f t="shared" si="31"/>
        <v>0</v>
      </c>
      <c r="P139" s="179">
        <f t="shared" si="31"/>
        <v>0</v>
      </c>
      <c r="Q139" s="179">
        <f t="shared" si="31"/>
        <v>0</v>
      </c>
      <c r="R139" s="179">
        <f t="shared" si="31"/>
        <v>0</v>
      </c>
      <c r="S139" s="179">
        <f t="shared" si="31"/>
        <v>0</v>
      </c>
      <c r="T139" s="179">
        <f t="shared" si="31"/>
        <v>0</v>
      </c>
      <c r="U139" s="179">
        <f t="shared" si="31"/>
        <v>0</v>
      </c>
      <c r="V139" s="179">
        <f t="shared" si="31"/>
        <v>0</v>
      </c>
      <c r="W139" s="179">
        <f t="shared" si="31"/>
        <v>0</v>
      </c>
      <c r="X139" s="179">
        <f t="shared" si="31"/>
        <v>0</v>
      </c>
      <c r="Y139" s="179">
        <f t="shared" si="31"/>
        <v>0</v>
      </c>
      <c r="Z139" s="179">
        <f t="shared" si="31"/>
        <v>0</v>
      </c>
      <c r="AA139" s="179">
        <f t="shared" si="31"/>
        <v>0</v>
      </c>
      <c r="AB139" s="179">
        <f t="shared" si="31"/>
        <v>0</v>
      </c>
      <c r="AC139" s="179">
        <f t="shared" si="31"/>
        <v>0</v>
      </c>
      <c r="AD139" s="179">
        <f t="shared" si="31"/>
        <v>0</v>
      </c>
      <c r="AE139" s="179">
        <f t="shared" si="31"/>
        <v>0</v>
      </c>
      <c r="AF139" s="179">
        <f t="shared" si="31"/>
        <v>0</v>
      </c>
      <c r="AG139" s="179">
        <f t="shared" si="31"/>
        <v>0</v>
      </c>
      <c r="AH139" s="179">
        <f t="shared" si="31"/>
        <v>0</v>
      </c>
      <c r="AI139" s="179">
        <f t="shared" si="31"/>
        <v>0</v>
      </c>
      <c r="AJ139" s="179">
        <f t="shared" si="31"/>
        <v>0</v>
      </c>
      <c r="AK139" s="179">
        <f t="shared" si="31"/>
        <v>0</v>
      </c>
      <c r="AL139" s="179">
        <f t="shared" si="31"/>
        <v>0</v>
      </c>
      <c r="AM139" s="179">
        <f t="shared" si="31"/>
        <v>0</v>
      </c>
      <c r="AN139" s="179"/>
      <c r="AO139" s="179"/>
      <c r="AP139" s="179"/>
      <c r="AQ139" s="179"/>
      <c r="AR139" s="179"/>
      <c r="AS139" s="179"/>
    </row>
    <row r="140" spans="2:45">
      <c r="B140" s="121"/>
      <c r="C140" s="658" t="s">
        <v>1440</v>
      </c>
      <c r="D140" s="257"/>
      <c r="E140" s="121" t="s">
        <v>740</v>
      </c>
      <c r="F140" s="205" t="s">
        <v>230</v>
      </c>
      <c r="H140" s="366">
        <f>IFERROR(VLOOKUP(F140,Assumptions_Dashboard!$C$38:$D$72,4,FALSE),)</f>
        <v>0</v>
      </c>
      <c r="J140" s="179"/>
      <c r="K140" s="179"/>
      <c r="L140" s="179"/>
      <c r="M140" s="179"/>
      <c r="N140" s="179">
        <f t="shared" si="19"/>
        <v>0</v>
      </c>
      <c r="O140" s="179">
        <f t="shared" si="31"/>
        <v>0</v>
      </c>
      <c r="P140" s="179">
        <f t="shared" si="31"/>
        <v>0</v>
      </c>
      <c r="Q140" s="179">
        <f t="shared" si="31"/>
        <v>0</v>
      </c>
      <c r="R140" s="179">
        <f t="shared" si="31"/>
        <v>0</v>
      </c>
      <c r="S140" s="179">
        <f t="shared" si="31"/>
        <v>0</v>
      </c>
      <c r="T140" s="179">
        <f t="shared" si="31"/>
        <v>0</v>
      </c>
      <c r="U140" s="179">
        <f t="shared" si="31"/>
        <v>0</v>
      </c>
      <c r="V140" s="179">
        <f t="shared" si="31"/>
        <v>0</v>
      </c>
      <c r="W140" s="179">
        <f t="shared" si="31"/>
        <v>0</v>
      </c>
      <c r="X140" s="179">
        <f t="shared" si="31"/>
        <v>0</v>
      </c>
      <c r="Y140" s="179">
        <f t="shared" si="31"/>
        <v>0</v>
      </c>
      <c r="Z140" s="179">
        <f t="shared" si="31"/>
        <v>0</v>
      </c>
      <c r="AA140" s="179">
        <f t="shared" si="31"/>
        <v>0</v>
      </c>
      <c r="AB140" s="179">
        <f t="shared" si="31"/>
        <v>0</v>
      </c>
      <c r="AC140" s="179">
        <f t="shared" si="31"/>
        <v>0</v>
      </c>
      <c r="AD140" s="179">
        <f t="shared" si="31"/>
        <v>0</v>
      </c>
      <c r="AE140" s="179">
        <f t="shared" si="31"/>
        <v>0</v>
      </c>
      <c r="AF140" s="179">
        <f t="shared" si="31"/>
        <v>0</v>
      </c>
      <c r="AG140" s="179">
        <f t="shared" si="31"/>
        <v>0</v>
      </c>
      <c r="AH140" s="179">
        <f t="shared" si="31"/>
        <v>0</v>
      </c>
      <c r="AI140" s="179">
        <f t="shared" si="31"/>
        <v>0</v>
      </c>
      <c r="AJ140" s="179">
        <f t="shared" si="31"/>
        <v>0</v>
      </c>
      <c r="AK140" s="179">
        <f t="shared" si="31"/>
        <v>0</v>
      </c>
      <c r="AL140" s="179">
        <f t="shared" si="31"/>
        <v>0</v>
      </c>
      <c r="AM140" s="179">
        <f t="shared" si="31"/>
        <v>0</v>
      </c>
      <c r="AN140" s="179"/>
      <c r="AO140" s="179"/>
      <c r="AP140" s="179"/>
      <c r="AQ140" s="179"/>
      <c r="AR140" s="179"/>
      <c r="AS140" s="179"/>
    </row>
    <row r="141" spans="2:45">
      <c r="B141" s="121"/>
      <c r="C141" s="658" t="s">
        <v>1441</v>
      </c>
      <c r="D141" s="257"/>
      <c r="E141" s="121" t="s">
        <v>740</v>
      </c>
      <c r="F141" s="205" t="s">
        <v>228</v>
      </c>
      <c r="H141" s="366">
        <f>IFERROR(VLOOKUP(F141,Assumptions_Dashboard!$C$38:$D$72,4,FALSE),)</f>
        <v>0</v>
      </c>
      <c r="J141" s="179"/>
      <c r="K141" s="179"/>
      <c r="L141" s="179"/>
      <c r="M141" s="179"/>
      <c r="N141" s="179">
        <f t="shared" si="19"/>
        <v>0</v>
      </c>
      <c r="O141" s="179">
        <f t="shared" si="31"/>
        <v>0</v>
      </c>
      <c r="P141" s="179">
        <f t="shared" si="31"/>
        <v>0</v>
      </c>
      <c r="Q141" s="179">
        <f t="shared" si="31"/>
        <v>0</v>
      </c>
      <c r="R141" s="179">
        <f t="shared" si="31"/>
        <v>0</v>
      </c>
      <c r="S141" s="179">
        <f t="shared" si="31"/>
        <v>0</v>
      </c>
      <c r="T141" s="179">
        <f t="shared" si="31"/>
        <v>0</v>
      </c>
      <c r="U141" s="179">
        <f t="shared" si="31"/>
        <v>0</v>
      </c>
      <c r="V141" s="179">
        <f t="shared" si="31"/>
        <v>0</v>
      </c>
      <c r="W141" s="179">
        <f t="shared" si="31"/>
        <v>0</v>
      </c>
      <c r="X141" s="179">
        <f t="shared" si="31"/>
        <v>0</v>
      </c>
      <c r="Y141" s="179">
        <f t="shared" si="31"/>
        <v>0</v>
      </c>
      <c r="Z141" s="179">
        <f t="shared" si="31"/>
        <v>0</v>
      </c>
      <c r="AA141" s="179">
        <f t="shared" si="31"/>
        <v>0</v>
      </c>
      <c r="AB141" s="179">
        <f t="shared" si="31"/>
        <v>0</v>
      </c>
      <c r="AC141" s="179">
        <f t="shared" si="31"/>
        <v>0</v>
      </c>
      <c r="AD141" s="179">
        <f t="shared" si="31"/>
        <v>0</v>
      </c>
      <c r="AE141" s="179">
        <f t="shared" si="31"/>
        <v>0</v>
      </c>
      <c r="AF141" s="179">
        <f t="shared" si="31"/>
        <v>0</v>
      </c>
      <c r="AG141" s="179">
        <f t="shared" si="31"/>
        <v>0</v>
      </c>
      <c r="AH141" s="179">
        <f t="shared" si="31"/>
        <v>0</v>
      </c>
      <c r="AI141" s="179">
        <f t="shared" si="31"/>
        <v>0</v>
      </c>
      <c r="AJ141" s="179">
        <f t="shared" si="31"/>
        <v>0</v>
      </c>
      <c r="AK141" s="179">
        <f t="shared" si="31"/>
        <v>0</v>
      </c>
      <c r="AL141" s="179">
        <f t="shared" si="31"/>
        <v>0</v>
      </c>
      <c r="AM141" s="179">
        <f t="shared" si="31"/>
        <v>0</v>
      </c>
      <c r="AN141" s="179"/>
      <c r="AO141" s="179"/>
      <c r="AP141" s="179"/>
      <c r="AQ141" s="179"/>
      <c r="AR141" s="179"/>
      <c r="AS141" s="179"/>
    </row>
    <row r="142" spans="2:45">
      <c r="B142" s="121"/>
      <c r="C142" s="658" t="s">
        <v>1433</v>
      </c>
      <c r="D142" s="257"/>
      <c r="E142" s="121" t="s">
        <v>740</v>
      </c>
      <c r="F142" s="205" t="s">
        <v>230</v>
      </c>
      <c r="H142" s="366">
        <f>IFERROR(VLOOKUP(F142,Assumptions_Dashboard!$C$38:$D$72,4,FALSE),)</f>
        <v>0</v>
      </c>
      <c r="J142" s="179"/>
      <c r="K142" s="179"/>
      <c r="L142" s="179"/>
      <c r="M142" s="179"/>
      <c r="N142" s="179">
        <f t="shared" si="19"/>
        <v>0</v>
      </c>
      <c r="O142" s="179">
        <f t="shared" si="31"/>
        <v>0</v>
      </c>
      <c r="P142" s="179">
        <f t="shared" si="31"/>
        <v>0</v>
      </c>
      <c r="Q142" s="179">
        <f t="shared" si="31"/>
        <v>0</v>
      </c>
      <c r="R142" s="179">
        <f t="shared" si="31"/>
        <v>0</v>
      </c>
      <c r="S142" s="179">
        <f t="shared" si="31"/>
        <v>0</v>
      </c>
      <c r="T142" s="179">
        <f t="shared" si="31"/>
        <v>0</v>
      </c>
      <c r="U142" s="179">
        <f t="shared" si="31"/>
        <v>0</v>
      </c>
      <c r="V142" s="179">
        <f t="shared" si="31"/>
        <v>0</v>
      </c>
      <c r="W142" s="179">
        <f t="shared" si="31"/>
        <v>0</v>
      </c>
      <c r="X142" s="179">
        <f t="shared" si="31"/>
        <v>0</v>
      </c>
      <c r="Y142" s="179">
        <f t="shared" si="31"/>
        <v>0</v>
      </c>
      <c r="Z142" s="179">
        <f t="shared" si="31"/>
        <v>0</v>
      </c>
      <c r="AA142" s="179">
        <f t="shared" si="31"/>
        <v>0</v>
      </c>
      <c r="AB142" s="179">
        <f t="shared" si="31"/>
        <v>0</v>
      </c>
      <c r="AC142" s="179">
        <f t="shared" si="31"/>
        <v>0</v>
      </c>
      <c r="AD142" s="179">
        <f t="shared" si="31"/>
        <v>0</v>
      </c>
      <c r="AE142" s="179">
        <f t="shared" si="31"/>
        <v>0</v>
      </c>
      <c r="AF142" s="179">
        <f t="shared" si="31"/>
        <v>0</v>
      </c>
      <c r="AG142" s="179">
        <f t="shared" si="31"/>
        <v>0</v>
      </c>
      <c r="AH142" s="179">
        <f t="shared" si="31"/>
        <v>0</v>
      </c>
      <c r="AI142" s="179">
        <f t="shared" si="31"/>
        <v>0</v>
      </c>
      <c r="AJ142" s="179">
        <f t="shared" si="31"/>
        <v>0</v>
      </c>
      <c r="AK142" s="179">
        <f t="shared" si="31"/>
        <v>0</v>
      </c>
      <c r="AL142" s="179">
        <f t="shared" si="31"/>
        <v>0</v>
      </c>
      <c r="AM142" s="179">
        <f t="shared" si="31"/>
        <v>0</v>
      </c>
      <c r="AN142" s="179"/>
      <c r="AO142" s="179"/>
      <c r="AP142" s="179"/>
      <c r="AQ142" s="179"/>
      <c r="AR142" s="179"/>
      <c r="AS142" s="179"/>
    </row>
    <row r="143" spans="2:45">
      <c r="B143" s="121"/>
      <c r="C143" s="658" t="s">
        <v>1432</v>
      </c>
      <c r="D143" s="257"/>
      <c r="E143" s="121" t="s">
        <v>740</v>
      </c>
      <c r="F143" s="205" t="s">
        <v>228</v>
      </c>
      <c r="H143" s="366">
        <f>IFERROR(VLOOKUP(F143,Assumptions_Dashboard!$C$38:$D$72,4,FALSE),)</f>
        <v>0</v>
      </c>
      <c r="J143" s="179"/>
      <c r="K143" s="179"/>
      <c r="L143" s="179"/>
      <c r="M143" s="179"/>
      <c r="N143" s="179">
        <f t="shared" si="19"/>
        <v>0</v>
      </c>
      <c r="O143" s="179">
        <f t="shared" si="31"/>
        <v>0</v>
      </c>
      <c r="P143" s="179">
        <f t="shared" si="31"/>
        <v>0</v>
      </c>
      <c r="Q143" s="179">
        <f t="shared" si="31"/>
        <v>0</v>
      </c>
      <c r="R143" s="179">
        <f t="shared" si="31"/>
        <v>0</v>
      </c>
      <c r="S143" s="179">
        <f t="shared" si="31"/>
        <v>0</v>
      </c>
      <c r="T143" s="179">
        <f t="shared" si="31"/>
        <v>0</v>
      </c>
      <c r="U143" s="179">
        <f t="shared" si="31"/>
        <v>0</v>
      </c>
      <c r="V143" s="179">
        <f t="shared" si="31"/>
        <v>0</v>
      </c>
      <c r="W143" s="179">
        <f t="shared" si="31"/>
        <v>0</v>
      </c>
      <c r="X143" s="179">
        <f t="shared" si="31"/>
        <v>0</v>
      </c>
      <c r="Y143" s="179">
        <f t="shared" si="31"/>
        <v>0</v>
      </c>
      <c r="Z143" s="179">
        <f t="shared" si="31"/>
        <v>0</v>
      </c>
      <c r="AA143" s="179">
        <f t="shared" si="31"/>
        <v>0</v>
      </c>
      <c r="AB143" s="179">
        <f t="shared" si="31"/>
        <v>0</v>
      </c>
      <c r="AC143" s="179">
        <f t="shared" si="31"/>
        <v>0</v>
      </c>
      <c r="AD143" s="179">
        <f t="shared" si="31"/>
        <v>0</v>
      </c>
      <c r="AE143" s="179">
        <f t="shared" si="31"/>
        <v>0</v>
      </c>
      <c r="AF143" s="179">
        <f t="shared" si="31"/>
        <v>0</v>
      </c>
      <c r="AG143" s="179">
        <f t="shared" si="31"/>
        <v>0</v>
      </c>
      <c r="AH143" s="179">
        <f t="shared" si="31"/>
        <v>0</v>
      </c>
      <c r="AI143" s="179">
        <f t="shared" si="31"/>
        <v>0</v>
      </c>
      <c r="AJ143" s="179">
        <f t="shared" si="31"/>
        <v>0</v>
      </c>
      <c r="AK143" s="179">
        <f t="shared" si="31"/>
        <v>0</v>
      </c>
      <c r="AL143" s="179">
        <f t="shared" si="31"/>
        <v>0</v>
      </c>
      <c r="AM143" s="179">
        <f t="shared" si="31"/>
        <v>0</v>
      </c>
      <c r="AN143" s="179"/>
      <c r="AO143" s="179"/>
      <c r="AP143" s="179"/>
      <c r="AQ143" s="179"/>
      <c r="AR143" s="179"/>
      <c r="AS143" s="179"/>
    </row>
    <row r="144" spans="2:45">
      <c r="B144" s="121"/>
      <c r="C144" s="658" t="s">
        <v>1442</v>
      </c>
      <c r="D144" s="257"/>
      <c r="E144" s="121" t="s">
        <v>740</v>
      </c>
      <c r="F144" s="205" t="s">
        <v>228</v>
      </c>
      <c r="H144" s="366">
        <f>IFERROR(VLOOKUP(F144,Assumptions_Dashboard!$C$38:$D$72,4,FALSE),)</f>
        <v>0</v>
      </c>
      <c r="J144" s="179"/>
      <c r="K144" s="179"/>
      <c r="L144" s="179"/>
      <c r="M144" s="179"/>
      <c r="N144" s="179">
        <f t="shared" si="19"/>
        <v>0</v>
      </c>
      <c r="O144" s="179">
        <f t="shared" si="31"/>
        <v>0</v>
      </c>
      <c r="P144" s="179">
        <f t="shared" si="31"/>
        <v>0</v>
      </c>
      <c r="Q144" s="179">
        <f t="shared" si="31"/>
        <v>0</v>
      </c>
      <c r="R144" s="179">
        <f t="shared" si="31"/>
        <v>0</v>
      </c>
      <c r="S144" s="179">
        <f t="shared" si="31"/>
        <v>0</v>
      </c>
      <c r="T144" s="179">
        <f t="shared" si="31"/>
        <v>0</v>
      </c>
      <c r="U144" s="179">
        <f t="shared" si="31"/>
        <v>0</v>
      </c>
      <c r="V144" s="179">
        <f t="shared" si="31"/>
        <v>0</v>
      </c>
      <c r="W144" s="179">
        <f t="shared" si="31"/>
        <v>0</v>
      </c>
      <c r="X144" s="179">
        <f t="shared" si="31"/>
        <v>0</v>
      </c>
      <c r="Y144" s="179">
        <f t="shared" si="31"/>
        <v>0</v>
      </c>
      <c r="Z144" s="179">
        <f t="shared" si="31"/>
        <v>0</v>
      </c>
      <c r="AA144" s="179">
        <f t="shared" si="31"/>
        <v>0</v>
      </c>
      <c r="AB144" s="179">
        <f t="shared" si="31"/>
        <v>0</v>
      </c>
      <c r="AC144" s="179">
        <f t="shared" si="31"/>
        <v>0</v>
      </c>
      <c r="AD144" s="179">
        <f t="shared" ref="AD144:AM144" si="32">AC144</f>
        <v>0</v>
      </c>
      <c r="AE144" s="179">
        <f t="shared" si="32"/>
        <v>0</v>
      </c>
      <c r="AF144" s="179">
        <f t="shared" si="32"/>
        <v>0</v>
      </c>
      <c r="AG144" s="179">
        <f t="shared" si="32"/>
        <v>0</v>
      </c>
      <c r="AH144" s="179">
        <f t="shared" si="32"/>
        <v>0</v>
      </c>
      <c r="AI144" s="179">
        <f t="shared" si="32"/>
        <v>0</v>
      </c>
      <c r="AJ144" s="179">
        <f t="shared" si="32"/>
        <v>0</v>
      </c>
      <c r="AK144" s="179">
        <f t="shared" si="32"/>
        <v>0</v>
      </c>
      <c r="AL144" s="179">
        <f t="shared" si="32"/>
        <v>0</v>
      </c>
      <c r="AM144" s="179">
        <f t="shared" si="32"/>
        <v>0</v>
      </c>
      <c r="AN144" s="179"/>
      <c r="AO144" s="179"/>
      <c r="AP144" s="179"/>
      <c r="AQ144" s="179"/>
      <c r="AR144" s="179"/>
      <c r="AS144" s="179"/>
    </row>
    <row r="145" spans="2:45">
      <c r="B145" s="121"/>
      <c r="C145" s="658" t="s">
        <v>1443</v>
      </c>
      <c r="D145" s="257"/>
      <c r="E145" s="121" t="s">
        <v>740</v>
      </c>
      <c r="F145" s="205" t="s">
        <v>226</v>
      </c>
      <c r="H145" s="366">
        <f>IFERROR(VLOOKUP(F145,Assumptions_Dashboard!$C$38:$D$72,4,FALSE),)</f>
        <v>0</v>
      </c>
      <c r="J145" s="179"/>
      <c r="K145" s="179"/>
      <c r="L145" s="179"/>
      <c r="M145" s="179"/>
      <c r="N145" s="179">
        <f t="shared" si="19"/>
        <v>0</v>
      </c>
      <c r="O145" s="179">
        <f t="shared" ref="O145:AM148" si="33">N145</f>
        <v>0</v>
      </c>
      <c r="P145" s="179">
        <f t="shared" si="33"/>
        <v>0</v>
      </c>
      <c r="Q145" s="179">
        <f t="shared" si="33"/>
        <v>0</v>
      </c>
      <c r="R145" s="179">
        <f t="shared" si="33"/>
        <v>0</v>
      </c>
      <c r="S145" s="179">
        <f t="shared" si="33"/>
        <v>0</v>
      </c>
      <c r="T145" s="179">
        <f t="shared" si="33"/>
        <v>0</v>
      </c>
      <c r="U145" s="179">
        <f t="shared" si="33"/>
        <v>0</v>
      </c>
      <c r="V145" s="179">
        <f t="shared" si="33"/>
        <v>0</v>
      </c>
      <c r="W145" s="179">
        <f t="shared" si="33"/>
        <v>0</v>
      </c>
      <c r="X145" s="179">
        <f t="shared" si="33"/>
        <v>0</v>
      </c>
      <c r="Y145" s="179">
        <f t="shared" si="33"/>
        <v>0</v>
      </c>
      <c r="Z145" s="179">
        <f t="shared" si="33"/>
        <v>0</v>
      </c>
      <c r="AA145" s="179">
        <f t="shared" si="33"/>
        <v>0</v>
      </c>
      <c r="AB145" s="179">
        <f t="shared" si="33"/>
        <v>0</v>
      </c>
      <c r="AC145" s="179">
        <f t="shared" si="33"/>
        <v>0</v>
      </c>
      <c r="AD145" s="179">
        <f t="shared" si="33"/>
        <v>0</v>
      </c>
      <c r="AE145" s="179">
        <f t="shared" si="33"/>
        <v>0</v>
      </c>
      <c r="AF145" s="179">
        <f t="shared" si="33"/>
        <v>0</v>
      </c>
      <c r="AG145" s="179">
        <f t="shared" si="33"/>
        <v>0</v>
      </c>
      <c r="AH145" s="179">
        <f t="shared" si="33"/>
        <v>0</v>
      </c>
      <c r="AI145" s="179">
        <f t="shared" si="33"/>
        <v>0</v>
      </c>
      <c r="AJ145" s="179">
        <f t="shared" si="33"/>
        <v>0</v>
      </c>
      <c r="AK145" s="179">
        <f t="shared" si="33"/>
        <v>0</v>
      </c>
      <c r="AL145" s="179">
        <f t="shared" si="33"/>
        <v>0</v>
      </c>
      <c r="AM145" s="179">
        <f t="shared" si="33"/>
        <v>0</v>
      </c>
      <c r="AN145" s="179"/>
      <c r="AO145" s="179"/>
      <c r="AP145" s="179"/>
      <c r="AQ145" s="179"/>
      <c r="AR145" s="179"/>
      <c r="AS145" s="179"/>
    </row>
    <row r="146" spans="2:45">
      <c r="B146" s="121"/>
      <c r="C146" s="658" t="s">
        <v>1352</v>
      </c>
      <c r="D146" s="257"/>
      <c r="E146" s="121" t="s">
        <v>740</v>
      </c>
      <c r="F146" s="205" t="s">
        <v>230</v>
      </c>
      <c r="G146">
        <f>IF(Sensitivity!$C$42="Departmental",0,25)</f>
        <v>0</v>
      </c>
      <c r="H146" s="366">
        <f>IFERROR(VLOOKUP(F146,Assumptions_Dashboard!$C$38:$D$72,4,FALSE),)</f>
        <v>0</v>
      </c>
      <c r="J146" s="179"/>
      <c r="K146" s="179"/>
      <c r="L146" s="179"/>
      <c r="M146" s="179"/>
      <c r="N146" s="179">
        <f t="shared" si="19"/>
        <v>0</v>
      </c>
      <c r="O146" s="179">
        <f t="shared" si="33"/>
        <v>0</v>
      </c>
      <c r="P146" s="179">
        <f t="shared" si="33"/>
        <v>0</v>
      </c>
      <c r="Q146" s="179">
        <f t="shared" si="33"/>
        <v>0</v>
      </c>
      <c r="R146" s="179">
        <f t="shared" si="33"/>
        <v>0</v>
      </c>
      <c r="S146" s="179">
        <f t="shared" si="33"/>
        <v>0</v>
      </c>
      <c r="T146" s="179">
        <f t="shared" si="33"/>
        <v>0</v>
      </c>
      <c r="U146" s="179">
        <f t="shared" si="33"/>
        <v>0</v>
      </c>
      <c r="V146" s="179">
        <f t="shared" si="33"/>
        <v>0</v>
      </c>
      <c r="W146" s="179">
        <f t="shared" si="33"/>
        <v>0</v>
      </c>
      <c r="X146" s="179">
        <f t="shared" si="33"/>
        <v>0</v>
      </c>
      <c r="Y146" s="179">
        <f t="shared" si="33"/>
        <v>0</v>
      </c>
      <c r="Z146" s="179">
        <f t="shared" si="33"/>
        <v>0</v>
      </c>
      <c r="AA146" s="179">
        <f t="shared" si="33"/>
        <v>0</v>
      </c>
      <c r="AB146" s="179">
        <f t="shared" si="33"/>
        <v>0</v>
      </c>
      <c r="AC146" s="179">
        <f t="shared" si="33"/>
        <v>0</v>
      </c>
      <c r="AD146" s="179">
        <f t="shared" si="33"/>
        <v>0</v>
      </c>
      <c r="AE146" s="179">
        <f t="shared" si="33"/>
        <v>0</v>
      </c>
      <c r="AF146" s="179">
        <f t="shared" si="33"/>
        <v>0</v>
      </c>
      <c r="AG146" s="179">
        <f t="shared" si="33"/>
        <v>0</v>
      </c>
      <c r="AH146" s="179">
        <f t="shared" si="33"/>
        <v>0</v>
      </c>
      <c r="AI146" s="179">
        <f t="shared" si="33"/>
        <v>0</v>
      </c>
      <c r="AJ146" s="179">
        <f t="shared" si="33"/>
        <v>0</v>
      </c>
      <c r="AK146" s="179">
        <f t="shared" si="33"/>
        <v>0</v>
      </c>
      <c r="AL146" s="179">
        <f t="shared" si="33"/>
        <v>0</v>
      </c>
      <c r="AM146" s="179">
        <f t="shared" si="33"/>
        <v>0</v>
      </c>
      <c r="AN146" s="179"/>
      <c r="AO146" s="179"/>
      <c r="AP146" s="179"/>
      <c r="AQ146" s="179"/>
      <c r="AR146" s="179"/>
      <c r="AS146" s="179"/>
    </row>
    <row r="147" spans="2:45">
      <c r="B147" s="117" t="s">
        <v>1444</v>
      </c>
      <c r="C147" s="659" t="s">
        <v>1445</v>
      </c>
      <c r="D147" s="257"/>
      <c r="E147" s="121" t="s">
        <v>740</v>
      </c>
      <c r="F147" s="205" t="s">
        <v>228</v>
      </c>
      <c r="G147">
        <f>IF(Sensitivity!$C$42="Departmental",0,9)</f>
        <v>0</v>
      </c>
      <c r="H147" s="366">
        <f>IFERROR(VLOOKUP(F147,Assumptions_Dashboard!$C$38:$D$72,4,FALSE),)</f>
        <v>0</v>
      </c>
      <c r="J147" s="179"/>
      <c r="K147" s="179"/>
      <c r="L147" s="179"/>
      <c r="M147" s="179"/>
      <c r="N147" s="179">
        <f t="shared" si="19"/>
        <v>0</v>
      </c>
      <c r="O147" s="179">
        <f t="shared" si="33"/>
        <v>0</v>
      </c>
      <c r="P147" s="179">
        <f t="shared" si="33"/>
        <v>0</v>
      </c>
      <c r="Q147" s="179">
        <f t="shared" si="33"/>
        <v>0</v>
      </c>
      <c r="R147" s="179">
        <f t="shared" si="33"/>
        <v>0</v>
      </c>
      <c r="S147" s="179">
        <f t="shared" si="33"/>
        <v>0</v>
      </c>
      <c r="T147" s="179">
        <f t="shared" si="33"/>
        <v>0</v>
      </c>
      <c r="U147" s="179">
        <f t="shared" si="33"/>
        <v>0</v>
      </c>
      <c r="V147" s="179">
        <f t="shared" si="33"/>
        <v>0</v>
      </c>
      <c r="W147" s="179">
        <f t="shared" si="33"/>
        <v>0</v>
      </c>
      <c r="X147" s="179">
        <f t="shared" si="33"/>
        <v>0</v>
      </c>
      <c r="Y147" s="179">
        <f t="shared" si="33"/>
        <v>0</v>
      </c>
      <c r="Z147" s="179">
        <f t="shared" si="33"/>
        <v>0</v>
      </c>
      <c r="AA147" s="179">
        <f t="shared" si="33"/>
        <v>0</v>
      </c>
      <c r="AB147" s="179">
        <f t="shared" si="33"/>
        <v>0</v>
      </c>
      <c r="AC147" s="179">
        <f t="shared" si="33"/>
        <v>0</v>
      </c>
      <c r="AD147" s="179">
        <f t="shared" si="33"/>
        <v>0</v>
      </c>
      <c r="AE147" s="179">
        <f t="shared" si="33"/>
        <v>0</v>
      </c>
      <c r="AF147" s="179">
        <f t="shared" si="33"/>
        <v>0</v>
      </c>
      <c r="AG147" s="179">
        <f t="shared" si="33"/>
        <v>0</v>
      </c>
      <c r="AH147" s="179">
        <f t="shared" si="33"/>
        <v>0</v>
      </c>
      <c r="AI147" s="179">
        <f t="shared" si="33"/>
        <v>0</v>
      </c>
      <c r="AJ147" s="179">
        <f t="shared" si="33"/>
        <v>0</v>
      </c>
      <c r="AK147" s="179">
        <f t="shared" si="33"/>
        <v>0</v>
      </c>
      <c r="AL147" s="179">
        <f t="shared" si="33"/>
        <v>0</v>
      </c>
      <c r="AM147" s="179">
        <f t="shared" si="33"/>
        <v>0</v>
      </c>
      <c r="AN147" s="179"/>
      <c r="AO147" s="179"/>
      <c r="AP147" s="179"/>
      <c r="AQ147" s="179"/>
      <c r="AR147" s="179"/>
      <c r="AS147" s="179"/>
    </row>
    <row r="148" spans="2:45">
      <c r="B148" s="121"/>
      <c r="C148" s="659" t="s">
        <v>1446</v>
      </c>
      <c r="D148" s="257"/>
      <c r="E148" s="121" t="s">
        <v>740</v>
      </c>
      <c r="F148" s="205" t="s">
        <v>230</v>
      </c>
      <c r="G148">
        <f>IF(Sensitivity!$C$42="Departmental",0,9)</f>
        <v>0</v>
      </c>
      <c r="H148" s="366">
        <f>IFERROR(VLOOKUP(F148,Assumptions_Dashboard!$C$38:$D$72,4,FALSE),)</f>
        <v>0</v>
      </c>
      <c r="J148" s="179"/>
      <c r="K148" s="179"/>
      <c r="L148" s="179"/>
      <c r="M148" s="179"/>
      <c r="N148" s="179">
        <f t="shared" ref="N148" si="34">G148</f>
        <v>0</v>
      </c>
      <c r="O148" s="179">
        <f t="shared" si="33"/>
        <v>0</v>
      </c>
      <c r="P148" s="179">
        <f t="shared" si="33"/>
        <v>0</v>
      </c>
      <c r="Q148" s="179">
        <f t="shared" si="33"/>
        <v>0</v>
      </c>
      <c r="R148" s="179">
        <f t="shared" si="33"/>
        <v>0</v>
      </c>
      <c r="S148" s="179">
        <f t="shared" si="33"/>
        <v>0</v>
      </c>
      <c r="T148" s="179">
        <f t="shared" si="33"/>
        <v>0</v>
      </c>
      <c r="U148" s="179">
        <f t="shared" si="33"/>
        <v>0</v>
      </c>
      <c r="V148" s="179">
        <f t="shared" si="33"/>
        <v>0</v>
      </c>
      <c r="W148" s="179">
        <f t="shared" si="33"/>
        <v>0</v>
      </c>
      <c r="X148" s="179">
        <f t="shared" si="33"/>
        <v>0</v>
      </c>
      <c r="Y148" s="179">
        <f t="shared" si="33"/>
        <v>0</v>
      </c>
      <c r="Z148" s="179">
        <f t="shared" si="33"/>
        <v>0</v>
      </c>
      <c r="AA148" s="179">
        <f t="shared" si="33"/>
        <v>0</v>
      </c>
      <c r="AB148" s="179">
        <f t="shared" si="33"/>
        <v>0</v>
      </c>
      <c r="AC148" s="179">
        <f t="shared" si="33"/>
        <v>0</v>
      </c>
      <c r="AD148" s="179">
        <f t="shared" si="33"/>
        <v>0</v>
      </c>
      <c r="AE148" s="179">
        <f t="shared" si="33"/>
        <v>0</v>
      </c>
      <c r="AF148" s="179">
        <f t="shared" si="33"/>
        <v>0</v>
      </c>
      <c r="AG148" s="179">
        <f t="shared" si="33"/>
        <v>0</v>
      </c>
      <c r="AH148" s="179">
        <f t="shared" si="33"/>
        <v>0</v>
      </c>
      <c r="AI148" s="179">
        <f t="shared" si="33"/>
        <v>0</v>
      </c>
      <c r="AJ148" s="179">
        <f t="shared" si="33"/>
        <v>0</v>
      </c>
      <c r="AK148" s="179">
        <f t="shared" si="33"/>
        <v>0</v>
      </c>
      <c r="AL148" s="179">
        <f t="shared" si="33"/>
        <v>0</v>
      </c>
      <c r="AM148" s="179">
        <f t="shared" si="33"/>
        <v>0</v>
      </c>
      <c r="AN148" s="179"/>
      <c r="AO148" s="179"/>
      <c r="AP148" s="179"/>
      <c r="AQ148" s="179"/>
      <c r="AR148" s="179"/>
      <c r="AS148" s="179"/>
    </row>
    <row r="149" spans="2:45">
      <c r="B149" s="121"/>
      <c r="C149" s="121"/>
      <c r="D149" s="257"/>
      <c r="E149" s="121"/>
      <c r="F149" s="205"/>
      <c r="H149" s="366">
        <f>IFERROR(VLOOKUP(F149,Assumptions_Dashboard!$C$38:$D$72,4,FALSE),)</f>
        <v>0</v>
      </c>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c r="AH149" s="179"/>
      <c r="AI149" s="179"/>
      <c r="AJ149" s="179"/>
      <c r="AK149" s="179"/>
      <c r="AL149" s="179"/>
      <c r="AM149" s="179"/>
      <c r="AN149" s="179"/>
      <c r="AO149" s="179"/>
      <c r="AP149" s="179"/>
      <c r="AQ149" s="179"/>
      <c r="AR149" s="179"/>
      <c r="AS149" s="179"/>
    </row>
    <row r="150" spans="2:45">
      <c r="B150" s="121"/>
      <c r="C150" s="117" t="s">
        <v>1447</v>
      </c>
      <c r="D150" s="257"/>
      <c r="E150" s="121"/>
      <c r="F150" s="205"/>
      <c r="H150" s="366">
        <f>IFERROR(VLOOKUP(F150,Assumptions_Dashboard!$C$38:$D$72,4,FALSE),)</f>
        <v>0</v>
      </c>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c r="AH150" s="179"/>
      <c r="AI150" s="179"/>
      <c r="AJ150" s="179"/>
      <c r="AK150" s="179"/>
      <c r="AL150" s="179"/>
      <c r="AM150" s="179"/>
      <c r="AN150" s="179"/>
      <c r="AO150" s="179"/>
      <c r="AP150" s="179"/>
      <c r="AQ150" s="179"/>
      <c r="AR150" s="179"/>
      <c r="AS150" s="179"/>
    </row>
    <row r="151" spans="2:45">
      <c r="B151" s="255" t="s">
        <v>1448</v>
      </c>
      <c r="C151" s="660" t="s">
        <v>1449</v>
      </c>
      <c r="D151" s="257" t="s">
        <v>1315</v>
      </c>
      <c r="E151" s="121" t="s">
        <v>740</v>
      </c>
      <c r="F151" s="95" t="s">
        <v>200</v>
      </c>
      <c r="H151" s="366">
        <f>IFERROR(VLOOKUP(F151,Assumptions_Dashboard!$C$38:$D$72,4,FALSE),)</f>
        <v>0</v>
      </c>
      <c r="J151" s="179"/>
      <c r="K151" s="179"/>
      <c r="L151" s="179"/>
      <c r="M151" s="179"/>
      <c r="N151" s="369"/>
      <c r="O151" s="179">
        <f>N151</f>
        <v>0</v>
      </c>
      <c r="P151" s="179">
        <f>O151</f>
        <v>0</v>
      </c>
      <c r="Q151" s="179">
        <f t="shared" ref="Q151:AM151" si="35">P151</f>
        <v>0</v>
      </c>
      <c r="R151" s="179">
        <f t="shared" si="35"/>
        <v>0</v>
      </c>
      <c r="S151" s="179">
        <f t="shared" si="35"/>
        <v>0</v>
      </c>
      <c r="T151" s="179">
        <f t="shared" si="35"/>
        <v>0</v>
      </c>
      <c r="U151" s="179">
        <f t="shared" si="35"/>
        <v>0</v>
      </c>
      <c r="V151" s="179">
        <f t="shared" si="35"/>
        <v>0</v>
      </c>
      <c r="W151" s="179">
        <f t="shared" si="35"/>
        <v>0</v>
      </c>
      <c r="X151" s="179">
        <f t="shared" si="35"/>
        <v>0</v>
      </c>
      <c r="Y151" s="179">
        <f t="shared" si="35"/>
        <v>0</v>
      </c>
      <c r="Z151" s="179">
        <f t="shared" si="35"/>
        <v>0</v>
      </c>
      <c r="AA151" s="179">
        <f t="shared" si="35"/>
        <v>0</v>
      </c>
      <c r="AB151" s="179">
        <f t="shared" si="35"/>
        <v>0</v>
      </c>
      <c r="AC151" s="179">
        <f t="shared" si="35"/>
        <v>0</v>
      </c>
      <c r="AD151" s="179">
        <f t="shared" si="35"/>
        <v>0</v>
      </c>
      <c r="AE151" s="179">
        <f t="shared" si="35"/>
        <v>0</v>
      </c>
      <c r="AF151" s="179">
        <f t="shared" si="35"/>
        <v>0</v>
      </c>
      <c r="AG151" s="179">
        <f t="shared" si="35"/>
        <v>0</v>
      </c>
      <c r="AH151" s="179">
        <f t="shared" si="35"/>
        <v>0</v>
      </c>
      <c r="AI151" s="179">
        <f t="shared" si="35"/>
        <v>0</v>
      </c>
      <c r="AJ151" s="179">
        <f t="shared" si="35"/>
        <v>0</v>
      </c>
      <c r="AK151" s="179">
        <f t="shared" si="35"/>
        <v>0</v>
      </c>
      <c r="AL151" s="179">
        <f t="shared" si="35"/>
        <v>0</v>
      </c>
      <c r="AM151" s="179">
        <f t="shared" si="35"/>
        <v>0</v>
      </c>
      <c r="AN151" s="179"/>
      <c r="AO151" s="179"/>
      <c r="AP151" s="179"/>
      <c r="AQ151" s="179"/>
      <c r="AR151" s="179"/>
      <c r="AS151" s="179"/>
    </row>
    <row r="152" spans="2:45">
      <c r="B152" s="255" t="s">
        <v>1450</v>
      </c>
      <c r="C152" s="660" t="s">
        <v>1451</v>
      </c>
      <c r="D152" s="257" t="s">
        <v>1336</v>
      </c>
      <c r="E152" s="121" t="s">
        <v>740</v>
      </c>
      <c r="F152" s="95" t="s">
        <v>199</v>
      </c>
      <c r="G152">
        <f>IF(Sensitivity!$C$42="Departmental",0,1)</f>
        <v>0</v>
      </c>
      <c r="H152" s="366">
        <f>IFERROR(VLOOKUP(F152,Assumptions_Dashboard!$C$38:$D$72,4,FALSE),)</f>
        <v>0</v>
      </c>
      <c r="J152" s="179"/>
      <c r="K152" s="179"/>
      <c r="L152" s="179"/>
      <c r="M152" s="179"/>
      <c r="N152" s="369">
        <f>G152</f>
        <v>0</v>
      </c>
      <c r="O152" s="179">
        <f>N152</f>
        <v>0</v>
      </c>
      <c r="P152" s="179">
        <f t="shared" ref="P152:AM161" si="36">O152</f>
        <v>0</v>
      </c>
      <c r="Q152" s="179">
        <f t="shared" si="36"/>
        <v>0</v>
      </c>
      <c r="R152" s="179">
        <f t="shared" si="36"/>
        <v>0</v>
      </c>
      <c r="S152" s="179">
        <f t="shared" si="36"/>
        <v>0</v>
      </c>
      <c r="T152" s="179">
        <f t="shared" si="36"/>
        <v>0</v>
      </c>
      <c r="U152" s="179">
        <f t="shared" si="36"/>
        <v>0</v>
      </c>
      <c r="V152" s="179">
        <f t="shared" si="36"/>
        <v>0</v>
      </c>
      <c r="W152" s="179">
        <f t="shared" si="36"/>
        <v>0</v>
      </c>
      <c r="X152" s="179">
        <f t="shared" si="36"/>
        <v>0</v>
      </c>
      <c r="Y152" s="179">
        <f t="shared" si="36"/>
        <v>0</v>
      </c>
      <c r="Z152" s="179">
        <f t="shared" si="36"/>
        <v>0</v>
      </c>
      <c r="AA152" s="179">
        <f t="shared" si="36"/>
        <v>0</v>
      </c>
      <c r="AB152" s="179">
        <f t="shared" si="36"/>
        <v>0</v>
      </c>
      <c r="AC152" s="179">
        <f t="shared" si="36"/>
        <v>0</v>
      </c>
      <c r="AD152" s="179">
        <f t="shared" si="36"/>
        <v>0</v>
      </c>
      <c r="AE152" s="179">
        <f t="shared" si="36"/>
        <v>0</v>
      </c>
      <c r="AF152" s="179">
        <f t="shared" si="36"/>
        <v>0</v>
      </c>
      <c r="AG152" s="179">
        <f t="shared" si="36"/>
        <v>0</v>
      </c>
      <c r="AH152" s="179">
        <f t="shared" si="36"/>
        <v>0</v>
      </c>
      <c r="AI152" s="179">
        <f t="shared" si="36"/>
        <v>0</v>
      </c>
      <c r="AJ152" s="179">
        <f t="shared" si="36"/>
        <v>0</v>
      </c>
      <c r="AK152" s="179">
        <f t="shared" si="36"/>
        <v>0</v>
      </c>
      <c r="AL152" s="179">
        <f t="shared" si="36"/>
        <v>0</v>
      </c>
      <c r="AM152" s="179">
        <f t="shared" si="36"/>
        <v>0</v>
      </c>
      <c r="AN152" s="179"/>
      <c r="AO152" s="179"/>
      <c r="AP152" s="179"/>
      <c r="AQ152" s="179"/>
      <c r="AR152" s="179"/>
      <c r="AS152" s="179"/>
    </row>
    <row r="153" spans="2:45">
      <c r="B153" s="121"/>
      <c r="C153" s="660" t="s">
        <v>1452</v>
      </c>
      <c r="D153" s="257" t="s">
        <v>1315</v>
      </c>
      <c r="E153" s="121" t="s">
        <v>740</v>
      </c>
      <c r="F153" s="95" t="s">
        <v>202</v>
      </c>
      <c r="G153">
        <f>IF(Sensitivity!$C$42="Departmental",0,1)</f>
        <v>0</v>
      </c>
      <c r="H153" s="366">
        <f>IFERROR(VLOOKUP(F153,Assumptions_Dashboard!$C$38:$D$72,4,FALSE),)</f>
        <v>0</v>
      </c>
      <c r="J153" s="179"/>
      <c r="K153" s="179"/>
      <c r="L153" s="179"/>
      <c r="M153" s="179"/>
      <c r="N153" s="369">
        <f t="shared" ref="N153:N163" si="37">G153</f>
        <v>0</v>
      </c>
      <c r="O153" s="179">
        <f t="shared" ref="O153:AD163" si="38">N153</f>
        <v>0</v>
      </c>
      <c r="P153" s="179">
        <f t="shared" si="38"/>
        <v>0</v>
      </c>
      <c r="Q153" s="179">
        <f t="shared" si="38"/>
        <v>0</v>
      </c>
      <c r="R153" s="179">
        <f t="shared" si="38"/>
        <v>0</v>
      </c>
      <c r="S153" s="179">
        <f t="shared" si="38"/>
        <v>0</v>
      </c>
      <c r="T153" s="179">
        <f t="shared" si="38"/>
        <v>0</v>
      </c>
      <c r="U153" s="179">
        <f t="shared" si="38"/>
        <v>0</v>
      </c>
      <c r="V153" s="179">
        <f t="shared" si="38"/>
        <v>0</v>
      </c>
      <c r="W153" s="179">
        <f t="shared" si="38"/>
        <v>0</v>
      </c>
      <c r="X153" s="179">
        <f t="shared" si="38"/>
        <v>0</v>
      </c>
      <c r="Y153" s="179">
        <f t="shared" si="38"/>
        <v>0</v>
      </c>
      <c r="Z153" s="179">
        <f t="shared" si="38"/>
        <v>0</v>
      </c>
      <c r="AA153" s="179">
        <f t="shared" si="38"/>
        <v>0</v>
      </c>
      <c r="AB153" s="179">
        <f t="shared" si="38"/>
        <v>0</v>
      </c>
      <c r="AC153" s="179">
        <f t="shared" si="38"/>
        <v>0</v>
      </c>
      <c r="AD153" s="179">
        <f t="shared" si="38"/>
        <v>0</v>
      </c>
      <c r="AE153" s="179">
        <f t="shared" si="36"/>
        <v>0</v>
      </c>
      <c r="AF153" s="179">
        <f t="shared" si="36"/>
        <v>0</v>
      </c>
      <c r="AG153" s="179">
        <f t="shared" si="36"/>
        <v>0</v>
      </c>
      <c r="AH153" s="179">
        <f t="shared" si="36"/>
        <v>0</v>
      </c>
      <c r="AI153" s="179">
        <f t="shared" si="36"/>
        <v>0</v>
      </c>
      <c r="AJ153" s="179">
        <f t="shared" si="36"/>
        <v>0</v>
      </c>
      <c r="AK153" s="179">
        <f t="shared" si="36"/>
        <v>0</v>
      </c>
      <c r="AL153" s="179">
        <f t="shared" si="36"/>
        <v>0</v>
      </c>
      <c r="AM153" s="179">
        <f t="shared" si="36"/>
        <v>0</v>
      </c>
      <c r="AN153" s="179"/>
      <c r="AO153" s="179"/>
      <c r="AP153" s="179"/>
      <c r="AQ153" s="179"/>
      <c r="AR153" s="179"/>
      <c r="AS153" s="179"/>
    </row>
    <row r="154" spans="2:45">
      <c r="B154" s="117"/>
      <c r="C154" s="660" t="s">
        <v>1453</v>
      </c>
      <c r="D154" s="257" t="s">
        <v>1336</v>
      </c>
      <c r="E154" s="121" t="s">
        <v>740</v>
      </c>
      <c r="F154" s="95" t="s">
        <v>204</v>
      </c>
      <c r="G154">
        <f>IF(Sensitivity!$C$42="Departmental",0,1)</f>
        <v>0</v>
      </c>
      <c r="H154" s="366">
        <f>IFERROR(VLOOKUP(F154,Assumptions_Dashboard!$C$38:$D$72,4,FALSE),)</f>
        <v>0</v>
      </c>
      <c r="J154" s="179"/>
      <c r="K154" s="179"/>
      <c r="L154" s="179"/>
      <c r="M154" s="179"/>
      <c r="N154" s="369">
        <f t="shared" si="37"/>
        <v>0</v>
      </c>
      <c r="O154" s="179">
        <f t="shared" si="38"/>
        <v>0</v>
      </c>
      <c r="P154" s="179">
        <f t="shared" si="36"/>
        <v>0</v>
      </c>
      <c r="Q154" s="179">
        <f t="shared" si="36"/>
        <v>0</v>
      </c>
      <c r="R154" s="179">
        <f t="shared" si="36"/>
        <v>0</v>
      </c>
      <c r="S154" s="179">
        <f t="shared" si="36"/>
        <v>0</v>
      </c>
      <c r="T154" s="179">
        <f t="shared" si="36"/>
        <v>0</v>
      </c>
      <c r="U154" s="179">
        <f t="shared" si="36"/>
        <v>0</v>
      </c>
      <c r="V154" s="179">
        <f t="shared" si="36"/>
        <v>0</v>
      </c>
      <c r="W154" s="179">
        <f t="shared" si="36"/>
        <v>0</v>
      </c>
      <c r="X154" s="179">
        <f t="shared" si="36"/>
        <v>0</v>
      </c>
      <c r="Y154" s="179">
        <f t="shared" si="36"/>
        <v>0</v>
      </c>
      <c r="Z154" s="179">
        <f t="shared" si="36"/>
        <v>0</v>
      </c>
      <c r="AA154" s="179">
        <f t="shared" si="36"/>
        <v>0</v>
      </c>
      <c r="AB154" s="179">
        <f t="shared" si="36"/>
        <v>0</v>
      </c>
      <c r="AC154" s="179">
        <f t="shared" si="36"/>
        <v>0</v>
      </c>
      <c r="AD154" s="179">
        <f t="shared" si="36"/>
        <v>0</v>
      </c>
      <c r="AE154" s="179">
        <f t="shared" si="36"/>
        <v>0</v>
      </c>
      <c r="AF154" s="179">
        <f t="shared" si="36"/>
        <v>0</v>
      </c>
      <c r="AG154" s="179">
        <f t="shared" si="36"/>
        <v>0</v>
      </c>
      <c r="AH154" s="179">
        <f t="shared" si="36"/>
        <v>0</v>
      </c>
      <c r="AI154" s="179">
        <f t="shared" si="36"/>
        <v>0</v>
      </c>
      <c r="AJ154" s="179">
        <f t="shared" si="36"/>
        <v>0</v>
      </c>
      <c r="AK154" s="179">
        <f t="shared" si="36"/>
        <v>0</v>
      </c>
      <c r="AL154" s="179">
        <f t="shared" si="36"/>
        <v>0</v>
      </c>
      <c r="AM154" s="179">
        <f t="shared" si="36"/>
        <v>0</v>
      </c>
      <c r="AN154" s="179"/>
      <c r="AO154" s="179"/>
      <c r="AP154" s="179"/>
      <c r="AQ154" s="179"/>
      <c r="AR154" s="179"/>
      <c r="AS154" s="179"/>
    </row>
    <row r="155" spans="2:45">
      <c r="B155" s="117"/>
      <c r="C155" s="660" t="s">
        <v>1454</v>
      </c>
      <c r="D155" s="257" t="s">
        <v>1336</v>
      </c>
      <c r="E155" s="121" t="s">
        <v>740</v>
      </c>
      <c r="F155" s="95" t="s">
        <v>204</v>
      </c>
      <c r="G155">
        <f>IF(Sensitivity!$C$42="Departmental",0,1)</f>
        <v>0</v>
      </c>
      <c r="H155" s="366">
        <f>IFERROR(VLOOKUP(F155,Assumptions_Dashboard!$C$38:$D$72,4,FALSE),)</f>
        <v>0</v>
      </c>
      <c r="J155" s="179"/>
      <c r="K155" s="179"/>
      <c r="L155" s="179"/>
      <c r="M155" s="179"/>
      <c r="N155" s="369">
        <f t="shared" si="37"/>
        <v>0</v>
      </c>
      <c r="O155" s="179">
        <f t="shared" si="38"/>
        <v>0</v>
      </c>
      <c r="P155" s="179">
        <f t="shared" si="36"/>
        <v>0</v>
      </c>
      <c r="Q155" s="179">
        <f t="shared" si="36"/>
        <v>0</v>
      </c>
      <c r="R155" s="179">
        <f t="shared" si="36"/>
        <v>0</v>
      </c>
      <c r="S155" s="179">
        <f t="shared" si="36"/>
        <v>0</v>
      </c>
      <c r="T155" s="179">
        <f t="shared" si="36"/>
        <v>0</v>
      </c>
      <c r="U155" s="179">
        <f t="shared" si="36"/>
        <v>0</v>
      </c>
      <c r="V155" s="179">
        <f t="shared" si="36"/>
        <v>0</v>
      </c>
      <c r="W155" s="179">
        <f t="shared" si="36"/>
        <v>0</v>
      </c>
      <c r="X155" s="179">
        <f t="shared" si="36"/>
        <v>0</v>
      </c>
      <c r="Y155" s="179">
        <f t="shared" si="36"/>
        <v>0</v>
      </c>
      <c r="Z155" s="179">
        <f t="shared" si="36"/>
        <v>0</v>
      </c>
      <c r="AA155" s="179">
        <f t="shared" si="36"/>
        <v>0</v>
      </c>
      <c r="AB155" s="179">
        <f t="shared" si="36"/>
        <v>0</v>
      </c>
      <c r="AC155" s="179">
        <f t="shared" si="36"/>
        <v>0</v>
      </c>
      <c r="AD155" s="179">
        <f t="shared" si="36"/>
        <v>0</v>
      </c>
      <c r="AE155" s="179">
        <f t="shared" si="36"/>
        <v>0</v>
      </c>
      <c r="AF155" s="179">
        <f t="shared" si="36"/>
        <v>0</v>
      </c>
      <c r="AG155" s="179">
        <f t="shared" si="36"/>
        <v>0</v>
      </c>
      <c r="AH155" s="179">
        <f t="shared" si="36"/>
        <v>0</v>
      </c>
      <c r="AI155" s="179">
        <f t="shared" si="36"/>
        <v>0</v>
      </c>
      <c r="AJ155" s="179">
        <f t="shared" si="36"/>
        <v>0</v>
      </c>
      <c r="AK155" s="179">
        <f t="shared" si="36"/>
        <v>0</v>
      </c>
      <c r="AL155" s="179">
        <f t="shared" si="36"/>
        <v>0</v>
      </c>
      <c r="AM155" s="179">
        <f t="shared" si="36"/>
        <v>0</v>
      </c>
      <c r="AN155" s="179"/>
      <c r="AO155" s="179"/>
      <c r="AP155" s="179"/>
      <c r="AQ155" s="179"/>
      <c r="AR155" s="179"/>
      <c r="AS155" s="179"/>
    </row>
    <row r="156" spans="2:45">
      <c r="B156" s="117"/>
      <c r="C156" s="660" t="s">
        <v>1455</v>
      </c>
      <c r="D156" s="257" t="s">
        <v>1336</v>
      </c>
      <c r="E156" s="121" t="s">
        <v>740</v>
      </c>
      <c r="F156" s="95" t="s">
        <v>204</v>
      </c>
      <c r="H156" s="366">
        <f>IFERROR(VLOOKUP(F156,Assumptions_Dashboard!$C$38:$D$72,4,FALSE),)</f>
        <v>0</v>
      </c>
      <c r="J156" s="179"/>
      <c r="K156" s="179"/>
      <c r="L156" s="179"/>
      <c r="M156" s="179"/>
      <c r="N156" s="369">
        <f t="shared" si="37"/>
        <v>0</v>
      </c>
      <c r="O156" s="179">
        <f t="shared" si="38"/>
        <v>0</v>
      </c>
      <c r="P156" s="179">
        <f t="shared" si="36"/>
        <v>0</v>
      </c>
      <c r="Q156" s="179">
        <f t="shared" si="36"/>
        <v>0</v>
      </c>
      <c r="R156" s="179">
        <f t="shared" si="36"/>
        <v>0</v>
      </c>
      <c r="S156" s="179">
        <f t="shared" si="36"/>
        <v>0</v>
      </c>
      <c r="T156" s="179">
        <f t="shared" si="36"/>
        <v>0</v>
      </c>
      <c r="U156" s="179">
        <f t="shared" si="36"/>
        <v>0</v>
      </c>
      <c r="V156" s="179">
        <f t="shared" si="36"/>
        <v>0</v>
      </c>
      <c r="W156" s="179">
        <f t="shared" si="36"/>
        <v>0</v>
      </c>
      <c r="X156" s="179">
        <f t="shared" si="36"/>
        <v>0</v>
      </c>
      <c r="Y156" s="179">
        <f t="shared" si="36"/>
        <v>0</v>
      </c>
      <c r="Z156" s="179">
        <f t="shared" si="36"/>
        <v>0</v>
      </c>
      <c r="AA156" s="179">
        <f t="shared" si="36"/>
        <v>0</v>
      </c>
      <c r="AB156" s="179">
        <f t="shared" si="36"/>
        <v>0</v>
      </c>
      <c r="AC156" s="179">
        <f t="shared" si="36"/>
        <v>0</v>
      </c>
      <c r="AD156" s="179">
        <f t="shared" si="36"/>
        <v>0</v>
      </c>
      <c r="AE156" s="179">
        <f t="shared" si="36"/>
        <v>0</v>
      </c>
      <c r="AF156" s="179">
        <f t="shared" si="36"/>
        <v>0</v>
      </c>
      <c r="AG156" s="179">
        <f t="shared" si="36"/>
        <v>0</v>
      </c>
      <c r="AH156" s="179">
        <f t="shared" si="36"/>
        <v>0</v>
      </c>
      <c r="AI156" s="179">
        <f t="shared" si="36"/>
        <v>0</v>
      </c>
      <c r="AJ156" s="179">
        <f t="shared" si="36"/>
        <v>0</v>
      </c>
      <c r="AK156" s="179">
        <f t="shared" si="36"/>
        <v>0</v>
      </c>
      <c r="AL156" s="179">
        <f t="shared" si="36"/>
        <v>0</v>
      </c>
      <c r="AM156" s="179">
        <f t="shared" si="36"/>
        <v>0</v>
      </c>
      <c r="AN156" s="179"/>
      <c r="AO156" s="179"/>
      <c r="AP156" s="179"/>
      <c r="AQ156" s="179"/>
      <c r="AR156" s="179"/>
      <c r="AS156" s="179"/>
    </row>
    <row r="157" spans="2:45">
      <c r="B157" s="117"/>
      <c r="C157" s="660" t="s">
        <v>1456</v>
      </c>
      <c r="D157" s="257" t="s">
        <v>1336</v>
      </c>
      <c r="E157" s="121" t="s">
        <v>740</v>
      </c>
      <c r="F157" s="95" t="s">
        <v>204</v>
      </c>
      <c r="G157">
        <f>IF(Sensitivity!$C$42="Departmental",0,1)</f>
        <v>0</v>
      </c>
      <c r="H157" s="366">
        <f>IFERROR(VLOOKUP(F157,Assumptions_Dashboard!$C$38:$D$72,4,FALSE),)</f>
        <v>0</v>
      </c>
      <c r="J157" s="179"/>
      <c r="K157" s="179"/>
      <c r="L157" s="179"/>
      <c r="M157" s="179"/>
      <c r="N157" s="369">
        <f t="shared" si="37"/>
        <v>0</v>
      </c>
      <c r="O157" s="179">
        <f t="shared" si="38"/>
        <v>0</v>
      </c>
      <c r="P157" s="179">
        <f t="shared" si="36"/>
        <v>0</v>
      </c>
      <c r="Q157" s="179">
        <f t="shared" si="36"/>
        <v>0</v>
      </c>
      <c r="R157" s="179">
        <f t="shared" si="36"/>
        <v>0</v>
      </c>
      <c r="S157" s="179">
        <f t="shared" si="36"/>
        <v>0</v>
      </c>
      <c r="T157" s="179">
        <f t="shared" si="36"/>
        <v>0</v>
      </c>
      <c r="U157" s="179">
        <f t="shared" si="36"/>
        <v>0</v>
      </c>
      <c r="V157" s="179">
        <f t="shared" si="36"/>
        <v>0</v>
      </c>
      <c r="W157" s="179">
        <f t="shared" si="36"/>
        <v>0</v>
      </c>
      <c r="X157" s="179">
        <f t="shared" si="36"/>
        <v>0</v>
      </c>
      <c r="Y157" s="179">
        <f t="shared" si="36"/>
        <v>0</v>
      </c>
      <c r="Z157" s="179">
        <f t="shared" si="36"/>
        <v>0</v>
      </c>
      <c r="AA157" s="179">
        <f t="shared" si="36"/>
        <v>0</v>
      </c>
      <c r="AB157" s="179">
        <f t="shared" si="36"/>
        <v>0</v>
      </c>
      <c r="AC157" s="179">
        <f t="shared" si="36"/>
        <v>0</v>
      </c>
      <c r="AD157" s="179">
        <f t="shared" si="36"/>
        <v>0</v>
      </c>
      <c r="AE157" s="179">
        <f t="shared" si="36"/>
        <v>0</v>
      </c>
      <c r="AF157" s="179">
        <f t="shared" si="36"/>
        <v>0</v>
      </c>
      <c r="AG157" s="179">
        <f t="shared" si="36"/>
        <v>0</v>
      </c>
      <c r="AH157" s="179">
        <f t="shared" si="36"/>
        <v>0</v>
      </c>
      <c r="AI157" s="179">
        <f t="shared" si="36"/>
        <v>0</v>
      </c>
      <c r="AJ157" s="179">
        <f t="shared" si="36"/>
        <v>0</v>
      </c>
      <c r="AK157" s="179">
        <f t="shared" si="36"/>
        <v>0</v>
      </c>
      <c r="AL157" s="179">
        <f t="shared" si="36"/>
        <v>0</v>
      </c>
      <c r="AM157" s="179">
        <f t="shared" si="36"/>
        <v>0</v>
      </c>
      <c r="AN157" s="179"/>
      <c r="AO157" s="179"/>
      <c r="AP157" s="179"/>
      <c r="AQ157" s="179"/>
      <c r="AR157" s="179"/>
      <c r="AS157" s="179"/>
    </row>
    <row r="158" spans="2:45">
      <c r="B158" s="211"/>
      <c r="C158" s="660" t="s">
        <v>1457</v>
      </c>
      <c r="D158" s="257" t="s">
        <v>1315</v>
      </c>
      <c r="E158" s="211" t="s">
        <v>740</v>
      </c>
      <c r="F158" s="95" t="s">
        <v>202</v>
      </c>
      <c r="G158">
        <f>IF(Sensitivity!$C$42="Departmental",0,1)</f>
        <v>0</v>
      </c>
      <c r="H158" s="366">
        <f>IFERROR(VLOOKUP(F158,Assumptions_Dashboard!$C$38:$D$72,4,FALSE),)</f>
        <v>0</v>
      </c>
      <c r="J158" s="179"/>
      <c r="K158" s="179"/>
      <c r="L158" s="179"/>
      <c r="M158" s="179"/>
      <c r="N158" s="369">
        <f t="shared" si="37"/>
        <v>0</v>
      </c>
      <c r="O158" s="179">
        <f t="shared" si="38"/>
        <v>0</v>
      </c>
      <c r="P158" s="179">
        <f t="shared" si="36"/>
        <v>0</v>
      </c>
      <c r="Q158" s="179">
        <f t="shared" si="36"/>
        <v>0</v>
      </c>
      <c r="R158" s="179">
        <f t="shared" si="36"/>
        <v>0</v>
      </c>
      <c r="S158" s="179">
        <f t="shared" si="36"/>
        <v>0</v>
      </c>
      <c r="T158" s="179">
        <f t="shared" si="36"/>
        <v>0</v>
      </c>
      <c r="U158" s="179">
        <f t="shared" si="36"/>
        <v>0</v>
      </c>
      <c r="V158" s="179">
        <f t="shared" si="36"/>
        <v>0</v>
      </c>
      <c r="W158" s="179">
        <f t="shared" si="36"/>
        <v>0</v>
      </c>
      <c r="X158" s="179">
        <f t="shared" si="36"/>
        <v>0</v>
      </c>
      <c r="Y158" s="179">
        <f t="shared" si="36"/>
        <v>0</v>
      </c>
      <c r="Z158" s="179">
        <f t="shared" si="36"/>
        <v>0</v>
      </c>
      <c r="AA158" s="179">
        <f t="shared" si="36"/>
        <v>0</v>
      </c>
      <c r="AB158" s="179">
        <f t="shared" si="36"/>
        <v>0</v>
      </c>
      <c r="AC158" s="179">
        <f t="shared" si="36"/>
        <v>0</v>
      </c>
      <c r="AD158" s="179">
        <f t="shared" si="36"/>
        <v>0</v>
      </c>
      <c r="AE158" s="179">
        <f t="shared" si="36"/>
        <v>0</v>
      </c>
      <c r="AF158" s="179">
        <f t="shared" si="36"/>
        <v>0</v>
      </c>
      <c r="AG158" s="179">
        <f t="shared" si="36"/>
        <v>0</v>
      </c>
      <c r="AH158" s="179">
        <f t="shared" si="36"/>
        <v>0</v>
      </c>
      <c r="AI158" s="179">
        <f t="shared" si="36"/>
        <v>0</v>
      </c>
      <c r="AJ158" s="179">
        <f t="shared" si="36"/>
        <v>0</v>
      </c>
      <c r="AK158" s="179">
        <f t="shared" si="36"/>
        <v>0</v>
      </c>
      <c r="AL158" s="179">
        <f t="shared" si="36"/>
        <v>0</v>
      </c>
      <c r="AM158" s="179">
        <f t="shared" si="36"/>
        <v>0</v>
      </c>
      <c r="AN158" s="179"/>
      <c r="AO158" s="179"/>
      <c r="AP158" s="179"/>
      <c r="AQ158" s="179"/>
      <c r="AR158" s="179"/>
      <c r="AS158" s="179"/>
    </row>
    <row r="159" spans="2:45">
      <c r="B159" s="117"/>
      <c r="C159" s="660" t="s">
        <v>1458</v>
      </c>
      <c r="D159" s="257" t="s">
        <v>1336</v>
      </c>
      <c r="E159" s="121" t="s">
        <v>740</v>
      </c>
      <c r="F159" s="95" t="s">
        <v>205</v>
      </c>
      <c r="G159">
        <f>IF(Sensitivity!$C$42="Departmental",0,1)</f>
        <v>0</v>
      </c>
      <c r="H159" s="366">
        <f>IFERROR(VLOOKUP(F159,Assumptions_Dashboard!$C$38:$D$72,4,FALSE),)</f>
        <v>0</v>
      </c>
      <c r="J159" s="179"/>
      <c r="K159" s="179"/>
      <c r="L159" s="179"/>
      <c r="M159" s="179"/>
      <c r="N159" s="369">
        <f t="shared" si="37"/>
        <v>0</v>
      </c>
      <c r="O159" s="179">
        <f t="shared" si="38"/>
        <v>0</v>
      </c>
      <c r="P159" s="179">
        <f t="shared" si="36"/>
        <v>0</v>
      </c>
      <c r="Q159" s="179">
        <f t="shared" si="36"/>
        <v>0</v>
      </c>
      <c r="R159" s="179">
        <f t="shared" si="36"/>
        <v>0</v>
      </c>
      <c r="S159" s="179">
        <f t="shared" si="36"/>
        <v>0</v>
      </c>
      <c r="T159" s="179">
        <f t="shared" si="36"/>
        <v>0</v>
      </c>
      <c r="U159" s="179">
        <f t="shared" si="36"/>
        <v>0</v>
      </c>
      <c r="V159" s="179">
        <f t="shared" si="36"/>
        <v>0</v>
      </c>
      <c r="W159" s="179">
        <f t="shared" si="36"/>
        <v>0</v>
      </c>
      <c r="X159" s="179">
        <f t="shared" si="36"/>
        <v>0</v>
      </c>
      <c r="Y159" s="179">
        <f t="shared" si="36"/>
        <v>0</v>
      </c>
      <c r="Z159" s="179">
        <f t="shared" si="36"/>
        <v>0</v>
      </c>
      <c r="AA159" s="179">
        <f t="shared" si="36"/>
        <v>0</v>
      </c>
      <c r="AB159" s="179">
        <f t="shared" si="36"/>
        <v>0</v>
      </c>
      <c r="AC159" s="179">
        <f t="shared" si="36"/>
        <v>0</v>
      </c>
      <c r="AD159" s="179">
        <f t="shared" si="36"/>
        <v>0</v>
      </c>
      <c r="AE159" s="179">
        <f t="shared" si="36"/>
        <v>0</v>
      </c>
      <c r="AF159" s="179">
        <f t="shared" si="36"/>
        <v>0</v>
      </c>
      <c r="AG159" s="179">
        <f t="shared" si="36"/>
        <v>0</v>
      </c>
      <c r="AH159" s="179">
        <f t="shared" si="36"/>
        <v>0</v>
      </c>
      <c r="AI159" s="179">
        <f t="shared" si="36"/>
        <v>0</v>
      </c>
      <c r="AJ159" s="179">
        <f t="shared" si="36"/>
        <v>0</v>
      </c>
      <c r="AK159" s="179">
        <f t="shared" si="36"/>
        <v>0</v>
      </c>
      <c r="AL159" s="179">
        <f t="shared" si="36"/>
        <v>0</v>
      </c>
      <c r="AM159" s="179">
        <f t="shared" si="36"/>
        <v>0</v>
      </c>
      <c r="AN159" s="179"/>
      <c r="AO159" s="179"/>
      <c r="AP159" s="179"/>
      <c r="AQ159" s="179"/>
      <c r="AR159" s="179"/>
      <c r="AS159" s="179"/>
    </row>
    <row r="160" spans="2:45">
      <c r="B160" s="117"/>
      <c r="C160" s="660" t="s">
        <v>1459</v>
      </c>
      <c r="D160" s="257" t="s">
        <v>1336</v>
      </c>
      <c r="E160" s="121" t="s">
        <v>740</v>
      </c>
      <c r="F160" s="95" t="s">
        <v>205</v>
      </c>
      <c r="H160" s="366">
        <f>IFERROR(VLOOKUP(F160,Assumptions_Dashboard!$C$38:$D$72,4,FALSE),)</f>
        <v>0</v>
      </c>
      <c r="J160" s="179"/>
      <c r="K160" s="179"/>
      <c r="L160" s="179"/>
      <c r="M160" s="179"/>
      <c r="N160" s="369">
        <f t="shared" si="37"/>
        <v>0</v>
      </c>
      <c r="O160" s="179">
        <f t="shared" si="38"/>
        <v>0</v>
      </c>
      <c r="P160" s="179">
        <f t="shared" si="36"/>
        <v>0</v>
      </c>
      <c r="Q160" s="179">
        <f t="shared" si="36"/>
        <v>0</v>
      </c>
      <c r="R160" s="179">
        <f t="shared" si="36"/>
        <v>0</v>
      </c>
      <c r="S160" s="179">
        <f t="shared" si="36"/>
        <v>0</v>
      </c>
      <c r="T160" s="179">
        <f t="shared" si="36"/>
        <v>0</v>
      </c>
      <c r="U160" s="179">
        <f t="shared" si="36"/>
        <v>0</v>
      </c>
      <c r="V160" s="179">
        <f t="shared" si="36"/>
        <v>0</v>
      </c>
      <c r="W160" s="179">
        <f t="shared" si="36"/>
        <v>0</v>
      </c>
      <c r="X160" s="179">
        <f t="shared" si="36"/>
        <v>0</v>
      </c>
      <c r="Y160" s="179">
        <f t="shared" si="36"/>
        <v>0</v>
      </c>
      <c r="Z160" s="179">
        <f t="shared" si="36"/>
        <v>0</v>
      </c>
      <c r="AA160" s="179">
        <f t="shared" si="36"/>
        <v>0</v>
      </c>
      <c r="AB160" s="179">
        <f t="shared" si="36"/>
        <v>0</v>
      </c>
      <c r="AC160" s="179">
        <f t="shared" si="36"/>
        <v>0</v>
      </c>
      <c r="AD160" s="179">
        <f t="shared" si="36"/>
        <v>0</v>
      </c>
      <c r="AE160" s="179">
        <f t="shared" si="36"/>
        <v>0</v>
      </c>
      <c r="AF160" s="179">
        <f t="shared" si="36"/>
        <v>0</v>
      </c>
      <c r="AG160" s="179">
        <f t="shared" si="36"/>
        <v>0</v>
      </c>
      <c r="AH160" s="179">
        <f t="shared" si="36"/>
        <v>0</v>
      </c>
      <c r="AI160" s="179">
        <f t="shared" si="36"/>
        <v>0</v>
      </c>
      <c r="AJ160" s="179">
        <f t="shared" si="36"/>
        <v>0</v>
      </c>
      <c r="AK160" s="179">
        <f t="shared" si="36"/>
        <v>0</v>
      </c>
      <c r="AL160" s="179">
        <f t="shared" si="36"/>
        <v>0</v>
      </c>
      <c r="AM160" s="179">
        <f t="shared" si="36"/>
        <v>0</v>
      </c>
      <c r="AN160" s="179"/>
      <c r="AO160" s="179"/>
      <c r="AP160" s="179"/>
      <c r="AQ160" s="179"/>
      <c r="AR160" s="179"/>
      <c r="AS160" s="179"/>
    </row>
    <row r="161" spans="2:45">
      <c r="B161" s="117"/>
      <c r="C161" s="660" t="s">
        <v>1460</v>
      </c>
      <c r="D161" s="257" t="s">
        <v>1336</v>
      </c>
      <c r="E161" s="121" t="s">
        <v>740</v>
      </c>
      <c r="F161" s="95" t="s">
        <v>205</v>
      </c>
      <c r="G161">
        <f>IF(Sensitivity!$C$42="Departmental",0,1)</f>
        <v>0</v>
      </c>
      <c r="H161" s="366">
        <f>IFERROR(VLOOKUP(F161,Assumptions_Dashboard!$C$38:$D$72,4,FALSE),)</f>
        <v>0</v>
      </c>
      <c r="J161" s="179"/>
      <c r="K161" s="179"/>
      <c r="L161" s="179"/>
      <c r="M161" s="179"/>
      <c r="N161" s="369">
        <f t="shared" si="37"/>
        <v>0</v>
      </c>
      <c r="O161" s="179">
        <f t="shared" si="38"/>
        <v>0</v>
      </c>
      <c r="P161" s="179">
        <f t="shared" si="36"/>
        <v>0</v>
      </c>
      <c r="Q161" s="179">
        <f t="shared" si="36"/>
        <v>0</v>
      </c>
      <c r="R161" s="179">
        <f t="shared" si="36"/>
        <v>0</v>
      </c>
      <c r="S161" s="179">
        <f t="shared" si="36"/>
        <v>0</v>
      </c>
      <c r="T161" s="179">
        <f t="shared" si="36"/>
        <v>0</v>
      </c>
      <c r="U161" s="179">
        <f t="shared" si="36"/>
        <v>0</v>
      </c>
      <c r="V161" s="179">
        <f t="shared" si="36"/>
        <v>0</v>
      </c>
      <c r="W161" s="179">
        <f t="shared" si="36"/>
        <v>0</v>
      </c>
      <c r="X161" s="179">
        <f t="shared" si="36"/>
        <v>0</v>
      </c>
      <c r="Y161" s="179">
        <f t="shared" ref="P161:AM163" si="39">X161</f>
        <v>0</v>
      </c>
      <c r="Z161" s="179">
        <f t="shared" si="39"/>
        <v>0</v>
      </c>
      <c r="AA161" s="179">
        <f t="shared" si="39"/>
        <v>0</v>
      </c>
      <c r="AB161" s="179">
        <f t="shared" si="39"/>
        <v>0</v>
      </c>
      <c r="AC161" s="179">
        <f t="shared" si="39"/>
        <v>0</v>
      </c>
      <c r="AD161" s="179">
        <f t="shared" si="39"/>
        <v>0</v>
      </c>
      <c r="AE161" s="179">
        <f t="shared" si="39"/>
        <v>0</v>
      </c>
      <c r="AF161" s="179">
        <f t="shared" si="39"/>
        <v>0</v>
      </c>
      <c r="AG161" s="179">
        <f t="shared" si="39"/>
        <v>0</v>
      </c>
      <c r="AH161" s="179">
        <f t="shared" si="39"/>
        <v>0</v>
      </c>
      <c r="AI161" s="179">
        <f t="shared" si="39"/>
        <v>0</v>
      </c>
      <c r="AJ161" s="179">
        <f t="shared" si="39"/>
        <v>0</v>
      </c>
      <c r="AK161" s="179">
        <f t="shared" si="39"/>
        <v>0</v>
      </c>
      <c r="AL161" s="179">
        <f t="shared" si="39"/>
        <v>0</v>
      </c>
      <c r="AM161" s="179">
        <f t="shared" si="39"/>
        <v>0</v>
      </c>
      <c r="AN161" s="179"/>
      <c r="AO161" s="179"/>
      <c r="AP161" s="179"/>
      <c r="AQ161" s="179"/>
      <c r="AR161" s="179"/>
      <c r="AS161" s="179"/>
    </row>
    <row r="162" spans="2:45">
      <c r="B162" s="117"/>
      <c r="C162" s="660" t="s">
        <v>1461</v>
      </c>
      <c r="D162" s="257" t="s">
        <v>1336</v>
      </c>
      <c r="E162" s="121" t="s">
        <v>740</v>
      </c>
      <c r="F162" s="95" t="s">
        <v>205</v>
      </c>
      <c r="G162">
        <f>IF(Sensitivity!$C$42="Departmental",0,1)</f>
        <v>0</v>
      </c>
      <c r="H162" s="366">
        <f>IFERROR(VLOOKUP(F162,Assumptions_Dashboard!$C$38:$D$72,4,FALSE),)</f>
        <v>0</v>
      </c>
      <c r="J162" s="179"/>
      <c r="K162" s="179"/>
      <c r="L162" s="179"/>
      <c r="M162" s="179"/>
      <c r="N162" s="369">
        <f t="shared" si="37"/>
        <v>0</v>
      </c>
      <c r="O162" s="179">
        <f t="shared" si="38"/>
        <v>0</v>
      </c>
      <c r="P162" s="179">
        <f t="shared" si="39"/>
        <v>0</v>
      </c>
      <c r="Q162" s="179">
        <f t="shared" si="39"/>
        <v>0</v>
      </c>
      <c r="R162" s="179">
        <f t="shared" si="39"/>
        <v>0</v>
      </c>
      <c r="S162" s="179">
        <f t="shared" si="39"/>
        <v>0</v>
      </c>
      <c r="T162" s="179">
        <f t="shared" si="39"/>
        <v>0</v>
      </c>
      <c r="U162" s="179">
        <f t="shared" si="39"/>
        <v>0</v>
      </c>
      <c r="V162" s="179">
        <f t="shared" si="39"/>
        <v>0</v>
      </c>
      <c r="W162" s="179">
        <f t="shared" si="39"/>
        <v>0</v>
      </c>
      <c r="X162" s="179">
        <f t="shared" si="39"/>
        <v>0</v>
      </c>
      <c r="Y162" s="179">
        <f t="shared" si="39"/>
        <v>0</v>
      </c>
      <c r="Z162" s="179">
        <f t="shared" si="39"/>
        <v>0</v>
      </c>
      <c r="AA162" s="179">
        <f t="shared" si="39"/>
        <v>0</v>
      </c>
      <c r="AB162" s="179">
        <f t="shared" si="39"/>
        <v>0</v>
      </c>
      <c r="AC162" s="179">
        <f t="shared" si="39"/>
        <v>0</v>
      </c>
      <c r="AD162" s="179">
        <f t="shared" si="39"/>
        <v>0</v>
      </c>
      <c r="AE162" s="179">
        <f t="shared" si="39"/>
        <v>0</v>
      </c>
      <c r="AF162" s="179">
        <f t="shared" si="39"/>
        <v>0</v>
      </c>
      <c r="AG162" s="179">
        <f t="shared" si="39"/>
        <v>0</v>
      </c>
      <c r="AH162" s="179">
        <f t="shared" si="39"/>
        <v>0</v>
      </c>
      <c r="AI162" s="179">
        <f t="shared" si="39"/>
        <v>0</v>
      </c>
      <c r="AJ162" s="179">
        <f t="shared" si="39"/>
        <v>0</v>
      </c>
      <c r="AK162" s="179">
        <f t="shared" si="39"/>
        <v>0</v>
      </c>
      <c r="AL162" s="179">
        <f t="shared" si="39"/>
        <v>0</v>
      </c>
      <c r="AM162" s="179">
        <f t="shared" si="39"/>
        <v>0</v>
      </c>
      <c r="AN162" s="179"/>
      <c r="AO162" s="179"/>
      <c r="AP162" s="179"/>
      <c r="AQ162" s="179"/>
      <c r="AR162" s="179"/>
      <c r="AS162" s="179"/>
    </row>
    <row r="163" spans="2:45">
      <c r="B163" s="117"/>
      <c r="C163" s="660" t="s">
        <v>1462</v>
      </c>
      <c r="D163" s="257" t="s">
        <v>1336</v>
      </c>
      <c r="E163" s="121" t="s">
        <v>740</v>
      </c>
      <c r="F163" s="95" t="s">
        <v>205</v>
      </c>
      <c r="H163" s="366">
        <f>IFERROR(VLOOKUP(F163,Assumptions_Dashboard!$C$38:$D$72,4,FALSE),)</f>
        <v>0</v>
      </c>
      <c r="J163" s="179"/>
      <c r="K163" s="179"/>
      <c r="L163" s="179"/>
      <c r="M163" s="179"/>
      <c r="N163" s="369">
        <f t="shared" si="37"/>
        <v>0</v>
      </c>
      <c r="O163" s="179">
        <f t="shared" si="38"/>
        <v>0</v>
      </c>
      <c r="P163" s="179">
        <f t="shared" si="39"/>
        <v>0</v>
      </c>
      <c r="Q163" s="179">
        <f t="shared" si="39"/>
        <v>0</v>
      </c>
      <c r="R163" s="179">
        <f t="shared" si="39"/>
        <v>0</v>
      </c>
      <c r="S163" s="179">
        <f t="shared" si="39"/>
        <v>0</v>
      </c>
      <c r="T163" s="179">
        <f t="shared" si="39"/>
        <v>0</v>
      </c>
      <c r="U163" s="179">
        <f t="shared" si="39"/>
        <v>0</v>
      </c>
      <c r="V163" s="179">
        <f t="shared" si="39"/>
        <v>0</v>
      </c>
      <c r="W163" s="179">
        <f t="shared" si="39"/>
        <v>0</v>
      </c>
      <c r="X163" s="179">
        <f t="shared" si="39"/>
        <v>0</v>
      </c>
      <c r="Y163" s="179">
        <f t="shared" si="39"/>
        <v>0</v>
      </c>
      <c r="Z163" s="179">
        <f t="shared" si="39"/>
        <v>0</v>
      </c>
      <c r="AA163" s="179">
        <f t="shared" si="39"/>
        <v>0</v>
      </c>
      <c r="AB163" s="179">
        <f t="shared" si="39"/>
        <v>0</v>
      </c>
      <c r="AC163" s="179">
        <f t="shared" si="39"/>
        <v>0</v>
      </c>
      <c r="AD163" s="179">
        <f t="shared" si="39"/>
        <v>0</v>
      </c>
      <c r="AE163" s="179">
        <f t="shared" si="39"/>
        <v>0</v>
      </c>
      <c r="AF163" s="179">
        <f t="shared" si="39"/>
        <v>0</v>
      </c>
      <c r="AG163" s="179">
        <f t="shared" si="39"/>
        <v>0</v>
      </c>
      <c r="AH163" s="179">
        <f t="shared" si="39"/>
        <v>0</v>
      </c>
      <c r="AI163" s="179">
        <f t="shared" si="39"/>
        <v>0</v>
      </c>
      <c r="AJ163" s="179">
        <f t="shared" si="39"/>
        <v>0</v>
      </c>
      <c r="AK163" s="179">
        <f t="shared" si="39"/>
        <v>0</v>
      </c>
      <c r="AL163" s="179">
        <f t="shared" si="39"/>
        <v>0</v>
      </c>
      <c r="AM163" s="179">
        <f t="shared" si="39"/>
        <v>0</v>
      </c>
      <c r="AN163" s="179"/>
      <c r="AO163" s="179"/>
      <c r="AP163" s="179"/>
      <c r="AQ163" s="179"/>
      <c r="AR163" s="179"/>
      <c r="AS163" s="179"/>
    </row>
    <row r="164" spans="2:45">
      <c r="B164" s="255" t="s">
        <v>1463</v>
      </c>
      <c r="C164" s="660" t="s">
        <v>1453</v>
      </c>
      <c r="D164" s="257" t="s">
        <v>1336</v>
      </c>
      <c r="E164" s="121" t="s">
        <v>740</v>
      </c>
      <c r="F164" s="95" t="s">
        <v>204</v>
      </c>
      <c r="G164" s="121">
        <f>IF(Sensitivity!$C$42="Departmental",0,2*2)</f>
        <v>0</v>
      </c>
      <c r="H164" s="366">
        <f>IFERROR(VLOOKUP(F164,Assumptions_Dashboard!$C$38:$D$72,4,FALSE),)</f>
        <v>0</v>
      </c>
      <c r="J164" s="179"/>
      <c r="K164" s="179"/>
      <c r="L164" s="179"/>
      <c r="M164" s="179"/>
      <c r="N164" s="179">
        <f>G164</f>
        <v>0</v>
      </c>
      <c r="O164" s="179">
        <f>N164</f>
        <v>0</v>
      </c>
      <c r="P164" s="179">
        <f t="shared" ref="P164:AM173" si="40">O164</f>
        <v>0</v>
      </c>
      <c r="Q164" s="179">
        <f t="shared" si="40"/>
        <v>0</v>
      </c>
      <c r="R164" s="179">
        <f t="shared" si="40"/>
        <v>0</v>
      </c>
      <c r="S164" s="179">
        <f t="shared" si="40"/>
        <v>0</v>
      </c>
      <c r="T164" s="179">
        <f t="shared" si="40"/>
        <v>0</v>
      </c>
      <c r="U164" s="179">
        <f t="shared" si="40"/>
        <v>0</v>
      </c>
      <c r="V164" s="179">
        <f t="shared" si="40"/>
        <v>0</v>
      </c>
      <c r="W164" s="179">
        <f t="shared" si="40"/>
        <v>0</v>
      </c>
      <c r="X164" s="179">
        <f t="shared" si="40"/>
        <v>0</v>
      </c>
      <c r="Y164" s="179">
        <f t="shared" si="40"/>
        <v>0</v>
      </c>
      <c r="Z164" s="179">
        <f t="shared" si="40"/>
        <v>0</v>
      </c>
      <c r="AA164" s="179">
        <f t="shared" si="40"/>
        <v>0</v>
      </c>
      <c r="AB164" s="179">
        <f t="shared" si="40"/>
        <v>0</v>
      </c>
      <c r="AC164" s="179">
        <f t="shared" si="40"/>
        <v>0</v>
      </c>
      <c r="AD164" s="179">
        <f t="shared" si="40"/>
        <v>0</v>
      </c>
      <c r="AE164" s="179">
        <f t="shared" si="40"/>
        <v>0</v>
      </c>
      <c r="AF164" s="179">
        <f t="shared" si="40"/>
        <v>0</v>
      </c>
      <c r="AG164" s="179">
        <f t="shared" si="40"/>
        <v>0</v>
      </c>
      <c r="AH164" s="179">
        <f t="shared" si="40"/>
        <v>0</v>
      </c>
      <c r="AI164" s="179">
        <f t="shared" si="40"/>
        <v>0</v>
      </c>
      <c r="AJ164" s="179">
        <f t="shared" si="40"/>
        <v>0</v>
      </c>
      <c r="AK164" s="179">
        <f t="shared" si="40"/>
        <v>0</v>
      </c>
      <c r="AL164" s="179">
        <f t="shared" si="40"/>
        <v>0</v>
      </c>
      <c r="AM164" s="179">
        <f t="shared" si="40"/>
        <v>0</v>
      </c>
      <c r="AN164" s="179"/>
      <c r="AO164" s="179"/>
      <c r="AP164" s="179"/>
      <c r="AQ164" s="179"/>
      <c r="AR164" s="179"/>
      <c r="AS164" s="179"/>
    </row>
    <row r="165" spans="2:45">
      <c r="B165" s="117"/>
      <c r="C165" s="660" t="s">
        <v>1454</v>
      </c>
      <c r="D165" s="257" t="s">
        <v>1336</v>
      </c>
      <c r="E165" s="121" t="s">
        <v>740</v>
      </c>
      <c r="F165" s="95" t="s">
        <v>204</v>
      </c>
      <c r="G165" s="121">
        <f>IF(Sensitivity!$C$42="Departmental",0,2*2)</f>
        <v>0</v>
      </c>
      <c r="H165" s="366">
        <f>IFERROR(VLOOKUP(F165,Assumptions_Dashboard!$C$38:$D$72,4,FALSE),)</f>
        <v>0</v>
      </c>
      <c r="J165" s="179"/>
      <c r="K165" s="179"/>
      <c r="L165" s="179"/>
      <c r="M165" s="179"/>
      <c r="N165" s="179">
        <f>G165</f>
        <v>0</v>
      </c>
      <c r="O165" s="179">
        <f>N165</f>
        <v>0</v>
      </c>
      <c r="P165" s="179">
        <f t="shared" si="40"/>
        <v>0</v>
      </c>
      <c r="Q165" s="179">
        <f t="shared" si="40"/>
        <v>0</v>
      </c>
      <c r="R165" s="179">
        <f t="shared" si="40"/>
        <v>0</v>
      </c>
      <c r="S165" s="179">
        <f t="shared" si="40"/>
        <v>0</v>
      </c>
      <c r="T165" s="179">
        <f t="shared" si="40"/>
        <v>0</v>
      </c>
      <c r="U165" s="179">
        <f t="shared" si="40"/>
        <v>0</v>
      </c>
      <c r="V165" s="179">
        <f t="shared" si="40"/>
        <v>0</v>
      </c>
      <c r="W165" s="179">
        <f t="shared" si="40"/>
        <v>0</v>
      </c>
      <c r="X165" s="179">
        <f t="shared" si="40"/>
        <v>0</v>
      </c>
      <c r="Y165" s="179">
        <f t="shared" si="40"/>
        <v>0</v>
      </c>
      <c r="Z165" s="179">
        <f t="shared" si="40"/>
        <v>0</v>
      </c>
      <c r="AA165" s="179">
        <f t="shared" si="40"/>
        <v>0</v>
      </c>
      <c r="AB165" s="179">
        <f t="shared" si="40"/>
        <v>0</v>
      </c>
      <c r="AC165" s="179">
        <f t="shared" si="40"/>
        <v>0</v>
      </c>
      <c r="AD165" s="179">
        <f t="shared" si="40"/>
        <v>0</v>
      </c>
      <c r="AE165" s="179">
        <f t="shared" si="40"/>
        <v>0</v>
      </c>
      <c r="AF165" s="179">
        <f t="shared" si="40"/>
        <v>0</v>
      </c>
      <c r="AG165" s="179">
        <f t="shared" si="40"/>
        <v>0</v>
      </c>
      <c r="AH165" s="179">
        <f t="shared" si="40"/>
        <v>0</v>
      </c>
      <c r="AI165" s="179">
        <f t="shared" si="40"/>
        <v>0</v>
      </c>
      <c r="AJ165" s="179">
        <f t="shared" si="40"/>
        <v>0</v>
      </c>
      <c r="AK165" s="179">
        <f t="shared" si="40"/>
        <v>0</v>
      </c>
      <c r="AL165" s="179">
        <f t="shared" si="40"/>
        <v>0</v>
      </c>
      <c r="AM165" s="179">
        <f t="shared" si="40"/>
        <v>0</v>
      </c>
      <c r="AN165" s="179"/>
      <c r="AO165" s="179"/>
      <c r="AP165" s="179"/>
      <c r="AQ165" s="179"/>
      <c r="AR165" s="179"/>
      <c r="AS165" s="179"/>
    </row>
    <row r="166" spans="2:45">
      <c r="B166" s="117"/>
      <c r="C166" s="660" t="s">
        <v>1455</v>
      </c>
      <c r="D166" s="257" t="s">
        <v>1336</v>
      </c>
      <c r="E166" s="121" t="s">
        <v>740</v>
      </c>
      <c r="F166" s="95" t="s">
        <v>204</v>
      </c>
      <c r="G166" s="121">
        <f>IF(Sensitivity!$C$42="Departmental",0,2*2)</f>
        <v>0</v>
      </c>
      <c r="H166" s="366">
        <f>IFERROR(VLOOKUP(F166,Assumptions_Dashboard!$C$38:$D$72,4,FALSE),)</f>
        <v>0</v>
      </c>
      <c r="J166" s="179"/>
      <c r="K166" s="179"/>
      <c r="L166" s="179"/>
      <c r="M166" s="179"/>
      <c r="N166" s="179">
        <f>G166</f>
        <v>0</v>
      </c>
      <c r="O166" s="179">
        <f t="shared" ref="O166:AD181" si="41">N166</f>
        <v>0</v>
      </c>
      <c r="P166" s="179">
        <f t="shared" si="41"/>
        <v>0</v>
      </c>
      <c r="Q166" s="179">
        <f t="shared" si="41"/>
        <v>0</v>
      </c>
      <c r="R166" s="179">
        <f t="shared" si="41"/>
        <v>0</v>
      </c>
      <c r="S166" s="179">
        <f t="shared" si="41"/>
        <v>0</v>
      </c>
      <c r="T166" s="179">
        <f t="shared" si="41"/>
        <v>0</v>
      </c>
      <c r="U166" s="179">
        <f t="shared" si="41"/>
        <v>0</v>
      </c>
      <c r="V166" s="179">
        <f t="shared" si="41"/>
        <v>0</v>
      </c>
      <c r="W166" s="179">
        <f t="shared" si="41"/>
        <v>0</v>
      </c>
      <c r="X166" s="179">
        <f t="shared" si="41"/>
        <v>0</v>
      </c>
      <c r="Y166" s="179">
        <f t="shared" si="41"/>
        <v>0</v>
      </c>
      <c r="Z166" s="179">
        <f t="shared" si="41"/>
        <v>0</v>
      </c>
      <c r="AA166" s="179">
        <f t="shared" si="41"/>
        <v>0</v>
      </c>
      <c r="AB166" s="179">
        <f t="shared" si="41"/>
        <v>0</v>
      </c>
      <c r="AC166" s="179">
        <f t="shared" si="41"/>
        <v>0</v>
      </c>
      <c r="AD166" s="179">
        <f t="shared" si="41"/>
        <v>0</v>
      </c>
      <c r="AE166" s="179">
        <f t="shared" si="40"/>
        <v>0</v>
      </c>
      <c r="AF166" s="179">
        <f t="shared" si="40"/>
        <v>0</v>
      </c>
      <c r="AG166" s="179">
        <f t="shared" si="40"/>
        <v>0</v>
      </c>
      <c r="AH166" s="179">
        <f t="shared" si="40"/>
        <v>0</v>
      </c>
      <c r="AI166" s="179">
        <f t="shared" si="40"/>
        <v>0</v>
      </c>
      <c r="AJ166" s="179">
        <f t="shared" si="40"/>
        <v>0</v>
      </c>
      <c r="AK166" s="179">
        <f t="shared" si="40"/>
        <v>0</v>
      </c>
      <c r="AL166" s="179">
        <f t="shared" si="40"/>
        <v>0</v>
      </c>
      <c r="AM166" s="179">
        <f t="shared" si="40"/>
        <v>0</v>
      </c>
      <c r="AN166" s="179"/>
      <c r="AO166" s="179"/>
      <c r="AP166" s="179"/>
      <c r="AQ166" s="179"/>
      <c r="AR166" s="179"/>
      <c r="AS166" s="179"/>
    </row>
    <row r="167" spans="2:45">
      <c r="B167" s="117"/>
      <c r="C167" s="660" t="s">
        <v>1458</v>
      </c>
      <c r="D167" s="257" t="s">
        <v>1336</v>
      </c>
      <c r="E167" s="121" t="s">
        <v>740</v>
      </c>
      <c r="F167" s="95" t="s">
        <v>205</v>
      </c>
      <c r="G167" s="121">
        <f>IF(Sensitivity!$C$42="Departmental",0,1*2)</f>
        <v>0</v>
      </c>
      <c r="H167" s="366">
        <f>IFERROR(VLOOKUP(F167,Assumptions_Dashboard!$C$38:$D$72,4,FALSE),)</f>
        <v>0</v>
      </c>
      <c r="J167" s="179"/>
      <c r="K167" s="179"/>
      <c r="L167" s="179"/>
      <c r="M167" s="179"/>
      <c r="N167" s="179">
        <f>G167</f>
        <v>0</v>
      </c>
      <c r="O167" s="179">
        <f t="shared" si="41"/>
        <v>0</v>
      </c>
      <c r="P167" s="179">
        <f t="shared" si="40"/>
        <v>0</v>
      </c>
      <c r="Q167" s="179">
        <f t="shared" si="40"/>
        <v>0</v>
      </c>
      <c r="R167" s="179">
        <f t="shared" si="40"/>
        <v>0</v>
      </c>
      <c r="S167" s="179">
        <f t="shared" si="40"/>
        <v>0</v>
      </c>
      <c r="T167" s="179">
        <f t="shared" si="40"/>
        <v>0</v>
      </c>
      <c r="U167" s="179">
        <f t="shared" si="40"/>
        <v>0</v>
      </c>
      <c r="V167" s="179">
        <f t="shared" si="40"/>
        <v>0</v>
      </c>
      <c r="W167" s="179">
        <f t="shared" si="40"/>
        <v>0</v>
      </c>
      <c r="X167" s="179">
        <f t="shared" si="40"/>
        <v>0</v>
      </c>
      <c r="Y167" s="179">
        <f t="shared" si="40"/>
        <v>0</v>
      </c>
      <c r="Z167" s="179">
        <f t="shared" si="40"/>
        <v>0</v>
      </c>
      <c r="AA167" s="179">
        <f t="shared" si="40"/>
        <v>0</v>
      </c>
      <c r="AB167" s="179">
        <f t="shared" si="40"/>
        <v>0</v>
      </c>
      <c r="AC167" s="179">
        <f t="shared" si="40"/>
        <v>0</v>
      </c>
      <c r="AD167" s="179">
        <f t="shared" si="40"/>
        <v>0</v>
      </c>
      <c r="AE167" s="179">
        <f t="shared" si="40"/>
        <v>0</v>
      </c>
      <c r="AF167" s="179">
        <f t="shared" si="40"/>
        <v>0</v>
      </c>
      <c r="AG167" s="179">
        <f t="shared" si="40"/>
        <v>0</v>
      </c>
      <c r="AH167" s="179">
        <f t="shared" si="40"/>
        <v>0</v>
      </c>
      <c r="AI167" s="179">
        <f t="shared" si="40"/>
        <v>0</v>
      </c>
      <c r="AJ167" s="179">
        <f t="shared" si="40"/>
        <v>0</v>
      </c>
      <c r="AK167" s="179">
        <f t="shared" si="40"/>
        <v>0</v>
      </c>
      <c r="AL167" s="179">
        <f t="shared" si="40"/>
        <v>0</v>
      </c>
      <c r="AM167" s="179">
        <f t="shared" si="40"/>
        <v>0</v>
      </c>
      <c r="AN167" s="179"/>
      <c r="AO167" s="179"/>
      <c r="AP167" s="179"/>
      <c r="AQ167" s="179"/>
      <c r="AR167" s="179"/>
      <c r="AS167" s="179"/>
    </row>
    <row r="168" spans="2:45">
      <c r="B168" s="117"/>
      <c r="C168" s="660" t="s">
        <v>1459</v>
      </c>
      <c r="D168" s="257" t="s">
        <v>1336</v>
      </c>
      <c r="E168" s="121" t="s">
        <v>740</v>
      </c>
      <c r="F168" s="95" t="s">
        <v>206</v>
      </c>
      <c r="G168" s="121">
        <f>IF(Sensitivity!$C$42="Departmental",0,1*2)</f>
        <v>0</v>
      </c>
      <c r="H168" s="366">
        <f>IFERROR(VLOOKUP(F168,Assumptions_Dashboard!$C$38:$D$72,4,FALSE),)</f>
        <v>0</v>
      </c>
      <c r="J168" s="179"/>
      <c r="K168" s="179"/>
      <c r="L168" s="179"/>
      <c r="M168" s="179"/>
      <c r="N168" s="179">
        <f>G168</f>
        <v>0</v>
      </c>
      <c r="O168" s="179">
        <f t="shared" si="41"/>
        <v>0</v>
      </c>
      <c r="P168" s="179">
        <f t="shared" si="40"/>
        <v>0</v>
      </c>
      <c r="Q168" s="179">
        <f t="shared" si="40"/>
        <v>0</v>
      </c>
      <c r="R168" s="179">
        <f t="shared" si="40"/>
        <v>0</v>
      </c>
      <c r="S168" s="179">
        <f t="shared" si="40"/>
        <v>0</v>
      </c>
      <c r="T168" s="179">
        <f t="shared" si="40"/>
        <v>0</v>
      </c>
      <c r="U168" s="179">
        <f t="shared" si="40"/>
        <v>0</v>
      </c>
      <c r="V168" s="179">
        <f t="shared" si="40"/>
        <v>0</v>
      </c>
      <c r="W168" s="179">
        <f t="shared" si="40"/>
        <v>0</v>
      </c>
      <c r="X168" s="179">
        <f t="shared" si="40"/>
        <v>0</v>
      </c>
      <c r="Y168" s="179">
        <f t="shared" si="40"/>
        <v>0</v>
      </c>
      <c r="Z168" s="179">
        <f t="shared" si="40"/>
        <v>0</v>
      </c>
      <c r="AA168" s="179">
        <f t="shared" si="40"/>
        <v>0</v>
      </c>
      <c r="AB168" s="179">
        <f t="shared" si="40"/>
        <v>0</v>
      </c>
      <c r="AC168" s="179">
        <f t="shared" si="40"/>
        <v>0</v>
      </c>
      <c r="AD168" s="179">
        <f t="shared" si="40"/>
        <v>0</v>
      </c>
      <c r="AE168" s="179">
        <f t="shared" si="40"/>
        <v>0</v>
      </c>
      <c r="AF168" s="179">
        <f t="shared" si="40"/>
        <v>0</v>
      </c>
      <c r="AG168" s="179">
        <f t="shared" si="40"/>
        <v>0</v>
      </c>
      <c r="AH168" s="179">
        <f t="shared" si="40"/>
        <v>0</v>
      </c>
      <c r="AI168" s="179">
        <f t="shared" si="40"/>
        <v>0</v>
      </c>
      <c r="AJ168" s="179">
        <f t="shared" si="40"/>
        <v>0</v>
      </c>
      <c r="AK168" s="179">
        <f t="shared" si="40"/>
        <v>0</v>
      </c>
      <c r="AL168" s="179">
        <f t="shared" si="40"/>
        <v>0</v>
      </c>
      <c r="AM168" s="179">
        <f t="shared" si="40"/>
        <v>0</v>
      </c>
      <c r="AN168" s="179"/>
      <c r="AO168" s="179"/>
      <c r="AP168" s="179"/>
      <c r="AQ168" s="179"/>
      <c r="AR168" s="179"/>
      <c r="AS168" s="179"/>
    </row>
    <row r="169" spans="2:45">
      <c r="B169" s="117"/>
      <c r="C169" s="660" t="s">
        <v>1460</v>
      </c>
      <c r="D169" s="257" t="s">
        <v>1336</v>
      </c>
      <c r="E169" s="121" t="s">
        <v>740</v>
      </c>
      <c r="F169" s="95" t="s">
        <v>206</v>
      </c>
      <c r="G169" s="121">
        <f>IF(Sensitivity!$C$42="Departmental",0,1*2)</f>
        <v>0</v>
      </c>
      <c r="H169" s="366">
        <f>IFERROR(VLOOKUP(F169,Assumptions_Dashboard!$C$38:$D$72,4,FALSE),)</f>
        <v>0</v>
      </c>
      <c r="J169" s="179"/>
      <c r="K169" s="179"/>
      <c r="L169" s="179"/>
      <c r="M169" s="179"/>
      <c r="N169" s="179">
        <f t="shared" ref="N169:N182" si="42">G169</f>
        <v>0</v>
      </c>
      <c r="O169" s="179">
        <f t="shared" si="41"/>
        <v>0</v>
      </c>
      <c r="P169" s="179">
        <f t="shared" si="40"/>
        <v>0</v>
      </c>
      <c r="Q169" s="179">
        <f t="shared" si="40"/>
        <v>0</v>
      </c>
      <c r="R169" s="179">
        <f t="shared" si="40"/>
        <v>0</v>
      </c>
      <c r="S169" s="179">
        <f t="shared" si="40"/>
        <v>0</v>
      </c>
      <c r="T169" s="179">
        <f t="shared" si="40"/>
        <v>0</v>
      </c>
      <c r="U169" s="179">
        <f t="shared" si="40"/>
        <v>0</v>
      </c>
      <c r="V169" s="179">
        <f t="shared" si="40"/>
        <v>0</v>
      </c>
      <c r="W169" s="179">
        <f t="shared" si="40"/>
        <v>0</v>
      </c>
      <c r="X169" s="179">
        <f t="shared" si="40"/>
        <v>0</v>
      </c>
      <c r="Y169" s="179">
        <f t="shared" si="40"/>
        <v>0</v>
      </c>
      <c r="Z169" s="179">
        <f t="shared" si="40"/>
        <v>0</v>
      </c>
      <c r="AA169" s="179">
        <f t="shared" si="40"/>
        <v>0</v>
      </c>
      <c r="AB169" s="179">
        <f t="shared" si="40"/>
        <v>0</v>
      </c>
      <c r="AC169" s="179">
        <f t="shared" si="40"/>
        <v>0</v>
      </c>
      <c r="AD169" s="179">
        <f t="shared" si="40"/>
        <v>0</v>
      </c>
      <c r="AE169" s="179">
        <f t="shared" si="40"/>
        <v>0</v>
      </c>
      <c r="AF169" s="179">
        <f t="shared" si="40"/>
        <v>0</v>
      </c>
      <c r="AG169" s="179">
        <f t="shared" si="40"/>
        <v>0</v>
      </c>
      <c r="AH169" s="179">
        <f t="shared" si="40"/>
        <v>0</v>
      </c>
      <c r="AI169" s="179">
        <f t="shared" si="40"/>
        <v>0</v>
      </c>
      <c r="AJ169" s="179">
        <f t="shared" si="40"/>
        <v>0</v>
      </c>
      <c r="AK169" s="179">
        <f t="shared" si="40"/>
        <v>0</v>
      </c>
      <c r="AL169" s="179">
        <f t="shared" si="40"/>
        <v>0</v>
      </c>
      <c r="AM169" s="179">
        <f t="shared" si="40"/>
        <v>0</v>
      </c>
      <c r="AN169" s="179"/>
      <c r="AO169" s="179"/>
      <c r="AP169" s="179"/>
      <c r="AQ169" s="179"/>
      <c r="AR169" s="179"/>
      <c r="AS169" s="179"/>
    </row>
    <row r="170" spans="2:45">
      <c r="B170" s="117"/>
      <c r="C170" s="660" t="s">
        <v>1464</v>
      </c>
      <c r="D170" s="257" t="s">
        <v>1336</v>
      </c>
      <c r="E170" s="121" t="s">
        <v>740</v>
      </c>
      <c r="F170" s="95" t="s">
        <v>206</v>
      </c>
      <c r="G170" s="121">
        <f>IF(Sensitivity!$C$42="Departmental",0,1*2)</f>
        <v>0</v>
      </c>
      <c r="H170" s="366">
        <f>IFERROR(VLOOKUP(F170,Assumptions_Dashboard!$C$38:$D$72,4,FALSE),)</f>
        <v>0</v>
      </c>
      <c r="J170" s="179"/>
      <c r="K170" s="179"/>
      <c r="L170" s="179"/>
      <c r="M170" s="179"/>
      <c r="N170" s="179">
        <f t="shared" si="42"/>
        <v>0</v>
      </c>
      <c r="O170" s="179">
        <f t="shared" si="41"/>
        <v>0</v>
      </c>
      <c r="P170" s="179">
        <f t="shared" si="40"/>
        <v>0</v>
      </c>
      <c r="Q170" s="179">
        <f t="shared" si="40"/>
        <v>0</v>
      </c>
      <c r="R170" s="179">
        <f t="shared" si="40"/>
        <v>0</v>
      </c>
      <c r="S170" s="179">
        <f t="shared" si="40"/>
        <v>0</v>
      </c>
      <c r="T170" s="179">
        <f t="shared" si="40"/>
        <v>0</v>
      </c>
      <c r="U170" s="179">
        <f t="shared" si="40"/>
        <v>0</v>
      </c>
      <c r="V170" s="179">
        <f t="shared" si="40"/>
        <v>0</v>
      </c>
      <c r="W170" s="179">
        <f t="shared" si="40"/>
        <v>0</v>
      </c>
      <c r="X170" s="179">
        <f t="shared" si="40"/>
        <v>0</v>
      </c>
      <c r="Y170" s="179">
        <f t="shared" si="40"/>
        <v>0</v>
      </c>
      <c r="Z170" s="179">
        <f t="shared" si="40"/>
        <v>0</v>
      </c>
      <c r="AA170" s="179">
        <f t="shared" si="40"/>
        <v>0</v>
      </c>
      <c r="AB170" s="179">
        <f t="shared" si="40"/>
        <v>0</v>
      </c>
      <c r="AC170" s="179">
        <f t="shared" si="40"/>
        <v>0</v>
      </c>
      <c r="AD170" s="179">
        <f t="shared" si="40"/>
        <v>0</v>
      </c>
      <c r="AE170" s="179">
        <f t="shared" si="40"/>
        <v>0</v>
      </c>
      <c r="AF170" s="179">
        <f t="shared" si="40"/>
        <v>0</v>
      </c>
      <c r="AG170" s="179">
        <f t="shared" si="40"/>
        <v>0</v>
      </c>
      <c r="AH170" s="179">
        <f t="shared" si="40"/>
        <v>0</v>
      </c>
      <c r="AI170" s="179">
        <f t="shared" si="40"/>
        <v>0</v>
      </c>
      <c r="AJ170" s="179">
        <f t="shared" si="40"/>
        <v>0</v>
      </c>
      <c r="AK170" s="179">
        <f t="shared" si="40"/>
        <v>0</v>
      </c>
      <c r="AL170" s="179">
        <f t="shared" si="40"/>
        <v>0</v>
      </c>
      <c r="AM170" s="179">
        <f t="shared" si="40"/>
        <v>0</v>
      </c>
      <c r="AN170" s="179"/>
      <c r="AO170" s="179"/>
      <c r="AP170" s="179"/>
      <c r="AQ170" s="179"/>
      <c r="AR170" s="179"/>
      <c r="AS170" s="179"/>
    </row>
    <row r="171" spans="2:45">
      <c r="B171" s="117"/>
      <c r="C171" s="660" t="s">
        <v>1465</v>
      </c>
      <c r="D171" s="257"/>
      <c r="E171" s="121" t="s">
        <v>740</v>
      </c>
      <c r="F171" s="95" t="s">
        <v>206</v>
      </c>
      <c r="G171">
        <f>IF(Sensitivity!$C$42="Departmental",0,1*3)</f>
        <v>0</v>
      </c>
      <c r="H171" s="366">
        <f>IFERROR(VLOOKUP(F171,Assumptions_Dashboard!$C$38:$D$72,4,FALSE),)</f>
        <v>0</v>
      </c>
      <c r="J171" s="179"/>
      <c r="K171" s="179"/>
      <c r="L171" s="179"/>
      <c r="M171" s="179"/>
      <c r="N171" s="179">
        <f t="shared" si="42"/>
        <v>0</v>
      </c>
      <c r="O171" s="179">
        <f t="shared" si="41"/>
        <v>0</v>
      </c>
      <c r="P171" s="179">
        <f t="shared" si="40"/>
        <v>0</v>
      </c>
      <c r="Q171" s="179">
        <f t="shared" si="40"/>
        <v>0</v>
      </c>
      <c r="R171" s="179">
        <f t="shared" si="40"/>
        <v>0</v>
      </c>
      <c r="S171" s="179">
        <f t="shared" si="40"/>
        <v>0</v>
      </c>
      <c r="T171" s="179">
        <f t="shared" si="40"/>
        <v>0</v>
      </c>
      <c r="U171" s="179">
        <f t="shared" si="40"/>
        <v>0</v>
      </c>
      <c r="V171" s="179">
        <f t="shared" si="40"/>
        <v>0</v>
      </c>
      <c r="W171" s="179">
        <f t="shared" si="40"/>
        <v>0</v>
      </c>
      <c r="X171" s="179">
        <f t="shared" si="40"/>
        <v>0</v>
      </c>
      <c r="Y171" s="179">
        <f t="shared" si="40"/>
        <v>0</v>
      </c>
      <c r="Z171" s="179">
        <f t="shared" si="40"/>
        <v>0</v>
      </c>
      <c r="AA171" s="179">
        <f t="shared" si="40"/>
        <v>0</v>
      </c>
      <c r="AB171" s="179">
        <f t="shared" si="40"/>
        <v>0</v>
      </c>
      <c r="AC171" s="179">
        <f t="shared" si="40"/>
        <v>0</v>
      </c>
      <c r="AD171" s="179">
        <f t="shared" si="40"/>
        <v>0</v>
      </c>
      <c r="AE171" s="179">
        <f t="shared" si="40"/>
        <v>0</v>
      </c>
      <c r="AF171" s="179">
        <f t="shared" si="40"/>
        <v>0</v>
      </c>
      <c r="AG171" s="179">
        <f t="shared" si="40"/>
        <v>0</v>
      </c>
      <c r="AH171" s="179">
        <f t="shared" si="40"/>
        <v>0</v>
      </c>
      <c r="AI171" s="179">
        <f t="shared" si="40"/>
        <v>0</v>
      </c>
      <c r="AJ171" s="179">
        <f t="shared" si="40"/>
        <v>0</v>
      </c>
      <c r="AK171" s="179">
        <f t="shared" si="40"/>
        <v>0</v>
      </c>
      <c r="AL171" s="179">
        <f t="shared" si="40"/>
        <v>0</v>
      </c>
      <c r="AM171" s="179">
        <f t="shared" si="40"/>
        <v>0</v>
      </c>
      <c r="AN171" s="179"/>
      <c r="AO171" s="179"/>
      <c r="AP171" s="179"/>
      <c r="AQ171" s="179"/>
      <c r="AR171" s="179"/>
      <c r="AS171" s="179"/>
    </row>
    <row r="172" spans="2:45">
      <c r="B172" s="121"/>
      <c r="C172" s="660" t="s">
        <v>1466</v>
      </c>
      <c r="D172" s="257"/>
      <c r="E172" s="121" t="s">
        <v>740</v>
      </c>
      <c r="F172" s="95" t="s">
        <v>206</v>
      </c>
      <c r="G172">
        <f>IF(Sensitivity!$C$42="Departmental",0,1*3)</f>
        <v>0</v>
      </c>
      <c r="H172" s="366">
        <f>IFERROR(VLOOKUP(F172,Assumptions_Dashboard!$C$38:$D$72,4,FALSE),)</f>
        <v>0</v>
      </c>
      <c r="J172" s="179"/>
      <c r="K172" s="179"/>
      <c r="L172" s="179"/>
      <c r="M172" s="179"/>
      <c r="N172" s="179">
        <f t="shared" si="42"/>
        <v>0</v>
      </c>
      <c r="O172" s="179">
        <f t="shared" si="41"/>
        <v>0</v>
      </c>
      <c r="P172" s="179">
        <f t="shared" si="40"/>
        <v>0</v>
      </c>
      <c r="Q172" s="179">
        <f t="shared" si="40"/>
        <v>0</v>
      </c>
      <c r="R172" s="179">
        <f t="shared" si="40"/>
        <v>0</v>
      </c>
      <c r="S172" s="179">
        <f t="shared" si="40"/>
        <v>0</v>
      </c>
      <c r="T172" s="179">
        <f t="shared" si="40"/>
        <v>0</v>
      </c>
      <c r="U172" s="179">
        <f t="shared" si="40"/>
        <v>0</v>
      </c>
      <c r="V172" s="179">
        <f t="shared" si="40"/>
        <v>0</v>
      </c>
      <c r="W172" s="179">
        <f t="shared" si="40"/>
        <v>0</v>
      </c>
      <c r="X172" s="179">
        <f t="shared" si="40"/>
        <v>0</v>
      </c>
      <c r="Y172" s="179">
        <f t="shared" si="40"/>
        <v>0</v>
      </c>
      <c r="Z172" s="179">
        <f t="shared" si="40"/>
        <v>0</v>
      </c>
      <c r="AA172" s="179">
        <f t="shared" si="40"/>
        <v>0</v>
      </c>
      <c r="AB172" s="179">
        <f t="shared" si="40"/>
        <v>0</v>
      </c>
      <c r="AC172" s="179">
        <f t="shared" si="40"/>
        <v>0</v>
      </c>
      <c r="AD172" s="179">
        <f t="shared" si="40"/>
        <v>0</v>
      </c>
      <c r="AE172" s="179">
        <f t="shared" si="40"/>
        <v>0</v>
      </c>
      <c r="AF172" s="179">
        <f t="shared" si="40"/>
        <v>0</v>
      </c>
      <c r="AG172" s="179">
        <f t="shared" si="40"/>
        <v>0</v>
      </c>
      <c r="AH172" s="179">
        <f t="shared" si="40"/>
        <v>0</v>
      </c>
      <c r="AI172" s="179">
        <f t="shared" si="40"/>
        <v>0</v>
      </c>
      <c r="AJ172" s="179">
        <f t="shared" si="40"/>
        <v>0</v>
      </c>
      <c r="AK172" s="179">
        <f t="shared" si="40"/>
        <v>0</v>
      </c>
      <c r="AL172" s="179">
        <f t="shared" si="40"/>
        <v>0</v>
      </c>
      <c r="AM172" s="179">
        <f t="shared" si="40"/>
        <v>0</v>
      </c>
      <c r="AN172" s="179"/>
      <c r="AO172" s="179"/>
      <c r="AP172" s="179"/>
      <c r="AQ172" s="179"/>
      <c r="AR172" s="179"/>
      <c r="AS172" s="179"/>
    </row>
    <row r="173" spans="2:45">
      <c r="B173" s="117"/>
      <c r="C173" s="660" t="s">
        <v>1467</v>
      </c>
      <c r="D173" s="257"/>
      <c r="E173" s="121" t="s">
        <v>740</v>
      </c>
      <c r="F173" s="95" t="s">
        <v>207</v>
      </c>
      <c r="G173">
        <f>IF(Sensitivity!$C$42="Departmental",0,1*3)</f>
        <v>0</v>
      </c>
      <c r="H173" s="366">
        <f>IFERROR(VLOOKUP(F173,Assumptions_Dashboard!$C$38:$D$72,4,FALSE),)</f>
        <v>0</v>
      </c>
      <c r="J173" s="179"/>
      <c r="K173" s="179"/>
      <c r="L173" s="179"/>
      <c r="M173" s="179"/>
      <c r="N173" s="179">
        <f t="shared" si="42"/>
        <v>0</v>
      </c>
      <c r="O173" s="179">
        <f t="shared" si="41"/>
        <v>0</v>
      </c>
      <c r="P173" s="179">
        <f t="shared" si="40"/>
        <v>0</v>
      </c>
      <c r="Q173" s="179">
        <f t="shared" si="40"/>
        <v>0</v>
      </c>
      <c r="R173" s="179">
        <f t="shared" si="40"/>
        <v>0</v>
      </c>
      <c r="S173" s="179">
        <f t="shared" si="40"/>
        <v>0</v>
      </c>
      <c r="T173" s="179">
        <f t="shared" si="40"/>
        <v>0</v>
      </c>
      <c r="U173" s="179">
        <f t="shared" si="40"/>
        <v>0</v>
      </c>
      <c r="V173" s="179">
        <f t="shared" si="40"/>
        <v>0</v>
      </c>
      <c r="W173" s="179">
        <f t="shared" si="40"/>
        <v>0</v>
      </c>
      <c r="X173" s="179">
        <f t="shared" si="40"/>
        <v>0</v>
      </c>
      <c r="Y173" s="179">
        <f t="shared" ref="P173:AM182" si="43">X173</f>
        <v>0</v>
      </c>
      <c r="Z173" s="179">
        <f t="shared" si="43"/>
        <v>0</v>
      </c>
      <c r="AA173" s="179">
        <f t="shared" si="43"/>
        <v>0</v>
      </c>
      <c r="AB173" s="179">
        <f t="shared" si="43"/>
        <v>0</v>
      </c>
      <c r="AC173" s="179">
        <f t="shared" si="43"/>
        <v>0</v>
      </c>
      <c r="AD173" s="179">
        <f t="shared" si="43"/>
        <v>0</v>
      </c>
      <c r="AE173" s="179">
        <f t="shared" si="43"/>
        <v>0</v>
      </c>
      <c r="AF173" s="179">
        <f t="shared" si="43"/>
        <v>0</v>
      </c>
      <c r="AG173" s="179">
        <f t="shared" si="43"/>
        <v>0</v>
      </c>
      <c r="AH173" s="179">
        <f t="shared" si="43"/>
        <v>0</v>
      </c>
      <c r="AI173" s="179">
        <f t="shared" si="43"/>
        <v>0</v>
      </c>
      <c r="AJ173" s="179">
        <f t="shared" si="43"/>
        <v>0</v>
      </c>
      <c r="AK173" s="179">
        <f t="shared" si="43"/>
        <v>0</v>
      </c>
      <c r="AL173" s="179">
        <f t="shared" si="43"/>
        <v>0</v>
      </c>
      <c r="AM173" s="179">
        <f t="shared" si="43"/>
        <v>0</v>
      </c>
      <c r="AN173" s="179"/>
      <c r="AO173" s="179"/>
      <c r="AP173" s="179"/>
      <c r="AQ173" s="179"/>
      <c r="AR173" s="179"/>
      <c r="AS173" s="179"/>
    </row>
    <row r="174" spans="2:45">
      <c r="B174" s="121"/>
      <c r="C174" s="647" t="s">
        <v>1468</v>
      </c>
      <c r="D174" s="257"/>
      <c r="E174" s="121" t="s">
        <v>740</v>
      </c>
      <c r="F174" s="205" t="s">
        <v>218</v>
      </c>
      <c r="G174">
        <f>IF(Sensitivity!$C$42="Departmental",0,2)</f>
        <v>0</v>
      </c>
      <c r="H174" s="366">
        <f>IFERROR(VLOOKUP(F174,Assumptions_Dashboard!$C$38:$D$72,4,FALSE),)</f>
        <v>0</v>
      </c>
      <c r="J174" s="179"/>
      <c r="K174" s="179"/>
      <c r="L174" s="179"/>
      <c r="M174" s="179"/>
      <c r="N174" s="179">
        <f t="shared" si="42"/>
        <v>0</v>
      </c>
      <c r="O174" s="179">
        <f t="shared" si="41"/>
        <v>0</v>
      </c>
      <c r="P174" s="179">
        <f t="shared" si="43"/>
        <v>0</v>
      </c>
      <c r="Q174" s="179">
        <f t="shared" si="43"/>
        <v>0</v>
      </c>
      <c r="R174" s="179">
        <f t="shared" si="43"/>
        <v>0</v>
      </c>
      <c r="S174" s="179">
        <f t="shared" si="43"/>
        <v>0</v>
      </c>
      <c r="T174" s="179">
        <f t="shared" si="43"/>
        <v>0</v>
      </c>
      <c r="U174" s="179">
        <f t="shared" si="43"/>
        <v>0</v>
      </c>
      <c r="V174" s="179">
        <f t="shared" si="43"/>
        <v>0</v>
      </c>
      <c r="W174" s="179">
        <f t="shared" si="43"/>
        <v>0</v>
      </c>
      <c r="X174" s="179">
        <f t="shared" si="43"/>
        <v>0</v>
      </c>
      <c r="Y174" s="179">
        <f t="shared" si="43"/>
        <v>0</v>
      </c>
      <c r="Z174" s="179">
        <f t="shared" si="43"/>
        <v>0</v>
      </c>
      <c r="AA174" s="179">
        <f t="shared" si="43"/>
        <v>0</v>
      </c>
      <c r="AB174" s="179">
        <f t="shared" si="43"/>
        <v>0</v>
      </c>
      <c r="AC174" s="179">
        <f t="shared" si="43"/>
        <v>0</v>
      </c>
      <c r="AD174" s="179">
        <f t="shared" si="43"/>
        <v>0</v>
      </c>
      <c r="AE174" s="179">
        <f t="shared" si="43"/>
        <v>0</v>
      </c>
      <c r="AF174" s="179">
        <f t="shared" si="43"/>
        <v>0</v>
      </c>
      <c r="AG174" s="179">
        <f t="shared" si="43"/>
        <v>0</v>
      </c>
      <c r="AH174" s="179">
        <f t="shared" si="43"/>
        <v>0</v>
      </c>
      <c r="AI174" s="179">
        <f t="shared" si="43"/>
        <v>0</v>
      </c>
      <c r="AJ174" s="179">
        <f t="shared" si="43"/>
        <v>0</v>
      </c>
      <c r="AK174" s="179">
        <f t="shared" si="43"/>
        <v>0</v>
      </c>
      <c r="AL174" s="179">
        <f t="shared" si="43"/>
        <v>0</v>
      </c>
      <c r="AM174" s="179">
        <f t="shared" si="43"/>
        <v>0</v>
      </c>
      <c r="AN174" s="179"/>
      <c r="AO174" s="179"/>
      <c r="AP174" s="179"/>
      <c r="AQ174" s="179"/>
      <c r="AR174" s="179"/>
      <c r="AS174" s="179"/>
    </row>
    <row r="175" spans="2:45">
      <c r="B175" s="121"/>
      <c r="C175" s="647" t="s">
        <v>1469</v>
      </c>
      <c r="D175" s="257"/>
      <c r="E175" s="121" t="s">
        <v>740</v>
      </c>
      <c r="F175" s="205" t="s">
        <v>220</v>
      </c>
      <c r="G175">
        <f>IF(Sensitivity!$C$42="Departmental",0,3)</f>
        <v>0</v>
      </c>
      <c r="H175" s="366">
        <f>IFERROR(VLOOKUP(F175,Assumptions_Dashboard!$C$38:$D$72,4,FALSE),)</f>
        <v>0</v>
      </c>
      <c r="J175" s="179"/>
      <c r="K175" s="179"/>
      <c r="L175" s="179"/>
      <c r="M175" s="179"/>
      <c r="N175" s="179">
        <f t="shared" si="42"/>
        <v>0</v>
      </c>
      <c r="O175" s="179">
        <f t="shared" si="41"/>
        <v>0</v>
      </c>
      <c r="P175" s="179">
        <f t="shared" si="43"/>
        <v>0</v>
      </c>
      <c r="Q175" s="179">
        <f t="shared" si="43"/>
        <v>0</v>
      </c>
      <c r="R175" s="179">
        <f t="shared" si="43"/>
        <v>0</v>
      </c>
      <c r="S175" s="179">
        <f t="shared" si="43"/>
        <v>0</v>
      </c>
      <c r="T175" s="179">
        <f t="shared" si="43"/>
        <v>0</v>
      </c>
      <c r="U175" s="179">
        <f t="shared" si="43"/>
        <v>0</v>
      </c>
      <c r="V175" s="179">
        <f t="shared" si="43"/>
        <v>0</v>
      </c>
      <c r="W175" s="179">
        <f t="shared" si="43"/>
        <v>0</v>
      </c>
      <c r="X175" s="179">
        <f t="shared" si="43"/>
        <v>0</v>
      </c>
      <c r="Y175" s="179">
        <f t="shared" si="43"/>
        <v>0</v>
      </c>
      <c r="Z175" s="179">
        <f t="shared" si="43"/>
        <v>0</v>
      </c>
      <c r="AA175" s="179">
        <f t="shared" si="43"/>
        <v>0</v>
      </c>
      <c r="AB175" s="179">
        <f t="shared" si="43"/>
        <v>0</v>
      </c>
      <c r="AC175" s="179">
        <f t="shared" si="43"/>
        <v>0</v>
      </c>
      <c r="AD175" s="179">
        <f t="shared" si="43"/>
        <v>0</v>
      </c>
      <c r="AE175" s="179">
        <f t="shared" si="43"/>
        <v>0</v>
      </c>
      <c r="AF175" s="179">
        <f t="shared" si="43"/>
        <v>0</v>
      </c>
      <c r="AG175" s="179">
        <f t="shared" si="43"/>
        <v>0</v>
      </c>
      <c r="AH175" s="179">
        <f t="shared" si="43"/>
        <v>0</v>
      </c>
      <c r="AI175" s="179">
        <f t="shared" si="43"/>
        <v>0</v>
      </c>
      <c r="AJ175" s="179">
        <f t="shared" si="43"/>
        <v>0</v>
      </c>
      <c r="AK175" s="179">
        <f t="shared" si="43"/>
        <v>0</v>
      </c>
      <c r="AL175" s="179">
        <f t="shared" si="43"/>
        <v>0</v>
      </c>
      <c r="AM175" s="179">
        <f t="shared" si="43"/>
        <v>0</v>
      </c>
      <c r="AN175" s="179"/>
      <c r="AO175" s="179"/>
      <c r="AP175" s="179"/>
      <c r="AQ175" s="179"/>
      <c r="AR175" s="179"/>
      <c r="AS175" s="179"/>
    </row>
    <row r="176" spans="2:45">
      <c r="B176" s="121"/>
      <c r="C176" s="647" t="s">
        <v>1470</v>
      </c>
      <c r="D176" s="257"/>
      <c r="E176" s="121" t="s">
        <v>740</v>
      </c>
      <c r="F176" s="205" t="s">
        <v>220</v>
      </c>
      <c r="G176">
        <f>IF(Sensitivity!$C$42="Departmental",0,1)</f>
        <v>0</v>
      </c>
      <c r="H176" s="366">
        <f>IFERROR(VLOOKUP(F176,Assumptions_Dashboard!$C$38:$D$72,4,FALSE),)</f>
        <v>0</v>
      </c>
      <c r="J176" s="179"/>
      <c r="K176" s="179"/>
      <c r="L176" s="179"/>
      <c r="M176" s="179"/>
      <c r="N176" s="179">
        <f t="shared" si="42"/>
        <v>0</v>
      </c>
      <c r="O176" s="179">
        <f t="shared" si="41"/>
        <v>0</v>
      </c>
      <c r="P176" s="179">
        <f t="shared" si="43"/>
        <v>0</v>
      </c>
      <c r="Q176" s="179">
        <f t="shared" si="43"/>
        <v>0</v>
      </c>
      <c r="R176" s="179">
        <f t="shared" si="43"/>
        <v>0</v>
      </c>
      <c r="S176" s="179">
        <f t="shared" si="43"/>
        <v>0</v>
      </c>
      <c r="T176" s="179">
        <f t="shared" si="43"/>
        <v>0</v>
      </c>
      <c r="U176" s="179">
        <f t="shared" si="43"/>
        <v>0</v>
      </c>
      <c r="V176" s="179">
        <f t="shared" si="43"/>
        <v>0</v>
      </c>
      <c r="W176" s="179">
        <f t="shared" si="43"/>
        <v>0</v>
      </c>
      <c r="X176" s="179">
        <f t="shared" si="43"/>
        <v>0</v>
      </c>
      <c r="Y176" s="179">
        <f t="shared" si="43"/>
        <v>0</v>
      </c>
      <c r="Z176" s="179">
        <f t="shared" si="43"/>
        <v>0</v>
      </c>
      <c r="AA176" s="179">
        <f t="shared" si="43"/>
        <v>0</v>
      </c>
      <c r="AB176" s="179">
        <f t="shared" si="43"/>
        <v>0</v>
      </c>
      <c r="AC176" s="179">
        <f t="shared" si="43"/>
        <v>0</v>
      </c>
      <c r="AD176" s="179">
        <f t="shared" si="43"/>
        <v>0</v>
      </c>
      <c r="AE176" s="179">
        <f t="shared" si="43"/>
        <v>0</v>
      </c>
      <c r="AF176" s="179">
        <f t="shared" si="43"/>
        <v>0</v>
      </c>
      <c r="AG176" s="179">
        <f t="shared" si="43"/>
        <v>0</v>
      </c>
      <c r="AH176" s="179">
        <f t="shared" si="43"/>
        <v>0</v>
      </c>
      <c r="AI176" s="179">
        <f t="shared" si="43"/>
        <v>0</v>
      </c>
      <c r="AJ176" s="179">
        <f t="shared" si="43"/>
        <v>0</v>
      </c>
      <c r="AK176" s="179">
        <f t="shared" si="43"/>
        <v>0</v>
      </c>
      <c r="AL176" s="179">
        <f t="shared" si="43"/>
        <v>0</v>
      </c>
      <c r="AM176" s="179">
        <f t="shared" si="43"/>
        <v>0</v>
      </c>
      <c r="AN176" s="179"/>
      <c r="AO176" s="179"/>
      <c r="AP176" s="179"/>
      <c r="AQ176" s="179"/>
      <c r="AR176" s="179"/>
      <c r="AS176" s="179"/>
    </row>
    <row r="177" spans="2:45">
      <c r="B177" s="121"/>
      <c r="C177" s="647" t="s">
        <v>1471</v>
      </c>
      <c r="D177" s="257"/>
      <c r="E177" s="121" t="s">
        <v>740</v>
      </c>
      <c r="F177" s="205" t="s">
        <v>220</v>
      </c>
      <c r="G177">
        <f>IF(Sensitivity!$C$42="Departmental",0,1)</f>
        <v>0</v>
      </c>
      <c r="H177" s="366">
        <f>IFERROR(VLOOKUP(F177,Assumptions_Dashboard!$C$38:$D$72,4,FALSE),)</f>
        <v>0</v>
      </c>
      <c r="J177" s="179"/>
      <c r="K177" s="179"/>
      <c r="L177" s="179"/>
      <c r="M177" s="179"/>
      <c r="N177" s="179">
        <f t="shared" si="42"/>
        <v>0</v>
      </c>
      <c r="O177" s="179">
        <f t="shared" si="41"/>
        <v>0</v>
      </c>
      <c r="P177" s="179">
        <f t="shared" si="43"/>
        <v>0</v>
      </c>
      <c r="Q177" s="179">
        <f t="shared" si="43"/>
        <v>0</v>
      </c>
      <c r="R177" s="179">
        <f t="shared" si="43"/>
        <v>0</v>
      </c>
      <c r="S177" s="179">
        <f t="shared" si="43"/>
        <v>0</v>
      </c>
      <c r="T177" s="179">
        <f t="shared" si="43"/>
        <v>0</v>
      </c>
      <c r="U177" s="179">
        <f t="shared" si="43"/>
        <v>0</v>
      </c>
      <c r="V177" s="179">
        <f t="shared" si="43"/>
        <v>0</v>
      </c>
      <c r="W177" s="179">
        <f t="shared" si="43"/>
        <v>0</v>
      </c>
      <c r="X177" s="179">
        <f t="shared" si="43"/>
        <v>0</v>
      </c>
      <c r="Y177" s="179">
        <f t="shared" si="43"/>
        <v>0</v>
      </c>
      <c r="Z177" s="179">
        <f t="shared" si="43"/>
        <v>0</v>
      </c>
      <c r="AA177" s="179">
        <f t="shared" si="43"/>
        <v>0</v>
      </c>
      <c r="AB177" s="179">
        <f t="shared" si="43"/>
        <v>0</v>
      </c>
      <c r="AC177" s="179">
        <f t="shared" si="43"/>
        <v>0</v>
      </c>
      <c r="AD177" s="179">
        <f t="shared" si="43"/>
        <v>0</v>
      </c>
      <c r="AE177" s="179">
        <f t="shared" si="43"/>
        <v>0</v>
      </c>
      <c r="AF177" s="179">
        <f t="shared" si="43"/>
        <v>0</v>
      </c>
      <c r="AG177" s="179">
        <f t="shared" si="43"/>
        <v>0</v>
      </c>
      <c r="AH177" s="179">
        <f t="shared" si="43"/>
        <v>0</v>
      </c>
      <c r="AI177" s="179">
        <f t="shared" si="43"/>
        <v>0</v>
      </c>
      <c r="AJ177" s="179">
        <f t="shared" si="43"/>
        <v>0</v>
      </c>
      <c r="AK177" s="179">
        <f t="shared" si="43"/>
        <v>0</v>
      </c>
      <c r="AL177" s="179">
        <f t="shared" si="43"/>
        <v>0</v>
      </c>
      <c r="AM177" s="179">
        <f t="shared" si="43"/>
        <v>0</v>
      </c>
      <c r="AN177" s="179"/>
      <c r="AO177" s="179"/>
      <c r="AP177" s="179"/>
      <c r="AQ177" s="179"/>
      <c r="AR177" s="179"/>
      <c r="AS177" s="179"/>
    </row>
    <row r="178" spans="2:45">
      <c r="B178" s="121"/>
      <c r="C178" s="653" t="s">
        <v>1472</v>
      </c>
      <c r="D178" s="257"/>
      <c r="E178" s="121" t="s">
        <v>740</v>
      </c>
      <c r="F178" s="205" t="s">
        <v>220</v>
      </c>
      <c r="G178" s="121">
        <f>IF(Sensitivity!$C$42="Departmental",0,2)</f>
        <v>0</v>
      </c>
      <c r="H178" s="366">
        <f>IFERROR(VLOOKUP(F178,Assumptions_Dashboard!$C$38:$D$72,4,FALSE),)</f>
        <v>0</v>
      </c>
      <c r="J178" s="179"/>
      <c r="K178" s="179"/>
      <c r="L178" s="179"/>
      <c r="M178" s="179"/>
      <c r="N178" s="179">
        <f t="shared" si="42"/>
        <v>0</v>
      </c>
      <c r="O178" s="179">
        <f t="shared" si="41"/>
        <v>0</v>
      </c>
      <c r="P178" s="179">
        <f t="shared" si="43"/>
        <v>0</v>
      </c>
      <c r="Q178" s="179">
        <f t="shared" si="43"/>
        <v>0</v>
      </c>
      <c r="R178" s="179">
        <f t="shared" si="43"/>
        <v>0</v>
      </c>
      <c r="S178" s="179">
        <f t="shared" si="43"/>
        <v>0</v>
      </c>
      <c r="T178" s="179">
        <f t="shared" si="43"/>
        <v>0</v>
      </c>
      <c r="U178" s="179">
        <f t="shared" si="43"/>
        <v>0</v>
      </c>
      <c r="V178" s="179">
        <f t="shared" si="43"/>
        <v>0</v>
      </c>
      <c r="W178" s="179">
        <f t="shared" si="43"/>
        <v>0</v>
      </c>
      <c r="X178" s="179">
        <f t="shared" si="43"/>
        <v>0</v>
      </c>
      <c r="Y178" s="179">
        <f t="shared" si="43"/>
        <v>0</v>
      </c>
      <c r="Z178" s="179">
        <f t="shared" si="43"/>
        <v>0</v>
      </c>
      <c r="AA178" s="179">
        <f t="shared" si="43"/>
        <v>0</v>
      </c>
      <c r="AB178" s="179">
        <f t="shared" si="43"/>
        <v>0</v>
      </c>
      <c r="AC178" s="179">
        <f t="shared" si="43"/>
        <v>0</v>
      </c>
      <c r="AD178" s="179">
        <f t="shared" si="43"/>
        <v>0</v>
      </c>
      <c r="AE178" s="179">
        <f t="shared" si="43"/>
        <v>0</v>
      </c>
      <c r="AF178" s="179">
        <f t="shared" si="43"/>
        <v>0</v>
      </c>
      <c r="AG178" s="179">
        <f t="shared" si="43"/>
        <v>0</v>
      </c>
      <c r="AH178" s="179">
        <f t="shared" si="43"/>
        <v>0</v>
      </c>
      <c r="AI178" s="179">
        <f t="shared" si="43"/>
        <v>0</v>
      </c>
      <c r="AJ178" s="179">
        <f t="shared" si="43"/>
        <v>0</v>
      </c>
      <c r="AK178" s="179">
        <f t="shared" si="43"/>
        <v>0</v>
      </c>
      <c r="AL178" s="179">
        <f t="shared" si="43"/>
        <v>0</v>
      </c>
      <c r="AM178" s="179">
        <f t="shared" si="43"/>
        <v>0</v>
      </c>
      <c r="AN178" s="179"/>
      <c r="AO178" s="179"/>
      <c r="AP178" s="179"/>
      <c r="AQ178" s="179"/>
      <c r="AR178" s="179"/>
      <c r="AS178" s="179"/>
    </row>
    <row r="179" spans="2:45">
      <c r="B179" s="121"/>
      <c r="C179" s="653" t="s">
        <v>1473</v>
      </c>
      <c r="D179" s="257"/>
      <c r="E179" s="121" t="s">
        <v>740</v>
      </c>
      <c r="F179" s="205" t="s">
        <v>223</v>
      </c>
      <c r="G179" s="121">
        <f>IF(Sensitivity!$C$42="Departmental",0,8*3)</f>
        <v>0</v>
      </c>
      <c r="H179" s="366">
        <f>IFERROR(VLOOKUP(F179,Assumptions_Dashboard!$C$38:$D$72,4,FALSE),)</f>
        <v>0</v>
      </c>
      <c r="J179" s="179"/>
      <c r="K179" s="179"/>
      <c r="L179" s="179"/>
      <c r="M179" s="179"/>
      <c r="N179" s="179">
        <f t="shared" si="42"/>
        <v>0</v>
      </c>
      <c r="O179" s="179">
        <f t="shared" si="41"/>
        <v>0</v>
      </c>
      <c r="P179" s="179">
        <f t="shared" si="43"/>
        <v>0</v>
      </c>
      <c r="Q179" s="179">
        <f t="shared" si="43"/>
        <v>0</v>
      </c>
      <c r="R179" s="179">
        <f t="shared" si="43"/>
        <v>0</v>
      </c>
      <c r="S179" s="179">
        <f t="shared" si="43"/>
        <v>0</v>
      </c>
      <c r="T179" s="179">
        <f t="shared" si="43"/>
        <v>0</v>
      </c>
      <c r="U179" s="179">
        <f t="shared" si="43"/>
        <v>0</v>
      </c>
      <c r="V179" s="179">
        <f t="shared" si="43"/>
        <v>0</v>
      </c>
      <c r="W179" s="179">
        <f t="shared" si="43"/>
        <v>0</v>
      </c>
      <c r="X179" s="179">
        <f t="shared" si="43"/>
        <v>0</v>
      </c>
      <c r="Y179" s="179">
        <f t="shared" si="43"/>
        <v>0</v>
      </c>
      <c r="Z179" s="179">
        <f t="shared" si="43"/>
        <v>0</v>
      </c>
      <c r="AA179" s="179">
        <f t="shared" si="43"/>
        <v>0</v>
      </c>
      <c r="AB179" s="179">
        <f t="shared" si="43"/>
        <v>0</v>
      </c>
      <c r="AC179" s="179">
        <f t="shared" si="43"/>
        <v>0</v>
      </c>
      <c r="AD179" s="179">
        <f t="shared" si="43"/>
        <v>0</v>
      </c>
      <c r="AE179" s="179">
        <f t="shared" si="43"/>
        <v>0</v>
      </c>
      <c r="AF179" s="179">
        <f t="shared" si="43"/>
        <v>0</v>
      </c>
      <c r="AG179" s="179">
        <f t="shared" si="43"/>
        <v>0</v>
      </c>
      <c r="AH179" s="179">
        <f t="shared" si="43"/>
        <v>0</v>
      </c>
      <c r="AI179" s="179">
        <f t="shared" si="43"/>
        <v>0</v>
      </c>
      <c r="AJ179" s="179">
        <f t="shared" si="43"/>
        <v>0</v>
      </c>
      <c r="AK179" s="179">
        <f t="shared" si="43"/>
        <v>0</v>
      </c>
      <c r="AL179" s="179">
        <f t="shared" si="43"/>
        <v>0</v>
      </c>
      <c r="AM179" s="179">
        <f t="shared" si="43"/>
        <v>0</v>
      </c>
      <c r="AN179" s="179"/>
      <c r="AO179" s="179"/>
      <c r="AP179" s="179"/>
      <c r="AQ179" s="179"/>
      <c r="AR179" s="179"/>
      <c r="AS179" s="179"/>
    </row>
    <row r="180" spans="2:45">
      <c r="B180" s="121"/>
      <c r="C180" s="653" t="s">
        <v>1474</v>
      </c>
      <c r="D180" s="257"/>
      <c r="E180" s="121" t="s">
        <v>740</v>
      </c>
      <c r="F180" s="205" t="s">
        <v>223</v>
      </c>
      <c r="G180" s="121">
        <f>IF(Sensitivity!$C$42="Departmental",0,1*3)</f>
        <v>0</v>
      </c>
      <c r="H180" s="366">
        <f>IFERROR(VLOOKUP(F180,Assumptions_Dashboard!$C$38:$D$72,4,FALSE),)</f>
        <v>0</v>
      </c>
      <c r="J180" s="179"/>
      <c r="K180" s="179"/>
      <c r="L180" s="179"/>
      <c r="M180" s="179"/>
      <c r="N180" s="179">
        <f t="shared" si="42"/>
        <v>0</v>
      </c>
      <c r="O180" s="179">
        <f t="shared" si="41"/>
        <v>0</v>
      </c>
      <c r="P180" s="179">
        <f t="shared" si="43"/>
        <v>0</v>
      </c>
      <c r="Q180" s="179">
        <f t="shared" si="43"/>
        <v>0</v>
      </c>
      <c r="R180" s="179">
        <f t="shared" si="43"/>
        <v>0</v>
      </c>
      <c r="S180" s="179">
        <f t="shared" si="43"/>
        <v>0</v>
      </c>
      <c r="T180" s="179">
        <f t="shared" si="43"/>
        <v>0</v>
      </c>
      <c r="U180" s="179">
        <f t="shared" si="43"/>
        <v>0</v>
      </c>
      <c r="V180" s="179">
        <f t="shared" si="43"/>
        <v>0</v>
      </c>
      <c r="W180" s="179">
        <f t="shared" si="43"/>
        <v>0</v>
      </c>
      <c r="X180" s="179">
        <f t="shared" si="43"/>
        <v>0</v>
      </c>
      <c r="Y180" s="179">
        <f t="shared" si="43"/>
        <v>0</v>
      </c>
      <c r="Z180" s="179">
        <f t="shared" si="43"/>
        <v>0</v>
      </c>
      <c r="AA180" s="179">
        <f t="shared" si="43"/>
        <v>0</v>
      </c>
      <c r="AB180" s="179">
        <f t="shared" si="43"/>
        <v>0</v>
      </c>
      <c r="AC180" s="179">
        <f t="shared" si="43"/>
        <v>0</v>
      </c>
      <c r="AD180" s="179">
        <f t="shared" si="43"/>
        <v>0</v>
      </c>
      <c r="AE180" s="179">
        <f t="shared" si="43"/>
        <v>0</v>
      </c>
      <c r="AF180" s="179">
        <f t="shared" si="43"/>
        <v>0</v>
      </c>
      <c r="AG180" s="179">
        <f t="shared" si="43"/>
        <v>0</v>
      </c>
      <c r="AH180" s="179">
        <f t="shared" si="43"/>
        <v>0</v>
      </c>
      <c r="AI180" s="179">
        <f t="shared" si="43"/>
        <v>0</v>
      </c>
      <c r="AJ180" s="179">
        <f t="shared" si="43"/>
        <v>0</v>
      </c>
      <c r="AK180" s="179">
        <f t="shared" si="43"/>
        <v>0</v>
      </c>
      <c r="AL180" s="179">
        <f t="shared" si="43"/>
        <v>0</v>
      </c>
      <c r="AM180" s="179">
        <f t="shared" si="43"/>
        <v>0</v>
      </c>
      <c r="AN180" s="179"/>
      <c r="AO180" s="179"/>
      <c r="AP180" s="179"/>
      <c r="AQ180" s="179"/>
      <c r="AR180" s="179"/>
      <c r="AS180" s="179"/>
    </row>
    <row r="181" spans="2:45">
      <c r="B181" s="121"/>
      <c r="C181" s="653" t="s">
        <v>1348</v>
      </c>
      <c r="D181" s="257"/>
      <c r="E181" s="121" t="s">
        <v>740</v>
      </c>
      <c r="F181" s="205" t="s">
        <v>226</v>
      </c>
      <c r="G181" s="121"/>
      <c r="H181" s="366">
        <f>IFERROR(VLOOKUP(F181,Assumptions_Dashboard!$C$38:$D$72,4,FALSE),)</f>
        <v>0</v>
      </c>
      <c r="J181" s="179"/>
      <c r="K181" s="179"/>
      <c r="L181" s="179"/>
      <c r="M181" s="179"/>
      <c r="N181" s="179">
        <f t="shared" si="42"/>
        <v>0</v>
      </c>
      <c r="O181" s="179">
        <f t="shared" si="41"/>
        <v>0</v>
      </c>
      <c r="P181" s="179">
        <f t="shared" si="43"/>
        <v>0</v>
      </c>
      <c r="Q181" s="179">
        <f t="shared" si="43"/>
        <v>0</v>
      </c>
      <c r="R181" s="179">
        <f t="shared" si="43"/>
        <v>0</v>
      </c>
      <c r="S181" s="179">
        <f t="shared" si="43"/>
        <v>0</v>
      </c>
      <c r="T181" s="179">
        <f t="shared" si="43"/>
        <v>0</v>
      </c>
      <c r="U181" s="179">
        <f t="shared" si="43"/>
        <v>0</v>
      </c>
      <c r="V181" s="179">
        <f t="shared" si="43"/>
        <v>0</v>
      </c>
      <c r="W181" s="179">
        <f t="shared" si="43"/>
        <v>0</v>
      </c>
      <c r="X181" s="179">
        <f t="shared" si="43"/>
        <v>0</v>
      </c>
      <c r="Y181" s="179">
        <f t="shared" si="43"/>
        <v>0</v>
      </c>
      <c r="Z181" s="179">
        <f t="shared" si="43"/>
        <v>0</v>
      </c>
      <c r="AA181" s="179">
        <f t="shared" si="43"/>
        <v>0</v>
      </c>
      <c r="AB181" s="179">
        <f t="shared" si="43"/>
        <v>0</v>
      </c>
      <c r="AC181" s="179">
        <f t="shared" si="43"/>
        <v>0</v>
      </c>
      <c r="AD181" s="179">
        <f t="shared" si="43"/>
        <v>0</v>
      </c>
      <c r="AE181" s="179">
        <f t="shared" si="43"/>
        <v>0</v>
      </c>
      <c r="AF181" s="179">
        <f t="shared" si="43"/>
        <v>0</v>
      </c>
      <c r="AG181" s="179">
        <f t="shared" si="43"/>
        <v>0</v>
      </c>
      <c r="AH181" s="179">
        <f t="shared" si="43"/>
        <v>0</v>
      </c>
      <c r="AI181" s="179">
        <f t="shared" si="43"/>
        <v>0</v>
      </c>
      <c r="AJ181" s="179">
        <f t="shared" si="43"/>
        <v>0</v>
      </c>
      <c r="AK181" s="179">
        <f t="shared" si="43"/>
        <v>0</v>
      </c>
      <c r="AL181" s="179">
        <f t="shared" si="43"/>
        <v>0</v>
      </c>
      <c r="AM181" s="179">
        <f t="shared" si="43"/>
        <v>0</v>
      </c>
      <c r="AN181" s="179"/>
      <c r="AO181" s="179"/>
      <c r="AP181" s="179"/>
      <c r="AQ181" s="179"/>
      <c r="AR181" s="179"/>
      <c r="AS181" s="179"/>
    </row>
    <row r="182" spans="2:45">
      <c r="B182" s="121"/>
      <c r="C182" s="653" t="s">
        <v>1475</v>
      </c>
      <c r="D182" s="257"/>
      <c r="E182" s="211" t="s">
        <v>740</v>
      </c>
      <c r="F182" s="205" t="s">
        <v>226</v>
      </c>
      <c r="G182" s="121"/>
      <c r="H182" s="366">
        <f>IFERROR(VLOOKUP(F182,Assumptions_Dashboard!$C$38:$D$72,4,FALSE),)</f>
        <v>0</v>
      </c>
      <c r="J182" s="179"/>
      <c r="K182" s="179"/>
      <c r="L182" s="179"/>
      <c r="M182" s="179"/>
      <c r="N182" s="179">
        <f t="shared" si="42"/>
        <v>0</v>
      </c>
      <c r="O182" s="179">
        <f t="shared" ref="O182" si="44">N182</f>
        <v>0</v>
      </c>
      <c r="P182" s="179">
        <f t="shared" si="43"/>
        <v>0</v>
      </c>
      <c r="Q182" s="179">
        <f t="shared" si="43"/>
        <v>0</v>
      </c>
      <c r="R182" s="179">
        <f t="shared" si="43"/>
        <v>0</v>
      </c>
      <c r="S182" s="179">
        <f t="shared" ref="S182:AM182" si="45">R182</f>
        <v>0</v>
      </c>
      <c r="T182" s="179">
        <f t="shared" si="45"/>
        <v>0</v>
      </c>
      <c r="U182" s="179">
        <f t="shared" si="45"/>
        <v>0</v>
      </c>
      <c r="V182" s="179">
        <f t="shared" si="45"/>
        <v>0</v>
      </c>
      <c r="W182" s="179">
        <f t="shared" si="45"/>
        <v>0</v>
      </c>
      <c r="X182" s="179">
        <f t="shared" si="45"/>
        <v>0</v>
      </c>
      <c r="Y182" s="179">
        <f t="shared" si="45"/>
        <v>0</v>
      </c>
      <c r="Z182" s="179">
        <f t="shared" si="45"/>
        <v>0</v>
      </c>
      <c r="AA182" s="179">
        <f t="shared" si="45"/>
        <v>0</v>
      </c>
      <c r="AB182" s="179">
        <f t="shared" si="45"/>
        <v>0</v>
      </c>
      <c r="AC182" s="179">
        <f t="shared" si="45"/>
        <v>0</v>
      </c>
      <c r="AD182" s="179">
        <f t="shared" si="45"/>
        <v>0</v>
      </c>
      <c r="AE182" s="179">
        <f t="shared" si="45"/>
        <v>0</v>
      </c>
      <c r="AF182" s="179">
        <f t="shared" si="45"/>
        <v>0</v>
      </c>
      <c r="AG182" s="179">
        <f t="shared" si="45"/>
        <v>0</v>
      </c>
      <c r="AH182" s="179">
        <f t="shared" si="45"/>
        <v>0</v>
      </c>
      <c r="AI182" s="179">
        <f t="shared" si="45"/>
        <v>0</v>
      </c>
      <c r="AJ182" s="179">
        <f t="shared" si="45"/>
        <v>0</v>
      </c>
      <c r="AK182" s="179">
        <f t="shared" si="45"/>
        <v>0</v>
      </c>
      <c r="AL182" s="179">
        <f t="shared" si="45"/>
        <v>0</v>
      </c>
      <c r="AM182" s="179">
        <f t="shared" si="45"/>
        <v>0</v>
      </c>
      <c r="AN182" s="179"/>
      <c r="AO182" s="179"/>
      <c r="AP182" s="179"/>
      <c r="AQ182" s="179"/>
      <c r="AR182" s="179"/>
      <c r="AS182" s="179"/>
    </row>
    <row r="183" spans="2:45">
      <c r="B183" s="121"/>
      <c r="C183" s="121"/>
      <c r="D183" s="257"/>
      <c r="E183" s="211"/>
      <c r="F183" s="205"/>
      <c r="H183" s="366">
        <f>IFERROR(VLOOKUP(F183,Assumptions_Dashboard!$C$38:$D$72,4,FALSE),)</f>
        <v>0</v>
      </c>
      <c r="J183" s="179"/>
      <c r="K183" s="179"/>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c r="AG183" s="179"/>
      <c r="AH183" s="179"/>
      <c r="AI183" s="179"/>
      <c r="AJ183" s="179"/>
      <c r="AK183" s="179"/>
      <c r="AL183" s="179"/>
      <c r="AM183" s="179"/>
      <c r="AN183" s="179"/>
      <c r="AO183" s="179"/>
      <c r="AP183" s="179"/>
      <c r="AQ183" s="179"/>
      <c r="AR183" s="179"/>
      <c r="AS183" s="179"/>
    </row>
    <row r="184" spans="2:45">
      <c r="B184" s="121"/>
      <c r="C184" s="117" t="s">
        <v>1476</v>
      </c>
      <c r="D184" s="257"/>
      <c r="E184" s="211"/>
      <c r="F184" s="205"/>
      <c r="H184" s="366">
        <f>IFERROR(VLOOKUP(F184,Assumptions_Dashboard!$C$38:$D$72,4,FALSE),)</f>
        <v>0</v>
      </c>
      <c r="J184" s="179"/>
      <c r="K184" s="179"/>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c r="AG184" s="179"/>
      <c r="AH184" s="179"/>
      <c r="AI184" s="179"/>
      <c r="AJ184" s="179"/>
      <c r="AK184" s="179"/>
      <c r="AL184" s="179"/>
      <c r="AM184" s="179"/>
      <c r="AN184" s="179"/>
      <c r="AO184" s="179"/>
      <c r="AP184" s="179"/>
      <c r="AQ184" s="179"/>
      <c r="AR184" s="179"/>
      <c r="AS184" s="179"/>
    </row>
    <row r="185" spans="2:45">
      <c r="B185" s="117"/>
      <c r="C185" s="661" t="str">
        <f>Fleet!C136</f>
        <v>Drill Machine/ 115mm diameter</v>
      </c>
      <c r="D185" s="257"/>
      <c r="E185" s="121" t="s">
        <v>740</v>
      </c>
      <c r="F185" s="205" t="s">
        <v>218</v>
      </c>
      <c r="G185">
        <f>IF(Sensitivity!$C$42="Departmental",0,3)</f>
        <v>0</v>
      </c>
      <c r="H185" s="366">
        <f>IFERROR(VLOOKUP(F185,Assumptions_Dashboard!$C$38:$D$72,4,FALSE),)</f>
        <v>0</v>
      </c>
      <c r="J185" s="179"/>
      <c r="K185" s="179"/>
      <c r="L185" s="179"/>
      <c r="M185" s="179"/>
      <c r="N185" s="179">
        <f>IF($G185=0,0,ROUND(($G185*(1+Assumptions_Dashboard!$D$114)+(1+Assumptions_Dashboard!$D$115)*Fleet!K136),0))</f>
        <v>0</v>
      </c>
      <c r="O185" s="179">
        <f>IF($G185=0,0,ROUND(($G185*(1+Assumptions_Dashboard!$D$114)+(1+Assumptions_Dashboard!$D$115)*Fleet!L136),0))</f>
        <v>0</v>
      </c>
      <c r="P185" s="179">
        <f>IF($G185=0,0,ROUND(($G185*(1+Assumptions_Dashboard!$D$114)+(1+Assumptions_Dashboard!$D$115)*Fleet!M136),0))</f>
        <v>0</v>
      </c>
      <c r="Q185" s="179">
        <f>IF($G185=0,0,ROUND(($G185*(1+Assumptions_Dashboard!$D$114)+(1+Assumptions_Dashboard!$D$115)*Fleet!N136),0))</f>
        <v>0</v>
      </c>
      <c r="R185" s="179">
        <f>IF($G185=0,0,ROUND(($G185*(1+Assumptions_Dashboard!$D$114)+(1+Assumptions_Dashboard!$D$115)*Fleet!O136),0))</f>
        <v>0</v>
      </c>
      <c r="S185" s="179">
        <f>IF($G185=0,0,ROUND(($G185*(1+Assumptions_Dashboard!$D$114)+(1+Assumptions_Dashboard!$D$115)*Fleet!P136),0))</f>
        <v>0</v>
      </c>
      <c r="T185" s="179">
        <f>IF($G185=0,0,ROUND(($G185*(1+Assumptions_Dashboard!$D$114)+(1+Assumptions_Dashboard!$D$115)*Fleet!Q136),0))</f>
        <v>0</v>
      </c>
      <c r="U185" s="179">
        <f>IF($G185=0,0,ROUND(($G185*(1+Assumptions_Dashboard!$D$114)+(1+Assumptions_Dashboard!$D$115)*Fleet!R136),0))</f>
        <v>0</v>
      </c>
      <c r="V185" s="179">
        <f>IF($G185=0,0,ROUND(($G185*(1+Assumptions_Dashboard!$D$114)+(1+Assumptions_Dashboard!$D$115)*Fleet!S136),0))</f>
        <v>0</v>
      </c>
      <c r="W185" s="179">
        <f>IF($G185=0,0,ROUND(($G185*(1+Assumptions_Dashboard!$D$114)+(1+Assumptions_Dashboard!$D$115)*Fleet!T136),0))</f>
        <v>0</v>
      </c>
      <c r="X185" s="179">
        <f>IF($G185=0,0,ROUND(($G185*(1+Assumptions_Dashboard!$D$114)+(1+Assumptions_Dashboard!$D$115)*Fleet!U136),0))</f>
        <v>0</v>
      </c>
      <c r="Y185" s="179">
        <f>IF($G185=0,0,ROUND(($G185*(1+Assumptions_Dashboard!$D$114)+(1+Assumptions_Dashboard!$D$115)*Fleet!V136),0))</f>
        <v>0</v>
      </c>
      <c r="Z185" s="179">
        <f>IF($G185=0,0,ROUND(($G185*(1+Assumptions_Dashboard!$D$114)+(1+Assumptions_Dashboard!$D$115)*Fleet!W136),0))</f>
        <v>0</v>
      </c>
      <c r="AA185" s="179">
        <f>IF($G185=0,0,ROUND(($G185*(1+Assumptions_Dashboard!$D$114)+(1+Assumptions_Dashboard!$D$115)*Fleet!X136),0))</f>
        <v>0</v>
      </c>
      <c r="AB185" s="179">
        <f>IF($G185=0,0,ROUND(($G185*(1+Assumptions_Dashboard!$D$114)+(1+Assumptions_Dashboard!$D$115)*Fleet!Y136),0))</f>
        <v>0</v>
      </c>
      <c r="AC185" s="179">
        <f>IF($G185=0,0,ROUND(($G185*(1+Assumptions_Dashboard!$D$114)+(1+Assumptions_Dashboard!$D$115)*Fleet!Z136),0))</f>
        <v>0</v>
      </c>
      <c r="AD185" s="179">
        <f>IF($G185=0,0,ROUND(($G185*(1+Assumptions_Dashboard!$D$114)+(1+Assumptions_Dashboard!$D$115)*Fleet!AA136),0))</f>
        <v>0</v>
      </c>
      <c r="AE185" s="179">
        <f>IF($G185=0,0,ROUND(($G185*(1+Assumptions_Dashboard!$D$114)+(1+Assumptions_Dashboard!$D$115)*Fleet!AB136),0))</f>
        <v>0</v>
      </c>
      <c r="AF185" s="179">
        <f>IF($G185=0,0,ROUND(($G185*(1+Assumptions_Dashboard!$D$114)+(1+Assumptions_Dashboard!$D$115)*Fleet!AC136),0))</f>
        <v>0</v>
      </c>
      <c r="AG185" s="179">
        <f>IF($G185=0,0,ROUND(($G185*(1+Assumptions_Dashboard!$D$114)+(1+Assumptions_Dashboard!$D$115)*Fleet!AD136),0))</f>
        <v>0</v>
      </c>
      <c r="AH185" s="179">
        <f>IF($G185=0,0,ROUND(($G185*(1+Assumptions_Dashboard!$D$114)+(1+Assumptions_Dashboard!$D$115)*Fleet!AE136),0))</f>
        <v>0</v>
      </c>
      <c r="AI185" s="179">
        <f>IF($G185=0,0,ROUND(($G185*(1+Assumptions_Dashboard!$D$114)+(1+Assumptions_Dashboard!$D$115)*Fleet!AF136),0))</f>
        <v>0</v>
      </c>
      <c r="AJ185" s="179">
        <f>IF($G185=0,0,ROUND(($G185*(1+Assumptions_Dashboard!$D$114)+(1+Assumptions_Dashboard!$D$115)*Fleet!AG136),0))</f>
        <v>0</v>
      </c>
      <c r="AK185" s="179">
        <f>IF($G185=0,0,ROUND(($G185*(1+Assumptions_Dashboard!$D$114)+(1+Assumptions_Dashboard!$D$115)*Fleet!AH136),0))</f>
        <v>0</v>
      </c>
      <c r="AL185" s="179">
        <f>IF($G185=0,0,ROUND(($G185*(1+Assumptions_Dashboard!$D$114)+(1+Assumptions_Dashboard!$D$115)*Fleet!AI136),0))</f>
        <v>0</v>
      </c>
      <c r="AM185" s="179">
        <f>IF($G185=0,0,ROUND(($G185*(1+Assumptions_Dashboard!$D$114)+(1+Assumptions_Dashboard!$D$115)*Fleet!AJ136),0))</f>
        <v>0</v>
      </c>
      <c r="AN185" s="179"/>
      <c r="AO185" s="179"/>
      <c r="AP185" s="179"/>
      <c r="AQ185" s="179"/>
      <c r="AR185" s="179"/>
      <c r="AS185" s="179"/>
    </row>
    <row r="186" spans="2:45">
      <c r="B186" s="250"/>
      <c r="C186" s="661" t="str">
        <f>Fleet!C137</f>
        <v>Drill Machine/ 160mm diameter</v>
      </c>
      <c r="D186" s="257"/>
      <c r="E186" s="121" t="s">
        <v>740</v>
      </c>
      <c r="F186" s="205" t="s">
        <v>218</v>
      </c>
      <c r="G186">
        <f>IF(Sensitivity!$C$42="Departmental",0,3)</f>
        <v>0</v>
      </c>
      <c r="H186" s="366">
        <f>IFERROR(VLOOKUP(F186,Assumptions_Dashboard!$C$38:$D$72,4,FALSE),)</f>
        <v>0</v>
      </c>
      <c r="J186" s="179"/>
      <c r="K186" s="179"/>
      <c r="L186" s="179"/>
      <c r="M186" s="179"/>
      <c r="N186" s="179">
        <f>IF($G186=0,0,ROUND(($G186*(1+Assumptions_Dashboard!$D$114)+(1+Assumptions_Dashboard!$D$115)*Fleet!K137),0))</f>
        <v>0</v>
      </c>
      <c r="O186" s="179">
        <f>IF($G186=0,0,ROUND(($G186*(1+Assumptions_Dashboard!$D$114)+(1+Assumptions_Dashboard!$D$115)*Fleet!L137),0))</f>
        <v>0</v>
      </c>
      <c r="P186" s="179">
        <f>IF($G186=0,0,ROUND(($G186*(1+Assumptions_Dashboard!$D$114)+(1+Assumptions_Dashboard!$D$115)*Fleet!M137),0))</f>
        <v>0</v>
      </c>
      <c r="Q186" s="179">
        <f>IF($G186=0,0,ROUND(($G186*(1+Assumptions_Dashboard!$D$114)+(1+Assumptions_Dashboard!$D$115)*Fleet!N137),0))</f>
        <v>0</v>
      </c>
      <c r="R186" s="179">
        <f>IF($G186=0,0,ROUND(($G186*(1+Assumptions_Dashboard!$D$114)+(1+Assumptions_Dashboard!$D$115)*Fleet!O137),0))</f>
        <v>0</v>
      </c>
      <c r="S186" s="179">
        <f>IF($G186=0,0,ROUND(($G186*(1+Assumptions_Dashboard!$D$114)+(1+Assumptions_Dashboard!$D$115)*Fleet!P137),0))</f>
        <v>0</v>
      </c>
      <c r="T186" s="179">
        <f>IF($G186=0,0,ROUND(($G186*(1+Assumptions_Dashboard!$D$114)+(1+Assumptions_Dashboard!$D$115)*Fleet!Q137),0))</f>
        <v>0</v>
      </c>
      <c r="U186" s="179">
        <f>IF($G186=0,0,ROUND(($G186*(1+Assumptions_Dashboard!$D$114)+(1+Assumptions_Dashboard!$D$115)*Fleet!R137),0))</f>
        <v>0</v>
      </c>
      <c r="V186" s="179">
        <f>IF($G186=0,0,ROUND(($G186*(1+Assumptions_Dashboard!$D$114)+(1+Assumptions_Dashboard!$D$115)*Fleet!S137),0))</f>
        <v>0</v>
      </c>
      <c r="W186" s="179">
        <f>IF($G186=0,0,ROUND(($G186*(1+Assumptions_Dashboard!$D$114)+(1+Assumptions_Dashboard!$D$115)*Fleet!T137),0))</f>
        <v>0</v>
      </c>
      <c r="X186" s="179">
        <f>IF($G186=0,0,ROUND(($G186*(1+Assumptions_Dashboard!$D$114)+(1+Assumptions_Dashboard!$D$115)*Fleet!U137),0))</f>
        <v>0</v>
      </c>
      <c r="Y186" s="179">
        <f>IF($G186=0,0,ROUND(($G186*(1+Assumptions_Dashboard!$D$114)+(1+Assumptions_Dashboard!$D$115)*Fleet!V137),0))</f>
        <v>0</v>
      </c>
      <c r="Z186" s="179">
        <f>IF($G186=0,0,ROUND(($G186*(1+Assumptions_Dashboard!$D$114)+(1+Assumptions_Dashboard!$D$115)*Fleet!W137),0))</f>
        <v>0</v>
      </c>
      <c r="AA186" s="179">
        <f>IF($G186=0,0,ROUND(($G186*(1+Assumptions_Dashboard!$D$114)+(1+Assumptions_Dashboard!$D$115)*Fleet!X137),0))</f>
        <v>0</v>
      </c>
      <c r="AB186" s="179">
        <f>IF($G186=0,0,ROUND(($G186*(1+Assumptions_Dashboard!$D$114)+(1+Assumptions_Dashboard!$D$115)*Fleet!Y137),0))</f>
        <v>0</v>
      </c>
      <c r="AC186" s="179">
        <f>IF($G186=0,0,ROUND(($G186*(1+Assumptions_Dashboard!$D$114)+(1+Assumptions_Dashboard!$D$115)*Fleet!Z137),0))</f>
        <v>0</v>
      </c>
      <c r="AD186" s="179">
        <f>IF($G186=0,0,ROUND(($G186*(1+Assumptions_Dashboard!$D$114)+(1+Assumptions_Dashboard!$D$115)*Fleet!AA137),0))</f>
        <v>0</v>
      </c>
      <c r="AE186" s="179">
        <f>IF($G186=0,0,ROUND(($G186*(1+Assumptions_Dashboard!$D$114)+(1+Assumptions_Dashboard!$D$115)*Fleet!AB137),0))</f>
        <v>0</v>
      </c>
      <c r="AF186" s="179">
        <f>IF($G186=0,0,ROUND(($G186*(1+Assumptions_Dashboard!$D$114)+(1+Assumptions_Dashboard!$D$115)*Fleet!AC137),0))</f>
        <v>0</v>
      </c>
      <c r="AG186" s="179">
        <f>IF($G186=0,0,ROUND(($G186*(1+Assumptions_Dashboard!$D$114)+(1+Assumptions_Dashboard!$D$115)*Fleet!AD137),0))</f>
        <v>0</v>
      </c>
      <c r="AH186" s="179">
        <f>IF($G186=0,0,ROUND(($G186*(1+Assumptions_Dashboard!$D$114)+(1+Assumptions_Dashboard!$D$115)*Fleet!AE137),0))</f>
        <v>0</v>
      </c>
      <c r="AI186" s="179">
        <f>IF($G186=0,0,ROUND(($G186*(1+Assumptions_Dashboard!$D$114)+(1+Assumptions_Dashboard!$D$115)*Fleet!AF137),0))</f>
        <v>0</v>
      </c>
      <c r="AJ186" s="179">
        <f>IF($G186=0,0,ROUND(($G186*(1+Assumptions_Dashboard!$D$114)+(1+Assumptions_Dashboard!$D$115)*Fleet!AG137),0))</f>
        <v>0</v>
      </c>
      <c r="AK186" s="179">
        <f>IF($G186=0,0,ROUND(($G186*(1+Assumptions_Dashboard!$D$114)+(1+Assumptions_Dashboard!$D$115)*Fleet!AH137),0))</f>
        <v>0</v>
      </c>
      <c r="AL186" s="179">
        <f>IF($G186=0,0,ROUND(($G186*(1+Assumptions_Dashboard!$D$114)+(1+Assumptions_Dashboard!$D$115)*Fleet!AI137),0))</f>
        <v>0</v>
      </c>
      <c r="AM186" s="179">
        <f>IF($G186=0,0,ROUND(($G186*(1+Assumptions_Dashboard!$D$114)+(1+Assumptions_Dashboard!$D$115)*Fleet!AJ137),0))</f>
        <v>0</v>
      </c>
      <c r="AN186" s="179"/>
      <c r="AO186" s="179"/>
      <c r="AP186" s="179"/>
      <c r="AQ186" s="179"/>
      <c r="AR186" s="179"/>
      <c r="AS186" s="179"/>
    </row>
    <row r="187" spans="2:45">
      <c r="B187" s="250"/>
      <c r="C187" s="661" t="str">
        <f>Fleet!C138</f>
        <v>Drill Machine/ 250mm diameter</v>
      </c>
      <c r="D187" s="257"/>
      <c r="E187" s="121" t="s">
        <v>740</v>
      </c>
      <c r="F187" s="205" t="s">
        <v>216</v>
      </c>
      <c r="G187">
        <f>IF(Sensitivity!$C$42="Departmental",0,3)</f>
        <v>0</v>
      </c>
      <c r="H187" s="366">
        <f>IFERROR(VLOOKUP(F187,Assumptions_Dashboard!$C$38:$D$72,4,FALSE),)</f>
        <v>0</v>
      </c>
      <c r="J187" s="179"/>
      <c r="K187" s="179"/>
      <c r="L187" s="179"/>
      <c r="M187" s="179"/>
      <c r="N187" s="179">
        <f>IF($G187=0,0,ROUND(($G187*(1+Assumptions_Dashboard!$D$114)+(1+Assumptions_Dashboard!$D$115)*Fleet!K138),0))</f>
        <v>0</v>
      </c>
      <c r="O187" s="179">
        <f>IF($G187=0,0,ROUND(($G187*(1+Assumptions_Dashboard!$D$114)+(1+Assumptions_Dashboard!$D$115)*Fleet!L138),0))</f>
        <v>0</v>
      </c>
      <c r="P187" s="179">
        <f>IF($G187=0,0,ROUND(($G187*(1+Assumptions_Dashboard!$D$114)+(1+Assumptions_Dashboard!$D$115)*Fleet!M138),0))</f>
        <v>0</v>
      </c>
      <c r="Q187" s="179">
        <f>IF($G187=0,0,ROUND(($G187*(1+Assumptions_Dashboard!$D$114)+(1+Assumptions_Dashboard!$D$115)*Fleet!N138),0))</f>
        <v>0</v>
      </c>
      <c r="R187" s="179">
        <f>IF($G187=0,0,ROUND(($G187*(1+Assumptions_Dashboard!$D$114)+(1+Assumptions_Dashboard!$D$115)*Fleet!O138),0))</f>
        <v>0</v>
      </c>
      <c r="S187" s="179">
        <f>IF($G187=0,0,ROUND(($G187*(1+Assumptions_Dashboard!$D$114)+(1+Assumptions_Dashboard!$D$115)*Fleet!P138),0))</f>
        <v>0</v>
      </c>
      <c r="T187" s="179">
        <f>IF($G187=0,0,ROUND(($G187*(1+Assumptions_Dashboard!$D$114)+(1+Assumptions_Dashboard!$D$115)*Fleet!Q138),0))</f>
        <v>0</v>
      </c>
      <c r="U187" s="179">
        <f>IF($G187=0,0,ROUND(($G187*(1+Assumptions_Dashboard!$D$114)+(1+Assumptions_Dashboard!$D$115)*Fleet!R138),0))</f>
        <v>0</v>
      </c>
      <c r="V187" s="179">
        <f>IF($G187=0,0,ROUND(($G187*(1+Assumptions_Dashboard!$D$114)+(1+Assumptions_Dashboard!$D$115)*Fleet!S138),0))</f>
        <v>0</v>
      </c>
      <c r="W187" s="179">
        <f>IF($G187=0,0,ROUND(($G187*(1+Assumptions_Dashboard!$D$114)+(1+Assumptions_Dashboard!$D$115)*Fleet!T138),0))</f>
        <v>0</v>
      </c>
      <c r="X187" s="179">
        <f>IF($G187=0,0,ROUND(($G187*(1+Assumptions_Dashboard!$D$114)+(1+Assumptions_Dashboard!$D$115)*Fleet!U138),0))</f>
        <v>0</v>
      </c>
      <c r="Y187" s="179">
        <f>IF($G187=0,0,ROUND(($G187*(1+Assumptions_Dashboard!$D$114)+(1+Assumptions_Dashboard!$D$115)*Fleet!V138),0))</f>
        <v>0</v>
      </c>
      <c r="Z187" s="179">
        <f>IF($G187=0,0,ROUND(($G187*(1+Assumptions_Dashboard!$D$114)+(1+Assumptions_Dashboard!$D$115)*Fleet!W138),0))</f>
        <v>0</v>
      </c>
      <c r="AA187" s="179">
        <f>IF($G187=0,0,ROUND(($G187*(1+Assumptions_Dashboard!$D$114)+(1+Assumptions_Dashboard!$D$115)*Fleet!X138),0))</f>
        <v>0</v>
      </c>
      <c r="AB187" s="179">
        <f>IF($G187=0,0,ROUND(($G187*(1+Assumptions_Dashboard!$D$114)+(1+Assumptions_Dashboard!$D$115)*Fleet!Y138),0))</f>
        <v>0</v>
      </c>
      <c r="AC187" s="179">
        <f>IF($G187=0,0,ROUND(($G187*(1+Assumptions_Dashboard!$D$114)+(1+Assumptions_Dashboard!$D$115)*Fleet!Z138),0))</f>
        <v>0</v>
      </c>
      <c r="AD187" s="179">
        <f>IF($G187=0,0,ROUND(($G187*(1+Assumptions_Dashboard!$D$114)+(1+Assumptions_Dashboard!$D$115)*Fleet!AA138),0))</f>
        <v>0</v>
      </c>
      <c r="AE187" s="179">
        <f>IF($G187=0,0,ROUND(($G187*(1+Assumptions_Dashboard!$D$114)+(1+Assumptions_Dashboard!$D$115)*Fleet!AB138),0))</f>
        <v>0</v>
      </c>
      <c r="AF187" s="179">
        <f>IF($G187=0,0,ROUND(($G187*(1+Assumptions_Dashboard!$D$114)+(1+Assumptions_Dashboard!$D$115)*Fleet!AC138),0))</f>
        <v>0</v>
      </c>
      <c r="AG187" s="179">
        <f>IF($G187=0,0,ROUND(($G187*(1+Assumptions_Dashboard!$D$114)+(1+Assumptions_Dashboard!$D$115)*Fleet!AD138),0))</f>
        <v>0</v>
      </c>
      <c r="AH187" s="179">
        <f>IF($G187=0,0,ROUND(($G187*(1+Assumptions_Dashboard!$D$114)+(1+Assumptions_Dashboard!$D$115)*Fleet!AE138),0))</f>
        <v>0</v>
      </c>
      <c r="AI187" s="179">
        <f>IF($G187=0,0,ROUND(($G187*(1+Assumptions_Dashboard!$D$114)+(1+Assumptions_Dashboard!$D$115)*Fleet!AF138),0))</f>
        <v>0</v>
      </c>
      <c r="AJ187" s="179">
        <f>IF($G187=0,0,ROUND(($G187*(1+Assumptions_Dashboard!$D$114)+(1+Assumptions_Dashboard!$D$115)*Fleet!AG138),0))</f>
        <v>0</v>
      </c>
      <c r="AK187" s="179">
        <f>IF($G187=0,0,ROUND(($G187*(1+Assumptions_Dashboard!$D$114)+(1+Assumptions_Dashboard!$D$115)*Fleet!AH138),0))</f>
        <v>0</v>
      </c>
      <c r="AL187" s="179">
        <f>IF($G187=0,0,ROUND(($G187*(1+Assumptions_Dashboard!$D$114)+(1+Assumptions_Dashboard!$D$115)*Fleet!AI138),0))</f>
        <v>0</v>
      </c>
      <c r="AM187" s="179">
        <f>IF($G187=0,0,ROUND(($G187*(1+Assumptions_Dashboard!$D$114)+(1+Assumptions_Dashboard!$D$115)*Fleet!AJ138),0))</f>
        <v>0</v>
      </c>
      <c r="AN187" s="179"/>
      <c r="AO187" s="179"/>
      <c r="AP187" s="179"/>
      <c r="AQ187" s="179"/>
      <c r="AR187" s="179"/>
      <c r="AS187" s="179"/>
    </row>
    <row r="188" spans="2:45">
      <c r="B188" s="250"/>
      <c r="C188" s="661" t="str">
        <f>Fleet!C139</f>
        <v>Diesel hydraulic Shovel/ 1.0 cum</v>
      </c>
      <c r="D188" s="257"/>
      <c r="E188" s="121" t="s">
        <v>740</v>
      </c>
      <c r="F188" s="205" t="s">
        <v>216</v>
      </c>
      <c r="G188">
        <f>IF(Sensitivity!$C$42="Departmental",0,3)</f>
        <v>0</v>
      </c>
      <c r="H188" s="366">
        <f>IFERROR(VLOOKUP(F188,Assumptions_Dashboard!$C$38:$D$72,4,FALSE),)</f>
        <v>0</v>
      </c>
      <c r="J188" s="179"/>
      <c r="K188" s="179"/>
      <c r="L188" s="179"/>
      <c r="M188" s="179"/>
      <c r="N188" s="179">
        <f>IF($G188=0,0,ROUND(($G188*(1+Assumptions_Dashboard!$D$114)+(1+Assumptions_Dashboard!$D$115)*Fleet!K139),0))</f>
        <v>0</v>
      </c>
      <c r="O188" s="179">
        <f>IF($G188=0,0,ROUND(($G188*(1+Assumptions_Dashboard!$D$114)+(1+Assumptions_Dashboard!$D$115)*Fleet!L139),0))</f>
        <v>0</v>
      </c>
      <c r="P188" s="179">
        <f>IF($G188=0,0,ROUND(($G188*(1+Assumptions_Dashboard!$D$114)+(1+Assumptions_Dashboard!$D$115)*Fleet!M139),0))</f>
        <v>0</v>
      </c>
      <c r="Q188" s="179">
        <f>IF($G188=0,0,ROUND(($G188*(1+Assumptions_Dashboard!$D$114)+(1+Assumptions_Dashboard!$D$115)*Fleet!N139),0))</f>
        <v>0</v>
      </c>
      <c r="R188" s="179">
        <f>IF($G188=0,0,ROUND(($G188*(1+Assumptions_Dashboard!$D$114)+(1+Assumptions_Dashboard!$D$115)*Fleet!O139),0))</f>
        <v>0</v>
      </c>
      <c r="S188" s="179">
        <f>IF($G188=0,0,ROUND(($G188*(1+Assumptions_Dashboard!$D$114)+(1+Assumptions_Dashboard!$D$115)*Fleet!P139),0))</f>
        <v>0</v>
      </c>
      <c r="T188" s="179">
        <f>IF($G188=0,0,ROUND(($G188*(1+Assumptions_Dashboard!$D$114)+(1+Assumptions_Dashboard!$D$115)*Fleet!Q139),0))</f>
        <v>0</v>
      </c>
      <c r="U188" s="179">
        <f>IF($G188=0,0,ROUND(($G188*(1+Assumptions_Dashboard!$D$114)+(1+Assumptions_Dashboard!$D$115)*Fleet!R139),0))</f>
        <v>0</v>
      </c>
      <c r="V188" s="179">
        <f>IF($G188=0,0,ROUND(($G188*(1+Assumptions_Dashboard!$D$114)+(1+Assumptions_Dashboard!$D$115)*Fleet!S139),0))</f>
        <v>0</v>
      </c>
      <c r="W188" s="179">
        <f>IF($G188=0,0,ROUND(($G188*(1+Assumptions_Dashboard!$D$114)+(1+Assumptions_Dashboard!$D$115)*Fleet!T139),0))</f>
        <v>0</v>
      </c>
      <c r="X188" s="179">
        <f>IF($G188=0,0,ROUND(($G188*(1+Assumptions_Dashboard!$D$114)+(1+Assumptions_Dashboard!$D$115)*Fleet!U139),0))</f>
        <v>0</v>
      </c>
      <c r="Y188" s="179">
        <f>IF($G188=0,0,ROUND(($G188*(1+Assumptions_Dashboard!$D$114)+(1+Assumptions_Dashboard!$D$115)*Fleet!V139),0))</f>
        <v>0</v>
      </c>
      <c r="Z188" s="179">
        <f>IF($G188=0,0,ROUND(($G188*(1+Assumptions_Dashboard!$D$114)+(1+Assumptions_Dashboard!$D$115)*Fleet!W139),0))</f>
        <v>0</v>
      </c>
      <c r="AA188" s="179">
        <f>IF($G188=0,0,ROUND(($G188*(1+Assumptions_Dashboard!$D$114)+(1+Assumptions_Dashboard!$D$115)*Fleet!X139),0))</f>
        <v>0</v>
      </c>
      <c r="AB188" s="179">
        <f>IF($G188=0,0,ROUND(($G188*(1+Assumptions_Dashboard!$D$114)+(1+Assumptions_Dashboard!$D$115)*Fleet!Y139),0))</f>
        <v>0</v>
      </c>
      <c r="AC188" s="179">
        <f>IF($G188=0,0,ROUND(($G188*(1+Assumptions_Dashboard!$D$114)+(1+Assumptions_Dashboard!$D$115)*Fleet!Z139),0))</f>
        <v>0</v>
      </c>
      <c r="AD188" s="179">
        <f>IF($G188=0,0,ROUND(($G188*(1+Assumptions_Dashboard!$D$114)+(1+Assumptions_Dashboard!$D$115)*Fleet!AA139),0))</f>
        <v>0</v>
      </c>
      <c r="AE188" s="179">
        <f>IF($G188=0,0,ROUND(($G188*(1+Assumptions_Dashboard!$D$114)+(1+Assumptions_Dashboard!$D$115)*Fleet!AB139),0))</f>
        <v>0</v>
      </c>
      <c r="AF188" s="179">
        <f>IF($G188=0,0,ROUND(($G188*(1+Assumptions_Dashboard!$D$114)+(1+Assumptions_Dashboard!$D$115)*Fleet!AC139),0))</f>
        <v>0</v>
      </c>
      <c r="AG188" s="179">
        <f>IF($G188=0,0,ROUND(($G188*(1+Assumptions_Dashboard!$D$114)+(1+Assumptions_Dashboard!$D$115)*Fleet!AD139),0))</f>
        <v>0</v>
      </c>
      <c r="AH188" s="179">
        <f>IF($G188=0,0,ROUND(($G188*(1+Assumptions_Dashboard!$D$114)+(1+Assumptions_Dashboard!$D$115)*Fleet!AE139),0))</f>
        <v>0</v>
      </c>
      <c r="AI188" s="179">
        <f>IF($G188=0,0,ROUND(($G188*(1+Assumptions_Dashboard!$D$114)+(1+Assumptions_Dashboard!$D$115)*Fleet!AF139),0))</f>
        <v>0</v>
      </c>
      <c r="AJ188" s="179">
        <f>IF($G188=0,0,ROUND(($G188*(1+Assumptions_Dashboard!$D$114)+(1+Assumptions_Dashboard!$D$115)*Fleet!AG139),0))</f>
        <v>0</v>
      </c>
      <c r="AK188" s="179">
        <f>IF($G188=0,0,ROUND(($G188*(1+Assumptions_Dashboard!$D$114)+(1+Assumptions_Dashboard!$D$115)*Fleet!AH139),0))</f>
        <v>0</v>
      </c>
      <c r="AL188" s="179">
        <f>IF($G188=0,0,ROUND(($G188*(1+Assumptions_Dashboard!$D$114)+(1+Assumptions_Dashboard!$D$115)*Fleet!AI139),0))</f>
        <v>0</v>
      </c>
      <c r="AM188" s="179">
        <f>IF($G188=0,0,ROUND(($G188*(1+Assumptions_Dashboard!$D$114)+(1+Assumptions_Dashboard!$D$115)*Fleet!AJ139),0))</f>
        <v>0</v>
      </c>
      <c r="AN188" s="179"/>
      <c r="AO188" s="179"/>
      <c r="AP188" s="179"/>
      <c r="AQ188" s="179"/>
      <c r="AR188" s="179"/>
      <c r="AS188" s="179"/>
    </row>
    <row r="189" spans="2:45">
      <c r="B189" s="250"/>
      <c r="C189" s="661" t="str">
        <f>Fleet!C140</f>
        <v>Diesel hydraulic Shovel/ 4.6 cum</v>
      </c>
      <c r="D189" s="257"/>
      <c r="E189" s="121" t="s">
        <v>740</v>
      </c>
      <c r="F189" s="205" t="s">
        <v>216</v>
      </c>
      <c r="G189">
        <f>IF(Sensitivity!$C$42="Departmental",0,3)</f>
        <v>0</v>
      </c>
      <c r="H189" s="366">
        <f>IFERROR(VLOOKUP(F189,Assumptions_Dashboard!$C$38:$D$72,4,FALSE),)</f>
        <v>0</v>
      </c>
      <c r="J189" s="179"/>
      <c r="K189" s="179"/>
      <c r="L189" s="179"/>
      <c r="M189" s="179"/>
      <c r="N189" s="179">
        <f>IF($G189=0,0,ROUND(($G189*(1+Assumptions_Dashboard!$D$114)+(1+Assumptions_Dashboard!$D$115)*Fleet!K140),0))</f>
        <v>0</v>
      </c>
      <c r="O189" s="179">
        <f>IF($G189=0,0,ROUND(($G189*(1+Assumptions_Dashboard!$D$114)+(1+Assumptions_Dashboard!$D$115)*Fleet!L140),0))</f>
        <v>0</v>
      </c>
      <c r="P189" s="179">
        <f>IF($G189=0,0,ROUND(($G189*(1+Assumptions_Dashboard!$D$114)+(1+Assumptions_Dashboard!$D$115)*Fleet!M140),0))</f>
        <v>0</v>
      </c>
      <c r="Q189" s="179">
        <f>IF($G189=0,0,ROUND(($G189*(1+Assumptions_Dashboard!$D$114)+(1+Assumptions_Dashboard!$D$115)*Fleet!N140),0))</f>
        <v>0</v>
      </c>
      <c r="R189" s="179">
        <f>IF($G189=0,0,ROUND(($G189*(1+Assumptions_Dashboard!$D$114)+(1+Assumptions_Dashboard!$D$115)*Fleet!O140),0))</f>
        <v>0</v>
      </c>
      <c r="S189" s="179">
        <f>IF($G189=0,0,ROUND(($G189*(1+Assumptions_Dashboard!$D$114)+(1+Assumptions_Dashboard!$D$115)*Fleet!P140),0))</f>
        <v>0</v>
      </c>
      <c r="T189" s="179">
        <f>IF($G189=0,0,ROUND(($G189*(1+Assumptions_Dashboard!$D$114)+(1+Assumptions_Dashboard!$D$115)*Fleet!Q140),0))</f>
        <v>0</v>
      </c>
      <c r="U189" s="179">
        <f>IF($G189=0,0,ROUND(($G189*(1+Assumptions_Dashboard!$D$114)+(1+Assumptions_Dashboard!$D$115)*Fleet!R140),0))</f>
        <v>0</v>
      </c>
      <c r="V189" s="179">
        <f>IF($G189=0,0,ROUND(($G189*(1+Assumptions_Dashboard!$D$114)+(1+Assumptions_Dashboard!$D$115)*Fleet!S140),0))</f>
        <v>0</v>
      </c>
      <c r="W189" s="179">
        <f>IF($G189=0,0,ROUND(($G189*(1+Assumptions_Dashboard!$D$114)+(1+Assumptions_Dashboard!$D$115)*Fleet!T140),0))</f>
        <v>0</v>
      </c>
      <c r="X189" s="179">
        <f>IF($G189=0,0,ROUND(($G189*(1+Assumptions_Dashboard!$D$114)+(1+Assumptions_Dashboard!$D$115)*Fleet!U140),0))</f>
        <v>0</v>
      </c>
      <c r="Y189" s="179">
        <f>IF($G189=0,0,ROUND(($G189*(1+Assumptions_Dashboard!$D$114)+(1+Assumptions_Dashboard!$D$115)*Fleet!V140),0))</f>
        <v>0</v>
      </c>
      <c r="Z189" s="179">
        <f>IF($G189=0,0,ROUND(($G189*(1+Assumptions_Dashboard!$D$114)+(1+Assumptions_Dashboard!$D$115)*Fleet!W140),0))</f>
        <v>0</v>
      </c>
      <c r="AA189" s="179">
        <f>IF($G189=0,0,ROUND(($G189*(1+Assumptions_Dashboard!$D$114)+(1+Assumptions_Dashboard!$D$115)*Fleet!X140),0))</f>
        <v>0</v>
      </c>
      <c r="AB189" s="179">
        <f>IF($G189=0,0,ROUND(($G189*(1+Assumptions_Dashboard!$D$114)+(1+Assumptions_Dashboard!$D$115)*Fleet!Y140),0))</f>
        <v>0</v>
      </c>
      <c r="AC189" s="179">
        <f>IF($G189=0,0,ROUND(($G189*(1+Assumptions_Dashboard!$D$114)+(1+Assumptions_Dashboard!$D$115)*Fleet!Z140),0))</f>
        <v>0</v>
      </c>
      <c r="AD189" s="179">
        <f>IF($G189=0,0,ROUND(($G189*(1+Assumptions_Dashboard!$D$114)+(1+Assumptions_Dashboard!$D$115)*Fleet!AA140),0))</f>
        <v>0</v>
      </c>
      <c r="AE189" s="179">
        <f>IF($G189=0,0,ROUND(($G189*(1+Assumptions_Dashboard!$D$114)+(1+Assumptions_Dashboard!$D$115)*Fleet!AB140),0))</f>
        <v>0</v>
      </c>
      <c r="AF189" s="179">
        <f>IF($G189=0,0,ROUND(($G189*(1+Assumptions_Dashboard!$D$114)+(1+Assumptions_Dashboard!$D$115)*Fleet!AC140),0))</f>
        <v>0</v>
      </c>
      <c r="AG189" s="179">
        <f>IF($G189=0,0,ROUND(($G189*(1+Assumptions_Dashboard!$D$114)+(1+Assumptions_Dashboard!$D$115)*Fleet!AD140),0))</f>
        <v>0</v>
      </c>
      <c r="AH189" s="179">
        <f>IF($G189=0,0,ROUND(($G189*(1+Assumptions_Dashboard!$D$114)+(1+Assumptions_Dashboard!$D$115)*Fleet!AE140),0))</f>
        <v>0</v>
      </c>
      <c r="AI189" s="179">
        <f>IF($G189=0,0,ROUND(($G189*(1+Assumptions_Dashboard!$D$114)+(1+Assumptions_Dashboard!$D$115)*Fleet!AF140),0))</f>
        <v>0</v>
      </c>
      <c r="AJ189" s="179">
        <f>IF($G189=0,0,ROUND(($G189*(1+Assumptions_Dashboard!$D$114)+(1+Assumptions_Dashboard!$D$115)*Fleet!AG140),0))</f>
        <v>0</v>
      </c>
      <c r="AK189" s="179">
        <f>IF($G189=0,0,ROUND(($G189*(1+Assumptions_Dashboard!$D$114)+(1+Assumptions_Dashboard!$D$115)*Fleet!AH140),0))</f>
        <v>0</v>
      </c>
      <c r="AL189" s="179">
        <f>IF($G189=0,0,ROUND(($G189*(1+Assumptions_Dashboard!$D$114)+(1+Assumptions_Dashboard!$D$115)*Fleet!AI140),0))</f>
        <v>0</v>
      </c>
      <c r="AM189" s="179">
        <f>IF($G189=0,0,ROUND(($G189*(1+Assumptions_Dashboard!$D$114)+(1+Assumptions_Dashboard!$D$115)*Fleet!AJ140),0))</f>
        <v>0</v>
      </c>
      <c r="AN189" s="179"/>
      <c r="AO189" s="179"/>
      <c r="AP189" s="179"/>
      <c r="AQ189" s="179"/>
      <c r="AR189" s="179"/>
      <c r="AS189" s="179"/>
    </row>
    <row r="190" spans="2:45">
      <c r="B190" s="250"/>
      <c r="C190" s="661" t="str">
        <f>Fleet!C141</f>
        <v>Diesel hydraulic shovel/ 10 cum</v>
      </c>
      <c r="D190" s="257"/>
      <c r="E190" s="121" t="s">
        <v>740</v>
      </c>
      <c r="F190" s="205" t="s">
        <v>216</v>
      </c>
      <c r="G190">
        <f>IF(Sensitivity!$C$42="Departmental",0,3)</f>
        <v>0</v>
      </c>
      <c r="H190" s="366">
        <f>IFERROR(VLOOKUP(F190,Assumptions_Dashboard!$C$38:$D$72,4,FALSE),)</f>
        <v>0</v>
      </c>
      <c r="J190" s="179"/>
      <c r="K190" s="179"/>
      <c r="L190" s="179"/>
      <c r="M190" s="179"/>
      <c r="N190" s="179">
        <f>IF($G190=0,0,ROUND(($G190*(1+Assumptions_Dashboard!$D$114)+(1+Assumptions_Dashboard!$D$115)*Fleet!K141),0))</f>
        <v>0</v>
      </c>
      <c r="O190" s="179">
        <f>IF($G190=0,0,ROUND(($G190*(1+Assumptions_Dashboard!$D$114)+(1+Assumptions_Dashboard!$D$115)*Fleet!L141),0))</f>
        <v>0</v>
      </c>
      <c r="P190" s="179">
        <f>IF($G190=0,0,ROUND(($G190*(1+Assumptions_Dashboard!$D$114)+(1+Assumptions_Dashboard!$D$115)*Fleet!M141),0))</f>
        <v>0</v>
      </c>
      <c r="Q190" s="179">
        <f>IF($G190=0,0,ROUND(($G190*(1+Assumptions_Dashboard!$D$114)+(1+Assumptions_Dashboard!$D$115)*Fleet!N141),0))</f>
        <v>0</v>
      </c>
      <c r="R190" s="179">
        <f>IF($G190=0,0,ROUND(($G190*(1+Assumptions_Dashboard!$D$114)+(1+Assumptions_Dashboard!$D$115)*Fleet!O141),0))</f>
        <v>0</v>
      </c>
      <c r="S190" s="179">
        <f>IF($G190=0,0,ROUND(($G190*(1+Assumptions_Dashboard!$D$114)+(1+Assumptions_Dashboard!$D$115)*Fleet!P141),0))</f>
        <v>0</v>
      </c>
      <c r="T190" s="179">
        <f>IF($G190=0,0,ROUND(($G190*(1+Assumptions_Dashboard!$D$114)+(1+Assumptions_Dashboard!$D$115)*Fleet!Q141),0))</f>
        <v>0</v>
      </c>
      <c r="U190" s="179">
        <f>IF($G190=0,0,ROUND(($G190*(1+Assumptions_Dashboard!$D$114)+(1+Assumptions_Dashboard!$D$115)*Fleet!R141),0))</f>
        <v>0</v>
      </c>
      <c r="V190" s="179">
        <f>IF($G190=0,0,ROUND(($G190*(1+Assumptions_Dashboard!$D$114)+(1+Assumptions_Dashboard!$D$115)*Fleet!S141),0))</f>
        <v>0</v>
      </c>
      <c r="W190" s="179">
        <f>IF($G190=0,0,ROUND(($G190*(1+Assumptions_Dashboard!$D$114)+(1+Assumptions_Dashboard!$D$115)*Fleet!T141),0))</f>
        <v>0</v>
      </c>
      <c r="X190" s="179">
        <f>IF($G190=0,0,ROUND(($G190*(1+Assumptions_Dashboard!$D$114)+(1+Assumptions_Dashboard!$D$115)*Fleet!U141),0))</f>
        <v>0</v>
      </c>
      <c r="Y190" s="179">
        <f>IF($G190=0,0,ROUND(($G190*(1+Assumptions_Dashboard!$D$114)+(1+Assumptions_Dashboard!$D$115)*Fleet!V141),0))</f>
        <v>0</v>
      </c>
      <c r="Z190" s="179">
        <f>IF($G190=0,0,ROUND(($G190*(1+Assumptions_Dashboard!$D$114)+(1+Assumptions_Dashboard!$D$115)*Fleet!W141),0))</f>
        <v>0</v>
      </c>
      <c r="AA190" s="179">
        <f>IF($G190=0,0,ROUND(($G190*(1+Assumptions_Dashboard!$D$114)+(1+Assumptions_Dashboard!$D$115)*Fleet!X141),0))</f>
        <v>0</v>
      </c>
      <c r="AB190" s="179">
        <f>IF($G190=0,0,ROUND(($G190*(1+Assumptions_Dashboard!$D$114)+(1+Assumptions_Dashboard!$D$115)*Fleet!Y141),0))</f>
        <v>0</v>
      </c>
      <c r="AC190" s="179">
        <f>IF($G190=0,0,ROUND(($G190*(1+Assumptions_Dashboard!$D$114)+(1+Assumptions_Dashboard!$D$115)*Fleet!Z141),0))</f>
        <v>0</v>
      </c>
      <c r="AD190" s="179">
        <f>IF($G190=0,0,ROUND(($G190*(1+Assumptions_Dashboard!$D$114)+(1+Assumptions_Dashboard!$D$115)*Fleet!AA141),0))</f>
        <v>0</v>
      </c>
      <c r="AE190" s="179">
        <f>IF($G190=0,0,ROUND(($G190*(1+Assumptions_Dashboard!$D$114)+(1+Assumptions_Dashboard!$D$115)*Fleet!AB141),0))</f>
        <v>0</v>
      </c>
      <c r="AF190" s="179">
        <f>IF($G190=0,0,ROUND(($G190*(1+Assumptions_Dashboard!$D$114)+(1+Assumptions_Dashboard!$D$115)*Fleet!AC141),0))</f>
        <v>0</v>
      </c>
      <c r="AG190" s="179">
        <f>IF($G190=0,0,ROUND(($G190*(1+Assumptions_Dashboard!$D$114)+(1+Assumptions_Dashboard!$D$115)*Fleet!AD141),0))</f>
        <v>0</v>
      </c>
      <c r="AH190" s="179">
        <f>IF($G190=0,0,ROUND(($G190*(1+Assumptions_Dashboard!$D$114)+(1+Assumptions_Dashboard!$D$115)*Fleet!AE141),0))</f>
        <v>0</v>
      </c>
      <c r="AI190" s="179">
        <f>IF($G190=0,0,ROUND(($G190*(1+Assumptions_Dashboard!$D$114)+(1+Assumptions_Dashboard!$D$115)*Fleet!AF141),0))</f>
        <v>0</v>
      </c>
      <c r="AJ190" s="179">
        <f>IF($G190=0,0,ROUND(($G190*(1+Assumptions_Dashboard!$D$114)+(1+Assumptions_Dashboard!$D$115)*Fleet!AG141),0))</f>
        <v>0</v>
      </c>
      <c r="AK190" s="179">
        <f>IF($G190=0,0,ROUND(($G190*(1+Assumptions_Dashboard!$D$114)+(1+Assumptions_Dashboard!$D$115)*Fleet!AH141),0))</f>
        <v>0</v>
      </c>
      <c r="AL190" s="179">
        <f>IF($G190=0,0,ROUND(($G190*(1+Assumptions_Dashboard!$D$114)+(1+Assumptions_Dashboard!$D$115)*Fleet!AI141),0))</f>
        <v>0</v>
      </c>
      <c r="AM190" s="179">
        <f>IF($G190=0,0,ROUND(($G190*(1+Assumptions_Dashboard!$D$114)+(1+Assumptions_Dashboard!$D$115)*Fleet!AJ141),0))</f>
        <v>0</v>
      </c>
      <c r="AN190" s="179"/>
      <c r="AO190" s="179"/>
      <c r="AP190" s="179"/>
      <c r="AQ190" s="179"/>
      <c r="AR190" s="179"/>
      <c r="AS190" s="179"/>
    </row>
    <row r="191" spans="2:45">
      <c r="B191" s="250"/>
      <c r="C191" s="661" t="str">
        <f>Fleet!C142</f>
        <v>Diesel hydraulic Shovel/ 3.4 cum</v>
      </c>
      <c r="D191" s="257"/>
      <c r="E191" s="121" t="s">
        <v>740</v>
      </c>
      <c r="F191" s="205" t="s">
        <v>216</v>
      </c>
      <c r="G191">
        <f>IF(Sensitivity!$C$42="Departmental",0,3)</f>
        <v>0</v>
      </c>
      <c r="H191" s="366">
        <f>IFERROR(VLOOKUP(F191,Assumptions_Dashboard!$C$38:$D$72,4,FALSE),)</f>
        <v>0</v>
      </c>
      <c r="J191" s="179"/>
      <c r="K191" s="179"/>
      <c r="L191" s="179"/>
      <c r="M191" s="179"/>
      <c r="N191" s="179">
        <f>IF($G191=0,0,ROUND(($G191*(1+Assumptions_Dashboard!$D$114)+(1+Assumptions_Dashboard!$D$115)*Fleet!K142),0))</f>
        <v>0</v>
      </c>
      <c r="O191" s="179">
        <f>IF($G191=0,0,ROUND(($G191*(1+Assumptions_Dashboard!$D$114)+(1+Assumptions_Dashboard!$D$115)*Fleet!L142),0))</f>
        <v>0</v>
      </c>
      <c r="P191" s="179">
        <f>IF($G191=0,0,ROUND(($G191*(1+Assumptions_Dashboard!$D$114)+(1+Assumptions_Dashboard!$D$115)*Fleet!M142),0))</f>
        <v>0</v>
      </c>
      <c r="Q191" s="179">
        <f>IF($G191=0,0,ROUND(($G191*(1+Assumptions_Dashboard!$D$114)+(1+Assumptions_Dashboard!$D$115)*Fleet!N142),0))</f>
        <v>0</v>
      </c>
      <c r="R191" s="179">
        <f>IF($G191=0,0,ROUND(($G191*(1+Assumptions_Dashboard!$D$114)+(1+Assumptions_Dashboard!$D$115)*Fleet!O142),0))</f>
        <v>0</v>
      </c>
      <c r="S191" s="179">
        <f>IF($G191=0,0,ROUND(($G191*(1+Assumptions_Dashboard!$D$114)+(1+Assumptions_Dashboard!$D$115)*Fleet!P142),0))</f>
        <v>0</v>
      </c>
      <c r="T191" s="179">
        <f>IF($G191=0,0,ROUND(($G191*(1+Assumptions_Dashboard!$D$114)+(1+Assumptions_Dashboard!$D$115)*Fleet!Q142),0))</f>
        <v>0</v>
      </c>
      <c r="U191" s="179">
        <f>IF($G191=0,0,ROUND(($G191*(1+Assumptions_Dashboard!$D$114)+(1+Assumptions_Dashboard!$D$115)*Fleet!R142),0))</f>
        <v>0</v>
      </c>
      <c r="V191" s="179">
        <f>IF($G191=0,0,ROUND(($G191*(1+Assumptions_Dashboard!$D$114)+(1+Assumptions_Dashboard!$D$115)*Fleet!S142),0))</f>
        <v>0</v>
      </c>
      <c r="W191" s="179">
        <f>IF($G191=0,0,ROUND(($G191*(1+Assumptions_Dashboard!$D$114)+(1+Assumptions_Dashboard!$D$115)*Fleet!T142),0))</f>
        <v>0</v>
      </c>
      <c r="X191" s="179">
        <f>IF($G191=0,0,ROUND(($G191*(1+Assumptions_Dashboard!$D$114)+(1+Assumptions_Dashboard!$D$115)*Fleet!U142),0))</f>
        <v>0</v>
      </c>
      <c r="Y191" s="179">
        <f>IF($G191=0,0,ROUND(($G191*(1+Assumptions_Dashboard!$D$114)+(1+Assumptions_Dashboard!$D$115)*Fleet!V142),0))</f>
        <v>0</v>
      </c>
      <c r="Z191" s="179">
        <f>IF($G191=0,0,ROUND(($G191*(1+Assumptions_Dashboard!$D$114)+(1+Assumptions_Dashboard!$D$115)*Fleet!W142),0))</f>
        <v>0</v>
      </c>
      <c r="AA191" s="179">
        <f>IF($G191=0,0,ROUND(($G191*(1+Assumptions_Dashboard!$D$114)+(1+Assumptions_Dashboard!$D$115)*Fleet!X142),0))</f>
        <v>0</v>
      </c>
      <c r="AB191" s="179">
        <f>IF($G191=0,0,ROUND(($G191*(1+Assumptions_Dashboard!$D$114)+(1+Assumptions_Dashboard!$D$115)*Fleet!Y142),0))</f>
        <v>0</v>
      </c>
      <c r="AC191" s="179">
        <f>IF($G191=0,0,ROUND(($G191*(1+Assumptions_Dashboard!$D$114)+(1+Assumptions_Dashboard!$D$115)*Fleet!Z142),0))</f>
        <v>0</v>
      </c>
      <c r="AD191" s="179">
        <f>IF($G191=0,0,ROUND(($G191*(1+Assumptions_Dashboard!$D$114)+(1+Assumptions_Dashboard!$D$115)*Fleet!AA142),0))</f>
        <v>0</v>
      </c>
      <c r="AE191" s="179">
        <f>IF($G191=0,0,ROUND(($G191*(1+Assumptions_Dashboard!$D$114)+(1+Assumptions_Dashboard!$D$115)*Fleet!AB142),0))</f>
        <v>0</v>
      </c>
      <c r="AF191" s="179">
        <f>IF($G191=0,0,ROUND(($G191*(1+Assumptions_Dashboard!$D$114)+(1+Assumptions_Dashboard!$D$115)*Fleet!AC142),0))</f>
        <v>0</v>
      </c>
      <c r="AG191" s="179">
        <f>IF($G191=0,0,ROUND(($G191*(1+Assumptions_Dashboard!$D$114)+(1+Assumptions_Dashboard!$D$115)*Fleet!AD142),0))</f>
        <v>0</v>
      </c>
      <c r="AH191" s="179">
        <f>IF($G191=0,0,ROUND(($G191*(1+Assumptions_Dashboard!$D$114)+(1+Assumptions_Dashboard!$D$115)*Fleet!AE142),0))</f>
        <v>0</v>
      </c>
      <c r="AI191" s="179">
        <f>IF($G191=0,0,ROUND(($G191*(1+Assumptions_Dashboard!$D$114)+(1+Assumptions_Dashboard!$D$115)*Fleet!AF142),0))</f>
        <v>0</v>
      </c>
      <c r="AJ191" s="179">
        <f>IF($G191=0,0,ROUND(($G191*(1+Assumptions_Dashboard!$D$114)+(1+Assumptions_Dashboard!$D$115)*Fleet!AG142),0))</f>
        <v>0</v>
      </c>
      <c r="AK191" s="179">
        <f>IF($G191=0,0,ROUND(($G191*(1+Assumptions_Dashboard!$D$114)+(1+Assumptions_Dashboard!$D$115)*Fleet!AH142),0))</f>
        <v>0</v>
      </c>
      <c r="AL191" s="179">
        <f>IF($G191=0,0,ROUND(($G191*(1+Assumptions_Dashboard!$D$114)+(1+Assumptions_Dashboard!$D$115)*Fleet!AI142),0))</f>
        <v>0</v>
      </c>
      <c r="AM191" s="179">
        <f>IF($G191=0,0,ROUND(($G191*(1+Assumptions_Dashboard!$D$114)+(1+Assumptions_Dashboard!$D$115)*Fleet!AJ142),0))</f>
        <v>0</v>
      </c>
      <c r="AN191" s="179"/>
      <c r="AO191" s="179"/>
      <c r="AP191" s="179"/>
      <c r="AQ191" s="179"/>
      <c r="AR191" s="179"/>
      <c r="AS191" s="179"/>
    </row>
    <row r="192" spans="2:45">
      <c r="B192" s="250"/>
      <c r="C192" s="661" t="str">
        <f>Fleet!C143</f>
        <v>Diesel hydraulic Shovel/ 3.4 cum</v>
      </c>
      <c r="D192" s="257"/>
      <c r="E192" s="121" t="s">
        <v>740</v>
      </c>
      <c r="F192" s="205" t="s">
        <v>216</v>
      </c>
      <c r="G192">
        <f>IF(Sensitivity!$C$42="Departmental",0,3)</f>
        <v>0</v>
      </c>
      <c r="H192" s="366">
        <f>IFERROR(VLOOKUP(F192,Assumptions_Dashboard!$C$38:$D$72,4,FALSE),)</f>
        <v>0</v>
      </c>
      <c r="J192" s="179"/>
      <c r="K192" s="179"/>
      <c r="L192" s="179"/>
      <c r="M192" s="179"/>
      <c r="N192" s="179">
        <f>IF($G192=0,0,ROUND(($G192*(1+Assumptions_Dashboard!$D$114)+(1+Assumptions_Dashboard!$D$115)*Fleet!K143),0))</f>
        <v>0</v>
      </c>
      <c r="O192" s="179">
        <f>IF($G192=0,0,ROUND(($G192*(1+Assumptions_Dashboard!$D$114)+(1+Assumptions_Dashboard!$D$115)*Fleet!L143),0))</f>
        <v>0</v>
      </c>
      <c r="P192" s="179">
        <f>IF($G192=0,0,ROUND(($G192*(1+Assumptions_Dashboard!$D$114)+(1+Assumptions_Dashboard!$D$115)*Fleet!M143),0))</f>
        <v>0</v>
      </c>
      <c r="Q192" s="179">
        <f>IF($G192=0,0,ROUND(($G192*(1+Assumptions_Dashboard!$D$114)+(1+Assumptions_Dashboard!$D$115)*Fleet!N143),0))</f>
        <v>0</v>
      </c>
      <c r="R192" s="179">
        <f>IF($G192=0,0,ROUND(($G192*(1+Assumptions_Dashboard!$D$114)+(1+Assumptions_Dashboard!$D$115)*Fleet!O143),0))</f>
        <v>0</v>
      </c>
      <c r="S192" s="179">
        <f>IF($G192=0,0,ROUND(($G192*(1+Assumptions_Dashboard!$D$114)+(1+Assumptions_Dashboard!$D$115)*Fleet!P143),0))</f>
        <v>0</v>
      </c>
      <c r="T192" s="179">
        <f>IF($G192=0,0,ROUND(($G192*(1+Assumptions_Dashboard!$D$114)+(1+Assumptions_Dashboard!$D$115)*Fleet!Q143),0))</f>
        <v>0</v>
      </c>
      <c r="U192" s="179">
        <f>IF($G192=0,0,ROUND(($G192*(1+Assumptions_Dashboard!$D$114)+(1+Assumptions_Dashboard!$D$115)*Fleet!R143),0))</f>
        <v>0</v>
      </c>
      <c r="V192" s="179">
        <f>IF($G192=0,0,ROUND(($G192*(1+Assumptions_Dashboard!$D$114)+(1+Assumptions_Dashboard!$D$115)*Fleet!S143),0))</f>
        <v>0</v>
      </c>
      <c r="W192" s="179">
        <f>IF($G192=0,0,ROUND(($G192*(1+Assumptions_Dashboard!$D$114)+(1+Assumptions_Dashboard!$D$115)*Fleet!T143),0))</f>
        <v>0</v>
      </c>
      <c r="X192" s="179">
        <f>IF($G192=0,0,ROUND(($G192*(1+Assumptions_Dashboard!$D$114)+(1+Assumptions_Dashboard!$D$115)*Fleet!U143),0))</f>
        <v>0</v>
      </c>
      <c r="Y192" s="179">
        <f>IF($G192=0,0,ROUND(($G192*(1+Assumptions_Dashboard!$D$114)+(1+Assumptions_Dashboard!$D$115)*Fleet!V143),0))</f>
        <v>0</v>
      </c>
      <c r="Z192" s="179">
        <f>IF($G192=0,0,ROUND(($G192*(1+Assumptions_Dashboard!$D$114)+(1+Assumptions_Dashboard!$D$115)*Fleet!W143),0))</f>
        <v>0</v>
      </c>
      <c r="AA192" s="179">
        <f>IF($G192=0,0,ROUND(($G192*(1+Assumptions_Dashboard!$D$114)+(1+Assumptions_Dashboard!$D$115)*Fleet!X143),0))</f>
        <v>0</v>
      </c>
      <c r="AB192" s="179">
        <f>IF($G192=0,0,ROUND(($G192*(1+Assumptions_Dashboard!$D$114)+(1+Assumptions_Dashboard!$D$115)*Fleet!Y143),0))</f>
        <v>0</v>
      </c>
      <c r="AC192" s="179">
        <f>IF($G192=0,0,ROUND(($G192*(1+Assumptions_Dashboard!$D$114)+(1+Assumptions_Dashboard!$D$115)*Fleet!Z143),0))</f>
        <v>0</v>
      </c>
      <c r="AD192" s="179">
        <f>IF($G192=0,0,ROUND(($G192*(1+Assumptions_Dashboard!$D$114)+(1+Assumptions_Dashboard!$D$115)*Fleet!AA143),0))</f>
        <v>0</v>
      </c>
      <c r="AE192" s="179">
        <f>IF($G192=0,0,ROUND(($G192*(1+Assumptions_Dashboard!$D$114)+(1+Assumptions_Dashboard!$D$115)*Fleet!AB143),0))</f>
        <v>0</v>
      </c>
      <c r="AF192" s="179">
        <f>IF($G192=0,0,ROUND(($G192*(1+Assumptions_Dashboard!$D$114)+(1+Assumptions_Dashboard!$D$115)*Fleet!AC143),0))</f>
        <v>0</v>
      </c>
      <c r="AG192" s="179">
        <f>IF($G192=0,0,ROUND(($G192*(1+Assumptions_Dashboard!$D$114)+(1+Assumptions_Dashboard!$D$115)*Fleet!AD143),0))</f>
        <v>0</v>
      </c>
      <c r="AH192" s="179">
        <f>IF($G192=0,0,ROUND(($G192*(1+Assumptions_Dashboard!$D$114)+(1+Assumptions_Dashboard!$D$115)*Fleet!AE143),0))</f>
        <v>0</v>
      </c>
      <c r="AI192" s="179">
        <f>IF($G192=0,0,ROUND(($G192*(1+Assumptions_Dashboard!$D$114)+(1+Assumptions_Dashboard!$D$115)*Fleet!AF143),0))</f>
        <v>0</v>
      </c>
      <c r="AJ192" s="179">
        <f>IF($G192=0,0,ROUND(($G192*(1+Assumptions_Dashboard!$D$114)+(1+Assumptions_Dashboard!$D$115)*Fleet!AG143),0))</f>
        <v>0</v>
      </c>
      <c r="AK192" s="179">
        <f>IF($G192=0,0,ROUND(($G192*(1+Assumptions_Dashboard!$D$114)+(1+Assumptions_Dashboard!$D$115)*Fleet!AH143),0))</f>
        <v>0</v>
      </c>
      <c r="AL192" s="179">
        <f>IF($G192=0,0,ROUND(($G192*(1+Assumptions_Dashboard!$D$114)+(1+Assumptions_Dashboard!$D$115)*Fleet!AI143),0))</f>
        <v>0</v>
      </c>
      <c r="AM192" s="179">
        <f>IF($G192=0,0,ROUND(($G192*(1+Assumptions_Dashboard!$D$114)+(1+Assumptions_Dashboard!$D$115)*Fleet!AJ143),0))</f>
        <v>0</v>
      </c>
      <c r="AN192" s="179"/>
      <c r="AO192" s="179"/>
      <c r="AP192" s="179"/>
      <c r="AQ192" s="179"/>
      <c r="AR192" s="179"/>
      <c r="AS192" s="179"/>
    </row>
    <row r="193" spans="2:45">
      <c r="B193" s="250"/>
      <c r="C193" s="661" t="str">
        <f>Fleet!C144</f>
        <v>Surface Miner/ 2200 SM</v>
      </c>
      <c r="D193" s="257"/>
      <c r="E193" s="121" t="s">
        <v>740</v>
      </c>
      <c r="F193" s="205" t="s">
        <v>216</v>
      </c>
      <c r="G193">
        <f>IF(Sensitivity!$C$42="Departmental",0,3)</f>
        <v>0</v>
      </c>
      <c r="H193" s="366">
        <f>IFERROR(VLOOKUP(F193,Assumptions_Dashboard!$C$38:$D$72,4,FALSE),)</f>
        <v>0</v>
      </c>
      <c r="J193" s="179"/>
      <c r="K193" s="179"/>
      <c r="L193" s="179"/>
      <c r="M193" s="179"/>
      <c r="N193" s="179">
        <f>IF($G193=0,0,ROUND(($G193*(1+Assumptions_Dashboard!$D$114)+(1+Assumptions_Dashboard!$D$115)*Fleet!K144),0))</f>
        <v>0</v>
      </c>
      <c r="O193" s="179">
        <f>IF($G193=0,0,ROUND(($G193*(1+Assumptions_Dashboard!$D$114)+(1+Assumptions_Dashboard!$D$115)*Fleet!L144),0))</f>
        <v>0</v>
      </c>
      <c r="P193" s="179">
        <f>IF($G193=0,0,ROUND(($G193*(1+Assumptions_Dashboard!$D$114)+(1+Assumptions_Dashboard!$D$115)*Fleet!M144),0))</f>
        <v>0</v>
      </c>
      <c r="Q193" s="179">
        <f>IF($G193=0,0,ROUND(($G193*(1+Assumptions_Dashboard!$D$114)+(1+Assumptions_Dashboard!$D$115)*Fleet!N144),0))</f>
        <v>0</v>
      </c>
      <c r="R193" s="179">
        <f>IF($G193=0,0,ROUND(($G193*(1+Assumptions_Dashboard!$D$114)+(1+Assumptions_Dashboard!$D$115)*Fleet!O144),0))</f>
        <v>0</v>
      </c>
      <c r="S193" s="179">
        <f>IF($G193=0,0,ROUND(($G193*(1+Assumptions_Dashboard!$D$114)+(1+Assumptions_Dashboard!$D$115)*Fleet!P144),0))</f>
        <v>0</v>
      </c>
      <c r="T193" s="179">
        <f>IF($G193=0,0,ROUND(($G193*(1+Assumptions_Dashboard!$D$114)+(1+Assumptions_Dashboard!$D$115)*Fleet!Q144),0))</f>
        <v>0</v>
      </c>
      <c r="U193" s="179">
        <f>IF($G193=0,0,ROUND(($G193*(1+Assumptions_Dashboard!$D$114)+(1+Assumptions_Dashboard!$D$115)*Fleet!R144),0))</f>
        <v>0</v>
      </c>
      <c r="V193" s="179">
        <f>IF($G193=0,0,ROUND(($G193*(1+Assumptions_Dashboard!$D$114)+(1+Assumptions_Dashboard!$D$115)*Fleet!S144),0))</f>
        <v>0</v>
      </c>
      <c r="W193" s="179">
        <f>IF($G193=0,0,ROUND(($G193*(1+Assumptions_Dashboard!$D$114)+(1+Assumptions_Dashboard!$D$115)*Fleet!T144),0))</f>
        <v>0</v>
      </c>
      <c r="X193" s="179">
        <f>IF($G193=0,0,ROUND(($G193*(1+Assumptions_Dashboard!$D$114)+(1+Assumptions_Dashboard!$D$115)*Fleet!U144),0))</f>
        <v>0</v>
      </c>
      <c r="Y193" s="179">
        <f>IF($G193=0,0,ROUND(($G193*(1+Assumptions_Dashboard!$D$114)+(1+Assumptions_Dashboard!$D$115)*Fleet!V144),0))</f>
        <v>0</v>
      </c>
      <c r="Z193" s="179">
        <f>IF($G193=0,0,ROUND(($G193*(1+Assumptions_Dashboard!$D$114)+(1+Assumptions_Dashboard!$D$115)*Fleet!W144),0))</f>
        <v>0</v>
      </c>
      <c r="AA193" s="179">
        <f>IF($G193=0,0,ROUND(($G193*(1+Assumptions_Dashboard!$D$114)+(1+Assumptions_Dashboard!$D$115)*Fleet!X144),0))</f>
        <v>0</v>
      </c>
      <c r="AB193" s="179">
        <f>IF($G193=0,0,ROUND(($G193*(1+Assumptions_Dashboard!$D$114)+(1+Assumptions_Dashboard!$D$115)*Fleet!Y144),0))</f>
        <v>0</v>
      </c>
      <c r="AC193" s="179">
        <f>IF($G193=0,0,ROUND(($G193*(1+Assumptions_Dashboard!$D$114)+(1+Assumptions_Dashboard!$D$115)*Fleet!Z144),0))</f>
        <v>0</v>
      </c>
      <c r="AD193" s="179">
        <f>IF($G193=0,0,ROUND(($G193*(1+Assumptions_Dashboard!$D$114)+(1+Assumptions_Dashboard!$D$115)*Fleet!AA144),0))</f>
        <v>0</v>
      </c>
      <c r="AE193" s="179">
        <f>IF($G193=0,0,ROUND(($G193*(1+Assumptions_Dashboard!$D$114)+(1+Assumptions_Dashboard!$D$115)*Fleet!AB144),0))</f>
        <v>0</v>
      </c>
      <c r="AF193" s="179">
        <f>IF($G193=0,0,ROUND(($G193*(1+Assumptions_Dashboard!$D$114)+(1+Assumptions_Dashboard!$D$115)*Fleet!AC144),0))</f>
        <v>0</v>
      </c>
      <c r="AG193" s="179">
        <f>IF($G193=0,0,ROUND(($G193*(1+Assumptions_Dashboard!$D$114)+(1+Assumptions_Dashboard!$D$115)*Fleet!AD144),0))</f>
        <v>0</v>
      </c>
      <c r="AH193" s="179">
        <f>IF($G193=0,0,ROUND(($G193*(1+Assumptions_Dashboard!$D$114)+(1+Assumptions_Dashboard!$D$115)*Fleet!AE144),0))</f>
        <v>0</v>
      </c>
      <c r="AI193" s="179">
        <f>IF($G193=0,0,ROUND(($G193*(1+Assumptions_Dashboard!$D$114)+(1+Assumptions_Dashboard!$D$115)*Fleet!AF144),0))</f>
        <v>0</v>
      </c>
      <c r="AJ193" s="179">
        <f>IF($G193=0,0,ROUND(($G193*(1+Assumptions_Dashboard!$D$114)+(1+Assumptions_Dashboard!$D$115)*Fleet!AG144),0))</f>
        <v>0</v>
      </c>
      <c r="AK193" s="179">
        <f>IF($G193=0,0,ROUND(($G193*(1+Assumptions_Dashboard!$D$114)+(1+Assumptions_Dashboard!$D$115)*Fleet!AH144),0))</f>
        <v>0</v>
      </c>
      <c r="AL193" s="179">
        <f>IF($G193=0,0,ROUND(($G193*(1+Assumptions_Dashboard!$D$114)+(1+Assumptions_Dashboard!$D$115)*Fleet!AI144),0))</f>
        <v>0</v>
      </c>
      <c r="AM193" s="179">
        <f>IF($G193=0,0,ROUND(($G193*(1+Assumptions_Dashboard!$D$114)+(1+Assumptions_Dashboard!$D$115)*Fleet!AJ144),0))</f>
        <v>0</v>
      </c>
      <c r="AN193" s="179"/>
      <c r="AO193" s="179"/>
      <c r="AP193" s="179"/>
      <c r="AQ193" s="179"/>
      <c r="AR193" s="179"/>
      <c r="AS193" s="179"/>
    </row>
    <row r="194" spans="2:45">
      <c r="B194" s="250"/>
      <c r="C194" s="661" t="str">
        <f>Fleet!C145</f>
        <v>Front End Loader/ 6.4 cum</v>
      </c>
      <c r="D194" s="257"/>
      <c r="E194" s="121" t="s">
        <v>740</v>
      </c>
      <c r="F194" s="205" t="s">
        <v>220</v>
      </c>
      <c r="G194">
        <f>IF(Sensitivity!$C$42="Departmental",0,3)</f>
        <v>0</v>
      </c>
      <c r="H194" s="366">
        <f>IFERROR(VLOOKUP(F194,Assumptions_Dashboard!$C$38:$D$72,4,FALSE),)</f>
        <v>0</v>
      </c>
      <c r="J194" s="179"/>
      <c r="K194" s="179"/>
      <c r="L194" s="179"/>
      <c r="M194" s="179"/>
      <c r="N194" s="179">
        <f>IF($G194=0,0,ROUND(($G194*(1+Assumptions_Dashboard!$D$114)+(1+Assumptions_Dashboard!$D$115)*Fleet!K145),0))</f>
        <v>0</v>
      </c>
      <c r="O194" s="179">
        <f>IF($G194=0,0,ROUND(($G194*(1+Assumptions_Dashboard!$D$114)+(1+Assumptions_Dashboard!$D$115)*Fleet!L145),0))</f>
        <v>0</v>
      </c>
      <c r="P194" s="179">
        <f>IF($G194=0,0,ROUND(($G194*(1+Assumptions_Dashboard!$D$114)+(1+Assumptions_Dashboard!$D$115)*Fleet!M145),0))</f>
        <v>0</v>
      </c>
      <c r="Q194" s="179">
        <f>IF($G194=0,0,ROUND(($G194*(1+Assumptions_Dashboard!$D$114)+(1+Assumptions_Dashboard!$D$115)*Fleet!N145),0))</f>
        <v>0</v>
      </c>
      <c r="R194" s="179">
        <f>IF($G194=0,0,ROUND(($G194*(1+Assumptions_Dashboard!$D$114)+(1+Assumptions_Dashboard!$D$115)*Fleet!O145),0))</f>
        <v>0</v>
      </c>
      <c r="S194" s="179">
        <f>IF($G194=0,0,ROUND(($G194*(1+Assumptions_Dashboard!$D$114)+(1+Assumptions_Dashboard!$D$115)*Fleet!P145),0))</f>
        <v>0</v>
      </c>
      <c r="T194" s="179">
        <f>IF($G194=0,0,ROUND(($G194*(1+Assumptions_Dashboard!$D$114)+(1+Assumptions_Dashboard!$D$115)*Fleet!Q145),0))</f>
        <v>0</v>
      </c>
      <c r="U194" s="179">
        <f>IF($G194=0,0,ROUND(($G194*(1+Assumptions_Dashboard!$D$114)+(1+Assumptions_Dashboard!$D$115)*Fleet!R145),0))</f>
        <v>0</v>
      </c>
      <c r="V194" s="179">
        <f>IF($G194=0,0,ROUND(($G194*(1+Assumptions_Dashboard!$D$114)+(1+Assumptions_Dashboard!$D$115)*Fleet!S145),0))</f>
        <v>0</v>
      </c>
      <c r="W194" s="179">
        <f>IF($G194=0,0,ROUND(($G194*(1+Assumptions_Dashboard!$D$114)+(1+Assumptions_Dashboard!$D$115)*Fleet!T145),0))</f>
        <v>0</v>
      </c>
      <c r="X194" s="179">
        <f>IF($G194=0,0,ROUND(($G194*(1+Assumptions_Dashboard!$D$114)+(1+Assumptions_Dashboard!$D$115)*Fleet!U145),0))</f>
        <v>0</v>
      </c>
      <c r="Y194" s="179">
        <f>IF($G194=0,0,ROUND(($G194*(1+Assumptions_Dashboard!$D$114)+(1+Assumptions_Dashboard!$D$115)*Fleet!V145),0))</f>
        <v>0</v>
      </c>
      <c r="Z194" s="179">
        <f>IF($G194=0,0,ROUND(($G194*(1+Assumptions_Dashboard!$D$114)+(1+Assumptions_Dashboard!$D$115)*Fleet!W145),0))</f>
        <v>0</v>
      </c>
      <c r="AA194" s="179">
        <f>IF($G194=0,0,ROUND(($G194*(1+Assumptions_Dashboard!$D$114)+(1+Assumptions_Dashboard!$D$115)*Fleet!X145),0))</f>
        <v>0</v>
      </c>
      <c r="AB194" s="179">
        <f>IF($G194=0,0,ROUND(($G194*(1+Assumptions_Dashboard!$D$114)+(1+Assumptions_Dashboard!$D$115)*Fleet!Y145),0))</f>
        <v>0</v>
      </c>
      <c r="AC194" s="179">
        <f>IF($G194=0,0,ROUND(($G194*(1+Assumptions_Dashboard!$D$114)+(1+Assumptions_Dashboard!$D$115)*Fleet!Z145),0))</f>
        <v>0</v>
      </c>
      <c r="AD194" s="179">
        <f>IF($G194=0,0,ROUND(($G194*(1+Assumptions_Dashboard!$D$114)+(1+Assumptions_Dashboard!$D$115)*Fleet!AA145),0))</f>
        <v>0</v>
      </c>
      <c r="AE194" s="179">
        <f>IF($G194=0,0,ROUND(($G194*(1+Assumptions_Dashboard!$D$114)+(1+Assumptions_Dashboard!$D$115)*Fleet!AB145),0))</f>
        <v>0</v>
      </c>
      <c r="AF194" s="179">
        <f>IF($G194=0,0,ROUND(($G194*(1+Assumptions_Dashboard!$D$114)+(1+Assumptions_Dashboard!$D$115)*Fleet!AC145),0))</f>
        <v>0</v>
      </c>
      <c r="AG194" s="179">
        <f>IF($G194=0,0,ROUND(($G194*(1+Assumptions_Dashboard!$D$114)+(1+Assumptions_Dashboard!$D$115)*Fleet!AD145),0))</f>
        <v>0</v>
      </c>
      <c r="AH194" s="179">
        <f>IF($G194=0,0,ROUND(($G194*(1+Assumptions_Dashboard!$D$114)+(1+Assumptions_Dashboard!$D$115)*Fleet!AE145),0))</f>
        <v>0</v>
      </c>
      <c r="AI194" s="179">
        <f>IF($G194=0,0,ROUND(($G194*(1+Assumptions_Dashboard!$D$114)+(1+Assumptions_Dashboard!$D$115)*Fleet!AF145),0))</f>
        <v>0</v>
      </c>
      <c r="AJ194" s="179">
        <f>IF($G194=0,0,ROUND(($G194*(1+Assumptions_Dashboard!$D$114)+(1+Assumptions_Dashboard!$D$115)*Fleet!AG145),0))</f>
        <v>0</v>
      </c>
      <c r="AK194" s="179">
        <f>IF($G194=0,0,ROUND(($G194*(1+Assumptions_Dashboard!$D$114)+(1+Assumptions_Dashboard!$D$115)*Fleet!AH145),0))</f>
        <v>0</v>
      </c>
      <c r="AL194" s="179">
        <f>IF($G194=0,0,ROUND(($G194*(1+Assumptions_Dashboard!$D$114)+(1+Assumptions_Dashboard!$D$115)*Fleet!AI145),0))</f>
        <v>0</v>
      </c>
      <c r="AM194" s="179">
        <f>IF($G194=0,0,ROUND(($G194*(1+Assumptions_Dashboard!$D$114)+(1+Assumptions_Dashboard!$D$115)*Fleet!AJ145),0))</f>
        <v>0</v>
      </c>
      <c r="AN194" s="179"/>
      <c r="AO194" s="179"/>
      <c r="AP194" s="179"/>
      <c r="AQ194" s="179"/>
      <c r="AR194" s="179"/>
      <c r="AS194" s="179"/>
    </row>
    <row r="195" spans="2:45">
      <c r="B195" s="250"/>
      <c r="C195" s="661" t="str">
        <f>Fleet!C146</f>
        <v>Front End Loader/ 1.7cum</v>
      </c>
      <c r="D195" s="257"/>
      <c r="E195" s="121" t="s">
        <v>740</v>
      </c>
      <c r="F195" s="205" t="s">
        <v>220</v>
      </c>
      <c r="G195">
        <f>IF(Sensitivity!$C$42="Departmental",0,3)</f>
        <v>0</v>
      </c>
      <c r="H195" s="366">
        <f>IFERROR(VLOOKUP(F195,Assumptions_Dashboard!$C$38:$D$72,4,FALSE),)</f>
        <v>0</v>
      </c>
      <c r="J195" s="179"/>
      <c r="K195" s="179"/>
      <c r="L195" s="179"/>
      <c r="M195" s="179"/>
      <c r="N195" s="179">
        <f>IF($G195=0,0,ROUND(($G195*(1+Assumptions_Dashboard!$D$114)+(1+Assumptions_Dashboard!$D$115)*Fleet!K146),0))</f>
        <v>0</v>
      </c>
      <c r="O195" s="179">
        <f>IF($G195=0,0,ROUND(($G195*(1+Assumptions_Dashboard!$D$114)+(1+Assumptions_Dashboard!$D$115)*Fleet!L146),0))</f>
        <v>0</v>
      </c>
      <c r="P195" s="179">
        <f>IF($G195=0,0,ROUND(($G195*(1+Assumptions_Dashboard!$D$114)+(1+Assumptions_Dashboard!$D$115)*Fleet!M146),0))</f>
        <v>0</v>
      </c>
      <c r="Q195" s="179">
        <f>IF($G195=0,0,ROUND(($G195*(1+Assumptions_Dashboard!$D$114)+(1+Assumptions_Dashboard!$D$115)*Fleet!N146),0))</f>
        <v>0</v>
      </c>
      <c r="R195" s="179">
        <f>IF($G195=0,0,ROUND(($G195*(1+Assumptions_Dashboard!$D$114)+(1+Assumptions_Dashboard!$D$115)*Fleet!O146),0))</f>
        <v>0</v>
      </c>
      <c r="S195" s="179">
        <f>IF($G195=0,0,ROUND(($G195*(1+Assumptions_Dashboard!$D$114)+(1+Assumptions_Dashboard!$D$115)*Fleet!P146),0))</f>
        <v>0</v>
      </c>
      <c r="T195" s="179">
        <f>IF($G195=0,0,ROUND(($G195*(1+Assumptions_Dashboard!$D$114)+(1+Assumptions_Dashboard!$D$115)*Fleet!Q146),0))</f>
        <v>0</v>
      </c>
      <c r="U195" s="179">
        <f>IF($G195=0,0,ROUND(($G195*(1+Assumptions_Dashboard!$D$114)+(1+Assumptions_Dashboard!$D$115)*Fleet!R146),0))</f>
        <v>0</v>
      </c>
      <c r="V195" s="179">
        <f>IF($G195=0,0,ROUND(($G195*(1+Assumptions_Dashboard!$D$114)+(1+Assumptions_Dashboard!$D$115)*Fleet!S146),0))</f>
        <v>0</v>
      </c>
      <c r="W195" s="179">
        <f>IF($G195=0,0,ROUND(($G195*(1+Assumptions_Dashboard!$D$114)+(1+Assumptions_Dashboard!$D$115)*Fleet!T146),0))</f>
        <v>0</v>
      </c>
      <c r="X195" s="179">
        <f>IF($G195=0,0,ROUND(($G195*(1+Assumptions_Dashboard!$D$114)+(1+Assumptions_Dashboard!$D$115)*Fleet!U146),0))</f>
        <v>0</v>
      </c>
      <c r="Y195" s="179">
        <f>IF($G195=0,0,ROUND(($G195*(1+Assumptions_Dashboard!$D$114)+(1+Assumptions_Dashboard!$D$115)*Fleet!V146),0))</f>
        <v>0</v>
      </c>
      <c r="Z195" s="179">
        <f>IF($G195=0,0,ROUND(($G195*(1+Assumptions_Dashboard!$D$114)+(1+Assumptions_Dashboard!$D$115)*Fleet!W146),0))</f>
        <v>0</v>
      </c>
      <c r="AA195" s="179">
        <f>IF($G195=0,0,ROUND(($G195*(1+Assumptions_Dashboard!$D$114)+(1+Assumptions_Dashboard!$D$115)*Fleet!X146),0))</f>
        <v>0</v>
      </c>
      <c r="AB195" s="179">
        <f>IF($G195=0,0,ROUND(($G195*(1+Assumptions_Dashboard!$D$114)+(1+Assumptions_Dashboard!$D$115)*Fleet!Y146),0))</f>
        <v>0</v>
      </c>
      <c r="AC195" s="179">
        <f>IF($G195=0,0,ROUND(($G195*(1+Assumptions_Dashboard!$D$114)+(1+Assumptions_Dashboard!$D$115)*Fleet!Z146),0))</f>
        <v>0</v>
      </c>
      <c r="AD195" s="179">
        <f>IF($G195=0,0,ROUND(($G195*(1+Assumptions_Dashboard!$D$114)+(1+Assumptions_Dashboard!$D$115)*Fleet!AA146),0))</f>
        <v>0</v>
      </c>
      <c r="AE195" s="179">
        <f>IF($G195=0,0,ROUND(($G195*(1+Assumptions_Dashboard!$D$114)+(1+Assumptions_Dashboard!$D$115)*Fleet!AB146),0))</f>
        <v>0</v>
      </c>
      <c r="AF195" s="179">
        <f>IF($G195=0,0,ROUND(($G195*(1+Assumptions_Dashboard!$D$114)+(1+Assumptions_Dashboard!$D$115)*Fleet!AC146),0))</f>
        <v>0</v>
      </c>
      <c r="AG195" s="179">
        <f>IF($G195=0,0,ROUND(($G195*(1+Assumptions_Dashboard!$D$114)+(1+Assumptions_Dashboard!$D$115)*Fleet!AD146),0))</f>
        <v>0</v>
      </c>
      <c r="AH195" s="179">
        <f>IF($G195=0,0,ROUND(($G195*(1+Assumptions_Dashboard!$D$114)+(1+Assumptions_Dashboard!$D$115)*Fleet!AE146),0))</f>
        <v>0</v>
      </c>
      <c r="AI195" s="179">
        <f>IF($G195=0,0,ROUND(($G195*(1+Assumptions_Dashboard!$D$114)+(1+Assumptions_Dashboard!$D$115)*Fleet!AF146),0))</f>
        <v>0</v>
      </c>
      <c r="AJ195" s="179">
        <f>IF($G195=0,0,ROUND(($G195*(1+Assumptions_Dashboard!$D$114)+(1+Assumptions_Dashboard!$D$115)*Fleet!AG146),0))</f>
        <v>0</v>
      </c>
      <c r="AK195" s="179">
        <f>IF($G195=0,0,ROUND(($G195*(1+Assumptions_Dashboard!$D$114)+(1+Assumptions_Dashboard!$D$115)*Fleet!AH146),0))</f>
        <v>0</v>
      </c>
      <c r="AL195" s="179">
        <f>IF($G195=0,0,ROUND(($G195*(1+Assumptions_Dashboard!$D$114)+(1+Assumptions_Dashboard!$D$115)*Fleet!AI146),0))</f>
        <v>0</v>
      </c>
      <c r="AM195" s="179">
        <f>IF($G195=0,0,ROUND(($G195*(1+Assumptions_Dashboard!$D$114)+(1+Assumptions_Dashboard!$D$115)*Fleet!AJ146),0))</f>
        <v>0</v>
      </c>
      <c r="AN195" s="179"/>
      <c r="AO195" s="179"/>
      <c r="AP195" s="179"/>
      <c r="AQ195" s="179"/>
      <c r="AR195" s="179"/>
      <c r="AS195" s="179"/>
    </row>
    <row r="196" spans="2:45">
      <c r="B196" s="250"/>
      <c r="C196" s="661" t="str">
        <f>Fleet!C147</f>
        <v>Tipper/ 20t</v>
      </c>
      <c r="D196" s="257"/>
      <c r="E196" s="121" t="s">
        <v>740</v>
      </c>
      <c r="F196" s="205" t="s">
        <v>218</v>
      </c>
      <c r="G196">
        <f>IF(Sensitivity!$C$42="Departmental",0,3)</f>
        <v>0</v>
      </c>
      <c r="H196" s="366">
        <f>IFERROR(VLOOKUP(F196,Assumptions_Dashboard!$C$38:$D$72,4,FALSE),)</f>
        <v>0</v>
      </c>
      <c r="J196" s="179"/>
      <c r="K196" s="179"/>
      <c r="L196" s="179"/>
      <c r="M196" s="179"/>
      <c r="N196" s="179">
        <f>IF($G196=0,0,ROUND(($G196*(1+Assumptions_Dashboard!$D$114)+(1+Assumptions_Dashboard!$D$115)*Fleet!K147),0))</f>
        <v>0</v>
      </c>
      <c r="O196" s="179">
        <f>IF($G196=0,0,ROUND(($G196*(1+Assumptions_Dashboard!$D$114)+(1+Assumptions_Dashboard!$D$115)*Fleet!L147),0))</f>
        <v>0</v>
      </c>
      <c r="P196" s="179">
        <f>IF($G196=0,0,ROUND(($G196*(1+Assumptions_Dashboard!$D$114)+(1+Assumptions_Dashboard!$D$115)*Fleet!M147),0))</f>
        <v>0</v>
      </c>
      <c r="Q196" s="179">
        <f>IF($G196=0,0,ROUND(($G196*(1+Assumptions_Dashboard!$D$114)+(1+Assumptions_Dashboard!$D$115)*Fleet!N147),0))</f>
        <v>0</v>
      </c>
      <c r="R196" s="179">
        <f>IF($G196=0,0,ROUND(($G196*(1+Assumptions_Dashboard!$D$114)+(1+Assumptions_Dashboard!$D$115)*Fleet!O147),0))</f>
        <v>0</v>
      </c>
      <c r="S196" s="179">
        <f>IF($G196=0,0,ROUND(($G196*(1+Assumptions_Dashboard!$D$114)+(1+Assumptions_Dashboard!$D$115)*Fleet!P147),0))</f>
        <v>0</v>
      </c>
      <c r="T196" s="179">
        <f>IF($G196=0,0,ROUND(($G196*(1+Assumptions_Dashboard!$D$114)+(1+Assumptions_Dashboard!$D$115)*Fleet!Q147),0))</f>
        <v>0</v>
      </c>
      <c r="U196" s="179">
        <f>IF($G196=0,0,ROUND(($G196*(1+Assumptions_Dashboard!$D$114)+(1+Assumptions_Dashboard!$D$115)*Fleet!R147),0))</f>
        <v>0</v>
      </c>
      <c r="V196" s="179">
        <f>IF($G196=0,0,ROUND(($G196*(1+Assumptions_Dashboard!$D$114)+(1+Assumptions_Dashboard!$D$115)*Fleet!S147),0))</f>
        <v>0</v>
      </c>
      <c r="W196" s="179">
        <f>IF($G196=0,0,ROUND(($G196*(1+Assumptions_Dashboard!$D$114)+(1+Assumptions_Dashboard!$D$115)*Fleet!T147),0))</f>
        <v>0</v>
      </c>
      <c r="X196" s="179">
        <f>IF($G196=0,0,ROUND(($G196*(1+Assumptions_Dashboard!$D$114)+(1+Assumptions_Dashboard!$D$115)*Fleet!U147),0))</f>
        <v>0</v>
      </c>
      <c r="Y196" s="179">
        <f>IF($G196=0,0,ROUND(($G196*(1+Assumptions_Dashboard!$D$114)+(1+Assumptions_Dashboard!$D$115)*Fleet!V147),0))</f>
        <v>0</v>
      </c>
      <c r="Z196" s="179">
        <f>IF($G196=0,0,ROUND(($G196*(1+Assumptions_Dashboard!$D$114)+(1+Assumptions_Dashboard!$D$115)*Fleet!W147),0))</f>
        <v>0</v>
      </c>
      <c r="AA196" s="179">
        <f>IF($G196=0,0,ROUND(($G196*(1+Assumptions_Dashboard!$D$114)+(1+Assumptions_Dashboard!$D$115)*Fleet!X147),0))</f>
        <v>0</v>
      </c>
      <c r="AB196" s="179">
        <f>IF($G196=0,0,ROUND(($G196*(1+Assumptions_Dashboard!$D$114)+(1+Assumptions_Dashboard!$D$115)*Fleet!Y147),0))</f>
        <v>0</v>
      </c>
      <c r="AC196" s="179">
        <f>IF($G196=0,0,ROUND(($G196*(1+Assumptions_Dashboard!$D$114)+(1+Assumptions_Dashboard!$D$115)*Fleet!Z147),0))</f>
        <v>0</v>
      </c>
      <c r="AD196" s="179">
        <f>IF($G196=0,0,ROUND(($G196*(1+Assumptions_Dashboard!$D$114)+(1+Assumptions_Dashboard!$D$115)*Fleet!AA147),0))</f>
        <v>0</v>
      </c>
      <c r="AE196" s="179">
        <f>IF($G196=0,0,ROUND(($G196*(1+Assumptions_Dashboard!$D$114)+(1+Assumptions_Dashboard!$D$115)*Fleet!AB147),0))</f>
        <v>0</v>
      </c>
      <c r="AF196" s="179">
        <f>IF($G196=0,0,ROUND(($G196*(1+Assumptions_Dashboard!$D$114)+(1+Assumptions_Dashboard!$D$115)*Fleet!AC147),0))</f>
        <v>0</v>
      </c>
      <c r="AG196" s="179">
        <f>IF($G196=0,0,ROUND(($G196*(1+Assumptions_Dashboard!$D$114)+(1+Assumptions_Dashboard!$D$115)*Fleet!AD147),0))</f>
        <v>0</v>
      </c>
      <c r="AH196" s="179">
        <f>IF($G196=0,0,ROUND(($G196*(1+Assumptions_Dashboard!$D$114)+(1+Assumptions_Dashboard!$D$115)*Fleet!AE147),0))</f>
        <v>0</v>
      </c>
      <c r="AI196" s="179">
        <f>IF($G196=0,0,ROUND(($G196*(1+Assumptions_Dashboard!$D$114)+(1+Assumptions_Dashboard!$D$115)*Fleet!AF147),0))</f>
        <v>0</v>
      </c>
      <c r="AJ196" s="179">
        <f>IF($G196=0,0,ROUND(($G196*(1+Assumptions_Dashboard!$D$114)+(1+Assumptions_Dashboard!$D$115)*Fleet!AG147),0))</f>
        <v>0</v>
      </c>
      <c r="AK196" s="179">
        <f>IF($G196=0,0,ROUND(($G196*(1+Assumptions_Dashboard!$D$114)+(1+Assumptions_Dashboard!$D$115)*Fleet!AH147),0))</f>
        <v>0</v>
      </c>
      <c r="AL196" s="179">
        <f>IF($G196=0,0,ROUND(($G196*(1+Assumptions_Dashboard!$D$114)+(1+Assumptions_Dashboard!$D$115)*Fleet!AI147),0))</f>
        <v>0</v>
      </c>
      <c r="AM196" s="179">
        <f>IF($G196=0,0,ROUND(($G196*(1+Assumptions_Dashboard!$D$114)+(1+Assumptions_Dashboard!$D$115)*Fleet!AJ147),0))</f>
        <v>0</v>
      </c>
      <c r="AN196" s="179"/>
      <c r="AO196" s="179"/>
      <c r="AP196" s="179"/>
      <c r="AQ196" s="179"/>
      <c r="AR196" s="179"/>
      <c r="AS196" s="179"/>
    </row>
    <row r="197" spans="2:45">
      <c r="B197" s="250"/>
      <c r="C197" s="661" t="str">
        <f>Fleet!C148</f>
        <v>Tipper/ 35t</v>
      </c>
      <c r="D197" s="257"/>
      <c r="E197" s="121" t="s">
        <v>740</v>
      </c>
      <c r="F197" s="205" t="s">
        <v>216</v>
      </c>
      <c r="G197">
        <f>IF(Sensitivity!$C$42="Departmental",0,3)</f>
        <v>0</v>
      </c>
      <c r="H197" s="366">
        <f>IFERROR(VLOOKUP(F197,Assumptions_Dashboard!$C$38:$D$72,4,FALSE),)</f>
        <v>0</v>
      </c>
      <c r="J197" s="179"/>
      <c r="K197" s="179"/>
      <c r="L197" s="179"/>
      <c r="M197" s="179"/>
      <c r="N197" s="179">
        <f>IF($G197=0,0,ROUND(($G197*(1+Assumptions_Dashboard!$D$114)+(1+Assumptions_Dashboard!$D$115)*Fleet!K148),0))</f>
        <v>0</v>
      </c>
      <c r="O197" s="179">
        <f>IF($G197=0,0,ROUND(($G197*(1+Assumptions_Dashboard!$D$114)+(1+Assumptions_Dashboard!$D$115)*Fleet!L148),0))</f>
        <v>0</v>
      </c>
      <c r="P197" s="179">
        <f>IF($G197=0,0,ROUND(($G197*(1+Assumptions_Dashboard!$D$114)+(1+Assumptions_Dashboard!$D$115)*Fleet!M148),0))</f>
        <v>0</v>
      </c>
      <c r="Q197" s="179">
        <f>IF($G197=0,0,ROUND(($G197*(1+Assumptions_Dashboard!$D$114)+(1+Assumptions_Dashboard!$D$115)*Fleet!N148),0))</f>
        <v>0</v>
      </c>
      <c r="R197" s="179">
        <f>IF($G197=0,0,ROUND(($G197*(1+Assumptions_Dashboard!$D$114)+(1+Assumptions_Dashboard!$D$115)*Fleet!O148),0))</f>
        <v>0</v>
      </c>
      <c r="S197" s="179">
        <f>IF($G197=0,0,ROUND(($G197*(1+Assumptions_Dashboard!$D$114)+(1+Assumptions_Dashboard!$D$115)*Fleet!P148),0))</f>
        <v>0</v>
      </c>
      <c r="T197" s="179">
        <f>IF($G197=0,0,ROUND(($G197*(1+Assumptions_Dashboard!$D$114)+(1+Assumptions_Dashboard!$D$115)*Fleet!Q148),0))</f>
        <v>0</v>
      </c>
      <c r="U197" s="179">
        <f>IF($G197=0,0,ROUND(($G197*(1+Assumptions_Dashboard!$D$114)+(1+Assumptions_Dashboard!$D$115)*Fleet!R148),0))</f>
        <v>0</v>
      </c>
      <c r="V197" s="179">
        <f>IF($G197=0,0,ROUND(($G197*(1+Assumptions_Dashboard!$D$114)+(1+Assumptions_Dashboard!$D$115)*Fleet!S148),0))</f>
        <v>0</v>
      </c>
      <c r="W197" s="179">
        <f>IF($G197=0,0,ROUND(($G197*(1+Assumptions_Dashboard!$D$114)+(1+Assumptions_Dashboard!$D$115)*Fleet!T148),0))</f>
        <v>0</v>
      </c>
      <c r="X197" s="179">
        <f>IF($G197=0,0,ROUND(($G197*(1+Assumptions_Dashboard!$D$114)+(1+Assumptions_Dashboard!$D$115)*Fleet!U148),0))</f>
        <v>0</v>
      </c>
      <c r="Y197" s="179">
        <f>IF($G197=0,0,ROUND(($G197*(1+Assumptions_Dashboard!$D$114)+(1+Assumptions_Dashboard!$D$115)*Fleet!V148),0))</f>
        <v>0</v>
      </c>
      <c r="Z197" s="179">
        <f>IF($G197=0,0,ROUND(($G197*(1+Assumptions_Dashboard!$D$114)+(1+Assumptions_Dashboard!$D$115)*Fleet!W148),0))</f>
        <v>0</v>
      </c>
      <c r="AA197" s="179">
        <f>IF($G197=0,0,ROUND(($G197*(1+Assumptions_Dashboard!$D$114)+(1+Assumptions_Dashboard!$D$115)*Fleet!X148),0))</f>
        <v>0</v>
      </c>
      <c r="AB197" s="179">
        <f>IF($G197=0,0,ROUND(($G197*(1+Assumptions_Dashboard!$D$114)+(1+Assumptions_Dashboard!$D$115)*Fleet!Y148),0))</f>
        <v>0</v>
      </c>
      <c r="AC197" s="179">
        <f>IF($G197=0,0,ROUND(($G197*(1+Assumptions_Dashboard!$D$114)+(1+Assumptions_Dashboard!$D$115)*Fleet!Z148),0))</f>
        <v>0</v>
      </c>
      <c r="AD197" s="179">
        <f>IF($G197=0,0,ROUND(($G197*(1+Assumptions_Dashboard!$D$114)+(1+Assumptions_Dashboard!$D$115)*Fleet!AA148),0))</f>
        <v>0</v>
      </c>
      <c r="AE197" s="179">
        <f>IF($G197=0,0,ROUND(($G197*(1+Assumptions_Dashboard!$D$114)+(1+Assumptions_Dashboard!$D$115)*Fleet!AB148),0))</f>
        <v>0</v>
      </c>
      <c r="AF197" s="179">
        <f>IF($G197=0,0,ROUND(($G197*(1+Assumptions_Dashboard!$D$114)+(1+Assumptions_Dashboard!$D$115)*Fleet!AC148),0))</f>
        <v>0</v>
      </c>
      <c r="AG197" s="179">
        <f>IF($G197=0,0,ROUND(($G197*(1+Assumptions_Dashboard!$D$114)+(1+Assumptions_Dashboard!$D$115)*Fleet!AD148),0))</f>
        <v>0</v>
      </c>
      <c r="AH197" s="179">
        <f>IF($G197=0,0,ROUND(($G197*(1+Assumptions_Dashboard!$D$114)+(1+Assumptions_Dashboard!$D$115)*Fleet!AE148),0))</f>
        <v>0</v>
      </c>
      <c r="AI197" s="179">
        <f>IF($G197=0,0,ROUND(($G197*(1+Assumptions_Dashboard!$D$114)+(1+Assumptions_Dashboard!$D$115)*Fleet!AF148),0))</f>
        <v>0</v>
      </c>
      <c r="AJ197" s="179">
        <f>IF($G197=0,0,ROUND(($G197*(1+Assumptions_Dashboard!$D$114)+(1+Assumptions_Dashboard!$D$115)*Fleet!AG148),0))</f>
        <v>0</v>
      </c>
      <c r="AK197" s="179">
        <f>IF($G197=0,0,ROUND(($G197*(1+Assumptions_Dashboard!$D$114)+(1+Assumptions_Dashboard!$D$115)*Fleet!AH148),0))</f>
        <v>0</v>
      </c>
      <c r="AL197" s="179">
        <f>IF($G197=0,0,ROUND(($G197*(1+Assumptions_Dashboard!$D$114)+(1+Assumptions_Dashboard!$D$115)*Fleet!AI148),0))</f>
        <v>0</v>
      </c>
      <c r="AM197" s="179">
        <f>IF($G197=0,0,ROUND(($G197*(1+Assumptions_Dashboard!$D$114)+(1+Assumptions_Dashboard!$D$115)*Fleet!AJ148),0))</f>
        <v>0</v>
      </c>
      <c r="AN197" s="179"/>
      <c r="AO197" s="179"/>
      <c r="AP197" s="179"/>
      <c r="AQ197" s="179"/>
      <c r="AR197" s="179"/>
      <c r="AS197" s="179"/>
    </row>
    <row r="198" spans="2:45">
      <c r="B198" s="250"/>
      <c r="C198" s="661" t="str">
        <f>Fleet!C149</f>
        <v>Dumper/ 100t</v>
      </c>
      <c r="D198" s="257"/>
      <c r="E198" s="121" t="s">
        <v>740</v>
      </c>
      <c r="F198" s="205" t="s">
        <v>216</v>
      </c>
      <c r="G198">
        <f>IF(Sensitivity!$C$42="Departmental",0,3)</f>
        <v>0</v>
      </c>
      <c r="H198" s="366">
        <f>IFERROR(VLOOKUP(F198,Assumptions_Dashboard!$C$38:$D$72,4,FALSE),)</f>
        <v>0</v>
      </c>
      <c r="J198" s="179"/>
      <c r="K198" s="179"/>
      <c r="L198" s="179"/>
      <c r="M198" s="179"/>
      <c r="N198" s="179">
        <f>IF($G198=0,0,ROUND(($G198*(1+Assumptions_Dashboard!$D$114)+(1+Assumptions_Dashboard!$D$115)*Fleet!K149),0))</f>
        <v>0</v>
      </c>
      <c r="O198" s="179">
        <f>IF($G198=0,0,ROUND(($G198*(1+Assumptions_Dashboard!$D$114)+(1+Assumptions_Dashboard!$D$115)*Fleet!L149),0))</f>
        <v>0</v>
      </c>
      <c r="P198" s="179">
        <f>IF($G198=0,0,ROUND(($G198*(1+Assumptions_Dashboard!$D$114)+(1+Assumptions_Dashboard!$D$115)*Fleet!M149),0))</f>
        <v>0</v>
      </c>
      <c r="Q198" s="179">
        <f>IF($G198=0,0,ROUND(($G198*(1+Assumptions_Dashboard!$D$114)+(1+Assumptions_Dashboard!$D$115)*Fleet!N149),0))</f>
        <v>0</v>
      </c>
      <c r="R198" s="179">
        <f>IF($G198=0,0,ROUND(($G198*(1+Assumptions_Dashboard!$D$114)+(1+Assumptions_Dashboard!$D$115)*Fleet!O149),0))</f>
        <v>0</v>
      </c>
      <c r="S198" s="179">
        <f>IF($G198=0,0,ROUND(($G198*(1+Assumptions_Dashboard!$D$114)+(1+Assumptions_Dashboard!$D$115)*Fleet!P149),0))</f>
        <v>0</v>
      </c>
      <c r="T198" s="179">
        <f>IF($G198=0,0,ROUND(($G198*(1+Assumptions_Dashboard!$D$114)+(1+Assumptions_Dashboard!$D$115)*Fleet!Q149),0))</f>
        <v>0</v>
      </c>
      <c r="U198" s="179">
        <f>IF($G198=0,0,ROUND(($G198*(1+Assumptions_Dashboard!$D$114)+(1+Assumptions_Dashboard!$D$115)*Fleet!R149),0))</f>
        <v>0</v>
      </c>
      <c r="V198" s="179">
        <f>IF($G198=0,0,ROUND(($G198*(1+Assumptions_Dashboard!$D$114)+(1+Assumptions_Dashboard!$D$115)*Fleet!S149),0))</f>
        <v>0</v>
      </c>
      <c r="W198" s="179">
        <f>IF($G198=0,0,ROUND(($G198*(1+Assumptions_Dashboard!$D$114)+(1+Assumptions_Dashboard!$D$115)*Fleet!T149),0))</f>
        <v>0</v>
      </c>
      <c r="X198" s="179">
        <f>IF($G198=0,0,ROUND(($G198*(1+Assumptions_Dashboard!$D$114)+(1+Assumptions_Dashboard!$D$115)*Fleet!U149),0))</f>
        <v>0</v>
      </c>
      <c r="Y198" s="179">
        <f>IF($G198=0,0,ROUND(($G198*(1+Assumptions_Dashboard!$D$114)+(1+Assumptions_Dashboard!$D$115)*Fleet!V149),0))</f>
        <v>0</v>
      </c>
      <c r="Z198" s="179">
        <f>IF($G198=0,0,ROUND(($G198*(1+Assumptions_Dashboard!$D$114)+(1+Assumptions_Dashboard!$D$115)*Fleet!W149),0))</f>
        <v>0</v>
      </c>
      <c r="AA198" s="179">
        <f>IF($G198=0,0,ROUND(($G198*(1+Assumptions_Dashboard!$D$114)+(1+Assumptions_Dashboard!$D$115)*Fleet!X149),0))</f>
        <v>0</v>
      </c>
      <c r="AB198" s="179">
        <f>IF($G198=0,0,ROUND(($G198*(1+Assumptions_Dashboard!$D$114)+(1+Assumptions_Dashboard!$D$115)*Fleet!Y149),0))</f>
        <v>0</v>
      </c>
      <c r="AC198" s="179">
        <f>IF($G198=0,0,ROUND(($G198*(1+Assumptions_Dashboard!$D$114)+(1+Assumptions_Dashboard!$D$115)*Fleet!Z149),0))</f>
        <v>0</v>
      </c>
      <c r="AD198" s="179">
        <f>IF($G198=0,0,ROUND(($G198*(1+Assumptions_Dashboard!$D$114)+(1+Assumptions_Dashboard!$D$115)*Fleet!AA149),0))</f>
        <v>0</v>
      </c>
      <c r="AE198" s="179">
        <f>IF($G198=0,0,ROUND(($G198*(1+Assumptions_Dashboard!$D$114)+(1+Assumptions_Dashboard!$D$115)*Fleet!AB149),0))</f>
        <v>0</v>
      </c>
      <c r="AF198" s="179">
        <f>IF($G198=0,0,ROUND(($G198*(1+Assumptions_Dashboard!$D$114)+(1+Assumptions_Dashboard!$D$115)*Fleet!AC149),0))</f>
        <v>0</v>
      </c>
      <c r="AG198" s="179">
        <f>IF($G198=0,0,ROUND(($G198*(1+Assumptions_Dashboard!$D$114)+(1+Assumptions_Dashboard!$D$115)*Fleet!AD149),0))</f>
        <v>0</v>
      </c>
      <c r="AH198" s="179">
        <f>IF($G198=0,0,ROUND(($G198*(1+Assumptions_Dashboard!$D$114)+(1+Assumptions_Dashboard!$D$115)*Fleet!AE149),0))</f>
        <v>0</v>
      </c>
      <c r="AI198" s="179">
        <f>IF($G198=0,0,ROUND(($G198*(1+Assumptions_Dashboard!$D$114)+(1+Assumptions_Dashboard!$D$115)*Fleet!AF149),0))</f>
        <v>0</v>
      </c>
      <c r="AJ198" s="179">
        <f>IF($G198=0,0,ROUND(($G198*(1+Assumptions_Dashboard!$D$114)+(1+Assumptions_Dashboard!$D$115)*Fleet!AG149),0))</f>
        <v>0</v>
      </c>
      <c r="AK198" s="179">
        <f>IF($G198=0,0,ROUND(($G198*(1+Assumptions_Dashboard!$D$114)+(1+Assumptions_Dashboard!$D$115)*Fleet!AH149),0))</f>
        <v>0</v>
      </c>
      <c r="AL198" s="179">
        <f>IF($G198=0,0,ROUND(($G198*(1+Assumptions_Dashboard!$D$114)+(1+Assumptions_Dashboard!$D$115)*Fleet!AI149),0))</f>
        <v>0</v>
      </c>
      <c r="AM198" s="179">
        <f>IF($G198=0,0,ROUND(($G198*(1+Assumptions_Dashboard!$D$114)+(1+Assumptions_Dashboard!$D$115)*Fleet!AJ149),0))</f>
        <v>0</v>
      </c>
      <c r="AN198" s="179"/>
      <c r="AO198" s="179"/>
      <c r="AP198" s="179"/>
      <c r="AQ198" s="179"/>
      <c r="AR198" s="179"/>
      <c r="AS198" s="179"/>
    </row>
    <row r="199" spans="2:45">
      <c r="B199" s="250"/>
      <c r="C199" s="661" t="str">
        <f>Fleet!C150</f>
        <v>Dumper/ 40t</v>
      </c>
      <c r="D199" s="257"/>
      <c r="E199" s="121" t="s">
        <v>740</v>
      </c>
      <c r="F199" s="205" t="s">
        <v>218</v>
      </c>
      <c r="G199">
        <f>IF(Sensitivity!$C$42="Departmental",0,3)</f>
        <v>0</v>
      </c>
      <c r="H199" s="366">
        <f>IFERROR(VLOOKUP(F199,Assumptions_Dashboard!$C$38:$D$72,4,FALSE),)</f>
        <v>0</v>
      </c>
      <c r="J199" s="179"/>
      <c r="K199" s="179"/>
      <c r="L199" s="179"/>
      <c r="M199" s="179"/>
      <c r="N199" s="179">
        <f>IF($G199=0,0,ROUND(($G199*(1+Assumptions_Dashboard!$D$114)+(1+Assumptions_Dashboard!$D$115)*Fleet!K150),0))</f>
        <v>0</v>
      </c>
      <c r="O199" s="179">
        <f>IF($G199=0,0,ROUND(($G199*(1+Assumptions_Dashboard!$D$114)+(1+Assumptions_Dashboard!$D$115)*Fleet!L150),0))</f>
        <v>0</v>
      </c>
      <c r="P199" s="179">
        <f>IF($G199=0,0,ROUND(($G199*(1+Assumptions_Dashboard!$D$114)+(1+Assumptions_Dashboard!$D$115)*Fleet!M150),0))</f>
        <v>0</v>
      </c>
      <c r="Q199" s="179">
        <f>IF($G199=0,0,ROUND(($G199*(1+Assumptions_Dashboard!$D$114)+(1+Assumptions_Dashboard!$D$115)*Fleet!N150),0))</f>
        <v>0</v>
      </c>
      <c r="R199" s="179">
        <f>IF($G199=0,0,ROUND(($G199*(1+Assumptions_Dashboard!$D$114)+(1+Assumptions_Dashboard!$D$115)*Fleet!O150),0))</f>
        <v>0</v>
      </c>
      <c r="S199" s="179">
        <f>IF($G199=0,0,ROUND(($G199*(1+Assumptions_Dashboard!$D$114)+(1+Assumptions_Dashboard!$D$115)*Fleet!P150),0))</f>
        <v>0</v>
      </c>
      <c r="T199" s="179">
        <f>IF($G199=0,0,ROUND(($G199*(1+Assumptions_Dashboard!$D$114)+(1+Assumptions_Dashboard!$D$115)*Fleet!Q150),0))</f>
        <v>0</v>
      </c>
      <c r="U199" s="179">
        <f>IF($G199=0,0,ROUND(($G199*(1+Assumptions_Dashboard!$D$114)+(1+Assumptions_Dashboard!$D$115)*Fleet!R150),0))</f>
        <v>0</v>
      </c>
      <c r="V199" s="179">
        <f>IF($G199=0,0,ROUND(($G199*(1+Assumptions_Dashboard!$D$114)+(1+Assumptions_Dashboard!$D$115)*Fleet!S150),0))</f>
        <v>0</v>
      </c>
      <c r="W199" s="179">
        <f>IF($G199=0,0,ROUND(($G199*(1+Assumptions_Dashboard!$D$114)+(1+Assumptions_Dashboard!$D$115)*Fleet!T150),0))</f>
        <v>0</v>
      </c>
      <c r="X199" s="179">
        <f>IF($G199=0,0,ROUND(($G199*(1+Assumptions_Dashboard!$D$114)+(1+Assumptions_Dashboard!$D$115)*Fleet!U150),0))</f>
        <v>0</v>
      </c>
      <c r="Y199" s="179">
        <f>IF($G199=0,0,ROUND(($G199*(1+Assumptions_Dashboard!$D$114)+(1+Assumptions_Dashboard!$D$115)*Fleet!V150),0))</f>
        <v>0</v>
      </c>
      <c r="Z199" s="179">
        <f>IF($G199=0,0,ROUND(($G199*(1+Assumptions_Dashboard!$D$114)+(1+Assumptions_Dashboard!$D$115)*Fleet!W150),0))</f>
        <v>0</v>
      </c>
      <c r="AA199" s="179">
        <f>IF($G199=0,0,ROUND(($G199*(1+Assumptions_Dashboard!$D$114)+(1+Assumptions_Dashboard!$D$115)*Fleet!X150),0))</f>
        <v>0</v>
      </c>
      <c r="AB199" s="179">
        <f>IF($G199=0,0,ROUND(($G199*(1+Assumptions_Dashboard!$D$114)+(1+Assumptions_Dashboard!$D$115)*Fleet!Y150),0))</f>
        <v>0</v>
      </c>
      <c r="AC199" s="179">
        <f>IF($G199=0,0,ROUND(($G199*(1+Assumptions_Dashboard!$D$114)+(1+Assumptions_Dashboard!$D$115)*Fleet!Z150),0))</f>
        <v>0</v>
      </c>
      <c r="AD199" s="179">
        <f>IF($G199=0,0,ROUND(($G199*(1+Assumptions_Dashboard!$D$114)+(1+Assumptions_Dashboard!$D$115)*Fleet!AA150),0))</f>
        <v>0</v>
      </c>
      <c r="AE199" s="179">
        <f>IF($G199=0,0,ROUND(($G199*(1+Assumptions_Dashboard!$D$114)+(1+Assumptions_Dashboard!$D$115)*Fleet!AB150),0))</f>
        <v>0</v>
      </c>
      <c r="AF199" s="179">
        <f>IF($G199=0,0,ROUND(($G199*(1+Assumptions_Dashboard!$D$114)+(1+Assumptions_Dashboard!$D$115)*Fleet!AC150),0))</f>
        <v>0</v>
      </c>
      <c r="AG199" s="179">
        <f>IF($G199=0,0,ROUND(($G199*(1+Assumptions_Dashboard!$D$114)+(1+Assumptions_Dashboard!$D$115)*Fleet!AD150),0))</f>
        <v>0</v>
      </c>
      <c r="AH199" s="179">
        <f>IF($G199=0,0,ROUND(($G199*(1+Assumptions_Dashboard!$D$114)+(1+Assumptions_Dashboard!$D$115)*Fleet!AE150),0))</f>
        <v>0</v>
      </c>
      <c r="AI199" s="179">
        <f>IF($G199=0,0,ROUND(($G199*(1+Assumptions_Dashboard!$D$114)+(1+Assumptions_Dashboard!$D$115)*Fleet!AF150),0))</f>
        <v>0</v>
      </c>
      <c r="AJ199" s="179">
        <f>IF($G199=0,0,ROUND(($G199*(1+Assumptions_Dashboard!$D$114)+(1+Assumptions_Dashboard!$D$115)*Fleet!AG150),0))</f>
        <v>0</v>
      </c>
      <c r="AK199" s="179">
        <f>IF($G199=0,0,ROUND(($G199*(1+Assumptions_Dashboard!$D$114)+(1+Assumptions_Dashboard!$D$115)*Fleet!AH150),0))</f>
        <v>0</v>
      </c>
      <c r="AL199" s="179">
        <f>IF($G199=0,0,ROUND(($G199*(1+Assumptions_Dashboard!$D$114)+(1+Assumptions_Dashboard!$D$115)*Fleet!AI150),0))</f>
        <v>0</v>
      </c>
      <c r="AM199" s="179">
        <f>IF($G199=0,0,ROUND(($G199*(1+Assumptions_Dashboard!$D$114)+(1+Assumptions_Dashboard!$D$115)*Fleet!AJ150),0))</f>
        <v>0</v>
      </c>
      <c r="AN199" s="179"/>
      <c r="AO199" s="179"/>
      <c r="AP199" s="179"/>
      <c r="AQ199" s="179"/>
      <c r="AR199" s="179"/>
      <c r="AS199" s="179"/>
    </row>
    <row r="200" spans="2:45">
      <c r="B200" s="250"/>
      <c r="C200" s="661" t="str">
        <f>Fleet!C151</f>
        <v>Track Dozer/ 405 HP</v>
      </c>
      <c r="D200" s="257"/>
      <c r="E200" s="121" t="s">
        <v>740</v>
      </c>
      <c r="F200" s="205" t="s">
        <v>220</v>
      </c>
      <c r="G200">
        <f>IF(Sensitivity!$C$42="Departmental",0,3)</f>
        <v>0</v>
      </c>
      <c r="H200" s="366">
        <f>IFERROR(VLOOKUP(F200,Assumptions_Dashboard!$C$38:$D$72,4,FALSE),)</f>
        <v>0</v>
      </c>
      <c r="J200" s="179"/>
      <c r="K200" s="179"/>
      <c r="L200" s="179"/>
      <c r="M200" s="179"/>
      <c r="N200" s="179">
        <f>IF($G200=0,0,ROUND(($G200*(1+Assumptions_Dashboard!$D$114)+(1+Assumptions_Dashboard!$D$115)*Fleet!K151),0))</f>
        <v>0</v>
      </c>
      <c r="O200" s="179">
        <f>IF($G200=0,0,ROUND(($G200*(1+Assumptions_Dashboard!$D$114)+(1+Assumptions_Dashboard!$D$115)*Fleet!L151),0))</f>
        <v>0</v>
      </c>
      <c r="P200" s="179">
        <f>IF($G200=0,0,ROUND(($G200*(1+Assumptions_Dashboard!$D$114)+(1+Assumptions_Dashboard!$D$115)*Fleet!M151),0))</f>
        <v>0</v>
      </c>
      <c r="Q200" s="179">
        <f>IF($G200=0,0,ROUND(($G200*(1+Assumptions_Dashboard!$D$114)+(1+Assumptions_Dashboard!$D$115)*Fleet!N151),0))</f>
        <v>0</v>
      </c>
      <c r="R200" s="179">
        <f>IF($G200=0,0,ROUND(($G200*(1+Assumptions_Dashboard!$D$114)+(1+Assumptions_Dashboard!$D$115)*Fleet!O151),0))</f>
        <v>0</v>
      </c>
      <c r="S200" s="179">
        <f>IF($G200=0,0,ROUND(($G200*(1+Assumptions_Dashboard!$D$114)+(1+Assumptions_Dashboard!$D$115)*Fleet!P151),0))</f>
        <v>0</v>
      </c>
      <c r="T200" s="179">
        <f>IF($G200=0,0,ROUND(($G200*(1+Assumptions_Dashboard!$D$114)+(1+Assumptions_Dashboard!$D$115)*Fleet!Q151),0))</f>
        <v>0</v>
      </c>
      <c r="U200" s="179">
        <f>IF($G200=0,0,ROUND(($G200*(1+Assumptions_Dashboard!$D$114)+(1+Assumptions_Dashboard!$D$115)*Fleet!R151),0))</f>
        <v>0</v>
      </c>
      <c r="V200" s="179">
        <f>IF($G200=0,0,ROUND(($G200*(1+Assumptions_Dashboard!$D$114)+(1+Assumptions_Dashboard!$D$115)*Fleet!S151),0))</f>
        <v>0</v>
      </c>
      <c r="W200" s="179">
        <f>IF($G200=0,0,ROUND(($G200*(1+Assumptions_Dashboard!$D$114)+(1+Assumptions_Dashboard!$D$115)*Fleet!T151),0))</f>
        <v>0</v>
      </c>
      <c r="X200" s="179">
        <f>IF($G200=0,0,ROUND(($G200*(1+Assumptions_Dashboard!$D$114)+(1+Assumptions_Dashboard!$D$115)*Fleet!U151),0))</f>
        <v>0</v>
      </c>
      <c r="Y200" s="179">
        <f>IF($G200=0,0,ROUND(($G200*(1+Assumptions_Dashboard!$D$114)+(1+Assumptions_Dashboard!$D$115)*Fleet!V151),0))</f>
        <v>0</v>
      </c>
      <c r="Z200" s="179">
        <f>IF($G200=0,0,ROUND(($G200*(1+Assumptions_Dashboard!$D$114)+(1+Assumptions_Dashboard!$D$115)*Fleet!W151),0))</f>
        <v>0</v>
      </c>
      <c r="AA200" s="179">
        <f>IF($G200=0,0,ROUND(($G200*(1+Assumptions_Dashboard!$D$114)+(1+Assumptions_Dashboard!$D$115)*Fleet!X151),0))</f>
        <v>0</v>
      </c>
      <c r="AB200" s="179">
        <f>IF($G200=0,0,ROUND(($G200*(1+Assumptions_Dashboard!$D$114)+(1+Assumptions_Dashboard!$D$115)*Fleet!Y151),0))</f>
        <v>0</v>
      </c>
      <c r="AC200" s="179">
        <f>IF($G200=0,0,ROUND(($G200*(1+Assumptions_Dashboard!$D$114)+(1+Assumptions_Dashboard!$D$115)*Fleet!Z151),0))</f>
        <v>0</v>
      </c>
      <c r="AD200" s="179">
        <f>IF($G200=0,0,ROUND(($G200*(1+Assumptions_Dashboard!$D$114)+(1+Assumptions_Dashboard!$D$115)*Fleet!AA151),0))</f>
        <v>0</v>
      </c>
      <c r="AE200" s="179">
        <f>IF($G200=0,0,ROUND(($G200*(1+Assumptions_Dashboard!$D$114)+(1+Assumptions_Dashboard!$D$115)*Fleet!AB151),0))</f>
        <v>0</v>
      </c>
      <c r="AF200" s="179">
        <f>IF($G200=0,0,ROUND(($G200*(1+Assumptions_Dashboard!$D$114)+(1+Assumptions_Dashboard!$D$115)*Fleet!AC151),0))</f>
        <v>0</v>
      </c>
      <c r="AG200" s="179">
        <f>IF($G200=0,0,ROUND(($G200*(1+Assumptions_Dashboard!$D$114)+(1+Assumptions_Dashboard!$D$115)*Fleet!AD151),0))</f>
        <v>0</v>
      </c>
      <c r="AH200" s="179">
        <f>IF($G200=0,0,ROUND(($G200*(1+Assumptions_Dashboard!$D$114)+(1+Assumptions_Dashboard!$D$115)*Fleet!AE151),0))</f>
        <v>0</v>
      </c>
      <c r="AI200" s="179">
        <f>IF($G200=0,0,ROUND(($G200*(1+Assumptions_Dashboard!$D$114)+(1+Assumptions_Dashboard!$D$115)*Fleet!AF151),0))</f>
        <v>0</v>
      </c>
      <c r="AJ200" s="179">
        <f>IF($G200=0,0,ROUND(($G200*(1+Assumptions_Dashboard!$D$114)+(1+Assumptions_Dashboard!$D$115)*Fleet!AG151),0))</f>
        <v>0</v>
      </c>
      <c r="AK200" s="179">
        <f>IF($G200=0,0,ROUND(($G200*(1+Assumptions_Dashboard!$D$114)+(1+Assumptions_Dashboard!$D$115)*Fleet!AH151),0))</f>
        <v>0</v>
      </c>
      <c r="AL200" s="179">
        <f>IF($G200=0,0,ROUND(($G200*(1+Assumptions_Dashboard!$D$114)+(1+Assumptions_Dashboard!$D$115)*Fleet!AI151),0))</f>
        <v>0</v>
      </c>
      <c r="AM200" s="179">
        <f>IF($G200=0,0,ROUND(($G200*(1+Assumptions_Dashboard!$D$114)+(1+Assumptions_Dashboard!$D$115)*Fleet!AJ151),0))</f>
        <v>0</v>
      </c>
      <c r="AN200" s="179"/>
      <c r="AO200" s="179"/>
      <c r="AP200" s="179"/>
      <c r="AQ200" s="179"/>
      <c r="AR200" s="179"/>
      <c r="AS200" s="179"/>
    </row>
    <row r="201" spans="2:45">
      <c r="B201" s="250"/>
      <c r="C201" s="661" t="str">
        <f>Fleet!C152</f>
        <v>Wheel Dozer</v>
      </c>
      <c r="D201" s="257"/>
      <c r="E201" s="121" t="s">
        <v>740</v>
      </c>
      <c r="F201" s="205" t="s">
        <v>220</v>
      </c>
      <c r="G201">
        <f>IF(Sensitivity!$C$42="Departmental",0,3)</f>
        <v>0</v>
      </c>
      <c r="H201" s="366">
        <f>IFERROR(VLOOKUP(F201,Assumptions_Dashboard!$C$38:$D$72,4,FALSE),)</f>
        <v>0</v>
      </c>
      <c r="J201" s="179"/>
      <c r="K201" s="179"/>
      <c r="L201" s="179"/>
      <c r="M201" s="179"/>
      <c r="N201" s="179">
        <f>IF($G201=0,0,ROUND(($G201*(1+Assumptions_Dashboard!$D$114)+(1+Assumptions_Dashboard!$D$115)*Fleet!K152),0))</f>
        <v>0</v>
      </c>
      <c r="O201" s="179">
        <f>IF($G201=0,0,ROUND(($G201*(1+Assumptions_Dashboard!$D$114)+(1+Assumptions_Dashboard!$D$115)*Fleet!L152),0))</f>
        <v>0</v>
      </c>
      <c r="P201" s="179">
        <f>IF($G201=0,0,ROUND(($G201*(1+Assumptions_Dashboard!$D$114)+(1+Assumptions_Dashboard!$D$115)*Fleet!M152),0))</f>
        <v>0</v>
      </c>
      <c r="Q201" s="179">
        <f>IF($G201=0,0,ROUND(($G201*(1+Assumptions_Dashboard!$D$114)+(1+Assumptions_Dashboard!$D$115)*Fleet!N152),0))</f>
        <v>0</v>
      </c>
      <c r="R201" s="179">
        <f>IF($G201=0,0,ROUND(($G201*(1+Assumptions_Dashboard!$D$114)+(1+Assumptions_Dashboard!$D$115)*Fleet!O152),0))</f>
        <v>0</v>
      </c>
      <c r="S201" s="179">
        <f>IF($G201=0,0,ROUND(($G201*(1+Assumptions_Dashboard!$D$114)+(1+Assumptions_Dashboard!$D$115)*Fleet!P152),0))</f>
        <v>0</v>
      </c>
      <c r="T201" s="179">
        <f>IF($G201=0,0,ROUND(($G201*(1+Assumptions_Dashboard!$D$114)+(1+Assumptions_Dashboard!$D$115)*Fleet!Q152),0))</f>
        <v>0</v>
      </c>
      <c r="U201" s="179">
        <f>IF($G201=0,0,ROUND(($G201*(1+Assumptions_Dashboard!$D$114)+(1+Assumptions_Dashboard!$D$115)*Fleet!R152),0))</f>
        <v>0</v>
      </c>
      <c r="V201" s="179">
        <f>IF($G201=0,0,ROUND(($G201*(1+Assumptions_Dashboard!$D$114)+(1+Assumptions_Dashboard!$D$115)*Fleet!S152),0))</f>
        <v>0</v>
      </c>
      <c r="W201" s="179">
        <f>IF($G201=0,0,ROUND(($G201*(1+Assumptions_Dashboard!$D$114)+(1+Assumptions_Dashboard!$D$115)*Fleet!T152),0))</f>
        <v>0</v>
      </c>
      <c r="X201" s="179">
        <f>IF($G201=0,0,ROUND(($G201*(1+Assumptions_Dashboard!$D$114)+(1+Assumptions_Dashboard!$D$115)*Fleet!U152),0))</f>
        <v>0</v>
      </c>
      <c r="Y201" s="179">
        <f>IF($G201=0,0,ROUND(($G201*(1+Assumptions_Dashboard!$D$114)+(1+Assumptions_Dashboard!$D$115)*Fleet!V152),0))</f>
        <v>0</v>
      </c>
      <c r="Z201" s="179">
        <f>IF($G201=0,0,ROUND(($G201*(1+Assumptions_Dashboard!$D$114)+(1+Assumptions_Dashboard!$D$115)*Fleet!W152),0))</f>
        <v>0</v>
      </c>
      <c r="AA201" s="179">
        <f>IF($G201=0,0,ROUND(($G201*(1+Assumptions_Dashboard!$D$114)+(1+Assumptions_Dashboard!$D$115)*Fleet!X152),0))</f>
        <v>0</v>
      </c>
      <c r="AB201" s="179">
        <f>IF($G201=0,0,ROUND(($G201*(1+Assumptions_Dashboard!$D$114)+(1+Assumptions_Dashboard!$D$115)*Fleet!Y152),0))</f>
        <v>0</v>
      </c>
      <c r="AC201" s="179">
        <f>IF($G201=0,0,ROUND(($G201*(1+Assumptions_Dashboard!$D$114)+(1+Assumptions_Dashboard!$D$115)*Fleet!Z152),0))</f>
        <v>0</v>
      </c>
      <c r="AD201" s="179">
        <f>IF($G201=0,0,ROUND(($G201*(1+Assumptions_Dashboard!$D$114)+(1+Assumptions_Dashboard!$D$115)*Fleet!AA152),0))</f>
        <v>0</v>
      </c>
      <c r="AE201" s="179">
        <f>IF($G201=0,0,ROUND(($G201*(1+Assumptions_Dashboard!$D$114)+(1+Assumptions_Dashboard!$D$115)*Fleet!AB152),0))</f>
        <v>0</v>
      </c>
      <c r="AF201" s="179">
        <f>IF($G201=0,0,ROUND(($G201*(1+Assumptions_Dashboard!$D$114)+(1+Assumptions_Dashboard!$D$115)*Fleet!AC152),0))</f>
        <v>0</v>
      </c>
      <c r="AG201" s="179">
        <f>IF($G201=0,0,ROUND(($G201*(1+Assumptions_Dashboard!$D$114)+(1+Assumptions_Dashboard!$D$115)*Fleet!AD152),0))</f>
        <v>0</v>
      </c>
      <c r="AH201" s="179">
        <f>IF($G201=0,0,ROUND(($G201*(1+Assumptions_Dashboard!$D$114)+(1+Assumptions_Dashboard!$D$115)*Fleet!AE152),0))</f>
        <v>0</v>
      </c>
      <c r="AI201" s="179">
        <f>IF($G201=0,0,ROUND(($G201*(1+Assumptions_Dashboard!$D$114)+(1+Assumptions_Dashboard!$D$115)*Fleet!AF152),0))</f>
        <v>0</v>
      </c>
      <c r="AJ201" s="179">
        <f>IF($G201=0,0,ROUND(($G201*(1+Assumptions_Dashboard!$D$114)+(1+Assumptions_Dashboard!$D$115)*Fleet!AG152),0))</f>
        <v>0</v>
      </c>
      <c r="AK201" s="179">
        <f>IF($G201=0,0,ROUND(($G201*(1+Assumptions_Dashboard!$D$114)+(1+Assumptions_Dashboard!$D$115)*Fleet!AH152),0))</f>
        <v>0</v>
      </c>
      <c r="AL201" s="179">
        <f>IF($G201=0,0,ROUND(($G201*(1+Assumptions_Dashboard!$D$114)+(1+Assumptions_Dashboard!$D$115)*Fleet!AI152),0))</f>
        <v>0</v>
      </c>
      <c r="AM201" s="179">
        <f>IF($G201=0,0,ROUND(($G201*(1+Assumptions_Dashboard!$D$114)+(1+Assumptions_Dashboard!$D$115)*Fleet!AJ152),0))</f>
        <v>0</v>
      </c>
      <c r="AN201" s="179"/>
      <c r="AO201" s="179"/>
      <c r="AP201" s="179"/>
      <c r="AQ201" s="179"/>
      <c r="AR201" s="179"/>
      <c r="AS201" s="179"/>
    </row>
    <row r="202" spans="2:45">
      <c r="B202" s="250"/>
      <c r="C202" s="661" t="str">
        <f>Fleet!C153</f>
        <v>Ripper Dozer/ 450TPH</v>
      </c>
      <c r="D202" s="257"/>
      <c r="E202" s="121" t="s">
        <v>740</v>
      </c>
      <c r="F202" s="205" t="s">
        <v>220</v>
      </c>
      <c r="G202">
        <f>IF(Sensitivity!$C$42="Departmental",0,3)</f>
        <v>0</v>
      </c>
      <c r="H202" s="366">
        <f>IFERROR(VLOOKUP(F202,Assumptions_Dashboard!$C$38:$D$72,4,FALSE),)</f>
        <v>0</v>
      </c>
      <c r="J202" s="179"/>
      <c r="K202" s="179"/>
      <c r="L202" s="179"/>
      <c r="M202" s="179"/>
      <c r="N202" s="179">
        <f>IF($G202=0,0,ROUND(($G202*(1+Assumptions_Dashboard!$D$114)+(1+Assumptions_Dashboard!$D$115)*Fleet!K153),0))</f>
        <v>0</v>
      </c>
      <c r="O202" s="179">
        <f>IF($G202=0,0,ROUND(($G202*(1+Assumptions_Dashboard!$D$114)+(1+Assumptions_Dashboard!$D$115)*Fleet!L153),0))</f>
        <v>0</v>
      </c>
      <c r="P202" s="179">
        <f>IF($G202=0,0,ROUND(($G202*(1+Assumptions_Dashboard!$D$114)+(1+Assumptions_Dashboard!$D$115)*Fleet!M153),0))</f>
        <v>0</v>
      </c>
      <c r="Q202" s="179">
        <f>IF($G202=0,0,ROUND(($G202*(1+Assumptions_Dashboard!$D$114)+(1+Assumptions_Dashboard!$D$115)*Fleet!N153),0))</f>
        <v>0</v>
      </c>
      <c r="R202" s="179">
        <f>IF($G202=0,0,ROUND(($G202*(1+Assumptions_Dashboard!$D$114)+(1+Assumptions_Dashboard!$D$115)*Fleet!O153),0))</f>
        <v>0</v>
      </c>
      <c r="S202" s="179">
        <f>IF($G202=0,0,ROUND(($G202*(1+Assumptions_Dashboard!$D$114)+(1+Assumptions_Dashboard!$D$115)*Fleet!P153),0))</f>
        <v>0</v>
      </c>
      <c r="T202" s="179">
        <f>IF($G202=0,0,ROUND(($G202*(1+Assumptions_Dashboard!$D$114)+(1+Assumptions_Dashboard!$D$115)*Fleet!Q153),0))</f>
        <v>0</v>
      </c>
      <c r="U202" s="179">
        <f>IF($G202=0,0,ROUND(($G202*(1+Assumptions_Dashboard!$D$114)+(1+Assumptions_Dashboard!$D$115)*Fleet!R153),0))</f>
        <v>0</v>
      </c>
      <c r="V202" s="179">
        <f>IF($G202=0,0,ROUND(($G202*(1+Assumptions_Dashboard!$D$114)+(1+Assumptions_Dashboard!$D$115)*Fleet!S153),0))</f>
        <v>0</v>
      </c>
      <c r="W202" s="179">
        <f>IF($G202=0,0,ROUND(($G202*(1+Assumptions_Dashboard!$D$114)+(1+Assumptions_Dashboard!$D$115)*Fleet!T153),0))</f>
        <v>0</v>
      </c>
      <c r="X202" s="179">
        <f>IF($G202=0,0,ROUND(($G202*(1+Assumptions_Dashboard!$D$114)+(1+Assumptions_Dashboard!$D$115)*Fleet!U153),0))</f>
        <v>0</v>
      </c>
      <c r="Y202" s="179">
        <f>IF($G202=0,0,ROUND(($G202*(1+Assumptions_Dashboard!$D$114)+(1+Assumptions_Dashboard!$D$115)*Fleet!V153),0))</f>
        <v>0</v>
      </c>
      <c r="Z202" s="179">
        <f>IF($G202=0,0,ROUND(($G202*(1+Assumptions_Dashboard!$D$114)+(1+Assumptions_Dashboard!$D$115)*Fleet!W153),0))</f>
        <v>0</v>
      </c>
      <c r="AA202" s="179">
        <f>IF($G202=0,0,ROUND(($G202*(1+Assumptions_Dashboard!$D$114)+(1+Assumptions_Dashboard!$D$115)*Fleet!X153),0))</f>
        <v>0</v>
      </c>
      <c r="AB202" s="179">
        <f>IF($G202=0,0,ROUND(($G202*(1+Assumptions_Dashboard!$D$114)+(1+Assumptions_Dashboard!$D$115)*Fleet!Y153),0))</f>
        <v>0</v>
      </c>
      <c r="AC202" s="179">
        <f>IF($G202=0,0,ROUND(($G202*(1+Assumptions_Dashboard!$D$114)+(1+Assumptions_Dashboard!$D$115)*Fleet!Z153),0))</f>
        <v>0</v>
      </c>
      <c r="AD202" s="179">
        <f>IF($G202=0,0,ROUND(($G202*(1+Assumptions_Dashboard!$D$114)+(1+Assumptions_Dashboard!$D$115)*Fleet!AA153),0))</f>
        <v>0</v>
      </c>
      <c r="AE202" s="179">
        <f>IF($G202=0,0,ROUND(($G202*(1+Assumptions_Dashboard!$D$114)+(1+Assumptions_Dashboard!$D$115)*Fleet!AB153),0))</f>
        <v>0</v>
      </c>
      <c r="AF202" s="179">
        <f>IF($G202=0,0,ROUND(($G202*(1+Assumptions_Dashboard!$D$114)+(1+Assumptions_Dashboard!$D$115)*Fleet!AC153),0))</f>
        <v>0</v>
      </c>
      <c r="AG202" s="179">
        <f>IF($G202=0,0,ROUND(($G202*(1+Assumptions_Dashboard!$D$114)+(1+Assumptions_Dashboard!$D$115)*Fleet!AD153),0))</f>
        <v>0</v>
      </c>
      <c r="AH202" s="179">
        <f>IF($G202=0,0,ROUND(($G202*(1+Assumptions_Dashboard!$D$114)+(1+Assumptions_Dashboard!$D$115)*Fleet!AE153),0))</f>
        <v>0</v>
      </c>
      <c r="AI202" s="179">
        <f>IF($G202=0,0,ROUND(($G202*(1+Assumptions_Dashboard!$D$114)+(1+Assumptions_Dashboard!$D$115)*Fleet!AF153),0))</f>
        <v>0</v>
      </c>
      <c r="AJ202" s="179">
        <f>IF($G202=0,0,ROUND(($G202*(1+Assumptions_Dashboard!$D$114)+(1+Assumptions_Dashboard!$D$115)*Fleet!AG153),0))</f>
        <v>0</v>
      </c>
      <c r="AK202" s="179">
        <f>IF($G202=0,0,ROUND(($G202*(1+Assumptions_Dashboard!$D$114)+(1+Assumptions_Dashboard!$D$115)*Fleet!AH153),0))</f>
        <v>0</v>
      </c>
      <c r="AL202" s="179">
        <f>IF($G202=0,0,ROUND(($G202*(1+Assumptions_Dashboard!$D$114)+(1+Assumptions_Dashboard!$D$115)*Fleet!AI153),0))</f>
        <v>0</v>
      </c>
      <c r="AM202" s="179">
        <f>IF($G202=0,0,ROUND(($G202*(1+Assumptions_Dashboard!$D$114)+(1+Assumptions_Dashboard!$D$115)*Fleet!AJ153),0))</f>
        <v>0</v>
      </c>
      <c r="AN202" s="179"/>
      <c r="AO202" s="179"/>
      <c r="AP202" s="179"/>
      <c r="AQ202" s="179"/>
      <c r="AR202" s="179"/>
      <c r="AS202" s="179"/>
    </row>
    <row r="203" spans="2:45">
      <c r="B203" s="250"/>
      <c r="C203" s="661" t="str">
        <f>Fleet!C154</f>
        <v>Track Dozer/ 192 HP</v>
      </c>
      <c r="D203" s="257"/>
      <c r="E203" s="121" t="s">
        <v>740</v>
      </c>
      <c r="F203" s="205" t="s">
        <v>220</v>
      </c>
      <c r="G203">
        <f>IF(Sensitivity!$C$42="Departmental",0,3)</f>
        <v>0</v>
      </c>
      <c r="H203" s="366">
        <f>IFERROR(VLOOKUP(F203,Assumptions_Dashboard!$C$38:$D$72,4,FALSE),)</f>
        <v>0</v>
      </c>
      <c r="J203" s="179"/>
      <c r="K203" s="179"/>
      <c r="L203" s="179"/>
      <c r="M203" s="179"/>
      <c r="N203" s="179">
        <f>IF($G203=0,0,ROUND(($G203*(1+Assumptions_Dashboard!$D$114)+(1+Assumptions_Dashboard!$D$115)*Fleet!K154),0))</f>
        <v>0</v>
      </c>
      <c r="O203" s="179">
        <f>IF($G203=0,0,ROUND(($G203*(1+Assumptions_Dashboard!$D$114)+(1+Assumptions_Dashboard!$D$115)*Fleet!L154),0))</f>
        <v>0</v>
      </c>
      <c r="P203" s="179">
        <f>IF($G203=0,0,ROUND(($G203*(1+Assumptions_Dashboard!$D$114)+(1+Assumptions_Dashboard!$D$115)*Fleet!M154),0))</f>
        <v>0</v>
      </c>
      <c r="Q203" s="179">
        <f>IF($G203=0,0,ROUND(($G203*(1+Assumptions_Dashboard!$D$114)+(1+Assumptions_Dashboard!$D$115)*Fleet!N154),0))</f>
        <v>0</v>
      </c>
      <c r="R203" s="179">
        <f>IF($G203=0,0,ROUND(($G203*(1+Assumptions_Dashboard!$D$114)+(1+Assumptions_Dashboard!$D$115)*Fleet!O154),0))</f>
        <v>0</v>
      </c>
      <c r="S203" s="179">
        <f>IF($G203=0,0,ROUND(($G203*(1+Assumptions_Dashboard!$D$114)+(1+Assumptions_Dashboard!$D$115)*Fleet!P154),0))</f>
        <v>0</v>
      </c>
      <c r="T203" s="179">
        <f>IF($G203=0,0,ROUND(($G203*(1+Assumptions_Dashboard!$D$114)+(1+Assumptions_Dashboard!$D$115)*Fleet!Q154),0))</f>
        <v>0</v>
      </c>
      <c r="U203" s="179">
        <f>IF($G203=0,0,ROUND(($G203*(1+Assumptions_Dashboard!$D$114)+(1+Assumptions_Dashboard!$D$115)*Fleet!R154),0))</f>
        <v>0</v>
      </c>
      <c r="V203" s="179">
        <f>IF($G203=0,0,ROUND(($G203*(1+Assumptions_Dashboard!$D$114)+(1+Assumptions_Dashboard!$D$115)*Fleet!S154),0))</f>
        <v>0</v>
      </c>
      <c r="W203" s="179">
        <f>IF($G203=0,0,ROUND(($G203*(1+Assumptions_Dashboard!$D$114)+(1+Assumptions_Dashboard!$D$115)*Fleet!T154),0))</f>
        <v>0</v>
      </c>
      <c r="X203" s="179">
        <f>IF($G203=0,0,ROUND(($G203*(1+Assumptions_Dashboard!$D$114)+(1+Assumptions_Dashboard!$D$115)*Fleet!U154),0))</f>
        <v>0</v>
      </c>
      <c r="Y203" s="179">
        <f>IF($G203=0,0,ROUND(($G203*(1+Assumptions_Dashboard!$D$114)+(1+Assumptions_Dashboard!$D$115)*Fleet!V154),0))</f>
        <v>0</v>
      </c>
      <c r="Z203" s="179">
        <f>IF($G203=0,0,ROUND(($G203*(1+Assumptions_Dashboard!$D$114)+(1+Assumptions_Dashboard!$D$115)*Fleet!W154),0))</f>
        <v>0</v>
      </c>
      <c r="AA203" s="179">
        <f>IF($G203=0,0,ROUND(($G203*(1+Assumptions_Dashboard!$D$114)+(1+Assumptions_Dashboard!$D$115)*Fleet!X154),0))</f>
        <v>0</v>
      </c>
      <c r="AB203" s="179">
        <f>IF($G203=0,0,ROUND(($G203*(1+Assumptions_Dashboard!$D$114)+(1+Assumptions_Dashboard!$D$115)*Fleet!Y154),0))</f>
        <v>0</v>
      </c>
      <c r="AC203" s="179">
        <f>IF($G203=0,0,ROUND(($G203*(1+Assumptions_Dashboard!$D$114)+(1+Assumptions_Dashboard!$D$115)*Fleet!Z154),0))</f>
        <v>0</v>
      </c>
      <c r="AD203" s="179">
        <f>IF($G203=0,0,ROUND(($G203*(1+Assumptions_Dashboard!$D$114)+(1+Assumptions_Dashboard!$D$115)*Fleet!AA154),0))</f>
        <v>0</v>
      </c>
      <c r="AE203" s="179">
        <f>IF($G203=0,0,ROUND(($G203*(1+Assumptions_Dashboard!$D$114)+(1+Assumptions_Dashboard!$D$115)*Fleet!AB154),0))</f>
        <v>0</v>
      </c>
      <c r="AF203" s="179">
        <f>IF($G203=0,0,ROUND(($G203*(1+Assumptions_Dashboard!$D$114)+(1+Assumptions_Dashboard!$D$115)*Fleet!AC154),0))</f>
        <v>0</v>
      </c>
      <c r="AG203" s="179">
        <f>IF($G203=0,0,ROUND(($G203*(1+Assumptions_Dashboard!$D$114)+(1+Assumptions_Dashboard!$D$115)*Fleet!AD154),0))</f>
        <v>0</v>
      </c>
      <c r="AH203" s="179">
        <f>IF($G203=0,0,ROUND(($G203*(1+Assumptions_Dashboard!$D$114)+(1+Assumptions_Dashboard!$D$115)*Fleet!AE154),0))</f>
        <v>0</v>
      </c>
      <c r="AI203" s="179">
        <f>IF($G203=0,0,ROUND(($G203*(1+Assumptions_Dashboard!$D$114)+(1+Assumptions_Dashboard!$D$115)*Fleet!AF154),0))</f>
        <v>0</v>
      </c>
      <c r="AJ203" s="179">
        <f>IF($G203=0,0,ROUND(($G203*(1+Assumptions_Dashboard!$D$114)+(1+Assumptions_Dashboard!$D$115)*Fleet!AG154),0))</f>
        <v>0</v>
      </c>
      <c r="AK203" s="179">
        <f>IF($G203=0,0,ROUND(($G203*(1+Assumptions_Dashboard!$D$114)+(1+Assumptions_Dashboard!$D$115)*Fleet!AH154),0))</f>
        <v>0</v>
      </c>
      <c r="AL203" s="179">
        <f>IF($G203=0,0,ROUND(($G203*(1+Assumptions_Dashboard!$D$114)+(1+Assumptions_Dashboard!$D$115)*Fleet!AI154),0))</f>
        <v>0</v>
      </c>
      <c r="AM203" s="179">
        <f>IF($G203=0,0,ROUND(($G203*(1+Assumptions_Dashboard!$D$114)+(1+Assumptions_Dashboard!$D$115)*Fleet!AJ154),0))</f>
        <v>0</v>
      </c>
      <c r="AN203" s="179"/>
      <c r="AO203" s="179"/>
      <c r="AP203" s="179"/>
      <c r="AQ203" s="179"/>
      <c r="AR203" s="179"/>
      <c r="AS203" s="179"/>
    </row>
    <row r="204" spans="2:45">
      <c r="B204" s="250"/>
      <c r="C204" s="661" t="str">
        <f>Fleet!C155</f>
        <v>Motor Grader/ 290 - 348 HP</v>
      </c>
      <c r="D204" s="257"/>
      <c r="E204" s="121" t="s">
        <v>740</v>
      </c>
      <c r="F204" s="205" t="s">
        <v>220</v>
      </c>
      <c r="G204">
        <f>IF(Sensitivity!$C$42="Departmental",0,3)</f>
        <v>0</v>
      </c>
      <c r="H204" s="366">
        <f>IFERROR(VLOOKUP(F204,Assumptions_Dashboard!$C$38:$D$72,4,FALSE),)</f>
        <v>0</v>
      </c>
      <c r="J204" s="179"/>
      <c r="K204" s="179"/>
      <c r="L204" s="179"/>
      <c r="M204" s="179"/>
      <c r="N204" s="179">
        <f>IF($G204=0,0,ROUND(($G204*(1+Assumptions_Dashboard!$D$114)+(1+Assumptions_Dashboard!$D$115)*Fleet!K155),0))</f>
        <v>0</v>
      </c>
      <c r="O204" s="179">
        <f>IF($G204=0,0,ROUND(($G204*(1+Assumptions_Dashboard!$D$114)+(1+Assumptions_Dashboard!$D$115)*Fleet!L155),0))</f>
        <v>0</v>
      </c>
      <c r="P204" s="179">
        <f>IF($G204=0,0,ROUND(($G204*(1+Assumptions_Dashboard!$D$114)+(1+Assumptions_Dashboard!$D$115)*Fleet!M155),0))</f>
        <v>0</v>
      </c>
      <c r="Q204" s="179">
        <f>IF($G204=0,0,ROUND(($G204*(1+Assumptions_Dashboard!$D$114)+(1+Assumptions_Dashboard!$D$115)*Fleet!N155),0))</f>
        <v>0</v>
      </c>
      <c r="R204" s="179">
        <f>IF($G204=0,0,ROUND(($G204*(1+Assumptions_Dashboard!$D$114)+(1+Assumptions_Dashboard!$D$115)*Fleet!O155),0))</f>
        <v>0</v>
      </c>
      <c r="S204" s="179">
        <f>IF($G204=0,0,ROUND(($G204*(1+Assumptions_Dashboard!$D$114)+(1+Assumptions_Dashboard!$D$115)*Fleet!P155),0))</f>
        <v>0</v>
      </c>
      <c r="T204" s="179">
        <f>IF($G204=0,0,ROUND(($G204*(1+Assumptions_Dashboard!$D$114)+(1+Assumptions_Dashboard!$D$115)*Fleet!Q155),0))</f>
        <v>0</v>
      </c>
      <c r="U204" s="179">
        <f>IF($G204=0,0,ROUND(($G204*(1+Assumptions_Dashboard!$D$114)+(1+Assumptions_Dashboard!$D$115)*Fleet!R155),0))</f>
        <v>0</v>
      </c>
      <c r="V204" s="179">
        <f>IF($G204=0,0,ROUND(($G204*(1+Assumptions_Dashboard!$D$114)+(1+Assumptions_Dashboard!$D$115)*Fleet!S155),0))</f>
        <v>0</v>
      </c>
      <c r="W204" s="179">
        <f>IF($G204=0,0,ROUND(($G204*(1+Assumptions_Dashboard!$D$114)+(1+Assumptions_Dashboard!$D$115)*Fleet!T155),0))</f>
        <v>0</v>
      </c>
      <c r="X204" s="179">
        <f>IF($G204=0,0,ROUND(($G204*(1+Assumptions_Dashboard!$D$114)+(1+Assumptions_Dashboard!$D$115)*Fleet!U155),0))</f>
        <v>0</v>
      </c>
      <c r="Y204" s="179">
        <f>IF($G204=0,0,ROUND(($G204*(1+Assumptions_Dashboard!$D$114)+(1+Assumptions_Dashboard!$D$115)*Fleet!V155),0))</f>
        <v>0</v>
      </c>
      <c r="Z204" s="179">
        <f>IF($G204=0,0,ROUND(($G204*(1+Assumptions_Dashboard!$D$114)+(1+Assumptions_Dashboard!$D$115)*Fleet!W155),0))</f>
        <v>0</v>
      </c>
      <c r="AA204" s="179">
        <f>IF($G204=0,0,ROUND(($G204*(1+Assumptions_Dashboard!$D$114)+(1+Assumptions_Dashboard!$D$115)*Fleet!X155),0))</f>
        <v>0</v>
      </c>
      <c r="AB204" s="179">
        <f>IF($G204=0,0,ROUND(($G204*(1+Assumptions_Dashboard!$D$114)+(1+Assumptions_Dashboard!$D$115)*Fleet!Y155),0))</f>
        <v>0</v>
      </c>
      <c r="AC204" s="179">
        <f>IF($G204=0,0,ROUND(($G204*(1+Assumptions_Dashboard!$D$114)+(1+Assumptions_Dashboard!$D$115)*Fleet!Z155),0))</f>
        <v>0</v>
      </c>
      <c r="AD204" s="179">
        <f>IF($G204=0,0,ROUND(($G204*(1+Assumptions_Dashboard!$D$114)+(1+Assumptions_Dashboard!$D$115)*Fleet!AA155),0))</f>
        <v>0</v>
      </c>
      <c r="AE204" s="179">
        <f>IF($G204=0,0,ROUND(($G204*(1+Assumptions_Dashboard!$D$114)+(1+Assumptions_Dashboard!$D$115)*Fleet!AB155),0))</f>
        <v>0</v>
      </c>
      <c r="AF204" s="179">
        <f>IF($G204=0,0,ROUND(($G204*(1+Assumptions_Dashboard!$D$114)+(1+Assumptions_Dashboard!$D$115)*Fleet!AC155),0))</f>
        <v>0</v>
      </c>
      <c r="AG204" s="179">
        <f>IF($G204=0,0,ROUND(($G204*(1+Assumptions_Dashboard!$D$114)+(1+Assumptions_Dashboard!$D$115)*Fleet!AD155),0))</f>
        <v>0</v>
      </c>
      <c r="AH204" s="179">
        <f>IF($G204=0,0,ROUND(($G204*(1+Assumptions_Dashboard!$D$114)+(1+Assumptions_Dashboard!$D$115)*Fleet!AE155),0))</f>
        <v>0</v>
      </c>
      <c r="AI204" s="179">
        <f>IF($G204=0,0,ROUND(($G204*(1+Assumptions_Dashboard!$D$114)+(1+Assumptions_Dashboard!$D$115)*Fleet!AF155),0))</f>
        <v>0</v>
      </c>
      <c r="AJ204" s="179">
        <f>IF($G204=0,0,ROUND(($G204*(1+Assumptions_Dashboard!$D$114)+(1+Assumptions_Dashboard!$D$115)*Fleet!AG155),0))</f>
        <v>0</v>
      </c>
      <c r="AK204" s="179">
        <f>IF($G204=0,0,ROUND(($G204*(1+Assumptions_Dashboard!$D$114)+(1+Assumptions_Dashboard!$D$115)*Fleet!AH155),0))</f>
        <v>0</v>
      </c>
      <c r="AL204" s="179">
        <f>IF($G204=0,0,ROUND(($G204*(1+Assumptions_Dashboard!$D$114)+(1+Assumptions_Dashboard!$D$115)*Fleet!AI155),0))</f>
        <v>0</v>
      </c>
      <c r="AM204" s="179">
        <f>IF($G204=0,0,ROUND(($G204*(1+Assumptions_Dashboard!$D$114)+(1+Assumptions_Dashboard!$D$115)*Fleet!AJ155),0))</f>
        <v>0</v>
      </c>
      <c r="AN204" s="179"/>
      <c r="AO204" s="179"/>
      <c r="AP204" s="179"/>
      <c r="AQ204" s="179"/>
      <c r="AR204" s="179"/>
      <c r="AS204" s="179"/>
    </row>
    <row r="205" spans="2:45">
      <c r="B205" s="250"/>
      <c r="C205" s="661" t="str">
        <f>Fleet!C156</f>
        <v>Motor Grader/ 145 HP</v>
      </c>
      <c r="D205" s="257"/>
      <c r="E205" s="121" t="s">
        <v>740</v>
      </c>
      <c r="F205" s="205" t="s">
        <v>220</v>
      </c>
      <c r="G205">
        <f>IF(Sensitivity!$C$42="Departmental",0,3)</f>
        <v>0</v>
      </c>
      <c r="H205" s="366">
        <f>IFERROR(VLOOKUP(F205,Assumptions_Dashboard!$C$38:$D$72,4,FALSE),)</f>
        <v>0</v>
      </c>
      <c r="J205" s="179"/>
      <c r="K205" s="179"/>
      <c r="L205" s="179"/>
      <c r="M205" s="179"/>
      <c r="N205" s="179">
        <f>IF($G205=0,0,ROUND(($G205*(1+Assumptions_Dashboard!$D$114)+(1+Assumptions_Dashboard!$D$115)*Fleet!K156),0))</f>
        <v>0</v>
      </c>
      <c r="O205" s="179">
        <f>IF($G205=0,0,ROUND(($G205*(1+Assumptions_Dashboard!$D$114)+(1+Assumptions_Dashboard!$D$115)*Fleet!L156),0))</f>
        <v>0</v>
      </c>
      <c r="P205" s="179">
        <f>IF($G205=0,0,ROUND(($G205*(1+Assumptions_Dashboard!$D$114)+(1+Assumptions_Dashboard!$D$115)*Fleet!M156),0))</f>
        <v>0</v>
      </c>
      <c r="Q205" s="179">
        <f>IF($G205=0,0,ROUND(($G205*(1+Assumptions_Dashboard!$D$114)+(1+Assumptions_Dashboard!$D$115)*Fleet!N156),0))</f>
        <v>0</v>
      </c>
      <c r="R205" s="179">
        <f>IF($G205=0,0,ROUND(($G205*(1+Assumptions_Dashboard!$D$114)+(1+Assumptions_Dashboard!$D$115)*Fleet!O156),0))</f>
        <v>0</v>
      </c>
      <c r="S205" s="179">
        <f>IF($G205=0,0,ROUND(($G205*(1+Assumptions_Dashboard!$D$114)+(1+Assumptions_Dashboard!$D$115)*Fleet!P156),0))</f>
        <v>0</v>
      </c>
      <c r="T205" s="179">
        <f>IF($G205=0,0,ROUND(($G205*(1+Assumptions_Dashboard!$D$114)+(1+Assumptions_Dashboard!$D$115)*Fleet!Q156),0))</f>
        <v>0</v>
      </c>
      <c r="U205" s="179">
        <f>IF($G205=0,0,ROUND(($G205*(1+Assumptions_Dashboard!$D$114)+(1+Assumptions_Dashboard!$D$115)*Fleet!R156),0))</f>
        <v>0</v>
      </c>
      <c r="V205" s="179">
        <f>IF($G205=0,0,ROUND(($G205*(1+Assumptions_Dashboard!$D$114)+(1+Assumptions_Dashboard!$D$115)*Fleet!S156),0))</f>
        <v>0</v>
      </c>
      <c r="W205" s="179">
        <f>IF($G205=0,0,ROUND(($G205*(1+Assumptions_Dashboard!$D$114)+(1+Assumptions_Dashboard!$D$115)*Fleet!T156),0))</f>
        <v>0</v>
      </c>
      <c r="X205" s="179">
        <f>IF($G205=0,0,ROUND(($G205*(1+Assumptions_Dashboard!$D$114)+(1+Assumptions_Dashboard!$D$115)*Fleet!U156),0))</f>
        <v>0</v>
      </c>
      <c r="Y205" s="179">
        <f>IF($G205=0,0,ROUND(($G205*(1+Assumptions_Dashboard!$D$114)+(1+Assumptions_Dashboard!$D$115)*Fleet!V156),0))</f>
        <v>0</v>
      </c>
      <c r="Z205" s="179">
        <f>IF($G205=0,0,ROUND(($G205*(1+Assumptions_Dashboard!$D$114)+(1+Assumptions_Dashboard!$D$115)*Fleet!W156),0))</f>
        <v>0</v>
      </c>
      <c r="AA205" s="179">
        <f>IF($G205=0,0,ROUND(($G205*(1+Assumptions_Dashboard!$D$114)+(1+Assumptions_Dashboard!$D$115)*Fleet!X156),0))</f>
        <v>0</v>
      </c>
      <c r="AB205" s="179">
        <f>IF($G205=0,0,ROUND(($G205*(1+Assumptions_Dashboard!$D$114)+(1+Assumptions_Dashboard!$D$115)*Fleet!Y156),0))</f>
        <v>0</v>
      </c>
      <c r="AC205" s="179">
        <f>IF($G205=0,0,ROUND(($G205*(1+Assumptions_Dashboard!$D$114)+(1+Assumptions_Dashboard!$D$115)*Fleet!Z156),0))</f>
        <v>0</v>
      </c>
      <c r="AD205" s="179">
        <f>IF($G205=0,0,ROUND(($G205*(1+Assumptions_Dashboard!$D$114)+(1+Assumptions_Dashboard!$D$115)*Fleet!AA156),0))</f>
        <v>0</v>
      </c>
      <c r="AE205" s="179">
        <f>IF($G205=0,0,ROUND(($G205*(1+Assumptions_Dashboard!$D$114)+(1+Assumptions_Dashboard!$D$115)*Fleet!AB156),0))</f>
        <v>0</v>
      </c>
      <c r="AF205" s="179">
        <f>IF($G205=0,0,ROUND(($G205*(1+Assumptions_Dashboard!$D$114)+(1+Assumptions_Dashboard!$D$115)*Fleet!AC156),0))</f>
        <v>0</v>
      </c>
      <c r="AG205" s="179">
        <f>IF($G205=0,0,ROUND(($G205*(1+Assumptions_Dashboard!$D$114)+(1+Assumptions_Dashboard!$D$115)*Fleet!AD156),0))</f>
        <v>0</v>
      </c>
      <c r="AH205" s="179">
        <f>IF($G205=0,0,ROUND(($G205*(1+Assumptions_Dashboard!$D$114)+(1+Assumptions_Dashboard!$D$115)*Fleet!AE156),0))</f>
        <v>0</v>
      </c>
      <c r="AI205" s="179">
        <f>IF($G205=0,0,ROUND(($G205*(1+Assumptions_Dashboard!$D$114)+(1+Assumptions_Dashboard!$D$115)*Fleet!AF156),0))</f>
        <v>0</v>
      </c>
      <c r="AJ205" s="179">
        <f>IF($G205=0,0,ROUND(($G205*(1+Assumptions_Dashboard!$D$114)+(1+Assumptions_Dashboard!$D$115)*Fleet!AG156),0))</f>
        <v>0</v>
      </c>
      <c r="AK205" s="179">
        <f>IF($G205=0,0,ROUND(($G205*(1+Assumptions_Dashboard!$D$114)+(1+Assumptions_Dashboard!$D$115)*Fleet!AH156),0))</f>
        <v>0</v>
      </c>
      <c r="AL205" s="179">
        <f>IF($G205=0,0,ROUND(($G205*(1+Assumptions_Dashboard!$D$114)+(1+Assumptions_Dashboard!$D$115)*Fleet!AI156),0))</f>
        <v>0</v>
      </c>
      <c r="AM205" s="179">
        <f>IF($G205=0,0,ROUND(($G205*(1+Assumptions_Dashboard!$D$114)+(1+Assumptions_Dashboard!$D$115)*Fleet!AJ156),0))</f>
        <v>0</v>
      </c>
      <c r="AN205" s="179"/>
      <c r="AO205" s="179"/>
      <c r="AP205" s="179"/>
      <c r="AQ205" s="179"/>
      <c r="AR205" s="179"/>
      <c r="AS205" s="179"/>
    </row>
    <row r="206" spans="2:45">
      <c r="B206" s="250"/>
      <c r="C206" s="661" t="str">
        <f>Fleet!C157</f>
        <v>Crane/ 120t</v>
      </c>
      <c r="D206" s="257"/>
      <c r="E206" s="121" t="s">
        <v>740</v>
      </c>
      <c r="F206" s="205" t="s">
        <v>220</v>
      </c>
      <c r="G206">
        <f>IF(Sensitivity!$C$42="Departmental",0,3)</f>
        <v>0</v>
      </c>
      <c r="H206" s="366">
        <f>IFERROR(VLOOKUP(F206,Assumptions_Dashboard!$C$38:$D$72,4,FALSE),)</f>
        <v>0</v>
      </c>
      <c r="J206" s="179"/>
      <c r="K206" s="179"/>
      <c r="L206" s="179"/>
      <c r="M206" s="179"/>
      <c r="N206" s="179">
        <f>IF($G206=0,0,ROUND(($G206*(1+Assumptions_Dashboard!$D$114)+(1+Assumptions_Dashboard!$D$115)*Fleet!K157),0))</f>
        <v>0</v>
      </c>
      <c r="O206" s="179">
        <f>IF($G206=0,0,ROUND(($G206*(1+Assumptions_Dashboard!$D$114)+(1+Assumptions_Dashboard!$D$115)*Fleet!L157),0))</f>
        <v>0</v>
      </c>
      <c r="P206" s="179">
        <f>IF($G206=0,0,ROUND(($G206*(1+Assumptions_Dashboard!$D$114)+(1+Assumptions_Dashboard!$D$115)*Fleet!M157),0))</f>
        <v>0</v>
      </c>
      <c r="Q206" s="179">
        <f>IF($G206=0,0,ROUND(($G206*(1+Assumptions_Dashboard!$D$114)+(1+Assumptions_Dashboard!$D$115)*Fleet!N157),0))</f>
        <v>0</v>
      </c>
      <c r="R206" s="179">
        <f>IF($G206=0,0,ROUND(($G206*(1+Assumptions_Dashboard!$D$114)+(1+Assumptions_Dashboard!$D$115)*Fleet!O157),0))</f>
        <v>0</v>
      </c>
      <c r="S206" s="179">
        <f>IF($G206=0,0,ROUND(($G206*(1+Assumptions_Dashboard!$D$114)+(1+Assumptions_Dashboard!$D$115)*Fleet!P157),0))</f>
        <v>0</v>
      </c>
      <c r="T206" s="179">
        <f>IF($G206=0,0,ROUND(($G206*(1+Assumptions_Dashboard!$D$114)+(1+Assumptions_Dashboard!$D$115)*Fleet!Q157),0))</f>
        <v>0</v>
      </c>
      <c r="U206" s="179">
        <f>IF($G206=0,0,ROUND(($G206*(1+Assumptions_Dashboard!$D$114)+(1+Assumptions_Dashboard!$D$115)*Fleet!R157),0))</f>
        <v>0</v>
      </c>
      <c r="V206" s="179">
        <f>IF($G206=0,0,ROUND(($G206*(1+Assumptions_Dashboard!$D$114)+(1+Assumptions_Dashboard!$D$115)*Fleet!S157),0))</f>
        <v>0</v>
      </c>
      <c r="W206" s="179">
        <f>IF($G206=0,0,ROUND(($G206*(1+Assumptions_Dashboard!$D$114)+(1+Assumptions_Dashboard!$D$115)*Fleet!T157),0))</f>
        <v>0</v>
      </c>
      <c r="X206" s="179">
        <f>IF($G206=0,0,ROUND(($G206*(1+Assumptions_Dashboard!$D$114)+(1+Assumptions_Dashboard!$D$115)*Fleet!U157),0))</f>
        <v>0</v>
      </c>
      <c r="Y206" s="179">
        <f>IF($G206=0,0,ROUND(($G206*(1+Assumptions_Dashboard!$D$114)+(1+Assumptions_Dashboard!$D$115)*Fleet!V157),0))</f>
        <v>0</v>
      </c>
      <c r="Z206" s="179">
        <f>IF($G206=0,0,ROUND(($G206*(1+Assumptions_Dashboard!$D$114)+(1+Assumptions_Dashboard!$D$115)*Fleet!W157),0))</f>
        <v>0</v>
      </c>
      <c r="AA206" s="179">
        <f>IF($G206=0,0,ROUND(($G206*(1+Assumptions_Dashboard!$D$114)+(1+Assumptions_Dashboard!$D$115)*Fleet!X157),0))</f>
        <v>0</v>
      </c>
      <c r="AB206" s="179">
        <f>IF($G206=0,0,ROUND(($G206*(1+Assumptions_Dashboard!$D$114)+(1+Assumptions_Dashboard!$D$115)*Fleet!Y157),0))</f>
        <v>0</v>
      </c>
      <c r="AC206" s="179">
        <f>IF($G206=0,0,ROUND(($G206*(1+Assumptions_Dashboard!$D$114)+(1+Assumptions_Dashboard!$D$115)*Fleet!Z157),0))</f>
        <v>0</v>
      </c>
      <c r="AD206" s="179">
        <f>IF($G206=0,0,ROUND(($G206*(1+Assumptions_Dashboard!$D$114)+(1+Assumptions_Dashboard!$D$115)*Fleet!AA157),0))</f>
        <v>0</v>
      </c>
      <c r="AE206" s="179">
        <f>IF($G206=0,0,ROUND(($G206*(1+Assumptions_Dashboard!$D$114)+(1+Assumptions_Dashboard!$D$115)*Fleet!AB157),0))</f>
        <v>0</v>
      </c>
      <c r="AF206" s="179">
        <f>IF($G206=0,0,ROUND(($G206*(1+Assumptions_Dashboard!$D$114)+(1+Assumptions_Dashboard!$D$115)*Fleet!AC157),0))</f>
        <v>0</v>
      </c>
      <c r="AG206" s="179">
        <f>IF($G206=0,0,ROUND(($G206*(1+Assumptions_Dashboard!$D$114)+(1+Assumptions_Dashboard!$D$115)*Fleet!AD157),0))</f>
        <v>0</v>
      </c>
      <c r="AH206" s="179">
        <f>IF($G206=0,0,ROUND(($G206*(1+Assumptions_Dashboard!$D$114)+(1+Assumptions_Dashboard!$D$115)*Fleet!AE157),0))</f>
        <v>0</v>
      </c>
      <c r="AI206" s="179">
        <f>IF($G206=0,0,ROUND(($G206*(1+Assumptions_Dashboard!$D$114)+(1+Assumptions_Dashboard!$D$115)*Fleet!AF157),0))</f>
        <v>0</v>
      </c>
      <c r="AJ206" s="179">
        <f>IF($G206=0,0,ROUND(($G206*(1+Assumptions_Dashboard!$D$114)+(1+Assumptions_Dashboard!$D$115)*Fleet!AG157),0))</f>
        <v>0</v>
      </c>
      <c r="AK206" s="179">
        <f>IF($G206=0,0,ROUND(($G206*(1+Assumptions_Dashboard!$D$114)+(1+Assumptions_Dashboard!$D$115)*Fleet!AH157),0))</f>
        <v>0</v>
      </c>
      <c r="AL206" s="179">
        <f>IF($G206=0,0,ROUND(($G206*(1+Assumptions_Dashboard!$D$114)+(1+Assumptions_Dashboard!$D$115)*Fleet!AI157),0))</f>
        <v>0</v>
      </c>
      <c r="AM206" s="179">
        <f>IF($G206=0,0,ROUND(($G206*(1+Assumptions_Dashboard!$D$114)+(1+Assumptions_Dashboard!$D$115)*Fleet!AJ157),0))</f>
        <v>0</v>
      </c>
      <c r="AN206" s="179"/>
      <c r="AO206" s="179"/>
      <c r="AP206" s="179"/>
      <c r="AQ206" s="179"/>
      <c r="AR206" s="179"/>
      <c r="AS206" s="179"/>
    </row>
    <row r="207" spans="2:45">
      <c r="B207" s="250"/>
      <c r="C207" s="661" t="str">
        <f>Fleet!C158</f>
        <v>Crane/ 60t</v>
      </c>
      <c r="D207" s="257"/>
      <c r="E207" s="121" t="s">
        <v>740</v>
      </c>
      <c r="F207" s="205" t="s">
        <v>220</v>
      </c>
      <c r="G207">
        <f>IF(Sensitivity!$C$42="Departmental",0,3)</f>
        <v>0</v>
      </c>
      <c r="H207" s="366">
        <f>IFERROR(VLOOKUP(F207,Assumptions_Dashboard!$C$38:$D$72,4,FALSE),)</f>
        <v>0</v>
      </c>
      <c r="J207" s="179"/>
      <c r="K207" s="179"/>
      <c r="L207" s="179"/>
      <c r="M207" s="179"/>
      <c r="N207" s="179">
        <f>IF($G207=0,0,ROUND(($G207*(1+Assumptions_Dashboard!$D$114)+(1+Assumptions_Dashboard!$D$115)*Fleet!K158),0))</f>
        <v>0</v>
      </c>
      <c r="O207" s="179">
        <f>IF($G207=0,0,ROUND(($G207*(1+Assumptions_Dashboard!$D$114)+(1+Assumptions_Dashboard!$D$115)*Fleet!L158),0))</f>
        <v>0</v>
      </c>
      <c r="P207" s="179">
        <f>IF($G207=0,0,ROUND(($G207*(1+Assumptions_Dashboard!$D$114)+(1+Assumptions_Dashboard!$D$115)*Fleet!M158),0))</f>
        <v>0</v>
      </c>
      <c r="Q207" s="179">
        <f>IF($G207=0,0,ROUND(($G207*(1+Assumptions_Dashboard!$D$114)+(1+Assumptions_Dashboard!$D$115)*Fleet!N158),0))</f>
        <v>0</v>
      </c>
      <c r="R207" s="179">
        <f>IF($G207=0,0,ROUND(($G207*(1+Assumptions_Dashboard!$D$114)+(1+Assumptions_Dashboard!$D$115)*Fleet!O158),0))</f>
        <v>0</v>
      </c>
      <c r="S207" s="179">
        <f>IF($G207=0,0,ROUND(($G207*(1+Assumptions_Dashboard!$D$114)+(1+Assumptions_Dashboard!$D$115)*Fleet!P158),0))</f>
        <v>0</v>
      </c>
      <c r="T207" s="179">
        <f>IF($G207=0,0,ROUND(($G207*(1+Assumptions_Dashboard!$D$114)+(1+Assumptions_Dashboard!$D$115)*Fleet!Q158),0))</f>
        <v>0</v>
      </c>
      <c r="U207" s="179">
        <f>IF($G207=0,0,ROUND(($G207*(1+Assumptions_Dashboard!$D$114)+(1+Assumptions_Dashboard!$D$115)*Fleet!R158),0))</f>
        <v>0</v>
      </c>
      <c r="V207" s="179">
        <f>IF($G207=0,0,ROUND(($G207*(1+Assumptions_Dashboard!$D$114)+(1+Assumptions_Dashboard!$D$115)*Fleet!S158),0))</f>
        <v>0</v>
      </c>
      <c r="W207" s="179">
        <f>IF($G207=0,0,ROUND(($G207*(1+Assumptions_Dashboard!$D$114)+(1+Assumptions_Dashboard!$D$115)*Fleet!T158),0))</f>
        <v>0</v>
      </c>
      <c r="X207" s="179">
        <f>IF($G207=0,0,ROUND(($G207*(1+Assumptions_Dashboard!$D$114)+(1+Assumptions_Dashboard!$D$115)*Fleet!U158),0))</f>
        <v>0</v>
      </c>
      <c r="Y207" s="179">
        <f>IF($G207=0,0,ROUND(($G207*(1+Assumptions_Dashboard!$D$114)+(1+Assumptions_Dashboard!$D$115)*Fleet!V158),0))</f>
        <v>0</v>
      </c>
      <c r="Z207" s="179">
        <f>IF($G207=0,0,ROUND(($G207*(1+Assumptions_Dashboard!$D$114)+(1+Assumptions_Dashboard!$D$115)*Fleet!W158),0))</f>
        <v>0</v>
      </c>
      <c r="AA207" s="179">
        <f>IF($G207=0,0,ROUND(($G207*(1+Assumptions_Dashboard!$D$114)+(1+Assumptions_Dashboard!$D$115)*Fleet!X158),0))</f>
        <v>0</v>
      </c>
      <c r="AB207" s="179">
        <f>IF($G207=0,0,ROUND(($G207*(1+Assumptions_Dashboard!$D$114)+(1+Assumptions_Dashboard!$D$115)*Fleet!Y158),0))</f>
        <v>0</v>
      </c>
      <c r="AC207" s="179">
        <f>IF($G207=0,0,ROUND(($G207*(1+Assumptions_Dashboard!$D$114)+(1+Assumptions_Dashboard!$D$115)*Fleet!Z158),0))</f>
        <v>0</v>
      </c>
      <c r="AD207" s="179">
        <f>IF($G207=0,0,ROUND(($G207*(1+Assumptions_Dashboard!$D$114)+(1+Assumptions_Dashboard!$D$115)*Fleet!AA158),0))</f>
        <v>0</v>
      </c>
      <c r="AE207" s="179">
        <f>IF($G207=0,0,ROUND(($G207*(1+Assumptions_Dashboard!$D$114)+(1+Assumptions_Dashboard!$D$115)*Fleet!AB158),0))</f>
        <v>0</v>
      </c>
      <c r="AF207" s="179">
        <f>IF($G207=0,0,ROUND(($G207*(1+Assumptions_Dashboard!$D$114)+(1+Assumptions_Dashboard!$D$115)*Fleet!AC158),0))</f>
        <v>0</v>
      </c>
      <c r="AG207" s="179">
        <f>IF($G207=0,0,ROUND(($G207*(1+Assumptions_Dashboard!$D$114)+(1+Assumptions_Dashboard!$D$115)*Fleet!AD158),0))</f>
        <v>0</v>
      </c>
      <c r="AH207" s="179">
        <f>IF($G207=0,0,ROUND(($G207*(1+Assumptions_Dashboard!$D$114)+(1+Assumptions_Dashboard!$D$115)*Fleet!AE158),0))</f>
        <v>0</v>
      </c>
      <c r="AI207" s="179">
        <f>IF($G207=0,0,ROUND(($G207*(1+Assumptions_Dashboard!$D$114)+(1+Assumptions_Dashboard!$D$115)*Fleet!AF158),0))</f>
        <v>0</v>
      </c>
      <c r="AJ207" s="179">
        <f>IF($G207=0,0,ROUND(($G207*(1+Assumptions_Dashboard!$D$114)+(1+Assumptions_Dashboard!$D$115)*Fleet!AG158),0))</f>
        <v>0</v>
      </c>
      <c r="AK207" s="179">
        <f>IF($G207=0,0,ROUND(($G207*(1+Assumptions_Dashboard!$D$114)+(1+Assumptions_Dashboard!$D$115)*Fleet!AH158),0))</f>
        <v>0</v>
      </c>
      <c r="AL207" s="179">
        <f>IF($G207=0,0,ROUND(($G207*(1+Assumptions_Dashboard!$D$114)+(1+Assumptions_Dashboard!$D$115)*Fleet!AI158),0))</f>
        <v>0</v>
      </c>
      <c r="AM207" s="179">
        <f>IF($G207=0,0,ROUND(($G207*(1+Assumptions_Dashboard!$D$114)+(1+Assumptions_Dashboard!$D$115)*Fleet!AJ158),0))</f>
        <v>0</v>
      </c>
      <c r="AN207" s="179"/>
      <c r="AO207" s="179"/>
      <c r="AP207" s="179"/>
      <c r="AQ207" s="179"/>
      <c r="AR207" s="179"/>
      <c r="AS207" s="179"/>
    </row>
    <row r="208" spans="2:45">
      <c r="B208" s="250"/>
      <c r="C208" s="661" t="str">
        <f>Fleet!C159</f>
        <v>Crane/ 12t</v>
      </c>
      <c r="D208" s="257"/>
      <c r="E208" s="121" t="s">
        <v>740</v>
      </c>
      <c r="F208" s="205" t="s">
        <v>220</v>
      </c>
      <c r="G208">
        <f>IF(Sensitivity!$C$42="Departmental",0,3)</f>
        <v>0</v>
      </c>
      <c r="H208" s="366">
        <f>IFERROR(VLOOKUP(F208,Assumptions_Dashboard!$C$38:$D$72,4,FALSE),)</f>
        <v>0</v>
      </c>
      <c r="J208" s="179"/>
      <c r="K208" s="179"/>
      <c r="L208" s="179"/>
      <c r="M208" s="179"/>
      <c r="N208" s="179">
        <f>IF($G208=0,0,ROUND(($G208*(1+Assumptions_Dashboard!$D$114)+(1+Assumptions_Dashboard!$D$115)*Fleet!K159),0))</f>
        <v>0</v>
      </c>
      <c r="O208" s="179">
        <f>IF($G208=0,0,ROUND(($G208*(1+Assumptions_Dashboard!$D$114)+(1+Assumptions_Dashboard!$D$115)*Fleet!L159),0))</f>
        <v>0</v>
      </c>
      <c r="P208" s="179">
        <f>IF($G208=0,0,ROUND(($G208*(1+Assumptions_Dashboard!$D$114)+(1+Assumptions_Dashboard!$D$115)*Fleet!M159),0))</f>
        <v>0</v>
      </c>
      <c r="Q208" s="179">
        <f>IF($G208=0,0,ROUND(($G208*(1+Assumptions_Dashboard!$D$114)+(1+Assumptions_Dashboard!$D$115)*Fleet!N159),0))</f>
        <v>0</v>
      </c>
      <c r="R208" s="179">
        <f>IF($G208=0,0,ROUND(($G208*(1+Assumptions_Dashboard!$D$114)+(1+Assumptions_Dashboard!$D$115)*Fleet!O159),0))</f>
        <v>0</v>
      </c>
      <c r="S208" s="179">
        <f>IF($G208=0,0,ROUND(($G208*(1+Assumptions_Dashboard!$D$114)+(1+Assumptions_Dashboard!$D$115)*Fleet!P159),0))</f>
        <v>0</v>
      </c>
      <c r="T208" s="179">
        <f>IF($G208=0,0,ROUND(($G208*(1+Assumptions_Dashboard!$D$114)+(1+Assumptions_Dashboard!$D$115)*Fleet!Q159),0))</f>
        <v>0</v>
      </c>
      <c r="U208" s="179">
        <f>IF($G208=0,0,ROUND(($G208*(1+Assumptions_Dashboard!$D$114)+(1+Assumptions_Dashboard!$D$115)*Fleet!R159),0))</f>
        <v>0</v>
      </c>
      <c r="V208" s="179">
        <f>IF($G208=0,0,ROUND(($G208*(1+Assumptions_Dashboard!$D$114)+(1+Assumptions_Dashboard!$D$115)*Fleet!S159),0))</f>
        <v>0</v>
      </c>
      <c r="W208" s="179">
        <f>IF($G208=0,0,ROUND(($G208*(1+Assumptions_Dashboard!$D$114)+(1+Assumptions_Dashboard!$D$115)*Fleet!T159),0))</f>
        <v>0</v>
      </c>
      <c r="X208" s="179">
        <f>IF($G208=0,0,ROUND(($G208*(1+Assumptions_Dashboard!$D$114)+(1+Assumptions_Dashboard!$D$115)*Fleet!U159),0))</f>
        <v>0</v>
      </c>
      <c r="Y208" s="179">
        <f>IF($G208=0,0,ROUND(($G208*(1+Assumptions_Dashboard!$D$114)+(1+Assumptions_Dashboard!$D$115)*Fleet!V159),0))</f>
        <v>0</v>
      </c>
      <c r="Z208" s="179">
        <f>IF($G208=0,0,ROUND(($G208*(1+Assumptions_Dashboard!$D$114)+(1+Assumptions_Dashboard!$D$115)*Fleet!W159),0))</f>
        <v>0</v>
      </c>
      <c r="AA208" s="179">
        <f>IF($G208=0,0,ROUND(($G208*(1+Assumptions_Dashboard!$D$114)+(1+Assumptions_Dashboard!$D$115)*Fleet!X159),0))</f>
        <v>0</v>
      </c>
      <c r="AB208" s="179">
        <f>IF($G208=0,0,ROUND(($G208*(1+Assumptions_Dashboard!$D$114)+(1+Assumptions_Dashboard!$D$115)*Fleet!Y159),0))</f>
        <v>0</v>
      </c>
      <c r="AC208" s="179">
        <f>IF($G208=0,0,ROUND(($G208*(1+Assumptions_Dashboard!$D$114)+(1+Assumptions_Dashboard!$D$115)*Fleet!Z159),0))</f>
        <v>0</v>
      </c>
      <c r="AD208" s="179">
        <f>IF($G208=0,0,ROUND(($G208*(1+Assumptions_Dashboard!$D$114)+(1+Assumptions_Dashboard!$D$115)*Fleet!AA159),0))</f>
        <v>0</v>
      </c>
      <c r="AE208" s="179">
        <f>IF($G208=0,0,ROUND(($G208*(1+Assumptions_Dashboard!$D$114)+(1+Assumptions_Dashboard!$D$115)*Fleet!AB159),0))</f>
        <v>0</v>
      </c>
      <c r="AF208" s="179">
        <f>IF($G208=0,0,ROUND(($G208*(1+Assumptions_Dashboard!$D$114)+(1+Assumptions_Dashboard!$D$115)*Fleet!AC159),0))</f>
        <v>0</v>
      </c>
      <c r="AG208" s="179">
        <f>IF($G208=0,0,ROUND(($G208*(1+Assumptions_Dashboard!$D$114)+(1+Assumptions_Dashboard!$D$115)*Fleet!AD159),0))</f>
        <v>0</v>
      </c>
      <c r="AH208" s="179">
        <f>IF($G208=0,0,ROUND(($G208*(1+Assumptions_Dashboard!$D$114)+(1+Assumptions_Dashboard!$D$115)*Fleet!AE159),0))</f>
        <v>0</v>
      </c>
      <c r="AI208" s="179">
        <f>IF($G208=0,0,ROUND(($G208*(1+Assumptions_Dashboard!$D$114)+(1+Assumptions_Dashboard!$D$115)*Fleet!AF159),0))</f>
        <v>0</v>
      </c>
      <c r="AJ208" s="179">
        <f>IF($G208=0,0,ROUND(($G208*(1+Assumptions_Dashboard!$D$114)+(1+Assumptions_Dashboard!$D$115)*Fleet!AG159),0))</f>
        <v>0</v>
      </c>
      <c r="AK208" s="179">
        <f>IF($G208=0,0,ROUND(($G208*(1+Assumptions_Dashboard!$D$114)+(1+Assumptions_Dashboard!$D$115)*Fleet!AH159),0))</f>
        <v>0</v>
      </c>
      <c r="AL208" s="179">
        <f>IF($G208=0,0,ROUND(($G208*(1+Assumptions_Dashboard!$D$114)+(1+Assumptions_Dashboard!$D$115)*Fleet!AI159),0))</f>
        <v>0</v>
      </c>
      <c r="AM208" s="179">
        <f>IF($G208=0,0,ROUND(($G208*(1+Assumptions_Dashboard!$D$114)+(1+Assumptions_Dashboard!$D$115)*Fleet!AJ159),0))</f>
        <v>0</v>
      </c>
      <c r="AN208" s="179"/>
      <c r="AO208" s="179"/>
      <c r="AP208" s="179"/>
      <c r="AQ208" s="179"/>
      <c r="AR208" s="179"/>
      <c r="AS208" s="179"/>
    </row>
    <row r="209" spans="2:45">
      <c r="B209" s="250"/>
      <c r="C209" s="661" t="str">
        <f>Fleet!C160</f>
        <v>Crane/ 8t</v>
      </c>
      <c r="D209" s="257"/>
      <c r="E209" s="121" t="s">
        <v>740</v>
      </c>
      <c r="F209" s="205" t="s">
        <v>220</v>
      </c>
      <c r="G209">
        <f>IF(Sensitivity!$C$42="Departmental",0,3)</f>
        <v>0</v>
      </c>
      <c r="H209" s="366">
        <f>IFERROR(VLOOKUP(F209,Assumptions_Dashboard!$C$38:$D$72,4,FALSE),)</f>
        <v>0</v>
      </c>
      <c r="J209" s="179"/>
      <c r="K209" s="179"/>
      <c r="L209" s="179"/>
      <c r="M209" s="179"/>
      <c r="N209" s="179">
        <f>IF($G209=0,0,ROUND(($G209*(1+Assumptions_Dashboard!$D$114)+(1+Assumptions_Dashboard!$D$115)*Fleet!K160),0))</f>
        <v>0</v>
      </c>
      <c r="O209" s="179">
        <f>IF($G209=0,0,ROUND(($G209*(1+Assumptions_Dashboard!$D$114)+(1+Assumptions_Dashboard!$D$115)*Fleet!L160),0))</f>
        <v>0</v>
      </c>
      <c r="P209" s="179">
        <f>IF($G209=0,0,ROUND(($G209*(1+Assumptions_Dashboard!$D$114)+(1+Assumptions_Dashboard!$D$115)*Fleet!M160),0))</f>
        <v>0</v>
      </c>
      <c r="Q209" s="179">
        <f>IF($G209=0,0,ROUND(($G209*(1+Assumptions_Dashboard!$D$114)+(1+Assumptions_Dashboard!$D$115)*Fleet!N160),0))</f>
        <v>0</v>
      </c>
      <c r="R209" s="179">
        <f>IF($G209=0,0,ROUND(($G209*(1+Assumptions_Dashboard!$D$114)+(1+Assumptions_Dashboard!$D$115)*Fleet!O160),0))</f>
        <v>0</v>
      </c>
      <c r="S209" s="179">
        <f>IF($G209=0,0,ROUND(($G209*(1+Assumptions_Dashboard!$D$114)+(1+Assumptions_Dashboard!$D$115)*Fleet!P160),0))</f>
        <v>0</v>
      </c>
      <c r="T209" s="179">
        <f>IF($G209=0,0,ROUND(($G209*(1+Assumptions_Dashboard!$D$114)+(1+Assumptions_Dashboard!$D$115)*Fleet!Q160),0))</f>
        <v>0</v>
      </c>
      <c r="U209" s="179">
        <f>IF($G209=0,0,ROUND(($G209*(1+Assumptions_Dashboard!$D$114)+(1+Assumptions_Dashboard!$D$115)*Fleet!R160),0))</f>
        <v>0</v>
      </c>
      <c r="V209" s="179">
        <f>IF($G209=0,0,ROUND(($G209*(1+Assumptions_Dashboard!$D$114)+(1+Assumptions_Dashboard!$D$115)*Fleet!S160),0))</f>
        <v>0</v>
      </c>
      <c r="W209" s="179">
        <f>IF($G209=0,0,ROUND(($G209*(1+Assumptions_Dashboard!$D$114)+(1+Assumptions_Dashboard!$D$115)*Fleet!T160),0))</f>
        <v>0</v>
      </c>
      <c r="X209" s="179">
        <f>IF($G209=0,0,ROUND(($G209*(1+Assumptions_Dashboard!$D$114)+(1+Assumptions_Dashboard!$D$115)*Fleet!U160),0))</f>
        <v>0</v>
      </c>
      <c r="Y209" s="179">
        <f>IF($G209=0,0,ROUND(($G209*(1+Assumptions_Dashboard!$D$114)+(1+Assumptions_Dashboard!$D$115)*Fleet!V160),0))</f>
        <v>0</v>
      </c>
      <c r="Z209" s="179">
        <f>IF($G209=0,0,ROUND(($G209*(1+Assumptions_Dashboard!$D$114)+(1+Assumptions_Dashboard!$D$115)*Fleet!W160),0))</f>
        <v>0</v>
      </c>
      <c r="AA209" s="179">
        <f>IF($G209=0,0,ROUND(($G209*(1+Assumptions_Dashboard!$D$114)+(1+Assumptions_Dashboard!$D$115)*Fleet!X160),0))</f>
        <v>0</v>
      </c>
      <c r="AB209" s="179">
        <f>IF($G209=0,0,ROUND(($G209*(1+Assumptions_Dashboard!$D$114)+(1+Assumptions_Dashboard!$D$115)*Fleet!Y160),0))</f>
        <v>0</v>
      </c>
      <c r="AC209" s="179">
        <f>IF($G209=0,0,ROUND(($G209*(1+Assumptions_Dashboard!$D$114)+(1+Assumptions_Dashboard!$D$115)*Fleet!Z160),0))</f>
        <v>0</v>
      </c>
      <c r="AD209" s="179">
        <f>IF($G209=0,0,ROUND(($G209*(1+Assumptions_Dashboard!$D$114)+(1+Assumptions_Dashboard!$D$115)*Fleet!AA160),0))</f>
        <v>0</v>
      </c>
      <c r="AE209" s="179">
        <f>IF($G209=0,0,ROUND(($G209*(1+Assumptions_Dashboard!$D$114)+(1+Assumptions_Dashboard!$D$115)*Fleet!AB160),0))</f>
        <v>0</v>
      </c>
      <c r="AF209" s="179">
        <f>IF($G209=0,0,ROUND(($G209*(1+Assumptions_Dashboard!$D$114)+(1+Assumptions_Dashboard!$D$115)*Fleet!AC160),0))</f>
        <v>0</v>
      </c>
      <c r="AG209" s="179">
        <f>IF($G209=0,0,ROUND(($G209*(1+Assumptions_Dashboard!$D$114)+(1+Assumptions_Dashboard!$D$115)*Fleet!AD160),0))</f>
        <v>0</v>
      </c>
      <c r="AH209" s="179">
        <f>IF($G209=0,0,ROUND(($G209*(1+Assumptions_Dashboard!$D$114)+(1+Assumptions_Dashboard!$D$115)*Fleet!AE160),0))</f>
        <v>0</v>
      </c>
      <c r="AI209" s="179">
        <f>IF($G209=0,0,ROUND(($G209*(1+Assumptions_Dashboard!$D$114)+(1+Assumptions_Dashboard!$D$115)*Fleet!AF160),0))</f>
        <v>0</v>
      </c>
      <c r="AJ209" s="179">
        <f>IF($G209=0,0,ROUND(($G209*(1+Assumptions_Dashboard!$D$114)+(1+Assumptions_Dashboard!$D$115)*Fleet!AG160),0))</f>
        <v>0</v>
      </c>
      <c r="AK209" s="179">
        <f>IF($G209=0,0,ROUND(($G209*(1+Assumptions_Dashboard!$D$114)+(1+Assumptions_Dashboard!$D$115)*Fleet!AH160),0))</f>
        <v>0</v>
      </c>
      <c r="AL209" s="179">
        <f>IF($G209=0,0,ROUND(($G209*(1+Assumptions_Dashboard!$D$114)+(1+Assumptions_Dashboard!$D$115)*Fleet!AI160),0))</f>
        <v>0</v>
      </c>
      <c r="AM209" s="179">
        <f>IF($G209=0,0,ROUND(($G209*(1+Assumptions_Dashboard!$D$114)+(1+Assumptions_Dashboard!$D$115)*Fleet!AJ160),0))</f>
        <v>0</v>
      </c>
      <c r="AN209" s="179"/>
      <c r="AO209" s="179"/>
      <c r="AP209" s="179"/>
      <c r="AQ209" s="179"/>
      <c r="AR209" s="179"/>
      <c r="AS209" s="179"/>
    </row>
    <row r="210" spans="2:45">
      <c r="B210" s="250"/>
      <c r="C210" s="661" t="str">
        <f>Fleet!C161</f>
        <v>Water Sprinkler/ 28KL</v>
      </c>
      <c r="D210" s="257"/>
      <c r="E210" s="121" t="s">
        <v>740</v>
      </c>
      <c r="F210" s="205" t="s">
        <v>220</v>
      </c>
      <c r="G210">
        <f>IF(Sensitivity!$C$42="Departmental",0,3)</f>
        <v>0</v>
      </c>
      <c r="H210" s="366">
        <f>IFERROR(VLOOKUP(F210,Assumptions_Dashboard!$C$38:$D$72,4,FALSE),)</f>
        <v>0</v>
      </c>
      <c r="J210" s="179"/>
      <c r="K210" s="179"/>
      <c r="L210" s="179"/>
      <c r="M210" s="179"/>
      <c r="N210" s="179">
        <f>IF($G210=0,0,ROUND(($G210*(1+Assumptions_Dashboard!$D$114)+(1+Assumptions_Dashboard!$D$115)*Fleet!K161),0))</f>
        <v>0</v>
      </c>
      <c r="O210" s="179">
        <f>IF($G210=0,0,ROUND(($G210*(1+Assumptions_Dashboard!$D$114)+(1+Assumptions_Dashboard!$D$115)*Fleet!L161),0))</f>
        <v>0</v>
      </c>
      <c r="P210" s="179">
        <f>IF($G210=0,0,ROUND(($G210*(1+Assumptions_Dashboard!$D$114)+(1+Assumptions_Dashboard!$D$115)*Fleet!M161),0))</f>
        <v>0</v>
      </c>
      <c r="Q210" s="179">
        <f>IF($G210=0,0,ROUND(($G210*(1+Assumptions_Dashboard!$D$114)+(1+Assumptions_Dashboard!$D$115)*Fleet!N161),0))</f>
        <v>0</v>
      </c>
      <c r="R210" s="179">
        <f>IF($G210=0,0,ROUND(($G210*(1+Assumptions_Dashboard!$D$114)+(1+Assumptions_Dashboard!$D$115)*Fleet!O161),0))</f>
        <v>0</v>
      </c>
      <c r="S210" s="179">
        <f>IF($G210=0,0,ROUND(($G210*(1+Assumptions_Dashboard!$D$114)+(1+Assumptions_Dashboard!$D$115)*Fleet!P161),0))</f>
        <v>0</v>
      </c>
      <c r="T210" s="179">
        <f>IF($G210=0,0,ROUND(($G210*(1+Assumptions_Dashboard!$D$114)+(1+Assumptions_Dashboard!$D$115)*Fleet!Q161),0))</f>
        <v>0</v>
      </c>
      <c r="U210" s="179">
        <f>IF($G210=0,0,ROUND(($G210*(1+Assumptions_Dashboard!$D$114)+(1+Assumptions_Dashboard!$D$115)*Fleet!R161),0))</f>
        <v>0</v>
      </c>
      <c r="V210" s="179">
        <f>IF($G210=0,0,ROUND(($G210*(1+Assumptions_Dashboard!$D$114)+(1+Assumptions_Dashboard!$D$115)*Fleet!S161),0))</f>
        <v>0</v>
      </c>
      <c r="W210" s="179">
        <f>IF($G210=0,0,ROUND(($G210*(1+Assumptions_Dashboard!$D$114)+(1+Assumptions_Dashboard!$D$115)*Fleet!T161),0))</f>
        <v>0</v>
      </c>
      <c r="X210" s="179">
        <f>IF($G210=0,0,ROUND(($G210*(1+Assumptions_Dashboard!$D$114)+(1+Assumptions_Dashboard!$D$115)*Fleet!U161),0))</f>
        <v>0</v>
      </c>
      <c r="Y210" s="179">
        <f>IF($G210=0,0,ROUND(($G210*(1+Assumptions_Dashboard!$D$114)+(1+Assumptions_Dashboard!$D$115)*Fleet!V161),0))</f>
        <v>0</v>
      </c>
      <c r="Z210" s="179">
        <f>IF($G210=0,0,ROUND(($G210*(1+Assumptions_Dashboard!$D$114)+(1+Assumptions_Dashboard!$D$115)*Fleet!W161),0))</f>
        <v>0</v>
      </c>
      <c r="AA210" s="179">
        <f>IF($G210=0,0,ROUND(($G210*(1+Assumptions_Dashboard!$D$114)+(1+Assumptions_Dashboard!$D$115)*Fleet!X161),0))</f>
        <v>0</v>
      </c>
      <c r="AB210" s="179">
        <f>IF($G210=0,0,ROUND(($G210*(1+Assumptions_Dashboard!$D$114)+(1+Assumptions_Dashboard!$D$115)*Fleet!Y161),0))</f>
        <v>0</v>
      </c>
      <c r="AC210" s="179">
        <f>IF($G210=0,0,ROUND(($G210*(1+Assumptions_Dashboard!$D$114)+(1+Assumptions_Dashboard!$D$115)*Fleet!Z161),0))</f>
        <v>0</v>
      </c>
      <c r="AD210" s="179">
        <f>IF($G210=0,0,ROUND(($G210*(1+Assumptions_Dashboard!$D$114)+(1+Assumptions_Dashboard!$D$115)*Fleet!AA161),0))</f>
        <v>0</v>
      </c>
      <c r="AE210" s="179">
        <f>IF($G210=0,0,ROUND(($G210*(1+Assumptions_Dashboard!$D$114)+(1+Assumptions_Dashboard!$D$115)*Fleet!AB161),0))</f>
        <v>0</v>
      </c>
      <c r="AF210" s="179">
        <f>IF($G210=0,0,ROUND(($G210*(1+Assumptions_Dashboard!$D$114)+(1+Assumptions_Dashboard!$D$115)*Fleet!AC161),0))</f>
        <v>0</v>
      </c>
      <c r="AG210" s="179">
        <f>IF($G210=0,0,ROUND(($G210*(1+Assumptions_Dashboard!$D$114)+(1+Assumptions_Dashboard!$D$115)*Fleet!AD161),0))</f>
        <v>0</v>
      </c>
      <c r="AH210" s="179">
        <f>IF($G210=0,0,ROUND(($G210*(1+Assumptions_Dashboard!$D$114)+(1+Assumptions_Dashboard!$D$115)*Fleet!AE161),0))</f>
        <v>0</v>
      </c>
      <c r="AI210" s="179">
        <f>IF($G210=0,0,ROUND(($G210*(1+Assumptions_Dashboard!$D$114)+(1+Assumptions_Dashboard!$D$115)*Fleet!AF161),0))</f>
        <v>0</v>
      </c>
      <c r="AJ210" s="179">
        <f>IF($G210=0,0,ROUND(($G210*(1+Assumptions_Dashboard!$D$114)+(1+Assumptions_Dashboard!$D$115)*Fleet!AG161),0))</f>
        <v>0</v>
      </c>
      <c r="AK210" s="179">
        <f>IF($G210=0,0,ROUND(($G210*(1+Assumptions_Dashboard!$D$114)+(1+Assumptions_Dashboard!$D$115)*Fleet!AH161),0))</f>
        <v>0</v>
      </c>
      <c r="AL210" s="179">
        <f>IF($G210=0,0,ROUND(($G210*(1+Assumptions_Dashboard!$D$114)+(1+Assumptions_Dashboard!$D$115)*Fleet!AI161),0))</f>
        <v>0</v>
      </c>
      <c r="AM210" s="179">
        <f>IF($G210=0,0,ROUND(($G210*(1+Assumptions_Dashboard!$D$114)+(1+Assumptions_Dashboard!$D$115)*Fleet!AJ161),0))</f>
        <v>0</v>
      </c>
      <c r="AN210" s="179"/>
      <c r="AO210" s="179"/>
      <c r="AP210" s="179"/>
      <c r="AQ210" s="179"/>
      <c r="AR210" s="179"/>
      <c r="AS210" s="179"/>
    </row>
    <row r="211" spans="2:45">
      <c r="B211" s="250"/>
      <c r="C211" s="661" t="str">
        <f>Fleet!C162</f>
        <v>Diesel Bowser/ 9KL</v>
      </c>
      <c r="D211" s="257"/>
      <c r="E211" s="121" t="s">
        <v>740</v>
      </c>
      <c r="F211" s="205" t="s">
        <v>220</v>
      </c>
      <c r="G211">
        <f>IF(Sensitivity!$C$42="Departmental",0,3)</f>
        <v>0</v>
      </c>
      <c r="H211" s="366">
        <f>IFERROR(VLOOKUP(F211,Assumptions_Dashboard!$C$38:$D$72,4,FALSE),)</f>
        <v>0</v>
      </c>
      <c r="J211" s="179"/>
      <c r="K211" s="179"/>
      <c r="L211" s="179"/>
      <c r="M211" s="179"/>
      <c r="N211" s="179">
        <f>IF($G211=0,0,ROUND(($G211*(1+Assumptions_Dashboard!$D$114)+(1+Assumptions_Dashboard!$D$115)*Fleet!K162),0))</f>
        <v>0</v>
      </c>
      <c r="O211" s="179">
        <f>IF($G211=0,0,ROUND(($G211*(1+Assumptions_Dashboard!$D$114)+(1+Assumptions_Dashboard!$D$115)*Fleet!L162),0))</f>
        <v>0</v>
      </c>
      <c r="P211" s="179">
        <f>IF($G211=0,0,ROUND(($G211*(1+Assumptions_Dashboard!$D$114)+(1+Assumptions_Dashboard!$D$115)*Fleet!M162),0))</f>
        <v>0</v>
      </c>
      <c r="Q211" s="179">
        <f>IF($G211=0,0,ROUND(($G211*(1+Assumptions_Dashboard!$D$114)+(1+Assumptions_Dashboard!$D$115)*Fleet!N162),0))</f>
        <v>0</v>
      </c>
      <c r="R211" s="179">
        <f>IF($G211=0,0,ROUND(($G211*(1+Assumptions_Dashboard!$D$114)+(1+Assumptions_Dashboard!$D$115)*Fleet!O162),0))</f>
        <v>0</v>
      </c>
      <c r="S211" s="179">
        <f>IF($G211=0,0,ROUND(($G211*(1+Assumptions_Dashboard!$D$114)+(1+Assumptions_Dashboard!$D$115)*Fleet!P162),0))</f>
        <v>0</v>
      </c>
      <c r="T211" s="179">
        <f>IF($G211=0,0,ROUND(($G211*(1+Assumptions_Dashboard!$D$114)+(1+Assumptions_Dashboard!$D$115)*Fleet!Q162),0))</f>
        <v>0</v>
      </c>
      <c r="U211" s="179">
        <f>IF($G211=0,0,ROUND(($G211*(1+Assumptions_Dashboard!$D$114)+(1+Assumptions_Dashboard!$D$115)*Fleet!R162),0))</f>
        <v>0</v>
      </c>
      <c r="V211" s="179">
        <f>IF($G211=0,0,ROUND(($G211*(1+Assumptions_Dashboard!$D$114)+(1+Assumptions_Dashboard!$D$115)*Fleet!S162),0))</f>
        <v>0</v>
      </c>
      <c r="W211" s="179">
        <f>IF($G211=0,0,ROUND(($G211*(1+Assumptions_Dashboard!$D$114)+(1+Assumptions_Dashboard!$D$115)*Fleet!T162),0))</f>
        <v>0</v>
      </c>
      <c r="X211" s="179">
        <f>IF($G211=0,0,ROUND(($G211*(1+Assumptions_Dashboard!$D$114)+(1+Assumptions_Dashboard!$D$115)*Fleet!U162),0))</f>
        <v>0</v>
      </c>
      <c r="Y211" s="179">
        <f>IF($G211=0,0,ROUND(($G211*(1+Assumptions_Dashboard!$D$114)+(1+Assumptions_Dashboard!$D$115)*Fleet!V162),0))</f>
        <v>0</v>
      </c>
      <c r="Z211" s="179">
        <f>IF($G211=0,0,ROUND(($G211*(1+Assumptions_Dashboard!$D$114)+(1+Assumptions_Dashboard!$D$115)*Fleet!W162),0))</f>
        <v>0</v>
      </c>
      <c r="AA211" s="179">
        <f>IF($G211=0,0,ROUND(($G211*(1+Assumptions_Dashboard!$D$114)+(1+Assumptions_Dashboard!$D$115)*Fleet!X162),0))</f>
        <v>0</v>
      </c>
      <c r="AB211" s="179">
        <f>IF($G211=0,0,ROUND(($G211*(1+Assumptions_Dashboard!$D$114)+(1+Assumptions_Dashboard!$D$115)*Fleet!Y162),0))</f>
        <v>0</v>
      </c>
      <c r="AC211" s="179">
        <f>IF($G211=0,0,ROUND(($G211*(1+Assumptions_Dashboard!$D$114)+(1+Assumptions_Dashboard!$D$115)*Fleet!Z162),0))</f>
        <v>0</v>
      </c>
      <c r="AD211" s="179">
        <f>IF($G211=0,0,ROUND(($G211*(1+Assumptions_Dashboard!$D$114)+(1+Assumptions_Dashboard!$D$115)*Fleet!AA162),0))</f>
        <v>0</v>
      </c>
      <c r="AE211" s="179">
        <f>IF($G211=0,0,ROUND(($G211*(1+Assumptions_Dashboard!$D$114)+(1+Assumptions_Dashboard!$D$115)*Fleet!AB162),0))</f>
        <v>0</v>
      </c>
      <c r="AF211" s="179">
        <f>IF($G211=0,0,ROUND(($G211*(1+Assumptions_Dashboard!$D$114)+(1+Assumptions_Dashboard!$D$115)*Fleet!AC162),0))</f>
        <v>0</v>
      </c>
      <c r="AG211" s="179">
        <f>IF($G211=0,0,ROUND(($G211*(1+Assumptions_Dashboard!$D$114)+(1+Assumptions_Dashboard!$D$115)*Fleet!AD162),0))</f>
        <v>0</v>
      </c>
      <c r="AH211" s="179">
        <f>IF($G211=0,0,ROUND(($G211*(1+Assumptions_Dashboard!$D$114)+(1+Assumptions_Dashboard!$D$115)*Fleet!AE162),0))</f>
        <v>0</v>
      </c>
      <c r="AI211" s="179">
        <f>IF($G211=0,0,ROUND(($G211*(1+Assumptions_Dashboard!$D$114)+(1+Assumptions_Dashboard!$D$115)*Fleet!AF162),0))</f>
        <v>0</v>
      </c>
      <c r="AJ211" s="179">
        <f>IF($G211=0,0,ROUND(($G211*(1+Assumptions_Dashboard!$D$114)+(1+Assumptions_Dashboard!$D$115)*Fleet!AG162),0))</f>
        <v>0</v>
      </c>
      <c r="AK211" s="179">
        <f>IF($G211=0,0,ROUND(($G211*(1+Assumptions_Dashboard!$D$114)+(1+Assumptions_Dashboard!$D$115)*Fleet!AH162),0))</f>
        <v>0</v>
      </c>
      <c r="AL211" s="179">
        <f>IF($G211=0,0,ROUND(($G211*(1+Assumptions_Dashboard!$D$114)+(1+Assumptions_Dashboard!$D$115)*Fleet!AI162),0))</f>
        <v>0</v>
      </c>
      <c r="AM211" s="179">
        <f>IF($G211=0,0,ROUND(($G211*(1+Assumptions_Dashboard!$D$114)+(1+Assumptions_Dashboard!$D$115)*Fleet!AJ162),0))</f>
        <v>0</v>
      </c>
      <c r="AN211" s="179"/>
      <c r="AO211" s="179"/>
      <c r="AP211" s="179"/>
      <c r="AQ211" s="179"/>
      <c r="AR211" s="179"/>
      <c r="AS211" s="179"/>
    </row>
    <row r="212" spans="2:45">
      <c r="B212" s="250"/>
      <c r="C212" s="661" t="str">
        <f>Fleet!C163</f>
        <v xml:space="preserve">Explosive Van </v>
      </c>
      <c r="D212" s="257"/>
      <c r="E212" s="121" t="s">
        <v>740</v>
      </c>
      <c r="F212" s="205" t="s">
        <v>220</v>
      </c>
      <c r="G212">
        <f>IF(Sensitivity!$C$42="Departmental",0,3)</f>
        <v>0</v>
      </c>
      <c r="H212" s="366">
        <f>IFERROR(VLOOKUP(F212,Assumptions_Dashboard!$C$38:$D$72,4,FALSE),)</f>
        <v>0</v>
      </c>
      <c r="J212" s="179"/>
      <c r="K212" s="179"/>
      <c r="L212" s="179"/>
      <c r="M212" s="179"/>
      <c r="N212" s="179">
        <f>IF($G212=0,0,ROUND(($G212*(1+Assumptions_Dashboard!$D$114)+(1+Assumptions_Dashboard!$D$115)*Fleet!K163),0))</f>
        <v>0</v>
      </c>
      <c r="O212" s="179">
        <f>IF($G212=0,0,ROUND(($G212*(1+Assumptions_Dashboard!$D$114)+(1+Assumptions_Dashboard!$D$115)*Fleet!L163),0))</f>
        <v>0</v>
      </c>
      <c r="P212" s="179">
        <f>IF($G212=0,0,ROUND(($G212*(1+Assumptions_Dashboard!$D$114)+(1+Assumptions_Dashboard!$D$115)*Fleet!M163),0))</f>
        <v>0</v>
      </c>
      <c r="Q212" s="179">
        <f>IF($G212=0,0,ROUND(($G212*(1+Assumptions_Dashboard!$D$114)+(1+Assumptions_Dashboard!$D$115)*Fleet!N163),0))</f>
        <v>0</v>
      </c>
      <c r="R212" s="179">
        <f>IF($G212=0,0,ROUND(($G212*(1+Assumptions_Dashboard!$D$114)+(1+Assumptions_Dashboard!$D$115)*Fleet!O163),0))</f>
        <v>0</v>
      </c>
      <c r="S212" s="179">
        <f>IF($G212=0,0,ROUND(($G212*(1+Assumptions_Dashboard!$D$114)+(1+Assumptions_Dashboard!$D$115)*Fleet!P163),0))</f>
        <v>0</v>
      </c>
      <c r="T212" s="179">
        <f>IF($G212=0,0,ROUND(($G212*(1+Assumptions_Dashboard!$D$114)+(1+Assumptions_Dashboard!$D$115)*Fleet!Q163),0))</f>
        <v>0</v>
      </c>
      <c r="U212" s="179">
        <f>IF($G212=0,0,ROUND(($G212*(1+Assumptions_Dashboard!$D$114)+(1+Assumptions_Dashboard!$D$115)*Fleet!R163),0))</f>
        <v>0</v>
      </c>
      <c r="V212" s="179">
        <f>IF($G212=0,0,ROUND(($G212*(1+Assumptions_Dashboard!$D$114)+(1+Assumptions_Dashboard!$D$115)*Fleet!S163),0))</f>
        <v>0</v>
      </c>
      <c r="W212" s="179">
        <f>IF($G212=0,0,ROUND(($G212*(1+Assumptions_Dashboard!$D$114)+(1+Assumptions_Dashboard!$D$115)*Fleet!T163),0))</f>
        <v>0</v>
      </c>
      <c r="X212" s="179">
        <f>IF($G212=0,0,ROUND(($G212*(1+Assumptions_Dashboard!$D$114)+(1+Assumptions_Dashboard!$D$115)*Fleet!U163),0))</f>
        <v>0</v>
      </c>
      <c r="Y212" s="179">
        <f>IF($G212=0,0,ROUND(($G212*(1+Assumptions_Dashboard!$D$114)+(1+Assumptions_Dashboard!$D$115)*Fleet!V163),0))</f>
        <v>0</v>
      </c>
      <c r="Z212" s="179">
        <f>IF($G212=0,0,ROUND(($G212*(1+Assumptions_Dashboard!$D$114)+(1+Assumptions_Dashboard!$D$115)*Fleet!W163),0))</f>
        <v>0</v>
      </c>
      <c r="AA212" s="179">
        <f>IF($G212=0,0,ROUND(($G212*(1+Assumptions_Dashboard!$D$114)+(1+Assumptions_Dashboard!$D$115)*Fleet!X163),0))</f>
        <v>0</v>
      </c>
      <c r="AB212" s="179">
        <f>IF($G212=0,0,ROUND(($G212*(1+Assumptions_Dashboard!$D$114)+(1+Assumptions_Dashboard!$D$115)*Fleet!Y163),0))</f>
        <v>0</v>
      </c>
      <c r="AC212" s="179">
        <f>IF($G212=0,0,ROUND(($G212*(1+Assumptions_Dashboard!$D$114)+(1+Assumptions_Dashboard!$D$115)*Fleet!Z163),0))</f>
        <v>0</v>
      </c>
      <c r="AD212" s="179">
        <f>IF($G212=0,0,ROUND(($G212*(1+Assumptions_Dashboard!$D$114)+(1+Assumptions_Dashboard!$D$115)*Fleet!AA163),0))</f>
        <v>0</v>
      </c>
      <c r="AE212" s="179">
        <f>IF($G212=0,0,ROUND(($G212*(1+Assumptions_Dashboard!$D$114)+(1+Assumptions_Dashboard!$D$115)*Fleet!AB163),0))</f>
        <v>0</v>
      </c>
      <c r="AF212" s="179">
        <f>IF($G212=0,0,ROUND(($G212*(1+Assumptions_Dashboard!$D$114)+(1+Assumptions_Dashboard!$D$115)*Fleet!AC163),0))</f>
        <v>0</v>
      </c>
      <c r="AG212" s="179">
        <f>IF($G212=0,0,ROUND(($G212*(1+Assumptions_Dashboard!$D$114)+(1+Assumptions_Dashboard!$D$115)*Fleet!AD163),0))</f>
        <v>0</v>
      </c>
      <c r="AH212" s="179">
        <f>IF($G212=0,0,ROUND(($G212*(1+Assumptions_Dashboard!$D$114)+(1+Assumptions_Dashboard!$D$115)*Fleet!AE163),0))</f>
        <v>0</v>
      </c>
      <c r="AI212" s="179">
        <f>IF($G212=0,0,ROUND(($G212*(1+Assumptions_Dashboard!$D$114)+(1+Assumptions_Dashboard!$D$115)*Fleet!AF163),0))</f>
        <v>0</v>
      </c>
      <c r="AJ212" s="179">
        <f>IF($G212=0,0,ROUND(($G212*(1+Assumptions_Dashboard!$D$114)+(1+Assumptions_Dashboard!$D$115)*Fleet!AG163),0))</f>
        <v>0</v>
      </c>
      <c r="AK212" s="179">
        <f>IF($G212=0,0,ROUND(($G212*(1+Assumptions_Dashboard!$D$114)+(1+Assumptions_Dashboard!$D$115)*Fleet!AH163),0))</f>
        <v>0</v>
      </c>
      <c r="AL212" s="179">
        <f>IF($G212=0,0,ROUND(($G212*(1+Assumptions_Dashboard!$D$114)+(1+Assumptions_Dashboard!$D$115)*Fleet!AI163),0))</f>
        <v>0</v>
      </c>
      <c r="AM212" s="179">
        <f>IF($G212=0,0,ROUND(($G212*(1+Assumptions_Dashboard!$D$114)+(1+Assumptions_Dashboard!$D$115)*Fleet!AJ163),0))</f>
        <v>0</v>
      </c>
      <c r="AN212" s="179"/>
      <c r="AO212" s="179"/>
      <c r="AP212" s="179"/>
      <c r="AQ212" s="179"/>
      <c r="AR212" s="179"/>
      <c r="AS212" s="179"/>
    </row>
    <row r="213" spans="2:45">
      <c r="B213" s="250"/>
      <c r="C213" s="661" t="str">
        <f>Fleet!C164</f>
        <v>Maintenance Van</v>
      </c>
      <c r="D213" s="257"/>
      <c r="E213" s="121" t="s">
        <v>740</v>
      </c>
      <c r="F213" s="205" t="s">
        <v>220</v>
      </c>
      <c r="G213">
        <f>IF(Sensitivity!$C$42="Departmental",0,3)</f>
        <v>0</v>
      </c>
      <c r="H213" s="366">
        <f>IFERROR(VLOOKUP(F213,Assumptions_Dashboard!$C$38:$D$72,4,FALSE),)</f>
        <v>0</v>
      </c>
      <c r="J213" s="179"/>
      <c r="K213" s="179"/>
      <c r="L213" s="179"/>
      <c r="M213" s="179"/>
      <c r="N213" s="179">
        <f>IF($G213=0,0,ROUND(($G213*(1+Assumptions_Dashboard!$D$114)+(1+Assumptions_Dashboard!$D$115)*Fleet!K164),0))</f>
        <v>0</v>
      </c>
      <c r="O213" s="179">
        <f>IF($G213=0,0,ROUND(($G213*(1+Assumptions_Dashboard!$D$114)+(1+Assumptions_Dashboard!$D$115)*Fleet!L164),0))</f>
        <v>0</v>
      </c>
      <c r="P213" s="179">
        <f>IF($G213=0,0,ROUND(($G213*(1+Assumptions_Dashboard!$D$114)+(1+Assumptions_Dashboard!$D$115)*Fleet!M164),0))</f>
        <v>0</v>
      </c>
      <c r="Q213" s="179">
        <f>IF($G213=0,0,ROUND(($G213*(1+Assumptions_Dashboard!$D$114)+(1+Assumptions_Dashboard!$D$115)*Fleet!N164),0))</f>
        <v>0</v>
      </c>
      <c r="R213" s="179">
        <f>IF($G213=0,0,ROUND(($G213*(1+Assumptions_Dashboard!$D$114)+(1+Assumptions_Dashboard!$D$115)*Fleet!O164),0))</f>
        <v>0</v>
      </c>
      <c r="S213" s="179">
        <f>IF($G213=0,0,ROUND(($G213*(1+Assumptions_Dashboard!$D$114)+(1+Assumptions_Dashboard!$D$115)*Fleet!P164),0))</f>
        <v>0</v>
      </c>
      <c r="T213" s="179">
        <f>IF($G213=0,0,ROUND(($G213*(1+Assumptions_Dashboard!$D$114)+(1+Assumptions_Dashboard!$D$115)*Fleet!Q164),0))</f>
        <v>0</v>
      </c>
      <c r="U213" s="179">
        <f>IF($G213=0,0,ROUND(($G213*(1+Assumptions_Dashboard!$D$114)+(1+Assumptions_Dashboard!$D$115)*Fleet!R164),0))</f>
        <v>0</v>
      </c>
      <c r="V213" s="179">
        <f>IF($G213=0,0,ROUND(($G213*(1+Assumptions_Dashboard!$D$114)+(1+Assumptions_Dashboard!$D$115)*Fleet!S164),0))</f>
        <v>0</v>
      </c>
      <c r="W213" s="179">
        <f>IF($G213=0,0,ROUND(($G213*(1+Assumptions_Dashboard!$D$114)+(1+Assumptions_Dashboard!$D$115)*Fleet!T164),0))</f>
        <v>0</v>
      </c>
      <c r="X213" s="179">
        <f>IF($G213=0,0,ROUND(($G213*(1+Assumptions_Dashboard!$D$114)+(1+Assumptions_Dashboard!$D$115)*Fleet!U164),0))</f>
        <v>0</v>
      </c>
      <c r="Y213" s="179">
        <f>IF($G213=0,0,ROUND(($G213*(1+Assumptions_Dashboard!$D$114)+(1+Assumptions_Dashboard!$D$115)*Fleet!V164),0))</f>
        <v>0</v>
      </c>
      <c r="Z213" s="179">
        <f>IF($G213=0,0,ROUND(($G213*(1+Assumptions_Dashboard!$D$114)+(1+Assumptions_Dashboard!$D$115)*Fleet!W164),0))</f>
        <v>0</v>
      </c>
      <c r="AA213" s="179">
        <f>IF($G213=0,0,ROUND(($G213*(1+Assumptions_Dashboard!$D$114)+(1+Assumptions_Dashboard!$D$115)*Fleet!X164),0))</f>
        <v>0</v>
      </c>
      <c r="AB213" s="179">
        <f>IF($G213=0,0,ROUND(($G213*(1+Assumptions_Dashboard!$D$114)+(1+Assumptions_Dashboard!$D$115)*Fleet!Y164),0))</f>
        <v>0</v>
      </c>
      <c r="AC213" s="179">
        <f>IF($G213=0,0,ROUND(($G213*(1+Assumptions_Dashboard!$D$114)+(1+Assumptions_Dashboard!$D$115)*Fleet!Z164),0))</f>
        <v>0</v>
      </c>
      <c r="AD213" s="179">
        <f>IF($G213=0,0,ROUND(($G213*(1+Assumptions_Dashboard!$D$114)+(1+Assumptions_Dashboard!$D$115)*Fleet!AA164),0))</f>
        <v>0</v>
      </c>
      <c r="AE213" s="179">
        <f>IF($G213=0,0,ROUND(($G213*(1+Assumptions_Dashboard!$D$114)+(1+Assumptions_Dashboard!$D$115)*Fleet!AB164),0))</f>
        <v>0</v>
      </c>
      <c r="AF213" s="179">
        <f>IF($G213=0,0,ROUND(($G213*(1+Assumptions_Dashboard!$D$114)+(1+Assumptions_Dashboard!$D$115)*Fleet!AC164),0))</f>
        <v>0</v>
      </c>
      <c r="AG213" s="179">
        <f>IF($G213=0,0,ROUND(($G213*(1+Assumptions_Dashboard!$D$114)+(1+Assumptions_Dashboard!$D$115)*Fleet!AD164),0))</f>
        <v>0</v>
      </c>
      <c r="AH213" s="179">
        <f>IF($G213=0,0,ROUND(($G213*(1+Assumptions_Dashboard!$D$114)+(1+Assumptions_Dashboard!$D$115)*Fleet!AE164),0))</f>
        <v>0</v>
      </c>
      <c r="AI213" s="179">
        <f>IF($G213=0,0,ROUND(($G213*(1+Assumptions_Dashboard!$D$114)+(1+Assumptions_Dashboard!$D$115)*Fleet!AF164),0))</f>
        <v>0</v>
      </c>
      <c r="AJ213" s="179">
        <f>IF($G213=0,0,ROUND(($G213*(1+Assumptions_Dashboard!$D$114)+(1+Assumptions_Dashboard!$D$115)*Fleet!AG164),0))</f>
        <v>0</v>
      </c>
      <c r="AK213" s="179">
        <f>IF($G213=0,0,ROUND(($G213*(1+Assumptions_Dashboard!$D$114)+(1+Assumptions_Dashboard!$D$115)*Fleet!AH164),0))</f>
        <v>0</v>
      </c>
      <c r="AL213" s="179">
        <f>IF($G213=0,0,ROUND(($G213*(1+Assumptions_Dashboard!$D$114)+(1+Assumptions_Dashboard!$D$115)*Fleet!AI164),0))</f>
        <v>0</v>
      </c>
      <c r="AM213" s="179">
        <f>IF($G213=0,0,ROUND(($G213*(1+Assumptions_Dashboard!$D$114)+(1+Assumptions_Dashboard!$D$115)*Fleet!AJ164),0))</f>
        <v>0</v>
      </c>
      <c r="AN213" s="179"/>
      <c r="AO213" s="179"/>
      <c r="AP213" s="179"/>
      <c r="AQ213" s="179"/>
      <c r="AR213" s="179"/>
      <c r="AS213" s="179"/>
    </row>
    <row r="214" spans="2:45">
      <c r="B214" s="250"/>
      <c r="C214" s="661" t="str">
        <f>Fleet!C165</f>
        <v>Diesel Hydraulic backhoe/ 1.5cum (Komatsu)</v>
      </c>
      <c r="D214" s="257"/>
      <c r="E214" s="121" t="s">
        <v>740</v>
      </c>
      <c r="F214" s="205" t="s">
        <v>220</v>
      </c>
      <c r="G214">
        <f>IF(Sensitivity!$C$42="Departmental",0,3)</f>
        <v>0</v>
      </c>
      <c r="H214" s="366">
        <f>IFERROR(VLOOKUP(F214,Assumptions_Dashboard!$C$38:$D$72,4,FALSE),)</f>
        <v>0</v>
      </c>
      <c r="J214" s="179"/>
      <c r="K214" s="179"/>
      <c r="L214" s="179"/>
      <c r="M214" s="179"/>
      <c r="N214" s="179">
        <f>IF($G214=0,0,ROUND(($G214*(1+Assumptions_Dashboard!$D$114)+(1+Assumptions_Dashboard!$D$115)*Fleet!K165),0))</f>
        <v>0</v>
      </c>
      <c r="O214" s="179">
        <f>IF($G214=0,0,ROUND(($G214*(1+Assumptions_Dashboard!$D$114)+(1+Assumptions_Dashboard!$D$115)*Fleet!L165),0))</f>
        <v>0</v>
      </c>
      <c r="P214" s="179">
        <f>IF($G214=0,0,ROUND(($G214*(1+Assumptions_Dashboard!$D$114)+(1+Assumptions_Dashboard!$D$115)*Fleet!M165),0))</f>
        <v>0</v>
      </c>
      <c r="Q214" s="179">
        <f>IF($G214=0,0,ROUND(($G214*(1+Assumptions_Dashboard!$D$114)+(1+Assumptions_Dashboard!$D$115)*Fleet!N165),0))</f>
        <v>0</v>
      </c>
      <c r="R214" s="179">
        <f>IF($G214=0,0,ROUND(($G214*(1+Assumptions_Dashboard!$D$114)+(1+Assumptions_Dashboard!$D$115)*Fleet!O165),0))</f>
        <v>0</v>
      </c>
      <c r="S214" s="179">
        <f>IF($G214=0,0,ROUND(($G214*(1+Assumptions_Dashboard!$D$114)+(1+Assumptions_Dashboard!$D$115)*Fleet!P165),0))</f>
        <v>0</v>
      </c>
      <c r="T214" s="179">
        <f>IF($G214=0,0,ROUND(($G214*(1+Assumptions_Dashboard!$D$114)+(1+Assumptions_Dashboard!$D$115)*Fleet!Q165),0))</f>
        <v>0</v>
      </c>
      <c r="U214" s="179">
        <f>IF($G214=0,0,ROUND(($G214*(1+Assumptions_Dashboard!$D$114)+(1+Assumptions_Dashboard!$D$115)*Fleet!R165),0))</f>
        <v>0</v>
      </c>
      <c r="V214" s="179">
        <f>IF($G214=0,0,ROUND(($G214*(1+Assumptions_Dashboard!$D$114)+(1+Assumptions_Dashboard!$D$115)*Fleet!S165),0))</f>
        <v>0</v>
      </c>
      <c r="W214" s="179">
        <f>IF($G214=0,0,ROUND(($G214*(1+Assumptions_Dashboard!$D$114)+(1+Assumptions_Dashboard!$D$115)*Fleet!T165),0))</f>
        <v>0</v>
      </c>
      <c r="X214" s="179">
        <f>IF($G214=0,0,ROUND(($G214*(1+Assumptions_Dashboard!$D$114)+(1+Assumptions_Dashboard!$D$115)*Fleet!U165),0))</f>
        <v>0</v>
      </c>
      <c r="Y214" s="179">
        <f>IF($G214=0,0,ROUND(($G214*(1+Assumptions_Dashboard!$D$114)+(1+Assumptions_Dashboard!$D$115)*Fleet!V165),0))</f>
        <v>0</v>
      </c>
      <c r="Z214" s="179">
        <f>IF($G214=0,0,ROUND(($G214*(1+Assumptions_Dashboard!$D$114)+(1+Assumptions_Dashboard!$D$115)*Fleet!W165),0))</f>
        <v>0</v>
      </c>
      <c r="AA214" s="179">
        <f>IF($G214=0,0,ROUND(($G214*(1+Assumptions_Dashboard!$D$114)+(1+Assumptions_Dashboard!$D$115)*Fleet!X165),0))</f>
        <v>0</v>
      </c>
      <c r="AB214" s="179">
        <f>IF($G214=0,0,ROUND(($G214*(1+Assumptions_Dashboard!$D$114)+(1+Assumptions_Dashboard!$D$115)*Fleet!Y165),0))</f>
        <v>0</v>
      </c>
      <c r="AC214" s="179">
        <f>IF($G214=0,0,ROUND(($G214*(1+Assumptions_Dashboard!$D$114)+(1+Assumptions_Dashboard!$D$115)*Fleet!Z165),0))</f>
        <v>0</v>
      </c>
      <c r="AD214" s="179">
        <f>IF($G214=0,0,ROUND(($G214*(1+Assumptions_Dashboard!$D$114)+(1+Assumptions_Dashboard!$D$115)*Fleet!AA165),0))</f>
        <v>0</v>
      </c>
      <c r="AE214" s="179">
        <f>IF($G214=0,0,ROUND(($G214*(1+Assumptions_Dashboard!$D$114)+(1+Assumptions_Dashboard!$D$115)*Fleet!AB165),0))</f>
        <v>0</v>
      </c>
      <c r="AF214" s="179">
        <f>IF($G214=0,0,ROUND(($G214*(1+Assumptions_Dashboard!$D$114)+(1+Assumptions_Dashboard!$D$115)*Fleet!AC165),0))</f>
        <v>0</v>
      </c>
      <c r="AG214" s="179">
        <f>IF($G214=0,0,ROUND(($G214*(1+Assumptions_Dashboard!$D$114)+(1+Assumptions_Dashboard!$D$115)*Fleet!AD165),0))</f>
        <v>0</v>
      </c>
      <c r="AH214" s="179">
        <f>IF($G214=0,0,ROUND(($G214*(1+Assumptions_Dashboard!$D$114)+(1+Assumptions_Dashboard!$D$115)*Fleet!AE165),0))</f>
        <v>0</v>
      </c>
      <c r="AI214" s="179">
        <f>IF($G214=0,0,ROUND(($G214*(1+Assumptions_Dashboard!$D$114)+(1+Assumptions_Dashboard!$D$115)*Fleet!AF165),0))</f>
        <v>0</v>
      </c>
      <c r="AJ214" s="179">
        <f>IF($G214=0,0,ROUND(($G214*(1+Assumptions_Dashboard!$D$114)+(1+Assumptions_Dashboard!$D$115)*Fleet!AG165),0))</f>
        <v>0</v>
      </c>
      <c r="AK214" s="179">
        <f>IF($G214=0,0,ROUND(($G214*(1+Assumptions_Dashboard!$D$114)+(1+Assumptions_Dashboard!$D$115)*Fleet!AH165),0))</f>
        <v>0</v>
      </c>
      <c r="AL214" s="179">
        <f>IF($G214=0,0,ROUND(($G214*(1+Assumptions_Dashboard!$D$114)+(1+Assumptions_Dashboard!$D$115)*Fleet!AI165),0))</f>
        <v>0</v>
      </c>
      <c r="AM214" s="179">
        <f>IF($G214=0,0,ROUND(($G214*(1+Assumptions_Dashboard!$D$114)+(1+Assumptions_Dashboard!$D$115)*Fleet!AJ165),0))</f>
        <v>0</v>
      </c>
      <c r="AN214" s="179"/>
      <c r="AO214" s="179"/>
      <c r="AP214" s="179"/>
      <c r="AQ214" s="179"/>
      <c r="AR214" s="179"/>
      <c r="AS214" s="179"/>
    </row>
    <row r="215" spans="2:45">
      <c r="B215" s="250"/>
      <c r="C215" s="661" t="str">
        <f>Fleet!C166</f>
        <v xml:space="preserve">Boom Truck </v>
      </c>
      <c r="D215" s="257"/>
      <c r="E215" s="121" t="s">
        <v>740</v>
      </c>
      <c r="F215" s="205" t="s">
        <v>220</v>
      </c>
      <c r="G215">
        <f>IF(Sensitivity!$C$42="Departmental",0,3)</f>
        <v>0</v>
      </c>
      <c r="H215" s="366">
        <f>IFERROR(VLOOKUP(F215,Assumptions_Dashboard!$C$38:$D$72,4,FALSE),)</f>
        <v>0</v>
      </c>
      <c r="J215" s="179"/>
      <c r="K215" s="179"/>
      <c r="L215" s="179"/>
      <c r="M215" s="179"/>
      <c r="N215" s="179">
        <f>IF($G215=0,0,ROUND(($G215*(1+Assumptions_Dashboard!$D$114)+(1+Assumptions_Dashboard!$D$115)*Fleet!K166),0))</f>
        <v>0</v>
      </c>
      <c r="O215" s="179">
        <f>IF($G215=0,0,ROUND(($G215*(1+Assumptions_Dashboard!$D$114)+(1+Assumptions_Dashboard!$D$115)*Fleet!L166),0))</f>
        <v>0</v>
      </c>
      <c r="P215" s="179">
        <f>IF($G215=0,0,ROUND(($G215*(1+Assumptions_Dashboard!$D$114)+(1+Assumptions_Dashboard!$D$115)*Fleet!M166),0))</f>
        <v>0</v>
      </c>
      <c r="Q215" s="179">
        <f>IF($G215=0,0,ROUND(($G215*(1+Assumptions_Dashboard!$D$114)+(1+Assumptions_Dashboard!$D$115)*Fleet!N166),0))</f>
        <v>0</v>
      </c>
      <c r="R215" s="179">
        <f>IF($G215=0,0,ROUND(($G215*(1+Assumptions_Dashboard!$D$114)+(1+Assumptions_Dashboard!$D$115)*Fleet!O166),0))</f>
        <v>0</v>
      </c>
      <c r="S215" s="179">
        <f>IF($G215=0,0,ROUND(($G215*(1+Assumptions_Dashboard!$D$114)+(1+Assumptions_Dashboard!$D$115)*Fleet!P166),0))</f>
        <v>0</v>
      </c>
      <c r="T215" s="179">
        <f>IF($G215=0,0,ROUND(($G215*(1+Assumptions_Dashboard!$D$114)+(1+Assumptions_Dashboard!$D$115)*Fleet!Q166),0))</f>
        <v>0</v>
      </c>
      <c r="U215" s="179">
        <f>IF($G215=0,0,ROUND(($G215*(1+Assumptions_Dashboard!$D$114)+(1+Assumptions_Dashboard!$D$115)*Fleet!R166),0))</f>
        <v>0</v>
      </c>
      <c r="V215" s="179">
        <f>IF($G215=0,0,ROUND(($G215*(1+Assumptions_Dashboard!$D$114)+(1+Assumptions_Dashboard!$D$115)*Fleet!S166),0))</f>
        <v>0</v>
      </c>
      <c r="W215" s="179">
        <f>IF($G215=0,0,ROUND(($G215*(1+Assumptions_Dashboard!$D$114)+(1+Assumptions_Dashboard!$D$115)*Fleet!T166),0))</f>
        <v>0</v>
      </c>
      <c r="X215" s="179">
        <f>IF($G215=0,0,ROUND(($G215*(1+Assumptions_Dashboard!$D$114)+(1+Assumptions_Dashboard!$D$115)*Fleet!U166),0))</f>
        <v>0</v>
      </c>
      <c r="Y215" s="179">
        <f>IF($G215=0,0,ROUND(($G215*(1+Assumptions_Dashboard!$D$114)+(1+Assumptions_Dashboard!$D$115)*Fleet!V166),0))</f>
        <v>0</v>
      </c>
      <c r="Z215" s="179">
        <f>IF($G215=0,0,ROUND(($G215*(1+Assumptions_Dashboard!$D$114)+(1+Assumptions_Dashboard!$D$115)*Fleet!W166),0))</f>
        <v>0</v>
      </c>
      <c r="AA215" s="179">
        <f>IF($G215=0,0,ROUND(($G215*(1+Assumptions_Dashboard!$D$114)+(1+Assumptions_Dashboard!$D$115)*Fleet!X166),0))</f>
        <v>0</v>
      </c>
      <c r="AB215" s="179">
        <f>IF($G215=0,0,ROUND(($G215*(1+Assumptions_Dashboard!$D$114)+(1+Assumptions_Dashboard!$D$115)*Fleet!Y166),0))</f>
        <v>0</v>
      </c>
      <c r="AC215" s="179">
        <f>IF($G215=0,0,ROUND(($G215*(1+Assumptions_Dashboard!$D$114)+(1+Assumptions_Dashboard!$D$115)*Fleet!Z166),0))</f>
        <v>0</v>
      </c>
      <c r="AD215" s="179">
        <f>IF($G215=0,0,ROUND(($G215*(1+Assumptions_Dashboard!$D$114)+(1+Assumptions_Dashboard!$D$115)*Fleet!AA166),0))</f>
        <v>0</v>
      </c>
      <c r="AE215" s="179">
        <f>IF($G215=0,0,ROUND(($G215*(1+Assumptions_Dashboard!$D$114)+(1+Assumptions_Dashboard!$D$115)*Fleet!AB166),0))</f>
        <v>0</v>
      </c>
      <c r="AF215" s="179">
        <f>IF($G215=0,0,ROUND(($G215*(1+Assumptions_Dashboard!$D$114)+(1+Assumptions_Dashboard!$D$115)*Fleet!AC166),0))</f>
        <v>0</v>
      </c>
      <c r="AG215" s="179">
        <f>IF($G215=0,0,ROUND(($G215*(1+Assumptions_Dashboard!$D$114)+(1+Assumptions_Dashboard!$D$115)*Fleet!AD166),0))</f>
        <v>0</v>
      </c>
      <c r="AH215" s="179">
        <f>IF($G215=0,0,ROUND(($G215*(1+Assumptions_Dashboard!$D$114)+(1+Assumptions_Dashboard!$D$115)*Fleet!AE166),0))</f>
        <v>0</v>
      </c>
      <c r="AI215" s="179">
        <f>IF($G215=0,0,ROUND(($G215*(1+Assumptions_Dashboard!$D$114)+(1+Assumptions_Dashboard!$D$115)*Fleet!AF166),0))</f>
        <v>0</v>
      </c>
      <c r="AJ215" s="179">
        <f>IF($G215=0,0,ROUND(($G215*(1+Assumptions_Dashboard!$D$114)+(1+Assumptions_Dashboard!$D$115)*Fleet!AG166),0))</f>
        <v>0</v>
      </c>
      <c r="AK215" s="179">
        <f>IF($G215=0,0,ROUND(($G215*(1+Assumptions_Dashboard!$D$114)+(1+Assumptions_Dashboard!$D$115)*Fleet!AH166),0))</f>
        <v>0</v>
      </c>
      <c r="AL215" s="179">
        <f>IF($G215=0,0,ROUND(($G215*(1+Assumptions_Dashboard!$D$114)+(1+Assumptions_Dashboard!$D$115)*Fleet!AI166),0))</f>
        <v>0</v>
      </c>
      <c r="AM215" s="179">
        <f>IF($G215=0,0,ROUND(($G215*(1+Assumptions_Dashboard!$D$114)+(1+Assumptions_Dashboard!$D$115)*Fleet!AJ166),0))</f>
        <v>0</v>
      </c>
      <c r="AN215" s="179"/>
      <c r="AO215" s="179"/>
      <c r="AP215" s="179"/>
      <c r="AQ215" s="179"/>
      <c r="AR215" s="179"/>
      <c r="AS215" s="179"/>
    </row>
    <row r="216" spans="2:45">
      <c r="B216" s="250"/>
      <c r="C216" s="661" t="str">
        <f>Fleet!C167</f>
        <v xml:space="preserve">Heavy duty tow truck </v>
      </c>
      <c r="D216" s="257"/>
      <c r="E216" s="121" t="s">
        <v>740</v>
      </c>
      <c r="F216" s="205" t="s">
        <v>220</v>
      </c>
      <c r="G216">
        <f>IF(Sensitivity!$C$42="Departmental",0,3)</f>
        <v>0</v>
      </c>
      <c r="H216" s="366">
        <f>IFERROR(VLOOKUP(F216,Assumptions_Dashboard!$C$38:$D$72,4,FALSE),)</f>
        <v>0</v>
      </c>
      <c r="J216" s="179"/>
      <c r="K216" s="179"/>
      <c r="L216" s="179"/>
      <c r="M216" s="179"/>
      <c r="N216" s="179">
        <f>IF($G216=0,0,ROUND(($G216*(1+Assumptions_Dashboard!$D$114)+(1+Assumptions_Dashboard!$D$115)*Fleet!K167),0))</f>
        <v>0</v>
      </c>
      <c r="O216" s="179">
        <f>IF($G216=0,0,ROUND(($G216*(1+Assumptions_Dashboard!$D$114)+(1+Assumptions_Dashboard!$D$115)*Fleet!L167),0))</f>
        <v>0</v>
      </c>
      <c r="P216" s="179">
        <f>IF($G216=0,0,ROUND(($G216*(1+Assumptions_Dashboard!$D$114)+(1+Assumptions_Dashboard!$D$115)*Fleet!M167),0))</f>
        <v>0</v>
      </c>
      <c r="Q216" s="179">
        <f>IF($G216=0,0,ROUND(($G216*(1+Assumptions_Dashboard!$D$114)+(1+Assumptions_Dashboard!$D$115)*Fleet!N167),0))</f>
        <v>0</v>
      </c>
      <c r="R216" s="179">
        <f>IF($G216=0,0,ROUND(($G216*(1+Assumptions_Dashboard!$D$114)+(1+Assumptions_Dashboard!$D$115)*Fleet!O167),0))</f>
        <v>0</v>
      </c>
      <c r="S216" s="179">
        <f>IF($G216=0,0,ROUND(($G216*(1+Assumptions_Dashboard!$D$114)+(1+Assumptions_Dashboard!$D$115)*Fleet!P167),0))</f>
        <v>0</v>
      </c>
      <c r="T216" s="179">
        <f>IF($G216=0,0,ROUND(($G216*(1+Assumptions_Dashboard!$D$114)+(1+Assumptions_Dashboard!$D$115)*Fleet!Q167),0))</f>
        <v>0</v>
      </c>
      <c r="U216" s="179">
        <f>IF($G216=0,0,ROUND(($G216*(1+Assumptions_Dashboard!$D$114)+(1+Assumptions_Dashboard!$D$115)*Fleet!R167),0))</f>
        <v>0</v>
      </c>
      <c r="V216" s="179">
        <f>IF($G216=0,0,ROUND(($G216*(1+Assumptions_Dashboard!$D$114)+(1+Assumptions_Dashboard!$D$115)*Fleet!S167),0))</f>
        <v>0</v>
      </c>
      <c r="W216" s="179">
        <f>IF($G216=0,0,ROUND(($G216*(1+Assumptions_Dashboard!$D$114)+(1+Assumptions_Dashboard!$D$115)*Fleet!T167),0))</f>
        <v>0</v>
      </c>
      <c r="X216" s="179">
        <f>IF($G216=0,0,ROUND(($G216*(1+Assumptions_Dashboard!$D$114)+(1+Assumptions_Dashboard!$D$115)*Fleet!U167),0))</f>
        <v>0</v>
      </c>
      <c r="Y216" s="179">
        <f>IF($G216=0,0,ROUND(($G216*(1+Assumptions_Dashboard!$D$114)+(1+Assumptions_Dashboard!$D$115)*Fleet!V167),0))</f>
        <v>0</v>
      </c>
      <c r="Z216" s="179">
        <f>IF($G216=0,0,ROUND(($G216*(1+Assumptions_Dashboard!$D$114)+(1+Assumptions_Dashboard!$D$115)*Fleet!W167),0))</f>
        <v>0</v>
      </c>
      <c r="AA216" s="179">
        <f>IF($G216=0,0,ROUND(($G216*(1+Assumptions_Dashboard!$D$114)+(1+Assumptions_Dashboard!$D$115)*Fleet!X167),0))</f>
        <v>0</v>
      </c>
      <c r="AB216" s="179">
        <f>IF($G216=0,0,ROUND(($G216*(1+Assumptions_Dashboard!$D$114)+(1+Assumptions_Dashboard!$D$115)*Fleet!Y167),0))</f>
        <v>0</v>
      </c>
      <c r="AC216" s="179">
        <f>IF($G216=0,0,ROUND(($G216*(1+Assumptions_Dashboard!$D$114)+(1+Assumptions_Dashboard!$D$115)*Fleet!Z167),0))</f>
        <v>0</v>
      </c>
      <c r="AD216" s="179">
        <f>IF($G216=0,0,ROUND(($G216*(1+Assumptions_Dashboard!$D$114)+(1+Assumptions_Dashboard!$D$115)*Fleet!AA167),0))</f>
        <v>0</v>
      </c>
      <c r="AE216" s="179">
        <f>IF($G216=0,0,ROUND(($G216*(1+Assumptions_Dashboard!$D$114)+(1+Assumptions_Dashboard!$D$115)*Fleet!AB167),0))</f>
        <v>0</v>
      </c>
      <c r="AF216" s="179">
        <f>IF($G216=0,0,ROUND(($G216*(1+Assumptions_Dashboard!$D$114)+(1+Assumptions_Dashboard!$D$115)*Fleet!AC167),0))</f>
        <v>0</v>
      </c>
      <c r="AG216" s="179">
        <f>IF($G216=0,0,ROUND(($G216*(1+Assumptions_Dashboard!$D$114)+(1+Assumptions_Dashboard!$D$115)*Fleet!AD167),0))</f>
        <v>0</v>
      </c>
      <c r="AH216" s="179">
        <f>IF($G216=0,0,ROUND(($G216*(1+Assumptions_Dashboard!$D$114)+(1+Assumptions_Dashboard!$D$115)*Fleet!AE167),0))</f>
        <v>0</v>
      </c>
      <c r="AI216" s="179">
        <f>IF($G216=0,0,ROUND(($G216*(1+Assumptions_Dashboard!$D$114)+(1+Assumptions_Dashboard!$D$115)*Fleet!AF167),0))</f>
        <v>0</v>
      </c>
      <c r="AJ216" s="179">
        <f>IF($G216=0,0,ROUND(($G216*(1+Assumptions_Dashboard!$D$114)+(1+Assumptions_Dashboard!$D$115)*Fleet!AG167),0))</f>
        <v>0</v>
      </c>
      <c r="AK216" s="179">
        <f>IF($G216=0,0,ROUND(($G216*(1+Assumptions_Dashboard!$D$114)+(1+Assumptions_Dashboard!$D$115)*Fleet!AH167),0))</f>
        <v>0</v>
      </c>
      <c r="AL216" s="179">
        <f>IF($G216=0,0,ROUND(($G216*(1+Assumptions_Dashboard!$D$114)+(1+Assumptions_Dashboard!$D$115)*Fleet!AI167),0))</f>
        <v>0</v>
      </c>
      <c r="AM216" s="179">
        <f>IF($G216=0,0,ROUND(($G216*(1+Assumptions_Dashboard!$D$114)+(1+Assumptions_Dashboard!$D$115)*Fleet!AJ167),0))</f>
        <v>0</v>
      </c>
      <c r="AN216" s="179"/>
      <c r="AO216" s="179"/>
      <c r="AP216" s="179"/>
      <c r="AQ216" s="179"/>
      <c r="AR216" s="179"/>
      <c r="AS216" s="179"/>
    </row>
    <row r="217" spans="2:45">
      <c r="B217" s="250"/>
      <c r="C217" s="661" t="str">
        <f>Fleet!C168</f>
        <v>Tipping Truck/ 8t</v>
      </c>
      <c r="D217" s="257"/>
      <c r="E217" s="121" t="s">
        <v>740</v>
      </c>
      <c r="F217" s="205" t="s">
        <v>220</v>
      </c>
      <c r="G217">
        <f>IF(Sensitivity!$C$42="Departmental",0,3)</f>
        <v>0</v>
      </c>
      <c r="H217" s="366">
        <f>IFERROR(VLOOKUP(F217,Assumptions_Dashboard!$C$38:$D$72,4,FALSE),)</f>
        <v>0</v>
      </c>
      <c r="J217" s="179"/>
      <c r="K217" s="179"/>
      <c r="L217" s="179"/>
      <c r="M217" s="179"/>
      <c r="N217" s="179">
        <f>IF($G217=0,0,ROUND(($G217*(1+Assumptions_Dashboard!$D$114)+(1+Assumptions_Dashboard!$D$115)*Fleet!K168),0))</f>
        <v>0</v>
      </c>
      <c r="O217" s="179">
        <f>IF($G217=0,0,ROUND(($G217*(1+Assumptions_Dashboard!$D$114)+(1+Assumptions_Dashboard!$D$115)*Fleet!L168),0))</f>
        <v>0</v>
      </c>
      <c r="P217" s="179">
        <f>IF($G217=0,0,ROUND(($G217*(1+Assumptions_Dashboard!$D$114)+(1+Assumptions_Dashboard!$D$115)*Fleet!M168),0))</f>
        <v>0</v>
      </c>
      <c r="Q217" s="179">
        <f>IF($G217=0,0,ROUND(($G217*(1+Assumptions_Dashboard!$D$114)+(1+Assumptions_Dashboard!$D$115)*Fleet!N168),0))</f>
        <v>0</v>
      </c>
      <c r="R217" s="179">
        <f>IF($G217=0,0,ROUND(($G217*(1+Assumptions_Dashboard!$D$114)+(1+Assumptions_Dashboard!$D$115)*Fleet!O168),0))</f>
        <v>0</v>
      </c>
      <c r="S217" s="179">
        <f>IF($G217=0,0,ROUND(($G217*(1+Assumptions_Dashboard!$D$114)+(1+Assumptions_Dashboard!$D$115)*Fleet!P168),0))</f>
        <v>0</v>
      </c>
      <c r="T217" s="179">
        <f>IF($G217=0,0,ROUND(($G217*(1+Assumptions_Dashboard!$D$114)+(1+Assumptions_Dashboard!$D$115)*Fleet!Q168),0))</f>
        <v>0</v>
      </c>
      <c r="U217" s="179">
        <f>IF($G217=0,0,ROUND(($G217*(1+Assumptions_Dashboard!$D$114)+(1+Assumptions_Dashboard!$D$115)*Fleet!R168),0))</f>
        <v>0</v>
      </c>
      <c r="V217" s="179">
        <f>IF($G217=0,0,ROUND(($G217*(1+Assumptions_Dashboard!$D$114)+(1+Assumptions_Dashboard!$D$115)*Fleet!S168),0))</f>
        <v>0</v>
      </c>
      <c r="W217" s="179">
        <f>IF($G217=0,0,ROUND(($G217*(1+Assumptions_Dashboard!$D$114)+(1+Assumptions_Dashboard!$D$115)*Fleet!T168),0))</f>
        <v>0</v>
      </c>
      <c r="X217" s="179">
        <f>IF($G217=0,0,ROUND(($G217*(1+Assumptions_Dashboard!$D$114)+(1+Assumptions_Dashboard!$D$115)*Fleet!U168),0))</f>
        <v>0</v>
      </c>
      <c r="Y217" s="179">
        <f>IF($G217=0,0,ROUND(($G217*(1+Assumptions_Dashboard!$D$114)+(1+Assumptions_Dashboard!$D$115)*Fleet!V168),0))</f>
        <v>0</v>
      </c>
      <c r="Z217" s="179">
        <f>IF($G217=0,0,ROUND(($G217*(1+Assumptions_Dashboard!$D$114)+(1+Assumptions_Dashboard!$D$115)*Fleet!W168),0))</f>
        <v>0</v>
      </c>
      <c r="AA217" s="179">
        <f>IF($G217=0,0,ROUND(($G217*(1+Assumptions_Dashboard!$D$114)+(1+Assumptions_Dashboard!$D$115)*Fleet!X168),0))</f>
        <v>0</v>
      </c>
      <c r="AB217" s="179">
        <f>IF($G217=0,0,ROUND(($G217*(1+Assumptions_Dashboard!$D$114)+(1+Assumptions_Dashboard!$D$115)*Fleet!Y168),0))</f>
        <v>0</v>
      </c>
      <c r="AC217" s="179">
        <f>IF($G217=0,0,ROUND(($G217*(1+Assumptions_Dashboard!$D$114)+(1+Assumptions_Dashboard!$D$115)*Fleet!Z168),0))</f>
        <v>0</v>
      </c>
      <c r="AD217" s="179">
        <f>IF($G217=0,0,ROUND(($G217*(1+Assumptions_Dashboard!$D$114)+(1+Assumptions_Dashboard!$D$115)*Fleet!AA168),0))</f>
        <v>0</v>
      </c>
      <c r="AE217" s="179">
        <f>IF($G217=0,0,ROUND(($G217*(1+Assumptions_Dashboard!$D$114)+(1+Assumptions_Dashboard!$D$115)*Fleet!AB168),0))</f>
        <v>0</v>
      </c>
      <c r="AF217" s="179">
        <f>IF($G217=0,0,ROUND(($G217*(1+Assumptions_Dashboard!$D$114)+(1+Assumptions_Dashboard!$D$115)*Fleet!AC168),0))</f>
        <v>0</v>
      </c>
      <c r="AG217" s="179">
        <f>IF($G217=0,0,ROUND(($G217*(1+Assumptions_Dashboard!$D$114)+(1+Assumptions_Dashboard!$D$115)*Fleet!AD168),0))</f>
        <v>0</v>
      </c>
      <c r="AH217" s="179">
        <f>IF($G217=0,0,ROUND(($G217*(1+Assumptions_Dashboard!$D$114)+(1+Assumptions_Dashboard!$D$115)*Fleet!AE168),0))</f>
        <v>0</v>
      </c>
      <c r="AI217" s="179">
        <f>IF($G217=0,0,ROUND(($G217*(1+Assumptions_Dashboard!$D$114)+(1+Assumptions_Dashboard!$D$115)*Fleet!AF168),0))</f>
        <v>0</v>
      </c>
      <c r="AJ217" s="179">
        <f>IF($G217=0,0,ROUND(($G217*(1+Assumptions_Dashboard!$D$114)+(1+Assumptions_Dashboard!$D$115)*Fleet!AG168),0))</f>
        <v>0</v>
      </c>
      <c r="AK217" s="179">
        <f>IF($G217=0,0,ROUND(($G217*(1+Assumptions_Dashboard!$D$114)+(1+Assumptions_Dashboard!$D$115)*Fleet!AH168),0))</f>
        <v>0</v>
      </c>
      <c r="AL217" s="179">
        <f>IF($G217=0,0,ROUND(($G217*(1+Assumptions_Dashboard!$D$114)+(1+Assumptions_Dashboard!$D$115)*Fleet!AI168),0))</f>
        <v>0</v>
      </c>
      <c r="AM217" s="179">
        <f>IF($G217=0,0,ROUND(($G217*(1+Assumptions_Dashboard!$D$114)+(1+Assumptions_Dashboard!$D$115)*Fleet!AJ168),0))</f>
        <v>0</v>
      </c>
      <c r="AN217" s="179"/>
      <c r="AO217" s="179"/>
      <c r="AP217" s="179"/>
      <c r="AQ217" s="179"/>
      <c r="AR217" s="179"/>
      <c r="AS217" s="179"/>
    </row>
    <row r="218" spans="2:45">
      <c r="B218" s="250"/>
      <c r="C218" s="661" t="str">
        <f>Fleet!C169</f>
        <v>Fork lift/ 8t</v>
      </c>
      <c r="D218" s="257"/>
      <c r="E218" s="121" t="s">
        <v>740</v>
      </c>
      <c r="F218" s="205" t="s">
        <v>220</v>
      </c>
      <c r="G218">
        <f>IF(Sensitivity!$C$42="Departmental",0,3)</f>
        <v>0</v>
      </c>
      <c r="H218" s="366">
        <f>IFERROR(VLOOKUP(F218,Assumptions_Dashboard!$C$38:$D$72,4,FALSE),)</f>
        <v>0</v>
      </c>
      <c r="J218" s="179"/>
      <c r="K218" s="179"/>
      <c r="L218" s="179"/>
      <c r="M218" s="179"/>
      <c r="N218" s="179">
        <f>IF($G218=0,0,ROUND(($G218*(1+Assumptions_Dashboard!$D$114)+(1+Assumptions_Dashboard!$D$115)*Fleet!K169),0))</f>
        <v>0</v>
      </c>
      <c r="O218" s="179">
        <f>IF($G218=0,0,ROUND(($G218*(1+Assumptions_Dashboard!$D$114)+(1+Assumptions_Dashboard!$D$115)*Fleet!L169),0))</f>
        <v>0</v>
      </c>
      <c r="P218" s="179">
        <f>IF($G218=0,0,ROUND(($G218*(1+Assumptions_Dashboard!$D$114)+(1+Assumptions_Dashboard!$D$115)*Fleet!M169),0))</f>
        <v>0</v>
      </c>
      <c r="Q218" s="179">
        <f>IF($G218=0,0,ROUND(($G218*(1+Assumptions_Dashboard!$D$114)+(1+Assumptions_Dashboard!$D$115)*Fleet!N169),0))</f>
        <v>0</v>
      </c>
      <c r="R218" s="179">
        <f>IF($G218=0,0,ROUND(($G218*(1+Assumptions_Dashboard!$D$114)+(1+Assumptions_Dashboard!$D$115)*Fleet!O169),0))</f>
        <v>0</v>
      </c>
      <c r="S218" s="179">
        <f>IF($G218=0,0,ROUND(($G218*(1+Assumptions_Dashboard!$D$114)+(1+Assumptions_Dashboard!$D$115)*Fleet!P169),0))</f>
        <v>0</v>
      </c>
      <c r="T218" s="179">
        <f>IF($G218=0,0,ROUND(($G218*(1+Assumptions_Dashboard!$D$114)+(1+Assumptions_Dashboard!$D$115)*Fleet!Q169),0))</f>
        <v>0</v>
      </c>
      <c r="U218" s="179">
        <f>IF($G218=0,0,ROUND(($G218*(1+Assumptions_Dashboard!$D$114)+(1+Assumptions_Dashboard!$D$115)*Fleet!R169),0))</f>
        <v>0</v>
      </c>
      <c r="V218" s="179">
        <f>IF($G218=0,0,ROUND(($G218*(1+Assumptions_Dashboard!$D$114)+(1+Assumptions_Dashboard!$D$115)*Fleet!S169),0))</f>
        <v>0</v>
      </c>
      <c r="W218" s="179">
        <f>IF($G218=0,0,ROUND(($G218*(1+Assumptions_Dashboard!$D$114)+(1+Assumptions_Dashboard!$D$115)*Fleet!T169),0))</f>
        <v>0</v>
      </c>
      <c r="X218" s="179">
        <f>IF($G218=0,0,ROUND(($G218*(1+Assumptions_Dashboard!$D$114)+(1+Assumptions_Dashboard!$D$115)*Fleet!U169),0))</f>
        <v>0</v>
      </c>
      <c r="Y218" s="179">
        <f>IF($G218=0,0,ROUND(($G218*(1+Assumptions_Dashboard!$D$114)+(1+Assumptions_Dashboard!$D$115)*Fleet!V169),0))</f>
        <v>0</v>
      </c>
      <c r="Z218" s="179">
        <f>IF($G218=0,0,ROUND(($G218*(1+Assumptions_Dashboard!$D$114)+(1+Assumptions_Dashboard!$D$115)*Fleet!W169),0))</f>
        <v>0</v>
      </c>
      <c r="AA218" s="179">
        <f>IF($G218=0,0,ROUND(($G218*(1+Assumptions_Dashboard!$D$114)+(1+Assumptions_Dashboard!$D$115)*Fleet!X169),0))</f>
        <v>0</v>
      </c>
      <c r="AB218" s="179">
        <f>IF($G218=0,0,ROUND(($G218*(1+Assumptions_Dashboard!$D$114)+(1+Assumptions_Dashboard!$D$115)*Fleet!Y169),0))</f>
        <v>0</v>
      </c>
      <c r="AC218" s="179">
        <f>IF($G218=0,0,ROUND(($G218*(1+Assumptions_Dashboard!$D$114)+(1+Assumptions_Dashboard!$D$115)*Fleet!Z169),0))</f>
        <v>0</v>
      </c>
      <c r="AD218" s="179">
        <f>IF($G218=0,0,ROUND(($G218*(1+Assumptions_Dashboard!$D$114)+(1+Assumptions_Dashboard!$D$115)*Fleet!AA169),0))</f>
        <v>0</v>
      </c>
      <c r="AE218" s="179">
        <f>IF($G218=0,0,ROUND(($G218*(1+Assumptions_Dashboard!$D$114)+(1+Assumptions_Dashboard!$D$115)*Fleet!AB169),0))</f>
        <v>0</v>
      </c>
      <c r="AF218" s="179">
        <f>IF($G218=0,0,ROUND(($G218*(1+Assumptions_Dashboard!$D$114)+(1+Assumptions_Dashboard!$D$115)*Fleet!AC169),0))</f>
        <v>0</v>
      </c>
      <c r="AG218" s="179">
        <f>IF($G218=0,0,ROUND(($G218*(1+Assumptions_Dashboard!$D$114)+(1+Assumptions_Dashboard!$D$115)*Fleet!AD169),0))</f>
        <v>0</v>
      </c>
      <c r="AH218" s="179">
        <f>IF($G218=0,0,ROUND(($G218*(1+Assumptions_Dashboard!$D$114)+(1+Assumptions_Dashboard!$D$115)*Fleet!AE169),0))</f>
        <v>0</v>
      </c>
      <c r="AI218" s="179">
        <f>IF($G218=0,0,ROUND(($G218*(1+Assumptions_Dashboard!$D$114)+(1+Assumptions_Dashboard!$D$115)*Fleet!AF169),0))</f>
        <v>0</v>
      </c>
      <c r="AJ218" s="179">
        <f>IF($G218=0,0,ROUND(($G218*(1+Assumptions_Dashboard!$D$114)+(1+Assumptions_Dashboard!$D$115)*Fleet!AG169),0))</f>
        <v>0</v>
      </c>
      <c r="AK218" s="179">
        <f>IF($G218=0,0,ROUND(($G218*(1+Assumptions_Dashboard!$D$114)+(1+Assumptions_Dashboard!$D$115)*Fleet!AH169),0))</f>
        <v>0</v>
      </c>
      <c r="AL218" s="179">
        <f>IF($G218=0,0,ROUND(($G218*(1+Assumptions_Dashboard!$D$114)+(1+Assumptions_Dashboard!$D$115)*Fleet!AI169),0))</f>
        <v>0</v>
      </c>
      <c r="AM218" s="179">
        <f>IF($G218=0,0,ROUND(($G218*(1+Assumptions_Dashboard!$D$114)+(1+Assumptions_Dashboard!$D$115)*Fleet!AJ169),0))</f>
        <v>0</v>
      </c>
      <c r="AN218" s="179"/>
      <c r="AO218" s="179"/>
      <c r="AP218" s="179"/>
      <c r="AQ218" s="179"/>
      <c r="AR218" s="179"/>
      <c r="AS218" s="179"/>
    </row>
    <row r="219" spans="2:45">
      <c r="B219" s="250"/>
      <c r="C219" s="661" t="str">
        <f>Fleet!C170</f>
        <v>Tyre handler/ 20t</v>
      </c>
      <c r="D219" s="257"/>
      <c r="E219" s="121" t="s">
        <v>740</v>
      </c>
      <c r="F219" s="205" t="s">
        <v>220</v>
      </c>
      <c r="G219">
        <f>IF(Sensitivity!$C$42="Departmental",0,3)</f>
        <v>0</v>
      </c>
      <c r="H219" s="366">
        <f>IFERROR(VLOOKUP(F219,Assumptions_Dashboard!$C$38:$D$72,4,FALSE),)</f>
        <v>0</v>
      </c>
      <c r="J219" s="179"/>
      <c r="K219" s="179"/>
      <c r="L219" s="179"/>
      <c r="M219" s="179"/>
      <c r="N219" s="179">
        <f>IF($G219=0,0,ROUND(($G219*(1+Assumptions_Dashboard!$D$114)+(1+Assumptions_Dashboard!$D$115)*Fleet!K170),0))</f>
        <v>0</v>
      </c>
      <c r="O219" s="179">
        <f>IF($G219=0,0,ROUND(($G219*(1+Assumptions_Dashboard!$D$114)+(1+Assumptions_Dashboard!$D$115)*Fleet!L170),0))</f>
        <v>0</v>
      </c>
      <c r="P219" s="179">
        <f>IF($G219=0,0,ROUND(($G219*(1+Assumptions_Dashboard!$D$114)+(1+Assumptions_Dashboard!$D$115)*Fleet!M170),0))</f>
        <v>0</v>
      </c>
      <c r="Q219" s="179">
        <f>IF($G219=0,0,ROUND(($G219*(1+Assumptions_Dashboard!$D$114)+(1+Assumptions_Dashboard!$D$115)*Fleet!N170),0))</f>
        <v>0</v>
      </c>
      <c r="R219" s="179">
        <f>IF($G219=0,0,ROUND(($G219*(1+Assumptions_Dashboard!$D$114)+(1+Assumptions_Dashboard!$D$115)*Fleet!O170),0))</f>
        <v>0</v>
      </c>
      <c r="S219" s="179">
        <f>IF($G219=0,0,ROUND(($G219*(1+Assumptions_Dashboard!$D$114)+(1+Assumptions_Dashboard!$D$115)*Fleet!P170),0))</f>
        <v>0</v>
      </c>
      <c r="T219" s="179">
        <f>IF($G219=0,0,ROUND(($G219*(1+Assumptions_Dashboard!$D$114)+(1+Assumptions_Dashboard!$D$115)*Fleet!Q170),0))</f>
        <v>0</v>
      </c>
      <c r="U219" s="179">
        <f>IF($G219=0,0,ROUND(($G219*(1+Assumptions_Dashboard!$D$114)+(1+Assumptions_Dashboard!$D$115)*Fleet!R170),0))</f>
        <v>0</v>
      </c>
      <c r="V219" s="179">
        <f>IF($G219=0,0,ROUND(($G219*(1+Assumptions_Dashboard!$D$114)+(1+Assumptions_Dashboard!$D$115)*Fleet!S170),0))</f>
        <v>0</v>
      </c>
      <c r="W219" s="179">
        <f>IF($G219=0,0,ROUND(($G219*(1+Assumptions_Dashboard!$D$114)+(1+Assumptions_Dashboard!$D$115)*Fleet!T170),0))</f>
        <v>0</v>
      </c>
      <c r="X219" s="179">
        <f>IF($G219=0,0,ROUND(($G219*(1+Assumptions_Dashboard!$D$114)+(1+Assumptions_Dashboard!$D$115)*Fleet!U170),0))</f>
        <v>0</v>
      </c>
      <c r="Y219" s="179">
        <f>IF($G219=0,0,ROUND(($G219*(1+Assumptions_Dashboard!$D$114)+(1+Assumptions_Dashboard!$D$115)*Fleet!V170),0))</f>
        <v>0</v>
      </c>
      <c r="Z219" s="179">
        <f>IF($G219=0,0,ROUND(($G219*(1+Assumptions_Dashboard!$D$114)+(1+Assumptions_Dashboard!$D$115)*Fleet!W170),0))</f>
        <v>0</v>
      </c>
      <c r="AA219" s="179">
        <f>IF($G219=0,0,ROUND(($G219*(1+Assumptions_Dashboard!$D$114)+(1+Assumptions_Dashboard!$D$115)*Fleet!X170),0))</f>
        <v>0</v>
      </c>
      <c r="AB219" s="179">
        <f>IF($G219=0,0,ROUND(($G219*(1+Assumptions_Dashboard!$D$114)+(1+Assumptions_Dashboard!$D$115)*Fleet!Y170),0))</f>
        <v>0</v>
      </c>
      <c r="AC219" s="179">
        <f>IF($G219=0,0,ROUND(($G219*(1+Assumptions_Dashboard!$D$114)+(1+Assumptions_Dashboard!$D$115)*Fleet!Z170),0))</f>
        <v>0</v>
      </c>
      <c r="AD219" s="179">
        <f>IF($G219=0,0,ROUND(($G219*(1+Assumptions_Dashboard!$D$114)+(1+Assumptions_Dashboard!$D$115)*Fleet!AA170),0))</f>
        <v>0</v>
      </c>
      <c r="AE219" s="179">
        <f>IF($G219=0,0,ROUND(($G219*(1+Assumptions_Dashboard!$D$114)+(1+Assumptions_Dashboard!$D$115)*Fleet!AB170),0))</f>
        <v>0</v>
      </c>
      <c r="AF219" s="179">
        <f>IF($G219=0,0,ROUND(($G219*(1+Assumptions_Dashboard!$D$114)+(1+Assumptions_Dashboard!$D$115)*Fleet!AC170),0))</f>
        <v>0</v>
      </c>
      <c r="AG219" s="179">
        <f>IF($G219=0,0,ROUND(($G219*(1+Assumptions_Dashboard!$D$114)+(1+Assumptions_Dashboard!$D$115)*Fleet!AD170),0))</f>
        <v>0</v>
      </c>
      <c r="AH219" s="179">
        <f>IF($G219=0,0,ROUND(($G219*(1+Assumptions_Dashboard!$D$114)+(1+Assumptions_Dashboard!$D$115)*Fleet!AE170),0))</f>
        <v>0</v>
      </c>
      <c r="AI219" s="179">
        <f>IF($G219=0,0,ROUND(($G219*(1+Assumptions_Dashboard!$D$114)+(1+Assumptions_Dashboard!$D$115)*Fleet!AF170),0))</f>
        <v>0</v>
      </c>
      <c r="AJ219" s="179">
        <f>IF($G219=0,0,ROUND(($G219*(1+Assumptions_Dashboard!$D$114)+(1+Assumptions_Dashboard!$D$115)*Fleet!AG170),0))</f>
        <v>0</v>
      </c>
      <c r="AK219" s="179">
        <f>IF($G219=0,0,ROUND(($G219*(1+Assumptions_Dashboard!$D$114)+(1+Assumptions_Dashboard!$D$115)*Fleet!AH170),0))</f>
        <v>0</v>
      </c>
      <c r="AL219" s="179">
        <f>IF($G219=0,0,ROUND(($G219*(1+Assumptions_Dashboard!$D$114)+(1+Assumptions_Dashboard!$D$115)*Fleet!AI170),0))</f>
        <v>0</v>
      </c>
      <c r="AM219" s="179">
        <f>IF($G219=0,0,ROUND(($G219*(1+Assumptions_Dashboard!$D$114)+(1+Assumptions_Dashboard!$D$115)*Fleet!AJ170),0))</f>
        <v>0</v>
      </c>
      <c r="AN219" s="179"/>
      <c r="AO219" s="179"/>
      <c r="AP219" s="179"/>
      <c r="AQ219" s="179"/>
      <c r="AR219" s="179"/>
      <c r="AS219" s="179"/>
    </row>
    <row r="220" spans="2:45">
      <c r="B220" s="250"/>
      <c r="C220" s="661" t="str">
        <f>Fleet!C171</f>
        <v xml:space="preserve">Farm tractor </v>
      </c>
      <c r="D220" s="257"/>
      <c r="E220" s="121" t="s">
        <v>740</v>
      </c>
      <c r="F220" s="205" t="s">
        <v>220</v>
      </c>
      <c r="G220">
        <f>IF(Sensitivity!$C$42="Departmental",0,3)</f>
        <v>0</v>
      </c>
      <c r="H220" s="366">
        <f>IFERROR(VLOOKUP(F220,Assumptions_Dashboard!$C$38:$D$72,4,FALSE),)</f>
        <v>0</v>
      </c>
      <c r="J220" s="179"/>
      <c r="K220" s="179"/>
      <c r="L220" s="179"/>
      <c r="M220" s="179"/>
      <c r="N220" s="179">
        <f>IF($G220=0,0,ROUND(($G220*(1+Assumptions_Dashboard!$D$114)+(1+Assumptions_Dashboard!$D$115)*Fleet!K171),0))</f>
        <v>0</v>
      </c>
      <c r="O220" s="179">
        <f>IF($G220=0,0,ROUND(($G220*(1+Assumptions_Dashboard!$D$114)+(1+Assumptions_Dashboard!$D$115)*Fleet!L171),0))</f>
        <v>0</v>
      </c>
      <c r="P220" s="179">
        <f>IF($G220=0,0,ROUND(($G220*(1+Assumptions_Dashboard!$D$114)+(1+Assumptions_Dashboard!$D$115)*Fleet!M171),0))</f>
        <v>0</v>
      </c>
      <c r="Q220" s="179">
        <f>IF($G220=0,0,ROUND(($G220*(1+Assumptions_Dashboard!$D$114)+(1+Assumptions_Dashboard!$D$115)*Fleet!N171),0))</f>
        <v>0</v>
      </c>
      <c r="R220" s="179">
        <f>IF($G220=0,0,ROUND(($G220*(1+Assumptions_Dashboard!$D$114)+(1+Assumptions_Dashboard!$D$115)*Fleet!O171),0))</f>
        <v>0</v>
      </c>
      <c r="S220" s="179">
        <f>IF($G220=0,0,ROUND(($G220*(1+Assumptions_Dashboard!$D$114)+(1+Assumptions_Dashboard!$D$115)*Fleet!P171),0))</f>
        <v>0</v>
      </c>
      <c r="T220" s="179">
        <f>IF($G220=0,0,ROUND(($G220*(1+Assumptions_Dashboard!$D$114)+(1+Assumptions_Dashboard!$D$115)*Fleet!Q171),0))</f>
        <v>0</v>
      </c>
      <c r="U220" s="179">
        <f>IF($G220=0,0,ROUND(($G220*(1+Assumptions_Dashboard!$D$114)+(1+Assumptions_Dashboard!$D$115)*Fleet!R171),0))</f>
        <v>0</v>
      </c>
      <c r="V220" s="179">
        <f>IF($G220=0,0,ROUND(($G220*(1+Assumptions_Dashboard!$D$114)+(1+Assumptions_Dashboard!$D$115)*Fleet!S171),0))</f>
        <v>0</v>
      </c>
      <c r="W220" s="179">
        <f>IF($G220=0,0,ROUND(($G220*(1+Assumptions_Dashboard!$D$114)+(1+Assumptions_Dashboard!$D$115)*Fleet!T171),0))</f>
        <v>0</v>
      </c>
      <c r="X220" s="179">
        <f>IF($G220=0,0,ROUND(($G220*(1+Assumptions_Dashboard!$D$114)+(1+Assumptions_Dashboard!$D$115)*Fleet!U171),0))</f>
        <v>0</v>
      </c>
      <c r="Y220" s="179">
        <f>IF($G220=0,0,ROUND(($G220*(1+Assumptions_Dashboard!$D$114)+(1+Assumptions_Dashboard!$D$115)*Fleet!V171),0))</f>
        <v>0</v>
      </c>
      <c r="Z220" s="179">
        <f>IF($G220=0,0,ROUND(($G220*(1+Assumptions_Dashboard!$D$114)+(1+Assumptions_Dashboard!$D$115)*Fleet!W171),0))</f>
        <v>0</v>
      </c>
      <c r="AA220" s="179">
        <f>IF($G220=0,0,ROUND(($G220*(1+Assumptions_Dashboard!$D$114)+(1+Assumptions_Dashboard!$D$115)*Fleet!X171),0))</f>
        <v>0</v>
      </c>
      <c r="AB220" s="179">
        <f>IF($G220=0,0,ROUND(($G220*(1+Assumptions_Dashboard!$D$114)+(1+Assumptions_Dashboard!$D$115)*Fleet!Y171),0))</f>
        <v>0</v>
      </c>
      <c r="AC220" s="179">
        <f>IF($G220=0,0,ROUND(($G220*(1+Assumptions_Dashboard!$D$114)+(1+Assumptions_Dashboard!$D$115)*Fleet!Z171),0))</f>
        <v>0</v>
      </c>
      <c r="AD220" s="179">
        <f>IF($G220=0,0,ROUND(($G220*(1+Assumptions_Dashboard!$D$114)+(1+Assumptions_Dashboard!$D$115)*Fleet!AA171),0))</f>
        <v>0</v>
      </c>
      <c r="AE220" s="179">
        <f>IF($G220=0,0,ROUND(($G220*(1+Assumptions_Dashboard!$D$114)+(1+Assumptions_Dashboard!$D$115)*Fleet!AB171),0))</f>
        <v>0</v>
      </c>
      <c r="AF220" s="179">
        <f>IF($G220=0,0,ROUND(($G220*(1+Assumptions_Dashboard!$D$114)+(1+Assumptions_Dashboard!$D$115)*Fleet!AC171),0))</f>
        <v>0</v>
      </c>
      <c r="AG220" s="179">
        <f>IF($G220=0,0,ROUND(($G220*(1+Assumptions_Dashboard!$D$114)+(1+Assumptions_Dashboard!$D$115)*Fleet!AD171),0))</f>
        <v>0</v>
      </c>
      <c r="AH220" s="179">
        <f>IF($G220=0,0,ROUND(($G220*(1+Assumptions_Dashboard!$D$114)+(1+Assumptions_Dashboard!$D$115)*Fleet!AE171),0))</f>
        <v>0</v>
      </c>
      <c r="AI220" s="179">
        <f>IF($G220=0,0,ROUND(($G220*(1+Assumptions_Dashboard!$D$114)+(1+Assumptions_Dashboard!$D$115)*Fleet!AF171),0))</f>
        <v>0</v>
      </c>
      <c r="AJ220" s="179">
        <f>IF($G220=0,0,ROUND(($G220*(1+Assumptions_Dashboard!$D$114)+(1+Assumptions_Dashboard!$D$115)*Fleet!AG171),0))</f>
        <v>0</v>
      </c>
      <c r="AK220" s="179">
        <f>IF($G220=0,0,ROUND(($G220*(1+Assumptions_Dashboard!$D$114)+(1+Assumptions_Dashboard!$D$115)*Fleet!AH171),0))</f>
        <v>0</v>
      </c>
      <c r="AL220" s="179">
        <f>IF($G220=0,0,ROUND(($G220*(1+Assumptions_Dashboard!$D$114)+(1+Assumptions_Dashboard!$D$115)*Fleet!AI171),0))</f>
        <v>0</v>
      </c>
      <c r="AM220" s="179">
        <f>IF($G220=0,0,ROUND(($G220*(1+Assumptions_Dashboard!$D$114)+(1+Assumptions_Dashboard!$D$115)*Fleet!AJ171),0))</f>
        <v>0</v>
      </c>
      <c r="AN220" s="179"/>
      <c r="AO220" s="179"/>
      <c r="AP220" s="179"/>
      <c r="AQ220" s="179"/>
      <c r="AR220" s="179"/>
      <c r="AS220" s="179"/>
    </row>
    <row r="221" spans="2:45">
      <c r="B221" s="250"/>
      <c r="C221" s="661" t="str">
        <f>Fleet!C172</f>
        <v>Fire Tender</v>
      </c>
      <c r="D221" s="257"/>
      <c r="E221" s="121" t="s">
        <v>740</v>
      </c>
      <c r="F221" s="205" t="s">
        <v>218</v>
      </c>
      <c r="G221">
        <f>IF(Sensitivity!$C$42="Departmental",0,3)</f>
        <v>0</v>
      </c>
      <c r="H221" s="366">
        <f>IFERROR(VLOOKUP(F221,Assumptions_Dashboard!$C$38:$D$72,4,FALSE),)</f>
        <v>0</v>
      </c>
      <c r="J221" s="179"/>
      <c r="K221" s="179"/>
      <c r="L221" s="179"/>
      <c r="M221" s="179"/>
      <c r="N221" s="179">
        <f>IF($G221=0,0,ROUND(($G221*(1+Assumptions_Dashboard!$D$114)+(1+Assumptions_Dashboard!$D$115)*Fleet!K172),0))</f>
        <v>0</v>
      </c>
      <c r="O221" s="179">
        <f>IF($G221=0,0,ROUND(($G221*(1+Assumptions_Dashboard!$D$114)+(1+Assumptions_Dashboard!$D$115)*Fleet!L172),0))</f>
        <v>0</v>
      </c>
      <c r="P221" s="179">
        <f>IF($G221=0,0,ROUND(($G221*(1+Assumptions_Dashboard!$D$114)+(1+Assumptions_Dashboard!$D$115)*Fleet!M172),0))</f>
        <v>0</v>
      </c>
      <c r="Q221" s="179">
        <f>IF($G221=0,0,ROUND(($G221*(1+Assumptions_Dashboard!$D$114)+(1+Assumptions_Dashboard!$D$115)*Fleet!N172),0))</f>
        <v>0</v>
      </c>
      <c r="R221" s="179">
        <f>IF($G221=0,0,ROUND(($G221*(1+Assumptions_Dashboard!$D$114)+(1+Assumptions_Dashboard!$D$115)*Fleet!O172),0))</f>
        <v>0</v>
      </c>
      <c r="S221" s="179">
        <f>IF($G221=0,0,ROUND(($G221*(1+Assumptions_Dashboard!$D$114)+(1+Assumptions_Dashboard!$D$115)*Fleet!P172),0))</f>
        <v>0</v>
      </c>
      <c r="T221" s="179">
        <f>IF($G221=0,0,ROUND(($G221*(1+Assumptions_Dashboard!$D$114)+(1+Assumptions_Dashboard!$D$115)*Fleet!Q172),0))</f>
        <v>0</v>
      </c>
      <c r="U221" s="179">
        <f>IF($G221=0,0,ROUND(($G221*(1+Assumptions_Dashboard!$D$114)+(1+Assumptions_Dashboard!$D$115)*Fleet!R172),0))</f>
        <v>0</v>
      </c>
      <c r="V221" s="179">
        <f>IF($G221=0,0,ROUND(($G221*(1+Assumptions_Dashboard!$D$114)+(1+Assumptions_Dashboard!$D$115)*Fleet!S172),0))</f>
        <v>0</v>
      </c>
      <c r="W221" s="179">
        <f>IF($G221=0,0,ROUND(($G221*(1+Assumptions_Dashboard!$D$114)+(1+Assumptions_Dashboard!$D$115)*Fleet!T172),0))</f>
        <v>0</v>
      </c>
      <c r="X221" s="179">
        <f>IF($G221=0,0,ROUND(($G221*(1+Assumptions_Dashboard!$D$114)+(1+Assumptions_Dashboard!$D$115)*Fleet!U172),0))</f>
        <v>0</v>
      </c>
      <c r="Y221" s="179">
        <f>IF($G221=0,0,ROUND(($G221*(1+Assumptions_Dashboard!$D$114)+(1+Assumptions_Dashboard!$D$115)*Fleet!V172),0))</f>
        <v>0</v>
      </c>
      <c r="Z221" s="179">
        <f>IF($G221=0,0,ROUND(($G221*(1+Assumptions_Dashboard!$D$114)+(1+Assumptions_Dashboard!$D$115)*Fleet!W172),0))</f>
        <v>0</v>
      </c>
      <c r="AA221" s="179">
        <f>IF($G221=0,0,ROUND(($G221*(1+Assumptions_Dashboard!$D$114)+(1+Assumptions_Dashboard!$D$115)*Fleet!X172),0))</f>
        <v>0</v>
      </c>
      <c r="AB221" s="179">
        <f>IF($G221=0,0,ROUND(($G221*(1+Assumptions_Dashboard!$D$114)+(1+Assumptions_Dashboard!$D$115)*Fleet!Y172),0))</f>
        <v>0</v>
      </c>
      <c r="AC221" s="179">
        <f>IF($G221=0,0,ROUND(($G221*(1+Assumptions_Dashboard!$D$114)+(1+Assumptions_Dashboard!$D$115)*Fleet!Z172),0))</f>
        <v>0</v>
      </c>
      <c r="AD221" s="179">
        <f>IF($G221=0,0,ROUND(($G221*(1+Assumptions_Dashboard!$D$114)+(1+Assumptions_Dashboard!$D$115)*Fleet!AA172),0))</f>
        <v>0</v>
      </c>
      <c r="AE221" s="179">
        <f>IF($G221=0,0,ROUND(($G221*(1+Assumptions_Dashboard!$D$114)+(1+Assumptions_Dashboard!$D$115)*Fleet!AB172),0))</f>
        <v>0</v>
      </c>
      <c r="AF221" s="179">
        <f>IF($G221=0,0,ROUND(($G221*(1+Assumptions_Dashboard!$D$114)+(1+Assumptions_Dashboard!$D$115)*Fleet!AC172),0))</f>
        <v>0</v>
      </c>
      <c r="AG221" s="179">
        <f>IF($G221=0,0,ROUND(($G221*(1+Assumptions_Dashboard!$D$114)+(1+Assumptions_Dashboard!$D$115)*Fleet!AD172),0))</f>
        <v>0</v>
      </c>
      <c r="AH221" s="179">
        <f>IF($G221=0,0,ROUND(($G221*(1+Assumptions_Dashboard!$D$114)+(1+Assumptions_Dashboard!$D$115)*Fleet!AE172),0))</f>
        <v>0</v>
      </c>
      <c r="AI221" s="179">
        <f>IF($G221=0,0,ROUND(($G221*(1+Assumptions_Dashboard!$D$114)+(1+Assumptions_Dashboard!$D$115)*Fleet!AF172),0))</f>
        <v>0</v>
      </c>
      <c r="AJ221" s="179">
        <f>IF($G221=0,0,ROUND(($G221*(1+Assumptions_Dashboard!$D$114)+(1+Assumptions_Dashboard!$D$115)*Fleet!AG172),0))</f>
        <v>0</v>
      </c>
      <c r="AK221" s="179">
        <f>IF($G221=0,0,ROUND(($G221*(1+Assumptions_Dashboard!$D$114)+(1+Assumptions_Dashboard!$D$115)*Fleet!AH172),0))</f>
        <v>0</v>
      </c>
      <c r="AL221" s="179">
        <f>IF($G221=0,0,ROUND(($G221*(1+Assumptions_Dashboard!$D$114)+(1+Assumptions_Dashboard!$D$115)*Fleet!AI172),0))</f>
        <v>0</v>
      </c>
      <c r="AM221" s="179">
        <f>IF($G221=0,0,ROUND(($G221*(1+Assumptions_Dashboard!$D$114)+(1+Assumptions_Dashboard!$D$115)*Fleet!AJ172),0))</f>
        <v>0</v>
      </c>
      <c r="AN221" s="179"/>
      <c r="AO221" s="179"/>
      <c r="AP221" s="179"/>
      <c r="AQ221" s="179"/>
      <c r="AR221" s="179"/>
      <c r="AS221" s="179"/>
    </row>
    <row r="222" spans="2:45">
      <c r="C222" s="661" t="str">
        <f>Fleet!C173</f>
        <v xml:space="preserve">Ambulance </v>
      </c>
      <c r="E222" s="211" t="s">
        <v>740</v>
      </c>
      <c r="F222" s="205" t="s">
        <v>228</v>
      </c>
      <c r="G222">
        <f>IF(Sensitivity!$C$42="Departmental",0,3)</f>
        <v>0</v>
      </c>
      <c r="H222" s="366">
        <f>IFERROR(VLOOKUP(F222,Assumptions_Dashboard!$C$38:$D$72,4,FALSE),)</f>
        <v>0</v>
      </c>
      <c r="J222" s="179"/>
      <c r="K222" s="179"/>
      <c r="L222" s="179"/>
      <c r="M222" s="179"/>
      <c r="N222" s="179">
        <f>IF($G222=0,0,ROUND(($G222*(1+Assumptions_Dashboard!$D$114)+(1+Assumptions_Dashboard!$D$115)*Fleet!K173),0))</f>
        <v>0</v>
      </c>
      <c r="O222" s="179">
        <f>IF($G222=0,0,ROUND(($G222*(1+Assumptions_Dashboard!$D$114)+(1+Assumptions_Dashboard!$D$115)*Fleet!L173),0))</f>
        <v>0</v>
      </c>
      <c r="P222" s="179">
        <f>IF($G222=0,0,ROUND(($G222*(1+Assumptions_Dashboard!$D$114)+(1+Assumptions_Dashboard!$D$115)*Fleet!M173),0))</f>
        <v>0</v>
      </c>
      <c r="Q222" s="179">
        <f>IF($G222=0,0,ROUND(($G222*(1+Assumptions_Dashboard!$D$114)+(1+Assumptions_Dashboard!$D$115)*Fleet!N173),0))</f>
        <v>0</v>
      </c>
      <c r="R222" s="179">
        <f>IF($G222=0,0,ROUND(($G222*(1+Assumptions_Dashboard!$D$114)+(1+Assumptions_Dashboard!$D$115)*Fleet!O173),0))</f>
        <v>0</v>
      </c>
      <c r="S222" s="179">
        <f>IF($G222=0,0,ROUND(($G222*(1+Assumptions_Dashboard!$D$114)+(1+Assumptions_Dashboard!$D$115)*Fleet!P173),0))</f>
        <v>0</v>
      </c>
      <c r="T222" s="179">
        <f>IF($G222=0,0,ROUND(($G222*(1+Assumptions_Dashboard!$D$114)+(1+Assumptions_Dashboard!$D$115)*Fleet!Q173),0))</f>
        <v>0</v>
      </c>
      <c r="U222" s="179">
        <f>IF($G222=0,0,ROUND(($G222*(1+Assumptions_Dashboard!$D$114)+(1+Assumptions_Dashboard!$D$115)*Fleet!R173),0))</f>
        <v>0</v>
      </c>
      <c r="V222" s="179">
        <f>IF($G222=0,0,ROUND(($G222*(1+Assumptions_Dashboard!$D$114)+(1+Assumptions_Dashboard!$D$115)*Fleet!S173),0))</f>
        <v>0</v>
      </c>
      <c r="W222" s="179">
        <f>IF($G222=0,0,ROUND(($G222*(1+Assumptions_Dashboard!$D$114)+(1+Assumptions_Dashboard!$D$115)*Fleet!T173),0))</f>
        <v>0</v>
      </c>
      <c r="X222" s="179">
        <f>IF($G222=0,0,ROUND(($G222*(1+Assumptions_Dashboard!$D$114)+(1+Assumptions_Dashboard!$D$115)*Fleet!U173),0))</f>
        <v>0</v>
      </c>
      <c r="Y222" s="179">
        <f>IF($G222=0,0,ROUND(($G222*(1+Assumptions_Dashboard!$D$114)+(1+Assumptions_Dashboard!$D$115)*Fleet!V173),0))</f>
        <v>0</v>
      </c>
      <c r="Z222" s="179">
        <f>IF($G222=0,0,ROUND(($G222*(1+Assumptions_Dashboard!$D$114)+(1+Assumptions_Dashboard!$D$115)*Fleet!W173),0))</f>
        <v>0</v>
      </c>
      <c r="AA222" s="179">
        <f>IF($G222=0,0,ROUND(($G222*(1+Assumptions_Dashboard!$D$114)+(1+Assumptions_Dashboard!$D$115)*Fleet!X173),0))</f>
        <v>0</v>
      </c>
      <c r="AB222" s="179">
        <f>IF($G222=0,0,ROUND(($G222*(1+Assumptions_Dashboard!$D$114)+(1+Assumptions_Dashboard!$D$115)*Fleet!Y173),0))</f>
        <v>0</v>
      </c>
      <c r="AC222" s="179">
        <f>IF($G222=0,0,ROUND(($G222*(1+Assumptions_Dashboard!$D$114)+(1+Assumptions_Dashboard!$D$115)*Fleet!Z173),0))</f>
        <v>0</v>
      </c>
      <c r="AD222" s="179">
        <f>IF($G222=0,0,ROUND(($G222*(1+Assumptions_Dashboard!$D$114)+(1+Assumptions_Dashboard!$D$115)*Fleet!AA173),0))</f>
        <v>0</v>
      </c>
      <c r="AE222" s="179">
        <f>IF($G222=0,0,ROUND(($G222*(1+Assumptions_Dashboard!$D$114)+(1+Assumptions_Dashboard!$D$115)*Fleet!AB173),0))</f>
        <v>0</v>
      </c>
      <c r="AF222" s="179">
        <f>IF($G222=0,0,ROUND(($G222*(1+Assumptions_Dashboard!$D$114)+(1+Assumptions_Dashboard!$D$115)*Fleet!AC173),0))</f>
        <v>0</v>
      </c>
      <c r="AG222" s="179">
        <f>IF($G222=0,0,ROUND(($G222*(1+Assumptions_Dashboard!$D$114)+(1+Assumptions_Dashboard!$D$115)*Fleet!AD173),0))</f>
        <v>0</v>
      </c>
      <c r="AH222" s="179">
        <f>IF($G222=0,0,ROUND(($G222*(1+Assumptions_Dashboard!$D$114)+(1+Assumptions_Dashboard!$D$115)*Fleet!AE173),0))</f>
        <v>0</v>
      </c>
      <c r="AI222" s="179">
        <f>IF($G222=0,0,ROUND(($G222*(1+Assumptions_Dashboard!$D$114)+(1+Assumptions_Dashboard!$D$115)*Fleet!AF173),0))</f>
        <v>0</v>
      </c>
      <c r="AJ222" s="179">
        <f>IF($G222=0,0,ROUND(($G222*(1+Assumptions_Dashboard!$D$114)+(1+Assumptions_Dashboard!$D$115)*Fleet!AG173),0))</f>
        <v>0</v>
      </c>
      <c r="AK222" s="179">
        <f>IF($G222=0,0,ROUND(($G222*(1+Assumptions_Dashboard!$D$114)+(1+Assumptions_Dashboard!$D$115)*Fleet!AH173),0))</f>
        <v>0</v>
      </c>
      <c r="AL222" s="179">
        <f>IF($G222=0,0,ROUND(($G222*(1+Assumptions_Dashboard!$D$114)+(1+Assumptions_Dashboard!$D$115)*Fleet!AI173),0))</f>
        <v>0</v>
      </c>
      <c r="AM222" s="179">
        <f>IF($G222=0,0,ROUND(($G222*(1+Assumptions_Dashboard!$D$114)+(1+Assumptions_Dashboard!$D$115)*Fleet!AJ173),0))</f>
        <v>0</v>
      </c>
      <c r="AN222" s="179"/>
      <c r="AO222" s="179"/>
      <c r="AP222" s="179"/>
      <c r="AQ222" s="179"/>
      <c r="AR222" s="179"/>
      <c r="AS222" s="179"/>
    </row>
    <row r="223" spans="2:45">
      <c r="C223" s="661" t="str">
        <f>Fleet!C174</f>
        <v>Worker Transportation bus</v>
      </c>
      <c r="E223" s="211" t="s">
        <v>740</v>
      </c>
      <c r="F223" s="205" t="s">
        <v>228</v>
      </c>
      <c r="G223">
        <f>IF(Sensitivity!$C$42="Departmental",0,3)</f>
        <v>0</v>
      </c>
      <c r="H223" s="366">
        <f>IFERROR(VLOOKUP(F223,Assumptions_Dashboard!$C$38:$D$72,4,FALSE),)</f>
        <v>0</v>
      </c>
      <c r="J223" s="179"/>
      <c r="K223" s="179"/>
      <c r="L223" s="179"/>
      <c r="M223" s="179"/>
      <c r="N223" s="179">
        <f>IF($G223=0,0,ROUND(($G223*(1+Assumptions_Dashboard!$D$114)+(1+Assumptions_Dashboard!$D$115)*Fleet!K174),0))</f>
        <v>0</v>
      </c>
      <c r="O223" s="179">
        <f>IF($G223=0,0,ROUND(($G223*(1+Assumptions_Dashboard!$D$114)+(1+Assumptions_Dashboard!$D$115)*Fleet!L174),0))</f>
        <v>0</v>
      </c>
      <c r="P223" s="179">
        <f>IF($G223=0,0,ROUND(($G223*(1+Assumptions_Dashboard!$D$114)+(1+Assumptions_Dashboard!$D$115)*Fleet!M174),0))</f>
        <v>0</v>
      </c>
      <c r="Q223" s="179">
        <f>IF($G223=0,0,ROUND(($G223*(1+Assumptions_Dashboard!$D$114)+(1+Assumptions_Dashboard!$D$115)*Fleet!N174),0))</f>
        <v>0</v>
      </c>
      <c r="R223" s="179">
        <f>IF($G223=0,0,ROUND(($G223*(1+Assumptions_Dashboard!$D$114)+(1+Assumptions_Dashboard!$D$115)*Fleet!O174),0))</f>
        <v>0</v>
      </c>
      <c r="S223" s="179">
        <f>IF($G223=0,0,ROUND(($G223*(1+Assumptions_Dashboard!$D$114)+(1+Assumptions_Dashboard!$D$115)*Fleet!P174),0))</f>
        <v>0</v>
      </c>
      <c r="T223" s="179">
        <f>IF($G223=0,0,ROUND(($G223*(1+Assumptions_Dashboard!$D$114)+(1+Assumptions_Dashboard!$D$115)*Fleet!Q174),0))</f>
        <v>0</v>
      </c>
      <c r="U223" s="179">
        <f>IF($G223=0,0,ROUND(($G223*(1+Assumptions_Dashboard!$D$114)+(1+Assumptions_Dashboard!$D$115)*Fleet!R174),0))</f>
        <v>0</v>
      </c>
      <c r="V223" s="179">
        <f>IF($G223=0,0,ROUND(($G223*(1+Assumptions_Dashboard!$D$114)+(1+Assumptions_Dashboard!$D$115)*Fleet!S174),0))</f>
        <v>0</v>
      </c>
      <c r="W223" s="179">
        <f>IF($G223=0,0,ROUND(($G223*(1+Assumptions_Dashboard!$D$114)+(1+Assumptions_Dashboard!$D$115)*Fleet!T174),0))</f>
        <v>0</v>
      </c>
      <c r="X223" s="179">
        <f>IF($G223=0,0,ROUND(($G223*(1+Assumptions_Dashboard!$D$114)+(1+Assumptions_Dashboard!$D$115)*Fleet!U174),0))</f>
        <v>0</v>
      </c>
      <c r="Y223" s="179">
        <f>IF($G223=0,0,ROUND(($G223*(1+Assumptions_Dashboard!$D$114)+(1+Assumptions_Dashboard!$D$115)*Fleet!V174),0))</f>
        <v>0</v>
      </c>
      <c r="Z223" s="179">
        <f>IF($G223=0,0,ROUND(($G223*(1+Assumptions_Dashboard!$D$114)+(1+Assumptions_Dashboard!$D$115)*Fleet!W174),0))</f>
        <v>0</v>
      </c>
      <c r="AA223" s="179">
        <f>IF($G223=0,0,ROUND(($G223*(1+Assumptions_Dashboard!$D$114)+(1+Assumptions_Dashboard!$D$115)*Fleet!X174),0))</f>
        <v>0</v>
      </c>
      <c r="AB223" s="179">
        <f>IF($G223=0,0,ROUND(($G223*(1+Assumptions_Dashboard!$D$114)+(1+Assumptions_Dashboard!$D$115)*Fleet!Y174),0))</f>
        <v>0</v>
      </c>
      <c r="AC223" s="179">
        <f>IF($G223=0,0,ROUND(($G223*(1+Assumptions_Dashboard!$D$114)+(1+Assumptions_Dashboard!$D$115)*Fleet!Z174),0))</f>
        <v>0</v>
      </c>
      <c r="AD223" s="179">
        <f>IF($G223=0,0,ROUND(($G223*(1+Assumptions_Dashboard!$D$114)+(1+Assumptions_Dashboard!$D$115)*Fleet!AA174),0))</f>
        <v>0</v>
      </c>
      <c r="AE223" s="179">
        <f>IF($G223=0,0,ROUND(($G223*(1+Assumptions_Dashboard!$D$114)+(1+Assumptions_Dashboard!$D$115)*Fleet!AB174),0))</f>
        <v>0</v>
      </c>
      <c r="AF223" s="179">
        <f>IF($G223=0,0,ROUND(($G223*(1+Assumptions_Dashboard!$D$114)+(1+Assumptions_Dashboard!$D$115)*Fleet!AC174),0))</f>
        <v>0</v>
      </c>
      <c r="AG223" s="179">
        <f>IF($G223=0,0,ROUND(($G223*(1+Assumptions_Dashboard!$D$114)+(1+Assumptions_Dashboard!$D$115)*Fleet!AD174),0))</f>
        <v>0</v>
      </c>
      <c r="AH223" s="179">
        <f>IF($G223=0,0,ROUND(($G223*(1+Assumptions_Dashboard!$D$114)+(1+Assumptions_Dashboard!$D$115)*Fleet!AE174),0))</f>
        <v>0</v>
      </c>
      <c r="AI223" s="179">
        <f>IF($G223=0,0,ROUND(($G223*(1+Assumptions_Dashboard!$D$114)+(1+Assumptions_Dashboard!$D$115)*Fleet!AF174),0))</f>
        <v>0</v>
      </c>
      <c r="AJ223" s="179">
        <f>IF($G223=0,0,ROUND(($G223*(1+Assumptions_Dashboard!$D$114)+(1+Assumptions_Dashboard!$D$115)*Fleet!AG174),0))</f>
        <v>0</v>
      </c>
      <c r="AK223" s="179">
        <f>IF($G223=0,0,ROUND(($G223*(1+Assumptions_Dashboard!$D$114)+(1+Assumptions_Dashboard!$D$115)*Fleet!AH174),0))</f>
        <v>0</v>
      </c>
      <c r="AL223" s="179">
        <f>IF($G223=0,0,ROUND(($G223*(1+Assumptions_Dashboard!$D$114)+(1+Assumptions_Dashboard!$D$115)*Fleet!AI174),0))</f>
        <v>0</v>
      </c>
      <c r="AM223" s="179">
        <f>IF($G223=0,0,ROUND(($G223*(1+Assumptions_Dashboard!$D$114)+(1+Assumptions_Dashboard!$D$115)*Fleet!AJ174),0))</f>
        <v>0</v>
      </c>
      <c r="AN223" s="179"/>
      <c r="AO223" s="179"/>
      <c r="AP223" s="179"/>
      <c r="AQ223" s="179"/>
      <c r="AR223" s="179"/>
      <c r="AS223" s="179"/>
    </row>
    <row r="224" spans="2:45">
      <c r="C224" s="661" t="str">
        <f>Fleet!C175</f>
        <v>School bus</v>
      </c>
      <c r="E224" s="211" t="s">
        <v>740</v>
      </c>
      <c r="F224" s="205" t="s">
        <v>228</v>
      </c>
      <c r="G224">
        <f>IF(Sensitivity!$C$42="Departmental",0,1)</f>
        <v>0</v>
      </c>
      <c r="H224" s="366">
        <f>IFERROR(VLOOKUP(F224,Assumptions_Dashboard!$C$38:$D$72,4,FALSE),)</f>
        <v>0</v>
      </c>
      <c r="J224" s="179"/>
      <c r="K224" s="179"/>
      <c r="L224" s="179"/>
      <c r="M224" s="179"/>
      <c r="N224" s="179">
        <f>IF($G224=0,0,ROUND(($G224*(1+Assumptions_Dashboard!$D$114)+(1+Assumptions_Dashboard!$D$115)*Fleet!K175),0))</f>
        <v>0</v>
      </c>
      <c r="O224" s="179">
        <f>IF($G224=0,0,ROUND(($G224*(1+Assumptions_Dashboard!$D$114)+(1+Assumptions_Dashboard!$D$115)*Fleet!L175),0))</f>
        <v>0</v>
      </c>
      <c r="P224" s="179">
        <f>IF($G224=0,0,ROUND(($G224*(1+Assumptions_Dashboard!$D$114)+(1+Assumptions_Dashboard!$D$115)*Fleet!M175),0))</f>
        <v>0</v>
      </c>
      <c r="Q224" s="179">
        <f>IF($G224=0,0,ROUND(($G224*(1+Assumptions_Dashboard!$D$114)+(1+Assumptions_Dashboard!$D$115)*Fleet!N175),0))</f>
        <v>0</v>
      </c>
      <c r="R224" s="179">
        <f>IF($G224=0,0,ROUND(($G224*(1+Assumptions_Dashboard!$D$114)+(1+Assumptions_Dashboard!$D$115)*Fleet!O175),0))</f>
        <v>0</v>
      </c>
      <c r="S224" s="179">
        <f>IF($G224=0,0,ROUND(($G224*(1+Assumptions_Dashboard!$D$114)+(1+Assumptions_Dashboard!$D$115)*Fleet!P175),0))</f>
        <v>0</v>
      </c>
      <c r="T224" s="179">
        <f>IF($G224=0,0,ROUND(($G224*(1+Assumptions_Dashboard!$D$114)+(1+Assumptions_Dashboard!$D$115)*Fleet!Q175),0))</f>
        <v>0</v>
      </c>
      <c r="U224" s="179">
        <f>IF($G224=0,0,ROUND(($G224*(1+Assumptions_Dashboard!$D$114)+(1+Assumptions_Dashboard!$D$115)*Fleet!R175),0))</f>
        <v>0</v>
      </c>
      <c r="V224" s="179">
        <f>IF($G224=0,0,ROUND(($G224*(1+Assumptions_Dashboard!$D$114)+(1+Assumptions_Dashboard!$D$115)*Fleet!S175),0))</f>
        <v>0</v>
      </c>
      <c r="W224" s="179">
        <f>IF($G224=0,0,ROUND(($G224*(1+Assumptions_Dashboard!$D$114)+(1+Assumptions_Dashboard!$D$115)*Fleet!T175),0))</f>
        <v>0</v>
      </c>
      <c r="X224" s="179">
        <f>IF($G224=0,0,ROUND(($G224*(1+Assumptions_Dashboard!$D$114)+(1+Assumptions_Dashboard!$D$115)*Fleet!U175),0))</f>
        <v>0</v>
      </c>
      <c r="Y224" s="179">
        <f>IF($G224=0,0,ROUND(($G224*(1+Assumptions_Dashboard!$D$114)+(1+Assumptions_Dashboard!$D$115)*Fleet!V175),0))</f>
        <v>0</v>
      </c>
      <c r="Z224" s="179">
        <f>IF($G224=0,0,ROUND(($G224*(1+Assumptions_Dashboard!$D$114)+(1+Assumptions_Dashboard!$D$115)*Fleet!W175),0))</f>
        <v>0</v>
      </c>
      <c r="AA224" s="179">
        <f>IF($G224=0,0,ROUND(($G224*(1+Assumptions_Dashboard!$D$114)+(1+Assumptions_Dashboard!$D$115)*Fleet!X175),0))</f>
        <v>0</v>
      </c>
      <c r="AB224" s="179">
        <f>IF($G224=0,0,ROUND(($G224*(1+Assumptions_Dashboard!$D$114)+(1+Assumptions_Dashboard!$D$115)*Fleet!Y175),0))</f>
        <v>0</v>
      </c>
      <c r="AC224" s="179">
        <f>IF($G224=0,0,ROUND(($G224*(1+Assumptions_Dashboard!$D$114)+(1+Assumptions_Dashboard!$D$115)*Fleet!Z175),0))</f>
        <v>0</v>
      </c>
      <c r="AD224" s="179">
        <f>IF($G224=0,0,ROUND(($G224*(1+Assumptions_Dashboard!$D$114)+(1+Assumptions_Dashboard!$D$115)*Fleet!AA175),0))</f>
        <v>0</v>
      </c>
      <c r="AE224" s="179">
        <f>IF($G224=0,0,ROUND(($G224*(1+Assumptions_Dashboard!$D$114)+(1+Assumptions_Dashboard!$D$115)*Fleet!AB175),0))</f>
        <v>0</v>
      </c>
      <c r="AF224" s="179">
        <f>IF($G224=0,0,ROUND(($G224*(1+Assumptions_Dashboard!$D$114)+(1+Assumptions_Dashboard!$D$115)*Fleet!AC175),0))</f>
        <v>0</v>
      </c>
      <c r="AG224" s="179">
        <f>IF($G224=0,0,ROUND(($G224*(1+Assumptions_Dashboard!$D$114)+(1+Assumptions_Dashboard!$D$115)*Fleet!AD175),0))</f>
        <v>0</v>
      </c>
      <c r="AH224" s="179">
        <f>IF($G224=0,0,ROUND(($G224*(1+Assumptions_Dashboard!$D$114)+(1+Assumptions_Dashboard!$D$115)*Fleet!AE175),0))</f>
        <v>0</v>
      </c>
      <c r="AI224" s="179">
        <f>IF($G224=0,0,ROUND(($G224*(1+Assumptions_Dashboard!$D$114)+(1+Assumptions_Dashboard!$D$115)*Fleet!AF175),0))</f>
        <v>0</v>
      </c>
      <c r="AJ224" s="179">
        <f>IF($G224=0,0,ROUND(($G224*(1+Assumptions_Dashboard!$D$114)+(1+Assumptions_Dashboard!$D$115)*Fleet!AG175),0))</f>
        <v>0</v>
      </c>
      <c r="AK224" s="179">
        <f>IF($G224=0,0,ROUND(($G224*(1+Assumptions_Dashboard!$D$114)+(1+Assumptions_Dashboard!$D$115)*Fleet!AH175),0))</f>
        <v>0</v>
      </c>
      <c r="AL224" s="179">
        <f>IF($G224=0,0,ROUND(($G224*(1+Assumptions_Dashboard!$D$114)+(1+Assumptions_Dashboard!$D$115)*Fleet!AI175),0))</f>
        <v>0</v>
      </c>
      <c r="AM224" s="179">
        <f>IF($G224=0,0,ROUND(($G224*(1+Assumptions_Dashboard!$D$114)+(1+Assumptions_Dashboard!$D$115)*Fleet!AJ175),0))</f>
        <v>0</v>
      </c>
      <c r="AN224" s="179"/>
      <c r="AO224" s="179"/>
      <c r="AP224" s="179"/>
      <c r="AQ224" s="179"/>
      <c r="AR224" s="179"/>
      <c r="AS224" s="179"/>
    </row>
    <row r="225" spans="3:61">
      <c r="C225" s="661" t="str">
        <f>Fleet!C176</f>
        <v xml:space="preserve">Pickup Van </v>
      </c>
      <c r="E225" s="211" t="s">
        <v>740</v>
      </c>
      <c r="F225" s="205" t="s">
        <v>228</v>
      </c>
      <c r="G225">
        <f>IF(Sensitivity!$C$42="Departmental",0,3)</f>
        <v>0</v>
      </c>
      <c r="H225" s="366">
        <f>IFERROR(VLOOKUP(F225,Assumptions_Dashboard!$C$38:$D$72,4,FALSE),)</f>
        <v>0</v>
      </c>
      <c r="J225" s="179"/>
      <c r="K225" s="179"/>
      <c r="L225" s="179"/>
      <c r="M225" s="179"/>
      <c r="N225" s="179">
        <f>IF($G225=0,0,ROUND(($G225*(1+Assumptions_Dashboard!$D$114)+(1+Assumptions_Dashboard!$D$115)*Fleet!K176),0))</f>
        <v>0</v>
      </c>
      <c r="O225" s="179">
        <f>IF($G225=0,0,ROUND(($G225*(1+Assumptions_Dashboard!$D$114)+(1+Assumptions_Dashboard!$D$115)*Fleet!L176),0))</f>
        <v>0</v>
      </c>
      <c r="P225" s="179">
        <f>IF($G225=0,0,ROUND(($G225*(1+Assumptions_Dashboard!$D$114)+(1+Assumptions_Dashboard!$D$115)*Fleet!M176),0))</f>
        <v>0</v>
      </c>
      <c r="Q225" s="179">
        <f>IF($G225=0,0,ROUND(($G225*(1+Assumptions_Dashboard!$D$114)+(1+Assumptions_Dashboard!$D$115)*Fleet!N176),0))</f>
        <v>0</v>
      </c>
      <c r="R225" s="179">
        <f>IF($G225=0,0,ROUND(($G225*(1+Assumptions_Dashboard!$D$114)+(1+Assumptions_Dashboard!$D$115)*Fleet!O176),0))</f>
        <v>0</v>
      </c>
      <c r="S225" s="179">
        <f>IF($G225=0,0,ROUND(($G225*(1+Assumptions_Dashboard!$D$114)+(1+Assumptions_Dashboard!$D$115)*Fleet!P176),0))</f>
        <v>0</v>
      </c>
      <c r="T225" s="179">
        <f>IF($G225=0,0,ROUND(($G225*(1+Assumptions_Dashboard!$D$114)+(1+Assumptions_Dashboard!$D$115)*Fleet!Q176),0))</f>
        <v>0</v>
      </c>
      <c r="U225" s="179">
        <f>IF($G225=0,0,ROUND(($G225*(1+Assumptions_Dashboard!$D$114)+(1+Assumptions_Dashboard!$D$115)*Fleet!R176),0))</f>
        <v>0</v>
      </c>
      <c r="V225" s="179">
        <f>IF($G225=0,0,ROUND(($G225*(1+Assumptions_Dashboard!$D$114)+(1+Assumptions_Dashboard!$D$115)*Fleet!S176),0))</f>
        <v>0</v>
      </c>
      <c r="W225" s="179">
        <f>IF($G225=0,0,ROUND(($G225*(1+Assumptions_Dashboard!$D$114)+(1+Assumptions_Dashboard!$D$115)*Fleet!T176),0))</f>
        <v>0</v>
      </c>
      <c r="X225" s="179">
        <f>IF($G225=0,0,ROUND(($G225*(1+Assumptions_Dashboard!$D$114)+(1+Assumptions_Dashboard!$D$115)*Fleet!U176),0))</f>
        <v>0</v>
      </c>
      <c r="Y225" s="179">
        <f>IF($G225=0,0,ROUND(($G225*(1+Assumptions_Dashboard!$D$114)+(1+Assumptions_Dashboard!$D$115)*Fleet!V176),0))</f>
        <v>0</v>
      </c>
      <c r="Z225" s="179">
        <f>IF($G225=0,0,ROUND(($G225*(1+Assumptions_Dashboard!$D$114)+(1+Assumptions_Dashboard!$D$115)*Fleet!W176),0))</f>
        <v>0</v>
      </c>
      <c r="AA225" s="179">
        <f>IF($G225=0,0,ROUND(($G225*(1+Assumptions_Dashboard!$D$114)+(1+Assumptions_Dashboard!$D$115)*Fleet!X176),0))</f>
        <v>0</v>
      </c>
      <c r="AB225" s="179">
        <f>IF($G225=0,0,ROUND(($G225*(1+Assumptions_Dashboard!$D$114)+(1+Assumptions_Dashboard!$D$115)*Fleet!Y176),0))</f>
        <v>0</v>
      </c>
      <c r="AC225" s="179">
        <f>IF($G225=0,0,ROUND(($G225*(1+Assumptions_Dashboard!$D$114)+(1+Assumptions_Dashboard!$D$115)*Fleet!Z176),0))</f>
        <v>0</v>
      </c>
      <c r="AD225" s="179">
        <f>IF($G225=0,0,ROUND(($G225*(1+Assumptions_Dashboard!$D$114)+(1+Assumptions_Dashboard!$D$115)*Fleet!AA176),0))</f>
        <v>0</v>
      </c>
      <c r="AE225" s="179">
        <f>IF($G225=0,0,ROUND(($G225*(1+Assumptions_Dashboard!$D$114)+(1+Assumptions_Dashboard!$D$115)*Fleet!AB176),0))</f>
        <v>0</v>
      </c>
      <c r="AF225" s="179">
        <f>IF($G225=0,0,ROUND(($G225*(1+Assumptions_Dashboard!$D$114)+(1+Assumptions_Dashboard!$D$115)*Fleet!AC176),0))</f>
        <v>0</v>
      </c>
      <c r="AG225" s="179">
        <f>IF($G225=0,0,ROUND(($G225*(1+Assumptions_Dashboard!$D$114)+(1+Assumptions_Dashboard!$D$115)*Fleet!AD176),0))</f>
        <v>0</v>
      </c>
      <c r="AH225" s="179">
        <f>IF($G225=0,0,ROUND(($G225*(1+Assumptions_Dashboard!$D$114)+(1+Assumptions_Dashboard!$D$115)*Fleet!AE176),0))</f>
        <v>0</v>
      </c>
      <c r="AI225" s="179">
        <f>IF($G225=0,0,ROUND(($G225*(1+Assumptions_Dashboard!$D$114)+(1+Assumptions_Dashboard!$D$115)*Fleet!AF176),0))</f>
        <v>0</v>
      </c>
      <c r="AJ225" s="179">
        <f>IF($G225=0,0,ROUND(($G225*(1+Assumptions_Dashboard!$D$114)+(1+Assumptions_Dashboard!$D$115)*Fleet!AG176),0))</f>
        <v>0</v>
      </c>
      <c r="AK225" s="179">
        <f>IF($G225=0,0,ROUND(($G225*(1+Assumptions_Dashboard!$D$114)+(1+Assumptions_Dashboard!$D$115)*Fleet!AH176),0))</f>
        <v>0</v>
      </c>
      <c r="AL225" s="179">
        <f>IF($G225=0,0,ROUND(($G225*(1+Assumptions_Dashboard!$D$114)+(1+Assumptions_Dashboard!$D$115)*Fleet!AI176),0))</f>
        <v>0</v>
      </c>
      <c r="AM225" s="179">
        <f>IF($G225=0,0,ROUND(($G225*(1+Assumptions_Dashboard!$D$114)+(1+Assumptions_Dashboard!$D$115)*Fleet!AJ176),0))</f>
        <v>0</v>
      </c>
      <c r="AN225" s="179"/>
      <c r="AO225" s="179"/>
      <c r="AP225" s="179"/>
      <c r="AQ225" s="179"/>
      <c r="AR225" s="179"/>
      <c r="AS225" s="179"/>
    </row>
    <row r="226" spans="3:61">
      <c r="C226" s="661" t="str">
        <f>Fleet!C177</f>
        <v>Cars</v>
      </c>
      <c r="E226" s="211" t="s">
        <v>740</v>
      </c>
      <c r="F226" s="205" t="s">
        <v>228</v>
      </c>
      <c r="G226">
        <f>IF(Sensitivity!$C$42="Departmental",0,3)</f>
        <v>0</v>
      </c>
      <c r="H226" s="366">
        <f>IFERROR(VLOOKUP(F226,Assumptions_Dashboard!$C$38:$D$72,4,FALSE),)</f>
        <v>0</v>
      </c>
      <c r="J226" s="179"/>
      <c r="K226" s="179"/>
      <c r="L226" s="179"/>
      <c r="M226" s="179"/>
      <c r="N226" s="179">
        <f>IF($G226=0,0,ROUND(($G226*(1+Assumptions_Dashboard!$D$114)+(1+Assumptions_Dashboard!$D$115)*Fleet!K177),0))</f>
        <v>0</v>
      </c>
      <c r="O226" s="179">
        <f>IF($G226=0,0,ROUND(($G226*(1+Assumptions_Dashboard!$D$114)+(1+Assumptions_Dashboard!$D$115)*Fleet!L177),0))</f>
        <v>0</v>
      </c>
      <c r="P226" s="179">
        <f>IF($G226=0,0,ROUND(($G226*(1+Assumptions_Dashboard!$D$114)+(1+Assumptions_Dashboard!$D$115)*Fleet!M177),0))</f>
        <v>0</v>
      </c>
      <c r="Q226" s="179">
        <f>IF($G226=0,0,ROUND(($G226*(1+Assumptions_Dashboard!$D$114)+(1+Assumptions_Dashboard!$D$115)*Fleet!N177),0))</f>
        <v>0</v>
      </c>
      <c r="R226" s="179">
        <f>IF($G226=0,0,ROUND(($G226*(1+Assumptions_Dashboard!$D$114)+(1+Assumptions_Dashboard!$D$115)*Fleet!O177),0))</f>
        <v>0</v>
      </c>
      <c r="S226" s="179">
        <f>IF($G226=0,0,ROUND(($G226*(1+Assumptions_Dashboard!$D$114)+(1+Assumptions_Dashboard!$D$115)*Fleet!P177),0))</f>
        <v>0</v>
      </c>
      <c r="T226" s="179">
        <f>IF($G226=0,0,ROUND(($G226*(1+Assumptions_Dashboard!$D$114)+(1+Assumptions_Dashboard!$D$115)*Fleet!Q177),0))</f>
        <v>0</v>
      </c>
      <c r="U226" s="179">
        <f>IF($G226=0,0,ROUND(($G226*(1+Assumptions_Dashboard!$D$114)+(1+Assumptions_Dashboard!$D$115)*Fleet!R177),0))</f>
        <v>0</v>
      </c>
      <c r="V226" s="179">
        <f>IF($G226=0,0,ROUND(($G226*(1+Assumptions_Dashboard!$D$114)+(1+Assumptions_Dashboard!$D$115)*Fleet!S177),0))</f>
        <v>0</v>
      </c>
      <c r="W226" s="179">
        <f>IF($G226=0,0,ROUND(($G226*(1+Assumptions_Dashboard!$D$114)+(1+Assumptions_Dashboard!$D$115)*Fleet!T177),0))</f>
        <v>0</v>
      </c>
      <c r="X226" s="179">
        <f>IF($G226=0,0,ROUND(($G226*(1+Assumptions_Dashboard!$D$114)+(1+Assumptions_Dashboard!$D$115)*Fleet!U177),0))</f>
        <v>0</v>
      </c>
      <c r="Y226" s="179">
        <f>IF($G226=0,0,ROUND(($G226*(1+Assumptions_Dashboard!$D$114)+(1+Assumptions_Dashboard!$D$115)*Fleet!V177),0))</f>
        <v>0</v>
      </c>
      <c r="Z226" s="179">
        <f>IF($G226=0,0,ROUND(($G226*(1+Assumptions_Dashboard!$D$114)+(1+Assumptions_Dashboard!$D$115)*Fleet!W177),0))</f>
        <v>0</v>
      </c>
      <c r="AA226" s="179">
        <f>IF($G226=0,0,ROUND(($G226*(1+Assumptions_Dashboard!$D$114)+(1+Assumptions_Dashboard!$D$115)*Fleet!X177),0))</f>
        <v>0</v>
      </c>
      <c r="AB226" s="179">
        <f>IF($G226=0,0,ROUND(($G226*(1+Assumptions_Dashboard!$D$114)+(1+Assumptions_Dashboard!$D$115)*Fleet!Y177),0))</f>
        <v>0</v>
      </c>
      <c r="AC226" s="179">
        <f>IF($G226=0,0,ROUND(($G226*(1+Assumptions_Dashboard!$D$114)+(1+Assumptions_Dashboard!$D$115)*Fleet!Z177),0))</f>
        <v>0</v>
      </c>
      <c r="AD226" s="179">
        <f>IF($G226=0,0,ROUND(($G226*(1+Assumptions_Dashboard!$D$114)+(1+Assumptions_Dashboard!$D$115)*Fleet!AA177),0))</f>
        <v>0</v>
      </c>
      <c r="AE226" s="179">
        <f>IF($G226=0,0,ROUND(($G226*(1+Assumptions_Dashboard!$D$114)+(1+Assumptions_Dashboard!$D$115)*Fleet!AB177),0))</f>
        <v>0</v>
      </c>
      <c r="AF226" s="179">
        <f>IF($G226=0,0,ROUND(($G226*(1+Assumptions_Dashboard!$D$114)+(1+Assumptions_Dashboard!$D$115)*Fleet!AC177),0))</f>
        <v>0</v>
      </c>
      <c r="AG226" s="179">
        <f>IF($G226=0,0,ROUND(($G226*(1+Assumptions_Dashboard!$D$114)+(1+Assumptions_Dashboard!$D$115)*Fleet!AD177),0))</f>
        <v>0</v>
      </c>
      <c r="AH226" s="179">
        <f>IF($G226=0,0,ROUND(($G226*(1+Assumptions_Dashboard!$D$114)+(1+Assumptions_Dashboard!$D$115)*Fleet!AE177),0))</f>
        <v>0</v>
      </c>
      <c r="AI226" s="179">
        <f>IF($G226=0,0,ROUND(($G226*(1+Assumptions_Dashboard!$D$114)+(1+Assumptions_Dashboard!$D$115)*Fleet!AF177),0))</f>
        <v>0</v>
      </c>
      <c r="AJ226" s="179">
        <f>IF($G226=0,0,ROUND(($G226*(1+Assumptions_Dashboard!$D$114)+(1+Assumptions_Dashboard!$D$115)*Fleet!AG177),0))</f>
        <v>0</v>
      </c>
      <c r="AK226" s="179">
        <f>IF($G226=0,0,ROUND(($G226*(1+Assumptions_Dashboard!$D$114)+(1+Assumptions_Dashboard!$D$115)*Fleet!AH177),0))</f>
        <v>0</v>
      </c>
      <c r="AL226" s="179">
        <f>IF($G226=0,0,ROUND(($G226*(1+Assumptions_Dashboard!$D$114)+(1+Assumptions_Dashboard!$D$115)*Fleet!AI177),0))</f>
        <v>0</v>
      </c>
      <c r="AM226" s="179">
        <f>IF($G226=0,0,ROUND(($G226*(1+Assumptions_Dashboard!$D$114)+(1+Assumptions_Dashboard!$D$115)*Fleet!AJ177),0))</f>
        <v>0</v>
      </c>
      <c r="AN226" s="179"/>
      <c r="AO226" s="179"/>
      <c r="AP226" s="179"/>
      <c r="AQ226" s="179"/>
      <c r="AR226" s="179"/>
      <c r="AS226" s="179"/>
    </row>
    <row r="229" spans="3:61">
      <c r="C229" s="191" t="s">
        <v>1477</v>
      </c>
    </row>
    <row r="230" spans="3:61">
      <c r="C230" s="1281" t="s">
        <v>197</v>
      </c>
      <c r="D230" s="1281"/>
      <c r="E230" s="1281"/>
      <c r="F230" s="1281"/>
      <c r="G230" s="1281"/>
      <c r="H230" s="1412">
        <f>IFERROR(VLOOKUP(C230,Assumptions_Dashboard!$C$38:$D$72,4,FALSE),)</f>
        <v>0</v>
      </c>
      <c r="I230" s="1281"/>
      <c r="J230" s="1413">
        <f ca="1">SUMIF($F$10:$BI$226,$C230,J$10:J$226)</f>
        <v>0</v>
      </c>
      <c r="K230" s="1413">
        <f t="shared" ref="J230:Y245" ca="1" si="46">SUMIF($F$10:$BI$226,$C230,K$10:K$226)</f>
        <v>0</v>
      </c>
      <c r="L230" s="1413">
        <f t="shared" ca="1" si="46"/>
        <v>0</v>
      </c>
      <c r="M230" s="1413">
        <f t="shared" ca="1" si="46"/>
        <v>0</v>
      </c>
      <c r="N230" s="1413">
        <f ca="1">SUMIF($F$10:$BI$226,$C230,N$10:N$226)</f>
        <v>0</v>
      </c>
      <c r="O230" s="1413">
        <f t="shared" ca="1" si="46"/>
        <v>0</v>
      </c>
      <c r="P230" s="1413">
        <f t="shared" ca="1" si="46"/>
        <v>0</v>
      </c>
      <c r="Q230" s="1413">
        <f t="shared" ca="1" si="46"/>
        <v>0</v>
      </c>
      <c r="R230" s="1413">
        <f t="shared" ca="1" si="46"/>
        <v>0</v>
      </c>
      <c r="S230" s="1413">
        <f t="shared" ca="1" si="46"/>
        <v>0</v>
      </c>
      <c r="T230" s="1413">
        <f t="shared" ca="1" si="46"/>
        <v>0</v>
      </c>
      <c r="U230" s="1413">
        <f t="shared" ca="1" si="46"/>
        <v>0</v>
      </c>
      <c r="V230" s="1413">
        <f t="shared" ca="1" si="46"/>
        <v>0</v>
      </c>
      <c r="W230" s="1413">
        <f t="shared" ca="1" si="46"/>
        <v>0</v>
      </c>
      <c r="X230" s="1413">
        <f t="shared" ca="1" si="46"/>
        <v>0</v>
      </c>
      <c r="Y230" s="1413">
        <f t="shared" ca="1" si="46"/>
        <v>0</v>
      </c>
      <c r="Z230" s="1413">
        <f t="shared" ref="Z230:AM245" ca="1" si="47">SUMIF($F$10:$BI$226,$C230,Z$10:Z$226)</f>
        <v>0</v>
      </c>
      <c r="AA230" s="1413">
        <f t="shared" ca="1" si="47"/>
        <v>0</v>
      </c>
      <c r="AB230" s="1413">
        <f t="shared" ca="1" si="47"/>
        <v>0</v>
      </c>
      <c r="AC230" s="1413">
        <f t="shared" ca="1" si="47"/>
        <v>0</v>
      </c>
      <c r="AD230" s="1413">
        <f t="shared" ca="1" si="47"/>
        <v>0</v>
      </c>
      <c r="AE230" s="1413">
        <f t="shared" ca="1" si="47"/>
        <v>0</v>
      </c>
      <c r="AF230" s="1413">
        <f t="shared" ca="1" si="47"/>
        <v>0</v>
      </c>
      <c r="AG230" s="1413">
        <f t="shared" ca="1" si="47"/>
        <v>0</v>
      </c>
      <c r="AH230" s="1413">
        <f t="shared" ca="1" si="47"/>
        <v>0</v>
      </c>
      <c r="AI230" s="1413">
        <f t="shared" ca="1" si="47"/>
        <v>0</v>
      </c>
      <c r="AJ230" s="1413">
        <f t="shared" ca="1" si="47"/>
        <v>0</v>
      </c>
      <c r="AK230" s="1413">
        <f t="shared" ca="1" si="47"/>
        <v>0</v>
      </c>
      <c r="AL230" s="1413">
        <f t="shared" ca="1" si="47"/>
        <v>0</v>
      </c>
      <c r="AM230" s="1413">
        <f t="shared" ca="1" si="47"/>
        <v>0</v>
      </c>
      <c r="AN230" s="1413"/>
      <c r="AO230" s="1413"/>
      <c r="AP230" s="1413"/>
      <c r="AQ230" s="1413"/>
      <c r="AR230" s="1413"/>
      <c r="AS230" s="1413"/>
      <c r="AT230" s="1413"/>
      <c r="AU230" s="1281"/>
      <c r="AV230" s="1281"/>
      <c r="AW230" s="1281"/>
      <c r="AX230" s="1281"/>
      <c r="AY230" s="1281"/>
      <c r="AZ230" s="1281"/>
      <c r="BA230" s="1281"/>
      <c r="BB230" s="1281"/>
      <c r="BC230" s="1281"/>
      <c r="BD230" s="1281"/>
      <c r="BE230" s="1281"/>
      <c r="BF230" s="1281"/>
      <c r="BG230" s="1281"/>
      <c r="BH230" s="1281"/>
      <c r="BI230" s="1281"/>
    </row>
    <row r="231" spans="3:61">
      <c r="C231" t="s">
        <v>199</v>
      </c>
      <c r="H231" s="1412">
        <f>IFERROR(VLOOKUP(C231,Assumptions_Dashboard!$C$38:$D$72,4,FALSE),)</f>
        <v>0</v>
      </c>
      <c r="I231" s="1281"/>
      <c r="J231" s="1413">
        <f t="shared" ca="1" si="46"/>
        <v>0</v>
      </c>
      <c r="K231" s="1413">
        <f t="shared" ca="1" si="46"/>
        <v>0</v>
      </c>
      <c r="L231" s="1413">
        <f t="shared" ca="1" si="46"/>
        <v>0</v>
      </c>
      <c r="M231" s="1413">
        <f t="shared" ca="1" si="46"/>
        <v>0</v>
      </c>
      <c r="N231" s="1413">
        <f t="shared" ca="1" si="46"/>
        <v>0</v>
      </c>
      <c r="O231" s="1413">
        <f t="shared" ca="1" si="46"/>
        <v>0</v>
      </c>
      <c r="P231" s="1413">
        <f t="shared" ca="1" si="46"/>
        <v>0</v>
      </c>
      <c r="Q231" s="1413">
        <f t="shared" ca="1" si="46"/>
        <v>0</v>
      </c>
      <c r="R231" s="1413">
        <f t="shared" ca="1" si="46"/>
        <v>0</v>
      </c>
      <c r="S231" s="1413">
        <f t="shared" ca="1" si="46"/>
        <v>0</v>
      </c>
      <c r="T231" s="1413">
        <f t="shared" ca="1" si="46"/>
        <v>0</v>
      </c>
      <c r="U231" s="1413">
        <f t="shared" ca="1" si="46"/>
        <v>0</v>
      </c>
      <c r="V231" s="1413">
        <f t="shared" ca="1" si="46"/>
        <v>0</v>
      </c>
      <c r="W231" s="1413">
        <f t="shared" ca="1" si="46"/>
        <v>0</v>
      </c>
      <c r="X231" s="1413">
        <f t="shared" ca="1" si="46"/>
        <v>0</v>
      </c>
      <c r="Y231" s="1413">
        <f t="shared" ca="1" si="46"/>
        <v>0</v>
      </c>
      <c r="Z231" s="1413">
        <f t="shared" ca="1" si="47"/>
        <v>0</v>
      </c>
      <c r="AA231" s="1413">
        <f t="shared" ca="1" si="47"/>
        <v>0</v>
      </c>
      <c r="AB231" s="1413">
        <f t="shared" ca="1" si="47"/>
        <v>0</v>
      </c>
      <c r="AC231" s="1413">
        <f t="shared" ca="1" si="47"/>
        <v>0</v>
      </c>
      <c r="AD231" s="1413">
        <f t="shared" ca="1" si="47"/>
        <v>0</v>
      </c>
      <c r="AE231" s="1413">
        <f t="shared" ca="1" si="47"/>
        <v>0</v>
      </c>
      <c r="AF231" s="1413">
        <f t="shared" ca="1" si="47"/>
        <v>0</v>
      </c>
      <c r="AG231" s="1413">
        <f t="shared" ca="1" si="47"/>
        <v>0</v>
      </c>
      <c r="AH231" s="1413">
        <f t="shared" ca="1" si="47"/>
        <v>0</v>
      </c>
      <c r="AI231" s="1413">
        <f t="shared" ca="1" si="47"/>
        <v>0</v>
      </c>
      <c r="AJ231" s="1413">
        <f t="shared" ca="1" si="47"/>
        <v>0</v>
      </c>
      <c r="AK231" s="1413">
        <f t="shared" ca="1" si="47"/>
        <v>0</v>
      </c>
      <c r="AL231" s="1413">
        <f t="shared" ca="1" si="47"/>
        <v>0</v>
      </c>
      <c r="AM231" s="1413">
        <f t="shared" ca="1" si="47"/>
        <v>0</v>
      </c>
      <c r="AN231" s="1413"/>
      <c r="AO231" s="1413"/>
      <c r="AP231" s="1413"/>
      <c r="AQ231" s="1413"/>
      <c r="AR231" s="1413"/>
      <c r="AS231" s="1413"/>
      <c r="AT231" s="1413"/>
    </row>
    <row r="232" spans="3:61">
      <c r="C232" t="s">
        <v>200</v>
      </c>
      <c r="H232" s="1412">
        <f>IFERROR(VLOOKUP(C232,Assumptions_Dashboard!$C$38:$D$72,4,FALSE),)</f>
        <v>0</v>
      </c>
      <c r="I232" s="1281"/>
      <c r="J232" s="1413">
        <f t="shared" ca="1" si="46"/>
        <v>0</v>
      </c>
      <c r="K232" s="1413">
        <f t="shared" ca="1" si="46"/>
        <v>0</v>
      </c>
      <c r="L232" s="1413">
        <f t="shared" ca="1" si="46"/>
        <v>0</v>
      </c>
      <c r="M232" s="1413">
        <f t="shared" ca="1" si="46"/>
        <v>0</v>
      </c>
      <c r="N232" s="1413">
        <f t="shared" ca="1" si="46"/>
        <v>0</v>
      </c>
      <c r="O232" s="1413">
        <f t="shared" ca="1" si="46"/>
        <v>0</v>
      </c>
      <c r="P232" s="1413">
        <f t="shared" ca="1" si="46"/>
        <v>0</v>
      </c>
      <c r="Q232" s="1413">
        <f t="shared" ca="1" si="46"/>
        <v>0</v>
      </c>
      <c r="R232" s="1413">
        <f t="shared" ca="1" si="46"/>
        <v>0</v>
      </c>
      <c r="S232" s="1413">
        <f t="shared" ca="1" si="46"/>
        <v>0</v>
      </c>
      <c r="T232" s="1413">
        <f t="shared" ca="1" si="46"/>
        <v>0</v>
      </c>
      <c r="U232" s="1413">
        <f t="shared" ca="1" si="46"/>
        <v>0</v>
      </c>
      <c r="V232" s="1413">
        <f t="shared" ca="1" si="46"/>
        <v>0</v>
      </c>
      <c r="W232" s="1413">
        <f t="shared" ca="1" si="46"/>
        <v>0</v>
      </c>
      <c r="X232" s="1413">
        <f t="shared" ca="1" si="46"/>
        <v>0</v>
      </c>
      <c r="Y232" s="1413">
        <f t="shared" ca="1" si="46"/>
        <v>0</v>
      </c>
      <c r="Z232" s="1413">
        <f t="shared" ca="1" si="47"/>
        <v>0</v>
      </c>
      <c r="AA232" s="1413">
        <f t="shared" ca="1" si="47"/>
        <v>0</v>
      </c>
      <c r="AB232" s="1413">
        <f t="shared" ca="1" si="47"/>
        <v>0</v>
      </c>
      <c r="AC232" s="1413">
        <f t="shared" ca="1" si="47"/>
        <v>0</v>
      </c>
      <c r="AD232" s="1413">
        <f t="shared" ca="1" si="47"/>
        <v>0</v>
      </c>
      <c r="AE232" s="1413">
        <f t="shared" ca="1" si="47"/>
        <v>0</v>
      </c>
      <c r="AF232" s="1413">
        <f t="shared" ca="1" si="47"/>
        <v>0</v>
      </c>
      <c r="AG232" s="1413">
        <f t="shared" ca="1" si="47"/>
        <v>0</v>
      </c>
      <c r="AH232" s="1413">
        <f t="shared" ca="1" si="47"/>
        <v>0</v>
      </c>
      <c r="AI232" s="1413">
        <f t="shared" ca="1" si="47"/>
        <v>0</v>
      </c>
      <c r="AJ232" s="1413">
        <f t="shared" ca="1" si="47"/>
        <v>0</v>
      </c>
      <c r="AK232" s="1413">
        <f t="shared" ca="1" si="47"/>
        <v>0</v>
      </c>
      <c r="AL232" s="1413">
        <f t="shared" ca="1" si="47"/>
        <v>0</v>
      </c>
      <c r="AM232" s="1413">
        <f t="shared" ca="1" si="47"/>
        <v>0</v>
      </c>
      <c r="AN232" s="1413"/>
      <c r="AO232" s="1413"/>
      <c r="AP232" s="1413"/>
      <c r="AQ232" s="1413"/>
      <c r="AR232" s="1413"/>
      <c r="AS232" s="1413"/>
      <c r="AT232" s="1413"/>
    </row>
    <row r="233" spans="3:61">
      <c r="C233" t="s">
        <v>201</v>
      </c>
      <c r="H233" s="1412">
        <f>IFERROR(VLOOKUP(C233,Assumptions_Dashboard!$C$38:$D$72,4,FALSE),)</f>
        <v>0</v>
      </c>
      <c r="I233" s="1281"/>
      <c r="J233" s="1413">
        <f t="shared" ca="1" si="46"/>
        <v>0</v>
      </c>
      <c r="K233" s="1413">
        <f t="shared" ca="1" si="46"/>
        <v>0</v>
      </c>
      <c r="L233" s="1413">
        <f t="shared" ca="1" si="46"/>
        <v>0</v>
      </c>
      <c r="M233" s="1413">
        <f t="shared" ca="1" si="46"/>
        <v>0</v>
      </c>
      <c r="N233" s="1413">
        <f t="shared" ca="1" si="46"/>
        <v>0</v>
      </c>
      <c r="O233" s="1413">
        <f t="shared" ca="1" si="46"/>
        <v>0</v>
      </c>
      <c r="P233" s="1413">
        <f t="shared" ca="1" si="46"/>
        <v>0</v>
      </c>
      <c r="Q233" s="1413">
        <f t="shared" ca="1" si="46"/>
        <v>0</v>
      </c>
      <c r="R233" s="1413">
        <f t="shared" ca="1" si="46"/>
        <v>0</v>
      </c>
      <c r="S233" s="1413">
        <f t="shared" ca="1" si="46"/>
        <v>0</v>
      </c>
      <c r="T233" s="1413">
        <f t="shared" ca="1" si="46"/>
        <v>0</v>
      </c>
      <c r="U233" s="1413">
        <f t="shared" ca="1" si="46"/>
        <v>0</v>
      </c>
      <c r="V233" s="1413">
        <f t="shared" ca="1" si="46"/>
        <v>0</v>
      </c>
      <c r="W233" s="1413">
        <f t="shared" ca="1" si="46"/>
        <v>0</v>
      </c>
      <c r="X233" s="1413">
        <f t="shared" ca="1" si="46"/>
        <v>0</v>
      </c>
      <c r="Y233" s="1413">
        <f t="shared" ca="1" si="46"/>
        <v>0</v>
      </c>
      <c r="Z233" s="1413">
        <f t="shared" ca="1" si="47"/>
        <v>0</v>
      </c>
      <c r="AA233" s="1413">
        <f t="shared" ca="1" si="47"/>
        <v>0</v>
      </c>
      <c r="AB233" s="1413">
        <f t="shared" ca="1" si="47"/>
        <v>0</v>
      </c>
      <c r="AC233" s="1413">
        <f t="shared" ca="1" si="47"/>
        <v>0</v>
      </c>
      <c r="AD233" s="1413">
        <f t="shared" ca="1" si="47"/>
        <v>0</v>
      </c>
      <c r="AE233" s="1413">
        <f t="shared" ca="1" si="47"/>
        <v>0</v>
      </c>
      <c r="AF233" s="1413">
        <f t="shared" ca="1" si="47"/>
        <v>0</v>
      </c>
      <c r="AG233" s="1413">
        <f t="shared" ca="1" si="47"/>
        <v>0</v>
      </c>
      <c r="AH233" s="1413">
        <f t="shared" ca="1" si="47"/>
        <v>0</v>
      </c>
      <c r="AI233" s="1413">
        <f t="shared" ca="1" si="47"/>
        <v>0</v>
      </c>
      <c r="AJ233" s="1413">
        <f t="shared" ca="1" si="47"/>
        <v>0</v>
      </c>
      <c r="AK233" s="1413">
        <f t="shared" ca="1" si="47"/>
        <v>0</v>
      </c>
      <c r="AL233" s="1413">
        <f t="shared" ca="1" si="47"/>
        <v>0</v>
      </c>
      <c r="AM233" s="1413">
        <f t="shared" ca="1" si="47"/>
        <v>0</v>
      </c>
      <c r="AN233" s="1413"/>
      <c r="AO233" s="1413"/>
      <c r="AP233" s="1413"/>
      <c r="AQ233" s="1413"/>
      <c r="AR233" s="1413"/>
      <c r="AS233" s="1413"/>
      <c r="AT233" s="1413"/>
    </row>
    <row r="234" spans="3:61">
      <c r="C234" t="s">
        <v>202</v>
      </c>
      <c r="H234" s="1412">
        <f>IFERROR(VLOOKUP(C234,Assumptions_Dashboard!$C$38:$D$72,4,FALSE),)</f>
        <v>0</v>
      </c>
      <c r="I234" s="1281"/>
      <c r="J234" s="1413">
        <f t="shared" ca="1" si="46"/>
        <v>0</v>
      </c>
      <c r="K234" s="1413">
        <f t="shared" ca="1" si="46"/>
        <v>0</v>
      </c>
      <c r="L234" s="1413">
        <f t="shared" ca="1" si="46"/>
        <v>0</v>
      </c>
      <c r="M234" s="1413">
        <f t="shared" ca="1" si="46"/>
        <v>0</v>
      </c>
      <c r="N234" s="1413">
        <f t="shared" ca="1" si="46"/>
        <v>0</v>
      </c>
      <c r="O234" s="1413">
        <f t="shared" ca="1" si="46"/>
        <v>0</v>
      </c>
      <c r="P234" s="1413">
        <f t="shared" ca="1" si="46"/>
        <v>0</v>
      </c>
      <c r="Q234" s="1413">
        <f t="shared" ca="1" si="46"/>
        <v>0</v>
      </c>
      <c r="R234" s="1413">
        <f t="shared" ca="1" si="46"/>
        <v>0</v>
      </c>
      <c r="S234" s="1413">
        <f t="shared" ca="1" si="46"/>
        <v>0</v>
      </c>
      <c r="T234" s="1413">
        <f t="shared" ca="1" si="46"/>
        <v>0</v>
      </c>
      <c r="U234" s="1413">
        <f t="shared" ca="1" si="46"/>
        <v>0</v>
      </c>
      <c r="V234" s="1413">
        <f t="shared" ca="1" si="46"/>
        <v>0</v>
      </c>
      <c r="W234" s="1413">
        <f t="shared" ca="1" si="46"/>
        <v>0</v>
      </c>
      <c r="X234" s="1413">
        <f t="shared" ca="1" si="46"/>
        <v>0</v>
      </c>
      <c r="Y234" s="1413">
        <f t="shared" ca="1" si="46"/>
        <v>0</v>
      </c>
      <c r="Z234" s="1413">
        <f t="shared" ca="1" si="47"/>
        <v>0</v>
      </c>
      <c r="AA234" s="1413">
        <f t="shared" ca="1" si="47"/>
        <v>0</v>
      </c>
      <c r="AB234" s="1413">
        <f t="shared" ca="1" si="47"/>
        <v>0</v>
      </c>
      <c r="AC234" s="1413">
        <f t="shared" ca="1" si="47"/>
        <v>0</v>
      </c>
      <c r="AD234" s="1413">
        <f t="shared" ca="1" si="47"/>
        <v>0</v>
      </c>
      <c r="AE234" s="1413">
        <f t="shared" ca="1" si="47"/>
        <v>0</v>
      </c>
      <c r="AF234" s="1413">
        <f t="shared" ca="1" si="47"/>
        <v>0</v>
      </c>
      <c r="AG234" s="1413">
        <f t="shared" ca="1" si="47"/>
        <v>0</v>
      </c>
      <c r="AH234" s="1413">
        <f t="shared" ca="1" si="47"/>
        <v>0</v>
      </c>
      <c r="AI234" s="1413">
        <f t="shared" ca="1" si="47"/>
        <v>0</v>
      </c>
      <c r="AJ234" s="1413">
        <f t="shared" ca="1" si="47"/>
        <v>0</v>
      </c>
      <c r="AK234" s="1413">
        <f t="shared" ca="1" si="47"/>
        <v>0</v>
      </c>
      <c r="AL234" s="1413">
        <f t="shared" ca="1" si="47"/>
        <v>0</v>
      </c>
      <c r="AM234" s="1413">
        <f t="shared" ca="1" si="47"/>
        <v>0</v>
      </c>
      <c r="AN234" s="1413"/>
      <c r="AO234" s="1413"/>
      <c r="AP234" s="1413"/>
      <c r="AQ234" s="1413"/>
      <c r="AR234" s="1413"/>
      <c r="AS234" s="1413"/>
      <c r="AT234" s="1413"/>
    </row>
    <row r="235" spans="3:61">
      <c r="C235" t="s">
        <v>203</v>
      </c>
      <c r="H235" s="1412">
        <f>IFERROR(VLOOKUP(C235,Assumptions_Dashboard!$C$38:$D$72,4,FALSE),)</f>
        <v>0</v>
      </c>
      <c r="I235" s="1281"/>
      <c r="J235" s="1413">
        <f t="shared" ca="1" si="46"/>
        <v>0</v>
      </c>
      <c r="K235" s="1413">
        <f t="shared" ca="1" si="46"/>
        <v>0</v>
      </c>
      <c r="L235" s="1413">
        <f t="shared" ca="1" si="46"/>
        <v>0</v>
      </c>
      <c r="M235" s="1413">
        <f t="shared" ca="1" si="46"/>
        <v>0</v>
      </c>
      <c r="N235" s="1413">
        <f t="shared" ca="1" si="46"/>
        <v>0</v>
      </c>
      <c r="O235" s="1413">
        <f t="shared" ca="1" si="46"/>
        <v>0</v>
      </c>
      <c r="P235" s="1413">
        <f t="shared" ca="1" si="46"/>
        <v>0</v>
      </c>
      <c r="Q235" s="1413">
        <f t="shared" ca="1" si="46"/>
        <v>0</v>
      </c>
      <c r="R235" s="1413">
        <f t="shared" ca="1" si="46"/>
        <v>0</v>
      </c>
      <c r="S235" s="1413">
        <f t="shared" ca="1" si="46"/>
        <v>0</v>
      </c>
      <c r="T235" s="1413">
        <f t="shared" ca="1" si="46"/>
        <v>0</v>
      </c>
      <c r="U235" s="1413">
        <f t="shared" ca="1" si="46"/>
        <v>0</v>
      </c>
      <c r="V235" s="1413">
        <f t="shared" ca="1" si="46"/>
        <v>0</v>
      </c>
      <c r="W235" s="1413">
        <f t="shared" ca="1" si="46"/>
        <v>0</v>
      </c>
      <c r="X235" s="1413">
        <f t="shared" ca="1" si="46"/>
        <v>0</v>
      </c>
      <c r="Y235" s="1413">
        <f t="shared" ca="1" si="46"/>
        <v>0</v>
      </c>
      <c r="Z235" s="1413">
        <f t="shared" ca="1" si="47"/>
        <v>0</v>
      </c>
      <c r="AA235" s="1413">
        <f t="shared" ca="1" si="47"/>
        <v>0</v>
      </c>
      <c r="AB235" s="1413">
        <f t="shared" ca="1" si="47"/>
        <v>0</v>
      </c>
      <c r="AC235" s="1413">
        <f t="shared" ca="1" si="47"/>
        <v>0</v>
      </c>
      <c r="AD235" s="1413">
        <f t="shared" ca="1" si="47"/>
        <v>0</v>
      </c>
      <c r="AE235" s="1413">
        <f t="shared" ca="1" si="47"/>
        <v>0</v>
      </c>
      <c r="AF235" s="1413">
        <f t="shared" ca="1" si="47"/>
        <v>0</v>
      </c>
      <c r="AG235" s="1413">
        <f t="shared" ca="1" si="47"/>
        <v>0</v>
      </c>
      <c r="AH235" s="1413">
        <f t="shared" ca="1" si="47"/>
        <v>0</v>
      </c>
      <c r="AI235" s="1413">
        <f t="shared" ca="1" si="47"/>
        <v>0</v>
      </c>
      <c r="AJ235" s="1413">
        <f t="shared" ca="1" si="47"/>
        <v>0</v>
      </c>
      <c r="AK235" s="1413">
        <f t="shared" ca="1" si="47"/>
        <v>0</v>
      </c>
      <c r="AL235" s="1413">
        <f t="shared" ca="1" si="47"/>
        <v>0</v>
      </c>
      <c r="AM235" s="1413">
        <f t="shared" ca="1" si="47"/>
        <v>0</v>
      </c>
      <c r="AN235" s="1413"/>
      <c r="AO235" s="1413"/>
      <c r="AP235" s="1413"/>
      <c r="AQ235" s="1413"/>
      <c r="AR235" s="1413"/>
      <c r="AS235" s="1413"/>
      <c r="AT235" s="1413"/>
    </row>
    <row r="236" spans="3:61">
      <c r="C236" t="s">
        <v>204</v>
      </c>
      <c r="H236" s="1412">
        <f>IFERROR(VLOOKUP(C236,Assumptions_Dashboard!$C$38:$D$72,4,FALSE),)</f>
        <v>0</v>
      </c>
      <c r="I236" s="1281"/>
      <c r="J236" s="1413">
        <f t="shared" ca="1" si="46"/>
        <v>0</v>
      </c>
      <c r="K236" s="1413">
        <f t="shared" ca="1" si="46"/>
        <v>0</v>
      </c>
      <c r="L236" s="1413">
        <f t="shared" ca="1" si="46"/>
        <v>0</v>
      </c>
      <c r="M236" s="1413">
        <f t="shared" ca="1" si="46"/>
        <v>0</v>
      </c>
      <c r="N236" s="1413">
        <f t="shared" ca="1" si="46"/>
        <v>0</v>
      </c>
      <c r="O236" s="1413">
        <f t="shared" ca="1" si="46"/>
        <v>0</v>
      </c>
      <c r="P236" s="1413">
        <f t="shared" ca="1" si="46"/>
        <v>0</v>
      </c>
      <c r="Q236" s="1413">
        <f t="shared" ca="1" si="46"/>
        <v>0</v>
      </c>
      <c r="R236" s="1413">
        <f t="shared" ca="1" si="46"/>
        <v>0</v>
      </c>
      <c r="S236" s="1413">
        <f t="shared" ca="1" si="46"/>
        <v>0</v>
      </c>
      <c r="T236" s="1413">
        <f t="shared" ca="1" si="46"/>
        <v>0</v>
      </c>
      <c r="U236" s="1413">
        <f t="shared" ca="1" si="46"/>
        <v>0</v>
      </c>
      <c r="V236" s="1413">
        <f t="shared" ca="1" si="46"/>
        <v>0</v>
      </c>
      <c r="W236" s="1413">
        <f t="shared" ca="1" si="46"/>
        <v>0</v>
      </c>
      <c r="X236" s="1413">
        <f t="shared" ca="1" si="46"/>
        <v>0</v>
      </c>
      <c r="Y236" s="1413">
        <f t="shared" ca="1" si="46"/>
        <v>0</v>
      </c>
      <c r="Z236" s="1413">
        <f t="shared" ca="1" si="47"/>
        <v>0</v>
      </c>
      <c r="AA236" s="1413">
        <f t="shared" ca="1" si="47"/>
        <v>0</v>
      </c>
      <c r="AB236" s="1413">
        <f t="shared" ca="1" si="47"/>
        <v>0</v>
      </c>
      <c r="AC236" s="1413">
        <f t="shared" ca="1" si="47"/>
        <v>0</v>
      </c>
      <c r="AD236" s="1413">
        <f t="shared" ca="1" si="47"/>
        <v>0</v>
      </c>
      <c r="AE236" s="1413">
        <f t="shared" ca="1" si="47"/>
        <v>0</v>
      </c>
      <c r="AF236" s="1413">
        <f t="shared" ca="1" si="47"/>
        <v>0</v>
      </c>
      <c r="AG236" s="1413">
        <f t="shared" ca="1" si="47"/>
        <v>0</v>
      </c>
      <c r="AH236" s="1413">
        <f t="shared" ca="1" si="47"/>
        <v>0</v>
      </c>
      <c r="AI236" s="1413">
        <f t="shared" ca="1" si="47"/>
        <v>0</v>
      </c>
      <c r="AJ236" s="1413">
        <f t="shared" ca="1" si="47"/>
        <v>0</v>
      </c>
      <c r="AK236" s="1413">
        <f t="shared" ca="1" si="47"/>
        <v>0</v>
      </c>
      <c r="AL236" s="1413">
        <f t="shared" ca="1" si="47"/>
        <v>0</v>
      </c>
      <c r="AM236" s="1413">
        <f t="shared" ca="1" si="47"/>
        <v>0</v>
      </c>
      <c r="AN236" s="1413"/>
      <c r="AO236" s="1413"/>
      <c r="AP236" s="1413"/>
      <c r="AQ236" s="1413"/>
      <c r="AR236" s="1413"/>
      <c r="AS236" s="1413"/>
      <c r="AT236" s="1413"/>
    </row>
    <row r="237" spans="3:61">
      <c r="C237" t="s">
        <v>205</v>
      </c>
      <c r="H237" s="1412">
        <f>IFERROR(VLOOKUP(C237,Assumptions_Dashboard!$C$38:$D$72,4,FALSE),)</f>
        <v>0</v>
      </c>
      <c r="I237" s="1281"/>
      <c r="J237" s="1413">
        <f t="shared" ca="1" si="46"/>
        <v>0</v>
      </c>
      <c r="K237" s="1413">
        <f t="shared" ca="1" si="46"/>
        <v>0</v>
      </c>
      <c r="L237" s="1413">
        <f t="shared" ca="1" si="46"/>
        <v>0</v>
      </c>
      <c r="M237" s="1413">
        <f t="shared" ca="1" si="46"/>
        <v>0</v>
      </c>
      <c r="N237" s="1413">
        <f t="shared" ca="1" si="46"/>
        <v>0</v>
      </c>
      <c r="O237" s="1413">
        <f t="shared" ca="1" si="46"/>
        <v>0</v>
      </c>
      <c r="P237" s="1413">
        <f t="shared" ca="1" si="46"/>
        <v>0</v>
      </c>
      <c r="Q237" s="1413">
        <f t="shared" ca="1" si="46"/>
        <v>0</v>
      </c>
      <c r="R237" s="1413">
        <f t="shared" ca="1" si="46"/>
        <v>0</v>
      </c>
      <c r="S237" s="1413">
        <f t="shared" ca="1" si="46"/>
        <v>0</v>
      </c>
      <c r="T237" s="1413">
        <f t="shared" ca="1" si="46"/>
        <v>0</v>
      </c>
      <c r="U237" s="1413">
        <f t="shared" ca="1" si="46"/>
        <v>0</v>
      </c>
      <c r="V237" s="1413">
        <f t="shared" ca="1" si="46"/>
        <v>0</v>
      </c>
      <c r="W237" s="1413">
        <f t="shared" ca="1" si="46"/>
        <v>0</v>
      </c>
      <c r="X237" s="1413">
        <f t="shared" ca="1" si="46"/>
        <v>0</v>
      </c>
      <c r="Y237" s="1413">
        <f t="shared" ca="1" si="46"/>
        <v>0</v>
      </c>
      <c r="Z237" s="1413">
        <f t="shared" ca="1" si="47"/>
        <v>0</v>
      </c>
      <c r="AA237" s="1413">
        <f t="shared" ca="1" si="47"/>
        <v>0</v>
      </c>
      <c r="AB237" s="1413">
        <f t="shared" ca="1" si="47"/>
        <v>0</v>
      </c>
      <c r="AC237" s="1413">
        <f t="shared" ca="1" si="47"/>
        <v>0</v>
      </c>
      <c r="AD237" s="1413">
        <f t="shared" ca="1" si="47"/>
        <v>0</v>
      </c>
      <c r="AE237" s="1413">
        <f t="shared" ca="1" si="47"/>
        <v>0</v>
      </c>
      <c r="AF237" s="1413">
        <f t="shared" ca="1" si="47"/>
        <v>0</v>
      </c>
      <c r="AG237" s="1413">
        <f t="shared" ca="1" si="47"/>
        <v>0</v>
      </c>
      <c r="AH237" s="1413">
        <f t="shared" ca="1" si="47"/>
        <v>0</v>
      </c>
      <c r="AI237" s="1413">
        <f t="shared" ca="1" si="47"/>
        <v>0</v>
      </c>
      <c r="AJ237" s="1413">
        <f t="shared" ca="1" si="47"/>
        <v>0</v>
      </c>
      <c r="AK237" s="1413">
        <f t="shared" ca="1" si="47"/>
        <v>0</v>
      </c>
      <c r="AL237" s="1413">
        <f t="shared" ca="1" si="47"/>
        <v>0</v>
      </c>
      <c r="AM237" s="1413">
        <f t="shared" ca="1" si="47"/>
        <v>0</v>
      </c>
      <c r="AN237" s="1413"/>
      <c r="AO237" s="1413"/>
      <c r="AP237" s="1413"/>
      <c r="AQ237" s="1413"/>
      <c r="AR237" s="1413"/>
      <c r="AS237" s="1413"/>
      <c r="AT237" s="1413"/>
    </row>
    <row r="238" spans="3:61">
      <c r="C238" t="s">
        <v>206</v>
      </c>
      <c r="H238" s="1412">
        <f>IFERROR(VLOOKUP(C238,Assumptions_Dashboard!$C$38:$D$72,4,FALSE),)</f>
        <v>0</v>
      </c>
      <c r="I238" s="1281"/>
      <c r="J238" s="1413">
        <f t="shared" ca="1" si="46"/>
        <v>0</v>
      </c>
      <c r="K238" s="1413">
        <f t="shared" ca="1" si="46"/>
        <v>0</v>
      </c>
      <c r="L238" s="1413">
        <f t="shared" ca="1" si="46"/>
        <v>0</v>
      </c>
      <c r="M238" s="1413">
        <f t="shared" ca="1" si="46"/>
        <v>0</v>
      </c>
      <c r="N238" s="1413">
        <f t="shared" ca="1" si="46"/>
        <v>0</v>
      </c>
      <c r="O238" s="1413">
        <f t="shared" ca="1" si="46"/>
        <v>0</v>
      </c>
      <c r="P238" s="1413">
        <f t="shared" ca="1" si="46"/>
        <v>0</v>
      </c>
      <c r="Q238" s="1413">
        <f t="shared" ca="1" si="46"/>
        <v>0</v>
      </c>
      <c r="R238" s="1413">
        <f t="shared" ca="1" si="46"/>
        <v>0</v>
      </c>
      <c r="S238" s="1413">
        <f t="shared" ca="1" si="46"/>
        <v>0</v>
      </c>
      <c r="T238" s="1413">
        <f t="shared" ca="1" si="46"/>
        <v>0</v>
      </c>
      <c r="U238" s="1413">
        <f t="shared" ca="1" si="46"/>
        <v>0</v>
      </c>
      <c r="V238" s="1413">
        <f t="shared" ca="1" si="46"/>
        <v>0</v>
      </c>
      <c r="W238" s="1413">
        <f t="shared" ca="1" si="46"/>
        <v>0</v>
      </c>
      <c r="X238" s="1413">
        <f t="shared" ca="1" si="46"/>
        <v>0</v>
      </c>
      <c r="Y238" s="1413">
        <f t="shared" ca="1" si="46"/>
        <v>0</v>
      </c>
      <c r="Z238" s="1413">
        <f t="shared" ca="1" si="47"/>
        <v>0</v>
      </c>
      <c r="AA238" s="1413">
        <f t="shared" ca="1" si="47"/>
        <v>0</v>
      </c>
      <c r="AB238" s="1413">
        <f t="shared" ca="1" si="47"/>
        <v>0</v>
      </c>
      <c r="AC238" s="1413">
        <f t="shared" ca="1" si="47"/>
        <v>0</v>
      </c>
      <c r="AD238" s="1413">
        <f t="shared" ca="1" si="47"/>
        <v>0</v>
      </c>
      <c r="AE238" s="1413">
        <f t="shared" ca="1" si="47"/>
        <v>0</v>
      </c>
      <c r="AF238" s="1413">
        <f t="shared" ca="1" si="47"/>
        <v>0</v>
      </c>
      <c r="AG238" s="1413">
        <f t="shared" ca="1" si="47"/>
        <v>0</v>
      </c>
      <c r="AH238" s="1413">
        <f t="shared" ca="1" si="47"/>
        <v>0</v>
      </c>
      <c r="AI238" s="1413">
        <f t="shared" ca="1" si="47"/>
        <v>0</v>
      </c>
      <c r="AJ238" s="1413">
        <f t="shared" ca="1" si="47"/>
        <v>0</v>
      </c>
      <c r="AK238" s="1413">
        <f t="shared" ca="1" si="47"/>
        <v>0</v>
      </c>
      <c r="AL238" s="1413">
        <f t="shared" ca="1" si="47"/>
        <v>0</v>
      </c>
      <c r="AM238" s="1413">
        <f t="shared" ca="1" si="47"/>
        <v>0</v>
      </c>
      <c r="AN238" s="1413"/>
      <c r="AO238" s="1413"/>
      <c r="AP238" s="1413"/>
      <c r="AQ238" s="1413"/>
      <c r="AR238" s="1413"/>
      <c r="AS238" s="1413"/>
      <c r="AT238" s="1413"/>
    </row>
    <row r="239" spans="3:61">
      <c r="C239" t="s">
        <v>207</v>
      </c>
      <c r="H239" s="1412">
        <f>IFERROR(VLOOKUP(C239,Assumptions_Dashboard!$C$38:$D$72,4,FALSE),)</f>
        <v>0</v>
      </c>
      <c r="I239" s="1281"/>
      <c r="J239" s="1413">
        <f t="shared" ca="1" si="46"/>
        <v>0</v>
      </c>
      <c r="K239" s="1413">
        <f t="shared" ca="1" si="46"/>
        <v>0</v>
      </c>
      <c r="L239" s="1413">
        <f t="shared" ca="1" si="46"/>
        <v>0</v>
      </c>
      <c r="M239" s="1413">
        <f t="shared" ca="1" si="46"/>
        <v>0</v>
      </c>
      <c r="N239" s="1413">
        <f t="shared" ca="1" si="46"/>
        <v>0</v>
      </c>
      <c r="O239" s="1413">
        <f t="shared" ca="1" si="46"/>
        <v>0</v>
      </c>
      <c r="P239" s="1413">
        <f t="shared" ca="1" si="46"/>
        <v>0</v>
      </c>
      <c r="Q239" s="1413">
        <f t="shared" ca="1" si="46"/>
        <v>0</v>
      </c>
      <c r="R239" s="1413">
        <f t="shared" ca="1" si="46"/>
        <v>0</v>
      </c>
      <c r="S239" s="1413">
        <f t="shared" ca="1" si="46"/>
        <v>0</v>
      </c>
      <c r="T239" s="1413">
        <f t="shared" ca="1" si="46"/>
        <v>0</v>
      </c>
      <c r="U239" s="1413">
        <f t="shared" ca="1" si="46"/>
        <v>0</v>
      </c>
      <c r="V239" s="1413">
        <f t="shared" ca="1" si="46"/>
        <v>0</v>
      </c>
      <c r="W239" s="1413">
        <f t="shared" ca="1" si="46"/>
        <v>0</v>
      </c>
      <c r="X239" s="1413">
        <f t="shared" ca="1" si="46"/>
        <v>0</v>
      </c>
      <c r="Y239" s="1413">
        <f t="shared" ca="1" si="46"/>
        <v>0</v>
      </c>
      <c r="Z239" s="1413">
        <f t="shared" ca="1" si="47"/>
        <v>0</v>
      </c>
      <c r="AA239" s="1413">
        <f t="shared" ca="1" si="47"/>
        <v>0</v>
      </c>
      <c r="AB239" s="1413">
        <f t="shared" ca="1" si="47"/>
        <v>0</v>
      </c>
      <c r="AC239" s="1413">
        <f t="shared" ca="1" si="47"/>
        <v>0</v>
      </c>
      <c r="AD239" s="1413">
        <f t="shared" ca="1" si="47"/>
        <v>0</v>
      </c>
      <c r="AE239" s="1413">
        <f t="shared" ca="1" si="47"/>
        <v>0</v>
      </c>
      <c r="AF239" s="1413">
        <f t="shared" ca="1" si="47"/>
        <v>0</v>
      </c>
      <c r="AG239" s="1413">
        <f t="shared" ca="1" si="47"/>
        <v>0</v>
      </c>
      <c r="AH239" s="1413">
        <f t="shared" ca="1" si="47"/>
        <v>0</v>
      </c>
      <c r="AI239" s="1413">
        <f t="shared" ca="1" si="47"/>
        <v>0</v>
      </c>
      <c r="AJ239" s="1413">
        <f t="shared" ca="1" si="47"/>
        <v>0</v>
      </c>
      <c r="AK239" s="1413">
        <f t="shared" ca="1" si="47"/>
        <v>0</v>
      </c>
      <c r="AL239" s="1413">
        <f t="shared" ca="1" si="47"/>
        <v>0</v>
      </c>
      <c r="AM239" s="1413">
        <f t="shared" ca="1" si="47"/>
        <v>0</v>
      </c>
      <c r="AN239" s="1413"/>
      <c r="AO239" s="1413"/>
      <c r="AP239" s="1413"/>
      <c r="AQ239" s="1413"/>
      <c r="AR239" s="1413"/>
      <c r="AS239" s="1413"/>
      <c r="AT239" s="1413"/>
    </row>
    <row r="240" spans="3:61">
      <c r="C240" t="s">
        <v>210</v>
      </c>
      <c r="H240" s="1412">
        <f>IFERROR(VLOOKUP(C240,Assumptions_Dashboard!$C$38:$D$72,4,FALSE),)</f>
        <v>0</v>
      </c>
      <c r="I240" s="1281"/>
      <c r="J240" s="1413">
        <f t="shared" ca="1" si="46"/>
        <v>0</v>
      </c>
      <c r="K240" s="1413">
        <f t="shared" ca="1" si="46"/>
        <v>0</v>
      </c>
      <c r="L240" s="1413">
        <f t="shared" ca="1" si="46"/>
        <v>0</v>
      </c>
      <c r="M240" s="1413">
        <f t="shared" ca="1" si="46"/>
        <v>0</v>
      </c>
      <c r="N240" s="1413">
        <f t="shared" ca="1" si="46"/>
        <v>0</v>
      </c>
      <c r="O240" s="1413">
        <f t="shared" ca="1" si="46"/>
        <v>0</v>
      </c>
      <c r="P240" s="1413">
        <f t="shared" ca="1" si="46"/>
        <v>0</v>
      </c>
      <c r="Q240" s="1413">
        <f t="shared" ca="1" si="46"/>
        <v>0</v>
      </c>
      <c r="R240" s="1413">
        <f t="shared" ca="1" si="46"/>
        <v>0</v>
      </c>
      <c r="S240" s="1413">
        <f t="shared" ca="1" si="46"/>
        <v>0</v>
      </c>
      <c r="T240" s="1413">
        <f t="shared" ca="1" si="46"/>
        <v>0</v>
      </c>
      <c r="U240" s="1413">
        <f t="shared" ca="1" si="46"/>
        <v>0</v>
      </c>
      <c r="V240" s="1413">
        <f t="shared" ca="1" si="46"/>
        <v>0</v>
      </c>
      <c r="W240" s="1413">
        <f t="shared" ca="1" si="46"/>
        <v>0</v>
      </c>
      <c r="X240" s="1413">
        <f t="shared" ca="1" si="46"/>
        <v>0</v>
      </c>
      <c r="Y240" s="1413">
        <f t="shared" ca="1" si="46"/>
        <v>0</v>
      </c>
      <c r="Z240" s="1413">
        <f t="shared" ca="1" si="47"/>
        <v>0</v>
      </c>
      <c r="AA240" s="1413">
        <f t="shared" ca="1" si="47"/>
        <v>0</v>
      </c>
      <c r="AB240" s="1413">
        <f t="shared" ca="1" si="47"/>
        <v>0</v>
      </c>
      <c r="AC240" s="1413">
        <f t="shared" ca="1" si="47"/>
        <v>0</v>
      </c>
      <c r="AD240" s="1413">
        <f t="shared" ca="1" si="47"/>
        <v>0</v>
      </c>
      <c r="AE240" s="1413">
        <f t="shared" ca="1" si="47"/>
        <v>0</v>
      </c>
      <c r="AF240" s="1413">
        <f t="shared" ca="1" si="47"/>
        <v>0</v>
      </c>
      <c r="AG240" s="1413">
        <f t="shared" ca="1" si="47"/>
        <v>0</v>
      </c>
      <c r="AH240" s="1413">
        <f t="shared" ca="1" si="47"/>
        <v>0</v>
      </c>
      <c r="AI240" s="1413">
        <f t="shared" ca="1" si="47"/>
        <v>0</v>
      </c>
      <c r="AJ240" s="1413">
        <f t="shared" ca="1" si="47"/>
        <v>0</v>
      </c>
      <c r="AK240" s="1413">
        <f t="shared" ca="1" si="47"/>
        <v>0</v>
      </c>
      <c r="AL240" s="1413">
        <f t="shared" ca="1" si="47"/>
        <v>0</v>
      </c>
      <c r="AM240" s="1413">
        <f t="shared" ca="1" si="47"/>
        <v>0</v>
      </c>
      <c r="AN240" s="1413"/>
      <c r="AO240" s="1413"/>
      <c r="AP240" s="1413"/>
      <c r="AQ240" s="1413"/>
      <c r="AR240" s="1413"/>
      <c r="AS240" s="1413"/>
      <c r="AT240" s="1413"/>
    </row>
    <row r="241" spans="3:39">
      <c r="C241" t="s">
        <v>211</v>
      </c>
      <c r="H241" s="1412">
        <f>IFERROR(VLOOKUP(C241,Assumptions_Dashboard!$C$38:$D$72,4,FALSE),)</f>
        <v>0</v>
      </c>
      <c r="I241" s="1281"/>
      <c r="J241" s="1413">
        <f t="shared" ca="1" si="46"/>
        <v>0</v>
      </c>
      <c r="K241" s="1413">
        <f t="shared" ca="1" si="46"/>
        <v>0</v>
      </c>
      <c r="L241" s="1413">
        <f t="shared" ca="1" si="46"/>
        <v>0</v>
      </c>
      <c r="M241" s="1413">
        <f t="shared" ca="1" si="46"/>
        <v>0</v>
      </c>
      <c r="N241" s="1413">
        <f t="shared" ca="1" si="46"/>
        <v>0</v>
      </c>
      <c r="O241" s="1413">
        <f t="shared" ca="1" si="46"/>
        <v>0</v>
      </c>
      <c r="P241" s="1413">
        <f t="shared" ca="1" si="46"/>
        <v>0</v>
      </c>
      <c r="Q241" s="1413">
        <f t="shared" ca="1" si="46"/>
        <v>0</v>
      </c>
      <c r="R241" s="1413">
        <f t="shared" ca="1" si="46"/>
        <v>0</v>
      </c>
      <c r="S241" s="1413">
        <f t="shared" ca="1" si="46"/>
        <v>0</v>
      </c>
      <c r="T241" s="1413">
        <f t="shared" ca="1" si="46"/>
        <v>0</v>
      </c>
      <c r="U241" s="1413">
        <f t="shared" ca="1" si="46"/>
        <v>0</v>
      </c>
      <c r="V241" s="1413">
        <f t="shared" ca="1" si="46"/>
        <v>0</v>
      </c>
      <c r="W241" s="1413">
        <f t="shared" ca="1" si="46"/>
        <v>0</v>
      </c>
      <c r="X241" s="1413">
        <f t="shared" ca="1" si="46"/>
        <v>0</v>
      </c>
      <c r="Y241" s="1413">
        <f t="shared" ca="1" si="46"/>
        <v>0</v>
      </c>
      <c r="Z241" s="1413">
        <f t="shared" ca="1" si="47"/>
        <v>0</v>
      </c>
      <c r="AA241" s="1413">
        <f t="shared" ca="1" si="47"/>
        <v>0</v>
      </c>
      <c r="AB241" s="1413">
        <f t="shared" ca="1" si="47"/>
        <v>0</v>
      </c>
      <c r="AC241" s="1413">
        <f t="shared" ca="1" si="47"/>
        <v>0</v>
      </c>
      <c r="AD241" s="1413">
        <f t="shared" ca="1" si="47"/>
        <v>0</v>
      </c>
      <c r="AE241" s="1413">
        <f t="shared" ca="1" si="47"/>
        <v>0</v>
      </c>
      <c r="AF241" s="1413">
        <f t="shared" ca="1" si="47"/>
        <v>0</v>
      </c>
      <c r="AG241" s="1413">
        <f t="shared" ca="1" si="47"/>
        <v>0</v>
      </c>
      <c r="AH241" s="1413">
        <f t="shared" ca="1" si="47"/>
        <v>0</v>
      </c>
      <c r="AI241" s="1413">
        <f t="shared" ca="1" si="47"/>
        <v>0</v>
      </c>
      <c r="AJ241" s="1413">
        <f t="shared" ca="1" si="47"/>
        <v>0</v>
      </c>
      <c r="AK241" s="1413">
        <f t="shared" ca="1" si="47"/>
        <v>0</v>
      </c>
      <c r="AL241" s="1413">
        <f t="shared" ca="1" si="47"/>
        <v>0</v>
      </c>
      <c r="AM241" s="1413">
        <f t="shared" ca="1" si="47"/>
        <v>0</v>
      </c>
    </row>
    <row r="242" spans="3:39">
      <c r="C242" t="s">
        <v>212</v>
      </c>
      <c r="H242" s="1412">
        <f>IFERROR(VLOOKUP(C242,Assumptions_Dashboard!$C$38:$D$72,4,FALSE),)</f>
        <v>0</v>
      </c>
      <c r="I242" s="1281"/>
      <c r="J242" s="1413">
        <f t="shared" ca="1" si="46"/>
        <v>0</v>
      </c>
      <c r="K242" s="1413">
        <f t="shared" ca="1" si="46"/>
        <v>0</v>
      </c>
      <c r="L242" s="1413">
        <f t="shared" ca="1" si="46"/>
        <v>0</v>
      </c>
      <c r="M242" s="1413">
        <f t="shared" ca="1" si="46"/>
        <v>0</v>
      </c>
      <c r="N242" s="1413">
        <f t="shared" ca="1" si="46"/>
        <v>0</v>
      </c>
      <c r="O242" s="1413">
        <f t="shared" ca="1" si="46"/>
        <v>0</v>
      </c>
      <c r="P242" s="1413">
        <f t="shared" ca="1" si="46"/>
        <v>0</v>
      </c>
      <c r="Q242" s="1413">
        <f t="shared" ca="1" si="46"/>
        <v>0</v>
      </c>
      <c r="R242" s="1413">
        <f t="shared" ca="1" si="46"/>
        <v>0</v>
      </c>
      <c r="S242" s="1413">
        <f t="shared" ca="1" si="46"/>
        <v>0</v>
      </c>
      <c r="T242" s="1413">
        <f t="shared" ca="1" si="46"/>
        <v>0</v>
      </c>
      <c r="U242" s="1413">
        <f t="shared" ca="1" si="46"/>
        <v>0</v>
      </c>
      <c r="V242" s="1413">
        <f t="shared" ca="1" si="46"/>
        <v>0</v>
      </c>
      <c r="W242" s="1413">
        <f t="shared" ca="1" si="46"/>
        <v>0</v>
      </c>
      <c r="X242" s="1413">
        <f t="shared" ca="1" si="46"/>
        <v>0</v>
      </c>
      <c r="Y242" s="1413">
        <f t="shared" ca="1" si="46"/>
        <v>0</v>
      </c>
      <c r="Z242" s="1413">
        <f t="shared" ca="1" si="47"/>
        <v>0</v>
      </c>
      <c r="AA242" s="1413">
        <f t="shared" ca="1" si="47"/>
        <v>0</v>
      </c>
      <c r="AB242" s="1413">
        <f t="shared" ca="1" si="47"/>
        <v>0</v>
      </c>
      <c r="AC242" s="1413">
        <f t="shared" ca="1" si="47"/>
        <v>0</v>
      </c>
      <c r="AD242" s="1413">
        <f t="shared" ca="1" si="47"/>
        <v>0</v>
      </c>
      <c r="AE242" s="1413">
        <f t="shared" ca="1" si="47"/>
        <v>0</v>
      </c>
      <c r="AF242" s="1413">
        <f t="shared" ca="1" si="47"/>
        <v>0</v>
      </c>
      <c r="AG242" s="1413">
        <f t="shared" ca="1" si="47"/>
        <v>0</v>
      </c>
      <c r="AH242" s="1413">
        <f t="shared" ca="1" si="47"/>
        <v>0</v>
      </c>
      <c r="AI242" s="1413">
        <f t="shared" ca="1" si="47"/>
        <v>0</v>
      </c>
      <c r="AJ242" s="1413">
        <f t="shared" ca="1" si="47"/>
        <v>0</v>
      </c>
      <c r="AK242" s="1413">
        <f t="shared" ca="1" si="47"/>
        <v>0</v>
      </c>
      <c r="AL242" s="1413">
        <f t="shared" ca="1" si="47"/>
        <v>0</v>
      </c>
      <c r="AM242" s="1413">
        <f t="shared" ca="1" si="47"/>
        <v>0</v>
      </c>
    </row>
    <row r="243" spans="3:39">
      <c r="C243" t="s">
        <v>213</v>
      </c>
      <c r="H243" s="1412">
        <f>IFERROR(VLOOKUP(C243,Assumptions_Dashboard!$C$38:$D$72,4,FALSE),)</f>
        <v>0</v>
      </c>
      <c r="I243" s="1281"/>
      <c r="J243" s="1413">
        <f t="shared" ca="1" si="46"/>
        <v>0</v>
      </c>
      <c r="K243" s="1413">
        <f t="shared" ca="1" si="46"/>
        <v>0</v>
      </c>
      <c r="L243" s="1413">
        <f t="shared" ca="1" si="46"/>
        <v>0</v>
      </c>
      <c r="M243" s="1413">
        <f t="shared" ca="1" si="46"/>
        <v>0</v>
      </c>
      <c r="N243" s="1413">
        <f t="shared" ca="1" si="46"/>
        <v>0</v>
      </c>
      <c r="O243" s="1413">
        <f t="shared" ca="1" si="46"/>
        <v>0</v>
      </c>
      <c r="P243" s="1413">
        <f t="shared" ca="1" si="46"/>
        <v>0</v>
      </c>
      <c r="Q243" s="1413">
        <f t="shared" ca="1" si="46"/>
        <v>0</v>
      </c>
      <c r="R243" s="1413">
        <f t="shared" ca="1" si="46"/>
        <v>0</v>
      </c>
      <c r="S243" s="1413">
        <f t="shared" ca="1" si="46"/>
        <v>0</v>
      </c>
      <c r="T243" s="1413">
        <f t="shared" ca="1" si="46"/>
        <v>0</v>
      </c>
      <c r="U243" s="1413">
        <f t="shared" ca="1" si="46"/>
        <v>0</v>
      </c>
      <c r="V243" s="1413">
        <f t="shared" ca="1" si="46"/>
        <v>0</v>
      </c>
      <c r="W243" s="1413">
        <f t="shared" ca="1" si="46"/>
        <v>0</v>
      </c>
      <c r="X243" s="1413">
        <f t="shared" ca="1" si="46"/>
        <v>0</v>
      </c>
      <c r="Y243" s="1413">
        <f t="shared" ca="1" si="46"/>
        <v>0</v>
      </c>
      <c r="Z243" s="1413">
        <f t="shared" ca="1" si="47"/>
        <v>0</v>
      </c>
      <c r="AA243" s="1413">
        <f t="shared" ca="1" si="47"/>
        <v>0</v>
      </c>
      <c r="AB243" s="1413">
        <f t="shared" ca="1" si="47"/>
        <v>0</v>
      </c>
      <c r="AC243" s="1413">
        <f t="shared" ca="1" si="47"/>
        <v>0</v>
      </c>
      <c r="AD243" s="1413">
        <f t="shared" ca="1" si="47"/>
        <v>0</v>
      </c>
      <c r="AE243" s="1413">
        <f t="shared" ca="1" si="47"/>
        <v>0</v>
      </c>
      <c r="AF243" s="1413">
        <f t="shared" ca="1" si="47"/>
        <v>0</v>
      </c>
      <c r="AG243" s="1413">
        <f t="shared" ca="1" si="47"/>
        <v>0</v>
      </c>
      <c r="AH243" s="1413">
        <f t="shared" ca="1" si="47"/>
        <v>0</v>
      </c>
      <c r="AI243" s="1413">
        <f t="shared" ca="1" si="47"/>
        <v>0</v>
      </c>
      <c r="AJ243" s="1413">
        <f t="shared" ca="1" si="47"/>
        <v>0</v>
      </c>
      <c r="AK243" s="1413">
        <f t="shared" ca="1" si="47"/>
        <v>0</v>
      </c>
      <c r="AL243" s="1413">
        <f t="shared" ca="1" si="47"/>
        <v>0</v>
      </c>
      <c r="AM243" s="1413">
        <f t="shared" ca="1" si="47"/>
        <v>0</v>
      </c>
    </row>
    <row r="244" spans="3:39">
      <c r="C244" t="s">
        <v>216</v>
      </c>
      <c r="H244" s="1412">
        <f>IFERROR(VLOOKUP(C244,Assumptions_Dashboard!$C$38:$D$72,4,FALSE),)</f>
        <v>0</v>
      </c>
      <c r="I244" s="1281"/>
      <c r="J244" s="1413">
        <f t="shared" ca="1" si="46"/>
        <v>0</v>
      </c>
      <c r="K244" s="1413">
        <f t="shared" ca="1" si="46"/>
        <v>0</v>
      </c>
      <c r="L244" s="1413">
        <f t="shared" ca="1" si="46"/>
        <v>0</v>
      </c>
      <c r="M244" s="1413">
        <f t="shared" ca="1" si="46"/>
        <v>0</v>
      </c>
      <c r="N244" s="1413">
        <f t="shared" ca="1" si="46"/>
        <v>0</v>
      </c>
      <c r="O244" s="1413">
        <f t="shared" ca="1" si="46"/>
        <v>0</v>
      </c>
      <c r="P244" s="1413">
        <f t="shared" ca="1" si="46"/>
        <v>0</v>
      </c>
      <c r="Q244" s="1413">
        <f t="shared" ca="1" si="46"/>
        <v>0</v>
      </c>
      <c r="R244" s="1413">
        <f t="shared" ca="1" si="46"/>
        <v>0</v>
      </c>
      <c r="S244" s="1413">
        <f t="shared" ca="1" si="46"/>
        <v>0</v>
      </c>
      <c r="T244" s="1413">
        <f t="shared" ca="1" si="46"/>
        <v>0</v>
      </c>
      <c r="U244" s="1413">
        <f t="shared" ca="1" si="46"/>
        <v>0</v>
      </c>
      <c r="V244" s="1413">
        <f t="shared" ca="1" si="46"/>
        <v>0</v>
      </c>
      <c r="W244" s="1413">
        <f t="shared" ca="1" si="46"/>
        <v>0</v>
      </c>
      <c r="X244" s="1413">
        <f t="shared" ca="1" si="46"/>
        <v>0</v>
      </c>
      <c r="Y244" s="1413">
        <f t="shared" ca="1" si="46"/>
        <v>0</v>
      </c>
      <c r="Z244" s="1413">
        <f t="shared" ca="1" si="47"/>
        <v>0</v>
      </c>
      <c r="AA244" s="1413">
        <f t="shared" ca="1" si="47"/>
        <v>0</v>
      </c>
      <c r="AB244" s="1413">
        <f t="shared" ca="1" si="47"/>
        <v>0</v>
      </c>
      <c r="AC244" s="1413">
        <f t="shared" ca="1" si="47"/>
        <v>0</v>
      </c>
      <c r="AD244" s="1413">
        <f t="shared" ca="1" si="47"/>
        <v>0</v>
      </c>
      <c r="AE244" s="1413">
        <f t="shared" ca="1" si="47"/>
        <v>0</v>
      </c>
      <c r="AF244" s="1413">
        <f t="shared" ca="1" si="47"/>
        <v>0</v>
      </c>
      <c r="AG244" s="1413">
        <f t="shared" ca="1" si="47"/>
        <v>0</v>
      </c>
      <c r="AH244" s="1413">
        <f t="shared" ca="1" si="47"/>
        <v>0</v>
      </c>
      <c r="AI244" s="1413">
        <f t="shared" ca="1" si="47"/>
        <v>0</v>
      </c>
      <c r="AJ244" s="1413">
        <f t="shared" ca="1" si="47"/>
        <v>0</v>
      </c>
      <c r="AK244" s="1413">
        <f t="shared" ca="1" si="47"/>
        <v>0</v>
      </c>
      <c r="AL244" s="1413">
        <f t="shared" ca="1" si="47"/>
        <v>0</v>
      </c>
      <c r="AM244" s="1413">
        <f t="shared" ca="1" si="47"/>
        <v>0</v>
      </c>
    </row>
    <row r="245" spans="3:39">
      <c r="C245" t="s">
        <v>218</v>
      </c>
      <c r="H245" s="1412">
        <f>IFERROR(VLOOKUP(C245,Assumptions_Dashboard!$C$38:$D$72,4,FALSE),)</f>
        <v>0</v>
      </c>
      <c r="I245" s="1281"/>
      <c r="J245" s="1413">
        <f t="shared" ca="1" si="46"/>
        <v>0</v>
      </c>
      <c r="K245" s="1413">
        <f t="shared" ca="1" si="46"/>
        <v>0</v>
      </c>
      <c r="L245" s="1413">
        <f t="shared" ca="1" si="46"/>
        <v>0</v>
      </c>
      <c r="M245" s="1413">
        <f t="shared" ca="1" si="46"/>
        <v>0</v>
      </c>
      <c r="N245" s="1413">
        <f t="shared" ca="1" si="46"/>
        <v>0</v>
      </c>
      <c r="O245" s="1413">
        <f t="shared" ca="1" si="46"/>
        <v>0</v>
      </c>
      <c r="P245" s="1413">
        <f t="shared" ca="1" si="46"/>
        <v>0</v>
      </c>
      <c r="Q245" s="1413">
        <f t="shared" ca="1" si="46"/>
        <v>0</v>
      </c>
      <c r="R245" s="1413">
        <f t="shared" ca="1" si="46"/>
        <v>0</v>
      </c>
      <c r="S245" s="1413">
        <f t="shared" ca="1" si="46"/>
        <v>0</v>
      </c>
      <c r="T245" s="1413">
        <f t="shared" ca="1" si="46"/>
        <v>0</v>
      </c>
      <c r="U245" s="1413">
        <f t="shared" ca="1" si="46"/>
        <v>0</v>
      </c>
      <c r="V245" s="1413">
        <f t="shared" ca="1" si="46"/>
        <v>0</v>
      </c>
      <c r="W245" s="1413">
        <f t="shared" ca="1" si="46"/>
        <v>0</v>
      </c>
      <c r="X245" s="1413">
        <f t="shared" ca="1" si="46"/>
        <v>0</v>
      </c>
      <c r="Y245" s="1413">
        <f t="shared" ref="T245:AI252" ca="1" si="48">SUMIF($F$10:$BI$226,$C245,Y$10:Y$226)</f>
        <v>0</v>
      </c>
      <c r="Z245" s="1413">
        <f t="shared" ca="1" si="48"/>
        <v>0</v>
      </c>
      <c r="AA245" s="1413">
        <f t="shared" ca="1" si="48"/>
        <v>0</v>
      </c>
      <c r="AB245" s="1413">
        <f t="shared" ca="1" si="48"/>
        <v>0</v>
      </c>
      <c r="AC245" s="1413">
        <f t="shared" ca="1" si="48"/>
        <v>0</v>
      </c>
      <c r="AD245" s="1413">
        <f t="shared" ca="1" si="47"/>
        <v>0</v>
      </c>
      <c r="AE245" s="1413">
        <f t="shared" ca="1" si="47"/>
        <v>0</v>
      </c>
      <c r="AF245" s="1413">
        <f t="shared" ca="1" si="47"/>
        <v>0</v>
      </c>
      <c r="AG245" s="1413">
        <f t="shared" ca="1" si="47"/>
        <v>0</v>
      </c>
      <c r="AH245" s="1413">
        <f t="shared" ca="1" si="47"/>
        <v>0</v>
      </c>
      <c r="AI245" s="1413">
        <f t="shared" ca="1" si="47"/>
        <v>0</v>
      </c>
      <c r="AJ245" s="1413">
        <f t="shared" ca="1" si="47"/>
        <v>0</v>
      </c>
      <c r="AK245" s="1413">
        <f t="shared" ca="1" si="47"/>
        <v>0</v>
      </c>
      <c r="AL245" s="1413">
        <f t="shared" ca="1" si="47"/>
        <v>0</v>
      </c>
      <c r="AM245" s="1413">
        <f t="shared" ca="1" si="47"/>
        <v>0</v>
      </c>
    </row>
    <row r="246" spans="3:39">
      <c r="C246" t="s">
        <v>220</v>
      </c>
      <c r="H246" s="1412">
        <f>IFERROR(VLOOKUP(C246,Assumptions_Dashboard!$C$38:$D$72,4,FALSE),)</f>
        <v>0</v>
      </c>
      <c r="I246" s="1281"/>
      <c r="J246" s="1413">
        <f t="shared" ref="J246:S252" ca="1" si="49">SUMIF($F$10:$BI$226,$C246,J$10:J$226)</f>
        <v>0</v>
      </c>
      <c r="K246" s="1413">
        <f t="shared" ca="1" si="49"/>
        <v>0</v>
      </c>
      <c r="L246" s="1413">
        <f t="shared" ca="1" si="49"/>
        <v>0</v>
      </c>
      <c r="M246" s="1413">
        <f t="shared" ca="1" si="49"/>
        <v>0</v>
      </c>
      <c r="N246" s="1413">
        <f t="shared" ca="1" si="49"/>
        <v>0</v>
      </c>
      <c r="O246" s="1413">
        <f t="shared" ca="1" si="49"/>
        <v>0</v>
      </c>
      <c r="P246" s="1413">
        <f t="shared" ca="1" si="49"/>
        <v>0</v>
      </c>
      <c r="Q246" s="1413">
        <f t="shared" ca="1" si="49"/>
        <v>0</v>
      </c>
      <c r="R246" s="1413">
        <f t="shared" ca="1" si="49"/>
        <v>0</v>
      </c>
      <c r="S246" s="1413">
        <f t="shared" ca="1" si="49"/>
        <v>0</v>
      </c>
      <c r="T246" s="1413">
        <f t="shared" ca="1" si="48"/>
        <v>0</v>
      </c>
      <c r="U246" s="1413">
        <f t="shared" ca="1" si="48"/>
        <v>0</v>
      </c>
      <c r="V246" s="1413">
        <f t="shared" ca="1" si="48"/>
        <v>0</v>
      </c>
      <c r="W246" s="1413">
        <f t="shared" ca="1" si="48"/>
        <v>0</v>
      </c>
      <c r="X246" s="1413">
        <f t="shared" ca="1" si="48"/>
        <v>0</v>
      </c>
      <c r="Y246" s="1413">
        <f t="shared" ca="1" si="48"/>
        <v>0</v>
      </c>
      <c r="Z246" s="1413">
        <f t="shared" ca="1" si="48"/>
        <v>0</v>
      </c>
      <c r="AA246" s="1413">
        <f t="shared" ca="1" si="48"/>
        <v>0</v>
      </c>
      <c r="AB246" s="1413">
        <f t="shared" ca="1" si="48"/>
        <v>0</v>
      </c>
      <c r="AC246" s="1413">
        <f t="shared" ca="1" si="48"/>
        <v>0</v>
      </c>
      <c r="AD246" s="1413">
        <f t="shared" ca="1" si="48"/>
        <v>0</v>
      </c>
      <c r="AE246" s="1413">
        <f t="shared" ca="1" si="48"/>
        <v>0</v>
      </c>
      <c r="AF246" s="1413">
        <f t="shared" ca="1" si="48"/>
        <v>0</v>
      </c>
      <c r="AG246" s="1413">
        <f t="shared" ca="1" si="48"/>
        <v>0</v>
      </c>
      <c r="AH246" s="1413">
        <f t="shared" ca="1" si="48"/>
        <v>0</v>
      </c>
      <c r="AI246" s="1413">
        <f t="shared" ca="1" si="48"/>
        <v>0</v>
      </c>
      <c r="AJ246" s="1413">
        <f t="shared" ref="AJ246:AM252" ca="1" si="50">SUMIF($F$10:$BI$226,$C246,AJ$10:AJ$226)</f>
        <v>0</v>
      </c>
      <c r="AK246" s="1413">
        <f t="shared" ca="1" si="50"/>
        <v>0</v>
      </c>
      <c r="AL246" s="1413">
        <f t="shared" ca="1" si="50"/>
        <v>0</v>
      </c>
      <c r="AM246" s="1413">
        <f t="shared" ca="1" si="50"/>
        <v>0</v>
      </c>
    </row>
    <row r="247" spans="3:39">
      <c r="C247" t="s">
        <v>223</v>
      </c>
      <c r="H247" s="1412">
        <f>IFERROR(VLOOKUP(C247,Assumptions_Dashboard!$C$38:$D$72,4,FALSE),)</f>
        <v>0</v>
      </c>
      <c r="I247" s="1281"/>
      <c r="J247" s="1413">
        <f t="shared" ca="1" si="49"/>
        <v>0</v>
      </c>
      <c r="K247" s="1413">
        <f t="shared" ca="1" si="49"/>
        <v>0</v>
      </c>
      <c r="L247" s="1413">
        <f t="shared" ca="1" si="49"/>
        <v>0</v>
      </c>
      <c r="M247" s="1413">
        <f t="shared" ca="1" si="49"/>
        <v>0</v>
      </c>
      <c r="N247" s="1413">
        <f t="shared" ca="1" si="49"/>
        <v>0</v>
      </c>
      <c r="O247" s="1413">
        <f t="shared" ca="1" si="49"/>
        <v>0</v>
      </c>
      <c r="P247" s="1413">
        <f t="shared" ca="1" si="49"/>
        <v>0</v>
      </c>
      <c r="Q247" s="1413">
        <f t="shared" ca="1" si="49"/>
        <v>0</v>
      </c>
      <c r="R247" s="1413">
        <f t="shared" ca="1" si="49"/>
        <v>0</v>
      </c>
      <c r="S247" s="1413">
        <f t="shared" ca="1" si="49"/>
        <v>0</v>
      </c>
      <c r="T247" s="1413">
        <f t="shared" ca="1" si="48"/>
        <v>0</v>
      </c>
      <c r="U247" s="1413">
        <f t="shared" ca="1" si="48"/>
        <v>0</v>
      </c>
      <c r="V247" s="1413">
        <f t="shared" ca="1" si="48"/>
        <v>0</v>
      </c>
      <c r="W247" s="1413">
        <f t="shared" ca="1" si="48"/>
        <v>0</v>
      </c>
      <c r="X247" s="1413">
        <f t="shared" ca="1" si="48"/>
        <v>0</v>
      </c>
      <c r="Y247" s="1413">
        <f t="shared" ca="1" si="48"/>
        <v>0</v>
      </c>
      <c r="Z247" s="1413">
        <f t="shared" ca="1" si="48"/>
        <v>0</v>
      </c>
      <c r="AA247" s="1413">
        <f t="shared" ca="1" si="48"/>
        <v>0</v>
      </c>
      <c r="AB247" s="1413">
        <f t="shared" ca="1" si="48"/>
        <v>0</v>
      </c>
      <c r="AC247" s="1413">
        <f t="shared" ca="1" si="48"/>
        <v>0</v>
      </c>
      <c r="AD247" s="1413">
        <f t="shared" ca="1" si="48"/>
        <v>0</v>
      </c>
      <c r="AE247" s="1413">
        <f t="shared" ca="1" si="48"/>
        <v>0</v>
      </c>
      <c r="AF247" s="1413">
        <f t="shared" ca="1" si="48"/>
        <v>0</v>
      </c>
      <c r="AG247" s="1413">
        <f t="shared" ca="1" si="48"/>
        <v>0</v>
      </c>
      <c r="AH247" s="1413">
        <f t="shared" ca="1" si="48"/>
        <v>0</v>
      </c>
      <c r="AI247" s="1413">
        <f t="shared" ca="1" si="48"/>
        <v>0</v>
      </c>
      <c r="AJ247" s="1413">
        <f t="shared" ca="1" si="50"/>
        <v>0</v>
      </c>
      <c r="AK247" s="1413">
        <f t="shared" ca="1" si="50"/>
        <v>0</v>
      </c>
      <c r="AL247" s="1413">
        <f t="shared" ca="1" si="50"/>
        <v>0</v>
      </c>
      <c r="AM247" s="1413">
        <f t="shared" ca="1" si="50"/>
        <v>0</v>
      </c>
    </row>
    <row r="248" spans="3:39">
      <c r="C248" t="s">
        <v>226</v>
      </c>
      <c r="H248" s="1412">
        <f>IFERROR(VLOOKUP(C248,Assumptions_Dashboard!$C$38:$D$72,4,FALSE),)</f>
        <v>0</v>
      </c>
      <c r="I248" s="1281"/>
      <c r="J248" s="1413">
        <f t="shared" ca="1" si="49"/>
        <v>0</v>
      </c>
      <c r="K248" s="1413">
        <f t="shared" ca="1" si="49"/>
        <v>0</v>
      </c>
      <c r="L248" s="1413">
        <f t="shared" ca="1" si="49"/>
        <v>0</v>
      </c>
      <c r="M248" s="1413">
        <f t="shared" ca="1" si="49"/>
        <v>0</v>
      </c>
      <c r="N248" s="1413">
        <f t="shared" ca="1" si="49"/>
        <v>0</v>
      </c>
      <c r="O248" s="1413">
        <f t="shared" ca="1" si="49"/>
        <v>0</v>
      </c>
      <c r="P248" s="1413">
        <f t="shared" ca="1" si="49"/>
        <v>0</v>
      </c>
      <c r="Q248" s="1413">
        <f t="shared" ca="1" si="49"/>
        <v>0</v>
      </c>
      <c r="R248" s="1413">
        <f t="shared" ca="1" si="49"/>
        <v>0</v>
      </c>
      <c r="S248" s="1413">
        <f t="shared" ca="1" si="49"/>
        <v>0</v>
      </c>
      <c r="T248" s="1413">
        <f t="shared" ca="1" si="48"/>
        <v>0</v>
      </c>
      <c r="U248" s="1413">
        <f t="shared" ca="1" si="48"/>
        <v>0</v>
      </c>
      <c r="V248" s="1413">
        <f t="shared" ca="1" si="48"/>
        <v>0</v>
      </c>
      <c r="W248" s="1413">
        <f t="shared" ca="1" si="48"/>
        <v>0</v>
      </c>
      <c r="X248" s="1413">
        <f t="shared" ca="1" si="48"/>
        <v>0</v>
      </c>
      <c r="Y248" s="1413">
        <f t="shared" ca="1" si="48"/>
        <v>0</v>
      </c>
      <c r="Z248" s="1413">
        <f t="shared" ca="1" si="48"/>
        <v>0</v>
      </c>
      <c r="AA248" s="1413">
        <f t="shared" ca="1" si="48"/>
        <v>0</v>
      </c>
      <c r="AB248" s="1413">
        <f t="shared" ca="1" si="48"/>
        <v>0</v>
      </c>
      <c r="AC248" s="1413">
        <f t="shared" ca="1" si="48"/>
        <v>0</v>
      </c>
      <c r="AD248" s="1413">
        <f t="shared" ca="1" si="48"/>
        <v>0</v>
      </c>
      <c r="AE248" s="1413">
        <f t="shared" ca="1" si="48"/>
        <v>0</v>
      </c>
      <c r="AF248" s="1413">
        <f t="shared" ca="1" si="48"/>
        <v>0</v>
      </c>
      <c r="AG248" s="1413">
        <f t="shared" ca="1" si="48"/>
        <v>0</v>
      </c>
      <c r="AH248" s="1413">
        <f t="shared" ca="1" si="48"/>
        <v>0</v>
      </c>
      <c r="AI248" s="1413">
        <f t="shared" ca="1" si="48"/>
        <v>0</v>
      </c>
      <c r="AJ248" s="1413">
        <f t="shared" ca="1" si="50"/>
        <v>0</v>
      </c>
      <c r="AK248" s="1413">
        <f t="shared" ca="1" si="50"/>
        <v>0</v>
      </c>
      <c r="AL248" s="1413">
        <f t="shared" ca="1" si="50"/>
        <v>0</v>
      </c>
      <c r="AM248" s="1413">
        <f t="shared" ca="1" si="50"/>
        <v>0</v>
      </c>
    </row>
    <row r="249" spans="3:39">
      <c r="C249" t="s">
        <v>228</v>
      </c>
      <c r="H249" s="1412">
        <f>IFERROR(VLOOKUP(C249,Assumptions_Dashboard!$C$38:$D$72,4,FALSE),)</f>
        <v>0</v>
      </c>
      <c r="I249" s="1281"/>
      <c r="J249" s="1413">
        <f t="shared" ca="1" si="49"/>
        <v>0</v>
      </c>
      <c r="K249" s="1413">
        <f t="shared" ca="1" si="49"/>
        <v>0</v>
      </c>
      <c r="L249" s="1413">
        <f t="shared" ca="1" si="49"/>
        <v>0</v>
      </c>
      <c r="M249" s="1413">
        <f t="shared" ca="1" si="49"/>
        <v>0</v>
      </c>
      <c r="N249" s="1413">
        <f t="shared" ca="1" si="49"/>
        <v>0</v>
      </c>
      <c r="O249" s="1413">
        <f t="shared" ca="1" si="49"/>
        <v>0</v>
      </c>
      <c r="P249" s="1413">
        <f t="shared" ca="1" si="49"/>
        <v>0</v>
      </c>
      <c r="Q249" s="1413">
        <f t="shared" ca="1" si="49"/>
        <v>0</v>
      </c>
      <c r="R249" s="1413">
        <f t="shared" ca="1" si="49"/>
        <v>0</v>
      </c>
      <c r="S249" s="1413">
        <f t="shared" ca="1" si="49"/>
        <v>0</v>
      </c>
      <c r="T249" s="1413">
        <f t="shared" ca="1" si="48"/>
        <v>0</v>
      </c>
      <c r="U249" s="1413">
        <f t="shared" ca="1" si="48"/>
        <v>0</v>
      </c>
      <c r="V249" s="1413">
        <f t="shared" ca="1" si="48"/>
        <v>0</v>
      </c>
      <c r="W249" s="1413">
        <f t="shared" ca="1" si="48"/>
        <v>0</v>
      </c>
      <c r="X249" s="1413">
        <f t="shared" ca="1" si="48"/>
        <v>0</v>
      </c>
      <c r="Y249" s="1413">
        <f t="shared" ca="1" si="48"/>
        <v>0</v>
      </c>
      <c r="Z249" s="1413">
        <f t="shared" ca="1" si="48"/>
        <v>0</v>
      </c>
      <c r="AA249" s="1413">
        <f t="shared" ca="1" si="48"/>
        <v>0</v>
      </c>
      <c r="AB249" s="1413">
        <f t="shared" ca="1" si="48"/>
        <v>0</v>
      </c>
      <c r="AC249" s="1413">
        <f t="shared" ca="1" si="48"/>
        <v>0</v>
      </c>
      <c r="AD249" s="1413">
        <f t="shared" ca="1" si="48"/>
        <v>0</v>
      </c>
      <c r="AE249" s="1413">
        <f t="shared" ca="1" si="48"/>
        <v>0</v>
      </c>
      <c r="AF249" s="1413">
        <f t="shared" ca="1" si="48"/>
        <v>0</v>
      </c>
      <c r="AG249" s="1413">
        <f t="shared" ca="1" si="48"/>
        <v>0</v>
      </c>
      <c r="AH249" s="1413">
        <f t="shared" ca="1" si="48"/>
        <v>0</v>
      </c>
      <c r="AI249" s="1413">
        <f t="shared" ca="1" si="48"/>
        <v>0</v>
      </c>
      <c r="AJ249" s="1413">
        <f t="shared" ca="1" si="50"/>
        <v>0</v>
      </c>
      <c r="AK249" s="1413">
        <f t="shared" ca="1" si="50"/>
        <v>0</v>
      </c>
      <c r="AL249" s="1413">
        <f t="shared" ca="1" si="50"/>
        <v>0</v>
      </c>
      <c r="AM249" s="1413">
        <f t="shared" ca="1" si="50"/>
        <v>0</v>
      </c>
    </row>
    <row r="250" spans="3:39">
      <c r="C250" t="s">
        <v>230</v>
      </c>
      <c r="H250" s="1412">
        <f>IFERROR(VLOOKUP(C250,Assumptions_Dashboard!$C$38:$D$72,4,FALSE),)</f>
        <v>0</v>
      </c>
      <c r="I250" s="1281"/>
      <c r="J250" s="1413">
        <f t="shared" ca="1" si="49"/>
        <v>0</v>
      </c>
      <c r="K250" s="1413">
        <f t="shared" ca="1" si="49"/>
        <v>0</v>
      </c>
      <c r="L250" s="1413">
        <f t="shared" ca="1" si="49"/>
        <v>0</v>
      </c>
      <c r="M250" s="1413">
        <f t="shared" ca="1" si="49"/>
        <v>0</v>
      </c>
      <c r="N250" s="1413">
        <f t="shared" ca="1" si="49"/>
        <v>0</v>
      </c>
      <c r="O250" s="1413">
        <f t="shared" ca="1" si="49"/>
        <v>0</v>
      </c>
      <c r="P250" s="1413">
        <f t="shared" ca="1" si="49"/>
        <v>0</v>
      </c>
      <c r="Q250" s="1413">
        <f t="shared" ca="1" si="49"/>
        <v>0</v>
      </c>
      <c r="R250" s="1413">
        <f t="shared" ca="1" si="49"/>
        <v>0</v>
      </c>
      <c r="S250" s="1413">
        <f t="shared" ca="1" si="49"/>
        <v>0</v>
      </c>
      <c r="T250" s="1413">
        <f t="shared" ca="1" si="48"/>
        <v>0</v>
      </c>
      <c r="U250" s="1413">
        <f t="shared" ca="1" si="48"/>
        <v>0</v>
      </c>
      <c r="V250" s="1413">
        <f t="shared" ca="1" si="48"/>
        <v>0</v>
      </c>
      <c r="W250" s="1413">
        <f t="shared" ca="1" si="48"/>
        <v>0</v>
      </c>
      <c r="X250" s="1413">
        <f t="shared" ca="1" si="48"/>
        <v>0</v>
      </c>
      <c r="Y250" s="1413">
        <f t="shared" ca="1" si="48"/>
        <v>0</v>
      </c>
      <c r="Z250" s="1413">
        <f t="shared" ca="1" si="48"/>
        <v>0</v>
      </c>
      <c r="AA250" s="1413">
        <f t="shared" ca="1" si="48"/>
        <v>0</v>
      </c>
      <c r="AB250" s="1413">
        <f t="shared" ca="1" si="48"/>
        <v>0</v>
      </c>
      <c r="AC250" s="1413">
        <f t="shared" ca="1" si="48"/>
        <v>0</v>
      </c>
      <c r="AD250" s="1413">
        <f t="shared" ca="1" si="48"/>
        <v>0</v>
      </c>
      <c r="AE250" s="1413">
        <f t="shared" ca="1" si="48"/>
        <v>0</v>
      </c>
      <c r="AF250" s="1413">
        <f t="shared" ca="1" si="48"/>
        <v>0</v>
      </c>
      <c r="AG250" s="1413">
        <f t="shared" ca="1" si="48"/>
        <v>0</v>
      </c>
      <c r="AH250" s="1413">
        <f t="shared" ca="1" si="48"/>
        <v>0</v>
      </c>
      <c r="AI250" s="1413">
        <f t="shared" ca="1" si="48"/>
        <v>0</v>
      </c>
      <c r="AJ250" s="1413">
        <f t="shared" ca="1" si="50"/>
        <v>0</v>
      </c>
      <c r="AK250" s="1413">
        <f t="shared" ca="1" si="50"/>
        <v>0</v>
      </c>
      <c r="AL250" s="1413">
        <f t="shared" ca="1" si="50"/>
        <v>0</v>
      </c>
      <c r="AM250" s="1413">
        <f t="shared" ca="1" si="50"/>
        <v>0</v>
      </c>
    </row>
    <row r="251" spans="3:39">
      <c r="C251" t="s">
        <v>232</v>
      </c>
      <c r="H251" s="1412">
        <f>IFERROR(VLOOKUP(C251,Assumptions_Dashboard!$C$38:$D$72,4,FALSE),)</f>
        <v>0</v>
      </c>
      <c r="I251" s="1281"/>
      <c r="J251" s="1413">
        <f t="shared" ca="1" si="49"/>
        <v>0</v>
      </c>
      <c r="K251" s="1413">
        <f t="shared" ca="1" si="49"/>
        <v>0</v>
      </c>
      <c r="L251" s="1413">
        <f t="shared" ca="1" si="49"/>
        <v>0</v>
      </c>
      <c r="M251" s="1413">
        <f t="shared" ca="1" si="49"/>
        <v>0</v>
      </c>
      <c r="N251" s="1413">
        <f t="shared" ca="1" si="49"/>
        <v>0</v>
      </c>
      <c r="O251" s="1413">
        <f t="shared" ca="1" si="49"/>
        <v>0</v>
      </c>
      <c r="P251" s="1413">
        <f t="shared" ca="1" si="49"/>
        <v>0</v>
      </c>
      <c r="Q251" s="1413">
        <f t="shared" ca="1" si="49"/>
        <v>0</v>
      </c>
      <c r="R251" s="1413">
        <f t="shared" ca="1" si="49"/>
        <v>0</v>
      </c>
      <c r="S251" s="1413">
        <f t="shared" ca="1" si="49"/>
        <v>0</v>
      </c>
      <c r="T251" s="1413">
        <f t="shared" ca="1" si="48"/>
        <v>0</v>
      </c>
      <c r="U251" s="1413">
        <f t="shared" ca="1" si="48"/>
        <v>0</v>
      </c>
      <c r="V251" s="1413">
        <f t="shared" ca="1" si="48"/>
        <v>0</v>
      </c>
      <c r="W251" s="1413">
        <f t="shared" ca="1" si="48"/>
        <v>0</v>
      </c>
      <c r="X251" s="1413">
        <f t="shared" ca="1" si="48"/>
        <v>0</v>
      </c>
      <c r="Y251" s="1413">
        <f t="shared" ca="1" si="48"/>
        <v>0</v>
      </c>
      <c r="Z251" s="1413">
        <f t="shared" ca="1" si="48"/>
        <v>0</v>
      </c>
      <c r="AA251" s="1413">
        <f t="shared" ca="1" si="48"/>
        <v>0</v>
      </c>
      <c r="AB251" s="1413">
        <f t="shared" ca="1" si="48"/>
        <v>0</v>
      </c>
      <c r="AC251" s="1413">
        <f t="shared" ca="1" si="48"/>
        <v>0</v>
      </c>
      <c r="AD251" s="1413">
        <f t="shared" ca="1" si="48"/>
        <v>0</v>
      </c>
      <c r="AE251" s="1413">
        <f t="shared" ca="1" si="48"/>
        <v>0</v>
      </c>
      <c r="AF251" s="1413">
        <f t="shared" ca="1" si="48"/>
        <v>0</v>
      </c>
      <c r="AG251" s="1413">
        <f t="shared" ca="1" si="48"/>
        <v>0</v>
      </c>
      <c r="AH251" s="1413">
        <f t="shared" ca="1" si="48"/>
        <v>0</v>
      </c>
      <c r="AI251" s="1413">
        <f t="shared" ca="1" si="48"/>
        <v>0</v>
      </c>
      <c r="AJ251" s="1413">
        <f t="shared" ca="1" si="50"/>
        <v>0</v>
      </c>
      <c r="AK251" s="1413">
        <f t="shared" ca="1" si="50"/>
        <v>0</v>
      </c>
      <c r="AL251" s="1413">
        <f t="shared" ca="1" si="50"/>
        <v>0</v>
      </c>
      <c r="AM251" s="1413">
        <f t="shared" ca="1" si="50"/>
        <v>0</v>
      </c>
    </row>
    <row r="252" spans="3:39">
      <c r="C252" t="s">
        <v>234</v>
      </c>
      <c r="H252" s="1412">
        <f>IFERROR(VLOOKUP(C252,Assumptions_Dashboard!$C$38:$D$72,4,FALSE),)</f>
        <v>0</v>
      </c>
      <c r="I252" s="1281"/>
      <c r="J252" s="1414">
        <f t="shared" ca="1" si="49"/>
        <v>0</v>
      </c>
      <c r="K252" s="1414">
        <f t="shared" ca="1" si="49"/>
        <v>0</v>
      </c>
      <c r="L252" s="1414">
        <f t="shared" ca="1" si="49"/>
        <v>0</v>
      </c>
      <c r="M252" s="1414">
        <f t="shared" ca="1" si="49"/>
        <v>0</v>
      </c>
      <c r="N252" s="1414">
        <f t="shared" ca="1" si="49"/>
        <v>0</v>
      </c>
      <c r="O252" s="1414">
        <f t="shared" ca="1" si="49"/>
        <v>0</v>
      </c>
      <c r="P252" s="1414">
        <f t="shared" ca="1" si="49"/>
        <v>0</v>
      </c>
      <c r="Q252" s="1414">
        <f t="shared" ca="1" si="49"/>
        <v>0</v>
      </c>
      <c r="R252" s="1414">
        <f t="shared" ca="1" si="49"/>
        <v>0</v>
      </c>
      <c r="S252" s="1414">
        <f t="shared" ca="1" si="49"/>
        <v>0</v>
      </c>
      <c r="T252" s="1414">
        <f t="shared" ca="1" si="48"/>
        <v>0</v>
      </c>
      <c r="U252" s="1414">
        <f t="shared" ca="1" si="48"/>
        <v>0</v>
      </c>
      <c r="V252" s="1414">
        <f t="shared" ca="1" si="48"/>
        <v>0</v>
      </c>
      <c r="W252" s="1414">
        <f t="shared" ca="1" si="48"/>
        <v>0</v>
      </c>
      <c r="X252" s="1414">
        <f t="shared" ca="1" si="48"/>
        <v>0</v>
      </c>
      <c r="Y252" s="1414">
        <f t="shared" ca="1" si="48"/>
        <v>0</v>
      </c>
      <c r="Z252" s="1414">
        <f t="shared" ca="1" si="48"/>
        <v>0</v>
      </c>
      <c r="AA252" s="1414">
        <f t="shared" ca="1" si="48"/>
        <v>0</v>
      </c>
      <c r="AB252" s="1414">
        <f t="shared" ca="1" si="48"/>
        <v>0</v>
      </c>
      <c r="AC252" s="1414">
        <f t="shared" ca="1" si="48"/>
        <v>0</v>
      </c>
      <c r="AD252" s="1414">
        <f t="shared" ca="1" si="48"/>
        <v>0</v>
      </c>
      <c r="AE252" s="1414">
        <f t="shared" ca="1" si="48"/>
        <v>0</v>
      </c>
      <c r="AF252" s="1414">
        <f t="shared" ca="1" si="48"/>
        <v>0</v>
      </c>
      <c r="AG252" s="1414">
        <f t="shared" ca="1" si="48"/>
        <v>0</v>
      </c>
      <c r="AH252" s="1414">
        <f t="shared" ca="1" si="48"/>
        <v>0</v>
      </c>
      <c r="AI252" s="1414">
        <f t="shared" ca="1" si="48"/>
        <v>0</v>
      </c>
      <c r="AJ252" s="1414">
        <f t="shared" ca="1" si="50"/>
        <v>0</v>
      </c>
      <c r="AK252" s="1414">
        <f t="shared" ca="1" si="50"/>
        <v>0</v>
      </c>
      <c r="AL252" s="1414">
        <f t="shared" ca="1" si="50"/>
        <v>0</v>
      </c>
      <c r="AM252" s="1414">
        <f t="shared" ca="1" si="50"/>
        <v>0</v>
      </c>
    </row>
    <row r="253" spans="3:39" ht="14" thickBot="1">
      <c r="C253" s="240" t="s">
        <v>267</v>
      </c>
      <c r="D253" s="242"/>
      <c r="E253" s="242"/>
      <c r="F253" s="242"/>
      <c r="G253" s="242"/>
      <c r="H253" s="242"/>
      <c r="I253" s="242"/>
      <c r="J253" s="1415">
        <f t="shared" ref="J253:AM253" ca="1" si="51">SUM(J230:J252)</f>
        <v>0</v>
      </c>
      <c r="K253" s="1415">
        <f t="shared" ca="1" si="51"/>
        <v>0</v>
      </c>
      <c r="L253" s="1415">
        <f t="shared" ca="1" si="51"/>
        <v>0</v>
      </c>
      <c r="M253" s="1415">
        <f t="shared" ca="1" si="51"/>
        <v>0</v>
      </c>
      <c r="N253" s="1415">
        <f t="shared" ca="1" si="51"/>
        <v>0</v>
      </c>
      <c r="O253" s="1415">
        <f t="shared" ca="1" si="51"/>
        <v>0</v>
      </c>
      <c r="P253" s="1415">
        <f t="shared" ca="1" si="51"/>
        <v>0</v>
      </c>
      <c r="Q253" s="1415">
        <f t="shared" ca="1" si="51"/>
        <v>0</v>
      </c>
      <c r="R253" s="1415">
        <f t="shared" ca="1" si="51"/>
        <v>0</v>
      </c>
      <c r="S253" s="1415">
        <f t="shared" ca="1" si="51"/>
        <v>0</v>
      </c>
      <c r="T253" s="1415">
        <f t="shared" ca="1" si="51"/>
        <v>0</v>
      </c>
      <c r="U253" s="1415">
        <f t="shared" ca="1" si="51"/>
        <v>0</v>
      </c>
      <c r="V253" s="1415">
        <f t="shared" ca="1" si="51"/>
        <v>0</v>
      </c>
      <c r="W253" s="1415">
        <f t="shared" ca="1" si="51"/>
        <v>0</v>
      </c>
      <c r="X253" s="1415">
        <f t="shared" ca="1" si="51"/>
        <v>0</v>
      </c>
      <c r="Y253" s="1415">
        <f t="shared" ca="1" si="51"/>
        <v>0</v>
      </c>
      <c r="Z253" s="1415">
        <f t="shared" ca="1" si="51"/>
        <v>0</v>
      </c>
      <c r="AA253" s="1415">
        <f t="shared" ca="1" si="51"/>
        <v>0</v>
      </c>
      <c r="AB253" s="1415">
        <f t="shared" ca="1" si="51"/>
        <v>0</v>
      </c>
      <c r="AC253" s="1415">
        <f t="shared" ca="1" si="51"/>
        <v>0</v>
      </c>
      <c r="AD253" s="1415">
        <f t="shared" ca="1" si="51"/>
        <v>0</v>
      </c>
      <c r="AE253" s="1415">
        <f t="shared" ca="1" si="51"/>
        <v>0</v>
      </c>
      <c r="AF253" s="1415">
        <f t="shared" ca="1" si="51"/>
        <v>0</v>
      </c>
      <c r="AG253" s="1415">
        <f t="shared" ca="1" si="51"/>
        <v>0</v>
      </c>
      <c r="AH253" s="1415">
        <f t="shared" ca="1" si="51"/>
        <v>0</v>
      </c>
      <c r="AI253" s="1415">
        <f t="shared" ca="1" si="51"/>
        <v>0</v>
      </c>
      <c r="AJ253" s="1415">
        <f t="shared" ca="1" si="51"/>
        <v>0</v>
      </c>
      <c r="AK253" s="1415">
        <f t="shared" ca="1" si="51"/>
        <v>0</v>
      </c>
      <c r="AL253" s="1415">
        <f t="shared" ca="1" si="51"/>
        <v>0</v>
      </c>
      <c r="AM253" s="1415">
        <f t="shared" ca="1" si="51"/>
        <v>0</v>
      </c>
    </row>
    <row r="254" spans="3:39" ht="14" thickTop="1"/>
    <row r="256" spans="3:39">
      <c r="C256" s="191" t="s">
        <v>1478</v>
      </c>
    </row>
    <row r="257" spans="3:39">
      <c r="C257" s="1281" t="s">
        <v>197</v>
      </c>
      <c r="D257" s="1281"/>
      <c r="E257" s="1281"/>
      <c r="F257" s="1281"/>
      <c r="G257" s="1281"/>
      <c r="H257" s="1416">
        <f>IFERROR(VLOOKUP(C257,Assumptions_Dashboard!$C$38:$D$72,4,FALSE),)/10^7</f>
        <v>0</v>
      </c>
      <c r="I257" s="1281"/>
      <c r="J257" s="1413">
        <f t="shared" ref="J257:AM263" ca="1" si="52">$H257*J230</f>
        <v>0</v>
      </c>
      <c r="K257" s="1413">
        <f t="shared" ca="1" si="52"/>
        <v>0</v>
      </c>
      <c r="L257" s="1413">
        <f t="shared" ca="1" si="52"/>
        <v>0</v>
      </c>
      <c r="M257" s="1413">
        <f t="shared" ca="1" si="52"/>
        <v>0</v>
      </c>
      <c r="N257" s="1413">
        <f t="shared" ca="1" si="52"/>
        <v>0</v>
      </c>
      <c r="O257" s="1413">
        <f t="shared" ca="1" si="52"/>
        <v>0</v>
      </c>
      <c r="P257" s="1413">
        <f t="shared" ca="1" si="52"/>
        <v>0</v>
      </c>
      <c r="Q257" s="1413">
        <f t="shared" ca="1" si="52"/>
        <v>0</v>
      </c>
      <c r="R257" s="1413">
        <f t="shared" ca="1" si="52"/>
        <v>0</v>
      </c>
      <c r="S257" s="1413">
        <f t="shared" ca="1" si="52"/>
        <v>0</v>
      </c>
      <c r="T257" s="1413">
        <f t="shared" ca="1" si="52"/>
        <v>0</v>
      </c>
      <c r="U257" s="1413">
        <f t="shared" ca="1" si="52"/>
        <v>0</v>
      </c>
      <c r="V257" s="1413">
        <f t="shared" ca="1" si="52"/>
        <v>0</v>
      </c>
      <c r="W257" s="1413">
        <f t="shared" ca="1" si="52"/>
        <v>0</v>
      </c>
      <c r="X257" s="1413">
        <f t="shared" ca="1" si="52"/>
        <v>0</v>
      </c>
      <c r="Y257" s="1413">
        <f t="shared" ca="1" si="52"/>
        <v>0</v>
      </c>
      <c r="Z257" s="1413">
        <f t="shared" ca="1" si="52"/>
        <v>0</v>
      </c>
      <c r="AA257" s="1413">
        <f t="shared" ca="1" si="52"/>
        <v>0</v>
      </c>
      <c r="AB257" s="1413">
        <f t="shared" ca="1" si="52"/>
        <v>0</v>
      </c>
      <c r="AC257" s="1413">
        <f t="shared" ca="1" si="52"/>
        <v>0</v>
      </c>
      <c r="AD257" s="1413">
        <f t="shared" ca="1" si="52"/>
        <v>0</v>
      </c>
      <c r="AE257" s="1413">
        <f t="shared" ca="1" si="52"/>
        <v>0</v>
      </c>
      <c r="AF257" s="1413">
        <f t="shared" ca="1" si="52"/>
        <v>0</v>
      </c>
      <c r="AG257" s="1413">
        <f t="shared" ca="1" si="52"/>
        <v>0</v>
      </c>
      <c r="AH257" s="1413">
        <f t="shared" ca="1" si="52"/>
        <v>0</v>
      </c>
      <c r="AI257" s="1413">
        <f t="shared" ca="1" si="52"/>
        <v>0</v>
      </c>
      <c r="AJ257" s="1413">
        <f t="shared" ca="1" si="52"/>
        <v>0</v>
      </c>
      <c r="AK257" s="1413">
        <f t="shared" ca="1" si="52"/>
        <v>0</v>
      </c>
      <c r="AL257" s="1413">
        <f t="shared" ca="1" si="52"/>
        <v>0</v>
      </c>
      <c r="AM257" s="1413">
        <f t="shared" ca="1" si="52"/>
        <v>0</v>
      </c>
    </row>
    <row r="258" spans="3:39">
      <c r="C258" t="s">
        <v>199</v>
      </c>
      <c r="H258" s="1416">
        <f>IFERROR(VLOOKUP(C258,Assumptions_Dashboard!$C$38:$D$72,4,FALSE),)/10^7</f>
        <v>0</v>
      </c>
      <c r="I258" s="1281"/>
      <c r="J258" s="1413">
        <f t="shared" ca="1" si="52"/>
        <v>0</v>
      </c>
      <c r="K258" s="1413">
        <f t="shared" ca="1" si="52"/>
        <v>0</v>
      </c>
      <c r="L258" s="1413">
        <f t="shared" ca="1" si="52"/>
        <v>0</v>
      </c>
      <c r="M258" s="1413">
        <f t="shared" ca="1" si="52"/>
        <v>0</v>
      </c>
      <c r="N258" s="1413">
        <f t="shared" ca="1" si="52"/>
        <v>0</v>
      </c>
      <c r="O258" s="1413">
        <f t="shared" ca="1" si="52"/>
        <v>0</v>
      </c>
      <c r="P258" s="1413">
        <f t="shared" ca="1" si="52"/>
        <v>0</v>
      </c>
      <c r="Q258" s="1413">
        <f t="shared" ca="1" si="52"/>
        <v>0</v>
      </c>
      <c r="R258" s="1413">
        <f t="shared" ca="1" si="52"/>
        <v>0</v>
      </c>
      <c r="S258" s="1413">
        <f t="shared" ca="1" si="52"/>
        <v>0</v>
      </c>
      <c r="T258" s="1413">
        <f t="shared" ca="1" si="52"/>
        <v>0</v>
      </c>
      <c r="U258" s="1413">
        <f t="shared" ca="1" si="52"/>
        <v>0</v>
      </c>
      <c r="V258" s="1413">
        <f t="shared" ca="1" si="52"/>
        <v>0</v>
      </c>
      <c r="W258" s="1413">
        <f t="shared" ca="1" si="52"/>
        <v>0</v>
      </c>
      <c r="X258" s="1413">
        <f t="shared" ca="1" si="52"/>
        <v>0</v>
      </c>
      <c r="Y258" s="1413">
        <f t="shared" ca="1" si="52"/>
        <v>0</v>
      </c>
      <c r="Z258" s="1413">
        <f t="shared" ca="1" si="52"/>
        <v>0</v>
      </c>
      <c r="AA258" s="1413">
        <f t="shared" ca="1" si="52"/>
        <v>0</v>
      </c>
      <c r="AB258" s="1413">
        <f t="shared" ca="1" si="52"/>
        <v>0</v>
      </c>
      <c r="AC258" s="1413">
        <f t="shared" ca="1" si="52"/>
        <v>0</v>
      </c>
      <c r="AD258" s="1413">
        <f t="shared" ca="1" si="52"/>
        <v>0</v>
      </c>
      <c r="AE258" s="1413">
        <f t="shared" ca="1" si="52"/>
        <v>0</v>
      </c>
      <c r="AF258" s="1413">
        <f t="shared" ca="1" si="52"/>
        <v>0</v>
      </c>
      <c r="AG258" s="1413">
        <f t="shared" ca="1" si="52"/>
        <v>0</v>
      </c>
      <c r="AH258" s="1413">
        <f t="shared" ca="1" si="52"/>
        <v>0</v>
      </c>
      <c r="AI258" s="1413">
        <f t="shared" ca="1" si="52"/>
        <v>0</v>
      </c>
      <c r="AJ258" s="1413">
        <f t="shared" ca="1" si="52"/>
        <v>0</v>
      </c>
      <c r="AK258" s="1413">
        <f t="shared" ca="1" si="52"/>
        <v>0</v>
      </c>
      <c r="AL258" s="1413">
        <f t="shared" ca="1" si="52"/>
        <v>0</v>
      </c>
      <c r="AM258" s="1413">
        <f t="shared" ca="1" si="52"/>
        <v>0</v>
      </c>
    </row>
    <row r="259" spans="3:39">
      <c r="C259" t="s">
        <v>200</v>
      </c>
      <c r="H259" s="1416">
        <f>IFERROR(VLOOKUP(C259,Assumptions_Dashboard!$C$38:$D$72,4,FALSE),)/10^7</f>
        <v>0</v>
      </c>
      <c r="I259" s="1281"/>
      <c r="J259" s="1413">
        <f t="shared" ca="1" si="52"/>
        <v>0</v>
      </c>
      <c r="K259" s="1413">
        <f t="shared" ca="1" si="52"/>
        <v>0</v>
      </c>
      <c r="L259" s="1413">
        <f t="shared" ca="1" si="52"/>
        <v>0</v>
      </c>
      <c r="M259" s="1413">
        <f t="shared" ca="1" si="52"/>
        <v>0</v>
      </c>
      <c r="N259" s="1413">
        <f t="shared" ca="1" si="52"/>
        <v>0</v>
      </c>
      <c r="O259" s="1413">
        <f t="shared" ca="1" si="52"/>
        <v>0</v>
      </c>
      <c r="P259" s="1413">
        <f t="shared" ca="1" si="52"/>
        <v>0</v>
      </c>
      <c r="Q259" s="1413">
        <f t="shared" ca="1" si="52"/>
        <v>0</v>
      </c>
      <c r="R259" s="1413">
        <f t="shared" ca="1" si="52"/>
        <v>0</v>
      </c>
      <c r="S259" s="1413">
        <f t="shared" ca="1" si="52"/>
        <v>0</v>
      </c>
      <c r="T259" s="1413">
        <f t="shared" ca="1" si="52"/>
        <v>0</v>
      </c>
      <c r="U259" s="1413">
        <f t="shared" ca="1" si="52"/>
        <v>0</v>
      </c>
      <c r="V259" s="1413">
        <f t="shared" ca="1" si="52"/>
        <v>0</v>
      </c>
      <c r="W259" s="1413">
        <f t="shared" ca="1" si="52"/>
        <v>0</v>
      </c>
      <c r="X259" s="1413">
        <f t="shared" ca="1" si="52"/>
        <v>0</v>
      </c>
      <c r="Y259" s="1413">
        <f t="shared" ca="1" si="52"/>
        <v>0</v>
      </c>
      <c r="Z259" s="1413">
        <f t="shared" ca="1" si="52"/>
        <v>0</v>
      </c>
      <c r="AA259" s="1413">
        <f t="shared" ca="1" si="52"/>
        <v>0</v>
      </c>
      <c r="AB259" s="1413">
        <f t="shared" ca="1" si="52"/>
        <v>0</v>
      </c>
      <c r="AC259" s="1413">
        <f t="shared" ca="1" si="52"/>
        <v>0</v>
      </c>
      <c r="AD259" s="1413">
        <f t="shared" ca="1" si="52"/>
        <v>0</v>
      </c>
      <c r="AE259" s="1413">
        <f t="shared" ca="1" si="52"/>
        <v>0</v>
      </c>
      <c r="AF259" s="1413">
        <f t="shared" ca="1" si="52"/>
        <v>0</v>
      </c>
      <c r="AG259" s="1413">
        <f t="shared" ca="1" si="52"/>
        <v>0</v>
      </c>
      <c r="AH259" s="1413">
        <f t="shared" ca="1" si="52"/>
        <v>0</v>
      </c>
      <c r="AI259" s="1413">
        <f t="shared" ca="1" si="52"/>
        <v>0</v>
      </c>
      <c r="AJ259" s="1413">
        <f t="shared" ca="1" si="52"/>
        <v>0</v>
      </c>
      <c r="AK259" s="1413">
        <f t="shared" ca="1" si="52"/>
        <v>0</v>
      </c>
      <c r="AL259" s="1413">
        <f t="shared" ca="1" si="52"/>
        <v>0</v>
      </c>
      <c r="AM259" s="1413">
        <f t="shared" ca="1" si="52"/>
        <v>0</v>
      </c>
    </row>
    <row r="260" spans="3:39">
      <c r="C260" t="s">
        <v>201</v>
      </c>
      <c r="H260" s="1416">
        <f>IFERROR(VLOOKUP(C260,Assumptions_Dashboard!$C$38:$D$72,4,FALSE),)/10^7</f>
        <v>0</v>
      </c>
      <c r="I260" s="1281"/>
      <c r="J260" s="1413">
        <f t="shared" ca="1" si="52"/>
        <v>0</v>
      </c>
      <c r="K260" s="1413">
        <f t="shared" ca="1" si="52"/>
        <v>0</v>
      </c>
      <c r="L260" s="1413">
        <f t="shared" ca="1" si="52"/>
        <v>0</v>
      </c>
      <c r="M260" s="1413">
        <f t="shared" ca="1" si="52"/>
        <v>0</v>
      </c>
      <c r="N260" s="1413">
        <f t="shared" ca="1" si="52"/>
        <v>0</v>
      </c>
      <c r="O260" s="1413">
        <f t="shared" ca="1" si="52"/>
        <v>0</v>
      </c>
      <c r="P260" s="1413">
        <f t="shared" ca="1" si="52"/>
        <v>0</v>
      </c>
      <c r="Q260" s="1413">
        <f t="shared" ca="1" si="52"/>
        <v>0</v>
      </c>
      <c r="R260" s="1413">
        <f t="shared" ca="1" si="52"/>
        <v>0</v>
      </c>
      <c r="S260" s="1413">
        <f t="shared" ca="1" si="52"/>
        <v>0</v>
      </c>
      <c r="T260" s="1413">
        <f t="shared" ca="1" si="52"/>
        <v>0</v>
      </c>
      <c r="U260" s="1413">
        <f t="shared" ca="1" si="52"/>
        <v>0</v>
      </c>
      <c r="V260" s="1413">
        <f t="shared" ca="1" si="52"/>
        <v>0</v>
      </c>
      <c r="W260" s="1413">
        <f t="shared" ca="1" si="52"/>
        <v>0</v>
      </c>
      <c r="X260" s="1413">
        <f t="shared" ca="1" si="52"/>
        <v>0</v>
      </c>
      <c r="Y260" s="1413">
        <f t="shared" ca="1" si="52"/>
        <v>0</v>
      </c>
      <c r="Z260" s="1413">
        <f t="shared" ca="1" si="52"/>
        <v>0</v>
      </c>
      <c r="AA260" s="1413">
        <f t="shared" ca="1" si="52"/>
        <v>0</v>
      </c>
      <c r="AB260" s="1413">
        <f t="shared" ca="1" si="52"/>
        <v>0</v>
      </c>
      <c r="AC260" s="1413">
        <f t="shared" ca="1" si="52"/>
        <v>0</v>
      </c>
      <c r="AD260" s="1413">
        <f t="shared" ca="1" si="52"/>
        <v>0</v>
      </c>
      <c r="AE260" s="1413">
        <f t="shared" ca="1" si="52"/>
        <v>0</v>
      </c>
      <c r="AF260" s="1413">
        <f t="shared" ca="1" si="52"/>
        <v>0</v>
      </c>
      <c r="AG260" s="1413">
        <f t="shared" ca="1" si="52"/>
        <v>0</v>
      </c>
      <c r="AH260" s="1413">
        <f t="shared" ca="1" si="52"/>
        <v>0</v>
      </c>
      <c r="AI260" s="1413">
        <f t="shared" ca="1" si="52"/>
        <v>0</v>
      </c>
      <c r="AJ260" s="1413">
        <f t="shared" ca="1" si="52"/>
        <v>0</v>
      </c>
      <c r="AK260" s="1413">
        <f t="shared" ca="1" si="52"/>
        <v>0</v>
      </c>
      <c r="AL260" s="1413">
        <f t="shared" ca="1" si="52"/>
        <v>0</v>
      </c>
      <c r="AM260" s="1413">
        <f t="shared" ca="1" si="52"/>
        <v>0</v>
      </c>
    </row>
    <row r="261" spans="3:39">
      <c r="C261" t="s">
        <v>202</v>
      </c>
      <c r="H261" s="1416">
        <f>IFERROR(VLOOKUP(C261,Assumptions_Dashboard!$C$38:$D$72,4,FALSE),)/10^7</f>
        <v>0</v>
      </c>
      <c r="I261" s="1281"/>
      <c r="J261" s="1413">
        <f t="shared" ca="1" si="52"/>
        <v>0</v>
      </c>
      <c r="K261" s="1413">
        <f t="shared" ca="1" si="52"/>
        <v>0</v>
      </c>
      <c r="L261" s="1413">
        <f t="shared" ca="1" si="52"/>
        <v>0</v>
      </c>
      <c r="M261" s="1413">
        <f t="shared" ca="1" si="52"/>
        <v>0</v>
      </c>
      <c r="N261" s="1413">
        <f t="shared" ca="1" si="52"/>
        <v>0</v>
      </c>
      <c r="O261" s="1413">
        <f t="shared" ca="1" si="52"/>
        <v>0</v>
      </c>
      <c r="P261" s="1413">
        <f t="shared" ca="1" si="52"/>
        <v>0</v>
      </c>
      <c r="Q261" s="1413">
        <f t="shared" ca="1" si="52"/>
        <v>0</v>
      </c>
      <c r="R261" s="1413">
        <f t="shared" ca="1" si="52"/>
        <v>0</v>
      </c>
      <c r="S261" s="1413">
        <f t="shared" ca="1" si="52"/>
        <v>0</v>
      </c>
      <c r="T261" s="1413">
        <f t="shared" ca="1" si="52"/>
        <v>0</v>
      </c>
      <c r="U261" s="1413">
        <f t="shared" ca="1" si="52"/>
        <v>0</v>
      </c>
      <c r="V261" s="1413">
        <f t="shared" ca="1" si="52"/>
        <v>0</v>
      </c>
      <c r="W261" s="1413">
        <f t="shared" ca="1" si="52"/>
        <v>0</v>
      </c>
      <c r="X261" s="1413">
        <f t="shared" ca="1" si="52"/>
        <v>0</v>
      </c>
      <c r="Y261" s="1413">
        <f t="shared" ca="1" si="52"/>
        <v>0</v>
      </c>
      <c r="Z261" s="1413">
        <f t="shared" ca="1" si="52"/>
        <v>0</v>
      </c>
      <c r="AA261" s="1413">
        <f t="shared" ca="1" si="52"/>
        <v>0</v>
      </c>
      <c r="AB261" s="1413">
        <f t="shared" ca="1" si="52"/>
        <v>0</v>
      </c>
      <c r="AC261" s="1413">
        <f t="shared" ca="1" si="52"/>
        <v>0</v>
      </c>
      <c r="AD261" s="1413">
        <f t="shared" ca="1" si="52"/>
        <v>0</v>
      </c>
      <c r="AE261" s="1413">
        <f t="shared" ca="1" si="52"/>
        <v>0</v>
      </c>
      <c r="AF261" s="1413">
        <f t="shared" ca="1" si="52"/>
        <v>0</v>
      </c>
      <c r="AG261" s="1413">
        <f t="shared" ca="1" si="52"/>
        <v>0</v>
      </c>
      <c r="AH261" s="1413">
        <f t="shared" ca="1" si="52"/>
        <v>0</v>
      </c>
      <c r="AI261" s="1413">
        <f t="shared" ca="1" si="52"/>
        <v>0</v>
      </c>
      <c r="AJ261" s="1413">
        <f t="shared" ca="1" si="52"/>
        <v>0</v>
      </c>
      <c r="AK261" s="1413">
        <f t="shared" ca="1" si="52"/>
        <v>0</v>
      </c>
      <c r="AL261" s="1413">
        <f t="shared" ca="1" si="52"/>
        <v>0</v>
      </c>
      <c r="AM261" s="1413">
        <f t="shared" ca="1" si="52"/>
        <v>0</v>
      </c>
    </row>
    <row r="262" spans="3:39">
      <c r="C262" t="s">
        <v>203</v>
      </c>
      <c r="H262" s="1416">
        <f>IFERROR(VLOOKUP(C262,Assumptions_Dashboard!$C$38:$D$72,4,FALSE),)/10^7</f>
        <v>0</v>
      </c>
      <c r="I262" s="1281"/>
      <c r="J262" s="1413">
        <f t="shared" ca="1" si="52"/>
        <v>0</v>
      </c>
      <c r="K262" s="1413">
        <f t="shared" ca="1" si="52"/>
        <v>0</v>
      </c>
      <c r="L262" s="1413">
        <f t="shared" ca="1" si="52"/>
        <v>0</v>
      </c>
      <c r="M262" s="1413">
        <f t="shared" ca="1" si="52"/>
        <v>0</v>
      </c>
      <c r="N262" s="1413">
        <f t="shared" ca="1" si="52"/>
        <v>0</v>
      </c>
      <c r="O262" s="1413">
        <f t="shared" ca="1" si="52"/>
        <v>0</v>
      </c>
      <c r="P262" s="1413">
        <f t="shared" ca="1" si="52"/>
        <v>0</v>
      </c>
      <c r="Q262" s="1413">
        <f t="shared" ca="1" si="52"/>
        <v>0</v>
      </c>
      <c r="R262" s="1413">
        <f t="shared" ca="1" si="52"/>
        <v>0</v>
      </c>
      <c r="S262" s="1413">
        <f t="shared" ca="1" si="52"/>
        <v>0</v>
      </c>
      <c r="T262" s="1413">
        <f t="shared" ca="1" si="52"/>
        <v>0</v>
      </c>
      <c r="U262" s="1413">
        <f t="shared" ca="1" si="52"/>
        <v>0</v>
      </c>
      <c r="V262" s="1413">
        <f t="shared" ca="1" si="52"/>
        <v>0</v>
      </c>
      <c r="W262" s="1413">
        <f t="shared" ca="1" si="52"/>
        <v>0</v>
      </c>
      <c r="X262" s="1413">
        <f t="shared" ca="1" si="52"/>
        <v>0</v>
      </c>
      <c r="Y262" s="1413">
        <f t="shared" ca="1" si="52"/>
        <v>0</v>
      </c>
      <c r="Z262" s="1413">
        <f t="shared" ca="1" si="52"/>
        <v>0</v>
      </c>
      <c r="AA262" s="1413">
        <f t="shared" ca="1" si="52"/>
        <v>0</v>
      </c>
      <c r="AB262" s="1413">
        <f t="shared" ca="1" si="52"/>
        <v>0</v>
      </c>
      <c r="AC262" s="1413">
        <f t="shared" ca="1" si="52"/>
        <v>0</v>
      </c>
      <c r="AD262" s="1413">
        <f t="shared" ca="1" si="52"/>
        <v>0</v>
      </c>
      <c r="AE262" s="1413">
        <f t="shared" ca="1" si="52"/>
        <v>0</v>
      </c>
      <c r="AF262" s="1413">
        <f t="shared" ca="1" si="52"/>
        <v>0</v>
      </c>
      <c r="AG262" s="1413">
        <f t="shared" ca="1" si="52"/>
        <v>0</v>
      </c>
      <c r="AH262" s="1413">
        <f t="shared" ca="1" si="52"/>
        <v>0</v>
      </c>
      <c r="AI262" s="1413">
        <f t="shared" ca="1" si="52"/>
        <v>0</v>
      </c>
      <c r="AJ262" s="1413">
        <f t="shared" ca="1" si="52"/>
        <v>0</v>
      </c>
      <c r="AK262" s="1413">
        <f t="shared" ca="1" si="52"/>
        <v>0</v>
      </c>
      <c r="AL262" s="1413">
        <f t="shared" ca="1" si="52"/>
        <v>0</v>
      </c>
      <c r="AM262" s="1413">
        <f t="shared" ca="1" si="52"/>
        <v>0</v>
      </c>
    </row>
    <row r="263" spans="3:39">
      <c r="C263" t="s">
        <v>204</v>
      </c>
      <c r="H263" s="1416">
        <f>IFERROR(VLOOKUP(C263,Assumptions_Dashboard!$C$38:$D$72,4,FALSE),)/10^7</f>
        <v>0</v>
      </c>
      <c r="I263" s="1281"/>
      <c r="J263" s="1413">
        <f t="shared" ca="1" si="52"/>
        <v>0</v>
      </c>
      <c r="K263" s="1413">
        <f t="shared" ca="1" si="52"/>
        <v>0</v>
      </c>
      <c r="L263" s="1413">
        <f t="shared" ca="1" si="52"/>
        <v>0</v>
      </c>
      <c r="M263" s="1413">
        <f t="shared" ca="1" si="52"/>
        <v>0</v>
      </c>
      <c r="N263" s="1413">
        <f t="shared" ca="1" si="52"/>
        <v>0</v>
      </c>
      <c r="O263" s="1413">
        <f t="shared" ca="1" si="52"/>
        <v>0</v>
      </c>
      <c r="P263" s="1413">
        <f t="shared" ca="1" si="52"/>
        <v>0</v>
      </c>
      <c r="Q263" s="1413">
        <f t="shared" ca="1" si="52"/>
        <v>0</v>
      </c>
      <c r="R263" s="1413">
        <f t="shared" ca="1" si="52"/>
        <v>0</v>
      </c>
      <c r="S263" s="1413">
        <f t="shared" ca="1" si="52"/>
        <v>0</v>
      </c>
      <c r="T263" s="1413">
        <f t="shared" ca="1" si="52"/>
        <v>0</v>
      </c>
      <c r="U263" s="1413">
        <f t="shared" ca="1" si="52"/>
        <v>0</v>
      </c>
      <c r="V263" s="1413">
        <f t="shared" ca="1" si="52"/>
        <v>0</v>
      </c>
      <c r="W263" s="1413">
        <f t="shared" ca="1" si="52"/>
        <v>0</v>
      </c>
      <c r="X263" s="1413">
        <f t="shared" ca="1" si="52"/>
        <v>0</v>
      </c>
      <c r="Y263" s="1413">
        <f t="shared" ca="1" si="52"/>
        <v>0</v>
      </c>
      <c r="Z263" s="1413">
        <f t="shared" ca="1" si="52"/>
        <v>0</v>
      </c>
      <c r="AA263" s="1413">
        <f t="shared" ca="1" si="52"/>
        <v>0</v>
      </c>
      <c r="AB263" s="1413">
        <f t="shared" ca="1" si="52"/>
        <v>0</v>
      </c>
      <c r="AC263" s="1413">
        <f t="shared" ca="1" si="52"/>
        <v>0</v>
      </c>
      <c r="AD263" s="1413">
        <f t="shared" ca="1" si="52"/>
        <v>0</v>
      </c>
      <c r="AE263" s="1413">
        <f t="shared" ca="1" si="52"/>
        <v>0</v>
      </c>
      <c r="AF263" s="1413">
        <f t="shared" ca="1" si="52"/>
        <v>0</v>
      </c>
      <c r="AG263" s="1413">
        <f t="shared" ca="1" si="52"/>
        <v>0</v>
      </c>
      <c r="AH263" s="1413">
        <f t="shared" ca="1" si="52"/>
        <v>0</v>
      </c>
      <c r="AI263" s="1413">
        <f t="shared" ca="1" si="52"/>
        <v>0</v>
      </c>
      <c r="AJ263" s="1413">
        <f t="shared" ca="1" si="52"/>
        <v>0</v>
      </c>
      <c r="AK263" s="1413">
        <f t="shared" ca="1" si="52"/>
        <v>0</v>
      </c>
      <c r="AL263" s="1413">
        <f t="shared" ca="1" si="52"/>
        <v>0</v>
      </c>
      <c r="AM263" s="1413">
        <f t="shared" ca="1" si="52"/>
        <v>0</v>
      </c>
    </row>
    <row r="264" spans="3:39">
      <c r="C264" t="s">
        <v>205</v>
      </c>
      <c r="H264" s="1416">
        <f>IFERROR(VLOOKUP(C264,Assumptions_Dashboard!$C$38:$D$72,4,FALSE),)/10^7</f>
        <v>0</v>
      </c>
      <c r="I264" s="1281"/>
      <c r="J264" s="1413">
        <f t="shared" ref="J264:AM270" ca="1" si="53">$H264*J237</f>
        <v>0</v>
      </c>
      <c r="K264" s="1413">
        <f t="shared" ca="1" si="53"/>
        <v>0</v>
      </c>
      <c r="L264" s="1413">
        <f t="shared" ca="1" si="53"/>
        <v>0</v>
      </c>
      <c r="M264" s="1413">
        <f t="shared" ca="1" si="53"/>
        <v>0</v>
      </c>
      <c r="N264" s="1413">
        <f t="shared" ca="1" si="53"/>
        <v>0</v>
      </c>
      <c r="O264" s="1413">
        <f t="shared" ca="1" si="53"/>
        <v>0</v>
      </c>
      <c r="P264" s="1413">
        <f t="shared" ca="1" si="53"/>
        <v>0</v>
      </c>
      <c r="Q264" s="1413">
        <f t="shared" ca="1" si="53"/>
        <v>0</v>
      </c>
      <c r="R264" s="1413">
        <f t="shared" ca="1" si="53"/>
        <v>0</v>
      </c>
      <c r="S264" s="1413">
        <f t="shared" ca="1" si="53"/>
        <v>0</v>
      </c>
      <c r="T264" s="1413">
        <f t="shared" ca="1" si="53"/>
        <v>0</v>
      </c>
      <c r="U264" s="1413">
        <f t="shared" ca="1" si="53"/>
        <v>0</v>
      </c>
      <c r="V264" s="1413">
        <f t="shared" ca="1" si="53"/>
        <v>0</v>
      </c>
      <c r="W264" s="1413">
        <f t="shared" ca="1" si="53"/>
        <v>0</v>
      </c>
      <c r="X264" s="1413">
        <f t="shared" ca="1" si="53"/>
        <v>0</v>
      </c>
      <c r="Y264" s="1413">
        <f t="shared" ca="1" si="53"/>
        <v>0</v>
      </c>
      <c r="Z264" s="1413">
        <f t="shared" ca="1" si="53"/>
        <v>0</v>
      </c>
      <c r="AA264" s="1413">
        <f t="shared" ca="1" si="53"/>
        <v>0</v>
      </c>
      <c r="AB264" s="1413">
        <f t="shared" ca="1" si="53"/>
        <v>0</v>
      </c>
      <c r="AC264" s="1413">
        <f t="shared" ca="1" si="53"/>
        <v>0</v>
      </c>
      <c r="AD264" s="1413">
        <f t="shared" ca="1" si="53"/>
        <v>0</v>
      </c>
      <c r="AE264" s="1413">
        <f t="shared" ca="1" si="53"/>
        <v>0</v>
      </c>
      <c r="AF264" s="1413">
        <f t="shared" ca="1" si="53"/>
        <v>0</v>
      </c>
      <c r="AG264" s="1413">
        <f t="shared" ca="1" si="53"/>
        <v>0</v>
      </c>
      <c r="AH264" s="1413">
        <f t="shared" ca="1" si="53"/>
        <v>0</v>
      </c>
      <c r="AI264" s="1413">
        <f t="shared" ca="1" si="53"/>
        <v>0</v>
      </c>
      <c r="AJ264" s="1413">
        <f t="shared" ca="1" si="53"/>
        <v>0</v>
      </c>
      <c r="AK264" s="1413">
        <f t="shared" ca="1" si="53"/>
        <v>0</v>
      </c>
      <c r="AL264" s="1413">
        <f t="shared" ca="1" si="53"/>
        <v>0</v>
      </c>
      <c r="AM264" s="1413">
        <f t="shared" ca="1" si="53"/>
        <v>0</v>
      </c>
    </row>
    <row r="265" spans="3:39">
      <c r="C265" t="s">
        <v>206</v>
      </c>
      <c r="H265" s="1416">
        <f>IFERROR(VLOOKUP(C265,Assumptions_Dashboard!$C$38:$D$72,4,FALSE),)/10^7</f>
        <v>0</v>
      </c>
      <c r="I265" s="1281"/>
      <c r="J265" s="1413">
        <f t="shared" ca="1" si="53"/>
        <v>0</v>
      </c>
      <c r="K265" s="1413">
        <f t="shared" ca="1" si="53"/>
        <v>0</v>
      </c>
      <c r="L265" s="1413">
        <f t="shared" ca="1" si="53"/>
        <v>0</v>
      </c>
      <c r="M265" s="1413">
        <f t="shared" ca="1" si="53"/>
        <v>0</v>
      </c>
      <c r="N265" s="1413">
        <f t="shared" ca="1" si="53"/>
        <v>0</v>
      </c>
      <c r="O265" s="1413">
        <f t="shared" ca="1" si="53"/>
        <v>0</v>
      </c>
      <c r="P265" s="1413">
        <f t="shared" ca="1" si="53"/>
        <v>0</v>
      </c>
      <c r="Q265" s="1413">
        <f t="shared" ca="1" si="53"/>
        <v>0</v>
      </c>
      <c r="R265" s="1413">
        <f t="shared" ca="1" si="53"/>
        <v>0</v>
      </c>
      <c r="S265" s="1413">
        <f t="shared" ca="1" si="53"/>
        <v>0</v>
      </c>
      <c r="T265" s="1413">
        <f t="shared" ca="1" si="53"/>
        <v>0</v>
      </c>
      <c r="U265" s="1413">
        <f t="shared" ca="1" si="53"/>
        <v>0</v>
      </c>
      <c r="V265" s="1413">
        <f t="shared" ca="1" si="53"/>
        <v>0</v>
      </c>
      <c r="W265" s="1413">
        <f t="shared" ca="1" si="53"/>
        <v>0</v>
      </c>
      <c r="X265" s="1413">
        <f t="shared" ca="1" si="53"/>
        <v>0</v>
      </c>
      <c r="Y265" s="1413">
        <f t="shared" ca="1" si="53"/>
        <v>0</v>
      </c>
      <c r="Z265" s="1413">
        <f t="shared" ca="1" si="53"/>
        <v>0</v>
      </c>
      <c r="AA265" s="1413">
        <f t="shared" ca="1" si="53"/>
        <v>0</v>
      </c>
      <c r="AB265" s="1413">
        <f t="shared" ca="1" si="53"/>
        <v>0</v>
      </c>
      <c r="AC265" s="1413">
        <f t="shared" ca="1" si="53"/>
        <v>0</v>
      </c>
      <c r="AD265" s="1413">
        <f t="shared" ca="1" si="53"/>
        <v>0</v>
      </c>
      <c r="AE265" s="1413">
        <f t="shared" ca="1" si="53"/>
        <v>0</v>
      </c>
      <c r="AF265" s="1413">
        <f t="shared" ca="1" si="53"/>
        <v>0</v>
      </c>
      <c r="AG265" s="1413">
        <f t="shared" ca="1" si="53"/>
        <v>0</v>
      </c>
      <c r="AH265" s="1413">
        <f t="shared" ca="1" si="53"/>
        <v>0</v>
      </c>
      <c r="AI265" s="1413">
        <f t="shared" ca="1" si="53"/>
        <v>0</v>
      </c>
      <c r="AJ265" s="1413">
        <f t="shared" ca="1" si="53"/>
        <v>0</v>
      </c>
      <c r="AK265" s="1413">
        <f t="shared" ca="1" si="53"/>
        <v>0</v>
      </c>
      <c r="AL265" s="1413">
        <f t="shared" ca="1" si="53"/>
        <v>0</v>
      </c>
      <c r="AM265" s="1413">
        <f t="shared" ca="1" si="53"/>
        <v>0</v>
      </c>
    </row>
    <row r="266" spans="3:39">
      <c r="C266" t="s">
        <v>207</v>
      </c>
      <c r="H266" s="1416">
        <f>IFERROR(VLOOKUP(C266,Assumptions_Dashboard!$C$38:$D$72,4,FALSE),)/10^7</f>
        <v>0</v>
      </c>
      <c r="I266" s="1281"/>
      <c r="J266" s="1413">
        <f t="shared" ca="1" si="53"/>
        <v>0</v>
      </c>
      <c r="K266" s="1413">
        <f t="shared" ca="1" si="53"/>
        <v>0</v>
      </c>
      <c r="L266" s="1413">
        <f t="shared" ca="1" si="53"/>
        <v>0</v>
      </c>
      <c r="M266" s="1413">
        <f t="shared" ca="1" si="53"/>
        <v>0</v>
      </c>
      <c r="N266" s="1413">
        <f t="shared" ca="1" si="53"/>
        <v>0</v>
      </c>
      <c r="O266" s="1413">
        <f t="shared" ca="1" si="53"/>
        <v>0</v>
      </c>
      <c r="P266" s="1413">
        <f t="shared" ca="1" si="53"/>
        <v>0</v>
      </c>
      <c r="Q266" s="1413">
        <f t="shared" ca="1" si="53"/>
        <v>0</v>
      </c>
      <c r="R266" s="1413">
        <f t="shared" ca="1" si="53"/>
        <v>0</v>
      </c>
      <c r="S266" s="1413">
        <f t="shared" ca="1" si="53"/>
        <v>0</v>
      </c>
      <c r="T266" s="1413">
        <f t="shared" ca="1" si="53"/>
        <v>0</v>
      </c>
      <c r="U266" s="1413">
        <f t="shared" ca="1" si="53"/>
        <v>0</v>
      </c>
      <c r="V266" s="1413">
        <f t="shared" ca="1" si="53"/>
        <v>0</v>
      </c>
      <c r="W266" s="1413">
        <f t="shared" ca="1" si="53"/>
        <v>0</v>
      </c>
      <c r="X266" s="1413">
        <f t="shared" ca="1" si="53"/>
        <v>0</v>
      </c>
      <c r="Y266" s="1413">
        <f t="shared" ca="1" si="53"/>
        <v>0</v>
      </c>
      <c r="Z266" s="1413">
        <f t="shared" ca="1" si="53"/>
        <v>0</v>
      </c>
      <c r="AA266" s="1413">
        <f t="shared" ca="1" si="53"/>
        <v>0</v>
      </c>
      <c r="AB266" s="1413">
        <f t="shared" ca="1" si="53"/>
        <v>0</v>
      </c>
      <c r="AC266" s="1413">
        <f t="shared" ca="1" si="53"/>
        <v>0</v>
      </c>
      <c r="AD266" s="1413">
        <f t="shared" ca="1" si="53"/>
        <v>0</v>
      </c>
      <c r="AE266" s="1413">
        <f t="shared" ca="1" si="53"/>
        <v>0</v>
      </c>
      <c r="AF266" s="1413">
        <f t="shared" ca="1" si="53"/>
        <v>0</v>
      </c>
      <c r="AG266" s="1413">
        <f t="shared" ca="1" si="53"/>
        <v>0</v>
      </c>
      <c r="AH266" s="1413">
        <f t="shared" ca="1" si="53"/>
        <v>0</v>
      </c>
      <c r="AI266" s="1413">
        <f t="shared" ca="1" si="53"/>
        <v>0</v>
      </c>
      <c r="AJ266" s="1413">
        <f t="shared" ca="1" si="53"/>
        <v>0</v>
      </c>
      <c r="AK266" s="1413">
        <f t="shared" ca="1" si="53"/>
        <v>0</v>
      </c>
      <c r="AL266" s="1413">
        <f t="shared" ca="1" si="53"/>
        <v>0</v>
      </c>
      <c r="AM266" s="1413">
        <f t="shared" ca="1" si="53"/>
        <v>0</v>
      </c>
    </row>
    <row r="267" spans="3:39">
      <c r="C267" t="s">
        <v>210</v>
      </c>
      <c r="H267" s="1416">
        <f>IFERROR(VLOOKUP(C267,Assumptions_Dashboard!$C$38:$D$72,4,FALSE),)/10^7</f>
        <v>0</v>
      </c>
      <c r="I267" s="1281"/>
      <c r="J267" s="1413">
        <f t="shared" ca="1" si="53"/>
        <v>0</v>
      </c>
      <c r="K267" s="1413">
        <f t="shared" ca="1" si="53"/>
        <v>0</v>
      </c>
      <c r="L267" s="1413">
        <f t="shared" ca="1" si="53"/>
        <v>0</v>
      </c>
      <c r="M267" s="1413">
        <f t="shared" ca="1" si="53"/>
        <v>0</v>
      </c>
      <c r="N267" s="1413">
        <f t="shared" ca="1" si="53"/>
        <v>0</v>
      </c>
      <c r="O267" s="1413">
        <f t="shared" ca="1" si="53"/>
        <v>0</v>
      </c>
      <c r="P267" s="1413">
        <f t="shared" ca="1" si="53"/>
        <v>0</v>
      </c>
      <c r="Q267" s="1413">
        <f t="shared" ca="1" si="53"/>
        <v>0</v>
      </c>
      <c r="R267" s="1413">
        <f t="shared" ca="1" si="53"/>
        <v>0</v>
      </c>
      <c r="S267" s="1413">
        <f t="shared" ca="1" si="53"/>
        <v>0</v>
      </c>
      <c r="T267" s="1413">
        <f t="shared" ca="1" si="53"/>
        <v>0</v>
      </c>
      <c r="U267" s="1413">
        <f t="shared" ca="1" si="53"/>
        <v>0</v>
      </c>
      <c r="V267" s="1413">
        <f t="shared" ca="1" si="53"/>
        <v>0</v>
      </c>
      <c r="W267" s="1413">
        <f t="shared" ca="1" si="53"/>
        <v>0</v>
      </c>
      <c r="X267" s="1413">
        <f t="shared" ca="1" si="53"/>
        <v>0</v>
      </c>
      <c r="Y267" s="1413">
        <f t="shared" ca="1" si="53"/>
        <v>0</v>
      </c>
      <c r="Z267" s="1413">
        <f t="shared" ca="1" si="53"/>
        <v>0</v>
      </c>
      <c r="AA267" s="1413">
        <f t="shared" ca="1" si="53"/>
        <v>0</v>
      </c>
      <c r="AB267" s="1413">
        <f t="shared" ca="1" si="53"/>
        <v>0</v>
      </c>
      <c r="AC267" s="1413">
        <f t="shared" ca="1" si="53"/>
        <v>0</v>
      </c>
      <c r="AD267" s="1413">
        <f t="shared" ca="1" si="53"/>
        <v>0</v>
      </c>
      <c r="AE267" s="1413">
        <f t="shared" ca="1" si="53"/>
        <v>0</v>
      </c>
      <c r="AF267" s="1413">
        <f t="shared" ca="1" si="53"/>
        <v>0</v>
      </c>
      <c r="AG267" s="1413">
        <f t="shared" ca="1" si="53"/>
        <v>0</v>
      </c>
      <c r="AH267" s="1413">
        <f t="shared" ca="1" si="53"/>
        <v>0</v>
      </c>
      <c r="AI267" s="1413">
        <f t="shared" ca="1" si="53"/>
        <v>0</v>
      </c>
      <c r="AJ267" s="1413">
        <f t="shared" ca="1" si="53"/>
        <v>0</v>
      </c>
      <c r="AK267" s="1413">
        <f t="shared" ca="1" si="53"/>
        <v>0</v>
      </c>
      <c r="AL267" s="1413">
        <f t="shared" ca="1" si="53"/>
        <v>0</v>
      </c>
      <c r="AM267" s="1413">
        <f t="shared" ca="1" si="53"/>
        <v>0</v>
      </c>
    </row>
    <row r="268" spans="3:39">
      <c r="C268" t="s">
        <v>211</v>
      </c>
      <c r="H268" s="1416">
        <f>IFERROR(VLOOKUP(C268,Assumptions_Dashboard!$C$38:$D$72,4,FALSE),)/10^7</f>
        <v>0</v>
      </c>
      <c r="I268" s="1281"/>
      <c r="J268" s="1413">
        <f t="shared" ca="1" si="53"/>
        <v>0</v>
      </c>
      <c r="K268" s="1413">
        <f t="shared" ca="1" si="53"/>
        <v>0</v>
      </c>
      <c r="L268" s="1413">
        <f t="shared" ca="1" si="53"/>
        <v>0</v>
      </c>
      <c r="M268" s="1413">
        <f t="shared" ca="1" si="53"/>
        <v>0</v>
      </c>
      <c r="N268" s="1413">
        <f t="shared" ca="1" si="53"/>
        <v>0</v>
      </c>
      <c r="O268" s="1413">
        <f t="shared" ca="1" si="53"/>
        <v>0</v>
      </c>
      <c r="P268" s="1413">
        <f t="shared" ca="1" si="53"/>
        <v>0</v>
      </c>
      <c r="Q268" s="1413">
        <f t="shared" ca="1" si="53"/>
        <v>0</v>
      </c>
      <c r="R268" s="1413">
        <f t="shared" ca="1" si="53"/>
        <v>0</v>
      </c>
      <c r="S268" s="1413">
        <f t="shared" ca="1" si="53"/>
        <v>0</v>
      </c>
      <c r="T268" s="1413">
        <f t="shared" ca="1" si="53"/>
        <v>0</v>
      </c>
      <c r="U268" s="1413">
        <f t="shared" ca="1" si="53"/>
        <v>0</v>
      </c>
      <c r="V268" s="1413">
        <f t="shared" ca="1" si="53"/>
        <v>0</v>
      </c>
      <c r="W268" s="1413">
        <f t="shared" ca="1" si="53"/>
        <v>0</v>
      </c>
      <c r="X268" s="1413">
        <f t="shared" ca="1" si="53"/>
        <v>0</v>
      </c>
      <c r="Y268" s="1413">
        <f t="shared" ca="1" si="53"/>
        <v>0</v>
      </c>
      <c r="Z268" s="1413">
        <f t="shared" ca="1" si="53"/>
        <v>0</v>
      </c>
      <c r="AA268" s="1413">
        <f t="shared" ca="1" si="53"/>
        <v>0</v>
      </c>
      <c r="AB268" s="1413">
        <f t="shared" ca="1" si="53"/>
        <v>0</v>
      </c>
      <c r="AC268" s="1413">
        <f t="shared" ca="1" si="53"/>
        <v>0</v>
      </c>
      <c r="AD268" s="1413">
        <f t="shared" ca="1" si="53"/>
        <v>0</v>
      </c>
      <c r="AE268" s="1413">
        <f t="shared" ca="1" si="53"/>
        <v>0</v>
      </c>
      <c r="AF268" s="1413">
        <f t="shared" ca="1" si="53"/>
        <v>0</v>
      </c>
      <c r="AG268" s="1413">
        <f t="shared" ca="1" si="53"/>
        <v>0</v>
      </c>
      <c r="AH268" s="1413">
        <f t="shared" ca="1" si="53"/>
        <v>0</v>
      </c>
      <c r="AI268" s="1413">
        <f t="shared" ca="1" si="53"/>
        <v>0</v>
      </c>
      <c r="AJ268" s="1413">
        <f t="shared" ca="1" si="53"/>
        <v>0</v>
      </c>
      <c r="AK268" s="1413">
        <f t="shared" ca="1" si="53"/>
        <v>0</v>
      </c>
      <c r="AL268" s="1413">
        <f t="shared" ca="1" si="53"/>
        <v>0</v>
      </c>
      <c r="AM268" s="1413">
        <f t="shared" ca="1" si="53"/>
        <v>0</v>
      </c>
    </row>
    <row r="269" spans="3:39">
      <c r="C269" t="s">
        <v>212</v>
      </c>
      <c r="H269" s="1416">
        <f>IFERROR(VLOOKUP(C269,Assumptions_Dashboard!$C$38:$D$72,4,FALSE),)/10^7</f>
        <v>0</v>
      </c>
      <c r="I269" s="1281"/>
      <c r="J269" s="1413">
        <f t="shared" ca="1" si="53"/>
        <v>0</v>
      </c>
      <c r="K269" s="1413">
        <f t="shared" ca="1" si="53"/>
        <v>0</v>
      </c>
      <c r="L269" s="1413">
        <f t="shared" ca="1" si="53"/>
        <v>0</v>
      </c>
      <c r="M269" s="1413">
        <f t="shared" ca="1" si="53"/>
        <v>0</v>
      </c>
      <c r="N269" s="1413">
        <f t="shared" ca="1" si="53"/>
        <v>0</v>
      </c>
      <c r="O269" s="1413">
        <f t="shared" ca="1" si="53"/>
        <v>0</v>
      </c>
      <c r="P269" s="1413">
        <f t="shared" ca="1" si="53"/>
        <v>0</v>
      </c>
      <c r="Q269" s="1413">
        <f t="shared" ca="1" si="53"/>
        <v>0</v>
      </c>
      <c r="R269" s="1413">
        <f t="shared" ca="1" si="53"/>
        <v>0</v>
      </c>
      <c r="S269" s="1413">
        <f t="shared" ca="1" si="53"/>
        <v>0</v>
      </c>
      <c r="T269" s="1413">
        <f t="shared" ca="1" si="53"/>
        <v>0</v>
      </c>
      <c r="U269" s="1413">
        <f t="shared" ca="1" si="53"/>
        <v>0</v>
      </c>
      <c r="V269" s="1413">
        <f t="shared" ca="1" si="53"/>
        <v>0</v>
      </c>
      <c r="W269" s="1413">
        <f t="shared" ca="1" si="53"/>
        <v>0</v>
      </c>
      <c r="X269" s="1413">
        <f t="shared" ca="1" si="53"/>
        <v>0</v>
      </c>
      <c r="Y269" s="1413">
        <f t="shared" ca="1" si="53"/>
        <v>0</v>
      </c>
      <c r="Z269" s="1413">
        <f t="shared" ca="1" si="53"/>
        <v>0</v>
      </c>
      <c r="AA269" s="1413">
        <f t="shared" ca="1" si="53"/>
        <v>0</v>
      </c>
      <c r="AB269" s="1413">
        <f t="shared" ca="1" si="53"/>
        <v>0</v>
      </c>
      <c r="AC269" s="1413">
        <f t="shared" ca="1" si="53"/>
        <v>0</v>
      </c>
      <c r="AD269" s="1413">
        <f t="shared" ca="1" si="53"/>
        <v>0</v>
      </c>
      <c r="AE269" s="1413">
        <f t="shared" ca="1" si="53"/>
        <v>0</v>
      </c>
      <c r="AF269" s="1413">
        <f t="shared" ca="1" si="53"/>
        <v>0</v>
      </c>
      <c r="AG269" s="1413">
        <f t="shared" ca="1" si="53"/>
        <v>0</v>
      </c>
      <c r="AH269" s="1413">
        <f t="shared" ca="1" si="53"/>
        <v>0</v>
      </c>
      <c r="AI269" s="1413">
        <f t="shared" ca="1" si="53"/>
        <v>0</v>
      </c>
      <c r="AJ269" s="1413">
        <f t="shared" ca="1" si="53"/>
        <v>0</v>
      </c>
      <c r="AK269" s="1413">
        <f t="shared" ca="1" si="53"/>
        <v>0</v>
      </c>
      <c r="AL269" s="1413">
        <f t="shared" ca="1" si="53"/>
        <v>0</v>
      </c>
      <c r="AM269" s="1413">
        <f t="shared" ca="1" si="53"/>
        <v>0</v>
      </c>
    </row>
    <row r="270" spans="3:39">
      <c r="C270" t="s">
        <v>213</v>
      </c>
      <c r="H270" s="1416">
        <f>IFERROR(VLOOKUP(C270,Assumptions_Dashboard!$C$38:$D$72,4,FALSE),)/10^7</f>
        <v>0</v>
      </c>
      <c r="I270" s="1281"/>
      <c r="J270" s="1413">
        <f t="shared" ca="1" si="53"/>
        <v>0</v>
      </c>
      <c r="K270" s="1413">
        <f t="shared" ca="1" si="53"/>
        <v>0</v>
      </c>
      <c r="L270" s="1413">
        <f t="shared" ca="1" si="53"/>
        <v>0</v>
      </c>
      <c r="M270" s="1413">
        <f t="shared" ca="1" si="53"/>
        <v>0</v>
      </c>
      <c r="N270" s="1413">
        <f t="shared" ca="1" si="53"/>
        <v>0</v>
      </c>
      <c r="O270" s="1413">
        <f t="shared" ca="1" si="53"/>
        <v>0</v>
      </c>
      <c r="P270" s="1413">
        <f t="shared" ca="1" si="53"/>
        <v>0</v>
      </c>
      <c r="Q270" s="1413">
        <f t="shared" ca="1" si="53"/>
        <v>0</v>
      </c>
      <c r="R270" s="1413">
        <f t="shared" ca="1" si="53"/>
        <v>0</v>
      </c>
      <c r="S270" s="1413">
        <f t="shared" ca="1" si="53"/>
        <v>0</v>
      </c>
      <c r="T270" s="1413">
        <f t="shared" ca="1" si="53"/>
        <v>0</v>
      </c>
      <c r="U270" s="1413">
        <f t="shared" ca="1" si="53"/>
        <v>0</v>
      </c>
      <c r="V270" s="1413">
        <f t="shared" ca="1" si="53"/>
        <v>0</v>
      </c>
      <c r="W270" s="1413">
        <f t="shared" ca="1" si="53"/>
        <v>0</v>
      </c>
      <c r="X270" s="1413">
        <f t="shared" ca="1" si="53"/>
        <v>0</v>
      </c>
      <c r="Y270" s="1413">
        <f t="shared" ca="1" si="53"/>
        <v>0</v>
      </c>
      <c r="Z270" s="1413">
        <f t="shared" ca="1" si="53"/>
        <v>0</v>
      </c>
      <c r="AA270" s="1413">
        <f t="shared" ca="1" si="53"/>
        <v>0</v>
      </c>
      <c r="AB270" s="1413">
        <f t="shared" ca="1" si="53"/>
        <v>0</v>
      </c>
      <c r="AC270" s="1413">
        <f t="shared" ca="1" si="53"/>
        <v>0</v>
      </c>
      <c r="AD270" s="1413">
        <f t="shared" ca="1" si="53"/>
        <v>0</v>
      </c>
      <c r="AE270" s="1413">
        <f t="shared" ca="1" si="53"/>
        <v>0</v>
      </c>
      <c r="AF270" s="1413">
        <f t="shared" ca="1" si="53"/>
        <v>0</v>
      </c>
      <c r="AG270" s="1413">
        <f t="shared" ca="1" si="53"/>
        <v>0</v>
      </c>
      <c r="AH270" s="1413">
        <f t="shared" ca="1" si="53"/>
        <v>0</v>
      </c>
      <c r="AI270" s="1413">
        <f t="shared" ca="1" si="53"/>
        <v>0</v>
      </c>
      <c r="AJ270" s="1413">
        <f t="shared" ca="1" si="53"/>
        <v>0</v>
      </c>
      <c r="AK270" s="1413">
        <f t="shared" ca="1" si="53"/>
        <v>0</v>
      </c>
      <c r="AL270" s="1413">
        <f t="shared" ca="1" si="53"/>
        <v>0</v>
      </c>
      <c r="AM270" s="1413">
        <f t="shared" ca="1" si="53"/>
        <v>0</v>
      </c>
    </row>
    <row r="271" spans="3:39">
      <c r="C271" t="s">
        <v>216</v>
      </c>
      <c r="H271" s="1416">
        <f>IFERROR(VLOOKUP(C271,Assumptions_Dashboard!$C$38:$D$72,4,FALSE),)/10^7</f>
        <v>0</v>
      </c>
      <c r="I271" s="1281"/>
      <c r="J271" s="1413">
        <f t="shared" ref="J271:AM277" ca="1" si="54">$H271*J244</f>
        <v>0</v>
      </c>
      <c r="K271" s="1413">
        <f t="shared" ca="1" si="54"/>
        <v>0</v>
      </c>
      <c r="L271" s="1413">
        <f t="shared" ca="1" si="54"/>
        <v>0</v>
      </c>
      <c r="M271" s="1413">
        <f t="shared" ca="1" si="54"/>
        <v>0</v>
      </c>
      <c r="N271" s="1413">
        <f t="shared" ca="1" si="54"/>
        <v>0</v>
      </c>
      <c r="O271" s="1413">
        <f t="shared" ca="1" si="54"/>
        <v>0</v>
      </c>
      <c r="P271" s="1413">
        <f t="shared" ca="1" si="54"/>
        <v>0</v>
      </c>
      <c r="Q271" s="1413">
        <f t="shared" ca="1" si="54"/>
        <v>0</v>
      </c>
      <c r="R271" s="1413">
        <f t="shared" ca="1" si="54"/>
        <v>0</v>
      </c>
      <c r="S271" s="1413">
        <f t="shared" ca="1" si="54"/>
        <v>0</v>
      </c>
      <c r="T271" s="1413">
        <f t="shared" ca="1" si="54"/>
        <v>0</v>
      </c>
      <c r="U271" s="1413">
        <f t="shared" ca="1" si="54"/>
        <v>0</v>
      </c>
      <c r="V271" s="1413">
        <f t="shared" ca="1" si="54"/>
        <v>0</v>
      </c>
      <c r="W271" s="1413">
        <f t="shared" ca="1" si="54"/>
        <v>0</v>
      </c>
      <c r="X271" s="1413">
        <f t="shared" ca="1" si="54"/>
        <v>0</v>
      </c>
      <c r="Y271" s="1413">
        <f t="shared" ca="1" si="54"/>
        <v>0</v>
      </c>
      <c r="Z271" s="1413">
        <f t="shared" ca="1" si="54"/>
        <v>0</v>
      </c>
      <c r="AA271" s="1413">
        <f t="shared" ca="1" si="54"/>
        <v>0</v>
      </c>
      <c r="AB271" s="1413">
        <f t="shared" ca="1" si="54"/>
        <v>0</v>
      </c>
      <c r="AC271" s="1413">
        <f t="shared" ca="1" si="54"/>
        <v>0</v>
      </c>
      <c r="AD271" s="1413">
        <f t="shared" ca="1" si="54"/>
        <v>0</v>
      </c>
      <c r="AE271" s="1413">
        <f t="shared" ca="1" si="54"/>
        <v>0</v>
      </c>
      <c r="AF271" s="1413">
        <f t="shared" ca="1" si="54"/>
        <v>0</v>
      </c>
      <c r="AG271" s="1413">
        <f t="shared" ca="1" si="54"/>
        <v>0</v>
      </c>
      <c r="AH271" s="1413">
        <f t="shared" ca="1" si="54"/>
        <v>0</v>
      </c>
      <c r="AI271" s="1413">
        <f t="shared" ca="1" si="54"/>
        <v>0</v>
      </c>
      <c r="AJ271" s="1413">
        <f t="shared" ca="1" si="54"/>
        <v>0</v>
      </c>
      <c r="AK271" s="1413">
        <f t="shared" ca="1" si="54"/>
        <v>0</v>
      </c>
      <c r="AL271" s="1413">
        <f t="shared" ca="1" si="54"/>
        <v>0</v>
      </c>
      <c r="AM271" s="1413">
        <f t="shared" ca="1" si="54"/>
        <v>0</v>
      </c>
    </row>
    <row r="272" spans="3:39">
      <c r="C272" t="s">
        <v>218</v>
      </c>
      <c r="H272" s="1416">
        <f>IFERROR(VLOOKUP(C272,Assumptions_Dashboard!$C$38:$D$72,4,FALSE),)/10^7</f>
        <v>0</v>
      </c>
      <c r="I272" s="1281"/>
      <c r="J272" s="1413">
        <f t="shared" ca="1" si="54"/>
        <v>0</v>
      </c>
      <c r="K272" s="1413">
        <f t="shared" ca="1" si="54"/>
        <v>0</v>
      </c>
      <c r="L272" s="1413">
        <f t="shared" ca="1" si="54"/>
        <v>0</v>
      </c>
      <c r="M272" s="1413">
        <f t="shared" ca="1" si="54"/>
        <v>0</v>
      </c>
      <c r="N272" s="1413">
        <f t="shared" ca="1" si="54"/>
        <v>0</v>
      </c>
      <c r="O272" s="1413">
        <f t="shared" ca="1" si="54"/>
        <v>0</v>
      </c>
      <c r="P272" s="1413">
        <f t="shared" ca="1" si="54"/>
        <v>0</v>
      </c>
      <c r="Q272" s="1413">
        <f t="shared" ca="1" si="54"/>
        <v>0</v>
      </c>
      <c r="R272" s="1413">
        <f t="shared" ca="1" si="54"/>
        <v>0</v>
      </c>
      <c r="S272" s="1413">
        <f t="shared" ca="1" si="54"/>
        <v>0</v>
      </c>
      <c r="T272" s="1413">
        <f t="shared" ca="1" si="54"/>
        <v>0</v>
      </c>
      <c r="U272" s="1413">
        <f t="shared" ca="1" si="54"/>
        <v>0</v>
      </c>
      <c r="V272" s="1413">
        <f t="shared" ca="1" si="54"/>
        <v>0</v>
      </c>
      <c r="W272" s="1413">
        <f t="shared" ca="1" si="54"/>
        <v>0</v>
      </c>
      <c r="X272" s="1413">
        <f t="shared" ca="1" si="54"/>
        <v>0</v>
      </c>
      <c r="Y272" s="1413">
        <f t="shared" ca="1" si="54"/>
        <v>0</v>
      </c>
      <c r="Z272" s="1413">
        <f t="shared" ca="1" si="54"/>
        <v>0</v>
      </c>
      <c r="AA272" s="1413">
        <f t="shared" ca="1" si="54"/>
        <v>0</v>
      </c>
      <c r="AB272" s="1413">
        <f t="shared" ca="1" si="54"/>
        <v>0</v>
      </c>
      <c r="AC272" s="1413">
        <f t="shared" ca="1" si="54"/>
        <v>0</v>
      </c>
      <c r="AD272" s="1413">
        <f t="shared" ca="1" si="54"/>
        <v>0</v>
      </c>
      <c r="AE272" s="1413">
        <f t="shared" ca="1" si="54"/>
        <v>0</v>
      </c>
      <c r="AF272" s="1413">
        <f t="shared" ca="1" si="54"/>
        <v>0</v>
      </c>
      <c r="AG272" s="1413">
        <f t="shared" ca="1" si="54"/>
        <v>0</v>
      </c>
      <c r="AH272" s="1413">
        <f t="shared" ca="1" si="54"/>
        <v>0</v>
      </c>
      <c r="AI272" s="1413">
        <f t="shared" ca="1" si="54"/>
        <v>0</v>
      </c>
      <c r="AJ272" s="1413">
        <f t="shared" ca="1" si="54"/>
        <v>0</v>
      </c>
      <c r="AK272" s="1413">
        <f t="shared" ca="1" si="54"/>
        <v>0</v>
      </c>
      <c r="AL272" s="1413">
        <f t="shared" ca="1" si="54"/>
        <v>0</v>
      </c>
      <c r="AM272" s="1413">
        <f t="shared" ca="1" si="54"/>
        <v>0</v>
      </c>
    </row>
    <row r="273" spans="3:39">
      <c r="C273" t="s">
        <v>220</v>
      </c>
      <c r="H273" s="1416">
        <f>IFERROR(VLOOKUP(C273,Assumptions_Dashboard!$C$38:$D$72,4,FALSE),)/10^7</f>
        <v>0</v>
      </c>
      <c r="I273" s="1281"/>
      <c r="J273" s="1413">
        <f t="shared" ca="1" si="54"/>
        <v>0</v>
      </c>
      <c r="K273" s="1413">
        <f t="shared" ca="1" si="54"/>
        <v>0</v>
      </c>
      <c r="L273" s="1413">
        <f t="shared" ca="1" si="54"/>
        <v>0</v>
      </c>
      <c r="M273" s="1413">
        <f t="shared" ca="1" si="54"/>
        <v>0</v>
      </c>
      <c r="N273" s="1413">
        <f t="shared" ca="1" si="54"/>
        <v>0</v>
      </c>
      <c r="O273" s="1413">
        <f t="shared" ca="1" si="54"/>
        <v>0</v>
      </c>
      <c r="P273" s="1413">
        <f t="shared" ca="1" si="54"/>
        <v>0</v>
      </c>
      <c r="Q273" s="1413">
        <f t="shared" ca="1" si="54"/>
        <v>0</v>
      </c>
      <c r="R273" s="1413">
        <f t="shared" ca="1" si="54"/>
        <v>0</v>
      </c>
      <c r="S273" s="1413">
        <f t="shared" ca="1" si="54"/>
        <v>0</v>
      </c>
      <c r="T273" s="1413">
        <f t="shared" ca="1" si="54"/>
        <v>0</v>
      </c>
      <c r="U273" s="1413">
        <f t="shared" ca="1" si="54"/>
        <v>0</v>
      </c>
      <c r="V273" s="1413">
        <f t="shared" ca="1" si="54"/>
        <v>0</v>
      </c>
      <c r="W273" s="1413">
        <f t="shared" ca="1" si="54"/>
        <v>0</v>
      </c>
      <c r="X273" s="1413">
        <f t="shared" ca="1" si="54"/>
        <v>0</v>
      </c>
      <c r="Y273" s="1413">
        <f t="shared" ca="1" si="54"/>
        <v>0</v>
      </c>
      <c r="Z273" s="1413">
        <f t="shared" ca="1" si="54"/>
        <v>0</v>
      </c>
      <c r="AA273" s="1413">
        <f t="shared" ca="1" si="54"/>
        <v>0</v>
      </c>
      <c r="AB273" s="1413">
        <f t="shared" ca="1" si="54"/>
        <v>0</v>
      </c>
      <c r="AC273" s="1413">
        <f t="shared" ca="1" si="54"/>
        <v>0</v>
      </c>
      <c r="AD273" s="1413">
        <f t="shared" ca="1" si="54"/>
        <v>0</v>
      </c>
      <c r="AE273" s="1413">
        <f t="shared" ca="1" si="54"/>
        <v>0</v>
      </c>
      <c r="AF273" s="1413">
        <f t="shared" ca="1" si="54"/>
        <v>0</v>
      </c>
      <c r="AG273" s="1413">
        <f t="shared" ca="1" si="54"/>
        <v>0</v>
      </c>
      <c r="AH273" s="1413">
        <f t="shared" ca="1" si="54"/>
        <v>0</v>
      </c>
      <c r="AI273" s="1413">
        <f t="shared" ca="1" si="54"/>
        <v>0</v>
      </c>
      <c r="AJ273" s="1413">
        <f t="shared" ca="1" si="54"/>
        <v>0</v>
      </c>
      <c r="AK273" s="1413">
        <f t="shared" ca="1" si="54"/>
        <v>0</v>
      </c>
      <c r="AL273" s="1413">
        <f t="shared" ca="1" si="54"/>
        <v>0</v>
      </c>
      <c r="AM273" s="1413">
        <f t="shared" ca="1" si="54"/>
        <v>0</v>
      </c>
    </row>
    <row r="274" spans="3:39">
      <c r="C274" t="s">
        <v>223</v>
      </c>
      <c r="H274" s="1416">
        <f>IFERROR(VLOOKUP(C274,Assumptions_Dashboard!$C$38:$D$72,4,FALSE),)/10^7</f>
        <v>0</v>
      </c>
      <c r="I274" s="1281"/>
      <c r="J274" s="1413">
        <f t="shared" ca="1" si="54"/>
        <v>0</v>
      </c>
      <c r="K274" s="1413">
        <f t="shared" ca="1" si="54"/>
        <v>0</v>
      </c>
      <c r="L274" s="1413">
        <f t="shared" ca="1" si="54"/>
        <v>0</v>
      </c>
      <c r="M274" s="1413">
        <f t="shared" ca="1" si="54"/>
        <v>0</v>
      </c>
      <c r="N274" s="1413">
        <f t="shared" ca="1" si="54"/>
        <v>0</v>
      </c>
      <c r="O274" s="1413">
        <f t="shared" ca="1" si="54"/>
        <v>0</v>
      </c>
      <c r="P274" s="1413">
        <f t="shared" ca="1" si="54"/>
        <v>0</v>
      </c>
      <c r="Q274" s="1413">
        <f t="shared" ca="1" si="54"/>
        <v>0</v>
      </c>
      <c r="R274" s="1413">
        <f t="shared" ca="1" si="54"/>
        <v>0</v>
      </c>
      <c r="S274" s="1413">
        <f t="shared" ca="1" si="54"/>
        <v>0</v>
      </c>
      <c r="T274" s="1413">
        <f t="shared" ca="1" si="54"/>
        <v>0</v>
      </c>
      <c r="U274" s="1413">
        <f t="shared" ca="1" si="54"/>
        <v>0</v>
      </c>
      <c r="V274" s="1413">
        <f t="shared" ca="1" si="54"/>
        <v>0</v>
      </c>
      <c r="W274" s="1413">
        <f t="shared" ca="1" si="54"/>
        <v>0</v>
      </c>
      <c r="X274" s="1413">
        <f t="shared" ca="1" si="54"/>
        <v>0</v>
      </c>
      <c r="Y274" s="1413">
        <f t="shared" ca="1" si="54"/>
        <v>0</v>
      </c>
      <c r="Z274" s="1413">
        <f t="shared" ca="1" si="54"/>
        <v>0</v>
      </c>
      <c r="AA274" s="1413">
        <f t="shared" ca="1" si="54"/>
        <v>0</v>
      </c>
      <c r="AB274" s="1413">
        <f t="shared" ca="1" si="54"/>
        <v>0</v>
      </c>
      <c r="AC274" s="1413">
        <f t="shared" ca="1" si="54"/>
        <v>0</v>
      </c>
      <c r="AD274" s="1413">
        <f t="shared" ca="1" si="54"/>
        <v>0</v>
      </c>
      <c r="AE274" s="1413">
        <f t="shared" ca="1" si="54"/>
        <v>0</v>
      </c>
      <c r="AF274" s="1413">
        <f t="shared" ca="1" si="54"/>
        <v>0</v>
      </c>
      <c r="AG274" s="1413">
        <f t="shared" ca="1" si="54"/>
        <v>0</v>
      </c>
      <c r="AH274" s="1413">
        <f t="shared" ca="1" si="54"/>
        <v>0</v>
      </c>
      <c r="AI274" s="1413">
        <f t="shared" ca="1" si="54"/>
        <v>0</v>
      </c>
      <c r="AJ274" s="1413">
        <f t="shared" ca="1" si="54"/>
        <v>0</v>
      </c>
      <c r="AK274" s="1413">
        <f t="shared" ca="1" si="54"/>
        <v>0</v>
      </c>
      <c r="AL274" s="1413">
        <f t="shared" ca="1" si="54"/>
        <v>0</v>
      </c>
      <c r="AM274" s="1413">
        <f t="shared" ca="1" si="54"/>
        <v>0</v>
      </c>
    </row>
    <row r="275" spans="3:39">
      <c r="C275" t="s">
        <v>226</v>
      </c>
      <c r="H275" s="1416">
        <f>IFERROR(VLOOKUP(C275,Assumptions_Dashboard!$C$38:$D$72,4,FALSE),)/10^7</f>
        <v>0</v>
      </c>
      <c r="I275" s="1281"/>
      <c r="J275" s="1413">
        <f t="shared" ca="1" si="54"/>
        <v>0</v>
      </c>
      <c r="K275" s="1413">
        <f t="shared" ca="1" si="54"/>
        <v>0</v>
      </c>
      <c r="L275" s="1413">
        <f t="shared" ca="1" si="54"/>
        <v>0</v>
      </c>
      <c r="M275" s="1413">
        <f t="shared" ca="1" si="54"/>
        <v>0</v>
      </c>
      <c r="N275" s="1413">
        <f t="shared" ca="1" si="54"/>
        <v>0</v>
      </c>
      <c r="O275" s="1413">
        <f t="shared" ca="1" si="54"/>
        <v>0</v>
      </c>
      <c r="P275" s="1413">
        <f t="shared" ca="1" si="54"/>
        <v>0</v>
      </c>
      <c r="Q275" s="1413">
        <f t="shared" ca="1" si="54"/>
        <v>0</v>
      </c>
      <c r="R275" s="1413">
        <f t="shared" ca="1" si="54"/>
        <v>0</v>
      </c>
      <c r="S275" s="1413">
        <f t="shared" ca="1" si="54"/>
        <v>0</v>
      </c>
      <c r="T275" s="1413">
        <f t="shared" ca="1" si="54"/>
        <v>0</v>
      </c>
      <c r="U275" s="1413">
        <f t="shared" ca="1" si="54"/>
        <v>0</v>
      </c>
      <c r="V275" s="1413">
        <f t="shared" ca="1" si="54"/>
        <v>0</v>
      </c>
      <c r="W275" s="1413">
        <f t="shared" ca="1" si="54"/>
        <v>0</v>
      </c>
      <c r="X275" s="1413">
        <f t="shared" ca="1" si="54"/>
        <v>0</v>
      </c>
      <c r="Y275" s="1413">
        <f t="shared" ca="1" si="54"/>
        <v>0</v>
      </c>
      <c r="Z275" s="1413">
        <f t="shared" ca="1" si="54"/>
        <v>0</v>
      </c>
      <c r="AA275" s="1413">
        <f t="shared" ca="1" si="54"/>
        <v>0</v>
      </c>
      <c r="AB275" s="1413">
        <f t="shared" ca="1" si="54"/>
        <v>0</v>
      </c>
      <c r="AC275" s="1413">
        <f t="shared" ca="1" si="54"/>
        <v>0</v>
      </c>
      <c r="AD275" s="1413">
        <f t="shared" ca="1" si="54"/>
        <v>0</v>
      </c>
      <c r="AE275" s="1413">
        <f t="shared" ca="1" si="54"/>
        <v>0</v>
      </c>
      <c r="AF275" s="1413">
        <f t="shared" ca="1" si="54"/>
        <v>0</v>
      </c>
      <c r="AG275" s="1413">
        <f t="shared" ca="1" si="54"/>
        <v>0</v>
      </c>
      <c r="AH275" s="1413">
        <f t="shared" ca="1" si="54"/>
        <v>0</v>
      </c>
      <c r="AI275" s="1413">
        <f t="shared" ca="1" si="54"/>
        <v>0</v>
      </c>
      <c r="AJ275" s="1413">
        <f t="shared" ca="1" si="54"/>
        <v>0</v>
      </c>
      <c r="AK275" s="1413">
        <f t="shared" ca="1" si="54"/>
        <v>0</v>
      </c>
      <c r="AL275" s="1413">
        <f t="shared" ca="1" si="54"/>
        <v>0</v>
      </c>
      <c r="AM275" s="1413">
        <f t="shared" ca="1" si="54"/>
        <v>0</v>
      </c>
    </row>
    <row r="276" spans="3:39">
      <c r="C276" t="s">
        <v>228</v>
      </c>
      <c r="H276" s="1416">
        <f>IFERROR(VLOOKUP(C276,Assumptions_Dashboard!$C$38:$D$72,4,FALSE),)/10^7</f>
        <v>0</v>
      </c>
      <c r="I276" s="1281"/>
      <c r="J276" s="1413">
        <f t="shared" ca="1" si="54"/>
        <v>0</v>
      </c>
      <c r="K276" s="1413">
        <f t="shared" ca="1" si="54"/>
        <v>0</v>
      </c>
      <c r="L276" s="1413">
        <f t="shared" ca="1" si="54"/>
        <v>0</v>
      </c>
      <c r="M276" s="1413">
        <f t="shared" ca="1" si="54"/>
        <v>0</v>
      </c>
      <c r="N276" s="1413">
        <f t="shared" ca="1" si="54"/>
        <v>0</v>
      </c>
      <c r="O276" s="1413">
        <f t="shared" ca="1" si="54"/>
        <v>0</v>
      </c>
      <c r="P276" s="1413">
        <f t="shared" ca="1" si="54"/>
        <v>0</v>
      </c>
      <c r="Q276" s="1413">
        <f t="shared" ca="1" si="54"/>
        <v>0</v>
      </c>
      <c r="R276" s="1413">
        <f t="shared" ca="1" si="54"/>
        <v>0</v>
      </c>
      <c r="S276" s="1413">
        <f t="shared" ca="1" si="54"/>
        <v>0</v>
      </c>
      <c r="T276" s="1413">
        <f t="shared" ca="1" si="54"/>
        <v>0</v>
      </c>
      <c r="U276" s="1413">
        <f t="shared" ca="1" si="54"/>
        <v>0</v>
      </c>
      <c r="V276" s="1413">
        <f t="shared" ca="1" si="54"/>
        <v>0</v>
      </c>
      <c r="W276" s="1413">
        <f t="shared" ca="1" si="54"/>
        <v>0</v>
      </c>
      <c r="X276" s="1413">
        <f t="shared" ca="1" si="54"/>
        <v>0</v>
      </c>
      <c r="Y276" s="1413">
        <f t="shared" ca="1" si="54"/>
        <v>0</v>
      </c>
      <c r="Z276" s="1413">
        <f t="shared" ca="1" si="54"/>
        <v>0</v>
      </c>
      <c r="AA276" s="1413">
        <f t="shared" ca="1" si="54"/>
        <v>0</v>
      </c>
      <c r="AB276" s="1413">
        <f t="shared" ca="1" si="54"/>
        <v>0</v>
      </c>
      <c r="AC276" s="1413">
        <f t="shared" ca="1" si="54"/>
        <v>0</v>
      </c>
      <c r="AD276" s="1413">
        <f t="shared" ca="1" si="54"/>
        <v>0</v>
      </c>
      <c r="AE276" s="1413">
        <f t="shared" ca="1" si="54"/>
        <v>0</v>
      </c>
      <c r="AF276" s="1413">
        <f t="shared" ca="1" si="54"/>
        <v>0</v>
      </c>
      <c r="AG276" s="1413">
        <f t="shared" ca="1" si="54"/>
        <v>0</v>
      </c>
      <c r="AH276" s="1413">
        <f t="shared" ca="1" si="54"/>
        <v>0</v>
      </c>
      <c r="AI276" s="1413">
        <f t="shared" ca="1" si="54"/>
        <v>0</v>
      </c>
      <c r="AJ276" s="1413">
        <f t="shared" ca="1" si="54"/>
        <v>0</v>
      </c>
      <c r="AK276" s="1413">
        <f t="shared" ca="1" si="54"/>
        <v>0</v>
      </c>
      <c r="AL276" s="1413">
        <f t="shared" ca="1" si="54"/>
        <v>0</v>
      </c>
      <c r="AM276" s="1413">
        <f t="shared" ca="1" si="54"/>
        <v>0</v>
      </c>
    </row>
    <row r="277" spans="3:39">
      <c r="C277" t="s">
        <v>230</v>
      </c>
      <c r="H277" s="1416">
        <f>IFERROR(VLOOKUP(C277,Assumptions_Dashboard!$C$38:$D$72,4,FALSE),)/10^7</f>
        <v>0</v>
      </c>
      <c r="I277" s="1281"/>
      <c r="J277" s="1413">
        <f t="shared" ca="1" si="54"/>
        <v>0</v>
      </c>
      <c r="K277" s="1413">
        <f t="shared" ca="1" si="54"/>
        <v>0</v>
      </c>
      <c r="L277" s="1413">
        <f t="shared" ca="1" si="54"/>
        <v>0</v>
      </c>
      <c r="M277" s="1413">
        <f t="shared" ca="1" si="54"/>
        <v>0</v>
      </c>
      <c r="N277" s="1413">
        <f t="shared" ca="1" si="54"/>
        <v>0</v>
      </c>
      <c r="O277" s="1413">
        <f t="shared" ca="1" si="54"/>
        <v>0</v>
      </c>
      <c r="P277" s="1413">
        <f t="shared" ca="1" si="54"/>
        <v>0</v>
      </c>
      <c r="Q277" s="1413">
        <f t="shared" ca="1" si="54"/>
        <v>0</v>
      </c>
      <c r="R277" s="1413">
        <f t="shared" ca="1" si="54"/>
        <v>0</v>
      </c>
      <c r="S277" s="1413">
        <f t="shared" ca="1" si="54"/>
        <v>0</v>
      </c>
      <c r="T277" s="1413">
        <f t="shared" ca="1" si="54"/>
        <v>0</v>
      </c>
      <c r="U277" s="1413">
        <f t="shared" ca="1" si="54"/>
        <v>0</v>
      </c>
      <c r="V277" s="1413">
        <f t="shared" ca="1" si="54"/>
        <v>0</v>
      </c>
      <c r="W277" s="1413">
        <f t="shared" ca="1" si="54"/>
        <v>0</v>
      </c>
      <c r="X277" s="1413">
        <f t="shared" ca="1" si="54"/>
        <v>0</v>
      </c>
      <c r="Y277" s="1413">
        <f t="shared" ca="1" si="54"/>
        <v>0</v>
      </c>
      <c r="Z277" s="1413">
        <f t="shared" ca="1" si="54"/>
        <v>0</v>
      </c>
      <c r="AA277" s="1413">
        <f t="shared" ca="1" si="54"/>
        <v>0</v>
      </c>
      <c r="AB277" s="1413">
        <f t="shared" ca="1" si="54"/>
        <v>0</v>
      </c>
      <c r="AC277" s="1413">
        <f t="shared" ca="1" si="54"/>
        <v>0</v>
      </c>
      <c r="AD277" s="1413">
        <f t="shared" ca="1" si="54"/>
        <v>0</v>
      </c>
      <c r="AE277" s="1413">
        <f t="shared" ca="1" si="54"/>
        <v>0</v>
      </c>
      <c r="AF277" s="1413">
        <f t="shared" ca="1" si="54"/>
        <v>0</v>
      </c>
      <c r="AG277" s="1413">
        <f t="shared" ca="1" si="54"/>
        <v>0</v>
      </c>
      <c r="AH277" s="1413">
        <f t="shared" ca="1" si="54"/>
        <v>0</v>
      </c>
      <c r="AI277" s="1413">
        <f t="shared" ca="1" si="54"/>
        <v>0</v>
      </c>
      <c r="AJ277" s="1413">
        <f t="shared" ca="1" si="54"/>
        <v>0</v>
      </c>
      <c r="AK277" s="1413">
        <f t="shared" ca="1" si="54"/>
        <v>0</v>
      </c>
      <c r="AL277" s="1413">
        <f t="shared" ca="1" si="54"/>
        <v>0</v>
      </c>
      <c r="AM277" s="1413">
        <f t="shared" ca="1" si="54"/>
        <v>0</v>
      </c>
    </row>
    <row r="278" spans="3:39">
      <c r="C278" t="s">
        <v>232</v>
      </c>
      <c r="H278" s="1416">
        <f>IFERROR(VLOOKUP(C278,Assumptions_Dashboard!$C$38:$D$72,4,FALSE),)/10^7</f>
        <v>0</v>
      </c>
      <c r="I278" s="1281"/>
      <c r="J278" s="1413">
        <f t="shared" ref="J278:AM279" ca="1" si="55">$H278*J251</f>
        <v>0</v>
      </c>
      <c r="K278" s="1413">
        <f t="shared" ca="1" si="55"/>
        <v>0</v>
      </c>
      <c r="L278" s="1413">
        <f t="shared" ca="1" si="55"/>
        <v>0</v>
      </c>
      <c r="M278" s="1413">
        <f t="shared" ca="1" si="55"/>
        <v>0</v>
      </c>
      <c r="N278" s="1413">
        <f t="shared" ca="1" si="55"/>
        <v>0</v>
      </c>
      <c r="O278" s="1413">
        <f t="shared" ca="1" si="55"/>
        <v>0</v>
      </c>
      <c r="P278" s="1413">
        <f t="shared" ca="1" si="55"/>
        <v>0</v>
      </c>
      <c r="Q278" s="1413">
        <f t="shared" ca="1" si="55"/>
        <v>0</v>
      </c>
      <c r="R278" s="1413">
        <f t="shared" ca="1" si="55"/>
        <v>0</v>
      </c>
      <c r="S278" s="1413">
        <f t="shared" ca="1" si="55"/>
        <v>0</v>
      </c>
      <c r="T278" s="1413">
        <f t="shared" ca="1" si="55"/>
        <v>0</v>
      </c>
      <c r="U278" s="1413">
        <f t="shared" ca="1" si="55"/>
        <v>0</v>
      </c>
      <c r="V278" s="1413">
        <f t="shared" ca="1" si="55"/>
        <v>0</v>
      </c>
      <c r="W278" s="1413">
        <f t="shared" ca="1" si="55"/>
        <v>0</v>
      </c>
      <c r="X278" s="1413">
        <f t="shared" ca="1" si="55"/>
        <v>0</v>
      </c>
      <c r="Y278" s="1413">
        <f t="shared" ca="1" si="55"/>
        <v>0</v>
      </c>
      <c r="Z278" s="1413">
        <f t="shared" ca="1" si="55"/>
        <v>0</v>
      </c>
      <c r="AA278" s="1413">
        <f t="shared" ca="1" si="55"/>
        <v>0</v>
      </c>
      <c r="AB278" s="1413">
        <f t="shared" ca="1" si="55"/>
        <v>0</v>
      </c>
      <c r="AC278" s="1413">
        <f t="shared" ca="1" si="55"/>
        <v>0</v>
      </c>
      <c r="AD278" s="1413">
        <f t="shared" ca="1" si="55"/>
        <v>0</v>
      </c>
      <c r="AE278" s="1413">
        <f t="shared" ca="1" si="55"/>
        <v>0</v>
      </c>
      <c r="AF278" s="1413">
        <f t="shared" ca="1" si="55"/>
        <v>0</v>
      </c>
      <c r="AG278" s="1413">
        <f t="shared" ca="1" si="55"/>
        <v>0</v>
      </c>
      <c r="AH278" s="1413">
        <f t="shared" ca="1" si="55"/>
        <v>0</v>
      </c>
      <c r="AI278" s="1413">
        <f t="shared" ca="1" si="55"/>
        <v>0</v>
      </c>
      <c r="AJ278" s="1413">
        <f t="shared" ca="1" si="55"/>
        <v>0</v>
      </c>
      <c r="AK278" s="1413">
        <f t="shared" ca="1" si="55"/>
        <v>0</v>
      </c>
      <c r="AL278" s="1413">
        <f t="shared" ca="1" si="55"/>
        <v>0</v>
      </c>
      <c r="AM278" s="1413">
        <f t="shared" ca="1" si="55"/>
        <v>0</v>
      </c>
    </row>
    <row r="279" spans="3:39">
      <c r="C279" t="s">
        <v>234</v>
      </c>
      <c r="H279" s="1416">
        <f>IFERROR(VLOOKUP(C279,Assumptions_Dashboard!$C$38:$D$72,4,FALSE),)/10^7</f>
        <v>0</v>
      </c>
      <c r="I279" s="1281"/>
      <c r="J279" s="1413">
        <f t="shared" ca="1" si="55"/>
        <v>0</v>
      </c>
      <c r="K279" s="1413">
        <f t="shared" ca="1" si="55"/>
        <v>0</v>
      </c>
      <c r="L279" s="1413">
        <f t="shared" ca="1" si="55"/>
        <v>0</v>
      </c>
      <c r="M279" s="1413">
        <f t="shared" ca="1" si="55"/>
        <v>0</v>
      </c>
      <c r="N279" s="1413">
        <f t="shared" ca="1" si="55"/>
        <v>0</v>
      </c>
      <c r="O279" s="1413">
        <f t="shared" ca="1" si="55"/>
        <v>0</v>
      </c>
      <c r="P279" s="1413">
        <f t="shared" ca="1" si="55"/>
        <v>0</v>
      </c>
      <c r="Q279" s="1413">
        <f t="shared" ca="1" si="55"/>
        <v>0</v>
      </c>
      <c r="R279" s="1413">
        <f t="shared" ca="1" si="55"/>
        <v>0</v>
      </c>
      <c r="S279" s="1413">
        <f t="shared" ca="1" si="55"/>
        <v>0</v>
      </c>
      <c r="T279" s="1413">
        <f t="shared" ca="1" si="55"/>
        <v>0</v>
      </c>
      <c r="U279" s="1413">
        <f t="shared" ca="1" si="55"/>
        <v>0</v>
      </c>
      <c r="V279" s="1413">
        <f t="shared" ca="1" si="55"/>
        <v>0</v>
      </c>
      <c r="W279" s="1413">
        <f t="shared" ca="1" si="55"/>
        <v>0</v>
      </c>
      <c r="X279" s="1413">
        <f t="shared" ca="1" si="55"/>
        <v>0</v>
      </c>
      <c r="Y279" s="1413">
        <f t="shared" ca="1" si="55"/>
        <v>0</v>
      </c>
      <c r="Z279" s="1413">
        <f t="shared" ca="1" si="55"/>
        <v>0</v>
      </c>
      <c r="AA279" s="1413">
        <f t="shared" ca="1" si="55"/>
        <v>0</v>
      </c>
      <c r="AB279" s="1413">
        <f t="shared" ca="1" si="55"/>
        <v>0</v>
      </c>
      <c r="AC279" s="1413">
        <f t="shared" ca="1" si="55"/>
        <v>0</v>
      </c>
      <c r="AD279" s="1413">
        <f t="shared" ca="1" si="55"/>
        <v>0</v>
      </c>
      <c r="AE279" s="1413">
        <f t="shared" ca="1" si="55"/>
        <v>0</v>
      </c>
      <c r="AF279" s="1413">
        <f t="shared" ca="1" si="55"/>
        <v>0</v>
      </c>
      <c r="AG279" s="1413">
        <f t="shared" ca="1" si="55"/>
        <v>0</v>
      </c>
      <c r="AH279" s="1413">
        <f t="shared" ca="1" si="55"/>
        <v>0</v>
      </c>
      <c r="AI279" s="1413">
        <f t="shared" ca="1" si="55"/>
        <v>0</v>
      </c>
      <c r="AJ279" s="1413">
        <f t="shared" ca="1" si="55"/>
        <v>0</v>
      </c>
      <c r="AK279" s="1413">
        <f t="shared" ca="1" si="55"/>
        <v>0</v>
      </c>
      <c r="AL279" s="1413">
        <f t="shared" ca="1" si="55"/>
        <v>0</v>
      </c>
      <c r="AM279" s="1413">
        <f t="shared" ca="1" si="55"/>
        <v>0</v>
      </c>
    </row>
    <row r="280" spans="3:39" ht="14" thickBot="1">
      <c r="C280" s="240" t="s">
        <v>267</v>
      </c>
      <c r="D280" s="242"/>
      <c r="E280" s="242"/>
      <c r="F280" s="242"/>
      <c r="G280" s="242"/>
      <c r="H280" s="242"/>
      <c r="I280" s="242"/>
      <c r="J280" s="1415">
        <f t="shared" ref="J280:AM280" ca="1" si="56">SUM(J257:J279)</f>
        <v>0</v>
      </c>
      <c r="K280" s="1415">
        <f t="shared" ca="1" si="56"/>
        <v>0</v>
      </c>
      <c r="L280" s="1415">
        <f t="shared" ca="1" si="56"/>
        <v>0</v>
      </c>
      <c r="M280" s="1415">
        <f t="shared" ca="1" si="56"/>
        <v>0</v>
      </c>
      <c r="N280" s="1415">
        <f t="shared" ca="1" si="56"/>
        <v>0</v>
      </c>
      <c r="O280" s="1415">
        <f t="shared" ca="1" si="56"/>
        <v>0</v>
      </c>
      <c r="P280" s="1415">
        <f t="shared" ca="1" si="56"/>
        <v>0</v>
      </c>
      <c r="Q280" s="1415">
        <f t="shared" ca="1" si="56"/>
        <v>0</v>
      </c>
      <c r="R280" s="1415">
        <f t="shared" ca="1" si="56"/>
        <v>0</v>
      </c>
      <c r="S280" s="1415">
        <f t="shared" ca="1" si="56"/>
        <v>0</v>
      </c>
      <c r="T280" s="1415">
        <f t="shared" ca="1" si="56"/>
        <v>0</v>
      </c>
      <c r="U280" s="1415">
        <f t="shared" ca="1" si="56"/>
        <v>0</v>
      </c>
      <c r="V280" s="1415">
        <f t="shared" ca="1" si="56"/>
        <v>0</v>
      </c>
      <c r="W280" s="1415">
        <f t="shared" ca="1" si="56"/>
        <v>0</v>
      </c>
      <c r="X280" s="1415">
        <f t="shared" ca="1" si="56"/>
        <v>0</v>
      </c>
      <c r="Y280" s="1415">
        <f t="shared" ca="1" si="56"/>
        <v>0</v>
      </c>
      <c r="Z280" s="1415">
        <f t="shared" ca="1" si="56"/>
        <v>0</v>
      </c>
      <c r="AA280" s="1415">
        <f t="shared" ca="1" si="56"/>
        <v>0</v>
      </c>
      <c r="AB280" s="1415">
        <f t="shared" ca="1" si="56"/>
        <v>0</v>
      </c>
      <c r="AC280" s="1415">
        <f t="shared" ca="1" si="56"/>
        <v>0</v>
      </c>
      <c r="AD280" s="1415">
        <f t="shared" ca="1" si="56"/>
        <v>0</v>
      </c>
      <c r="AE280" s="1415">
        <f t="shared" ca="1" si="56"/>
        <v>0</v>
      </c>
      <c r="AF280" s="1415">
        <f t="shared" ca="1" si="56"/>
        <v>0</v>
      </c>
      <c r="AG280" s="1415">
        <f t="shared" ca="1" si="56"/>
        <v>0</v>
      </c>
      <c r="AH280" s="1415">
        <f t="shared" ca="1" si="56"/>
        <v>0</v>
      </c>
      <c r="AI280" s="1415">
        <f t="shared" ca="1" si="56"/>
        <v>0</v>
      </c>
      <c r="AJ280" s="1415">
        <f t="shared" ca="1" si="56"/>
        <v>0</v>
      </c>
      <c r="AK280" s="1415">
        <f t="shared" ca="1" si="56"/>
        <v>0</v>
      </c>
      <c r="AL280" s="1415">
        <f t="shared" ca="1" si="56"/>
        <v>0</v>
      </c>
      <c r="AM280" s="1415">
        <f t="shared" ca="1" si="56"/>
        <v>0</v>
      </c>
    </row>
    <row r="281" spans="3:39" ht="14" thickTop="1"/>
    <row r="283" spans="3:39">
      <c r="C283" s="191" t="s">
        <v>1479</v>
      </c>
    </row>
    <row r="284" spans="3:39">
      <c r="C284" s="630" t="s">
        <v>1481</v>
      </c>
      <c r="I284" s="434">
        <f t="shared" ref="I284:I299" si="57">MAX(J284:AM284)</f>
        <v>0</v>
      </c>
      <c r="J284" s="434">
        <f t="shared" ref="J284:AM284" si="58">SUM(J11:J19,J25:J27,J29,J31,J33:J40)</f>
        <v>0</v>
      </c>
      <c r="K284" s="434">
        <f t="shared" si="58"/>
        <v>0</v>
      </c>
      <c r="L284" s="434">
        <f t="shared" si="58"/>
        <v>0</v>
      </c>
      <c r="M284" s="434">
        <f t="shared" si="58"/>
        <v>0</v>
      </c>
      <c r="N284" s="434">
        <f t="shared" si="58"/>
        <v>0</v>
      </c>
      <c r="O284" s="434">
        <f t="shared" si="58"/>
        <v>0</v>
      </c>
      <c r="P284" s="434">
        <f t="shared" si="58"/>
        <v>0</v>
      </c>
      <c r="Q284" s="434">
        <f t="shared" si="58"/>
        <v>0</v>
      </c>
      <c r="R284" s="434">
        <f t="shared" si="58"/>
        <v>0</v>
      </c>
      <c r="S284" s="434">
        <f t="shared" si="58"/>
        <v>0</v>
      </c>
      <c r="T284" s="434">
        <f t="shared" si="58"/>
        <v>0</v>
      </c>
      <c r="U284" s="434">
        <f t="shared" si="58"/>
        <v>0</v>
      </c>
      <c r="V284" s="434">
        <f t="shared" si="58"/>
        <v>0</v>
      </c>
      <c r="W284" s="434">
        <f t="shared" si="58"/>
        <v>0</v>
      </c>
      <c r="X284" s="434">
        <f t="shared" si="58"/>
        <v>0</v>
      </c>
      <c r="Y284" s="434">
        <f t="shared" si="58"/>
        <v>0</v>
      </c>
      <c r="Z284" s="434">
        <f t="shared" si="58"/>
        <v>0</v>
      </c>
      <c r="AA284" s="434">
        <f t="shared" si="58"/>
        <v>0</v>
      </c>
      <c r="AB284" s="434">
        <f t="shared" si="58"/>
        <v>0</v>
      </c>
      <c r="AC284" s="434">
        <f t="shared" si="58"/>
        <v>0</v>
      </c>
      <c r="AD284" s="434">
        <f t="shared" si="58"/>
        <v>0</v>
      </c>
      <c r="AE284" s="434">
        <f t="shared" si="58"/>
        <v>0</v>
      </c>
      <c r="AF284" s="434">
        <f t="shared" si="58"/>
        <v>0</v>
      </c>
      <c r="AG284" s="434">
        <f t="shared" si="58"/>
        <v>0</v>
      </c>
      <c r="AH284" s="434">
        <f t="shared" si="58"/>
        <v>0</v>
      </c>
      <c r="AI284" s="434">
        <f t="shared" si="58"/>
        <v>0</v>
      </c>
      <c r="AJ284" s="434">
        <f t="shared" si="58"/>
        <v>0</v>
      </c>
      <c r="AK284" s="434">
        <f t="shared" si="58"/>
        <v>0</v>
      </c>
      <c r="AL284" s="434">
        <f t="shared" si="58"/>
        <v>0</v>
      </c>
      <c r="AM284" s="434">
        <f t="shared" si="58"/>
        <v>0</v>
      </c>
    </row>
    <row r="285" spans="3:39">
      <c r="C285" s="631" t="s">
        <v>1482</v>
      </c>
      <c r="I285" s="434">
        <f t="shared" si="57"/>
        <v>0</v>
      </c>
      <c r="J285" s="434">
        <f t="shared" ref="J285:AM285" si="59">SUM(J151:J173)</f>
        <v>0</v>
      </c>
      <c r="K285" s="434">
        <f t="shared" si="59"/>
        <v>0</v>
      </c>
      <c r="L285" s="434">
        <f t="shared" si="59"/>
        <v>0</v>
      </c>
      <c r="M285" s="434">
        <f t="shared" si="59"/>
        <v>0</v>
      </c>
      <c r="N285" s="434">
        <f t="shared" si="59"/>
        <v>0</v>
      </c>
      <c r="O285" s="434">
        <f t="shared" si="59"/>
        <v>0</v>
      </c>
      <c r="P285" s="434">
        <f t="shared" si="59"/>
        <v>0</v>
      </c>
      <c r="Q285" s="434">
        <f t="shared" si="59"/>
        <v>0</v>
      </c>
      <c r="R285" s="434">
        <f t="shared" si="59"/>
        <v>0</v>
      </c>
      <c r="S285" s="434">
        <f t="shared" si="59"/>
        <v>0</v>
      </c>
      <c r="T285" s="434">
        <f t="shared" si="59"/>
        <v>0</v>
      </c>
      <c r="U285" s="434">
        <f t="shared" si="59"/>
        <v>0</v>
      </c>
      <c r="V285" s="434">
        <f t="shared" si="59"/>
        <v>0</v>
      </c>
      <c r="W285" s="434">
        <f t="shared" si="59"/>
        <v>0</v>
      </c>
      <c r="X285" s="434">
        <f t="shared" si="59"/>
        <v>0</v>
      </c>
      <c r="Y285" s="434">
        <f t="shared" si="59"/>
        <v>0</v>
      </c>
      <c r="Z285" s="434">
        <f t="shared" si="59"/>
        <v>0</v>
      </c>
      <c r="AA285" s="434">
        <f t="shared" si="59"/>
        <v>0</v>
      </c>
      <c r="AB285" s="434">
        <f t="shared" si="59"/>
        <v>0</v>
      </c>
      <c r="AC285" s="434">
        <f t="shared" si="59"/>
        <v>0</v>
      </c>
      <c r="AD285" s="434">
        <f t="shared" si="59"/>
        <v>0</v>
      </c>
      <c r="AE285" s="434">
        <f t="shared" si="59"/>
        <v>0</v>
      </c>
      <c r="AF285" s="434">
        <f t="shared" si="59"/>
        <v>0</v>
      </c>
      <c r="AG285" s="434">
        <f t="shared" si="59"/>
        <v>0</v>
      </c>
      <c r="AH285" s="434">
        <f t="shared" si="59"/>
        <v>0</v>
      </c>
      <c r="AI285" s="434">
        <f t="shared" si="59"/>
        <v>0</v>
      </c>
      <c r="AJ285" s="434">
        <f t="shared" si="59"/>
        <v>0</v>
      </c>
      <c r="AK285" s="434">
        <f t="shared" si="59"/>
        <v>0</v>
      </c>
      <c r="AL285" s="434">
        <f t="shared" si="59"/>
        <v>0</v>
      </c>
      <c r="AM285" s="434">
        <f t="shared" si="59"/>
        <v>0</v>
      </c>
    </row>
    <row r="286" spans="3:39">
      <c r="C286" s="632" t="s">
        <v>1483</v>
      </c>
      <c r="I286" s="434">
        <f t="shared" si="57"/>
        <v>0</v>
      </c>
      <c r="J286" s="434">
        <f t="shared" ref="J286:AM286" si="60">SUM(J41,J43:J44,J48:J56,J74:J75,J178:J182)</f>
        <v>0</v>
      </c>
      <c r="K286" s="434">
        <f t="shared" si="60"/>
        <v>0</v>
      </c>
      <c r="L286" s="434">
        <f t="shared" si="60"/>
        <v>0</v>
      </c>
      <c r="M286" s="434">
        <f t="shared" si="60"/>
        <v>0</v>
      </c>
      <c r="N286" s="434">
        <f t="shared" si="60"/>
        <v>0</v>
      </c>
      <c r="O286" s="434">
        <f t="shared" si="60"/>
        <v>0</v>
      </c>
      <c r="P286" s="434">
        <f t="shared" si="60"/>
        <v>0</v>
      </c>
      <c r="Q286" s="434">
        <f t="shared" si="60"/>
        <v>0</v>
      </c>
      <c r="R286" s="434">
        <f t="shared" si="60"/>
        <v>0</v>
      </c>
      <c r="S286" s="434">
        <f t="shared" si="60"/>
        <v>0</v>
      </c>
      <c r="T286" s="434">
        <f t="shared" si="60"/>
        <v>0</v>
      </c>
      <c r="U286" s="434">
        <f t="shared" si="60"/>
        <v>0</v>
      </c>
      <c r="V286" s="434">
        <f t="shared" si="60"/>
        <v>0</v>
      </c>
      <c r="W286" s="434">
        <f t="shared" si="60"/>
        <v>0</v>
      </c>
      <c r="X286" s="434">
        <f t="shared" si="60"/>
        <v>0</v>
      </c>
      <c r="Y286" s="434">
        <f t="shared" si="60"/>
        <v>0</v>
      </c>
      <c r="Z286" s="434">
        <f t="shared" si="60"/>
        <v>0</v>
      </c>
      <c r="AA286" s="434">
        <f t="shared" si="60"/>
        <v>0</v>
      </c>
      <c r="AB286" s="434">
        <f t="shared" si="60"/>
        <v>0</v>
      </c>
      <c r="AC286" s="434">
        <f t="shared" si="60"/>
        <v>0</v>
      </c>
      <c r="AD286" s="434">
        <f t="shared" si="60"/>
        <v>0</v>
      </c>
      <c r="AE286" s="434">
        <f t="shared" si="60"/>
        <v>0</v>
      </c>
      <c r="AF286" s="434">
        <f t="shared" si="60"/>
        <v>0</v>
      </c>
      <c r="AG286" s="434">
        <f t="shared" si="60"/>
        <v>0</v>
      </c>
      <c r="AH286" s="434">
        <f t="shared" si="60"/>
        <v>0</v>
      </c>
      <c r="AI286" s="434">
        <f t="shared" si="60"/>
        <v>0</v>
      </c>
      <c r="AJ286" s="434">
        <f t="shared" si="60"/>
        <v>0</v>
      </c>
      <c r="AK286" s="434">
        <f t="shared" si="60"/>
        <v>0</v>
      </c>
      <c r="AL286" s="434">
        <f t="shared" si="60"/>
        <v>0</v>
      </c>
      <c r="AM286" s="434">
        <f t="shared" si="60"/>
        <v>0</v>
      </c>
    </row>
    <row r="287" spans="3:39">
      <c r="C287" s="633" t="s">
        <v>1476</v>
      </c>
      <c r="I287" s="434">
        <f t="shared" si="57"/>
        <v>0</v>
      </c>
      <c r="J287" s="434">
        <f t="shared" ref="J287:AM287" si="61">SUM(J185:J226)</f>
        <v>0</v>
      </c>
      <c r="K287" s="434">
        <f t="shared" si="61"/>
        <v>0</v>
      </c>
      <c r="L287" s="434">
        <f t="shared" si="61"/>
        <v>0</v>
      </c>
      <c r="M287" s="434">
        <f t="shared" si="61"/>
        <v>0</v>
      </c>
      <c r="N287" s="434">
        <f t="shared" si="61"/>
        <v>0</v>
      </c>
      <c r="O287" s="434">
        <f t="shared" si="61"/>
        <v>0</v>
      </c>
      <c r="P287" s="434">
        <f t="shared" si="61"/>
        <v>0</v>
      </c>
      <c r="Q287" s="434">
        <f t="shared" si="61"/>
        <v>0</v>
      </c>
      <c r="R287" s="434">
        <f t="shared" si="61"/>
        <v>0</v>
      </c>
      <c r="S287" s="434">
        <f t="shared" si="61"/>
        <v>0</v>
      </c>
      <c r="T287" s="434">
        <f t="shared" si="61"/>
        <v>0</v>
      </c>
      <c r="U287" s="434">
        <f t="shared" si="61"/>
        <v>0</v>
      </c>
      <c r="V287" s="434">
        <f t="shared" si="61"/>
        <v>0</v>
      </c>
      <c r="W287" s="434">
        <f t="shared" si="61"/>
        <v>0</v>
      </c>
      <c r="X287" s="434">
        <f t="shared" si="61"/>
        <v>0</v>
      </c>
      <c r="Y287" s="434">
        <f t="shared" si="61"/>
        <v>0</v>
      </c>
      <c r="Z287" s="434">
        <f t="shared" si="61"/>
        <v>0</v>
      </c>
      <c r="AA287" s="434">
        <f t="shared" si="61"/>
        <v>0</v>
      </c>
      <c r="AB287" s="434">
        <f t="shared" si="61"/>
        <v>0</v>
      </c>
      <c r="AC287" s="434">
        <f t="shared" si="61"/>
        <v>0</v>
      </c>
      <c r="AD287" s="434">
        <f t="shared" si="61"/>
        <v>0</v>
      </c>
      <c r="AE287" s="434">
        <f t="shared" si="61"/>
        <v>0</v>
      </c>
      <c r="AF287" s="434">
        <f t="shared" si="61"/>
        <v>0</v>
      </c>
      <c r="AG287" s="434">
        <f t="shared" si="61"/>
        <v>0</v>
      </c>
      <c r="AH287" s="434">
        <f t="shared" si="61"/>
        <v>0</v>
      </c>
      <c r="AI287" s="434">
        <f t="shared" si="61"/>
        <v>0</v>
      </c>
      <c r="AJ287" s="434">
        <f t="shared" si="61"/>
        <v>0</v>
      </c>
      <c r="AK287" s="434">
        <f t="shared" si="61"/>
        <v>0</v>
      </c>
      <c r="AL287" s="434">
        <f t="shared" si="61"/>
        <v>0</v>
      </c>
      <c r="AM287" s="434">
        <f t="shared" si="61"/>
        <v>0</v>
      </c>
    </row>
    <row r="288" spans="3:39">
      <c r="C288" s="634" t="s">
        <v>1484</v>
      </c>
      <c r="I288" s="434">
        <f t="shared" si="57"/>
        <v>0</v>
      </c>
      <c r="J288" s="434">
        <f t="shared" ref="J288:AM288" si="62">SUM(J115:J133)</f>
        <v>0</v>
      </c>
      <c r="K288" s="434">
        <f t="shared" si="62"/>
        <v>0</v>
      </c>
      <c r="L288" s="434">
        <f t="shared" si="62"/>
        <v>0</v>
      </c>
      <c r="M288" s="434">
        <f t="shared" si="62"/>
        <v>0</v>
      </c>
      <c r="N288" s="434">
        <f t="shared" si="62"/>
        <v>0</v>
      </c>
      <c r="O288" s="434">
        <f t="shared" si="62"/>
        <v>0</v>
      </c>
      <c r="P288" s="434">
        <f t="shared" si="62"/>
        <v>0</v>
      </c>
      <c r="Q288" s="434">
        <f t="shared" si="62"/>
        <v>0</v>
      </c>
      <c r="R288" s="434">
        <f t="shared" si="62"/>
        <v>0</v>
      </c>
      <c r="S288" s="434">
        <f t="shared" si="62"/>
        <v>0</v>
      </c>
      <c r="T288" s="434">
        <f t="shared" si="62"/>
        <v>0</v>
      </c>
      <c r="U288" s="434">
        <f t="shared" si="62"/>
        <v>0</v>
      </c>
      <c r="V288" s="434">
        <f t="shared" si="62"/>
        <v>0</v>
      </c>
      <c r="W288" s="434">
        <f t="shared" si="62"/>
        <v>0</v>
      </c>
      <c r="X288" s="434">
        <f t="shared" si="62"/>
        <v>0</v>
      </c>
      <c r="Y288" s="434">
        <f t="shared" si="62"/>
        <v>0</v>
      </c>
      <c r="Z288" s="434">
        <f t="shared" si="62"/>
        <v>0</v>
      </c>
      <c r="AA288" s="434">
        <f t="shared" si="62"/>
        <v>0</v>
      </c>
      <c r="AB288" s="434">
        <f t="shared" si="62"/>
        <v>0</v>
      </c>
      <c r="AC288" s="434">
        <f t="shared" si="62"/>
        <v>0</v>
      </c>
      <c r="AD288" s="434">
        <f t="shared" si="62"/>
        <v>0</v>
      </c>
      <c r="AE288" s="434">
        <f t="shared" si="62"/>
        <v>0</v>
      </c>
      <c r="AF288" s="434">
        <f t="shared" si="62"/>
        <v>0</v>
      </c>
      <c r="AG288" s="434">
        <f t="shared" si="62"/>
        <v>0</v>
      </c>
      <c r="AH288" s="434">
        <f t="shared" si="62"/>
        <v>0</v>
      </c>
      <c r="AI288" s="434">
        <f t="shared" si="62"/>
        <v>0</v>
      </c>
      <c r="AJ288" s="434">
        <f t="shared" si="62"/>
        <v>0</v>
      </c>
      <c r="AK288" s="434">
        <f t="shared" si="62"/>
        <v>0</v>
      </c>
      <c r="AL288" s="434">
        <f t="shared" si="62"/>
        <v>0</v>
      </c>
      <c r="AM288" s="434">
        <f t="shared" si="62"/>
        <v>0</v>
      </c>
    </row>
    <row r="289" spans="3:39">
      <c r="C289" s="635" t="s">
        <v>1436</v>
      </c>
      <c r="I289" s="434">
        <f t="shared" si="57"/>
        <v>0</v>
      </c>
      <c r="J289" s="434">
        <f t="shared" ref="J289:AM289" si="63">SUM(J136:J146)</f>
        <v>0</v>
      </c>
      <c r="K289" s="434">
        <f t="shared" si="63"/>
        <v>0</v>
      </c>
      <c r="L289" s="434">
        <f t="shared" si="63"/>
        <v>0</v>
      </c>
      <c r="M289" s="434">
        <f t="shared" si="63"/>
        <v>0</v>
      </c>
      <c r="N289" s="434">
        <f t="shared" si="63"/>
        <v>0</v>
      </c>
      <c r="O289" s="434">
        <f t="shared" si="63"/>
        <v>0</v>
      </c>
      <c r="P289" s="434">
        <f t="shared" si="63"/>
        <v>0</v>
      </c>
      <c r="Q289" s="434">
        <f t="shared" si="63"/>
        <v>0</v>
      </c>
      <c r="R289" s="434">
        <f t="shared" si="63"/>
        <v>0</v>
      </c>
      <c r="S289" s="434">
        <f t="shared" si="63"/>
        <v>0</v>
      </c>
      <c r="T289" s="434">
        <f t="shared" si="63"/>
        <v>0</v>
      </c>
      <c r="U289" s="434">
        <f t="shared" si="63"/>
        <v>0</v>
      </c>
      <c r="V289" s="434">
        <f t="shared" si="63"/>
        <v>0</v>
      </c>
      <c r="W289" s="434">
        <f t="shared" si="63"/>
        <v>0</v>
      </c>
      <c r="X289" s="434">
        <f t="shared" si="63"/>
        <v>0</v>
      </c>
      <c r="Y289" s="434">
        <f t="shared" si="63"/>
        <v>0</v>
      </c>
      <c r="Z289" s="434">
        <f t="shared" si="63"/>
        <v>0</v>
      </c>
      <c r="AA289" s="434">
        <f t="shared" si="63"/>
        <v>0</v>
      </c>
      <c r="AB289" s="434">
        <f t="shared" si="63"/>
        <v>0</v>
      </c>
      <c r="AC289" s="434">
        <f t="shared" si="63"/>
        <v>0</v>
      </c>
      <c r="AD289" s="434">
        <f t="shared" si="63"/>
        <v>0</v>
      </c>
      <c r="AE289" s="434">
        <f t="shared" si="63"/>
        <v>0</v>
      </c>
      <c r="AF289" s="434">
        <f t="shared" si="63"/>
        <v>0</v>
      </c>
      <c r="AG289" s="434">
        <f t="shared" si="63"/>
        <v>0</v>
      </c>
      <c r="AH289" s="434">
        <f t="shared" si="63"/>
        <v>0</v>
      </c>
      <c r="AI289" s="434">
        <f t="shared" si="63"/>
        <v>0</v>
      </c>
      <c r="AJ289" s="434">
        <f t="shared" si="63"/>
        <v>0</v>
      </c>
      <c r="AK289" s="434">
        <f t="shared" si="63"/>
        <v>0</v>
      </c>
      <c r="AL289" s="434">
        <f t="shared" si="63"/>
        <v>0</v>
      </c>
      <c r="AM289" s="434">
        <f t="shared" si="63"/>
        <v>0</v>
      </c>
    </row>
    <row r="290" spans="3:39">
      <c r="C290" s="636" t="s">
        <v>1444</v>
      </c>
      <c r="I290" s="434">
        <f t="shared" si="57"/>
        <v>0</v>
      </c>
      <c r="J290" s="434">
        <f t="shared" ref="J290:AM290" si="64">SUM(J147:J148)</f>
        <v>0</v>
      </c>
      <c r="K290" s="434">
        <f t="shared" si="64"/>
        <v>0</v>
      </c>
      <c r="L290" s="434">
        <f t="shared" si="64"/>
        <v>0</v>
      </c>
      <c r="M290" s="434">
        <f t="shared" si="64"/>
        <v>0</v>
      </c>
      <c r="N290" s="434">
        <f t="shared" si="64"/>
        <v>0</v>
      </c>
      <c r="O290" s="434">
        <f t="shared" si="64"/>
        <v>0</v>
      </c>
      <c r="P290" s="434">
        <f t="shared" si="64"/>
        <v>0</v>
      </c>
      <c r="Q290" s="434">
        <f t="shared" si="64"/>
        <v>0</v>
      </c>
      <c r="R290" s="434">
        <f t="shared" si="64"/>
        <v>0</v>
      </c>
      <c r="S290" s="434">
        <f t="shared" si="64"/>
        <v>0</v>
      </c>
      <c r="T290" s="434">
        <f t="shared" si="64"/>
        <v>0</v>
      </c>
      <c r="U290" s="434">
        <f t="shared" si="64"/>
        <v>0</v>
      </c>
      <c r="V290" s="434">
        <f t="shared" si="64"/>
        <v>0</v>
      </c>
      <c r="W290" s="434">
        <f t="shared" si="64"/>
        <v>0</v>
      </c>
      <c r="X290" s="434">
        <f t="shared" si="64"/>
        <v>0</v>
      </c>
      <c r="Y290" s="434">
        <f t="shared" si="64"/>
        <v>0</v>
      </c>
      <c r="Z290" s="434">
        <f t="shared" si="64"/>
        <v>0</v>
      </c>
      <c r="AA290" s="434">
        <f t="shared" si="64"/>
        <v>0</v>
      </c>
      <c r="AB290" s="434">
        <f t="shared" si="64"/>
        <v>0</v>
      </c>
      <c r="AC290" s="434">
        <f t="shared" si="64"/>
        <v>0</v>
      </c>
      <c r="AD290" s="434">
        <f t="shared" si="64"/>
        <v>0</v>
      </c>
      <c r="AE290" s="434">
        <f t="shared" si="64"/>
        <v>0</v>
      </c>
      <c r="AF290" s="434">
        <f t="shared" si="64"/>
        <v>0</v>
      </c>
      <c r="AG290" s="434">
        <f t="shared" si="64"/>
        <v>0</v>
      </c>
      <c r="AH290" s="434">
        <f t="shared" si="64"/>
        <v>0</v>
      </c>
      <c r="AI290" s="434">
        <f t="shared" si="64"/>
        <v>0</v>
      </c>
      <c r="AJ290" s="434">
        <f t="shared" si="64"/>
        <v>0</v>
      </c>
      <c r="AK290" s="434">
        <f t="shared" si="64"/>
        <v>0</v>
      </c>
      <c r="AL290" s="434">
        <f t="shared" si="64"/>
        <v>0</v>
      </c>
      <c r="AM290" s="434">
        <f t="shared" si="64"/>
        <v>0</v>
      </c>
    </row>
    <row r="291" spans="3:39">
      <c r="C291" s="637" t="s">
        <v>1485</v>
      </c>
      <c r="I291" s="434">
        <f t="shared" si="57"/>
        <v>0</v>
      </c>
      <c r="J291" s="434">
        <f t="shared" ref="J291:AM291" si="65">SUM(J79:J91,J98:J112,J67:J68)</f>
        <v>0</v>
      </c>
      <c r="K291" s="434">
        <f t="shared" si="65"/>
        <v>0</v>
      </c>
      <c r="L291" s="434">
        <f t="shared" si="65"/>
        <v>0</v>
      </c>
      <c r="M291" s="434">
        <f t="shared" si="65"/>
        <v>0</v>
      </c>
      <c r="N291" s="434">
        <f t="shared" si="65"/>
        <v>0</v>
      </c>
      <c r="O291" s="434">
        <f t="shared" si="65"/>
        <v>0</v>
      </c>
      <c r="P291" s="434">
        <f t="shared" si="65"/>
        <v>0</v>
      </c>
      <c r="Q291" s="434">
        <f t="shared" si="65"/>
        <v>0</v>
      </c>
      <c r="R291" s="434">
        <f t="shared" si="65"/>
        <v>0</v>
      </c>
      <c r="S291" s="434">
        <f t="shared" si="65"/>
        <v>0</v>
      </c>
      <c r="T291" s="434">
        <f t="shared" si="65"/>
        <v>0</v>
      </c>
      <c r="U291" s="434">
        <f t="shared" si="65"/>
        <v>0</v>
      </c>
      <c r="V291" s="434">
        <f t="shared" si="65"/>
        <v>0</v>
      </c>
      <c r="W291" s="434">
        <f t="shared" si="65"/>
        <v>0</v>
      </c>
      <c r="X291" s="434">
        <f t="shared" si="65"/>
        <v>0</v>
      </c>
      <c r="Y291" s="434">
        <f t="shared" si="65"/>
        <v>0</v>
      </c>
      <c r="Z291" s="434">
        <f t="shared" si="65"/>
        <v>0</v>
      </c>
      <c r="AA291" s="434">
        <f t="shared" si="65"/>
        <v>0</v>
      </c>
      <c r="AB291" s="434">
        <f t="shared" si="65"/>
        <v>0</v>
      </c>
      <c r="AC291" s="434">
        <f t="shared" si="65"/>
        <v>0</v>
      </c>
      <c r="AD291" s="434">
        <f t="shared" si="65"/>
        <v>0</v>
      </c>
      <c r="AE291" s="434">
        <f t="shared" si="65"/>
        <v>0</v>
      </c>
      <c r="AF291" s="434">
        <f t="shared" si="65"/>
        <v>0</v>
      </c>
      <c r="AG291" s="434">
        <f t="shared" si="65"/>
        <v>0</v>
      </c>
      <c r="AH291" s="434">
        <f t="shared" si="65"/>
        <v>0</v>
      </c>
      <c r="AI291" s="434">
        <f t="shared" si="65"/>
        <v>0</v>
      </c>
      <c r="AJ291" s="434">
        <f t="shared" si="65"/>
        <v>0</v>
      </c>
      <c r="AK291" s="434">
        <f t="shared" si="65"/>
        <v>0</v>
      </c>
      <c r="AL291" s="434">
        <f t="shared" si="65"/>
        <v>0</v>
      </c>
      <c r="AM291" s="434">
        <f t="shared" si="65"/>
        <v>0</v>
      </c>
    </row>
    <row r="292" spans="3:39">
      <c r="C292" s="638" t="s">
        <v>1486</v>
      </c>
      <c r="I292" s="434">
        <f t="shared" si="57"/>
        <v>0</v>
      </c>
      <c r="J292" s="434">
        <f t="shared" ref="J292:AM292" si="66">SUM(J92:J96)</f>
        <v>0</v>
      </c>
      <c r="K292" s="434">
        <f t="shared" si="66"/>
        <v>0</v>
      </c>
      <c r="L292" s="434">
        <f t="shared" si="66"/>
        <v>0</v>
      </c>
      <c r="M292" s="434">
        <f t="shared" si="66"/>
        <v>0</v>
      </c>
      <c r="N292" s="434">
        <f t="shared" si="66"/>
        <v>0</v>
      </c>
      <c r="O292" s="434">
        <f t="shared" si="66"/>
        <v>0</v>
      </c>
      <c r="P292" s="434">
        <f t="shared" si="66"/>
        <v>0</v>
      </c>
      <c r="Q292" s="434">
        <f t="shared" si="66"/>
        <v>0</v>
      </c>
      <c r="R292" s="434">
        <f t="shared" si="66"/>
        <v>0</v>
      </c>
      <c r="S292" s="434">
        <f t="shared" si="66"/>
        <v>0</v>
      </c>
      <c r="T292" s="434">
        <f t="shared" si="66"/>
        <v>0</v>
      </c>
      <c r="U292" s="434">
        <f t="shared" si="66"/>
        <v>0</v>
      </c>
      <c r="V292" s="434">
        <f t="shared" si="66"/>
        <v>0</v>
      </c>
      <c r="W292" s="434">
        <f t="shared" si="66"/>
        <v>0</v>
      </c>
      <c r="X292" s="434">
        <f t="shared" si="66"/>
        <v>0</v>
      </c>
      <c r="Y292" s="434">
        <f t="shared" si="66"/>
        <v>0</v>
      </c>
      <c r="Z292" s="434">
        <f t="shared" si="66"/>
        <v>0</v>
      </c>
      <c r="AA292" s="434">
        <f t="shared" si="66"/>
        <v>0</v>
      </c>
      <c r="AB292" s="434">
        <f t="shared" si="66"/>
        <v>0</v>
      </c>
      <c r="AC292" s="434">
        <f t="shared" si="66"/>
        <v>0</v>
      </c>
      <c r="AD292" s="434">
        <f t="shared" si="66"/>
        <v>0</v>
      </c>
      <c r="AE292" s="434">
        <f t="shared" si="66"/>
        <v>0</v>
      </c>
      <c r="AF292" s="434">
        <f t="shared" si="66"/>
        <v>0</v>
      </c>
      <c r="AG292" s="434">
        <f t="shared" si="66"/>
        <v>0</v>
      </c>
      <c r="AH292" s="434">
        <f t="shared" si="66"/>
        <v>0</v>
      </c>
      <c r="AI292" s="434">
        <f t="shared" si="66"/>
        <v>0</v>
      </c>
      <c r="AJ292" s="434">
        <f t="shared" si="66"/>
        <v>0</v>
      </c>
      <c r="AK292" s="434">
        <f t="shared" si="66"/>
        <v>0</v>
      </c>
      <c r="AL292" s="434">
        <f t="shared" si="66"/>
        <v>0</v>
      </c>
      <c r="AM292" s="434">
        <f t="shared" si="66"/>
        <v>0</v>
      </c>
    </row>
    <row r="293" spans="3:39">
      <c r="C293" s="639" t="s">
        <v>1487</v>
      </c>
      <c r="I293" s="434">
        <f t="shared" si="57"/>
        <v>0</v>
      </c>
      <c r="J293" s="434">
        <f t="shared" ref="J293:AM293" si="67">SUM(J28,J42)</f>
        <v>0</v>
      </c>
      <c r="K293" s="434">
        <f t="shared" si="67"/>
        <v>0</v>
      </c>
      <c r="L293" s="434">
        <f t="shared" si="67"/>
        <v>0</v>
      </c>
      <c r="M293" s="434">
        <f t="shared" si="67"/>
        <v>0</v>
      </c>
      <c r="N293" s="434">
        <f t="shared" si="67"/>
        <v>0</v>
      </c>
      <c r="O293" s="434">
        <f t="shared" si="67"/>
        <v>0</v>
      </c>
      <c r="P293" s="434">
        <f t="shared" si="67"/>
        <v>0</v>
      </c>
      <c r="Q293" s="434">
        <f t="shared" si="67"/>
        <v>0</v>
      </c>
      <c r="R293" s="434">
        <f t="shared" si="67"/>
        <v>0</v>
      </c>
      <c r="S293" s="434">
        <f t="shared" si="67"/>
        <v>0</v>
      </c>
      <c r="T293" s="434">
        <f t="shared" si="67"/>
        <v>0</v>
      </c>
      <c r="U293" s="434">
        <f t="shared" si="67"/>
        <v>0</v>
      </c>
      <c r="V293" s="434">
        <f t="shared" si="67"/>
        <v>0</v>
      </c>
      <c r="W293" s="434">
        <f t="shared" si="67"/>
        <v>0</v>
      </c>
      <c r="X293" s="434">
        <f t="shared" si="67"/>
        <v>0</v>
      </c>
      <c r="Y293" s="434">
        <f t="shared" si="67"/>
        <v>0</v>
      </c>
      <c r="Z293" s="434">
        <f t="shared" si="67"/>
        <v>0</v>
      </c>
      <c r="AA293" s="434">
        <f t="shared" si="67"/>
        <v>0</v>
      </c>
      <c r="AB293" s="434">
        <f t="shared" si="67"/>
        <v>0</v>
      </c>
      <c r="AC293" s="434">
        <f t="shared" si="67"/>
        <v>0</v>
      </c>
      <c r="AD293" s="434">
        <f t="shared" si="67"/>
        <v>0</v>
      </c>
      <c r="AE293" s="434">
        <f t="shared" si="67"/>
        <v>0</v>
      </c>
      <c r="AF293" s="434">
        <f t="shared" si="67"/>
        <v>0</v>
      </c>
      <c r="AG293" s="434">
        <f t="shared" si="67"/>
        <v>0</v>
      </c>
      <c r="AH293" s="434">
        <f t="shared" si="67"/>
        <v>0</v>
      </c>
      <c r="AI293" s="434">
        <f t="shared" si="67"/>
        <v>0</v>
      </c>
      <c r="AJ293" s="434">
        <f t="shared" si="67"/>
        <v>0</v>
      </c>
      <c r="AK293" s="434">
        <f t="shared" si="67"/>
        <v>0</v>
      </c>
      <c r="AL293" s="434">
        <f t="shared" si="67"/>
        <v>0</v>
      </c>
      <c r="AM293" s="434">
        <f t="shared" si="67"/>
        <v>0</v>
      </c>
    </row>
    <row r="294" spans="3:39">
      <c r="C294" s="435" t="s">
        <v>1349</v>
      </c>
      <c r="I294" s="434">
        <f t="shared" si="57"/>
        <v>0</v>
      </c>
      <c r="J294" s="434">
        <f t="shared" ref="J294:AM294" si="68">SUM(J30,J45:J47)</f>
        <v>0</v>
      </c>
      <c r="K294" s="434">
        <f t="shared" si="68"/>
        <v>0</v>
      </c>
      <c r="L294" s="434">
        <f t="shared" si="68"/>
        <v>0</v>
      </c>
      <c r="M294" s="434">
        <f t="shared" si="68"/>
        <v>0</v>
      </c>
      <c r="N294" s="434">
        <f t="shared" si="68"/>
        <v>0</v>
      </c>
      <c r="O294" s="434">
        <f t="shared" si="68"/>
        <v>0</v>
      </c>
      <c r="P294" s="434">
        <f t="shared" si="68"/>
        <v>0</v>
      </c>
      <c r="Q294" s="434">
        <f t="shared" si="68"/>
        <v>0</v>
      </c>
      <c r="R294" s="434">
        <f t="shared" si="68"/>
        <v>0</v>
      </c>
      <c r="S294" s="434">
        <f t="shared" si="68"/>
        <v>0</v>
      </c>
      <c r="T294" s="434">
        <f t="shared" si="68"/>
        <v>0</v>
      </c>
      <c r="U294" s="434">
        <f t="shared" si="68"/>
        <v>0</v>
      </c>
      <c r="V294" s="434">
        <f t="shared" si="68"/>
        <v>0</v>
      </c>
      <c r="W294" s="434">
        <f t="shared" si="68"/>
        <v>0</v>
      </c>
      <c r="X294" s="434">
        <f t="shared" si="68"/>
        <v>0</v>
      </c>
      <c r="Y294" s="434">
        <f t="shared" si="68"/>
        <v>0</v>
      </c>
      <c r="Z294" s="434">
        <f t="shared" si="68"/>
        <v>0</v>
      </c>
      <c r="AA294" s="434">
        <f t="shared" si="68"/>
        <v>0</v>
      </c>
      <c r="AB294" s="434">
        <f t="shared" si="68"/>
        <v>0</v>
      </c>
      <c r="AC294" s="434">
        <f t="shared" si="68"/>
        <v>0</v>
      </c>
      <c r="AD294" s="434">
        <f t="shared" si="68"/>
        <v>0</v>
      </c>
      <c r="AE294" s="434">
        <f t="shared" si="68"/>
        <v>0</v>
      </c>
      <c r="AF294" s="434">
        <f t="shared" si="68"/>
        <v>0</v>
      </c>
      <c r="AG294" s="434">
        <f t="shared" si="68"/>
        <v>0</v>
      </c>
      <c r="AH294" s="434">
        <f t="shared" si="68"/>
        <v>0</v>
      </c>
      <c r="AI294" s="434">
        <f t="shared" si="68"/>
        <v>0</v>
      </c>
      <c r="AJ294" s="434">
        <f t="shared" si="68"/>
        <v>0</v>
      </c>
      <c r="AK294" s="434">
        <f t="shared" si="68"/>
        <v>0</v>
      </c>
      <c r="AL294" s="434">
        <f t="shared" si="68"/>
        <v>0</v>
      </c>
      <c r="AM294" s="434">
        <f t="shared" si="68"/>
        <v>0</v>
      </c>
    </row>
    <row r="295" spans="3:39">
      <c r="C295" s="640" t="s">
        <v>1488</v>
      </c>
      <c r="I295" s="434">
        <f t="shared" si="57"/>
        <v>0</v>
      </c>
      <c r="J295" s="434">
        <f t="shared" ref="J295:AM295" si="69">SUM(J20:J21,J174:J177)</f>
        <v>0</v>
      </c>
      <c r="K295" s="434">
        <f t="shared" si="69"/>
        <v>0</v>
      </c>
      <c r="L295" s="434">
        <f t="shared" si="69"/>
        <v>0</v>
      </c>
      <c r="M295" s="434">
        <f t="shared" si="69"/>
        <v>0</v>
      </c>
      <c r="N295" s="434">
        <f t="shared" si="69"/>
        <v>0</v>
      </c>
      <c r="O295" s="434">
        <f t="shared" si="69"/>
        <v>0</v>
      </c>
      <c r="P295" s="434">
        <f t="shared" si="69"/>
        <v>0</v>
      </c>
      <c r="Q295" s="434">
        <f t="shared" si="69"/>
        <v>0</v>
      </c>
      <c r="R295" s="434">
        <f t="shared" si="69"/>
        <v>0</v>
      </c>
      <c r="S295" s="434">
        <f t="shared" si="69"/>
        <v>0</v>
      </c>
      <c r="T295" s="434">
        <f t="shared" si="69"/>
        <v>0</v>
      </c>
      <c r="U295" s="434">
        <f t="shared" si="69"/>
        <v>0</v>
      </c>
      <c r="V295" s="434">
        <f t="shared" si="69"/>
        <v>0</v>
      </c>
      <c r="W295" s="434">
        <f t="shared" si="69"/>
        <v>0</v>
      </c>
      <c r="X295" s="434">
        <f t="shared" si="69"/>
        <v>0</v>
      </c>
      <c r="Y295" s="434">
        <f t="shared" si="69"/>
        <v>0</v>
      </c>
      <c r="Z295" s="434">
        <f t="shared" si="69"/>
        <v>0</v>
      </c>
      <c r="AA295" s="434">
        <f t="shared" si="69"/>
        <v>0</v>
      </c>
      <c r="AB295" s="434">
        <f t="shared" si="69"/>
        <v>0</v>
      </c>
      <c r="AC295" s="434">
        <f t="shared" si="69"/>
        <v>0</v>
      </c>
      <c r="AD295" s="434">
        <f t="shared" si="69"/>
        <v>0</v>
      </c>
      <c r="AE295" s="434">
        <f t="shared" si="69"/>
        <v>0</v>
      </c>
      <c r="AF295" s="434">
        <f t="shared" si="69"/>
        <v>0</v>
      </c>
      <c r="AG295" s="434">
        <f t="shared" si="69"/>
        <v>0</v>
      </c>
      <c r="AH295" s="434">
        <f t="shared" si="69"/>
        <v>0</v>
      </c>
      <c r="AI295" s="434">
        <f t="shared" si="69"/>
        <v>0</v>
      </c>
      <c r="AJ295" s="434">
        <f t="shared" si="69"/>
        <v>0</v>
      </c>
      <c r="AK295" s="434">
        <f t="shared" si="69"/>
        <v>0</v>
      </c>
      <c r="AL295" s="434">
        <f t="shared" si="69"/>
        <v>0</v>
      </c>
      <c r="AM295" s="434">
        <f t="shared" si="69"/>
        <v>0</v>
      </c>
    </row>
    <row r="296" spans="3:39">
      <c r="C296" s="641" t="s">
        <v>1366</v>
      </c>
      <c r="I296" s="434">
        <f t="shared" si="57"/>
        <v>0</v>
      </c>
      <c r="J296" s="434">
        <f t="shared" ref="J296:AM296" si="70">SUM(J22,J61:J64)</f>
        <v>0</v>
      </c>
      <c r="K296" s="434">
        <f t="shared" si="70"/>
        <v>0</v>
      </c>
      <c r="L296" s="434">
        <f t="shared" si="70"/>
        <v>0</v>
      </c>
      <c r="M296" s="434">
        <f t="shared" si="70"/>
        <v>0</v>
      </c>
      <c r="N296" s="434">
        <f t="shared" si="70"/>
        <v>0</v>
      </c>
      <c r="O296" s="434">
        <f t="shared" si="70"/>
        <v>0</v>
      </c>
      <c r="P296" s="434">
        <f t="shared" si="70"/>
        <v>0</v>
      </c>
      <c r="Q296" s="434">
        <f t="shared" si="70"/>
        <v>0</v>
      </c>
      <c r="R296" s="434">
        <f t="shared" si="70"/>
        <v>0</v>
      </c>
      <c r="S296" s="434">
        <f t="shared" si="70"/>
        <v>0</v>
      </c>
      <c r="T296" s="434">
        <f t="shared" si="70"/>
        <v>0</v>
      </c>
      <c r="U296" s="434">
        <f t="shared" si="70"/>
        <v>0</v>
      </c>
      <c r="V296" s="434">
        <f t="shared" si="70"/>
        <v>0</v>
      </c>
      <c r="W296" s="434">
        <f t="shared" si="70"/>
        <v>0</v>
      </c>
      <c r="X296" s="434">
        <f t="shared" si="70"/>
        <v>0</v>
      </c>
      <c r="Y296" s="434">
        <f t="shared" si="70"/>
        <v>0</v>
      </c>
      <c r="Z296" s="434">
        <f t="shared" si="70"/>
        <v>0</v>
      </c>
      <c r="AA296" s="434">
        <f t="shared" si="70"/>
        <v>0</v>
      </c>
      <c r="AB296" s="434">
        <f t="shared" si="70"/>
        <v>0</v>
      </c>
      <c r="AC296" s="434">
        <f t="shared" si="70"/>
        <v>0</v>
      </c>
      <c r="AD296" s="434">
        <f t="shared" si="70"/>
        <v>0</v>
      </c>
      <c r="AE296" s="434">
        <f t="shared" si="70"/>
        <v>0</v>
      </c>
      <c r="AF296" s="434">
        <f t="shared" si="70"/>
        <v>0</v>
      </c>
      <c r="AG296" s="434">
        <f t="shared" si="70"/>
        <v>0</v>
      </c>
      <c r="AH296" s="434">
        <f t="shared" si="70"/>
        <v>0</v>
      </c>
      <c r="AI296" s="434">
        <f t="shared" si="70"/>
        <v>0</v>
      </c>
      <c r="AJ296" s="434">
        <f t="shared" si="70"/>
        <v>0</v>
      </c>
      <c r="AK296" s="434">
        <f t="shared" si="70"/>
        <v>0</v>
      </c>
      <c r="AL296" s="434">
        <f t="shared" si="70"/>
        <v>0</v>
      </c>
      <c r="AM296" s="434">
        <f t="shared" si="70"/>
        <v>0</v>
      </c>
    </row>
    <row r="297" spans="3:39">
      <c r="C297" s="642" t="s">
        <v>1371</v>
      </c>
      <c r="I297" s="434">
        <f t="shared" si="57"/>
        <v>0</v>
      </c>
      <c r="J297" s="434">
        <f t="shared" ref="J297:AM297" si="71">SUM(J23,J65:J66)</f>
        <v>0</v>
      </c>
      <c r="K297" s="434">
        <f t="shared" si="71"/>
        <v>0</v>
      </c>
      <c r="L297" s="434">
        <f t="shared" si="71"/>
        <v>0</v>
      </c>
      <c r="M297" s="434">
        <f t="shared" si="71"/>
        <v>0</v>
      </c>
      <c r="N297" s="434">
        <f t="shared" si="71"/>
        <v>0</v>
      </c>
      <c r="O297" s="434">
        <f t="shared" si="71"/>
        <v>0</v>
      </c>
      <c r="P297" s="434">
        <f t="shared" si="71"/>
        <v>0</v>
      </c>
      <c r="Q297" s="434">
        <f t="shared" si="71"/>
        <v>0</v>
      </c>
      <c r="R297" s="434">
        <f t="shared" si="71"/>
        <v>0</v>
      </c>
      <c r="S297" s="434">
        <f t="shared" si="71"/>
        <v>0</v>
      </c>
      <c r="T297" s="434">
        <f t="shared" si="71"/>
        <v>0</v>
      </c>
      <c r="U297" s="434">
        <f t="shared" si="71"/>
        <v>0</v>
      </c>
      <c r="V297" s="434">
        <f t="shared" si="71"/>
        <v>0</v>
      </c>
      <c r="W297" s="434">
        <f t="shared" si="71"/>
        <v>0</v>
      </c>
      <c r="X297" s="434">
        <f t="shared" si="71"/>
        <v>0</v>
      </c>
      <c r="Y297" s="434">
        <f t="shared" si="71"/>
        <v>0</v>
      </c>
      <c r="Z297" s="434">
        <f t="shared" si="71"/>
        <v>0</v>
      </c>
      <c r="AA297" s="434">
        <f t="shared" si="71"/>
        <v>0</v>
      </c>
      <c r="AB297" s="434">
        <f t="shared" si="71"/>
        <v>0</v>
      </c>
      <c r="AC297" s="434">
        <f t="shared" si="71"/>
        <v>0</v>
      </c>
      <c r="AD297" s="434">
        <f t="shared" si="71"/>
        <v>0</v>
      </c>
      <c r="AE297" s="434">
        <f t="shared" si="71"/>
        <v>0</v>
      </c>
      <c r="AF297" s="434">
        <f t="shared" si="71"/>
        <v>0</v>
      </c>
      <c r="AG297" s="434">
        <f t="shared" si="71"/>
        <v>0</v>
      </c>
      <c r="AH297" s="434">
        <f t="shared" si="71"/>
        <v>0</v>
      </c>
      <c r="AI297" s="434">
        <f t="shared" si="71"/>
        <v>0</v>
      </c>
      <c r="AJ297" s="434">
        <f t="shared" si="71"/>
        <v>0</v>
      </c>
      <c r="AK297" s="434">
        <f t="shared" si="71"/>
        <v>0</v>
      </c>
      <c r="AL297" s="434">
        <f t="shared" si="71"/>
        <v>0</v>
      </c>
      <c r="AM297" s="434">
        <f t="shared" si="71"/>
        <v>0</v>
      </c>
    </row>
    <row r="298" spans="3:39">
      <c r="C298" s="643" t="s">
        <v>1489</v>
      </c>
      <c r="I298" s="434">
        <f t="shared" si="57"/>
        <v>0</v>
      </c>
      <c r="J298" s="434">
        <f t="shared" ref="J298:AM298" si="72">SUM(J24)</f>
        <v>0</v>
      </c>
      <c r="K298" s="434">
        <f t="shared" si="72"/>
        <v>0</v>
      </c>
      <c r="L298" s="434">
        <f t="shared" si="72"/>
        <v>0</v>
      </c>
      <c r="M298" s="434">
        <f t="shared" si="72"/>
        <v>0</v>
      </c>
      <c r="N298" s="434">
        <f t="shared" si="72"/>
        <v>0</v>
      </c>
      <c r="O298" s="434">
        <f t="shared" si="72"/>
        <v>0</v>
      </c>
      <c r="P298" s="434">
        <f t="shared" si="72"/>
        <v>0</v>
      </c>
      <c r="Q298" s="434">
        <f t="shared" si="72"/>
        <v>0</v>
      </c>
      <c r="R298" s="434">
        <f t="shared" si="72"/>
        <v>0</v>
      </c>
      <c r="S298" s="434">
        <f t="shared" si="72"/>
        <v>0</v>
      </c>
      <c r="T298" s="434">
        <f t="shared" si="72"/>
        <v>0</v>
      </c>
      <c r="U298" s="434">
        <f t="shared" si="72"/>
        <v>0</v>
      </c>
      <c r="V298" s="434">
        <f t="shared" si="72"/>
        <v>0</v>
      </c>
      <c r="W298" s="434">
        <f t="shared" si="72"/>
        <v>0</v>
      </c>
      <c r="X298" s="434">
        <f t="shared" si="72"/>
        <v>0</v>
      </c>
      <c r="Y298" s="434">
        <f t="shared" si="72"/>
        <v>0</v>
      </c>
      <c r="Z298" s="434">
        <f t="shared" si="72"/>
        <v>0</v>
      </c>
      <c r="AA298" s="434">
        <f t="shared" si="72"/>
        <v>0</v>
      </c>
      <c r="AB298" s="434">
        <f t="shared" si="72"/>
        <v>0</v>
      </c>
      <c r="AC298" s="434">
        <f t="shared" si="72"/>
        <v>0</v>
      </c>
      <c r="AD298" s="434">
        <f t="shared" si="72"/>
        <v>0</v>
      </c>
      <c r="AE298" s="434">
        <f t="shared" si="72"/>
        <v>0</v>
      </c>
      <c r="AF298" s="434">
        <f t="shared" si="72"/>
        <v>0</v>
      </c>
      <c r="AG298" s="434">
        <f t="shared" si="72"/>
        <v>0</v>
      </c>
      <c r="AH298" s="434">
        <f t="shared" si="72"/>
        <v>0</v>
      </c>
      <c r="AI298" s="434">
        <f t="shared" si="72"/>
        <v>0</v>
      </c>
      <c r="AJ298" s="434">
        <f t="shared" si="72"/>
        <v>0</v>
      </c>
      <c r="AK298" s="434">
        <f t="shared" si="72"/>
        <v>0</v>
      </c>
      <c r="AL298" s="434">
        <f t="shared" si="72"/>
        <v>0</v>
      </c>
      <c r="AM298" s="434">
        <f t="shared" si="72"/>
        <v>0</v>
      </c>
    </row>
    <row r="299" spans="3:39">
      <c r="C299" s="367" t="s">
        <v>1362</v>
      </c>
      <c r="I299" s="434">
        <f t="shared" si="57"/>
        <v>0</v>
      </c>
      <c r="J299" s="434">
        <f t="shared" ref="J299:AM299" si="73">SUM(J57:J60)</f>
        <v>0</v>
      </c>
      <c r="K299" s="434">
        <f t="shared" si="73"/>
        <v>0</v>
      </c>
      <c r="L299" s="434">
        <f t="shared" si="73"/>
        <v>0</v>
      </c>
      <c r="M299" s="434">
        <f t="shared" si="73"/>
        <v>0</v>
      </c>
      <c r="N299" s="434">
        <f t="shared" si="73"/>
        <v>0</v>
      </c>
      <c r="O299" s="434">
        <f t="shared" si="73"/>
        <v>0</v>
      </c>
      <c r="P299" s="434">
        <f t="shared" si="73"/>
        <v>0</v>
      </c>
      <c r="Q299" s="434">
        <f t="shared" si="73"/>
        <v>0</v>
      </c>
      <c r="R299" s="434">
        <f t="shared" si="73"/>
        <v>0</v>
      </c>
      <c r="S299" s="434">
        <f t="shared" si="73"/>
        <v>0</v>
      </c>
      <c r="T299" s="434">
        <f t="shared" si="73"/>
        <v>0</v>
      </c>
      <c r="U299" s="434">
        <f t="shared" si="73"/>
        <v>0</v>
      </c>
      <c r="V299" s="434">
        <f t="shared" si="73"/>
        <v>0</v>
      </c>
      <c r="W299" s="434">
        <f t="shared" si="73"/>
        <v>0</v>
      </c>
      <c r="X299" s="434">
        <f t="shared" si="73"/>
        <v>0</v>
      </c>
      <c r="Y299" s="434">
        <f t="shared" si="73"/>
        <v>0</v>
      </c>
      <c r="Z299" s="434">
        <f t="shared" si="73"/>
        <v>0</v>
      </c>
      <c r="AA299" s="434">
        <f t="shared" si="73"/>
        <v>0</v>
      </c>
      <c r="AB299" s="434">
        <f t="shared" si="73"/>
        <v>0</v>
      </c>
      <c r="AC299" s="434">
        <f t="shared" si="73"/>
        <v>0</v>
      </c>
      <c r="AD299" s="434">
        <f t="shared" si="73"/>
        <v>0</v>
      </c>
      <c r="AE299" s="434">
        <f t="shared" si="73"/>
        <v>0</v>
      </c>
      <c r="AF299" s="434">
        <f t="shared" si="73"/>
        <v>0</v>
      </c>
      <c r="AG299" s="434">
        <f t="shared" si="73"/>
        <v>0</v>
      </c>
      <c r="AH299" s="434">
        <f t="shared" si="73"/>
        <v>0</v>
      </c>
      <c r="AI299" s="434">
        <f t="shared" si="73"/>
        <v>0</v>
      </c>
      <c r="AJ299" s="434">
        <f t="shared" si="73"/>
        <v>0</v>
      </c>
      <c r="AK299" s="434">
        <f t="shared" si="73"/>
        <v>0</v>
      </c>
      <c r="AL299" s="434">
        <f t="shared" si="73"/>
        <v>0</v>
      </c>
      <c r="AM299" s="434">
        <f t="shared" si="73"/>
        <v>0</v>
      </c>
    </row>
    <row r="300" spans="3:39">
      <c r="C300" t="s">
        <v>267</v>
      </c>
      <c r="I300" s="434">
        <f t="shared" ref="I300:AM300" si="74">SUM(I284:I299)</f>
        <v>0</v>
      </c>
      <c r="J300" s="434">
        <f t="shared" si="74"/>
        <v>0</v>
      </c>
      <c r="K300" s="434">
        <f t="shared" si="74"/>
        <v>0</v>
      </c>
      <c r="L300" s="434">
        <f t="shared" si="74"/>
        <v>0</v>
      </c>
      <c r="M300" s="434">
        <f t="shared" si="74"/>
        <v>0</v>
      </c>
      <c r="N300" s="434">
        <f t="shared" si="74"/>
        <v>0</v>
      </c>
      <c r="O300" s="434">
        <f t="shared" si="74"/>
        <v>0</v>
      </c>
      <c r="P300" s="434">
        <f t="shared" si="74"/>
        <v>0</v>
      </c>
      <c r="Q300" s="434">
        <f t="shared" si="74"/>
        <v>0</v>
      </c>
      <c r="R300" s="434">
        <f t="shared" si="74"/>
        <v>0</v>
      </c>
      <c r="S300" s="434">
        <f t="shared" si="74"/>
        <v>0</v>
      </c>
      <c r="T300" s="434">
        <f t="shared" si="74"/>
        <v>0</v>
      </c>
      <c r="U300" s="434">
        <f t="shared" si="74"/>
        <v>0</v>
      </c>
      <c r="V300" s="434">
        <f t="shared" si="74"/>
        <v>0</v>
      </c>
      <c r="W300" s="434">
        <f t="shared" si="74"/>
        <v>0</v>
      </c>
      <c r="X300" s="434">
        <f t="shared" si="74"/>
        <v>0</v>
      </c>
      <c r="Y300" s="434">
        <f t="shared" si="74"/>
        <v>0</v>
      </c>
      <c r="Z300" s="434">
        <f t="shared" si="74"/>
        <v>0</v>
      </c>
      <c r="AA300" s="434">
        <f t="shared" si="74"/>
        <v>0</v>
      </c>
      <c r="AB300" s="434">
        <f t="shared" si="74"/>
        <v>0</v>
      </c>
      <c r="AC300" s="434">
        <f t="shared" si="74"/>
        <v>0</v>
      </c>
      <c r="AD300" s="434">
        <f t="shared" si="74"/>
        <v>0</v>
      </c>
      <c r="AE300" s="434">
        <f t="shared" si="74"/>
        <v>0</v>
      </c>
      <c r="AF300" s="434">
        <f t="shared" si="74"/>
        <v>0</v>
      </c>
      <c r="AG300" s="434">
        <f t="shared" si="74"/>
        <v>0</v>
      </c>
      <c r="AH300" s="434">
        <f t="shared" si="74"/>
        <v>0</v>
      </c>
      <c r="AI300" s="434">
        <f t="shared" si="74"/>
        <v>0</v>
      </c>
      <c r="AJ300" s="434">
        <f t="shared" si="74"/>
        <v>0</v>
      </c>
      <c r="AK300" s="434">
        <f t="shared" si="74"/>
        <v>0</v>
      </c>
      <c r="AL300" s="434">
        <f t="shared" si="74"/>
        <v>0</v>
      </c>
      <c r="AM300" s="434">
        <f t="shared" si="74"/>
        <v>0</v>
      </c>
    </row>
    <row r="301" spans="3:39">
      <c r="J301" s="639" t="b">
        <f t="shared" ref="J301:AM301" ca="1" si="75">J300=J253</f>
        <v>1</v>
      </c>
      <c r="K301" s="639" t="b">
        <f t="shared" ca="1" si="75"/>
        <v>1</v>
      </c>
      <c r="L301" s="639" t="b">
        <f t="shared" ca="1" si="75"/>
        <v>1</v>
      </c>
      <c r="M301" s="639" t="b">
        <f t="shared" ca="1" si="75"/>
        <v>1</v>
      </c>
      <c r="N301" t="b">
        <f t="shared" ca="1" si="75"/>
        <v>1</v>
      </c>
      <c r="O301" t="b">
        <f t="shared" ca="1" si="75"/>
        <v>1</v>
      </c>
      <c r="P301" t="b">
        <f t="shared" ca="1" si="75"/>
        <v>1</v>
      </c>
      <c r="Q301" t="b">
        <f t="shared" ca="1" si="75"/>
        <v>1</v>
      </c>
      <c r="R301" t="b">
        <f t="shared" ca="1" si="75"/>
        <v>1</v>
      </c>
      <c r="S301" t="b">
        <f t="shared" ca="1" si="75"/>
        <v>1</v>
      </c>
      <c r="T301" t="b">
        <f t="shared" ca="1" si="75"/>
        <v>1</v>
      </c>
      <c r="U301" t="b">
        <f t="shared" ca="1" si="75"/>
        <v>1</v>
      </c>
      <c r="V301" t="b">
        <f t="shared" ca="1" si="75"/>
        <v>1</v>
      </c>
      <c r="W301" t="b">
        <f t="shared" ca="1" si="75"/>
        <v>1</v>
      </c>
      <c r="X301" t="b">
        <f t="shared" ca="1" si="75"/>
        <v>1</v>
      </c>
      <c r="Y301" t="b">
        <f t="shared" ca="1" si="75"/>
        <v>1</v>
      </c>
      <c r="Z301" t="b">
        <f t="shared" ca="1" si="75"/>
        <v>1</v>
      </c>
      <c r="AA301" t="b">
        <f t="shared" ca="1" si="75"/>
        <v>1</v>
      </c>
      <c r="AB301" t="b">
        <f t="shared" ca="1" si="75"/>
        <v>1</v>
      </c>
      <c r="AC301" t="b">
        <f t="shared" ca="1" si="75"/>
        <v>1</v>
      </c>
      <c r="AD301" t="b">
        <f t="shared" ca="1" si="75"/>
        <v>1</v>
      </c>
      <c r="AE301" t="b">
        <f t="shared" ca="1" si="75"/>
        <v>1</v>
      </c>
      <c r="AF301" t="b">
        <f t="shared" ca="1" si="75"/>
        <v>1</v>
      </c>
      <c r="AG301" t="b">
        <f t="shared" ca="1" si="75"/>
        <v>1</v>
      </c>
      <c r="AH301" t="b">
        <f t="shared" ca="1" si="75"/>
        <v>1</v>
      </c>
      <c r="AI301" t="b">
        <f t="shared" ca="1" si="75"/>
        <v>1</v>
      </c>
      <c r="AJ301" t="b">
        <f t="shared" ca="1" si="75"/>
        <v>1</v>
      </c>
      <c r="AK301" t="b">
        <f t="shared" ca="1" si="75"/>
        <v>1</v>
      </c>
      <c r="AL301" t="b">
        <f t="shared" ca="1" si="75"/>
        <v>1</v>
      </c>
      <c r="AM301" t="b">
        <f t="shared" ca="1" si="75"/>
        <v>1</v>
      </c>
    </row>
    <row r="306" spans="3:5">
      <c r="C306" s="191" t="s">
        <v>1490</v>
      </c>
      <c r="D306" s="191" t="s">
        <v>1491</v>
      </c>
      <c r="E306" s="191" t="s">
        <v>1492</v>
      </c>
    </row>
    <row r="307" spans="3:5">
      <c r="C307" s="94" t="s">
        <v>1493</v>
      </c>
      <c r="D307">
        <f>3</f>
        <v>3</v>
      </c>
      <c r="E307">
        <f>1*3</f>
        <v>3</v>
      </c>
    </row>
    <row r="308" spans="3:5">
      <c r="C308" s="368" t="s">
        <v>1494</v>
      </c>
      <c r="D308">
        <v>3</v>
      </c>
    </row>
    <row r="309" spans="3:5">
      <c r="C309" s="368" t="s">
        <v>1495</v>
      </c>
    </row>
    <row r="310" spans="3:5">
      <c r="C310" s="94" t="s">
        <v>1496</v>
      </c>
      <c r="D310">
        <v>3</v>
      </c>
    </row>
    <row r="311" spans="3:5">
      <c r="C311" s="94" t="s">
        <v>1497</v>
      </c>
      <c r="D311">
        <v>3</v>
      </c>
    </row>
    <row r="312" spans="3:5">
      <c r="C312" s="94" t="s">
        <v>1498</v>
      </c>
      <c r="D312">
        <v>3</v>
      </c>
    </row>
    <row r="313" spans="3:5">
      <c r="C313" s="94" t="s">
        <v>1499</v>
      </c>
      <c r="D313">
        <v>3</v>
      </c>
    </row>
    <row r="314" spans="3:5">
      <c r="C314" s="94" t="s">
        <v>1500</v>
      </c>
      <c r="D314">
        <v>3</v>
      </c>
    </row>
    <row r="315" spans="3:5">
      <c r="C315" s="94" t="s">
        <v>1501</v>
      </c>
      <c r="D315">
        <v>3</v>
      </c>
    </row>
    <row r="316" spans="3:5">
      <c r="C316" s="94" t="s">
        <v>251</v>
      </c>
      <c r="D316">
        <f>3*3</f>
        <v>9</v>
      </c>
    </row>
    <row r="317" spans="3:5">
      <c r="C317" s="94" t="s">
        <v>1502</v>
      </c>
    </row>
    <row r="318" spans="3:5">
      <c r="C318" s="94" t="s">
        <v>1503</v>
      </c>
      <c r="D318">
        <v>3</v>
      </c>
    </row>
    <row r="319" spans="3:5">
      <c r="C319" s="94" t="s">
        <v>624</v>
      </c>
      <c r="E319">
        <f>2*3</f>
        <v>6</v>
      </c>
    </row>
    <row r="320" spans="3:5">
      <c r="C320" s="94" t="s">
        <v>1504</v>
      </c>
      <c r="D320">
        <f>3*3</f>
        <v>9</v>
      </c>
    </row>
    <row r="321" spans="4:5">
      <c r="D321">
        <f>SUM(D307:D320)</f>
        <v>45</v>
      </c>
      <c r="E321">
        <f>SUM(E307:E320)</f>
        <v>9</v>
      </c>
    </row>
  </sheetData>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DCA2-76FF-4E26-B31C-44F150CA2903}">
  <sheetPr codeName="Sheet38">
    <tabColor rgb="FF0070C0"/>
  </sheetPr>
  <dimension ref="A2:AA36"/>
  <sheetViews>
    <sheetView showGridLines="0" topLeftCell="A7" workbookViewId="0">
      <selection activeCell="D16" sqref="D16"/>
    </sheetView>
  </sheetViews>
  <sheetFormatPr baseColWidth="10" defaultColWidth="8.83203125" defaultRowHeight="13"/>
  <cols>
    <col min="1" max="1" width="16.33203125" bestFit="1" customWidth="1"/>
    <col min="2" max="2" width="48.83203125" bestFit="1" customWidth="1"/>
    <col min="4" max="4" width="16.33203125" customWidth="1"/>
  </cols>
  <sheetData>
    <row r="2" spans="1:27">
      <c r="E2" s="327">
        <f>'Production Schedule'!E1</f>
        <v>46023</v>
      </c>
      <c r="F2" s="327">
        <f>'Production Schedule'!F1</f>
        <v>46389</v>
      </c>
      <c r="G2" s="327">
        <f>'Production Schedule'!G1</f>
        <v>46755</v>
      </c>
      <c r="H2" s="327">
        <f>'Production Schedule'!H1</f>
        <v>47121</v>
      </c>
      <c r="I2" s="327">
        <f>'Production Schedule'!I1</f>
        <v>47487</v>
      </c>
      <c r="J2" s="327">
        <f>'Production Schedule'!J1</f>
        <v>47853</v>
      </c>
      <c r="K2" s="327">
        <f>'Production Schedule'!K1</f>
        <v>48219</v>
      </c>
      <c r="L2" s="327">
        <f>'Production Schedule'!L1</f>
        <v>48585</v>
      </c>
      <c r="M2" s="327">
        <f>'Production Schedule'!M1</f>
        <v>48951</v>
      </c>
      <c r="N2" s="327">
        <f>'Production Schedule'!N1</f>
        <v>49317</v>
      </c>
      <c r="O2" s="327">
        <f>'Production Schedule'!O1</f>
        <v>49683</v>
      </c>
      <c r="P2" s="327">
        <f>'Production Schedule'!P1</f>
        <v>50049</v>
      </c>
      <c r="Q2" s="327">
        <f>'Production Schedule'!Q1</f>
        <v>50415</v>
      </c>
      <c r="R2" s="327">
        <f>'Production Schedule'!R1</f>
        <v>50781</v>
      </c>
      <c r="S2" s="327">
        <f>'Production Schedule'!S1</f>
        <v>51147</v>
      </c>
      <c r="T2" s="327">
        <f>'Production Schedule'!T1</f>
        <v>51513</v>
      </c>
      <c r="U2" s="327">
        <f>'Production Schedule'!U1</f>
        <v>51879</v>
      </c>
      <c r="V2" s="327">
        <f>'Production Schedule'!V1</f>
        <v>52245</v>
      </c>
      <c r="W2" s="327">
        <f>'Production Schedule'!W1</f>
        <v>52611</v>
      </c>
      <c r="X2" s="327">
        <f>'Production Schedule'!X1</f>
        <v>52977</v>
      </c>
      <c r="Y2" s="327">
        <f>'Production Schedule'!Y1</f>
        <v>53343</v>
      </c>
      <c r="Z2" s="327">
        <f>'Production Schedule'!Z1</f>
        <v>53709</v>
      </c>
      <c r="AA2" s="327">
        <f>'Production Schedule'!AA1</f>
        <v>54075</v>
      </c>
    </row>
    <row r="3" spans="1:27" ht="42">
      <c r="B3" s="1141" t="s">
        <v>34</v>
      </c>
      <c r="C3" s="1141" t="s">
        <v>132</v>
      </c>
      <c r="D3" s="1141" t="s">
        <v>1505</v>
      </c>
      <c r="E3" s="789">
        <f>'Production Schedule'!E3</f>
        <v>-4</v>
      </c>
      <c r="F3" s="789">
        <f>'Production Schedule'!F3</f>
        <v>-3</v>
      </c>
      <c r="G3" s="789">
        <f>'Production Schedule'!G3</f>
        <v>-2</v>
      </c>
      <c r="H3" s="789">
        <f>'Production Schedule'!H3</f>
        <v>-1</v>
      </c>
      <c r="I3" s="789">
        <f>'Production Schedule'!I3</f>
        <v>1</v>
      </c>
      <c r="J3" s="789">
        <f>'Production Schedule'!J3</f>
        <v>2</v>
      </c>
      <c r="K3" s="789">
        <f>'Production Schedule'!K3</f>
        <v>3</v>
      </c>
      <c r="L3" s="789">
        <f>'Production Schedule'!L3</f>
        <v>4</v>
      </c>
      <c r="M3" s="789">
        <f>'Production Schedule'!M3</f>
        <v>5</v>
      </c>
      <c r="N3" s="789">
        <f>'Production Schedule'!N3</f>
        <v>6</v>
      </c>
      <c r="O3" s="789">
        <f>'Production Schedule'!O3</f>
        <v>7</v>
      </c>
      <c r="P3" s="789">
        <f>'Production Schedule'!P3</f>
        <v>8</v>
      </c>
      <c r="Q3" s="789">
        <f>'Production Schedule'!Q3</f>
        <v>9</v>
      </c>
      <c r="R3" s="789">
        <f>'Production Schedule'!R3</f>
        <v>10</v>
      </c>
      <c r="S3" s="789">
        <f>'Production Schedule'!S3</f>
        <v>11</v>
      </c>
      <c r="T3" s="789">
        <f>'Production Schedule'!T3</f>
        <v>12</v>
      </c>
      <c r="U3" s="789">
        <f>'Production Schedule'!U3</f>
        <v>13</v>
      </c>
      <c r="V3" s="789">
        <f>'Production Schedule'!V3</f>
        <v>14</v>
      </c>
      <c r="W3" s="789">
        <f>'Production Schedule'!W3</f>
        <v>15</v>
      </c>
      <c r="X3" s="789">
        <f>'Production Schedule'!X3</f>
        <v>16</v>
      </c>
      <c r="Y3" s="789">
        <f>'Production Schedule'!Y3</f>
        <v>17</v>
      </c>
      <c r="Z3" s="789">
        <f>'Production Schedule'!Z3</f>
        <v>18</v>
      </c>
      <c r="AA3" s="789">
        <f>'Production Schedule'!AA3</f>
        <v>19</v>
      </c>
    </row>
    <row r="4" spans="1:27">
      <c r="B4" s="1281" t="s">
        <v>698</v>
      </c>
      <c r="C4" s="1417" t="s">
        <v>113</v>
      </c>
      <c r="D4" s="1281"/>
      <c r="E4" s="1227">
        <f>'Production Schedule'!E5</f>
        <v>0</v>
      </c>
      <c r="F4" s="1227">
        <f>'Production Schedule'!F5</f>
        <v>0</v>
      </c>
      <c r="G4" s="1227">
        <f>'Production Schedule'!G5</f>
        <v>0</v>
      </c>
      <c r="H4" s="1227">
        <f>'Production Schedule'!H5</f>
        <v>0</v>
      </c>
      <c r="I4" s="1227">
        <f>'Production Schedule'!I5</f>
        <v>1.9999997549999999</v>
      </c>
      <c r="J4" s="1227">
        <f>'Production Schedule'!J5</f>
        <v>3.9999986549999997</v>
      </c>
      <c r="K4" s="1227">
        <f>'Production Schedule'!K5</f>
        <v>8.00000073</v>
      </c>
      <c r="L4" s="1227">
        <f>'Production Schedule'!L5</f>
        <v>11.999998529999999</v>
      </c>
      <c r="M4" s="1227">
        <f>'Production Schedule'!M5</f>
        <v>14.99999517</v>
      </c>
      <c r="N4" s="1227">
        <f>'Production Schedule'!N5</f>
        <v>15.000007140000001</v>
      </c>
      <c r="O4" s="1227">
        <f>'Production Schedule'!O5</f>
        <v>14.999998590000001</v>
      </c>
      <c r="P4" s="1227">
        <f>'Production Schedule'!P5</f>
        <v>14.999996879999999</v>
      </c>
      <c r="Q4" s="1227">
        <f>'Production Schedule'!Q5</f>
        <v>15.000003719999999</v>
      </c>
      <c r="R4" s="1227">
        <f>'Production Schedule'!R5</f>
        <v>14.99999517</v>
      </c>
      <c r="S4" s="1227">
        <f>'Production Schedule'!S5</f>
        <v>14.999996879999999</v>
      </c>
      <c r="T4" s="1227">
        <f>'Production Schedule'!T5</f>
        <v>15.000002009999999</v>
      </c>
      <c r="U4" s="1227">
        <f>'Production Schedule'!U5</f>
        <v>15.00001569</v>
      </c>
      <c r="V4" s="1227">
        <f>'Production Schedule'!V5</f>
        <v>15.000002009999999</v>
      </c>
      <c r="W4" s="1227">
        <f>'Production Schedule'!W5</f>
        <v>15.000002009999999</v>
      </c>
      <c r="X4" s="1227">
        <f>'Production Schedule'!X5</f>
        <v>15.000000299999998</v>
      </c>
      <c r="Y4" s="1227">
        <f>'Production Schedule'!Y5</f>
        <v>9.9999996299999996</v>
      </c>
      <c r="Z4" s="1227">
        <f>'Production Schedule'!Z5</f>
        <v>7.5000027149999999</v>
      </c>
      <c r="AA4" s="1227">
        <f>'Production Schedule'!AA5</f>
        <v>2.2043909249999998</v>
      </c>
    </row>
    <row r="5" spans="1:27">
      <c r="B5" t="s">
        <v>392</v>
      </c>
      <c r="C5" s="330" t="s">
        <v>1506</v>
      </c>
      <c r="E5" s="189">
        <f>'Coal Price'!E5</f>
        <v>0</v>
      </c>
      <c r="F5" s="189">
        <f>'Coal Price'!F5</f>
        <v>0</v>
      </c>
      <c r="G5" s="189">
        <f>'Coal Price'!G5</f>
        <v>0</v>
      </c>
      <c r="H5" s="189">
        <f>'Coal Price'!H5</f>
        <v>0</v>
      </c>
      <c r="I5" s="189">
        <f>'Coal Price'!I5</f>
        <v>3007.667822250236</v>
      </c>
      <c r="J5" s="189">
        <f>'Coal Price'!J5</f>
        <v>2951.6164584864068</v>
      </c>
      <c r="K5" s="189">
        <f>'Coal Price'!K5</f>
        <v>2960.7566204287514</v>
      </c>
      <c r="L5" s="189">
        <f>'Coal Price'!L5</f>
        <v>2950.863976398693</v>
      </c>
      <c r="M5" s="189">
        <f>'Coal Price'!M5</f>
        <v>2922.5108133769386</v>
      </c>
      <c r="N5" s="189">
        <f>'Coal Price'!N5</f>
        <v>2987.5245953665499</v>
      </c>
      <c r="O5" s="189">
        <f>'Coal Price'!O5</f>
        <v>2894.4097478636986</v>
      </c>
      <c r="P5" s="189">
        <f>'Coal Price'!P5</f>
        <v>2960.7566204287514</v>
      </c>
      <c r="Q5" s="189">
        <f>'Coal Price'!Q5</f>
        <v>2988.3140147523709</v>
      </c>
      <c r="R5" s="189">
        <f>'Coal Price'!R5</f>
        <v>3072.4707371085096</v>
      </c>
      <c r="S5" s="189">
        <f>'Coal Price'!S5</f>
        <v>3072.4707371085096</v>
      </c>
      <c r="T5" s="189">
        <f>'Coal Price'!T5</f>
        <v>2828.355367530407</v>
      </c>
      <c r="U5" s="189">
        <f>'Coal Price'!U5</f>
        <v>2921.9257221458047</v>
      </c>
      <c r="V5" s="189">
        <f>'Coal Price'!V5</f>
        <v>2902.7780723147066</v>
      </c>
      <c r="W5" s="189">
        <f>'Coal Price'!W5</f>
        <v>2668.317042073948</v>
      </c>
      <c r="X5" s="189">
        <f>'Coal Price'!X5</f>
        <v>2781.2088144930603</v>
      </c>
      <c r="Y5" s="189">
        <f>'Coal Price'!Y5</f>
        <v>2828.355367530407</v>
      </c>
      <c r="Z5" s="189">
        <f>'Coal Price'!Z5</f>
        <v>2847.0249682606855</v>
      </c>
      <c r="AA5" s="189">
        <f>'Coal Price'!AA5</f>
        <v>2996.6532514297819</v>
      </c>
    </row>
    <row r="6" spans="1:27">
      <c r="B6" s="94" t="s">
        <v>1507</v>
      </c>
      <c r="C6" s="330" t="s">
        <v>275</v>
      </c>
      <c r="E6" s="189">
        <f>IF(Assumptions_Dashboard!$L$8="NCI",'Coal Price'!E7*(1+Sensitivity!$C$6),0)</f>
        <v>0</v>
      </c>
      <c r="F6" s="189">
        <f>IF(Assumptions_Dashboard!$L$8="NCI",'Coal Price'!F7*(1+Sensitivity!$C$6),0)</f>
        <v>0</v>
      </c>
      <c r="G6" s="189">
        <f>IF(Assumptions_Dashboard!$L$8="NCI",'Coal Price'!G7*(1+Sensitivity!$C$6),0)</f>
        <v>0</v>
      </c>
      <c r="H6" s="189">
        <f>IF(Assumptions_Dashboard!$L$8="NCI",'Coal Price'!H7*(1+Sensitivity!$C$6),0)</f>
        <v>0</v>
      </c>
      <c r="I6" s="189">
        <f>IF(Assumptions_Dashboard!$L$8="NCI",'Coal Price'!I7*(1+Sensitivity!$C$6),0)</f>
        <v>0</v>
      </c>
      <c r="J6" s="189">
        <f>IF(Assumptions_Dashboard!$L$8="NCI",'Coal Price'!J7*(1+Sensitivity!$C$6),0)</f>
        <v>0</v>
      </c>
      <c r="K6" s="189">
        <f>IF(Assumptions_Dashboard!$L$8="NCI",'Coal Price'!K7*(1+Sensitivity!$C$6),0)</f>
        <v>0</v>
      </c>
      <c r="L6" s="189">
        <f>IF(Assumptions_Dashboard!$L$8="NCI",'Coal Price'!L7*(1+Sensitivity!$C$6),0)</f>
        <v>0</v>
      </c>
      <c r="M6" s="189">
        <f>IF(Assumptions_Dashboard!$L$8="NCI",'Coal Price'!M7*(1+Sensitivity!$C$6),0)</f>
        <v>0</v>
      </c>
      <c r="N6" s="189">
        <f>IF(Assumptions_Dashboard!$L$8="NCI",'Coal Price'!N7*(1+Sensitivity!$C$6),0)</f>
        <v>0</v>
      </c>
      <c r="O6" s="189">
        <f>IF(Assumptions_Dashboard!$L$8="NCI",'Coal Price'!O7*(1+Sensitivity!$C$6),0)</f>
        <v>0</v>
      </c>
      <c r="P6" s="189">
        <f>IF(Assumptions_Dashboard!$L$8="NCI",'Coal Price'!P7*(1+Sensitivity!$C$6),0)</f>
        <v>0</v>
      </c>
      <c r="Q6" s="189">
        <f>IF(Assumptions_Dashboard!$L$8="NCI",'Coal Price'!Q7*(1+Sensitivity!$C$6),0)</f>
        <v>0</v>
      </c>
      <c r="R6" s="189">
        <f>IF(Assumptions_Dashboard!$L$8="NCI",'Coal Price'!R7*(1+Sensitivity!$C$6),0)</f>
        <v>0</v>
      </c>
      <c r="S6" s="189">
        <f>IF(Assumptions_Dashboard!$L$8="NCI",'Coal Price'!S7*(1+Sensitivity!$C$6),0)</f>
        <v>0</v>
      </c>
      <c r="T6" s="189">
        <f>IF(Assumptions_Dashboard!$L$8="NCI",'Coal Price'!T7*(1+Sensitivity!$C$6),0)</f>
        <v>0</v>
      </c>
      <c r="U6" s="189">
        <f>IF(Assumptions_Dashboard!$L$8="NCI",'Coal Price'!U7*(1+Sensitivity!$C$6),0)</f>
        <v>0</v>
      </c>
      <c r="V6" s="189">
        <f>IF(Assumptions_Dashboard!$L$8="NCI",'Coal Price'!V7*(1+Sensitivity!$C$6),0)</f>
        <v>0</v>
      </c>
      <c r="W6" s="189">
        <f>IF(Assumptions_Dashboard!$L$8="NCI",'Coal Price'!W7*(1+Sensitivity!$C$6),0)</f>
        <v>0</v>
      </c>
      <c r="X6" s="189">
        <f>IF(Assumptions_Dashboard!$L$8="NCI",'Coal Price'!X7*(1+Sensitivity!$C$6),0)</f>
        <v>0</v>
      </c>
      <c r="Y6" s="189">
        <f>IF(Assumptions_Dashboard!$L$8="NCI",'Coal Price'!Y7*(1+Sensitivity!$C$6),0)</f>
        <v>0</v>
      </c>
      <c r="Z6" s="189">
        <f>IF(Assumptions_Dashboard!$L$8="NCI",'Coal Price'!Z7*(1+Sensitivity!$C$6),0)</f>
        <v>0</v>
      </c>
      <c r="AA6" s="189">
        <f>IF(Assumptions_Dashboard!$L$8="NCI",'Coal Price'!AA7*(1+Sensitivity!$C$6),0)</f>
        <v>0</v>
      </c>
    </row>
    <row r="7" spans="1:27">
      <c r="B7" s="94" t="s">
        <v>1508</v>
      </c>
      <c r="C7" s="330" t="s">
        <v>275</v>
      </c>
      <c r="E7" s="189">
        <f>IF(Assumptions_Dashboard!$L$8="Commercial",'Coal Price'!E8*(1+Sensitivity!$C$6),0)</f>
        <v>0</v>
      </c>
      <c r="F7" s="189">
        <f>IF(Assumptions_Dashboard!$L$8="Commercial",'Coal Price'!F8*(1+Sensitivity!$C$6),0)</f>
        <v>0</v>
      </c>
      <c r="G7" s="189">
        <f>IF(Assumptions_Dashboard!$L$8="Commercial",'Coal Price'!G8*(1+Sensitivity!$C$6),0)</f>
        <v>0</v>
      </c>
      <c r="H7" s="189">
        <f>IF(Assumptions_Dashboard!$L$8="Commercial",'Coal Price'!H8*(1+Sensitivity!$C$6),0)</f>
        <v>0</v>
      </c>
      <c r="I7" s="189">
        <f>IF(Assumptions_Dashboard!$L$8="NCI",0,'Coal Price'!I8*(1+Sensitivity!$C$6))</f>
        <v>1651.2000000000005</v>
      </c>
      <c r="J7" s="189">
        <f>IF(Assumptions_Dashboard!$L$8="NCI",0,'Coal Price'!J8*(1+Sensitivity!$C$6))</f>
        <v>1651.2000000000005</v>
      </c>
      <c r="K7" s="189">
        <f>IF(Assumptions_Dashboard!$L$8="NCI",0,'Coal Price'!K8*(1+Sensitivity!$C$6))</f>
        <v>1651.2000000000005</v>
      </c>
      <c r="L7" s="189">
        <f>IF(Assumptions_Dashboard!$L$8="NCI",0,'Coal Price'!L8*(1+Sensitivity!$C$6))</f>
        <v>1651.2000000000005</v>
      </c>
      <c r="M7" s="189">
        <f>IF(Assumptions_Dashboard!$L$8="NCI",0,'Coal Price'!M8*(1+Sensitivity!$C$6))</f>
        <v>1651.2000000000005</v>
      </c>
      <c r="N7" s="189">
        <f>IF(Assumptions_Dashboard!$L$8="NCI",0,'Coal Price'!N8*(1+Sensitivity!$C$6))</f>
        <v>1651.2000000000005</v>
      </c>
      <c r="O7" s="189">
        <f>IF(Assumptions_Dashboard!$L$8="NCI",0,'Coal Price'!O8*(1+Sensitivity!$C$6))</f>
        <v>1651.2000000000005</v>
      </c>
      <c r="P7" s="189">
        <f>IF(Assumptions_Dashboard!$L$8="NCI",0,'Coal Price'!P8*(1+Sensitivity!$C$6))</f>
        <v>1651.2000000000005</v>
      </c>
      <c r="Q7" s="189">
        <f>IF(Assumptions_Dashboard!$L$8="NCI",0,'Coal Price'!Q8*(1+Sensitivity!$C$6))</f>
        <v>1651.2000000000005</v>
      </c>
      <c r="R7" s="189">
        <f>IF(Assumptions_Dashboard!$L$8="NCI",0,'Coal Price'!R8*(1+Sensitivity!$C$6))</f>
        <v>1651.2000000000005</v>
      </c>
      <c r="S7" s="189">
        <f>IF(Assumptions_Dashboard!$L$8="NCI",0,'Coal Price'!S8*(1+Sensitivity!$C$6))</f>
        <v>1651.2000000000005</v>
      </c>
      <c r="T7" s="189">
        <f>IF(Assumptions_Dashboard!$L$8="NCI",0,'Coal Price'!T8*(1+Sensitivity!$C$6))</f>
        <v>1651.2000000000005</v>
      </c>
      <c r="U7" s="189">
        <f>IF(Assumptions_Dashboard!$L$8="NCI",0,'Coal Price'!U8*(1+Sensitivity!$C$6))</f>
        <v>1651.2000000000005</v>
      </c>
      <c r="V7" s="189">
        <f>IF(Assumptions_Dashboard!$L$8="NCI",0,'Coal Price'!V8*(1+Sensitivity!$C$6))</f>
        <v>1651.2000000000005</v>
      </c>
      <c r="W7" s="189">
        <f>IF(Assumptions_Dashboard!$L$8="NCI",0,'Coal Price'!W8*(1+Sensitivity!$C$6))</f>
        <v>1204.8000000000004</v>
      </c>
      <c r="X7" s="189">
        <f>IF(Assumptions_Dashboard!$L$8="NCI",0,'Coal Price'!X8*(1+Sensitivity!$C$6))</f>
        <v>1204.8000000000004</v>
      </c>
      <c r="Y7" s="189">
        <f>IF(Assumptions_Dashboard!$L$8="NCI",0,'Coal Price'!Y8*(1+Sensitivity!$C$6))</f>
        <v>1651.2000000000005</v>
      </c>
      <c r="Z7" s="189">
        <f>IF(Assumptions_Dashboard!$L$8="NCI",0,'Coal Price'!Z8*(1+Sensitivity!$C$6))</f>
        <v>1651.2000000000005</v>
      </c>
      <c r="AA7" s="189">
        <f>IF(Assumptions_Dashboard!$L$8="NCI",0,'Coal Price'!AA8*(1+Sensitivity!$C$6))</f>
        <v>1651.2000000000005</v>
      </c>
    </row>
    <row r="8" spans="1:27">
      <c r="B8" s="94" t="s">
        <v>1509</v>
      </c>
      <c r="C8" s="330" t="s">
        <v>134</v>
      </c>
      <c r="E8" s="1257">
        <f>E6*E4/10</f>
        <v>0</v>
      </c>
      <c r="F8" s="1257">
        <f t="shared" ref="F8:AA8" si="0">F6*F4/10</f>
        <v>0</v>
      </c>
      <c r="G8" s="1257">
        <f t="shared" si="0"/>
        <v>0</v>
      </c>
      <c r="H8" s="1257">
        <f t="shared" si="0"/>
        <v>0</v>
      </c>
      <c r="I8" s="1257">
        <f>I6*I4/10</f>
        <v>0</v>
      </c>
      <c r="J8" s="1257">
        <f t="shared" si="0"/>
        <v>0</v>
      </c>
      <c r="K8" s="1257">
        <f t="shared" si="0"/>
        <v>0</v>
      </c>
      <c r="L8" s="1257">
        <f t="shared" si="0"/>
        <v>0</v>
      </c>
      <c r="M8" s="1257">
        <f t="shared" si="0"/>
        <v>0</v>
      </c>
      <c r="N8" s="1257">
        <f t="shared" si="0"/>
        <v>0</v>
      </c>
      <c r="O8" s="1257">
        <f t="shared" si="0"/>
        <v>0</v>
      </c>
      <c r="P8" s="1257">
        <f t="shared" si="0"/>
        <v>0</v>
      </c>
      <c r="Q8" s="1257">
        <f t="shared" si="0"/>
        <v>0</v>
      </c>
      <c r="R8" s="1257">
        <f t="shared" si="0"/>
        <v>0</v>
      </c>
      <c r="S8" s="1257">
        <f t="shared" si="0"/>
        <v>0</v>
      </c>
      <c r="T8" s="1257">
        <f t="shared" si="0"/>
        <v>0</v>
      </c>
      <c r="U8" s="1257">
        <f t="shared" si="0"/>
        <v>0</v>
      </c>
      <c r="V8" s="1257">
        <f t="shared" si="0"/>
        <v>0</v>
      </c>
      <c r="W8" s="1257">
        <f t="shared" si="0"/>
        <v>0</v>
      </c>
      <c r="X8" s="1257">
        <f t="shared" si="0"/>
        <v>0</v>
      </c>
      <c r="Y8" s="1257">
        <f t="shared" si="0"/>
        <v>0</v>
      </c>
      <c r="Z8" s="1257">
        <f t="shared" si="0"/>
        <v>0</v>
      </c>
      <c r="AA8" s="1257">
        <f t="shared" si="0"/>
        <v>0</v>
      </c>
    </row>
    <row r="9" spans="1:27" ht="14" thickBot="1">
      <c r="B9" s="331" t="s">
        <v>1510</v>
      </c>
      <c r="C9" s="332" t="s">
        <v>134</v>
      </c>
      <c r="D9" s="176"/>
      <c r="E9" s="1418">
        <f>E7*E4/10</f>
        <v>0</v>
      </c>
      <c r="F9" s="1418">
        <f t="shared" ref="F9:AA9" si="1">F7*F4/10</f>
        <v>0</v>
      </c>
      <c r="G9" s="1418">
        <f t="shared" si="1"/>
        <v>0</v>
      </c>
      <c r="H9" s="1418">
        <f t="shared" si="1"/>
        <v>0</v>
      </c>
      <c r="I9" s="1418">
        <f>I7*I4/10</f>
        <v>330.23995954560007</v>
      </c>
      <c r="J9" s="1418">
        <f t="shared" si="1"/>
        <v>660.47977791360017</v>
      </c>
      <c r="K9" s="1418">
        <f t="shared" si="1"/>
        <v>1320.9601205376005</v>
      </c>
      <c r="L9" s="1418">
        <f t="shared" si="1"/>
        <v>1981.4397572736004</v>
      </c>
      <c r="M9" s="1418">
        <f t="shared" si="1"/>
        <v>2476.7992024704008</v>
      </c>
      <c r="N9" s="1418">
        <f t="shared" si="1"/>
        <v>2476.8011789568009</v>
      </c>
      <c r="O9" s="1418">
        <f t="shared" si="1"/>
        <v>2476.7997671808007</v>
      </c>
      <c r="P9" s="1418">
        <f t="shared" si="1"/>
        <v>2476.7994848256008</v>
      </c>
      <c r="Q9" s="1418">
        <f t="shared" si="1"/>
        <v>2476.8006142464005</v>
      </c>
      <c r="R9" s="1418">
        <f t="shared" si="1"/>
        <v>2476.7992024704008</v>
      </c>
      <c r="S9" s="1418">
        <f t="shared" si="1"/>
        <v>2476.7994848256008</v>
      </c>
      <c r="T9" s="1418">
        <f t="shared" si="1"/>
        <v>2476.8003318912006</v>
      </c>
      <c r="U9" s="1418">
        <f t="shared" si="1"/>
        <v>2476.8025907328006</v>
      </c>
      <c r="V9" s="1418">
        <f t="shared" si="1"/>
        <v>2476.8003318912006</v>
      </c>
      <c r="W9" s="1418">
        <f t="shared" si="1"/>
        <v>1807.2002421648006</v>
      </c>
      <c r="X9" s="1418">
        <f t="shared" si="1"/>
        <v>1807.2000361440005</v>
      </c>
      <c r="Y9" s="1418">
        <f t="shared" si="1"/>
        <v>1651.1999389056004</v>
      </c>
      <c r="Z9" s="1418">
        <f t="shared" si="1"/>
        <v>1238.4004483008005</v>
      </c>
      <c r="AA9" s="1418">
        <f t="shared" si="1"/>
        <v>363.98902953600009</v>
      </c>
    </row>
    <row r="10" spans="1:27" ht="14" thickTop="1"/>
    <row r="11" spans="1:27">
      <c r="A11" s="163" t="s">
        <v>1511</v>
      </c>
      <c r="B11" s="191" t="s">
        <v>1512</v>
      </c>
    </row>
    <row r="12" spans="1:27">
      <c r="B12" s="1281" t="s">
        <v>321</v>
      </c>
      <c r="C12" s="1417" t="s">
        <v>134</v>
      </c>
      <c r="D12" s="1419">
        <f>Assumptions_Dashboard!$D$120</f>
        <v>0.21</v>
      </c>
      <c r="E12" s="1227">
        <f>'Coal Price'!E7*Government!E4*$D$12/10</f>
        <v>0</v>
      </c>
      <c r="F12" s="1227">
        <f>'Coal Price'!F7*Government!F4*$D$12/10</f>
        <v>0</v>
      </c>
      <c r="G12" s="1227">
        <f>'Coal Price'!G7*Government!G4*$D$12/10</f>
        <v>0</v>
      </c>
      <c r="H12" s="1227">
        <f>'Coal Price'!H7*Government!H4*$D$12/10</f>
        <v>0</v>
      </c>
      <c r="I12" s="1227">
        <f>'Coal Price'!I7*Government!I4*$D$12/10</f>
        <v>43.343994690359999</v>
      </c>
      <c r="J12" s="1227">
        <f>'Coal Price'!J7*Government!J4*$D$12/10</f>
        <v>86.687970851159989</v>
      </c>
      <c r="K12" s="1227">
        <f>'Coal Price'!K7*Government!K4*$D$12/10</f>
        <v>173.37601582055999</v>
      </c>
      <c r="L12" s="1227">
        <f>'Coal Price'!L7*Government!L4*$D$12/10</f>
        <v>260.06396814215998</v>
      </c>
      <c r="M12" s="1227">
        <f>'Coal Price'!M7*Government!M4*$D$12/10</f>
        <v>325.07989532424</v>
      </c>
      <c r="N12" s="1227">
        <f>'Coal Price'!N7*Government!N4*$D$12/10</f>
        <v>325.08015473808001</v>
      </c>
      <c r="O12" s="1227">
        <f>'Coal Price'!O7*Government!O4*$D$12/10</f>
        <v>325.07996944247998</v>
      </c>
      <c r="P12" s="1227">
        <f>'Coal Price'!P7*Government!P4*$D$12/10</f>
        <v>325.07993238335996</v>
      </c>
      <c r="Q12" s="1227">
        <f>'Coal Price'!Q7*Government!Q4*$D$12/10</f>
        <v>325.08008061983998</v>
      </c>
      <c r="R12" s="1227">
        <f>'Coal Price'!R7*Government!R4*$D$12/10</f>
        <v>325.07989532424</v>
      </c>
      <c r="S12" s="1227">
        <f>'Coal Price'!S7*Government!S4*$D$12/10</f>
        <v>325.07993238335996</v>
      </c>
      <c r="T12" s="1227">
        <f>'Coal Price'!T7*Government!T4*$D$12/10</f>
        <v>325.08004356071996</v>
      </c>
      <c r="U12" s="1227">
        <f>'Coal Price'!U7*Government!U4*$D$12/10</f>
        <v>325.08034003367999</v>
      </c>
      <c r="V12" s="1227">
        <f>'Coal Price'!V7*Government!V4*$D$12/10</f>
        <v>325.08004356071996</v>
      </c>
      <c r="W12" s="1227">
        <f>'Coal Price'!W7*Government!W4*$D$12/10</f>
        <v>237.19503178412998</v>
      </c>
      <c r="X12" s="1227">
        <f>'Coal Price'!X7*Government!X4*$D$12/10</f>
        <v>237.19500474389997</v>
      </c>
      <c r="Y12" s="1227">
        <f>'Coal Price'!Y7*Government!Y4*$D$12/10</f>
        <v>216.71999198136001</v>
      </c>
      <c r="Z12" s="1227">
        <f>'Coal Price'!Z7*Government!Z4*$D$12/10</f>
        <v>162.54005883948</v>
      </c>
      <c r="AA12" s="1227">
        <f>'Coal Price'!AA7*Government!AA4*$D$12/10</f>
        <v>47.773560126599989</v>
      </c>
    </row>
    <row r="13" spans="1:27">
      <c r="B13" t="s">
        <v>1513</v>
      </c>
      <c r="C13" s="330" t="s">
        <v>134</v>
      </c>
      <c r="D13" s="784"/>
      <c r="E13" s="189">
        <f>Assumptions_Dashboard!$D$133*25%</f>
        <v>24.767499999999998</v>
      </c>
      <c r="H13" s="189">
        <f>Assumptions_Dashboard!$D$133*25%</f>
        <v>24.767499999999998</v>
      </c>
      <c r="I13" s="189">
        <f>Assumptions_Dashboard!$D$133*50%</f>
        <v>49.534999999999997</v>
      </c>
      <c r="J13" s="329"/>
      <c r="K13" s="329"/>
      <c r="L13" s="329"/>
      <c r="M13" s="329"/>
    </row>
    <row r="14" spans="1:27">
      <c r="B14" t="s">
        <v>1514</v>
      </c>
      <c r="C14" s="330" t="s">
        <v>134</v>
      </c>
      <c r="D14" s="355"/>
      <c r="E14" s="356"/>
      <c r="F14" s="356"/>
      <c r="G14" s="356"/>
      <c r="H14" s="356"/>
      <c r="I14" s="356"/>
      <c r="J14" s="356"/>
      <c r="K14" s="356"/>
      <c r="L14" s="356"/>
      <c r="M14" s="356"/>
      <c r="N14" s="356"/>
      <c r="O14" s="356"/>
      <c r="P14" s="356"/>
      <c r="Q14" s="356"/>
      <c r="R14" s="356"/>
      <c r="S14" s="356"/>
      <c r="T14" s="356"/>
      <c r="U14" s="356"/>
      <c r="V14" s="356"/>
      <c r="W14" s="356"/>
      <c r="X14" s="356"/>
      <c r="Y14" s="356"/>
      <c r="Z14" s="356"/>
      <c r="AA14" s="356"/>
    </row>
    <row r="15" spans="1:27">
      <c r="C15" s="330"/>
      <c r="E15" s="94"/>
      <c r="F15" s="94"/>
      <c r="G15" s="356"/>
      <c r="H15" s="356"/>
      <c r="I15" s="356"/>
      <c r="J15" s="356"/>
      <c r="K15" s="356"/>
      <c r="L15" s="356"/>
      <c r="M15" s="356"/>
      <c r="N15" s="356"/>
      <c r="O15" s="356"/>
      <c r="P15" s="356"/>
      <c r="Q15" s="356"/>
      <c r="R15" s="356"/>
      <c r="S15" s="356"/>
      <c r="T15" s="356"/>
      <c r="U15" s="356"/>
      <c r="V15" s="356"/>
      <c r="W15" s="356"/>
      <c r="X15" s="356"/>
      <c r="Y15" s="356"/>
      <c r="Z15" s="356"/>
      <c r="AA15" s="356"/>
    </row>
    <row r="16" spans="1:27">
      <c r="B16" t="s">
        <v>1515</v>
      </c>
      <c r="C16" s="330" t="s">
        <v>134</v>
      </c>
      <c r="D16" s="385">
        <f>SUM('Project CAPEX'!E12:AR12)</f>
        <v>99.07</v>
      </c>
      <c r="E16" s="94"/>
      <c r="F16" s="94"/>
      <c r="G16" s="356"/>
      <c r="H16" s="356"/>
      <c r="I16" s="356">
        <f>IF(I12*50%&gt;$D$16,$D$16,I12*50%)</f>
        <v>21.671997345179999</v>
      </c>
      <c r="J16" s="356">
        <f>IF(J12*50%&gt;$D$16-SUM($I16:I16),$D$16-SUM($I16:I16),J12*50%)</f>
        <v>43.343985425579994</v>
      </c>
      <c r="K16" s="356">
        <f>IF(K12*50%&gt;$D$16-SUM($I16:J16),$D$16-SUM($I16:J16),K12*50%)</f>
        <v>34.054017229240003</v>
      </c>
      <c r="L16" s="356">
        <f>IF(L12*50%&gt;$D$16-SUM($I16:K16),$D$16-SUM($I16:K16),L12*50%)</f>
        <v>0</v>
      </c>
      <c r="M16" s="356">
        <f>IF(M12*50%&gt;$D$16-SUM($I16:L16),$D$16-SUM($I16:L16),M12*50%)</f>
        <v>0</v>
      </c>
      <c r="N16" s="356">
        <f>IF(N12*50%&gt;$D$16-SUM($I16:M16),$D$16-SUM($I16:M16),N12*50%)</f>
        <v>0</v>
      </c>
      <c r="O16" s="356">
        <f>IF(O12*50%&gt;$D$16-SUM($I16:N16),$D$16-SUM($I16:N16),O12*50%)</f>
        <v>0</v>
      </c>
      <c r="P16" s="356">
        <f>IF(P12*50%&gt;$D$16-SUM($I16:O16),$D$16-SUM($I16:O16),P12*50%)</f>
        <v>0</v>
      </c>
      <c r="Q16" s="356">
        <f>IF(Q12*50%&gt;$D$16-SUM($I16:P16),$D$16-SUM($I16:P16),Q12*50%)</f>
        <v>0</v>
      </c>
      <c r="R16" s="356">
        <f>IF(R12*50%&gt;$D$16-SUM($I16:Q16),$D$16-SUM($I16:Q16),R12*50%)</f>
        <v>0</v>
      </c>
      <c r="S16" s="356">
        <f>IF(S12*50%&gt;$D$16-SUM($I16:R16),$D$16-SUM($I16:R16),S12*50%)</f>
        <v>0</v>
      </c>
      <c r="T16" s="356">
        <f>IF(T12*50%&gt;$D$16-SUM($I16:S16),$D$16-SUM($I16:S16),T12*50%)</f>
        <v>0</v>
      </c>
      <c r="U16" s="356">
        <f>IF(U12*50%&gt;$D$16-SUM($I16:T16),$D$16-SUM($I16:T16),U12*50%)</f>
        <v>0</v>
      </c>
      <c r="V16" s="356">
        <f>IF(V12*50%&gt;$D$16-SUM($I16:U16),$D$16-SUM($I16:U16),V12*50%)</f>
        <v>0</v>
      </c>
      <c r="W16" s="356">
        <f>IF(W12*50%&gt;$D$16-SUM($I16:V16),$D$16-SUM($I16:V16),W12*50%)</f>
        <v>0</v>
      </c>
      <c r="X16" s="356">
        <f>IF(X12*50%&gt;$D$16-SUM($I16:W16),$D$16-SUM($I16:W16),X12*50%)</f>
        <v>0</v>
      </c>
      <c r="Y16" s="356">
        <f>IF(Y12*50%&gt;$D$16-SUM($I16:X16),$D$16-SUM($I16:X16),Y12*50%)</f>
        <v>0</v>
      </c>
      <c r="Z16" s="356">
        <f>IF(Z12*50%&gt;$D$16-SUM($I16:Y16),$D$16-SUM($I16:Y16),Z12*50%)</f>
        <v>0</v>
      </c>
      <c r="AA16" s="356">
        <f>IF(AA12*50%&gt;$D$16-SUM($I16:Z16),$D$16-SUM($I16:Z16),AA12*50%)</f>
        <v>0</v>
      </c>
    </row>
    <row r="17" spans="1:27">
      <c r="B17" s="1280" t="s">
        <v>1516</v>
      </c>
      <c r="C17" s="1420" t="s">
        <v>134</v>
      </c>
      <c r="D17" s="1280"/>
      <c r="E17" s="1421">
        <f>E12-E16</f>
        <v>0</v>
      </c>
      <c r="F17" s="1421">
        <f>F12-F16</f>
        <v>0</v>
      </c>
      <c r="G17" s="1421">
        <f t="shared" ref="G17:H17" si="2">G12-G16</f>
        <v>0</v>
      </c>
      <c r="H17" s="1421">
        <f t="shared" si="2"/>
        <v>0</v>
      </c>
      <c r="I17" s="1421">
        <f>I12-I16</f>
        <v>21.671997345179999</v>
      </c>
      <c r="J17" s="1421">
        <f>J12-J16</f>
        <v>43.343985425579994</v>
      </c>
      <c r="K17" s="1421">
        <f>K12-K16</f>
        <v>139.32199859131998</v>
      </c>
      <c r="L17" s="1421">
        <f>L12-L16</f>
        <v>260.06396814215998</v>
      </c>
      <c r="M17" s="1421">
        <f>M12-M16</f>
        <v>325.07989532424</v>
      </c>
      <c r="N17" s="1421">
        <f t="shared" ref="N17" si="3">N12-N16</f>
        <v>325.08015473808001</v>
      </c>
      <c r="O17" s="1421">
        <f t="shared" ref="O17:AA17" si="4">O12-O16</f>
        <v>325.07996944247998</v>
      </c>
      <c r="P17" s="1421">
        <f t="shared" si="4"/>
        <v>325.07993238335996</v>
      </c>
      <c r="Q17" s="1421">
        <f t="shared" si="4"/>
        <v>325.08008061983998</v>
      </c>
      <c r="R17" s="1421">
        <f t="shared" si="4"/>
        <v>325.07989532424</v>
      </c>
      <c r="S17" s="1421">
        <f t="shared" si="4"/>
        <v>325.07993238335996</v>
      </c>
      <c r="T17" s="1421">
        <f t="shared" si="4"/>
        <v>325.08004356071996</v>
      </c>
      <c r="U17" s="1421">
        <f t="shared" si="4"/>
        <v>325.08034003367999</v>
      </c>
      <c r="V17" s="1421">
        <f t="shared" si="4"/>
        <v>325.08004356071996</v>
      </c>
      <c r="W17" s="1421">
        <f t="shared" si="4"/>
        <v>237.19503178412998</v>
      </c>
      <c r="X17" s="1421">
        <f t="shared" si="4"/>
        <v>237.19500474389997</v>
      </c>
      <c r="Y17" s="1421">
        <f t="shared" si="4"/>
        <v>216.71999198136001</v>
      </c>
      <c r="Z17" s="1421">
        <f t="shared" si="4"/>
        <v>162.54005883948</v>
      </c>
      <c r="AA17" s="1421">
        <f t="shared" si="4"/>
        <v>47.773560126599989</v>
      </c>
    </row>
    <row r="18" spans="1:27">
      <c r="B18" s="1281" t="s">
        <v>1517</v>
      </c>
      <c r="C18" s="1417" t="s">
        <v>134</v>
      </c>
      <c r="D18" s="1281"/>
      <c r="E18" s="1222">
        <f>E17</f>
        <v>0</v>
      </c>
      <c r="F18" s="1222">
        <f>F17</f>
        <v>0</v>
      </c>
      <c r="G18" s="1222">
        <f>G17</f>
        <v>0</v>
      </c>
      <c r="H18" s="1222">
        <f t="shared" ref="H18:AA18" si="5">H17</f>
        <v>0</v>
      </c>
      <c r="I18" s="1222">
        <f>I17</f>
        <v>21.671997345179999</v>
      </c>
      <c r="J18" s="1222">
        <f t="shared" si="5"/>
        <v>43.343985425579994</v>
      </c>
      <c r="K18" s="1222">
        <f t="shared" si="5"/>
        <v>139.32199859131998</v>
      </c>
      <c r="L18" s="1222">
        <f t="shared" si="5"/>
        <v>260.06396814215998</v>
      </c>
      <c r="M18" s="1222">
        <f t="shared" si="5"/>
        <v>325.07989532424</v>
      </c>
      <c r="N18" s="1222">
        <f t="shared" si="5"/>
        <v>325.08015473808001</v>
      </c>
      <c r="O18" s="1222">
        <f t="shared" si="5"/>
        <v>325.07996944247998</v>
      </c>
      <c r="P18" s="1222">
        <f t="shared" si="5"/>
        <v>325.07993238335996</v>
      </c>
      <c r="Q18" s="1222">
        <f t="shared" si="5"/>
        <v>325.08008061983998</v>
      </c>
      <c r="R18" s="1222">
        <f t="shared" si="5"/>
        <v>325.07989532424</v>
      </c>
      <c r="S18" s="1222">
        <f t="shared" si="5"/>
        <v>325.07993238335996</v>
      </c>
      <c r="T18" s="1222">
        <f t="shared" si="5"/>
        <v>325.08004356071996</v>
      </c>
      <c r="U18" s="1222">
        <f t="shared" si="5"/>
        <v>325.08034003367999</v>
      </c>
      <c r="V18" s="1222">
        <f t="shared" si="5"/>
        <v>325.08004356071996</v>
      </c>
      <c r="W18" s="1222">
        <f t="shared" si="5"/>
        <v>237.19503178412998</v>
      </c>
      <c r="X18" s="1222">
        <f t="shared" si="5"/>
        <v>237.19500474389997</v>
      </c>
      <c r="Y18" s="1222">
        <f t="shared" si="5"/>
        <v>216.71999198136001</v>
      </c>
      <c r="Z18" s="1222">
        <f t="shared" si="5"/>
        <v>162.54005883948</v>
      </c>
      <c r="AA18" s="1222">
        <f t="shared" si="5"/>
        <v>47.773560126599989</v>
      </c>
    </row>
    <row r="19" spans="1:27">
      <c r="B19" s="94" t="s">
        <v>324</v>
      </c>
      <c r="C19" s="330" t="s">
        <v>134</v>
      </c>
      <c r="D19" s="353">
        <f>Assumptions_Dashboard!D126</f>
        <v>0.18</v>
      </c>
      <c r="E19" s="356">
        <f>E18*$D$19</f>
        <v>0</v>
      </c>
      <c r="F19" s="356">
        <f t="shared" ref="F19:AA19" si="6">F18*$D$19</f>
        <v>0</v>
      </c>
      <c r="G19" s="356">
        <f t="shared" si="6"/>
        <v>0</v>
      </c>
      <c r="H19" s="356">
        <f t="shared" si="6"/>
        <v>0</v>
      </c>
      <c r="I19" s="356">
        <f>I18*$D$19</f>
        <v>3.9009595221323998</v>
      </c>
      <c r="J19" s="356">
        <f t="shared" si="6"/>
        <v>7.8019173766043988</v>
      </c>
      <c r="K19" s="356">
        <f t="shared" si="6"/>
        <v>25.077959746437596</v>
      </c>
      <c r="L19" s="356">
        <f t="shared" si="6"/>
        <v>46.811514265588798</v>
      </c>
      <c r="M19" s="356">
        <f t="shared" si="6"/>
        <v>58.5143811583632</v>
      </c>
      <c r="N19" s="356">
        <f t="shared" si="6"/>
        <v>58.514427852854396</v>
      </c>
      <c r="O19" s="356">
        <f t="shared" si="6"/>
        <v>58.514394499646393</v>
      </c>
      <c r="P19" s="356">
        <f t="shared" si="6"/>
        <v>58.514387829004789</v>
      </c>
      <c r="Q19" s="356">
        <f t="shared" si="6"/>
        <v>58.514414511571196</v>
      </c>
      <c r="R19" s="356">
        <f t="shared" si="6"/>
        <v>58.5143811583632</v>
      </c>
      <c r="S19" s="356">
        <f t="shared" si="6"/>
        <v>58.514387829004789</v>
      </c>
      <c r="T19" s="356">
        <f t="shared" si="6"/>
        <v>58.514407840929593</v>
      </c>
      <c r="U19" s="356">
        <f t="shared" si="6"/>
        <v>58.514461206062393</v>
      </c>
      <c r="V19" s="356">
        <f t="shared" si="6"/>
        <v>58.514407840929593</v>
      </c>
      <c r="W19" s="356">
        <f t="shared" si="6"/>
        <v>42.695105721143392</v>
      </c>
      <c r="X19" s="356">
        <f t="shared" si="6"/>
        <v>42.695100853901991</v>
      </c>
      <c r="Y19" s="356">
        <f t="shared" si="6"/>
        <v>39.009598556644804</v>
      </c>
      <c r="Z19" s="356">
        <f t="shared" si="6"/>
        <v>29.2572105911064</v>
      </c>
      <c r="AA19" s="356">
        <f t="shared" si="6"/>
        <v>8.5992408227879977</v>
      </c>
    </row>
    <row r="20" spans="1:27">
      <c r="B20" s="94" t="s">
        <v>319</v>
      </c>
      <c r="C20" s="330" t="s">
        <v>134</v>
      </c>
      <c r="D20" s="353">
        <f>Assumptions_Dashboard!D122</f>
        <v>0.14000000000000001</v>
      </c>
      <c r="E20" s="356">
        <f>'Coal Price'!E7*Government!E4*$D$20/10</f>
        <v>0</v>
      </c>
      <c r="F20" s="356">
        <f>'Coal Price'!F7*Government!F4*$D$20/10</f>
        <v>0</v>
      </c>
      <c r="G20" s="356">
        <f>'Coal Price'!G7*Government!G4*$D$20/10</f>
        <v>0</v>
      </c>
      <c r="H20" s="356">
        <f>'Coal Price'!H7*Government!H4*$D$20/10</f>
        <v>0</v>
      </c>
      <c r="I20" s="356">
        <f>'Coal Price'!I7*Government!I4*$D$20/10</f>
        <v>28.895996460240003</v>
      </c>
      <c r="J20" s="356">
        <f>'Coal Price'!J7*Government!J4*$D$20/10</f>
        <v>57.79198056744</v>
      </c>
      <c r="K20" s="356">
        <f>'Coal Price'!K7*Government!K4*$D$20/10</f>
        <v>115.58401054704002</v>
      </c>
      <c r="L20" s="356">
        <f>'Coal Price'!L7*Government!L4*$D$20/10</f>
        <v>173.37597876144002</v>
      </c>
      <c r="M20" s="356">
        <f>'Coal Price'!M7*Government!M4*$D$20/10</f>
        <v>216.71993021615998</v>
      </c>
      <c r="N20" s="356">
        <f>'Coal Price'!N7*Government!N4*$D$20/10</f>
        <v>216.72010315872004</v>
      </c>
      <c r="O20" s="356">
        <f>'Coal Price'!O7*Government!O4*$D$20/10</f>
        <v>216.71997962832</v>
      </c>
      <c r="P20" s="356">
        <f>'Coal Price'!P7*Government!P4*$D$20/10</f>
        <v>216.71995492223999</v>
      </c>
      <c r="Q20" s="356">
        <f>'Coal Price'!Q7*Government!Q4*$D$20/10</f>
        <v>216.72005374656001</v>
      </c>
      <c r="R20" s="356">
        <f>'Coal Price'!R7*Government!R4*$D$20/10</f>
        <v>216.71993021615998</v>
      </c>
      <c r="S20" s="356">
        <f>'Coal Price'!S7*Government!S4*$D$20/10</f>
        <v>216.71995492223999</v>
      </c>
      <c r="T20" s="356">
        <f>'Coal Price'!T7*Government!T4*$D$20/10</f>
        <v>216.72002904048</v>
      </c>
      <c r="U20" s="356">
        <f>'Coal Price'!U7*Government!U4*$D$20/10</f>
        <v>216.72022668912001</v>
      </c>
      <c r="V20" s="356">
        <f>'Coal Price'!V7*Government!V4*$D$20/10</f>
        <v>216.72002904048</v>
      </c>
      <c r="W20" s="356">
        <f>'Coal Price'!W7*Government!W4*$D$20/10</f>
        <v>158.13002118942001</v>
      </c>
      <c r="X20" s="356">
        <f>'Coal Price'!X7*Government!X4*$D$20/10</f>
        <v>158.13000316259999</v>
      </c>
      <c r="Y20" s="356">
        <f>'Coal Price'!Y7*Government!Y4*$D$20/10</f>
        <v>144.47999465424002</v>
      </c>
      <c r="Z20" s="356">
        <f>'Coal Price'!Z7*Government!Z4*$D$20/10</f>
        <v>108.36003922632001</v>
      </c>
      <c r="AA20" s="356">
        <f>'Coal Price'!AA7*Government!AA4*$D$20/10</f>
        <v>31.849040084399995</v>
      </c>
    </row>
    <row r="21" spans="1:27">
      <c r="B21" s="94" t="s">
        <v>322</v>
      </c>
      <c r="C21" s="330" t="s">
        <v>134</v>
      </c>
      <c r="D21" s="353">
        <f>Assumptions_Dashboard!D123</f>
        <v>0.1</v>
      </c>
      <c r="E21" s="356">
        <f>E20*$D$21</f>
        <v>0</v>
      </c>
      <c r="F21" s="356">
        <f t="shared" ref="F21:AA21" si="7">F20*$D$21</f>
        <v>0</v>
      </c>
      <c r="G21" s="356">
        <f t="shared" si="7"/>
        <v>0</v>
      </c>
      <c r="H21" s="356">
        <f t="shared" si="7"/>
        <v>0</v>
      </c>
      <c r="I21" s="356">
        <f>I20*$D$21</f>
        <v>2.8895996460240005</v>
      </c>
      <c r="J21" s="356">
        <f t="shared" si="7"/>
        <v>5.7791980567440007</v>
      </c>
      <c r="K21" s="356">
        <f t="shared" si="7"/>
        <v>11.558401054704003</v>
      </c>
      <c r="L21" s="356">
        <f t="shared" si="7"/>
        <v>17.337597876144002</v>
      </c>
      <c r="M21" s="356">
        <f t="shared" si="7"/>
        <v>21.671993021616</v>
      </c>
      <c r="N21" s="356">
        <f t="shared" si="7"/>
        <v>21.672010315872004</v>
      </c>
      <c r="O21" s="356">
        <f t="shared" si="7"/>
        <v>21.671997962832002</v>
      </c>
      <c r="P21" s="356">
        <f t="shared" si="7"/>
        <v>21.671995492223999</v>
      </c>
      <c r="Q21" s="356">
        <f t="shared" si="7"/>
        <v>21.672005374656003</v>
      </c>
      <c r="R21" s="356">
        <f t="shared" si="7"/>
        <v>21.671993021616</v>
      </c>
      <c r="S21" s="356">
        <f t="shared" si="7"/>
        <v>21.671995492223999</v>
      </c>
      <c r="T21" s="356">
        <f t="shared" si="7"/>
        <v>21.672002904048</v>
      </c>
      <c r="U21" s="356">
        <f t="shared" si="7"/>
        <v>21.672022668912003</v>
      </c>
      <c r="V21" s="356">
        <f t="shared" si="7"/>
        <v>21.672002904048</v>
      </c>
      <c r="W21" s="356">
        <f t="shared" si="7"/>
        <v>15.813002118942002</v>
      </c>
      <c r="X21" s="356">
        <f t="shared" si="7"/>
        <v>15.81300031626</v>
      </c>
      <c r="Y21" s="356">
        <f t="shared" si="7"/>
        <v>14.447999465424003</v>
      </c>
      <c r="Z21" s="356">
        <f t="shared" si="7"/>
        <v>10.836003922632003</v>
      </c>
      <c r="AA21" s="356">
        <f t="shared" si="7"/>
        <v>3.1849040084399998</v>
      </c>
    </row>
    <row r="22" spans="1:27">
      <c r="B22" s="94" t="s">
        <v>325</v>
      </c>
      <c r="C22" s="330" t="s">
        <v>134</v>
      </c>
      <c r="D22" s="353">
        <f>Assumptions_Dashboard!D124</f>
        <v>0.03</v>
      </c>
      <c r="E22" s="356">
        <f>E20*$D$22</f>
        <v>0</v>
      </c>
      <c r="F22" s="356">
        <f t="shared" ref="F22:AA22" si="8">F20*$D$22</f>
        <v>0</v>
      </c>
      <c r="G22" s="356">
        <f t="shared" si="8"/>
        <v>0</v>
      </c>
      <c r="H22" s="356">
        <f t="shared" si="8"/>
        <v>0</v>
      </c>
      <c r="I22" s="356">
        <f>I20*$D$22</f>
        <v>0.8668798938072001</v>
      </c>
      <c r="J22" s="356">
        <f t="shared" si="8"/>
        <v>1.7337594170232</v>
      </c>
      <c r="K22" s="356">
        <f t="shared" si="8"/>
        <v>3.4675203164112007</v>
      </c>
      <c r="L22" s="356">
        <f t="shared" si="8"/>
        <v>5.2012793628432004</v>
      </c>
      <c r="M22" s="356">
        <f t="shared" si="8"/>
        <v>6.5015979064847995</v>
      </c>
      <c r="N22" s="356">
        <f t="shared" si="8"/>
        <v>6.5016030947616006</v>
      </c>
      <c r="O22" s="356">
        <f t="shared" si="8"/>
        <v>6.5015993888496002</v>
      </c>
      <c r="P22" s="356">
        <f t="shared" si="8"/>
        <v>6.5015986476671994</v>
      </c>
      <c r="Q22" s="356">
        <f t="shared" si="8"/>
        <v>6.5016016123967999</v>
      </c>
      <c r="R22" s="356">
        <f t="shared" si="8"/>
        <v>6.5015979064847995</v>
      </c>
      <c r="S22" s="356">
        <f t="shared" si="8"/>
        <v>6.5015986476671994</v>
      </c>
      <c r="T22" s="356">
        <f t="shared" si="8"/>
        <v>6.5016008712144</v>
      </c>
      <c r="U22" s="356">
        <f t="shared" si="8"/>
        <v>6.5016068006736001</v>
      </c>
      <c r="V22" s="356">
        <f t="shared" si="8"/>
        <v>6.5016008712144</v>
      </c>
      <c r="W22" s="356">
        <f t="shared" si="8"/>
        <v>4.7439006356825999</v>
      </c>
      <c r="X22" s="356">
        <f t="shared" si="8"/>
        <v>4.7439000948779997</v>
      </c>
      <c r="Y22" s="356">
        <f t="shared" si="8"/>
        <v>4.3343998396272001</v>
      </c>
      <c r="Z22" s="356">
        <f t="shared" si="8"/>
        <v>3.2508011767896003</v>
      </c>
      <c r="AA22" s="356">
        <f t="shared" si="8"/>
        <v>0.9554712025319998</v>
      </c>
    </row>
    <row r="23" spans="1:27">
      <c r="B23" s="94" t="s">
        <v>335</v>
      </c>
      <c r="C23" s="330" t="s">
        <v>134</v>
      </c>
      <c r="D23" s="346">
        <f>Assumptions_Dashboard!$D$130</f>
        <v>0</v>
      </c>
      <c r="E23" s="356">
        <f>D23*E4/10</f>
        <v>0</v>
      </c>
      <c r="F23" s="356">
        <f t="shared" ref="F23:AA23" si="9">E23*F4/10</f>
        <v>0</v>
      </c>
      <c r="G23" s="356">
        <f t="shared" si="9"/>
        <v>0</v>
      </c>
      <c r="H23" s="356">
        <f t="shared" si="9"/>
        <v>0</v>
      </c>
      <c r="I23" s="356">
        <f t="shared" si="9"/>
        <v>0</v>
      </c>
      <c r="J23" s="356">
        <f t="shared" si="9"/>
        <v>0</v>
      </c>
      <c r="K23" s="356">
        <f t="shared" si="9"/>
        <v>0</v>
      </c>
      <c r="L23" s="356">
        <f t="shared" si="9"/>
        <v>0</v>
      </c>
      <c r="M23" s="356">
        <f t="shared" si="9"/>
        <v>0</v>
      </c>
      <c r="N23" s="356">
        <f t="shared" si="9"/>
        <v>0</v>
      </c>
      <c r="O23" s="356">
        <f t="shared" si="9"/>
        <v>0</v>
      </c>
      <c r="P23" s="356">
        <f t="shared" si="9"/>
        <v>0</v>
      </c>
      <c r="Q23" s="356">
        <f t="shared" si="9"/>
        <v>0</v>
      </c>
      <c r="R23" s="356">
        <f t="shared" si="9"/>
        <v>0</v>
      </c>
      <c r="S23" s="356">
        <f t="shared" si="9"/>
        <v>0</v>
      </c>
      <c r="T23" s="356">
        <f t="shared" si="9"/>
        <v>0</v>
      </c>
      <c r="U23" s="356">
        <f t="shared" si="9"/>
        <v>0</v>
      </c>
      <c r="V23" s="356">
        <f t="shared" si="9"/>
        <v>0</v>
      </c>
      <c r="W23" s="356">
        <f t="shared" si="9"/>
        <v>0</v>
      </c>
      <c r="X23" s="356">
        <f t="shared" si="9"/>
        <v>0</v>
      </c>
      <c r="Y23" s="356">
        <f t="shared" si="9"/>
        <v>0</v>
      </c>
      <c r="Z23" s="356">
        <f t="shared" si="9"/>
        <v>0</v>
      </c>
      <c r="AA23" s="356">
        <f t="shared" si="9"/>
        <v>0</v>
      </c>
    </row>
    <row r="24" spans="1:27">
      <c r="B24" s="94" t="s">
        <v>342</v>
      </c>
      <c r="C24" s="330" t="s">
        <v>134</v>
      </c>
      <c r="D24" s="354">
        <f>(Assumptions_Dashboard!$D$134*Assumptions_Dashboard!$D$135)/10^7</f>
        <v>0.20960000000000001</v>
      </c>
      <c r="E24" s="94"/>
      <c r="F24" s="94"/>
      <c r="G24" s="356"/>
      <c r="H24" s="356"/>
      <c r="I24" s="356">
        <f>$D$24</f>
        <v>0.20960000000000001</v>
      </c>
      <c r="J24" s="356">
        <f t="shared" ref="J24:AA24" si="10">$D$24</f>
        <v>0.20960000000000001</v>
      </c>
      <c r="K24" s="356">
        <f t="shared" si="10"/>
        <v>0.20960000000000001</v>
      </c>
      <c r="L24" s="356">
        <f t="shared" si="10"/>
        <v>0.20960000000000001</v>
      </c>
      <c r="M24" s="356">
        <f t="shared" si="10"/>
        <v>0.20960000000000001</v>
      </c>
      <c r="N24" s="356">
        <f t="shared" si="10"/>
        <v>0.20960000000000001</v>
      </c>
      <c r="O24" s="356">
        <f t="shared" si="10"/>
        <v>0.20960000000000001</v>
      </c>
      <c r="P24" s="356">
        <f t="shared" si="10"/>
        <v>0.20960000000000001</v>
      </c>
      <c r="Q24" s="356">
        <f t="shared" si="10"/>
        <v>0.20960000000000001</v>
      </c>
      <c r="R24" s="356">
        <f t="shared" si="10"/>
        <v>0.20960000000000001</v>
      </c>
      <c r="S24" s="356">
        <f t="shared" si="10"/>
        <v>0.20960000000000001</v>
      </c>
      <c r="T24" s="356">
        <f t="shared" si="10"/>
        <v>0.20960000000000001</v>
      </c>
      <c r="U24" s="356">
        <f t="shared" si="10"/>
        <v>0.20960000000000001</v>
      </c>
      <c r="V24" s="356">
        <f t="shared" si="10"/>
        <v>0.20960000000000001</v>
      </c>
      <c r="W24" s="356">
        <f t="shared" si="10"/>
        <v>0.20960000000000001</v>
      </c>
      <c r="X24" s="356">
        <f t="shared" si="10"/>
        <v>0.20960000000000001</v>
      </c>
      <c r="Y24" s="356">
        <f t="shared" si="10"/>
        <v>0.20960000000000001</v>
      </c>
      <c r="Z24" s="356">
        <f t="shared" si="10"/>
        <v>0.20960000000000001</v>
      </c>
      <c r="AA24" s="356">
        <f t="shared" si="10"/>
        <v>0.20960000000000001</v>
      </c>
    </row>
    <row r="25" spans="1:27">
      <c r="A25" s="163" t="s">
        <v>336</v>
      </c>
      <c r="B25" s="94" t="s">
        <v>1518</v>
      </c>
      <c r="C25" s="330" t="s">
        <v>134</v>
      </c>
      <c r="D25" s="355"/>
      <c r="E25" s="94"/>
      <c r="F25" s="94"/>
      <c r="G25" s="94"/>
      <c r="H25" s="94"/>
      <c r="I25" s="94"/>
      <c r="J25" s="94"/>
      <c r="K25" s="94"/>
      <c r="L25" s="94"/>
      <c r="M25" s="94"/>
      <c r="N25" s="94"/>
      <c r="O25" s="94"/>
      <c r="P25" s="94"/>
      <c r="Q25" s="94"/>
      <c r="R25" s="94"/>
      <c r="S25" s="94"/>
      <c r="T25" s="94"/>
      <c r="U25" s="94"/>
      <c r="V25" s="94"/>
      <c r="W25" s="94"/>
      <c r="X25" s="94"/>
      <c r="Y25" s="94"/>
      <c r="Z25" s="94"/>
      <c r="AA25" s="94"/>
    </row>
    <row r="26" spans="1:27">
      <c r="A26" s="163" t="s">
        <v>336</v>
      </c>
      <c r="B26" s="94" t="s">
        <v>1519</v>
      </c>
      <c r="C26" s="330" t="s">
        <v>134</v>
      </c>
      <c r="D26" s="355"/>
      <c r="E26" s="94"/>
      <c r="F26" s="94"/>
      <c r="G26" s="94"/>
      <c r="H26" s="94"/>
      <c r="I26" s="94"/>
      <c r="J26" s="94"/>
      <c r="K26" s="94"/>
      <c r="L26" s="94"/>
      <c r="M26" s="94"/>
      <c r="N26" s="94"/>
      <c r="O26" s="94"/>
      <c r="P26" s="94"/>
      <c r="Q26" s="94"/>
      <c r="R26" s="94"/>
      <c r="S26" s="94"/>
      <c r="T26" s="94"/>
      <c r="U26" s="94"/>
      <c r="V26" s="94"/>
      <c r="W26" s="94"/>
      <c r="X26" s="94"/>
      <c r="Y26" s="94"/>
      <c r="Z26" s="94"/>
      <c r="AA26" s="94"/>
    </row>
    <row r="27" spans="1:27">
      <c r="A27" s="163" t="s">
        <v>1520</v>
      </c>
      <c r="B27" s="94"/>
      <c r="C27" s="330"/>
      <c r="D27" s="355"/>
      <c r="E27" s="94"/>
      <c r="F27" s="94"/>
      <c r="G27" s="94"/>
      <c r="H27" s="94"/>
      <c r="I27" s="94"/>
      <c r="J27" s="94"/>
      <c r="K27" s="94"/>
      <c r="L27" s="94"/>
      <c r="M27" s="94"/>
      <c r="N27" s="94"/>
      <c r="O27" s="94"/>
      <c r="P27" s="94"/>
      <c r="Q27" s="94"/>
      <c r="R27" s="94"/>
      <c r="S27" s="94"/>
      <c r="T27" s="94"/>
      <c r="U27" s="94"/>
      <c r="V27" s="94"/>
      <c r="W27" s="94"/>
      <c r="X27" s="94"/>
      <c r="Y27" s="94"/>
      <c r="Z27" s="94"/>
      <c r="AA27" s="94"/>
    </row>
    <row r="28" spans="1:27">
      <c r="A28" s="163" t="s">
        <v>1520</v>
      </c>
      <c r="B28" s="94"/>
      <c r="C28" s="330"/>
      <c r="D28" s="355"/>
      <c r="E28" s="94"/>
      <c r="F28" s="94"/>
      <c r="G28" s="94"/>
      <c r="H28" s="94"/>
      <c r="I28" s="94"/>
      <c r="J28" s="94"/>
      <c r="K28" s="94"/>
      <c r="L28" s="94"/>
      <c r="M28" s="94"/>
      <c r="N28" s="94"/>
      <c r="O28" s="94"/>
      <c r="P28" s="94"/>
      <c r="Q28" s="94"/>
      <c r="R28" s="94"/>
      <c r="S28" s="94"/>
      <c r="T28" s="94"/>
      <c r="U28" s="94"/>
      <c r="V28" s="94"/>
      <c r="W28" s="94"/>
      <c r="X28" s="94"/>
      <c r="Y28" s="94"/>
      <c r="Z28" s="94"/>
      <c r="AA28" s="94"/>
    </row>
    <row r="29" spans="1:27">
      <c r="A29" s="163" t="s">
        <v>1520</v>
      </c>
      <c r="B29" s="94"/>
      <c r="C29" s="330"/>
      <c r="D29" s="355"/>
      <c r="E29" s="94"/>
      <c r="F29" s="94"/>
      <c r="G29" s="94"/>
      <c r="H29" s="94"/>
      <c r="I29" s="94"/>
      <c r="J29" s="94"/>
      <c r="K29" s="94"/>
      <c r="L29" s="94"/>
      <c r="M29" s="94"/>
      <c r="N29" s="94"/>
      <c r="O29" s="94"/>
      <c r="P29" s="94"/>
      <c r="Q29" s="94"/>
      <c r="R29" s="94"/>
      <c r="S29" s="94"/>
      <c r="T29" s="94"/>
      <c r="U29" s="94"/>
      <c r="V29" s="94"/>
      <c r="W29" s="94"/>
      <c r="X29" s="94"/>
      <c r="Y29" s="94"/>
      <c r="Z29" s="94"/>
      <c r="AA29" s="94"/>
    </row>
    <row r="30" spans="1:27">
      <c r="B30" s="94" t="s">
        <v>684</v>
      </c>
      <c r="C30" s="330" t="s">
        <v>134</v>
      </c>
      <c r="D30" s="353">
        <f>Assumptions_Dashboard!D127</f>
        <v>0.18</v>
      </c>
      <c r="E30" s="356">
        <f t="shared" ref="E30:AA30" si="11">SUM(E20:E29)*$D$30</f>
        <v>0</v>
      </c>
      <c r="F30" s="356">
        <f t="shared" si="11"/>
        <v>0</v>
      </c>
      <c r="G30" s="356">
        <f t="shared" si="11"/>
        <v>0</v>
      </c>
      <c r="H30" s="356">
        <f t="shared" si="11"/>
        <v>0</v>
      </c>
      <c r="I30" s="356">
        <f>SUM(I20:I29)*$D$30</f>
        <v>5.915173680012817</v>
      </c>
      <c r="J30" s="356">
        <f t="shared" si="11"/>
        <v>11.792616847417294</v>
      </c>
      <c r="K30" s="356">
        <f t="shared" si="11"/>
        <v>23.54751574526794</v>
      </c>
      <c r="L30" s="356">
        <f t="shared" si="11"/>
        <v>35.302402080076895</v>
      </c>
      <c r="M30" s="356">
        <f t="shared" si="11"/>
        <v>44.118561805966934</v>
      </c>
      <c r="N30" s="356">
        <f t="shared" si="11"/>
        <v>44.118596982483652</v>
      </c>
      <c r="O30" s="356">
        <f t="shared" si="11"/>
        <v>44.118571856400287</v>
      </c>
      <c r="P30" s="356">
        <f t="shared" si="11"/>
        <v>44.118566831183614</v>
      </c>
      <c r="Q30" s="356">
        <f t="shared" si="11"/>
        <v>44.118586932050306</v>
      </c>
      <c r="R30" s="356">
        <f t="shared" si="11"/>
        <v>44.118561805966934</v>
      </c>
      <c r="S30" s="356">
        <f t="shared" si="11"/>
        <v>44.118566831183614</v>
      </c>
      <c r="T30" s="356">
        <f t="shared" si="11"/>
        <v>44.118581906833633</v>
      </c>
      <c r="U30" s="356">
        <f t="shared" si="11"/>
        <v>44.11862210856701</v>
      </c>
      <c r="V30" s="356">
        <f t="shared" si="11"/>
        <v>44.118581906833633</v>
      </c>
      <c r="W30" s="356">
        <f t="shared" si="11"/>
        <v>32.201374309928028</v>
      </c>
      <c r="X30" s="356">
        <f t="shared" si="11"/>
        <v>32.201370643272838</v>
      </c>
      <c r="Y30" s="356">
        <f t="shared" si="11"/>
        <v>29.424958912672416</v>
      </c>
      <c r="Z30" s="356">
        <f t="shared" si="11"/>
        <v>22.078159978633487</v>
      </c>
      <c r="AA30" s="356">
        <f t="shared" si="11"/>
        <v>6.5158227531669599</v>
      </c>
    </row>
    <row r="31" spans="1:27" ht="14" thickBot="1">
      <c r="B31" s="242" t="s">
        <v>267</v>
      </c>
      <c r="C31" s="347" t="s">
        <v>134</v>
      </c>
      <c r="D31" s="242"/>
      <c r="E31" s="357">
        <f t="shared" ref="E31:AA31" si="12">SUM(E18:E30)</f>
        <v>0</v>
      </c>
      <c r="F31" s="357">
        <f t="shared" si="12"/>
        <v>0</v>
      </c>
      <c r="G31" s="357">
        <f t="shared" si="12"/>
        <v>0</v>
      </c>
      <c r="H31" s="357">
        <f t="shared" si="12"/>
        <v>0</v>
      </c>
      <c r="I31" s="357">
        <f t="shared" si="12"/>
        <v>64.350206547396425</v>
      </c>
      <c r="J31" s="357">
        <f t="shared" si="12"/>
        <v>128.45305769080889</v>
      </c>
      <c r="K31" s="357">
        <f t="shared" si="12"/>
        <v>318.76700600118079</v>
      </c>
      <c r="L31" s="357">
        <f t="shared" si="12"/>
        <v>538.30234048825298</v>
      </c>
      <c r="M31" s="357">
        <f t="shared" si="12"/>
        <v>672.81595943283094</v>
      </c>
      <c r="N31" s="357">
        <f t="shared" si="12"/>
        <v>672.81649614277171</v>
      </c>
      <c r="O31" s="357">
        <f t="shared" si="12"/>
        <v>672.81611277852846</v>
      </c>
      <c r="P31" s="357">
        <f t="shared" si="12"/>
        <v>672.81603610567959</v>
      </c>
      <c r="Q31" s="357">
        <f t="shared" si="12"/>
        <v>672.81634279707441</v>
      </c>
      <c r="R31" s="357">
        <f t="shared" si="12"/>
        <v>672.81595943283094</v>
      </c>
      <c r="S31" s="357">
        <f t="shared" si="12"/>
        <v>672.81603610567959</v>
      </c>
      <c r="T31" s="357">
        <f t="shared" si="12"/>
        <v>672.81626612422554</v>
      </c>
      <c r="U31" s="357">
        <f t="shared" si="12"/>
        <v>672.81687950701496</v>
      </c>
      <c r="V31" s="357">
        <f t="shared" si="12"/>
        <v>672.81626612422554</v>
      </c>
      <c r="W31" s="357">
        <f t="shared" si="12"/>
        <v>490.98803575924609</v>
      </c>
      <c r="X31" s="357">
        <f t="shared" si="12"/>
        <v>490.98797981481277</v>
      </c>
      <c r="Y31" s="357">
        <f t="shared" si="12"/>
        <v>448.62654340996852</v>
      </c>
      <c r="Z31" s="357">
        <f t="shared" si="12"/>
        <v>336.53187373496155</v>
      </c>
      <c r="AA31" s="357">
        <f t="shared" si="12"/>
        <v>99.087638997926931</v>
      </c>
    </row>
    <row r="34" spans="2:27">
      <c r="B34" s="191" t="s">
        <v>1521</v>
      </c>
    </row>
    <row r="35" spans="2:27">
      <c r="B35" s="1422" t="s">
        <v>1522</v>
      </c>
      <c r="C35" s="1423" t="s">
        <v>134</v>
      </c>
      <c r="E35" s="328">
        <f>IF(E$3&lt;=0,0,Assumptions_Dashboard!$D$175)</f>
        <v>0</v>
      </c>
      <c r="F35" s="328">
        <f>IF(F$3&lt;=0,0,IF(F$3=1,Assumptions_Dashboard!$D$175,E35*(1+Assumptions_Dashboard!$D$176)))</f>
        <v>0</v>
      </c>
      <c r="G35" s="328">
        <f>IF(G$3&lt;=0,0,IF(G$3=1,Assumptions_Dashboard!$D$175,F35*(1+Assumptions_Dashboard!$D$176)))</f>
        <v>0</v>
      </c>
      <c r="H35" s="328">
        <f>IF(H$3&lt;=0,0,IF(H$3=1,Assumptions_Dashboard!$D$175,G35*(1+Assumptions_Dashboard!$D$176)))</f>
        <v>0</v>
      </c>
      <c r="I35" s="328">
        <f>IF(I$3&lt;=0,0,IF(I$3=1,Assumptions_Dashboard!$D$175,H35*(1+Assumptions_Dashboard!$D$176)))</f>
        <v>9.5811306042885018</v>
      </c>
      <c r="J35" s="328">
        <f>IF(J$3&lt;=0,0,IF(J$3=1,Assumptions_Dashboard!$D$175,I35*(1+Assumptions_Dashboard!$D$176)))</f>
        <v>10.060187134502927</v>
      </c>
      <c r="K35" s="328">
        <f>IF(K$3&lt;=0,0,IF(K$3=1,Assumptions_Dashboard!$D$175,J35*(1+Assumptions_Dashboard!$D$176)))</f>
        <v>10.563196491228075</v>
      </c>
      <c r="L35" s="328">
        <f>IF(L$3&lt;=0,0,IF(L$3=1,Assumptions_Dashboard!$D$175,K35*(1+Assumptions_Dashboard!$D$176)))</f>
        <v>11.091356315789479</v>
      </c>
      <c r="M35" s="328">
        <f>IF(M$3&lt;=0,0,IF(M$3=1,Assumptions_Dashboard!$D$175,L35*(1+Assumptions_Dashboard!$D$176)))</f>
        <v>11.645924131578953</v>
      </c>
      <c r="N35" s="328">
        <f>IF(N$3&lt;=0,0,IF(N$3=1,Assumptions_Dashboard!$D$175,M35*(1+Assumptions_Dashboard!$D$176)))</f>
        <v>12.228220338157902</v>
      </c>
      <c r="O35" s="328">
        <f>IF(O$3&lt;=0,0,IF(O$3=1,Assumptions_Dashboard!$D$175,N35*(1+Assumptions_Dashboard!$D$176)))</f>
        <v>12.839631355065798</v>
      </c>
      <c r="P35" s="328">
        <f>IF(P$3&lt;=0,0,IF(P$3=1,Assumptions_Dashboard!$D$175,O35*(1+Assumptions_Dashboard!$D$176)))</f>
        <v>13.481612922819089</v>
      </c>
      <c r="Q35" s="328">
        <f>IF(Q$3&lt;=0,0,IF(Q$3=1,Assumptions_Dashboard!$D$175,P35*(1+Assumptions_Dashboard!$D$176)))</f>
        <v>14.155693568960045</v>
      </c>
      <c r="R35" s="328">
        <f>IF(R$3&lt;=0,0,IF(R$3=1,Assumptions_Dashboard!$D$175,Q35*(1+Assumptions_Dashboard!$D$176)))</f>
        <v>14.863478247408048</v>
      </c>
      <c r="S35" s="328">
        <f>IF(S$3&lt;=0,0,IF(S$3=1,Assumptions_Dashboard!$D$175,R35*(1+Assumptions_Dashboard!$D$176)))</f>
        <v>15.606652159778452</v>
      </c>
      <c r="T35" s="328">
        <f>IF(T$3&lt;=0,0,IF(T$3=1,Assumptions_Dashboard!$D$175,S35*(1+Assumptions_Dashboard!$D$176)))</f>
        <v>16.386984767767377</v>
      </c>
      <c r="U35" s="328">
        <f>IF(U$3&lt;=0,0,IF(U$3=1,Assumptions_Dashboard!$D$175,T35*(1+Assumptions_Dashboard!$D$176)))</f>
        <v>17.206334006155746</v>
      </c>
      <c r="V35" s="328">
        <f>IF(V$3&lt;=0,0,IF(V$3=1,Assumptions_Dashboard!$D$175,U35*(1+Assumptions_Dashboard!$D$176)))</f>
        <v>18.066650706463534</v>
      </c>
      <c r="W35" s="328">
        <f>IF(W$3&lt;=0,0,IF(W$3=1,Assumptions_Dashboard!$D$175,V35*(1+Assumptions_Dashboard!$D$176)))</f>
        <v>18.969983241786711</v>
      </c>
      <c r="X35" s="328">
        <f>IF(X$3&lt;=0,0,IF(X$3=1,Assumptions_Dashboard!$D$175,W35*(1+Assumptions_Dashboard!$D$176)))</f>
        <v>19.918482403876048</v>
      </c>
      <c r="Y35" s="328">
        <f>IF(Y$3&lt;=0,0,IF(Y$3=1,Assumptions_Dashboard!$D$175,X35*(1+Assumptions_Dashboard!$D$176)))</f>
        <v>20.91440652406985</v>
      </c>
      <c r="Z35" s="328">
        <f>IF(Z$3&lt;=0,0,IF(Z$3=1,Assumptions_Dashboard!$D$175,Y35*(1+Assumptions_Dashboard!$D$176)))</f>
        <v>21.960126850273344</v>
      </c>
      <c r="AA35" s="328">
        <f>IF(AA$3&lt;=0,0,IF(AA$3=1,Assumptions_Dashboard!$D$175,Z35*(1+Assumptions_Dashboard!$D$176)))</f>
        <v>23.058133192787011</v>
      </c>
    </row>
    <row r="36" spans="2:27" ht="14" thickBot="1">
      <c r="B36" s="242" t="s">
        <v>267</v>
      </c>
      <c r="C36" s="347" t="s">
        <v>134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30C3-BF93-40FB-84C6-05D973093438}">
  <sheetPr codeName="Sheet39">
    <tabColor rgb="FF0070C0"/>
  </sheetPr>
  <dimension ref="A2:BV71"/>
  <sheetViews>
    <sheetView showGridLines="0" topLeftCell="C45" workbookViewId="0">
      <selection activeCell="J63" sqref="J63"/>
    </sheetView>
  </sheetViews>
  <sheetFormatPr baseColWidth="10" defaultColWidth="8.83203125" defaultRowHeight="13"/>
  <cols>
    <col min="1" max="1" width="11.33203125" style="94" bestFit="1" customWidth="1"/>
    <col min="2" max="2" width="32.83203125" style="94" customWidth="1"/>
    <col min="3" max="4" width="9" style="94" bestFit="1" customWidth="1"/>
    <col min="5" max="5" width="13.1640625" style="94" customWidth="1"/>
    <col min="6" max="6" width="9.1640625" style="94" bestFit="1" customWidth="1"/>
    <col min="7" max="8" width="9.5" style="94" customWidth="1"/>
    <col min="9" max="9" width="10.5" style="94" customWidth="1"/>
    <col min="10" max="10" width="13.5" style="94" customWidth="1"/>
    <col min="11" max="12" width="9.5" style="94" bestFit="1" customWidth="1"/>
    <col min="13" max="13" width="22.33203125" style="94" bestFit="1" customWidth="1"/>
    <col min="14" max="14" width="23.83203125" style="94" bestFit="1" customWidth="1"/>
    <col min="15" max="39" width="9.5" style="94" bestFit="1" customWidth="1"/>
    <col min="40" max="44" width="9.1640625" style="94" bestFit="1" customWidth="1"/>
    <col min="45" max="47" width="9" style="94" bestFit="1" customWidth="1"/>
    <col min="48" max="48" width="9.5" style="94" bestFit="1" customWidth="1"/>
    <col min="49" max="71" width="9" style="94" bestFit="1" customWidth="1"/>
    <col min="72" max="16384" width="8.83203125" style="94"/>
  </cols>
  <sheetData>
    <row r="2" spans="1:74">
      <c r="E2" s="100">
        <f>'Production Schedule'!E1</f>
        <v>46023</v>
      </c>
      <c r="F2" s="100">
        <f>'Production Schedule'!F1</f>
        <v>46389</v>
      </c>
      <c r="G2" s="100">
        <f>'Production Schedule'!G1</f>
        <v>46755</v>
      </c>
      <c r="H2" s="100">
        <f>'Production Schedule'!H1</f>
        <v>47121</v>
      </c>
      <c r="I2" s="100">
        <f>'Production Schedule'!I1</f>
        <v>47487</v>
      </c>
      <c r="J2" s="100">
        <f>'Production Schedule'!J1</f>
        <v>47853</v>
      </c>
      <c r="K2" s="100">
        <f>'Production Schedule'!K1</f>
        <v>48219</v>
      </c>
      <c r="L2" s="100">
        <f>'Production Schedule'!L1</f>
        <v>48585</v>
      </c>
      <c r="M2" s="100">
        <f>'Production Schedule'!M1</f>
        <v>48951</v>
      </c>
      <c r="N2" s="100">
        <f>'Production Schedule'!N1</f>
        <v>49317</v>
      </c>
      <c r="O2" s="100">
        <f>'Production Schedule'!O1</f>
        <v>49683</v>
      </c>
      <c r="P2" s="100">
        <f>'Production Schedule'!P1</f>
        <v>50049</v>
      </c>
      <c r="Q2" s="100">
        <f>'Production Schedule'!Q1</f>
        <v>50415</v>
      </c>
      <c r="R2" s="100">
        <f>'Production Schedule'!R1</f>
        <v>50781</v>
      </c>
      <c r="S2" s="100">
        <f>'Production Schedule'!S1</f>
        <v>51147</v>
      </c>
      <c r="T2" s="100">
        <f>'Production Schedule'!T1</f>
        <v>51513</v>
      </c>
      <c r="U2" s="100">
        <f>'Production Schedule'!U1</f>
        <v>51879</v>
      </c>
      <c r="V2" s="100">
        <f>'Production Schedule'!V1</f>
        <v>52245</v>
      </c>
      <c r="W2" s="100">
        <f>'Production Schedule'!W1</f>
        <v>52611</v>
      </c>
      <c r="X2" s="100">
        <f>'Production Schedule'!X1</f>
        <v>52977</v>
      </c>
      <c r="Y2" s="100">
        <f>'Production Schedule'!Y1</f>
        <v>53343</v>
      </c>
      <c r="Z2" s="100">
        <f>'Production Schedule'!Z1</f>
        <v>53709</v>
      </c>
      <c r="AA2" s="100">
        <f>'Production Schedule'!AA1</f>
        <v>54075</v>
      </c>
      <c r="AB2" s="100">
        <f>'Production Schedule'!AB1</f>
        <v>0</v>
      </c>
      <c r="AC2" s="100">
        <f>'Production Schedule'!AC1</f>
        <v>0</v>
      </c>
      <c r="AD2" s="100">
        <f>'Production Schedule'!AD1</f>
        <v>0</v>
      </c>
      <c r="AE2" s="100">
        <f>'Production Schedule'!AE1</f>
        <v>0</v>
      </c>
      <c r="AF2" s="100">
        <f>'Production Schedule'!AF1</f>
        <v>0</v>
      </c>
      <c r="AG2" s="100">
        <f>'Production Schedule'!AG1</f>
        <v>0</v>
      </c>
      <c r="AH2" s="100">
        <f>'Production Schedule'!AH1</f>
        <v>0</v>
      </c>
      <c r="AI2" s="100">
        <f>'Production Schedule'!AI1</f>
        <v>0</v>
      </c>
      <c r="AJ2" s="100">
        <f>'Production Schedule'!AJ1</f>
        <v>0</v>
      </c>
      <c r="AK2" s="100">
        <f>'Production Schedule'!AK1</f>
        <v>0</v>
      </c>
      <c r="AL2" s="100">
        <f>'Production Schedule'!AL1</f>
        <v>0</v>
      </c>
      <c r="AM2" s="100">
        <f>'Production Schedule'!AM1</f>
        <v>0</v>
      </c>
      <c r="AN2" s="100">
        <f>'Production Schedule'!AN1</f>
        <v>0</v>
      </c>
      <c r="AO2" s="100">
        <f>'Production Schedule'!AO1</f>
        <v>0</v>
      </c>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row>
    <row r="3" spans="1:74">
      <c r="B3" s="191" t="s">
        <v>1523</v>
      </c>
      <c r="C3" s="191" t="s">
        <v>88</v>
      </c>
      <c r="E3" s="1141">
        <f>'Production Schedule'!E3</f>
        <v>-4</v>
      </c>
      <c r="F3" s="1141">
        <f>'Production Schedule'!F3</f>
        <v>-3</v>
      </c>
      <c r="G3" s="1141">
        <f>'Production Schedule'!G3</f>
        <v>-2</v>
      </c>
      <c r="H3" s="1141">
        <f>'Production Schedule'!H3</f>
        <v>-1</v>
      </c>
      <c r="I3" s="1141">
        <f>'Production Schedule'!I3</f>
        <v>1</v>
      </c>
      <c r="J3" s="1141">
        <f>'Production Schedule'!J3</f>
        <v>2</v>
      </c>
      <c r="K3" s="1141">
        <f>'Production Schedule'!K3</f>
        <v>3</v>
      </c>
      <c r="L3" s="1141">
        <f>'Production Schedule'!L3</f>
        <v>4</v>
      </c>
      <c r="M3" s="1141">
        <f>'Production Schedule'!M3</f>
        <v>5</v>
      </c>
      <c r="N3" s="1141">
        <f>'Production Schedule'!N3</f>
        <v>6</v>
      </c>
      <c r="O3" s="1141">
        <f>'Production Schedule'!O3</f>
        <v>7</v>
      </c>
      <c r="P3" s="1141">
        <f>'Production Schedule'!P3</f>
        <v>8</v>
      </c>
      <c r="Q3" s="1141">
        <f>'Production Schedule'!Q3</f>
        <v>9</v>
      </c>
      <c r="R3" s="1141">
        <f>'Production Schedule'!R3</f>
        <v>10</v>
      </c>
      <c r="S3" s="1141">
        <f>'Production Schedule'!S3</f>
        <v>11</v>
      </c>
      <c r="T3" s="1141">
        <f>'Production Schedule'!T3</f>
        <v>12</v>
      </c>
      <c r="U3" s="1141">
        <f>'Production Schedule'!U3</f>
        <v>13</v>
      </c>
      <c r="V3" s="1141">
        <f>'Production Schedule'!V3</f>
        <v>14</v>
      </c>
      <c r="W3" s="1141">
        <f>'Production Schedule'!W3</f>
        <v>15</v>
      </c>
      <c r="X3" s="1141">
        <f>'Production Schedule'!X3</f>
        <v>16</v>
      </c>
      <c r="Y3" s="1141">
        <f>'Production Schedule'!Y3</f>
        <v>17</v>
      </c>
      <c r="Z3" s="1141">
        <f>'Production Schedule'!Z3</f>
        <v>18</v>
      </c>
      <c r="AA3" s="1141">
        <f>'Production Schedule'!AA3</f>
        <v>19</v>
      </c>
      <c r="AB3" s="1141">
        <f>'Production Schedule'!AB3</f>
        <v>0</v>
      </c>
      <c r="AC3" s="1141">
        <f>'Production Schedule'!AC3</f>
        <v>0</v>
      </c>
      <c r="AD3" s="1141">
        <f>'Production Schedule'!AD3</f>
        <v>0</v>
      </c>
      <c r="AE3" s="1141">
        <f>'Production Schedule'!AE3</f>
        <v>0</v>
      </c>
      <c r="AF3" s="1141">
        <f>'Production Schedule'!AF3</f>
        <v>0</v>
      </c>
      <c r="AG3" s="1141">
        <f>'Production Schedule'!AG3</f>
        <v>0</v>
      </c>
      <c r="AH3" s="1141">
        <f>'Production Schedule'!AH3</f>
        <v>0</v>
      </c>
      <c r="AI3" s="1141">
        <f>'Production Schedule'!AI3</f>
        <v>0</v>
      </c>
      <c r="AJ3" s="1141">
        <f>'Production Schedule'!AJ3</f>
        <v>0</v>
      </c>
      <c r="AK3" s="1141">
        <f>'Production Schedule'!AK3</f>
        <v>0</v>
      </c>
      <c r="AL3" s="1141">
        <f>'Production Schedule'!AL3</f>
        <v>0</v>
      </c>
      <c r="AM3" s="1141">
        <f>'Production Schedule'!AM3</f>
        <v>0</v>
      </c>
      <c r="AN3" s="1141">
        <f>'Production Schedule'!AN3</f>
        <v>0</v>
      </c>
      <c r="AO3" s="1141">
        <f>'Production Schedule'!AO3</f>
        <v>0</v>
      </c>
      <c r="AP3" s="1141">
        <f>'Production Schedule'!AP3</f>
        <v>0</v>
      </c>
      <c r="AQ3" s="1141">
        <f>'Production Schedule'!AQ3</f>
        <v>0</v>
      </c>
      <c r="AR3" s="1141">
        <f>'Production Schedule'!AR3</f>
        <v>0</v>
      </c>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row>
    <row r="4" spans="1:74">
      <c r="B4" s="94" t="s">
        <v>1524</v>
      </c>
    </row>
    <row r="5" spans="1:74">
      <c r="B5" s="94" t="s">
        <v>1525</v>
      </c>
      <c r="C5" s="94" t="s">
        <v>1526</v>
      </c>
      <c r="E5" s="1424">
        <f>'Production Schedule'!E14</f>
        <v>0</v>
      </c>
      <c r="F5" s="1424">
        <f>'Production Schedule'!F14</f>
        <v>0</v>
      </c>
      <c r="G5" s="1424">
        <f>'Production Schedule'!G14</f>
        <v>0</v>
      </c>
      <c r="H5" s="1424">
        <f>'Production Schedule'!H14</f>
        <v>0</v>
      </c>
      <c r="I5" s="1424" cm="1">
        <f t="array" ref="I5:AA5">TRANSPOSE(I46:I64)</f>
        <v>3007.667822250236</v>
      </c>
      <c r="J5" s="1424">
        <v>2951.6164584864068</v>
      </c>
      <c r="K5" s="1424">
        <v>2960.7566204287514</v>
      </c>
      <c r="L5" s="1424">
        <v>2950.863976398693</v>
      </c>
      <c r="M5" s="1424">
        <v>2922.5108133769386</v>
      </c>
      <c r="N5" s="1424">
        <v>2987.5245953665499</v>
      </c>
      <c r="O5" s="1424">
        <v>2894.4097478636986</v>
      </c>
      <c r="P5" s="1424">
        <v>2960.7566204287514</v>
      </c>
      <c r="Q5" s="1424">
        <v>2988.3140147523709</v>
      </c>
      <c r="R5" s="1424">
        <v>3072.4707371085096</v>
      </c>
      <c r="S5" s="1424">
        <v>3072.4707371085096</v>
      </c>
      <c r="T5" s="1424">
        <v>2828.355367530407</v>
      </c>
      <c r="U5" s="1424">
        <v>2921.9257221458047</v>
      </c>
      <c r="V5" s="1424">
        <v>2902.7780723147066</v>
      </c>
      <c r="W5" s="1424">
        <v>2668.317042073948</v>
      </c>
      <c r="X5" s="1424">
        <v>2781.2088144930603</v>
      </c>
      <c r="Y5" s="1424">
        <v>2828.355367530407</v>
      </c>
      <c r="Z5" s="1424">
        <v>2847.0249682606855</v>
      </c>
      <c r="AA5" s="1424">
        <v>2996.6532514297819</v>
      </c>
      <c r="AB5" s="1424"/>
      <c r="AC5" s="1424"/>
      <c r="AD5" s="1424"/>
      <c r="AE5" s="1424"/>
      <c r="AF5" s="1424"/>
      <c r="AG5" s="1424"/>
      <c r="AH5" s="1424"/>
      <c r="AI5" s="1424">
        <f>'Production Schedule'!AI14</f>
        <v>0</v>
      </c>
      <c r="AJ5" s="1424">
        <f>'Production Schedule'!AJ14</f>
        <v>0</v>
      </c>
      <c r="AK5" s="1424">
        <f>'Production Schedule'!AK14</f>
        <v>0</v>
      </c>
      <c r="AL5" s="1424">
        <f>'Production Schedule'!AL14</f>
        <v>0</v>
      </c>
      <c r="AM5" s="1424">
        <f>'Production Schedule'!AM14</f>
        <v>0</v>
      </c>
      <c r="AN5" s="1424">
        <f>'Production Schedule'!AN14</f>
        <v>0</v>
      </c>
      <c r="AO5" s="1424">
        <f>'Production Schedule'!AO14</f>
        <v>0</v>
      </c>
      <c r="AP5" s="1424">
        <f>'Production Schedule'!AP14</f>
        <v>0</v>
      </c>
      <c r="AQ5" s="1424">
        <f>'Production Schedule'!AQ14</f>
        <v>0</v>
      </c>
      <c r="AR5" s="1424">
        <f>'Production Schedule'!AR14</f>
        <v>0</v>
      </c>
    </row>
    <row r="6" spans="1:74">
      <c r="B6" s="94" t="s">
        <v>1527</v>
      </c>
      <c r="E6" s="1425" t="str">
        <f>IF(E5=0,"",INDEX($B$16:$B$32,MATCH(E5,$C$16:$C$32,-1)))</f>
        <v/>
      </c>
      <c r="F6" s="1425" t="str">
        <f t="shared" ref="F6:K6" si="0">IF(F5=0,"",INDEX($B$16:$B$32,MATCH(F5,$C$16:$C$32,-1)))</f>
        <v/>
      </c>
      <c r="G6" s="1425" t="str">
        <f t="shared" si="0"/>
        <v/>
      </c>
      <c r="H6" s="1425" t="str">
        <f t="shared" si="0"/>
        <v/>
      </c>
      <c r="I6" s="1425" t="str">
        <f t="shared" si="0"/>
        <v>G15</v>
      </c>
      <c r="J6" s="1425" t="str">
        <f t="shared" si="0"/>
        <v>G15</v>
      </c>
      <c r="K6" s="1425" t="str">
        <f t="shared" si="0"/>
        <v>G15</v>
      </c>
      <c r="L6" s="1425" t="str">
        <f t="shared" ref="L6" si="1">IF(L5=0,"",INDEX($B$16:$B$32,MATCH(L5,$C$16:$C$32,-1)))</f>
        <v>G15</v>
      </c>
      <c r="M6" s="1425" t="str">
        <f t="shared" ref="M6" si="2">IF(M5=0,"",INDEX($B$16:$B$32,MATCH(M5,$C$16:$C$32,-1)))</f>
        <v>G15</v>
      </c>
      <c r="N6" s="1425" t="str">
        <f>IF(N5=0,"",INDEX($B$16:$B$32,MATCH(N5,$C$16:$C$32,-1)))</f>
        <v>G15</v>
      </c>
      <c r="O6" s="1425" t="str">
        <f t="shared" ref="O6" si="3">IF(O5=0,"",INDEX($B$16:$B$32,MATCH(O5,$C$16:$C$32,-1)))</f>
        <v>G15</v>
      </c>
      <c r="P6" s="1425" t="str">
        <f>IF(P5=0,"",INDEX($B$16:$B$32,MATCH(P5,$C$16:$C$32,-1)))</f>
        <v>G15</v>
      </c>
      <c r="Q6" s="1425" t="str">
        <f t="shared" ref="Q6" si="4">IF(Q5=0,"",INDEX($B$16:$B$32,MATCH(Q5,$C$16:$C$32,-1)))</f>
        <v>G15</v>
      </c>
      <c r="R6" s="1425" t="str">
        <f t="shared" ref="R6" si="5">IF(R5=0,"",INDEX($B$16:$B$32,MATCH(R5,$C$16:$C$32,-1)))</f>
        <v>G15</v>
      </c>
      <c r="S6" s="1425" t="str">
        <f t="shared" ref="S6" si="6">IF(S5=0,"",INDEX($B$16:$B$32,MATCH(S5,$C$16:$C$32,-1)))</f>
        <v>G15</v>
      </c>
      <c r="T6" s="1425" t="str">
        <f t="shared" ref="T6" si="7">IF(T5=0,"",INDEX($B$16:$B$32,MATCH(T5,$C$16:$C$32,-1)))</f>
        <v>G15</v>
      </c>
      <c r="U6" s="1425" t="str">
        <f t="shared" ref="U6" si="8">IF(U5=0,"",INDEX($B$16:$B$32,MATCH(U5,$C$16:$C$32,-1)))</f>
        <v>G15</v>
      </c>
      <c r="V6" s="1425" t="str">
        <f t="shared" ref="V6:W6" si="9">IF(V5=0,"",INDEX($B$16:$B$32,MATCH(V5,$C$16:$C$32,-1)))</f>
        <v>G15</v>
      </c>
      <c r="W6" s="1425" t="str">
        <f t="shared" si="9"/>
        <v>G16</v>
      </c>
      <c r="X6" s="1425" t="str">
        <f t="shared" ref="X6" si="10">IF(X5=0,"",INDEX($B$16:$B$32,MATCH(X5,$C$16:$C$32,-1)))</f>
        <v>G16</v>
      </c>
      <c r="Y6" s="1425" t="str">
        <f t="shared" ref="Y6" si="11">IF(Y5=0,"",INDEX($B$16:$B$32,MATCH(Y5,$C$16:$C$32,-1)))</f>
        <v>G15</v>
      </c>
      <c r="Z6" s="1425" t="str">
        <f t="shared" ref="Z6" si="12">IF(Z5=0,"",INDEX($B$16:$B$32,MATCH(Z5,$C$16:$C$32,-1)))</f>
        <v>G15</v>
      </c>
      <c r="AA6" s="1425" t="str">
        <f t="shared" ref="AA6" si="13">IF(AA5=0,"",INDEX($B$16:$B$32,MATCH(AA5,$C$16:$C$32,-1)))</f>
        <v>G15</v>
      </c>
      <c r="AB6" s="1425" t="str">
        <f t="shared" ref="AB6:AC6" si="14">IF(AB5=0,"",INDEX($B$16:$B$32,MATCH(AB5,$C$16:$C$32,-1)))</f>
        <v/>
      </c>
      <c r="AC6" s="1425" t="str">
        <f t="shared" si="14"/>
        <v/>
      </c>
      <c r="AD6" s="1425" t="str">
        <f t="shared" ref="AD6" si="15">IF(AD5=0,"",INDEX($B$16:$B$32,MATCH(AD5,$C$16:$C$32,-1)))</f>
        <v/>
      </c>
      <c r="AE6" s="1426" t="str">
        <f>IF(AE5=0,"",INDEX($B$16:$B$32,MATCH(AE5,$C$16:$C$32,-1)))</f>
        <v/>
      </c>
      <c r="AF6" s="1425" t="str">
        <f>IF(AF5=0,"",INDEX($B$16:$B$32,MATCH(AF5,$C$16:$C$32,-1)))</f>
        <v/>
      </c>
      <c r="AG6" s="1425" t="str">
        <f t="shared" ref="AG6" si="16">IF(AG5=0,"",INDEX($B$16:$B$32,MATCH(AG5,$C$16:$C$32,-1)))</f>
        <v/>
      </c>
      <c r="AH6" s="1425" t="str">
        <f t="shared" ref="AH6:AI6" si="17">IF(AH5=0,"",INDEX($B$16:$B$32,MATCH(AH5,$C$16:$C$32,-1)))</f>
        <v/>
      </c>
      <c r="AI6" s="1425" t="str">
        <f t="shared" si="17"/>
        <v/>
      </c>
      <c r="AJ6" s="1425" t="str">
        <f t="shared" ref="AJ6" si="18">IF(AJ5=0,"",INDEX($B$16:$B$32,MATCH(AJ5,$C$16:$C$32,-1)))</f>
        <v/>
      </c>
      <c r="AK6" s="1425" t="str">
        <f t="shared" ref="AK6" si="19">IF(AK5=0,"",INDEX($B$16:$B$32,MATCH(AK5,$C$16:$C$32,-1)))</f>
        <v/>
      </c>
      <c r="AL6" s="1425" t="str">
        <f t="shared" ref="AL6" si="20">IF(AL5=0,"",INDEX($B$16:$B$32,MATCH(AL5,$C$16:$C$32,-1)))</f>
        <v/>
      </c>
      <c r="AM6" s="1425" t="str">
        <f t="shared" ref="AM6" si="21">IF(AM5=0,"",INDEX($B$16:$B$32,MATCH(AM5,$C$16:$C$32,-1)))</f>
        <v/>
      </c>
      <c r="AN6" s="1425" t="str">
        <f t="shared" ref="AN6:AO6" si="22">IF(AN5=0,"",INDEX($B$16:$B$32,MATCH(AN5,$C$16:$C$32,-1)))</f>
        <v/>
      </c>
      <c r="AO6" s="1425" t="str">
        <f t="shared" si="22"/>
        <v/>
      </c>
      <c r="AP6" s="1425" t="str">
        <f t="shared" ref="AP6" si="23">IF(AP5=0,"",INDEX($B$16:$B$32,MATCH(AP5,$C$16:$C$32,-1)))</f>
        <v/>
      </c>
      <c r="AQ6" s="1425" t="str">
        <f t="shared" ref="AQ6" si="24">IF(AQ5=0,"",INDEX($B$16:$B$32,MATCH(AQ5,$C$16:$C$32,-1)))</f>
        <v/>
      </c>
      <c r="AR6" s="1425" t="str">
        <f t="shared" ref="AR6" si="25">IF(AR5=0,"",INDEX($B$16:$B$32,MATCH(AR5,$C$16:$C$32,-1)))</f>
        <v/>
      </c>
    </row>
    <row r="7" spans="1:74">
      <c r="B7" s="94" t="s">
        <v>1528</v>
      </c>
      <c r="C7" s="94" t="s">
        <v>275</v>
      </c>
      <c r="E7" s="1427">
        <f>IFERROR(VLOOKUP(E6,$B$16:$BS$38,70,0),0)</f>
        <v>0</v>
      </c>
      <c r="F7" s="1427">
        <f t="shared" ref="F7:AR7" si="26">IFERROR(VLOOKUP(F6,$B$16:$BS$38,70,0),0)</f>
        <v>0</v>
      </c>
      <c r="G7" s="1427">
        <f t="shared" si="26"/>
        <v>0</v>
      </c>
      <c r="H7" s="1427">
        <f t="shared" si="26"/>
        <v>0</v>
      </c>
      <c r="I7" s="1427">
        <f>IFERROR(VLOOKUP(I6,$B$16:$BS$38,70,0),0)</f>
        <v>1032</v>
      </c>
      <c r="J7" s="1427">
        <f t="shared" si="26"/>
        <v>1032</v>
      </c>
      <c r="K7" s="1427">
        <f t="shared" si="26"/>
        <v>1032</v>
      </c>
      <c r="L7" s="1427">
        <f t="shared" si="26"/>
        <v>1032</v>
      </c>
      <c r="M7" s="1427">
        <f t="shared" si="26"/>
        <v>1032</v>
      </c>
      <c r="N7" s="1427">
        <f t="shared" si="26"/>
        <v>1032</v>
      </c>
      <c r="O7" s="1427">
        <f t="shared" si="26"/>
        <v>1032</v>
      </c>
      <c r="P7" s="1427">
        <f t="shared" si="26"/>
        <v>1032</v>
      </c>
      <c r="Q7" s="1427">
        <f t="shared" si="26"/>
        <v>1032</v>
      </c>
      <c r="R7" s="1427">
        <f t="shared" si="26"/>
        <v>1032</v>
      </c>
      <c r="S7" s="1427">
        <f t="shared" si="26"/>
        <v>1032</v>
      </c>
      <c r="T7" s="1427">
        <f t="shared" si="26"/>
        <v>1032</v>
      </c>
      <c r="U7" s="1427">
        <f t="shared" si="26"/>
        <v>1032</v>
      </c>
      <c r="V7" s="1427">
        <f t="shared" si="26"/>
        <v>1032</v>
      </c>
      <c r="W7" s="1427">
        <f t="shared" si="26"/>
        <v>753</v>
      </c>
      <c r="X7" s="1427">
        <f t="shared" si="26"/>
        <v>753</v>
      </c>
      <c r="Y7" s="1427">
        <f t="shared" si="26"/>
        <v>1032</v>
      </c>
      <c r="Z7" s="1427">
        <f t="shared" si="26"/>
        <v>1032</v>
      </c>
      <c r="AA7" s="1427">
        <f t="shared" si="26"/>
        <v>1032</v>
      </c>
      <c r="AB7" s="1427">
        <f t="shared" si="26"/>
        <v>0</v>
      </c>
      <c r="AC7" s="1427">
        <f t="shared" si="26"/>
        <v>0</v>
      </c>
      <c r="AD7" s="1427">
        <f t="shared" si="26"/>
        <v>0</v>
      </c>
      <c r="AE7" s="1427">
        <f t="shared" si="26"/>
        <v>0</v>
      </c>
      <c r="AF7" s="1427">
        <f t="shared" si="26"/>
        <v>0</v>
      </c>
      <c r="AG7" s="1427">
        <f>IFERROR(VLOOKUP(AG6,$B$16:$BS$38,70,0),0)</f>
        <v>0</v>
      </c>
      <c r="AH7" s="1427">
        <f t="shared" si="26"/>
        <v>0</v>
      </c>
      <c r="AI7" s="1427">
        <f t="shared" si="26"/>
        <v>0</v>
      </c>
      <c r="AJ7" s="1427">
        <f t="shared" si="26"/>
        <v>0</v>
      </c>
      <c r="AK7" s="1427">
        <f t="shared" si="26"/>
        <v>0</v>
      </c>
      <c r="AL7" s="1427">
        <f t="shared" si="26"/>
        <v>0</v>
      </c>
      <c r="AM7" s="1427">
        <f t="shared" si="26"/>
        <v>0</v>
      </c>
      <c r="AN7" s="1427">
        <f t="shared" si="26"/>
        <v>0</v>
      </c>
      <c r="AO7" s="1427">
        <f t="shared" si="26"/>
        <v>0</v>
      </c>
      <c r="AP7" s="1427">
        <f t="shared" si="26"/>
        <v>0</v>
      </c>
      <c r="AQ7" s="1427">
        <f t="shared" si="26"/>
        <v>0</v>
      </c>
      <c r="AR7" s="1427">
        <f t="shared" si="26"/>
        <v>0</v>
      </c>
    </row>
    <row r="8" spans="1:74">
      <c r="B8" s="94" t="s">
        <v>1529</v>
      </c>
      <c r="C8" s="94" t="s">
        <v>275</v>
      </c>
      <c r="E8" s="1176"/>
      <c r="F8" s="1176"/>
      <c r="G8" s="1176"/>
      <c r="H8" s="1176"/>
      <c r="I8" s="1428">
        <f>I7*Assumptions_Dashboard!$L$10</f>
        <v>1651.2000000000005</v>
      </c>
      <c r="J8" s="1428">
        <f>J7*Assumptions_Dashboard!$L$10</f>
        <v>1651.2000000000005</v>
      </c>
      <c r="K8" s="1428">
        <f>K7*Assumptions_Dashboard!$L$10</f>
        <v>1651.2000000000005</v>
      </c>
      <c r="L8" s="1428">
        <f>L7*Assumptions_Dashboard!$L$10</f>
        <v>1651.2000000000005</v>
      </c>
      <c r="M8" s="1428">
        <f>M7*Assumptions_Dashboard!$L$10</f>
        <v>1651.2000000000005</v>
      </c>
      <c r="N8" s="1428">
        <f>N7*Assumptions_Dashboard!$L$10</f>
        <v>1651.2000000000005</v>
      </c>
      <c r="O8" s="1428">
        <f>O7*Assumptions_Dashboard!$L$10</f>
        <v>1651.2000000000005</v>
      </c>
      <c r="P8" s="1428">
        <f>P7*Assumptions_Dashboard!$L$10</f>
        <v>1651.2000000000005</v>
      </c>
      <c r="Q8" s="1428">
        <f>Q7*Assumptions_Dashboard!$L$10</f>
        <v>1651.2000000000005</v>
      </c>
      <c r="R8" s="1428">
        <f>R7*Assumptions_Dashboard!$L$10</f>
        <v>1651.2000000000005</v>
      </c>
      <c r="S8" s="1428">
        <f>S7*Assumptions_Dashboard!$L$10</f>
        <v>1651.2000000000005</v>
      </c>
      <c r="T8" s="1428">
        <f>T7*Assumptions_Dashboard!$L$10</f>
        <v>1651.2000000000005</v>
      </c>
      <c r="U8" s="1428">
        <f>U7*Assumptions_Dashboard!$L$10</f>
        <v>1651.2000000000005</v>
      </c>
      <c r="V8" s="1428">
        <f>V7*Assumptions_Dashboard!$L$10</f>
        <v>1651.2000000000005</v>
      </c>
      <c r="W8" s="1428">
        <f>W7*Assumptions_Dashboard!$L$10</f>
        <v>1204.8000000000004</v>
      </c>
      <c r="X8" s="1428">
        <f>X7*Assumptions_Dashboard!$L$10</f>
        <v>1204.8000000000004</v>
      </c>
      <c r="Y8" s="1428">
        <f>Y7*Assumptions_Dashboard!$L$10</f>
        <v>1651.2000000000005</v>
      </c>
      <c r="Z8" s="1428">
        <f>Z7*Assumptions_Dashboard!$L$10</f>
        <v>1651.2000000000005</v>
      </c>
      <c r="AA8" s="1428">
        <f>AA7*Assumptions_Dashboard!$L$10</f>
        <v>1651.2000000000005</v>
      </c>
      <c r="AB8" s="1428">
        <v>0</v>
      </c>
      <c r="AC8" s="1428">
        <v>0</v>
      </c>
      <c r="AD8" s="1428">
        <v>0</v>
      </c>
      <c r="AE8" s="1428">
        <v>0</v>
      </c>
      <c r="AF8" s="1428">
        <v>0</v>
      </c>
      <c r="AG8" s="1428">
        <v>0</v>
      </c>
      <c r="AH8" s="1428">
        <v>0</v>
      </c>
      <c r="AI8" s="1176"/>
      <c r="AJ8" s="1176"/>
      <c r="AK8" s="1176"/>
      <c r="AL8" s="1176"/>
      <c r="AM8" s="1176"/>
      <c r="AN8" s="1176"/>
      <c r="AO8" s="1176"/>
      <c r="AP8" s="1176"/>
      <c r="AQ8" s="1176"/>
      <c r="AR8" s="1176"/>
    </row>
    <row r="10" spans="1:74">
      <c r="B10" s="94" t="s">
        <v>1656</v>
      </c>
      <c r="C10" s="94" t="s">
        <v>134</v>
      </c>
      <c r="E10" s="1666">
        <f>D69*D71/10</f>
        <v>0</v>
      </c>
      <c r="F10" s="1666">
        <f t="shared" ref="F10:AA10" si="27">E69*E71/10</f>
        <v>0</v>
      </c>
      <c r="G10" s="1666">
        <f t="shared" si="27"/>
        <v>0</v>
      </c>
      <c r="H10" s="1666">
        <f t="shared" si="27"/>
        <v>0</v>
      </c>
      <c r="I10" s="1666">
        <f t="shared" si="27"/>
        <v>0</v>
      </c>
      <c r="J10" s="1666">
        <f t="shared" si="27"/>
        <v>29.7</v>
      </c>
      <c r="K10" s="1666">
        <f t="shared" si="27"/>
        <v>44</v>
      </c>
      <c r="L10" s="1666">
        <f t="shared" si="27"/>
        <v>88</v>
      </c>
      <c r="M10" s="1666">
        <f t="shared" si="27"/>
        <v>176</v>
      </c>
      <c r="N10" s="1666">
        <f t="shared" si="27"/>
        <v>22</v>
      </c>
      <c r="O10" s="1666">
        <f t="shared" si="27"/>
        <v>246.40000000000003</v>
      </c>
      <c r="P10" s="1666">
        <f t="shared" si="27"/>
        <v>88</v>
      </c>
      <c r="Q10" s="1666">
        <f t="shared" si="27"/>
        <v>26.4</v>
      </c>
      <c r="R10" s="1666">
        <f t="shared" si="27"/>
        <v>0</v>
      </c>
      <c r="S10" s="1666">
        <f t="shared" si="27"/>
        <v>0</v>
      </c>
      <c r="T10" s="1666">
        <f t="shared" si="27"/>
        <v>396</v>
      </c>
      <c r="U10" s="1666">
        <f t="shared" si="27"/>
        <v>234</v>
      </c>
      <c r="V10" s="1666">
        <f t="shared" si="27"/>
        <v>228</v>
      </c>
      <c r="W10" s="1666">
        <f t="shared" si="27"/>
        <v>748</v>
      </c>
      <c r="X10" s="1666">
        <f t="shared" si="27"/>
        <v>506</v>
      </c>
      <c r="Y10" s="1666">
        <f t="shared" si="27"/>
        <v>264</v>
      </c>
      <c r="Z10" s="1666">
        <f t="shared" si="27"/>
        <v>221</v>
      </c>
      <c r="AA10" s="1666">
        <f t="shared" si="27"/>
        <v>0</v>
      </c>
      <c r="AB10" s="1176"/>
      <c r="AC10" s="1176"/>
      <c r="AD10" s="1176"/>
      <c r="AE10" s="1176"/>
      <c r="AF10" s="1176"/>
      <c r="AG10" s="1176"/>
      <c r="AH10" s="1176"/>
      <c r="AI10" s="1176"/>
      <c r="AJ10" s="1176"/>
      <c r="AK10" s="1176"/>
      <c r="AL10" s="1176"/>
      <c r="AM10" s="1176"/>
      <c r="AN10" s="1176"/>
      <c r="AO10" s="1176"/>
      <c r="AP10" s="1176"/>
      <c r="AQ10" s="1176"/>
      <c r="AR10" s="1176"/>
    </row>
    <row r="12" spans="1:74" ht="14">
      <c r="B12" s="361" t="s">
        <v>1530</v>
      </c>
    </row>
    <row r="13" spans="1:74">
      <c r="B13" s="352">
        <v>1</v>
      </c>
      <c r="C13" s="352">
        <v>2</v>
      </c>
      <c r="D13" s="352">
        <v>3</v>
      </c>
      <c r="E13" s="352">
        <v>4</v>
      </c>
      <c r="F13" s="352">
        <v>5</v>
      </c>
      <c r="G13" s="352">
        <v>6</v>
      </c>
      <c r="H13" s="352">
        <v>7</v>
      </c>
      <c r="I13" s="352">
        <v>8</v>
      </c>
      <c r="J13" s="352">
        <v>9</v>
      </c>
      <c r="K13" s="352">
        <v>10</v>
      </c>
      <c r="L13" s="352">
        <v>11</v>
      </c>
      <c r="M13" s="352">
        <v>12</v>
      </c>
      <c r="N13" s="352">
        <v>13</v>
      </c>
      <c r="O13" s="352">
        <v>14</v>
      </c>
      <c r="P13" s="352">
        <v>15</v>
      </c>
      <c r="Q13" s="352">
        <v>16</v>
      </c>
      <c r="R13" s="352">
        <v>17</v>
      </c>
      <c r="S13" s="352">
        <v>18</v>
      </c>
      <c r="T13" s="352">
        <v>19</v>
      </c>
      <c r="U13" s="352">
        <v>20</v>
      </c>
      <c r="V13" s="352">
        <v>21</v>
      </c>
      <c r="W13" s="352">
        <v>22</v>
      </c>
      <c r="X13" s="352">
        <v>23</v>
      </c>
      <c r="Y13" s="352">
        <v>24</v>
      </c>
      <c r="Z13" s="352">
        <v>25</v>
      </c>
      <c r="AA13" s="352">
        <v>26</v>
      </c>
      <c r="AB13" s="352">
        <v>27</v>
      </c>
      <c r="AC13" s="352">
        <v>28</v>
      </c>
      <c r="AD13" s="352">
        <v>29</v>
      </c>
      <c r="AE13" s="352">
        <v>30</v>
      </c>
      <c r="AF13" s="352">
        <v>31</v>
      </c>
      <c r="AG13" s="352">
        <v>32</v>
      </c>
      <c r="AH13" s="352">
        <v>33</v>
      </c>
      <c r="AI13" s="352">
        <v>34</v>
      </c>
      <c r="AJ13" s="352">
        <v>35</v>
      </c>
      <c r="AK13" s="352">
        <v>36</v>
      </c>
      <c r="AL13" s="352">
        <v>37</v>
      </c>
      <c r="AM13" s="352">
        <v>38</v>
      </c>
      <c r="AN13" s="352">
        <v>39</v>
      </c>
      <c r="AO13" s="352">
        <v>40</v>
      </c>
      <c r="AP13" s="352">
        <v>41</v>
      </c>
      <c r="AQ13" s="352">
        <v>42</v>
      </c>
      <c r="AR13" s="352">
        <v>43</v>
      </c>
      <c r="AS13" s="352">
        <v>44</v>
      </c>
      <c r="AT13" s="352">
        <v>45</v>
      </c>
      <c r="AU13" s="352">
        <v>46</v>
      </c>
      <c r="AV13" s="352">
        <v>47</v>
      </c>
      <c r="AW13" s="352">
        <v>48</v>
      </c>
      <c r="AX13" s="352">
        <v>49</v>
      </c>
      <c r="AY13" s="352">
        <v>50</v>
      </c>
      <c r="AZ13" s="352">
        <v>51</v>
      </c>
      <c r="BA13" s="352">
        <v>52</v>
      </c>
      <c r="BB13" s="352">
        <v>53</v>
      </c>
      <c r="BC13" s="352">
        <v>54</v>
      </c>
      <c r="BD13" s="352">
        <v>55</v>
      </c>
      <c r="BE13" s="352">
        <v>56</v>
      </c>
      <c r="BF13" s="352">
        <v>57</v>
      </c>
      <c r="BG13" s="352">
        <v>58</v>
      </c>
      <c r="BH13" s="352">
        <v>59</v>
      </c>
      <c r="BI13" s="352">
        <v>60</v>
      </c>
      <c r="BJ13" s="352">
        <v>61</v>
      </c>
      <c r="BK13" s="352">
        <v>62</v>
      </c>
      <c r="BL13" s="352">
        <v>63</v>
      </c>
      <c r="BM13" s="352">
        <v>64</v>
      </c>
      <c r="BN13" s="352">
        <v>65</v>
      </c>
      <c r="BO13" s="352">
        <v>66</v>
      </c>
      <c r="BP13" s="352">
        <v>67</v>
      </c>
      <c r="BQ13" s="352">
        <v>68</v>
      </c>
      <c r="BR13" s="352">
        <v>69</v>
      </c>
      <c r="BS13" s="352">
        <v>70</v>
      </c>
      <c r="BT13" s="352">
        <v>71</v>
      </c>
      <c r="BU13" s="352">
        <v>72</v>
      </c>
      <c r="BV13" s="352">
        <v>73</v>
      </c>
    </row>
    <row r="14" spans="1:74" ht="14">
      <c r="A14" s="350"/>
      <c r="B14" s="1757" t="s">
        <v>1531</v>
      </c>
      <c r="C14" s="1758" t="s">
        <v>1532</v>
      </c>
      <c r="D14" s="1759"/>
      <c r="E14" s="1430" t="s">
        <v>1533</v>
      </c>
      <c r="F14" s="1431"/>
      <c r="G14" s="1431"/>
      <c r="H14" s="1431"/>
      <c r="I14" s="1431"/>
      <c r="J14" s="1431"/>
      <c r="K14" s="1431"/>
      <c r="L14" s="1431"/>
      <c r="M14" s="1431"/>
      <c r="N14" s="1431"/>
      <c r="O14" s="1431"/>
      <c r="P14" s="1431"/>
      <c r="Q14" s="1431"/>
      <c r="R14" s="1431"/>
      <c r="S14" s="1431"/>
      <c r="T14" s="1431"/>
      <c r="U14" s="1431"/>
      <c r="V14" s="1431"/>
      <c r="W14" s="1431"/>
      <c r="X14" s="1431"/>
      <c r="Y14" s="1431"/>
      <c r="Z14" s="1431"/>
      <c r="AA14" s="1431"/>
      <c r="AB14" s="1431"/>
      <c r="AC14" s="1431"/>
      <c r="AD14" s="1431"/>
      <c r="AE14" s="1431"/>
      <c r="AF14" s="1431"/>
      <c r="AG14" s="1431"/>
      <c r="AH14" s="1432"/>
      <c r="AI14" s="350"/>
      <c r="AJ14" s="350"/>
      <c r="AK14" s="350"/>
      <c r="AL14" s="350"/>
      <c r="AM14" s="350"/>
      <c r="AN14" s="350"/>
      <c r="AO14" s="350"/>
      <c r="AP14" s="350"/>
      <c r="AQ14" s="350"/>
      <c r="AR14" s="350"/>
      <c r="AS14" s="350"/>
      <c r="AT14" s="350"/>
      <c r="AU14" s="350"/>
      <c r="AV14" s="350"/>
      <c r="AW14" s="350"/>
      <c r="AX14" s="350"/>
      <c r="AY14" s="350"/>
      <c r="AZ14" s="350"/>
      <c r="BA14" s="350"/>
      <c r="BB14" s="350"/>
      <c r="BC14" s="350"/>
      <c r="BD14" s="350"/>
      <c r="BE14" s="350"/>
      <c r="BF14" s="350"/>
      <c r="BG14" s="350"/>
      <c r="BH14" s="350"/>
      <c r="BI14" s="350"/>
      <c r="BJ14" s="350"/>
      <c r="BK14" s="350"/>
      <c r="BL14" s="350"/>
      <c r="BM14" s="350"/>
      <c r="BN14" s="350"/>
      <c r="BO14" s="350"/>
      <c r="BP14" s="350"/>
      <c r="BQ14" s="350"/>
      <c r="BR14" s="350"/>
      <c r="BS14" s="350"/>
      <c r="BT14" s="350"/>
      <c r="BU14" s="350"/>
      <c r="BV14" s="350"/>
    </row>
    <row r="15" spans="1:74" ht="15">
      <c r="A15" s="350" t="s">
        <v>1534</v>
      </c>
      <c r="B15" s="1757"/>
      <c r="C15" s="1429" t="s">
        <v>1535</v>
      </c>
      <c r="D15" s="1429" t="s">
        <v>1536</v>
      </c>
      <c r="E15" s="1433">
        <v>43891</v>
      </c>
      <c r="F15" s="1433">
        <v>43922</v>
      </c>
      <c r="G15" s="1433">
        <v>43952</v>
      </c>
      <c r="H15" s="1433">
        <v>43983</v>
      </c>
      <c r="I15" s="1433">
        <v>44013</v>
      </c>
      <c r="J15" s="1433">
        <v>44044</v>
      </c>
      <c r="K15" s="1433">
        <v>44075</v>
      </c>
      <c r="L15" s="1433">
        <v>44105</v>
      </c>
      <c r="M15" s="1433">
        <v>44136</v>
      </c>
      <c r="N15" s="1433">
        <v>44166</v>
      </c>
      <c r="O15" s="1433">
        <v>44197</v>
      </c>
      <c r="P15" s="1433">
        <v>44228</v>
      </c>
      <c r="Q15" s="1433">
        <v>44256</v>
      </c>
      <c r="R15" s="1433">
        <v>44287</v>
      </c>
      <c r="S15" s="1433">
        <v>44317</v>
      </c>
      <c r="T15" s="1433">
        <v>44348</v>
      </c>
      <c r="U15" s="1433">
        <v>44378</v>
      </c>
      <c r="V15" s="1433">
        <v>44409</v>
      </c>
      <c r="W15" s="1433">
        <v>44440</v>
      </c>
      <c r="X15" s="1433">
        <v>44470</v>
      </c>
      <c r="Y15" s="1433">
        <v>44501</v>
      </c>
      <c r="Z15" s="1433">
        <v>44531</v>
      </c>
      <c r="AA15" s="1433">
        <v>44562</v>
      </c>
      <c r="AB15" s="1433">
        <v>44593</v>
      </c>
      <c r="AC15" s="1433">
        <v>44621</v>
      </c>
      <c r="AD15" s="1433">
        <v>44652</v>
      </c>
      <c r="AE15" s="1433">
        <v>44682</v>
      </c>
      <c r="AF15" s="1433">
        <v>44713</v>
      </c>
      <c r="AG15" s="1433">
        <v>44743</v>
      </c>
      <c r="AH15" s="1433">
        <v>44774</v>
      </c>
      <c r="AI15" s="1433">
        <v>44805</v>
      </c>
      <c r="AJ15" s="1433">
        <v>44835</v>
      </c>
      <c r="AK15" s="1433">
        <v>44866</v>
      </c>
      <c r="AL15" s="1433">
        <v>44896</v>
      </c>
      <c r="AM15" s="1433">
        <v>44927</v>
      </c>
      <c r="AN15" s="1433">
        <v>44958</v>
      </c>
      <c r="AO15" s="1433">
        <v>44986</v>
      </c>
      <c r="AP15" s="1433">
        <v>45017</v>
      </c>
      <c r="AQ15" s="1433">
        <v>45047</v>
      </c>
      <c r="AR15" s="1433">
        <v>45078</v>
      </c>
      <c r="AS15" s="1433">
        <v>45108</v>
      </c>
      <c r="AT15" s="1433">
        <v>45139</v>
      </c>
      <c r="AU15" s="1433">
        <v>45170</v>
      </c>
      <c r="AV15" s="1433">
        <v>45200</v>
      </c>
      <c r="AW15" s="1433">
        <v>45231</v>
      </c>
      <c r="AX15" s="1433">
        <v>45261</v>
      </c>
      <c r="AY15" s="1433">
        <v>45292</v>
      </c>
      <c r="AZ15" s="1433">
        <v>45323</v>
      </c>
      <c r="BA15" s="1433">
        <v>45352</v>
      </c>
      <c r="BB15" s="1433">
        <v>45383</v>
      </c>
      <c r="BC15" s="1433">
        <v>45413</v>
      </c>
      <c r="BD15" s="1433">
        <v>45444</v>
      </c>
      <c r="BE15" s="1433">
        <v>45474</v>
      </c>
      <c r="BF15" s="1433">
        <v>45505</v>
      </c>
      <c r="BG15" s="1433">
        <v>45536</v>
      </c>
      <c r="BH15" s="1433">
        <v>45566</v>
      </c>
      <c r="BI15" s="1433">
        <v>45597</v>
      </c>
      <c r="BJ15" s="1433">
        <v>45627</v>
      </c>
      <c r="BK15" s="1433">
        <v>45658</v>
      </c>
      <c r="BL15" s="1433">
        <v>45689</v>
      </c>
      <c r="BM15" s="1433">
        <v>45717</v>
      </c>
      <c r="BN15" s="1433">
        <v>45748</v>
      </c>
      <c r="BO15" s="1433">
        <v>45778</v>
      </c>
      <c r="BP15" s="1433">
        <v>45809</v>
      </c>
      <c r="BQ15" s="1433">
        <v>45839</v>
      </c>
      <c r="BR15" s="1433">
        <v>45870</v>
      </c>
      <c r="BS15" s="1433">
        <v>45901</v>
      </c>
      <c r="BT15" s="1433">
        <v>45931</v>
      </c>
      <c r="BU15" s="1433">
        <v>45962</v>
      </c>
      <c r="BV15" s="1433">
        <v>45992</v>
      </c>
    </row>
    <row r="16" spans="1:74" s="351" customFormat="1">
      <c r="A16" s="1434">
        <f>BS16/(AVERAGE(C16:D16))</f>
        <v>1.1737142857142857</v>
      </c>
      <c r="B16" s="1435" t="s">
        <v>1537</v>
      </c>
      <c r="C16" s="1435">
        <v>7000</v>
      </c>
      <c r="D16" s="1435"/>
      <c r="E16" s="1436">
        <v>8568</v>
      </c>
      <c r="F16" s="1436">
        <v>6323</v>
      </c>
      <c r="G16" s="1436">
        <v>6251</v>
      </c>
      <c r="H16" s="1436">
        <v>5906</v>
      </c>
      <c r="I16" s="1436">
        <v>5920</v>
      </c>
      <c r="J16" s="1436">
        <v>5940</v>
      </c>
      <c r="K16" s="1436">
        <v>5928</v>
      </c>
      <c r="L16" s="1436">
        <v>6024</v>
      </c>
      <c r="M16" s="1436">
        <v>6059</v>
      </c>
      <c r="N16" s="1436">
        <v>6216</v>
      </c>
      <c r="O16" s="1436">
        <v>6585</v>
      </c>
      <c r="P16" s="1436">
        <v>6906</v>
      </c>
      <c r="Q16" s="1436">
        <v>6662</v>
      </c>
      <c r="R16" s="1436">
        <v>6765</v>
      </c>
      <c r="S16" s="1436">
        <v>7124</v>
      </c>
      <c r="T16" s="1436">
        <v>7270</v>
      </c>
      <c r="U16" s="1436">
        <v>7713</v>
      </c>
      <c r="V16" s="1436">
        <v>8185</v>
      </c>
      <c r="W16" s="1436">
        <v>8233</v>
      </c>
      <c r="X16" s="1436">
        <v>8409</v>
      </c>
      <c r="Y16" s="1436">
        <v>10268</v>
      </c>
      <c r="Z16" s="1436">
        <v>9596</v>
      </c>
      <c r="AA16" s="1436">
        <v>8958</v>
      </c>
      <c r="AB16" s="1436">
        <v>9450</v>
      </c>
      <c r="AC16" s="1436">
        <v>16227</v>
      </c>
      <c r="AD16" s="1436">
        <v>17882</v>
      </c>
      <c r="AE16" s="1436">
        <v>14648</v>
      </c>
      <c r="AF16" s="1436">
        <v>18467</v>
      </c>
      <c r="AG16" s="1436">
        <v>17819</v>
      </c>
      <c r="AH16" s="1437">
        <v>16937</v>
      </c>
      <c r="AI16" s="1438">
        <v>16269</v>
      </c>
      <c r="AJ16" s="1435">
        <v>14711</v>
      </c>
      <c r="AK16" s="1435">
        <v>15700</v>
      </c>
      <c r="AL16" s="1435">
        <v>13003</v>
      </c>
      <c r="AM16" s="1435">
        <v>13329</v>
      </c>
      <c r="AN16" s="1435">
        <v>12847</v>
      </c>
      <c r="AO16" s="358">
        <v>12312</v>
      </c>
      <c r="AP16" s="1435">
        <v>12447</v>
      </c>
      <c r="AQ16" s="1435">
        <v>10753</v>
      </c>
      <c r="AR16" s="1435">
        <v>7985</v>
      </c>
      <c r="AS16" s="1435">
        <v>7615</v>
      </c>
      <c r="AT16" s="1435">
        <v>7420</v>
      </c>
      <c r="AU16" s="1435">
        <v>11236</v>
      </c>
      <c r="AV16" s="1435">
        <v>11248</v>
      </c>
      <c r="AW16" s="1435">
        <v>10862</v>
      </c>
      <c r="AX16" s="1435">
        <v>10795</v>
      </c>
      <c r="AY16" s="1439">
        <v>10569</v>
      </c>
      <c r="AZ16" s="1439">
        <v>8022</v>
      </c>
      <c r="BA16" s="1439">
        <v>8462</v>
      </c>
      <c r="BB16" s="1439">
        <v>8391</v>
      </c>
      <c r="BC16" s="1439">
        <v>7883</v>
      </c>
      <c r="BD16" s="1439">
        <v>7882</v>
      </c>
      <c r="BE16" s="1439">
        <v>9921</v>
      </c>
      <c r="BF16" s="1439">
        <v>8874</v>
      </c>
      <c r="BG16" s="1439">
        <v>8782</v>
      </c>
      <c r="BH16" s="1439">
        <v>8899</v>
      </c>
      <c r="BI16" s="1439">
        <v>9541</v>
      </c>
      <c r="BJ16" s="1439">
        <v>8802</v>
      </c>
      <c r="BK16" s="1439">
        <v>8787</v>
      </c>
      <c r="BL16" s="1439">
        <v>10707</v>
      </c>
      <c r="BM16" s="1439">
        <v>10457</v>
      </c>
      <c r="BN16" s="1439">
        <v>8117</v>
      </c>
      <c r="BO16" s="1439">
        <v>7976</v>
      </c>
      <c r="BP16" s="1439">
        <v>7913</v>
      </c>
      <c r="BQ16" s="1439">
        <v>7970</v>
      </c>
      <c r="BR16" s="1439">
        <v>8173</v>
      </c>
      <c r="BS16" s="1439">
        <v>8216</v>
      </c>
      <c r="BT16" s="1439">
        <v>11936</v>
      </c>
      <c r="BU16" s="1439">
        <v>9578</v>
      </c>
      <c r="BV16" s="1439"/>
    </row>
    <row r="17" spans="1:74" s="351" customFormat="1">
      <c r="A17" s="1434">
        <f t="shared" ref="A17:A32" si="28">BS17/(AVERAGE(C17:D17))</f>
        <v>0.83927007299270073</v>
      </c>
      <c r="B17" s="1435" t="s">
        <v>1538</v>
      </c>
      <c r="C17" s="1435">
        <v>7000</v>
      </c>
      <c r="D17" s="1435">
        <v>6700</v>
      </c>
      <c r="E17" s="1436">
        <v>4549</v>
      </c>
      <c r="F17" s="1436">
        <v>4237</v>
      </c>
      <c r="G17" s="1436">
        <v>4167</v>
      </c>
      <c r="H17" s="1436">
        <v>3837</v>
      </c>
      <c r="I17" s="1436">
        <v>3850</v>
      </c>
      <c r="J17" s="1436">
        <v>3870</v>
      </c>
      <c r="K17" s="1436">
        <v>3858</v>
      </c>
      <c r="L17" s="1436">
        <v>3950</v>
      </c>
      <c r="M17" s="1436">
        <v>3983</v>
      </c>
      <c r="N17" s="1436">
        <v>4139</v>
      </c>
      <c r="O17" s="1436">
        <v>4493</v>
      </c>
      <c r="P17" s="1436">
        <v>4801</v>
      </c>
      <c r="Q17" s="1436">
        <v>4567</v>
      </c>
      <c r="R17" s="1436">
        <v>4666</v>
      </c>
      <c r="S17" s="1436">
        <v>5009</v>
      </c>
      <c r="T17" s="1436">
        <v>5149</v>
      </c>
      <c r="U17" s="1436">
        <v>5573</v>
      </c>
      <c r="V17" s="1436">
        <v>6026</v>
      </c>
      <c r="W17" s="1436">
        <v>6071</v>
      </c>
      <c r="X17" s="1436">
        <v>6241</v>
      </c>
      <c r="Y17" s="1436">
        <v>8021</v>
      </c>
      <c r="Z17" s="1436">
        <v>7378</v>
      </c>
      <c r="AA17" s="1436">
        <v>6766</v>
      </c>
      <c r="AB17" s="1436">
        <v>7238</v>
      </c>
      <c r="AC17" s="1436">
        <v>9096</v>
      </c>
      <c r="AD17" s="1436">
        <v>10633</v>
      </c>
      <c r="AE17" s="1436">
        <v>8594</v>
      </c>
      <c r="AF17" s="1436">
        <v>12253</v>
      </c>
      <c r="AG17" s="1436">
        <v>11632</v>
      </c>
      <c r="AH17" s="1437">
        <v>10252</v>
      </c>
      <c r="AI17" s="1438">
        <v>9612</v>
      </c>
      <c r="AJ17" s="1435">
        <v>8120</v>
      </c>
      <c r="AK17" s="1435">
        <v>9068</v>
      </c>
      <c r="AL17" s="1435">
        <v>6461</v>
      </c>
      <c r="AM17" s="1435">
        <v>7860</v>
      </c>
      <c r="AN17" s="1435">
        <v>7398</v>
      </c>
      <c r="AO17" s="358">
        <v>6886</v>
      </c>
      <c r="AP17" s="1435">
        <v>7015</v>
      </c>
      <c r="AQ17" s="1435">
        <v>6682</v>
      </c>
      <c r="AR17" s="1435">
        <v>6613</v>
      </c>
      <c r="AS17" s="1435">
        <v>6259</v>
      </c>
      <c r="AT17" s="1435">
        <v>6072</v>
      </c>
      <c r="AU17" s="1435">
        <v>6287</v>
      </c>
      <c r="AV17" s="1435">
        <v>6960</v>
      </c>
      <c r="AW17" s="1435">
        <v>6849</v>
      </c>
      <c r="AX17" s="1435">
        <v>6740</v>
      </c>
      <c r="AY17" s="1439">
        <v>6524</v>
      </c>
      <c r="AZ17" s="1439">
        <v>5984</v>
      </c>
      <c r="BA17" s="1439">
        <v>6074</v>
      </c>
      <c r="BB17" s="1439">
        <v>6008</v>
      </c>
      <c r="BC17" s="1439">
        <v>6328</v>
      </c>
      <c r="BD17" s="1439">
        <v>6326</v>
      </c>
      <c r="BE17" s="1439">
        <v>6537</v>
      </c>
      <c r="BF17" s="1439">
        <v>6546</v>
      </c>
      <c r="BG17" s="1439">
        <v>6458</v>
      </c>
      <c r="BH17" s="1439">
        <v>6211</v>
      </c>
      <c r="BI17" s="1439">
        <v>6369</v>
      </c>
      <c r="BJ17" s="1439">
        <v>6239</v>
      </c>
      <c r="BK17" s="1439">
        <v>6224</v>
      </c>
      <c r="BL17" s="1439">
        <v>5914</v>
      </c>
      <c r="BM17" s="1439">
        <v>5675</v>
      </c>
      <c r="BN17" s="1439">
        <v>5677</v>
      </c>
      <c r="BO17" s="1439">
        <v>5651</v>
      </c>
      <c r="BP17" s="1439">
        <v>5662</v>
      </c>
      <c r="BQ17" s="1439">
        <v>5717</v>
      </c>
      <c r="BR17" s="1439">
        <v>5709</v>
      </c>
      <c r="BS17" s="1439">
        <v>5749</v>
      </c>
      <c r="BT17" s="1439">
        <v>6282</v>
      </c>
      <c r="BU17" s="1439">
        <v>5660</v>
      </c>
      <c r="BV17" s="1439"/>
    </row>
    <row r="18" spans="1:74" s="351" customFormat="1">
      <c r="A18" s="1434">
        <f t="shared" si="28"/>
        <v>0.8383206106870229</v>
      </c>
      <c r="B18" s="1435" t="s">
        <v>1539</v>
      </c>
      <c r="C18" s="1435">
        <v>6700</v>
      </c>
      <c r="D18" s="1435">
        <v>6400</v>
      </c>
      <c r="E18" s="1436">
        <v>4350</v>
      </c>
      <c r="F18" s="1436">
        <v>4022</v>
      </c>
      <c r="G18" s="1436">
        <v>3936</v>
      </c>
      <c r="H18" s="1436">
        <v>3636</v>
      </c>
      <c r="I18" s="1436">
        <v>3667</v>
      </c>
      <c r="J18" s="1436">
        <v>3711</v>
      </c>
      <c r="K18" s="1436">
        <v>3699</v>
      </c>
      <c r="L18" s="1436">
        <v>3820</v>
      </c>
      <c r="M18" s="1436">
        <v>3883</v>
      </c>
      <c r="N18" s="1436">
        <v>3964</v>
      </c>
      <c r="O18" s="1436">
        <v>4295</v>
      </c>
      <c r="P18" s="1436">
        <v>4567</v>
      </c>
      <c r="Q18" s="1436">
        <v>4343</v>
      </c>
      <c r="R18" s="1436">
        <v>4473</v>
      </c>
      <c r="S18" s="1436">
        <v>4765</v>
      </c>
      <c r="T18" s="1436">
        <v>4910</v>
      </c>
      <c r="U18" s="1436">
        <v>5373</v>
      </c>
      <c r="V18" s="1436">
        <v>5833</v>
      </c>
      <c r="W18" s="1436">
        <v>5861</v>
      </c>
      <c r="X18" s="1436">
        <v>6172</v>
      </c>
      <c r="Y18" s="1436">
        <v>7799</v>
      </c>
      <c r="Z18" s="1436">
        <v>7256</v>
      </c>
      <c r="AA18" s="1436">
        <v>6735</v>
      </c>
      <c r="AB18" s="1436">
        <v>7185</v>
      </c>
      <c r="AC18" s="1436">
        <v>8791</v>
      </c>
      <c r="AD18" s="1436">
        <v>10292</v>
      </c>
      <c r="AE18" s="1436">
        <v>8347</v>
      </c>
      <c r="AF18" s="1436">
        <v>11853</v>
      </c>
      <c r="AG18" s="1436">
        <v>11279</v>
      </c>
      <c r="AH18" s="1437">
        <v>9881</v>
      </c>
      <c r="AI18" s="1438">
        <v>9239</v>
      </c>
      <c r="AJ18" s="1435">
        <v>7784</v>
      </c>
      <c r="AK18" s="1435">
        <v>8728</v>
      </c>
      <c r="AL18" s="1435">
        <v>6247</v>
      </c>
      <c r="AM18" s="1435">
        <v>7586</v>
      </c>
      <c r="AN18" s="1435">
        <v>7080</v>
      </c>
      <c r="AO18" s="358">
        <v>6561</v>
      </c>
      <c r="AP18" s="1435">
        <v>6683</v>
      </c>
      <c r="AQ18" s="1435">
        <v>6324</v>
      </c>
      <c r="AR18" s="1435">
        <v>6330</v>
      </c>
      <c r="AS18" s="1435">
        <v>5987</v>
      </c>
      <c r="AT18" s="1435">
        <v>5887</v>
      </c>
      <c r="AU18" s="1435">
        <v>5976</v>
      </c>
      <c r="AV18" s="1435">
        <v>6588</v>
      </c>
      <c r="AW18" s="1435">
        <v>6495</v>
      </c>
      <c r="AX18" s="1435">
        <v>6426</v>
      </c>
      <c r="AY18" s="1439">
        <v>6202</v>
      </c>
      <c r="AZ18" s="1439">
        <v>5754</v>
      </c>
      <c r="BA18" s="1439">
        <v>5779</v>
      </c>
      <c r="BB18" s="1439">
        <v>5730</v>
      </c>
      <c r="BC18" s="1439">
        <v>6057</v>
      </c>
      <c r="BD18" s="1439">
        <v>6062</v>
      </c>
      <c r="BE18" s="1439">
        <v>6203</v>
      </c>
      <c r="BF18" s="1439">
        <v>6246</v>
      </c>
      <c r="BG18" s="1439">
        <v>6190</v>
      </c>
      <c r="BH18" s="1439">
        <v>5947</v>
      </c>
      <c r="BI18" s="1439">
        <v>6076</v>
      </c>
      <c r="BJ18" s="1439">
        <v>5912</v>
      </c>
      <c r="BK18" s="1439">
        <v>5997</v>
      </c>
      <c r="BL18" s="1439">
        <v>5675</v>
      </c>
      <c r="BM18" s="1439">
        <v>5401</v>
      </c>
      <c r="BN18" s="1439">
        <v>5381</v>
      </c>
      <c r="BO18" s="1439">
        <v>5406</v>
      </c>
      <c r="BP18" s="1439">
        <v>5401</v>
      </c>
      <c r="BQ18" s="1439">
        <v>5455</v>
      </c>
      <c r="BR18" s="1439">
        <v>5437</v>
      </c>
      <c r="BS18" s="1439">
        <v>5491</v>
      </c>
      <c r="BT18" s="1439">
        <v>5913</v>
      </c>
      <c r="BU18" s="1439">
        <v>5304</v>
      </c>
      <c r="BV18" s="1439"/>
    </row>
    <row r="19" spans="1:74" s="351" customFormat="1">
      <c r="A19" s="1434">
        <f t="shared" si="28"/>
        <v>0.85887999999999998</v>
      </c>
      <c r="B19" s="1435" t="s">
        <v>1540</v>
      </c>
      <c r="C19" s="1435">
        <v>6400</v>
      </c>
      <c r="D19" s="1435">
        <v>6100</v>
      </c>
      <c r="E19" s="1436">
        <v>4401</v>
      </c>
      <c r="F19" s="1436">
        <v>3934</v>
      </c>
      <c r="G19" s="1436">
        <v>3848</v>
      </c>
      <c r="H19" s="1436">
        <v>3525</v>
      </c>
      <c r="I19" s="1436">
        <v>3617</v>
      </c>
      <c r="J19" s="1436">
        <v>3618</v>
      </c>
      <c r="K19" s="1436">
        <v>3608</v>
      </c>
      <c r="L19" s="1436">
        <v>3716</v>
      </c>
      <c r="M19" s="1436">
        <v>3773</v>
      </c>
      <c r="N19" s="1436">
        <v>3959</v>
      </c>
      <c r="O19" s="1436">
        <v>4245</v>
      </c>
      <c r="P19" s="1436">
        <v>4517</v>
      </c>
      <c r="Q19" s="1436">
        <v>4241</v>
      </c>
      <c r="R19" s="1436">
        <v>4373</v>
      </c>
      <c r="S19" s="1436">
        <v>4696</v>
      </c>
      <c r="T19" s="1436">
        <v>4906</v>
      </c>
      <c r="U19" s="1436">
        <v>5466</v>
      </c>
      <c r="V19" s="1436">
        <v>6042</v>
      </c>
      <c r="W19" s="1436">
        <v>5873</v>
      </c>
      <c r="X19" s="1436">
        <v>6767</v>
      </c>
      <c r="Y19" s="1436">
        <v>8011</v>
      </c>
      <c r="Z19" s="1436">
        <v>7713</v>
      </c>
      <c r="AA19" s="1436">
        <v>7570</v>
      </c>
      <c r="AB19" s="1436">
        <v>8000</v>
      </c>
      <c r="AC19" s="1436">
        <v>9519</v>
      </c>
      <c r="AD19" s="1436">
        <v>11098</v>
      </c>
      <c r="AE19" s="1436">
        <v>9261</v>
      </c>
      <c r="AF19" s="1436">
        <v>12375</v>
      </c>
      <c r="AG19" s="1436">
        <v>11833</v>
      </c>
      <c r="AH19" s="1437">
        <v>10475</v>
      </c>
      <c r="AI19" s="1438">
        <v>9734</v>
      </c>
      <c r="AJ19" s="1435">
        <v>8489</v>
      </c>
      <c r="AK19" s="1435">
        <v>9247</v>
      </c>
      <c r="AL19" s="1435">
        <v>6757</v>
      </c>
      <c r="AM19" s="1435">
        <v>7933</v>
      </c>
      <c r="AN19" s="1435">
        <v>7347</v>
      </c>
      <c r="AO19" s="358">
        <v>6972</v>
      </c>
      <c r="AP19" s="1435">
        <v>7012</v>
      </c>
      <c r="AQ19" s="1435">
        <v>6376</v>
      </c>
      <c r="AR19" s="1435">
        <v>6229</v>
      </c>
      <c r="AS19" s="1435">
        <v>5957</v>
      </c>
      <c r="AT19" s="1435">
        <v>5863</v>
      </c>
      <c r="AU19" s="1435">
        <v>6026</v>
      </c>
      <c r="AV19" s="1435">
        <v>6586</v>
      </c>
      <c r="AW19" s="1435">
        <v>6512</v>
      </c>
      <c r="AX19" s="1435">
        <v>6393</v>
      </c>
      <c r="AY19" s="1439">
        <v>6141</v>
      </c>
      <c r="AZ19" s="1439">
        <v>5657</v>
      </c>
      <c r="BA19" s="1439">
        <v>4708</v>
      </c>
      <c r="BB19" s="1439">
        <v>5639</v>
      </c>
      <c r="BC19" s="1439">
        <v>6058</v>
      </c>
      <c r="BD19" s="1439">
        <v>5925</v>
      </c>
      <c r="BE19" s="1439">
        <v>6172</v>
      </c>
      <c r="BF19" s="1439">
        <v>6186</v>
      </c>
      <c r="BG19" s="1439">
        <v>6134</v>
      </c>
      <c r="BH19" s="1439">
        <v>5929</v>
      </c>
      <c r="BI19" s="1439">
        <v>6034</v>
      </c>
      <c r="BJ19" s="1439">
        <v>5873</v>
      </c>
      <c r="BK19" s="1439">
        <v>5996</v>
      </c>
      <c r="BL19" s="1439">
        <v>5660</v>
      </c>
      <c r="BM19" s="1439">
        <v>5396</v>
      </c>
      <c r="BN19" s="1439">
        <v>5352</v>
      </c>
      <c r="BO19" s="1439">
        <v>5283</v>
      </c>
      <c r="BP19" s="1439">
        <v>5275</v>
      </c>
      <c r="BQ19" s="1439">
        <v>5352</v>
      </c>
      <c r="BR19" s="1439">
        <v>5350</v>
      </c>
      <c r="BS19" s="1439">
        <v>5368</v>
      </c>
      <c r="BT19" s="1439">
        <v>5810</v>
      </c>
      <c r="BU19" s="1439">
        <v>5283</v>
      </c>
      <c r="BV19" s="1439"/>
    </row>
    <row r="20" spans="1:74" s="351" customFormat="1">
      <c r="A20" s="1434">
        <f t="shared" si="28"/>
        <v>0.87008403361344533</v>
      </c>
      <c r="B20" s="1435" t="s">
        <v>1541</v>
      </c>
      <c r="C20" s="1435">
        <v>6100</v>
      </c>
      <c r="D20" s="1435">
        <v>5800</v>
      </c>
      <c r="E20" s="1436">
        <v>4042</v>
      </c>
      <c r="F20" s="1436">
        <v>3772</v>
      </c>
      <c r="G20" s="1436">
        <v>3612</v>
      </c>
      <c r="H20" s="1436">
        <v>3358</v>
      </c>
      <c r="I20" s="1436">
        <v>3371</v>
      </c>
      <c r="J20" s="1436">
        <v>3371</v>
      </c>
      <c r="K20" s="1436">
        <v>3308</v>
      </c>
      <c r="L20" s="1436">
        <v>3512</v>
      </c>
      <c r="M20" s="1436">
        <v>3602</v>
      </c>
      <c r="N20" s="1436">
        <v>3748</v>
      </c>
      <c r="O20" s="1436">
        <v>3966</v>
      </c>
      <c r="P20" s="1436">
        <v>4322</v>
      </c>
      <c r="Q20" s="1436">
        <v>4055</v>
      </c>
      <c r="R20" s="1436">
        <v>4166</v>
      </c>
      <c r="S20" s="1436">
        <v>4467</v>
      </c>
      <c r="T20" s="1436">
        <v>4556</v>
      </c>
      <c r="U20" s="1436">
        <v>5026</v>
      </c>
      <c r="V20" s="1436">
        <v>5614</v>
      </c>
      <c r="W20" s="1436">
        <v>5693</v>
      </c>
      <c r="X20" s="1436">
        <v>6246</v>
      </c>
      <c r="Y20" s="1436">
        <v>7430</v>
      </c>
      <c r="Z20" s="1436">
        <v>6941</v>
      </c>
      <c r="AA20" s="1436">
        <v>6831</v>
      </c>
      <c r="AB20" s="1436">
        <v>7253</v>
      </c>
      <c r="AC20" s="1436">
        <v>8856</v>
      </c>
      <c r="AD20" s="1436">
        <v>10479</v>
      </c>
      <c r="AE20" s="1436">
        <v>8512</v>
      </c>
      <c r="AF20" s="1436">
        <v>11464</v>
      </c>
      <c r="AG20" s="1436">
        <v>11100</v>
      </c>
      <c r="AH20" s="1437">
        <v>9788</v>
      </c>
      <c r="AI20" s="1438">
        <v>9168</v>
      </c>
      <c r="AJ20" s="1435">
        <v>7821</v>
      </c>
      <c r="AK20" s="1435">
        <v>8542</v>
      </c>
      <c r="AL20" s="1435">
        <v>6265</v>
      </c>
      <c r="AM20" s="1435">
        <v>7640</v>
      </c>
      <c r="AN20" s="1435">
        <v>6916</v>
      </c>
      <c r="AO20" s="358">
        <v>6471</v>
      </c>
      <c r="AP20" s="1435">
        <v>6477</v>
      </c>
      <c r="AQ20" s="1435">
        <v>6024</v>
      </c>
      <c r="AR20" s="1435">
        <v>6031</v>
      </c>
      <c r="AS20" s="1435">
        <v>5667</v>
      </c>
      <c r="AT20" s="1435">
        <v>5617</v>
      </c>
      <c r="AU20" s="1435">
        <v>5814</v>
      </c>
      <c r="AV20" s="1435">
        <v>6420</v>
      </c>
      <c r="AW20" s="1435">
        <v>6217</v>
      </c>
      <c r="AX20" s="1435">
        <v>6139</v>
      </c>
      <c r="AY20" s="1439">
        <v>5936</v>
      </c>
      <c r="AZ20" s="1439">
        <v>5671</v>
      </c>
      <c r="BA20" s="1439">
        <v>5606</v>
      </c>
      <c r="BB20" s="1439">
        <v>5507</v>
      </c>
      <c r="BC20" s="1439">
        <v>5811</v>
      </c>
      <c r="BD20" s="1439">
        <v>5779</v>
      </c>
      <c r="BE20" s="1439">
        <v>5896</v>
      </c>
      <c r="BF20" s="1439">
        <v>5987</v>
      </c>
      <c r="BG20" s="1439">
        <v>5969</v>
      </c>
      <c r="BH20" s="1439">
        <v>5712</v>
      </c>
      <c r="BI20" s="1439">
        <v>5799</v>
      </c>
      <c r="BJ20" s="1439">
        <v>5633</v>
      </c>
      <c r="BK20" s="1439">
        <v>5777</v>
      </c>
      <c r="BL20" s="1439">
        <v>5419</v>
      </c>
      <c r="BM20" s="1439">
        <v>5151</v>
      </c>
      <c r="BN20" s="1439">
        <v>5174</v>
      </c>
      <c r="BO20" s="1439">
        <v>5169</v>
      </c>
      <c r="BP20" s="1439">
        <v>5222</v>
      </c>
      <c r="BQ20" s="1439">
        <v>5211</v>
      </c>
      <c r="BR20" s="1439">
        <v>5205</v>
      </c>
      <c r="BS20" s="1439">
        <v>5177</v>
      </c>
      <c r="BT20" s="1439">
        <v>5585</v>
      </c>
      <c r="BU20" s="1439">
        <v>5107</v>
      </c>
      <c r="BV20" s="1439"/>
    </row>
    <row r="21" spans="1:74" s="351" customFormat="1">
      <c r="A21" s="1434">
        <f t="shared" si="28"/>
        <v>0.81893805309734513</v>
      </c>
      <c r="B21" s="1435" t="s">
        <v>1542</v>
      </c>
      <c r="C21" s="1435">
        <v>5800</v>
      </c>
      <c r="D21" s="1435">
        <v>5500</v>
      </c>
      <c r="E21" s="1436">
        <v>3651</v>
      </c>
      <c r="F21" s="1436">
        <v>3476</v>
      </c>
      <c r="G21" s="1436">
        <v>3370</v>
      </c>
      <c r="H21" s="1436">
        <v>3154</v>
      </c>
      <c r="I21" s="1436">
        <v>3039</v>
      </c>
      <c r="J21" s="1436">
        <v>3089</v>
      </c>
      <c r="K21" s="1436">
        <v>3044</v>
      </c>
      <c r="L21" s="1436">
        <v>3108</v>
      </c>
      <c r="M21" s="1436">
        <v>3289</v>
      </c>
      <c r="N21" s="1436">
        <v>3576</v>
      </c>
      <c r="O21" s="1436">
        <v>3728</v>
      </c>
      <c r="P21" s="1436">
        <v>4029</v>
      </c>
      <c r="Q21" s="1436">
        <v>3753</v>
      </c>
      <c r="R21" s="1436">
        <v>3760</v>
      </c>
      <c r="S21" s="1436">
        <v>4035</v>
      </c>
      <c r="T21" s="1436">
        <v>4291</v>
      </c>
      <c r="U21" s="1436">
        <v>4697</v>
      </c>
      <c r="V21" s="1436">
        <v>5126</v>
      </c>
      <c r="W21" s="1436">
        <v>4929</v>
      </c>
      <c r="X21" s="1436">
        <v>6276</v>
      </c>
      <c r="Y21" s="1436">
        <v>6943</v>
      </c>
      <c r="Z21" s="1436">
        <v>6505</v>
      </c>
      <c r="AA21" s="1436">
        <v>6012</v>
      </c>
      <c r="AB21" s="1436">
        <v>6969</v>
      </c>
      <c r="AC21" s="1436">
        <v>8402</v>
      </c>
      <c r="AD21" s="1436">
        <v>9460</v>
      </c>
      <c r="AE21" s="1436">
        <v>7644</v>
      </c>
      <c r="AF21" s="1436">
        <v>11065</v>
      </c>
      <c r="AG21" s="1436">
        <v>10246</v>
      </c>
      <c r="AH21" s="1437">
        <v>8986</v>
      </c>
      <c r="AI21" s="1438">
        <v>8548</v>
      </c>
      <c r="AJ21" s="1435">
        <v>7338</v>
      </c>
      <c r="AK21" s="1435">
        <v>7642</v>
      </c>
      <c r="AL21" s="1435">
        <v>5554</v>
      </c>
      <c r="AM21" s="1435">
        <v>6725</v>
      </c>
      <c r="AN21" s="1435">
        <v>6166</v>
      </c>
      <c r="AO21" s="358">
        <v>5735</v>
      </c>
      <c r="AP21" s="1435">
        <v>5975</v>
      </c>
      <c r="AQ21" s="1435">
        <v>5650</v>
      </c>
      <c r="AR21" s="1435">
        <v>5354</v>
      </c>
      <c r="AS21" s="1435">
        <v>5151</v>
      </c>
      <c r="AT21" s="1435">
        <v>5121</v>
      </c>
      <c r="AU21" s="1435">
        <v>5444</v>
      </c>
      <c r="AV21" s="1435">
        <v>5787</v>
      </c>
      <c r="AW21" s="1435">
        <v>5586</v>
      </c>
      <c r="AX21" s="1435">
        <v>5497</v>
      </c>
      <c r="AY21" s="1439">
        <v>5292</v>
      </c>
      <c r="AZ21" s="1439">
        <v>4832</v>
      </c>
      <c r="BA21" s="1439">
        <v>4935</v>
      </c>
      <c r="BB21" s="1439">
        <v>5146</v>
      </c>
      <c r="BC21" s="1439">
        <v>2578</v>
      </c>
      <c r="BD21" s="1439">
        <v>5113</v>
      </c>
      <c r="BE21" s="1439">
        <v>5331</v>
      </c>
      <c r="BF21" s="1439">
        <v>5363</v>
      </c>
      <c r="BG21" s="1439">
        <v>5346</v>
      </c>
      <c r="BH21" s="1439">
        <v>5185</v>
      </c>
      <c r="BI21" s="1439">
        <v>5259</v>
      </c>
      <c r="BJ21" s="1439">
        <v>5013</v>
      </c>
      <c r="BK21" s="1439">
        <v>5107</v>
      </c>
      <c r="BL21" s="1439">
        <v>4865</v>
      </c>
      <c r="BM21" s="1439">
        <v>4618</v>
      </c>
      <c r="BN21" s="1439">
        <v>4635</v>
      </c>
      <c r="BO21" s="1439">
        <v>4544</v>
      </c>
      <c r="BP21" s="1439">
        <v>4517</v>
      </c>
      <c r="BQ21" s="1439">
        <v>4631</v>
      </c>
      <c r="BR21" s="1439">
        <v>4632</v>
      </c>
      <c r="BS21" s="1439">
        <v>4627</v>
      </c>
      <c r="BT21" s="1439">
        <v>5022</v>
      </c>
      <c r="BU21" s="1439">
        <v>4524</v>
      </c>
      <c r="BV21" s="1439"/>
    </row>
    <row r="22" spans="1:74" s="351" customFormat="1">
      <c r="A22" s="1434">
        <f t="shared" si="28"/>
        <v>0.58990654205607473</v>
      </c>
      <c r="B22" s="1435" t="s">
        <v>1543</v>
      </c>
      <c r="C22" s="1435">
        <v>5500</v>
      </c>
      <c r="D22" s="1435">
        <v>5200</v>
      </c>
      <c r="E22" s="1436">
        <v>2619</v>
      </c>
      <c r="F22" s="1436">
        <v>2591</v>
      </c>
      <c r="G22" s="1436">
        <v>2595</v>
      </c>
      <c r="H22" s="1436">
        <v>2495</v>
      </c>
      <c r="I22" s="1436">
        <v>2490</v>
      </c>
      <c r="J22" s="1436">
        <v>2452</v>
      </c>
      <c r="K22" s="1436">
        <v>2448</v>
      </c>
      <c r="L22" s="1436">
        <v>2473</v>
      </c>
      <c r="M22" s="1436">
        <v>2551</v>
      </c>
      <c r="N22" s="1436">
        <v>2571</v>
      </c>
      <c r="O22" s="1436">
        <v>2633</v>
      </c>
      <c r="P22" s="1436">
        <v>2737</v>
      </c>
      <c r="Q22" s="1436">
        <v>2786</v>
      </c>
      <c r="R22" s="1436">
        <v>2725</v>
      </c>
      <c r="S22" s="1436">
        <v>2783</v>
      </c>
      <c r="T22" s="1436">
        <v>2803</v>
      </c>
      <c r="U22" s="1436">
        <v>2932</v>
      </c>
      <c r="V22" s="1436">
        <v>2961</v>
      </c>
      <c r="W22" s="1436">
        <v>3248</v>
      </c>
      <c r="X22" s="1436">
        <v>3236</v>
      </c>
      <c r="Y22" s="1436">
        <v>3658</v>
      </c>
      <c r="Z22" s="1436">
        <v>3648</v>
      </c>
      <c r="AA22" s="1436">
        <v>3375</v>
      </c>
      <c r="AB22" s="1436">
        <v>3281</v>
      </c>
      <c r="AC22" s="1436">
        <v>4006</v>
      </c>
      <c r="AD22" s="1436">
        <v>4396</v>
      </c>
      <c r="AE22" s="1436">
        <v>4721</v>
      </c>
      <c r="AF22" s="1436">
        <v>4622</v>
      </c>
      <c r="AG22" s="1436">
        <v>4431</v>
      </c>
      <c r="AH22" s="1437">
        <v>4447</v>
      </c>
      <c r="AI22" s="1438">
        <v>4130</v>
      </c>
      <c r="AJ22" s="1435">
        <v>4006</v>
      </c>
      <c r="AK22" s="1435">
        <v>4085</v>
      </c>
      <c r="AL22" s="1435">
        <v>3738</v>
      </c>
      <c r="AM22" s="1435">
        <v>3731</v>
      </c>
      <c r="AN22" s="1435">
        <v>3652</v>
      </c>
      <c r="AO22" s="358">
        <v>3564</v>
      </c>
      <c r="AP22" s="1435">
        <v>3640</v>
      </c>
      <c r="AQ22" s="1435">
        <v>3439</v>
      </c>
      <c r="AR22" s="1435">
        <v>3443</v>
      </c>
      <c r="AS22" s="1435">
        <v>3316</v>
      </c>
      <c r="AT22" s="1435">
        <v>3331</v>
      </c>
      <c r="AU22" s="1435">
        <v>3413</v>
      </c>
      <c r="AV22" s="1435">
        <v>3397</v>
      </c>
      <c r="AW22" s="1435">
        <v>3415</v>
      </c>
      <c r="AX22" s="1435">
        <v>3410</v>
      </c>
      <c r="AY22" s="1439">
        <v>3445</v>
      </c>
      <c r="AZ22" s="1439">
        <v>3378</v>
      </c>
      <c r="BA22" s="1439">
        <v>3419</v>
      </c>
      <c r="BB22" s="1439">
        <v>3393</v>
      </c>
      <c r="BC22" s="1439">
        <v>3380</v>
      </c>
      <c r="BD22" s="1439">
        <v>3349</v>
      </c>
      <c r="BE22" s="1439">
        <v>3304</v>
      </c>
      <c r="BF22" s="1439">
        <v>3313</v>
      </c>
      <c r="BG22" s="1439">
        <v>3323</v>
      </c>
      <c r="BH22" s="1439">
        <v>3301</v>
      </c>
      <c r="BI22" s="1439">
        <v>3301</v>
      </c>
      <c r="BJ22" s="1439">
        <v>3226</v>
      </c>
      <c r="BK22" s="1439">
        <v>3255</v>
      </c>
      <c r="BL22" s="1439">
        <v>3305</v>
      </c>
      <c r="BM22" s="1439">
        <v>3237</v>
      </c>
      <c r="BN22" s="1439">
        <v>3242</v>
      </c>
      <c r="BO22" s="1439">
        <v>3239</v>
      </c>
      <c r="BP22" s="1439">
        <v>3236</v>
      </c>
      <c r="BQ22" s="1439">
        <v>3207</v>
      </c>
      <c r="BR22" s="1439">
        <v>3178</v>
      </c>
      <c r="BS22" s="1439">
        <v>3156</v>
      </c>
      <c r="BT22" s="1439">
        <v>3268</v>
      </c>
      <c r="BU22" s="1439">
        <v>3199</v>
      </c>
      <c r="BV22" s="1439"/>
    </row>
    <row r="23" spans="1:74" s="351" customFormat="1">
      <c r="A23" s="1434">
        <f t="shared" si="28"/>
        <v>0.56950495049504946</v>
      </c>
      <c r="B23" s="1435" t="s">
        <v>1544</v>
      </c>
      <c r="C23" s="1435">
        <v>5200</v>
      </c>
      <c r="D23" s="1435">
        <v>4900</v>
      </c>
      <c r="E23" s="1436">
        <v>2485</v>
      </c>
      <c r="F23" s="1436">
        <v>2428</v>
      </c>
      <c r="G23" s="1436">
        <v>2436</v>
      </c>
      <c r="H23" s="1436">
        <v>2327</v>
      </c>
      <c r="I23" s="1436">
        <v>2304</v>
      </c>
      <c r="J23" s="1436">
        <v>2314</v>
      </c>
      <c r="K23" s="1436">
        <v>2278</v>
      </c>
      <c r="L23" s="1436">
        <v>2349</v>
      </c>
      <c r="M23" s="1436">
        <v>2394</v>
      </c>
      <c r="N23" s="1436">
        <v>2366</v>
      </c>
      <c r="O23" s="1436">
        <v>2443</v>
      </c>
      <c r="P23" s="1436">
        <v>2478</v>
      </c>
      <c r="Q23" s="1436">
        <v>2527</v>
      </c>
      <c r="R23" s="1436">
        <v>2545</v>
      </c>
      <c r="S23" s="1436">
        <v>2622</v>
      </c>
      <c r="T23" s="1436">
        <v>2658</v>
      </c>
      <c r="U23" s="1436">
        <v>2760</v>
      </c>
      <c r="V23" s="1436">
        <v>2787</v>
      </c>
      <c r="W23" s="1436">
        <v>2972</v>
      </c>
      <c r="X23" s="1436">
        <v>3013</v>
      </c>
      <c r="Y23" s="1436">
        <v>3304</v>
      </c>
      <c r="Z23" s="1436">
        <v>3455</v>
      </c>
      <c r="AA23" s="1436">
        <v>3085</v>
      </c>
      <c r="AB23" s="1436">
        <v>3008</v>
      </c>
      <c r="AC23" s="1436">
        <v>3790</v>
      </c>
      <c r="AD23" s="1436">
        <v>4274</v>
      </c>
      <c r="AE23" s="1436">
        <v>4552</v>
      </c>
      <c r="AF23" s="1436">
        <v>4397</v>
      </c>
      <c r="AG23" s="1436">
        <v>4279</v>
      </c>
      <c r="AH23" s="1437">
        <v>4360</v>
      </c>
      <c r="AI23" s="1438">
        <v>3977</v>
      </c>
      <c r="AJ23" s="1435">
        <v>3878</v>
      </c>
      <c r="AK23" s="1435">
        <v>3900</v>
      </c>
      <c r="AL23" s="1435">
        <v>3503</v>
      </c>
      <c r="AM23" s="1435">
        <v>3537</v>
      </c>
      <c r="AN23" s="1435">
        <v>3552</v>
      </c>
      <c r="AO23" s="358">
        <v>3429</v>
      </c>
      <c r="AP23" s="1435">
        <v>3406</v>
      </c>
      <c r="AQ23" s="1435">
        <v>3275</v>
      </c>
      <c r="AR23" s="1435">
        <v>3224</v>
      </c>
      <c r="AS23" s="1435">
        <v>3153</v>
      </c>
      <c r="AT23" s="1435">
        <v>3120</v>
      </c>
      <c r="AU23" s="1435">
        <v>3237</v>
      </c>
      <c r="AV23" s="1435">
        <v>3259</v>
      </c>
      <c r="AW23" s="1435">
        <v>3262</v>
      </c>
      <c r="AX23" s="1435">
        <v>3239</v>
      </c>
      <c r="AY23" s="1439">
        <v>3226</v>
      </c>
      <c r="AZ23" s="1439">
        <v>3111</v>
      </c>
      <c r="BA23" s="1439">
        <v>3210</v>
      </c>
      <c r="BB23" s="1439">
        <v>3200</v>
      </c>
      <c r="BC23" s="1439">
        <v>3176</v>
      </c>
      <c r="BD23" s="1439">
        <v>3184</v>
      </c>
      <c r="BE23" s="1439">
        <v>3106</v>
      </c>
      <c r="BF23" s="1439">
        <v>3142</v>
      </c>
      <c r="BG23" s="1439">
        <v>3173</v>
      </c>
      <c r="BH23" s="1439">
        <v>3122</v>
      </c>
      <c r="BI23" s="1439">
        <v>3129</v>
      </c>
      <c r="BJ23" s="1439">
        <v>3025</v>
      </c>
      <c r="BK23" s="1439">
        <v>3078</v>
      </c>
      <c r="BL23" s="1439">
        <v>3108</v>
      </c>
      <c r="BM23" s="1439">
        <v>3051</v>
      </c>
      <c r="BN23" s="1439">
        <v>3074</v>
      </c>
      <c r="BO23" s="1439">
        <v>3068</v>
      </c>
      <c r="BP23" s="1439">
        <v>3053</v>
      </c>
      <c r="BQ23" s="1439">
        <v>3018</v>
      </c>
      <c r="BR23" s="1439">
        <v>2987</v>
      </c>
      <c r="BS23" s="1439">
        <v>2876</v>
      </c>
      <c r="BT23" s="1439">
        <v>3009</v>
      </c>
      <c r="BU23" s="1439">
        <v>2939</v>
      </c>
      <c r="BV23" s="1439"/>
    </row>
    <row r="24" spans="1:74" s="351" customFormat="1">
      <c r="A24" s="1434">
        <f t="shared" si="28"/>
        <v>0.52063157894736845</v>
      </c>
      <c r="B24" s="1435" t="s">
        <v>1545</v>
      </c>
      <c r="C24" s="1435">
        <v>4900</v>
      </c>
      <c r="D24" s="1435">
        <v>4600</v>
      </c>
      <c r="E24" s="1436">
        <v>2154</v>
      </c>
      <c r="F24" s="1436">
        <v>2081</v>
      </c>
      <c r="G24" s="1436">
        <v>2056</v>
      </c>
      <c r="H24" s="1436">
        <v>1975</v>
      </c>
      <c r="I24" s="1436">
        <v>1967</v>
      </c>
      <c r="J24" s="1436">
        <v>1936</v>
      </c>
      <c r="K24" s="1436">
        <v>1965</v>
      </c>
      <c r="L24" s="1436">
        <v>1977</v>
      </c>
      <c r="M24" s="1436">
        <v>1987</v>
      </c>
      <c r="N24" s="1436">
        <v>2042</v>
      </c>
      <c r="O24" s="1436">
        <v>2102</v>
      </c>
      <c r="P24" s="1436">
        <v>2140</v>
      </c>
      <c r="Q24" s="1436">
        <v>2208</v>
      </c>
      <c r="R24" s="1436">
        <v>2211</v>
      </c>
      <c r="S24" s="1436">
        <v>2231</v>
      </c>
      <c r="T24" s="1436">
        <v>2248</v>
      </c>
      <c r="U24" s="1436">
        <v>2376</v>
      </c>
      <c r="V24" s="1436">
        <v>2422</v>
      </c>
      <c r="W24" s="1436">
        <v>2579</v>
      </c>
      <c r="X24" s="1436">
        <v>2625</v>
      </c>
      <c r="Y24" s="1436">
        <v>3073</v>
      </c>
      <c r="Z24" s="1436">
        <v>3066</v>
      </c>
      <c r="AA24" s="1436">
        <v>2823</v>
      </c>
      <c r="AB24" s="1436">
        <v>2981</v>
      </c>
      <c r="AC24" s="1436">
        <v>3379</v>
      </c>
      <c r="AD24" s="1436">
        <v>3786</v>
      </c>
      <c r="AE24" s="1436">
        <v>4056</v>
      </c>
      <c r="AF24" s="1436">
        <v>3986</v>
      </c>
      <c r="AG24" s="1436">
        <v>3899</v>
      </c>
      <c r="AH24" s="1437">
        <v>3833</v>
      </c>
      <c r="AI24" s="1438">
        <v>3574</v>
      </c>
      <c r="AJ24" s="1435">
        <v>3424</v>
      </c>
      <c r="AK24" s="1435">
        <v>3487</v>
      </c>
      <c r="AL24" s="1435">
        <v>3140</v>
      </c>
      <c r="AM24" s="1435">
        <v>3067</v>
      </c>
      <c r="AN24" s="1435">
        <v>3204</v>
      </c>
      <c r="AO24" s="358">
        <v>2974</v>
      </c>
      <c r="AP24" s="1435">
        <v>2982</v>
      </c>
      <c r="AQ24" s="1435">
        <v>2958</v>
      </c>
      <c r="AR24" s="1435">
        <v>2798</v>
      </c>
      <c r="AS24" s="1435">
        <v>2824</v>
      </c>
      <c r="AT24" s="1435">
        <v>2731</v>
      </c>
      <c r="AU24" s="1435">
        <v>2791</v>
      </c>
      <c r="AV24" s="1435">
        <v>2851</v>
      </c>
      <c r="AW24" s="1435">
        <v>2810</v>
      </c>
      <c r="AX24" s="1435">
        <v>2834</v>
      </c>
      <c r="AY24" s="1439">
        <v>2854</v>
      </c>
      <c r="AZ24" s="1439">
        <v>2711</v>
      </c>
      <c r="BA24" s="1439">
        <v>2767</v>
      </c>
      <c r="BB24" s="1439">
        <v>2774</v>
      </c>
      <c r="BC24" s="1439">
        <v>2757</v>
      </c>
      <c r="BD24" s="1439">
        <v>2757</v>
      </c>
      <c r="BE24" s="1439">
        <v>2720</v>
      </c>
      <c r="BF24" s="1439">
        <v>2731</v>
      </c>
      <c r="BG24" s="1439">
        <v>2726</v>
      </c>
      <c r="BH24" s="1439">
        <v>2728</v>
      </c>
      <c r="BI24" s="1439">
        <v>2755</v>
      </c>
      <c r="BJ24" s="1439">
        <v>2627</v>
      </c>
      <c r="BK24" s="1439">
        <v>2679</v>
      </c>
      <c r="BL24" s="1439">
        <v>2681</v>
      </c>
      <c r="BM24" s="1439">
        <v>2658</v>
      </c>
      <c r="BN24" s="1439">
        <v>2684</v>
      </c>
      <c r="BO24" s="1439">
        <v>2642</v>
      </c>
      <c r="BP24" s="1439">
        <v>2672</v>
      </c>
      <c r="BQ24" s="1439">
        <v>2620</v>
      </c>
      <c r="BR24" s="1439">
        <v>2623</v>
      </c>
      <c r="BS24" s="1439">
        <v>2473</v>
      </c>
      <c r="BT24" s="1439">
        <v>2641</v>
      </c>
      <c r="BU24" s="1439">
        <v>2544</v>
      </c>
      <c r="BV24" s="1439"/>
    </row>
    <row r="25" spans="1:74" s="351" customFormat="1">
      <c r="A25" s="1434">
        <f t="shared" si="28"/>
        <v>0.51617977528089887</v>
      </c>
      <c r="B25" s="1435" t="s">
        <v>1546</v>
      </c>
      <c r="C25" s="1435">
        <v>4600</v>
      </c>
      <c r="D25" s="1435">
        <v>4300</v>
      </c>
      <c r="E25" s="1436">
        <v>1975</v>
      </c>
      <c r="F25" s="1436">
        <v>1828</v>
      </c>
      <c r="G25" s="1436">
        <v>1855</v>
      </c>
      <c r="H25" s="1436">
        <v>1726</v>
      </c>
      <c r="I25" s="1436">
        <v>1781</v>
      </c>
      <c r="J25" s="1436">
        <v>1728</v>
      </c>
      <c r="K25" s="1436">
        <v>1676</v>
      </c>
      <c r="L25" s="1436">
        <v>1769</v>
      </c>
      <c r="M25" s="1436">
        <v>1871</v>
      </c>
      <c r="N25" s="1436">
        <v>1795</v>
      </c>
      <c r="O25" s="1436">
        <v>1883</v>
      </c>
      <c r="P25" s="1436">
        <v>1881</v>
      </c>
      <c r="Q25" s="1436">
        <v>1925</v>
      </c>
      <c r="R25" s="1436">
        <v>2011</v>
      </c>
      <c r="S25" s="1436">
        <v>1981</v>
      </c>
      <c r="T25" s="1436">
        <v>1969</v>
      </c>
      <c r="U25" s="1436">
        <v>2181</v>
      </c>
      <c r="V25" s="1436">
        <v>2207</v>
      </c>
      <c r="W25" s="1436">
        <v>2461</v>
      </c>
      <c r="X25" s="1436">
        <v>2481</v>
      </c>
      <c r="Y25" s="1436">
        <v>2653</v>
      </c>
      <c r="Z25" s="1436">
        <v>2758</v>
      </c>
      <c r="AA25" s="1436">
        <v>2567</v>
      </c>
      <c r="AB25" s="1436">
        <v>2465</v>
      </c>
      <c r="AC25" s="1436">
        <v>3403</v>
      </c>
      <c r="AD25" s="1436">
        <v>3953</v>
      </c>
      <c r="AE25" s="1436">
        <v>4003</v>
      </c>
      <c r="AF25" s="1436">
        <v>3898</v>
      </c>
      <c r="AG25" s="1436">
        <v>3902</v>
      </c>
      <c r="AH25" s="1437">
        <v>4020</v>
      </c>
      <c r="AI25" s="1438">
        <v>3522</v>
      </c>
      <c r="AJ25" s="1435">
        <v>3533</v>
      </c>
      <c r="AK25" s="1435">
        <v>3465</v>
      </c>
      <c r="AL25" s="1435">
        <v>2987</v>
      </c>
      <c r="AM25" s="1435">
        <v>3099</v>
      </c>
      <c r="AN25" s="1435">
        <v>3016</v>
      </c>
      <c r="AO25" s="358">
        <v>2862</v>
      </c>
      <c r="AP25" s="1435">
        <v>2934</v>
      </c>
      <c r="AQ25" s="1435">
        <v>2729</v>
      </c>
      <c r="AR25" s="1435">
        <v>2568</v>
      </c>
      <c r="AS25" s="1435">
        <v>2620</v>
      </c>
      <c r="AT25" s="1435">
        <v>2584</v>
      </c>
      <c r="AU25" s="1435">
        <v>2625</v>
      </c>
      <c r="AV25" s="1435">
        <v>2779</v>
      </c>
      <c r="AW25" s="1435">
        <v>2776</v>
      </c>
      <c r="AX25" s="1435">
        <v>2606</v>
      </c>
      <c r="AY25" s="1439">
        <v>2658</v>
      </c>
      <c r="AZ25" s="1439">
        <v>2495</v>
      </c>
      <c r="BA25" s="1439">
        <v>2576</v>
      </c>
      <c r="BB25" s="1439">
        <v>2540</v>
      </c>
      <c r="BC25" s="1439">
        <v>2538</v>
      </c>
      <c r="BD25" s="1439">
        <v>2513</v>
      </c>
      <c r="BE25" s="1439">
        <v>2551</v>
      </c>
      <c r="BF25" s="1439">
        <v>2559</v>
      </c>
      <c r="BG25" s="1439">
        <v>2586</v>
      </c>
      <c r="BH25" s="1439">
        <v>2586</v>
      </c>
      <c r="BI25" s="1439">
        <v>2541</v>
      </c>
      <c r="BJ25" s="1439">
        <v>2416</v>
      </c>
      <c r="BK25" s="1439">
        <v>2477</v>
      </c>
      <c r="BL25" s="1439">
        <v>2440</v>
      </c>
      <c r="BM25" s="1439">
        <v>2390</v>
      </c>
      <c r="BN25" s="1439">
        <v>2441</v>
      </c>
      <c r="BO25" s="1439">
        <v>2426</v>
      </c>
      <c r="BP25" s="1439">
        <v>2404</v>
      </c>
      <c r="BQ25" s="1439">
        <v>2347</v>
      </c>
      <c r="BR25" s="1439">
        <v>2366</v>
      </c>
      <c r="BS25" s="1439">
        <v>2297</v>
      </c>
      <c r="BT25" s="1439">
        <v>2411</v>
      </c>
      <c r="BU25" s="1439">
        <v>2308</v>
      </c>
      <c r="BV25" s="1439"/>
    </row>
    <row r="26" spans="1:74" s="351" customFormat="1">
      <c r="A26" s="1434">
        <f t="shared" si="28"/>
        <v>0.42192771084337349</v>
      </c>
      <c r="B26" s="1435" t="s">
        <v>393</v>
      </c>
      <c r="C26" s="1435">
        <v>4300</v>
      </c>
      <c r="D26" s="1435">
        <v>4000</v>
      </c>
      <c r="E26" s="1436">
        <v>1474</v>
      </c>
      <c r="F26" s="1436">
        <v>1480</v>
      </c>
      <c r="G26" s="1436">
        <v>1476</v>
      </c>
      <c r="H26" s="1436">
        <v>1408</v>
      </c>
      <c r="I26" s="1436">
        <v>1399</v>
      </c>
      <c r="J26" s="1436">
        <v>1386</v>
      </c>
      <c r="K26" s="1436">
        <v>1379</v>
      </c>
      <c r="L26" s="1436">
        <v>1399</v>
      </c>
      <c r="M26" s="1436">
        <v>1423</v>
      </c>
      <c r="N26" s="1436">
        <v>1432</v>
      </c>
      <c r="O26" s="1436">
        <v>1468</v>
      </c>
      <c r="P26" s="1436">
        <v>1521</v>
      </c>
      <c r="Q26" s="1436">
        <v>1576</v>
      </c>
      <c r="R26" s="1436">
        <v>1593</v>
      </c>
      <c r="S26" s="1436">
        <v>1605</v>
      </c>
      <c r="T26" s="1436">
        <v>1616</v>
      </c>
      <c r="U26" s="1436">
        <v>1731</v>
      </c>
      <c r="V26" s="1436">
        <v>1743</v>
      </c>
      <c r="W26" s="1436">
        <v>1887</v>
      </c>
      <c r="X26" s="1436">
        <v>1898</v>
      </c>
      <c r="Y26" s="1436">
        <v>2198</v>
      </c>
      <c r="Z26" s="1436">
        <v>2227</v>
      </c>
      <c r="AA26" s="1436">
        <v>2070</v>
      </c>
      <c r="AB26" s="1436">
        <v>1942</v>
      </c>
      <c r="AC26" s="1436">
        <v>2452</v>
      </c>
      <c r="AD26" s="1436">
        <v>2822</v>
      </c>
      <c r="AE26" s="1436">
        <v>3069</v>
      </c>
      <c r="AF26" s="1436">
        <v>3080</v>
      </c>
      <c r="AG26" s="1436">
        <v>2911</v>
      </c>
      <c r="AH26" s="1437">
        <v>2888</v>
      </c>
      <c r="AI26" s="1438">
        <v>2617</v>
      </c>
      <c r="AJ26" s="1435">
        <v>2596</v>
      </c>
      <c r="AK26" s="1435">
        <v>2540</v>
      </c>
      <c r="AL26" s="1435">
        <v>2301</v>
      </c>
      <c r="AM26" s="1435">
        <v>2249</v>
      </c>
      <c r="AN26" s="1435">
        <v>2246</v>
      </c>
      <c r="AO26" s="358">
        <v>2164</v>
      </c>
      <c r="AP26" s="1435">
        <v>2170</v>
      </c>
      <c r="AQ26" s="1435">
        <v>2058</v>
      </c>
      <c r="AR26" s="1435">
        <v>1973</v>
      </c>
      <c r="AS26" s="1435">
        <v>1897</v>
      </c>
      <c r="AT26" s="1435">
        <v>1882</v>
      </c>
      <c r="AU26" s="1435">
        <v>1932</v>
      </c>
      <c r="AV26" s="1435">
        <v>1980</v>
      </c>
      <c r="AW26" s="1435">
        <v>1954</v>
      </c>
      <c r="AX26" s="1435">
        <v>1968</v>
      </c>
      <c r="AY26" s="1439">
        <v>1975</v>
      </c>
      <c r="AZ26" s="1439">
        <v>1915</v>
      </c>
      <c r="BA26" s="1439">
        <v>1930</v>
      </c>
      <c r="BB26" s="1439">
        <v>1908</v>
      </c>
      <c r="BC26" s="1439">
        <v>1890</v>
      </c>
      <c r="BD26" s="1439">
        <v>1910</v>
      </c>
      <c r="BE26" s="1439">
        <v>1858</v>
      </c>
      <c r="BF26" s="1439">
        <v>1879</v>
      </c>
      <c r="BG26" s="1439">
        <v>1887</v>
      </c>
      <c r="BH26" s="1439">
        <v>1902</v>
      </c>
      <c r="BI26" s="1439">
        <v>1888</v>
      </c>
      <c r="BJ26" s="1439">
        <v>1806</v>
      </c>
      <c r="BK26" s="1439">
        <v>1852</v>
      </c>
      <c r="BL26" s="1439">
        <v>1855</v>
      </c>
      <c r="BM26" s="1439">
        <v>1815</v>
      </c>
      <c r="BN26" s="1439">
        <v>1813</v>
      </c>
      <c r="BO26" s="1439">
        <v>1796</v>
      </c>
      <c r="BP26" s="1439">
        <v>1803</v>
      </c>
      <c r="BQ26" s="1439">
        <v>1752</v>
      </c>
      <c r="BR26" s="1439">
        <v>1755</v>
      </c>
      <c r="BS26" s="1439">
        <v>1751</v>
      </c>
      <c r="BT26" s="1439">
        <v>1850</v>
      </c>
      <c r="BU26" s="1439">
        <v>1792</v>
      </c>
      <c r="BV26" s="1439"/>
    </row>
    <row r="27" spans="1:74" s="351" customFormat="1">
      <c r="A27" s="1434">
        <f t="shared" si="28"/>
        <v>0.41740259740259739</v>
      </c>
      <c r="B27" s="1435" t="s">
        <v>769</v>
      </c>
      <c r="C27" s="1435">
        <v>4000</v>
      </c>
      <c r="D27" s="1435">
        <v>3700</v>
      </c>
      <c r="E27" s="1436">
        <v>1369</v>
      </c>
      <c r="F27" s="1436">
        <v>1293</v>
      </c>
      <c r="G27" s="1436">
        <v>1288</v>
      </c>
      <c r="H27" s="1436">
        <v>1246</v>
      </c>
      <c r="I27" s="1436">
        <v>1225</v>
      </c>
      <c r="J27" s="1436">
        <v>1219</v>
      </c>
      <c r="K27" s="1436">
        <v>1222</v>
      </c>
      <c r="L27" s="1436">
        <v>1205</v>
      </c>
      <c r="M27" s="1436">
        <v>1256</v>
      </c>
      <c r="N27" s="1436">
        <v>1278</v>
      </c>
      <c r="O27" s="1436">
        <v>1312</v>
      </c>
      <c r="P27" s="1436">
        <v>1368</v>
      </c>
      <c r="Q27" s="1436">
        <v>1413</v>
      </c>
      <c r="R27" s="1436">
        <v>1429</v>
      </c>
      <c r="S27" s="1436">
        <v>1425</v>
      </c>
      <c r="T27" s="1436">
        <v>1496</v>
      </c>
      <c r="U27" s="1436">
        <v>1557</v>
      </c>
      <c r="V27" s="1436">
        <v>1618</v>
      </c>
      <c r="W27" s="1436">
        <v>1848</v>
      </c>
      <c r="X27" s="1436">
        <v>2481</v>
      </c>
      <c r="Y27" s="1436">
        <v>2069</v>
      </c>
      <c r="Z27" s="1436">
        <v>2122</v>
      </c>
      <c r="AA27" s="1436">
        <v>1882</v>
      </c>
      <c r="AB27" s="1436">
        <v>2410</v>
      </c>
      <c r="AC27" s="1436">
        <v>2589</v>
      </c>
      <c r="AD27" s="1436">
        <v>2787</v>
      </c>
      <c r="AE27" s="1436">
        <v>4103</v>
      </c>
      <c r="AF27" s="1436">
        <v>3260</v>
      </c>
      <c r="AG27" s="1436">
        <v>3213</v>
      </c>
      <c r="AH27" s="1437">
        <v>3115</v>
      </c>
      <c r="AI27" s="1438">
        <v>2731</v>
      </c>
      <c r="AJ27" s="1435">
        <v>2714</v>
      </c>
      <c r="AK27" s="1435">
        <v>2737</v>
      </c>
      <c r="AL27" s="1435">
        <v>2185</v>
      </c>
      <c r="AM27" s="1435">
        <v>2385</v>
      </c>
      <c r="AN27" s="1435">
        <v>2432</v>
      </c>
      <c r="AO27" s="358">
        <v>2137</v>
      </c>
      <c r="AP27" s="1435">
        <v>2241</v>
      </c>
      <c r="AQ27" s="1435">
        <v>1991</v>
      </c>
      <c r="AR27" s="1435">
        <v>1914</v>
      </c>
      <c r="AS27" s="1435">
        <v>1839</v>
      </c>
      <c r="AT27" s="1435">
        <v>1702</v>
      </c>
      <c r="AU27" s="1435">
        <v>1851</v>
      </c>
      <c r="AV27" s="1435">
        <v>1988</v>
      </c>
      <c r="AW27" s="1435">
        <v>1828</v>
      </c>
      <c r="AX27" s="1435">
        <v>1755</v>
      </c>
      <c r="AY27" s="1439">
        <v>1794</v>
      </c>
      <c r="AZ27" s="1439">
        <v>1733</v>
      </c>
      <c r="BA27" s="1439">
        <v>1698</v>
      </c>
      <c r="BB27" s="1439">
        <v>1747</v>
      </c>
      <c r="BC27" s="1439">
        <v>1672</v>
      </c>
      <c r="BD27" s="1439">
        <v>1672</v>
      </c>
      <c r="BE27" s="1439">
        <v>1675</v>
      </c>
      <c r="BF27" s="1439">
        <v>1627</v>
      </c>
      <c r="BG27" s="1439">
        <v>1656</v>
      </c>
      <c r="BH27" s="1439">
        <v>1644</v>
      </c>
      <c r="BI27" s="1439">
        <v>1633</v>
      </c>
      <c r="BJ27" s="1439">
        <v>1556</v>
      </c>
      <c r="BK27" s="1439">
        <v>1598</v>
      </c>
      <c r="BL27" s="1439">
        <v>1608</v>
      </c>
      <c r="BM27" s="1439">
        <v>1570</v>
      </c>
      <c r="BN27" s="1439">
        <v>1585</v>
      </c>
      <c r="BO27" s="1439">
        <v>1602</v>
      </c>
      <c r="BP27" s="1439">
        <v>1707</v>
      </c>
      <c r="BQ27" s="1439">
        <v>1555</v>
      </c>
      <c r="BR27" s="1439">
        <v>1559</v>
      </c>
      <c r="BS27" s="1439">
        <v>1607</v>
      </c>
      <c r="BT27" s="1439">
        <v>1686</v>
      </c>
      <c r="BU27" s="1439">
        <v>1627</v>
      </c>
      <c r="BV27" s="1439"/>
    </row>
    <row r="28" spans="1:74" s="351" customFormat="1">
      <c r="A28" s="1434">
        <f t="shared" si="28"/>
        <v>0.42535211267605633</v>
      </c>
      <c r="B28" s="1435" t="s">
        <v>1547</v>
      </c>
      <c r="C28" s="1435">
        <v>3700</v>
      </c>
      <c r="D28" s="1435">
        <v>3400</v>
      </c>
      <c r="E28" s="1436">
        <v>1270</v>
      </c>
      <c r="F28" s="1436">
        <v>1268</v>
      </c>
      <c r="G28" s="1436">
        <v>1260</v>
      </c>
      <c r="H28" s="1436">
        <v>1210</v>
      </c>
      <c r="I28" s="1436">
        <v>1180</v>
      </c>
      <c r="J28" s="1436">
        <v>1186</v>
      </c>
      <c r="K28" s="1436">
        <v>1194</v>
      </c>
      <c r="L28" s="1436">
        <v>1195</v>
      </c>
      <c r="M28" s="1436">
        <v>1206</v>
      </c>
      <c r="N28" s="1436">
        <v>1227</v>
      </c>
      <c r="O28" s="1436">
        <v>1257</v>
      </c>
      <c r="P28" s="1436">
        <v>1303</v>
      </c>
      <c r="Q28" s="1436">
        <v>1350</v>
      </c>
      <c r="R28" s="1436">
        <v>1359</v>
      </c>
      <c r="S28" s="1436">
        <v>1355</v>
      </c>
      <c r="T28" s="1436">
        <v>1389</v>
      </c>
      <c r="U28" s="1436">
        <v>1459</v>
      </c>
      <c r="V28" s="1436">
        <v>1506</v>
      </c>
      <c r="W28" s="1436">
        <v>1626</v>
      </c>
      <c r="X28" s="1436">
        <v>1650</v>
      </c>
      <c r="Y28" s="1436">
        <v>1897</v>
      </c>
      <c r="Z28" s="1436">
        <v>1925</v>
      </c>
      <c r="AA28" s="1436">
        <v>1735</v>
      </c>
      <c r="AB28" s="1436">
        <v>2005</v>
      </c>
      <c r="AC28" s="1436">
        <v>2151</v>
      </c>
      <c r="AD28" s="1436">
        <v>2603</v>
      </c>
      <c r="AE28" s="1436">
        <v>2992</v>
      </c>
      <c r="AF28" s="1436">
        <v>2690</v>
      </c>
      <c r="AG28" s="1436">
        <v>2675</v>
      </c>
      <c r="AH28" s="1437">
        <v>2568</v>
      </c>
      <c r="AI28" s="1438">
        <v>2322</v>
      </c>
      <c r="AJ28" s="1435">
        <v>2158</v>
      </c>
      <c r="AK28" s="1435">
        <v>2283</v>
      </c>
      <c r="AL28" s="1435">
        <v>1947</v>
      </c>
      <c r="AM28" s="1435">
        <v>2103</v>
      </c>
      <c r="AN28" s="1435">
        <v>2112</v>
      </c>
      <c r="AO28" s="358">
        <v>1855</v>
      </c>
      <c r="AP28" s="1435">
        <v>1982</v>
      </c>
      <c r="AQ28" s="1435">
        <v>1867</v>
      </c>
      <c r="AR28" s="1435">
        <v>1770</v>
      </c>
      <c r="AS28" s="1435">
        <v>1753</v>
      </c>
      <c r="AT28" s="1435">
        <v>1669</v>
      </c>
      <c r="AU28" s="1435">
        <v>1745</v>
      </c>
      <c r="AV28" s="1435">
        <v>1795</v>
      </c>
      <c r="AW28" s="1435">
        <v>1766</v>
      </c>
      <c r="AX28" s="1435">
        <v>1773</v>
      </c>
      <c r="AY28" s="1439">
        <v>1775</v>
      </c>
      <c r="AZ28" s="1439">
        <v>1724</v>
      </c>
      <c r="BA28" s="1439">
        <v>1753</v>
      </c>
      <c r="BB28" s="1439">
        <v>1755</v>
      </c>
      <c r="BC28" s="1439">
        <v>1710</v>
      </c>
      <c r="BD28" s="1439">
        <v>1738</v>
      </c>
      <c r="BE28" s="1439">
        <v>1672</v>
      </c>
      <c r="BF28" s="1439">
        <v>1679</v>
      </c>
      <c r="BG28" s="1439">
        <v>1709</v>
      </c>
      <c r="BH28" s="1439">
        <v>1705</v>
      </c>
      <c r="BI28" s="1439">
        <v>1680</v>
      </c>
      <c r="BJ28" s="1439">
        <v>1642</v>
      </c>
      <c r="BK28" s="1439">
        <v>1647</v>
      </c>
      <c r="BL28" s="1439">
        <v>1671</v>
      </c>
      <c r="BM28" s="1439">
        <v>1626</v>
      </c>
      <c r="BN28" s="1439">
        <v>1640</v>
      </c>
      <c r="BO28" s="1439">
        <v>1607</v>
      </c>
      <c r="BP28" s="1439">
        <v>1658</v>
      </c>
      <c r="BQ28" s="1439">
        <v>1602</v>
      </c>
      <c r="BR28" s="1439">
        <v>1576</v>
      </c>
      <c r="BS28" s="1439">
        <v>1510</v>
      </c>
      <c r="BT28" s="1439">
        <v>1594</v>
      </c>
      <c r="BU28" s="1439">
        <v>1545</v>
      </c>
      <c r="BV28" s="1439"/>
    </row>
    <row r="29" spans="1:74" s="351" customFormat="1">
      <c r="A29" s="1434">
        <f t="shared" si="28"/>
        <v>0.37538461538461537</v>
      </c>
      <c r="B29" s="1435" t="s">
        <v>1548</v>
      </c>
      <c r="C29" s="1435">
        <v>3400</v>
      </c>
      <c r="D29" s="1435">
        <v>3100</v>
      </c>
      <c r="E29" s="1436">
        <v>1098</v>
      </c>
      <c r="F29" s="1436">
        <v>1088</v>
      </c>
      <c r="G29" s="1436">
        <v>1072</v>
      </c>
      <c r="H29" s="1436">
        <v>1026</v>
      </c>
      <c r="I29" s="1436">
        <v>1002</v>
      </c>
      <c r="J29" s="1436">
        <v>1003</v>
      </c>
      <c r="K29" s="1436">
        <v>1005</v>
      </c>
      <c r="L29" s="1436">
        <v>992</v>
      </c>
      <c r="M29" s="1436">
        <v>1028</v>
      </c>
      <c r="N29" s="1436">
        <v>1045</v>
      </c>
      <c r="O29" s="1436">
        <v>1067</v>
      </c>
      <c r="P29" s="1436">
        <v>1118</v>
      </c>
      <c r="Q29" s="1436">
        <v>1157</v>
      </c>
      <c r="R29" s="1436">
        <v>1176</v>
      </c>
      <c r="S29" s="1436">
        <v>1163</v>
      </c>
      <c r="T29" s="1436">
        <v>1175</v>
      </c>
      <c r="U29" s="1436">
        <v>1259</v>
      </c>
      <c r="V29" s="1436">
        <v>1334</v>
      </c>
      <c r="W29" s="1436">
        <v>1560</v>
      </c>
      <c r="X29" s="1436">
        <v>1464</v>
      </c>
      <c r="Y29" s="1436">
        <v>1655</v>
      </c>
      <c r="Z29" s="1436">
        <v>1644</v>
      </c>
      <c r="AA29" s="1436">
        <v>1467</v>
      </c>
      <c r="AB29" s="1436">
        <v>1957</v>
      </c>
      <c r="AC29" s="1436">
        <v>1921</v>
      </c>
      <c r="AD29" s="1436">
        <v>2088</v>
      </c>
      <c r="AE29" s="1436">
        <v>2732</v>
      </c>
      <c r="AF29" s="1436">
        <v>2423</v>
      </c>
      <c r="AG29" s="1436">
        <v>2183</v>
      </c>
      <c r="AH29" s="1437">
        <v>2324</v>
      </c>
      <c r="AI29" s="1438">
        <v>2022</v>
      </c>
      <c r="AJ29" s="1435">
        <v>2008</v>
      </c>
      <c r="AK29" s="1435">
        <v>2073</v>
      </c>
      <c r="AL29" s="1435">
        <v>1609</v>
      </c>
      <c r="AM29" s="1435">
        <v>1735</v>
      </c>
      <c r="AN29" s="1435">
        <v>1799</v>
      </c>
      <c r="AO29" s="358">
        <v>1601</v>
      </c>
      <c r="AP29" s="1435">
        <v>1656</v>
      </c>
      <c r="AQ29" s="1435">
        <v>1500</v>
      </c>
      <c r="AR29" s="1435">
        <v>1413</v>
      </c>
      <c r="AS29" s="1435">
        <v>1391</v>
      </c>
      <c r="AT29" s="1435">
        <v>1351</v>
      </c>
      <c r="AU29" s="1435">
        <v>1405</v>
      </c>
      <c r="AV29" s="1435">
        <v>1468</v>
      </c>
      <c r="AW29" s="1435">
        <v>1400</v>
      </c>
      <c r="AX29" s="1435">
        <v>1407</v>
      </c>
      <c r="AY29" s="1439">
        <v>1421</v>
      </c>
      <c r="AZ29" s="1439">
        <v>1384</v>
      </c>
      <c r="BA29" s="1439">
        <v>1386</v>
      </c>
      <c r="BB29" s="1439">
        <v>1383</v>
      </c>
      <c r="BC29" s="1439">
        <v>1352</v>
      </c>
      <c r="BD29" s="1439">
        <v>1368</v>
      </c>
      <c r="BE29" s="1439">
        <v>1411</v>
      </c>
      <c r="BF29" s="1439">
        <v>1317</v>
      </c>
      <c r="BG29" s="1439">
        <v>1344</v>
      </c>
      <c r="BH29" s="1439">
        <v>1297</v>
      </c>
      <c r="BI29" s="1439">
        <v>1306</v>
      </c>
      <c r="BJ29" s="1439">
        <v>1259</v>
      </c>
      <c r="BK29" s="1439">
        <v>1284</v>
      </c>
      <c r="BL29" s="1439">
        <v>1301</v>
      </c>
      <c r="BM29" s="1439">
        <v>1273</v>
      </c>
      <c r="BN29" s="1439">
        <v>1285</v>
      </c>
      <c r="BO29" s="1439">
        <v>1275</v>
      </c>
      <c r="BP29" s="1439">
        <v>1277</v>
      </c>
      <c r="BQ29" s="1439">
        <v>1238</v>
      </c>
      <c r="BR29" s="1439">
        <v>1222</v>
      </c>
      <c r="BS29" s="1439">
        <v>1220</v>
      </c>
      <c r="BT29" s="1439">
        <v>1293</v>
      </c>
      <c r="BU29" s="1439">
        <v>1258</v>
      </c>
      <c r="BV29" s="1439"/>
    </row>
    <row r="30" spans="1:74" s="351" customFormat="1">
      <c r="A30" s="1434">
        <f t="shared" si="28"/>
        <v>0.34983050847457625</v>
      </c>
      <c r="B30" s="1435" t="s">
        <v>1549</v>
      </c>
      <c r="C30" s="1435">
        <v>3100</v>
      </c>
      <c r="D30" s="1435">
        <v>2800</v>
      </c>
      <c r="E30" s="1436">
        <v>830</v>
      </c>
      <c r="F30" s="1436">
        <v>774</v>
      </c>
      <c r="G30" s="1436">
        <v>774</v>
      </c>
      <c r="H30" s="1436">
        <v>785</v>
      </c>
      <c r="I30" s="1436">
        <v>760</v>
      </c>
      <c r="J30" s="1436">
        <v>785</v>
      </c>
      <c r="K30" s="1436">
        <v>841</v>
      </c>
      <c r="L30" s="1436">
        <v>771</v>
      </c>
      <c r="M30" s="1436">
        <v>798</v>
      </c>
      <c r="N30" s="1436">
        <v>788</v>
      </c>
      <c r="O30" s="1436">
        <v>798</v>
      </c>
      <c r="P30" s="1436">
        <v>795</v>
      </c>
      <c r="Q30" s="1436">
        <v>815</v>
      </c>
      <c r="R30" s="1436">
        <v>808</v>
      </c>
      <c r="S30" s="1436">
        <v>814</v>
      </c>
      <c r="T30" s="1436">
        <v>808</v>
      </c>
      <c r="U30" s="1436">
        <v>837</v>
      </c>
      <c r="V30" s="1436">
        <v>824</v>
      </c>
      <c r="W30" s="1436">
        <v>1168</v>
      </c>
      <c r="X30" s="1436">
        <v>849</v>
      </c>
      <c r="Y30" s="1436">
        <v>932</v>
      </c>
      <c r="Z30" s="1436">
        <v>865</v>
      </c>
      <c r="AA30" s="1436">
        <v>888</v>
      </c>
      <c r="AB30" s="1436">
        <v>888</v>
      </c>
      <c r="AC30" s="1436">
        <v>1693</v>
      </c>
      <c r="AD30" s="1436">
        <v>1693</v>
      </c>
      <c r="AE30" s="1436">
        <v>2479</v>
      </c>
      <c r="AF30" s="1436">
        <v>2519</v>
      </c>
      <c r="AG30" s="1436">
        <v>2180</v>
      </c>
      <c r="AH30" s="1437">
        <v>2180</v>
      </c>
      <c r="AI30" s="1438">
        <v>2180</v>
      </c>
      <c r="AJ30" s="1435">
        <v>1508</v>
      </c>
      <c r="AK30" s="1435">
        <v>1216</v>
      </c>
      <c r="AL30" s="1435">
        <v>1216</v>
      </c>
      <c r="AM30" s="1435">
        <v>1518</v>
      </c>
      <c r="AN30" s="1435">
        <v>1452</v>
      </c>
      <c r="AO30" s="358">
        <v>1140</v>
      </c>
      <c r="AP30" s="1435">
        <v>1216</v>
      </c>
      <c r="AQ30" s="1435">
        <v>1125</v>
      </c>
      <c r="AR30" s="1435">
        <v>1088</v>
      </c>
      <c r="AS30" s="1435">
        <v>1084</v>
      </c>
      <c r="AT30" s="1435">
        <v>1084</v>
      </c>
      <c r="AU30" s="1435">
        <v>1286</v>
      </c>
      <c r="AV30" s="1435">
        <v>1410</v>
      </c>
      <c r="AW30" s="1435">
        <v>1193</v>
      </c>
      <c r="AX30" s="1435">
        <v>1147</v>
      </c>
      <c r="AY30" s="1439">
        <v>1117</v>
      </c>
      <c r="AZ30" s="1439">
        <v>1162</v>
      </c>
      <c r="BA30" s="1439">
        <v>1136</v>
      </c>
      <c r="BB30" s="1439">
        <v>1127</v>
      </c>
      <c r="BC30" s="1439">
        <v>1132</v>
      </c>
      <c r="BD30" s="1439">
        <v>1128</v>
      </c>
      <c r="BE30" s="1439">
        <v>1137</v>
      </c>
      <c r="BF30" s="1439">
        <v>1101</v>
      </c>
      <c r="BG30" s="1439">
        <v>1128</v>
      </c>
      <c r="BH30" s="1439">
        <v>1204</v>
      </c>
      <c r="BI30" s="1439">
        <v>1116</v>
      </c>
      <c r="BJ30" s="1439">
        <v>1116</v>
      </c>
      <c r="BK30" s="1439">
        <v>1125</v>
      </c>
      <c r="BL30" s="1439">
        <v>1124</v>
      </c>
      <c r="BM30" s="1439">
        <v>1124</v>
      </c>
      <c r="BN30" s="1439">
        <v>1127</v>
      </c>
      <c r="BO30" s="1439">
        <v>1129</v>
      </c>
      <c r="BP30" s="1439">
        <v>1129</v>
      </c>
      <c r="BQ30" s="1439">
        <v>1129</v>
      </c>
      <c r="BR30" s="1439">
        <v>1129</v>
      </c>
      <c r="BS30" s="1439">
        <v>1032</v>
      </c>
      <c r="BT30" s="1439">
        <v>1008</v>
      </c>
      <c r="BU30" s="1439">
        <v>990</v>
      </c>
      <c r="BV30" s="1439"/>
    </row>
    <row r="31" spans="1:74" s="351" customFormat="1">
      <c r="A31" s="1434">
        <f t="shared" si="28"/>
        <v>0.28415094339622643</v>
      </c>
      <c r="B31" s="1435" t="s">
        <v>1550</v>
      </c>
      <c r="C31" s="1435">
        <v>2800</v>
      </c>
      <c r="D31" s="1435">
        <v>2500</v>
      </c>
      <c r="E31" s="1436">
        <v>723</v>
      </c>
      <c r="F31" s="1436">
        <v>603</v>
      </c>
      <c r="G31" s="1436">
        <v>603</v>
      </c>
      <c r="H31" s="1436">
        <v>629</v>
      </c>
      <c r="I31" s="1436">
        <v>603</v>
      </c>
      <c r="J31" s="1436">
        <v>813</v>
      </c>
      <c r="K31" s="1436">
        <v>754</v>
      </c>
      <c r="L31" s="1436">
        <v>665</v>
      </c>
      <c r="M31" s="1436">
        <v>724</v>
      </c>
      <c r="N31" s="1436">
        <v>616</v>
      </c>
      <c r="O31" s="1436">
        <v>629</v>
      </c>
      <c r="P31" s="1436">
        <v>616</v>
      </c>
      <c r="Q31" s="1436">
        <v>672</v>
      </c>
      <c r="R31" s="1436">
        <v>627</v>
      </c>
      <c r="S31" s="1436">
        <v>668</v>
      </c>
      <c r="T31" s="1436">
        <v>668</v>
      </c>
      <c r="U31" s="1436">
        <v>668</v>
      </c>
      <c r="V31" s="1436">
        <v>1217</v>
      </c>
      <c r="W31" s="1436">
        <v>2587</v>
      </c>
      <c r="X31" s="1436">
        <v>750</v>
      </c>
      <c r="Y31" s="1436">
        <v>975</v>
      </c>
      <c r="Z31" s="1436">
        <v>616</v>
      </c>
      <c r="AA31" s="1436">
        <v>1029</v>
      </c>
      <c r="AB31" s="1436">
        <v>1029</v>
      </c>
      <c r="AC31" s="1436">
        <v>3265</v>
      </c>
      <c r="AD31" s="1436">
        <v>3265</v>
      </c>
      <c r="AE31" s="1436">
        <v>3265</v>
      </c>
      <c r="AF31" s="1436">
        <v>3265</v>
      </c>
      <c r="AG31" s="1436">
        <v>3265</v>
      </c>
      <c r="AH31" s="1437">
        <v>4591</v>
      </c>
      <c r="AI31" s="1438">
        <v>4591</v>
      </c>
      <c r="AJ31" s="1435">
        <v>4591</v>
      </c>
      <c r="AK31" s="1435">
        <v>4591</v>
      </c>
      <c r="AL31" s="1435">
        <v>4591</v>
      </c>
      <c r="AM31" s="1435">
        <v>4591</v>
      </c>
      <c r="AN31" s="1435">
        <v>4591</v>
      </c>
      <c r="AO31" s="358">
        <v>4591</v>
      </c>
      <c r="AP31" s="1435">
        <v>4591</v>
      </c>
      <c r="AQ31" s="1435">
        <v>4591</v>
      </c>
      <c r="AR31" s="1435">
        <v>4591</v>
      </c>
      <c r="AS31" s="1435">
        <v>4591</v>
      </c>
      <c r="AT31" s="1435">
        <v>4591</v>
      </c>
      <c r="AU31" s="1435">
        <v>4591</v>
      </c>
      <c r="AV31" s="1435">
        <v>4591</v>
      </c>
      <c r="AW31" s="1435">
        <v>4591</v>
      </c>
      <c r="AX31" s="1435">
        <v>4591</v>
      </c>
      <c r="AY31" s="1439">
        <v>4591</v>
      </c>
      <c r="AZ31" s="1439">
        <v>4591</v>
      </c>
      <c r="BA31" s="1439">
        <v>4591</v>
      </c>
      <c r="BB31" s="1439">
        <v>4591</v>
      </c>
      <c r="BC31" s="1439">
        <v>4591</v>
      </c>
      <c r="BD31" s="1439">
        <v>750</v>
      </c>
      <c r="BE31" s="1439">
        <v>750</v>
      </c>
      <c r="BF31" s="1439">
        <v>752</v>
      </c>
      <c r="BG31" s="1439">
        <v>752</v>
      </c>
      <c r="BH31" s="1439">
        <v>936</v>
      </c>
      <c r="BI31" s="1439">
        <v>936</v>
      </c>
      <c r="BJ31" s="1439">
        <v>936</v>
      </c>
      <c r="BK31" s="1439">
        <v>936</v>
      </c>
      <c r="BL31" s="1439">
        <v>757</v>
      </c>
      <c r="BM31" s="1439">
        <v>757</v>
      </c>
      <c r="BN31" s="1439">
        <v>757</v>
      </c>
      <c r="BO31" s="1439">
        <v>753</v>
      </c>
      <c r="BP31" s="1439">
        <v>753</v>
      </c>
      <c r="BQ31" s="1439">
        <v>753</v>
      </c>
      <c r="BR31" s="1439">
        <v>753</v>
      </c>
      <c r="BS31" s="1439">
        <v>753</v>
      </c>
      <c r="BT31" s="1439">
        <v>753</v>
      </c>
      <c r="BU31" s="1439">
        <v>753</v>
      </c>
      <c r="BV31" s="1439"/>
    </row>
    <row r="32" spans="1:74" s="351" customFormat="1">
      <c r="A32" s="1434">
        <f t="shared" si="28"/>
        <v>0.29021276595744683</v>
      </c>
      <c r="B32" s="1435" t="s">
        <v>1551</v>
      </c>
      <c r="C32" s="1435">
        <v>2500</v>
      </c>
      <c r="D32" s="1435">
        <v>2200</v>
      </c>
      <c r="E32" s="1436">
        <v>535</v>
      </c>
      <c r="F32" s="1436">
        <v>535</v>
      </c>
      <c r="G32" s="1436">
        <v>535</v>
      </c>
      <c r="H32" s="1436">
        <v>531</v>
      </c>
      <c r="I32" s="1436">
        <v>531</v>
      </c>
      <c r="J32" s="1436">
        <v>531</v>
      </c>
      <c r="K32" s="1436">
        <v>531</v>
      </c>
      <c r="L32" s="1436">
        <v>531</v>
      </c>
      <c r="M32" s="1436">
        <v>531</v>
      </c>
      <c r="N32" s="1436">
        <v>535</v>
      </c>
      <c r="O32" s="1436">
        <v>498</v>
      </c>
      <c r="P32" s="1436">
        <v>490</v>
      </c>
      <c r="Q32" s="1436">
        <v>490</v>
      </c>
      <c r="R32" s="1436">
        <v>575</v>
      </c>
      <c r="S32" s="1436">
        <v>575</v>
      </c>
      <c r="T32" s="1436">
        <v>575</v>
      </c>
      <c r="U32" s="1436">
        <v>575</v>
      </c>
      <c r="V32" s="1436">
        <v>575</v>
      </c>
      <c r="W32" s="1436">
        <v>575</v>
      </c>
      <c r="X32" s="1436">
        <v>598</v>
      </c>
      <c r="Y32" s="1436">
        <v>598</v>
      </c>
      <c r="Z32" s="1436">
        <v>598</v>
      </c>
      <c r="AA32" s="1436">
        <v>598</v>
      </c>
      <c r="AB32" s="1436">
        <v>598</v>
      </c>
      <c r="AC32" s="1436">
        <v>620</v>
      </c>
      <c r="AD32" s="1436">
        <v>620</v>
      </c>
      <c r="AE32" s="1436">
        <v>620</v>
      </c>
      <c r="AF32" s="1436">
        <v>643</v>
      </c>
      <c r="AG32" s="1436">
        <v>642</v>
      </c>
      <c r="AH32" s="1437">
        <v>642</v>
      </c>
      <c r="AI32" s="1438">
        <v>642</v>
      </c>
      <c r="AJ32" s="1435">
        <v>642</v>
      </c>
      <c r="AK32" s="1435">
        <v>642</v>
      </c>
      <c r="AL32" s="1435">
        <v>642</v>
      </c>
      <c r="AM32" s="1435">
        <v>642</v>
      </c>
      <c r="AN32" s="1435">
        <v>659</v>
      </c>
      <c r="AO32" s="358">
        <v>665</v>
      </c>
      <c r="AP32" s="1435">
        <v>687</v>
      </c>
      <c r="AQ32" s="1435">
        <v>709</v>
      </c>
      <c r="AR32" s="1435">
        <v>709</v>
      </c>
      <c r="AS32" s="1435">
        <v>709</v>
      </c>
      <c r="AT32" s="1435">
        <v>709</v>
      </c>
      <c r="AU32" s="1435">
        <v>709</v>
      </c>
      <c r="AV32" s="1435">
        <v>709</v>
      </c>
      <c r="AW32" s="1435">
        <v>732</v>
      </c>
      <c r="AX32" s="1435">
        <v>732</v>
      </c>
      <c r="AY32" s="1439">
        <v>732</v>
      </c>
      <c r="AZ32" s="1439">
        <v>732</v>
      </c>
      <c r="BA32" s="1439">
        <v>732</v>
      </c>
      <c r="BB32" s="1439">
        <v>732</v>
      </c>
      <c r="BC32" s="1439">
        <v>732</v>
      </c>
      <c r="BD32" s="1439">
        <v>732</v>
      </c>
      <c r="BE32" s="1439">
        <v>732</v>
      </c>
      <c r="BF32" s="1439">
        <v>732</v>
      </c>
      <c r="BG32" s="1439">
        <v>732</v>
      </c>
      <c r="BH32" s="1439">
        <v>732</v>
      </c>
      <c r="BI32" s="1439">
        <v>732</v>
      </c>
      <c r="BJ32" s="1439">
        <v>732</v>
      </c>
      <c r="BK32" s="1439">
        <v>732</v>
      </c>
      <c r="BL32" s="1439">
        <v>732</v>
      </c>
      <c r="BM32" s="1439">
        <v>732</v>
      </c>
      <c r="BN32" s="1439">
        <v>734</v>
      </c>
      <c r="BO32" s="1439">
        <v>736</v>
      </c>
      <c r="BP32" s="1439">
        <v>736</v>
      </c>
      <c r="BQ32" s="1439">
        <v>736</v>
      </c>
      <c r="BR32" s="1439">
        <v>736</v>
      </c>
      <c r="BS32" s="1439">
        <v>682</v>
      </c>
      <c r="BT32" s="1439">
        <v>669</v>
      </c>
      <c r="BU32" s="1439">
        <v>669</v>
      </c>
      <c r="BV32" s="1439"/>
    </row>
    <row r="33" spans="1:74" s="351" customFormat="1">
      <c r="A33" s="1440"/>
      <c r="B33" s="1435" t="s">
        <v>1552</v>
      </c>
      <c r="C33" s="1435"/>
      <c r="D33" s="1435"/>
      <c r="E33" s="1436">
        <v>10949</v>
      </c>
      <c r="F33" s="1436">
        <v>12046</v>
      </c>
      <c r="G33" s="1436">
        <v>11579</v>
      </c>
      <c r="H33" s="1436">
        <v>9893</v>
      </c>
      <c r="I33" s="1436">
        <v>8340</v>
      </c>
      <c r="J33" s="1436">
        <v>8393</v>
      </c>
      <c r="K33" s="1436">
        <v>8543</v>
      </c>
      <c r="L33" s="1436">
        <v>8730</v>
      </c>
      <c r="M33" s="1436">
        <v>9069</v>
      </c>
      <c r="N33" s="1436">
        <v>8998</v>
      </c>
      <c r="O33" s="1436">
        <v>8598</v>
      </c>
      <c r="P33" s="1436">
        <v>9084</v>
      </c>
      <c r="Q33" s="1436">
        <v>10297</v>
      </c>
      <c r="R33" s="1436">
        <v>10678</v>
      </c>
      <c r="S33" s="1436">
        <v>10012</v>
      </c>
      <c r="T33" s="1436">
        <v>10014</v>
      </c>
      <c r="U33" s="1436">
        <v>11911</v>
      </c>
      <c r="V33" s="1436">
        <v>14686</v>
      </c>
      <c r="W33" s="1436">
        <v>16089</v>
      </c>
      <c r="X33" s="1436">
        <v>17402</v>
      </c>
      <c r="Y33" s="1436">
        <v>26983</v>
      </c>
      <c r="Z33" s="1436">
        <v>25071</v>
      </c>
      <c r="AA33" s="1436">
        <v>24842</v>
      </c>
      <c r="AB33" s="1436">
        <v>26391</v>
      </c>
      <c r="AC33" s="1436">
        <v>31082</v>
      </c>
      <c r="AD33" s="1436">
        <v>37508</v>
      </c>
      <c r="AE33" s="1436">
        <v>41040</v>
      </c>
      <c r="AF33" s="1436">
        <v>38457</v>
      </c>
      <c r="AG33" s="1436">
        <v>34820</v>
      </c>
      <c r="AH33" s="1437">
        <v>26941</v>
      </c>
      <c r="AI33" s="1438">
        <v>22430</v>
      </c>
      <c r="AJ33" s="1435">
        <v>22902</v>
      </c>
      <c r="AK33" s="1435">
        <v>24676</v>
      </c>
      <c r="AL33" s="1435">
        <v>24722</v>
      </c>
      <c r="AM33" s="1435">
        <v>22531</v>
      </c>
      <c r="AN33" s="1435">
        <v>23668</v>
      </c>
      <c r="AO33" s="358">
        <v>29178</v>
      </c>
      <c r="AP33" s="1435">
        <v>29046</v>
      </c>
      <c r="AQ33" s="1435">
        <v>26671</v>
      </c>
      <c r="AR33" s="1435">
        <v>22251</v>
      </c>
      <c r="AS33" s="1435">
        <v>20603</v>
      </c>
      <c r="AT33" s="1435">
        <v>20234</v>
      </c>
      <c r="AU33" s="1435">
        <v>21074</v>
      </c>
      <c r="AV33" s="1435">
        <v>222569</v>
      </c>
      <c r="AW33" s="1435">
        <v>26978</v>
      </c>
      <c r="AX33" s="1435">
        <v>27163</v>
      </c>
      <c r="AY33" s="1439">
        <v>26816</v>
      </c>
      <c r="AZ33" s="1439">
        <v>26536</v>
      </c>
      <c r="BA33" s="1439">
        <v>26905</v>
      </c>
      <c r="BB33" s="1439">
        <v>25579</v>
      </c>
      <c r="BC33" s="1439">
        <v>22572</v>
      </c>
      <c r="BD33" s="1439">
        <v>21287</v>
      </c>
      <c r="BE33" s="1439">
        <v>21404</v>
      </c>
      <c r="BF33" s="1439">
        <v>21346</v>
      </c>
      <c r="BG33" s="1439">
        <v>19794</v>
      </c>
      <c r="BH33" s="1439">
        <v>18142</v>
      </c>
      <c r="BI33" s="1439">
        <v>17377</v>
      </c>
      <c r="BJ33" s="1439">
        <v>18161</v>
      </c>
      <c r="BK33" s="1439">
        <v>18155</v>
      </c>
      <c r="BL33" s="1439">
        <v>17278</v>
      </c>
      <c r="BM33" s="1439">
        <v>16908</v>
      </c>
      <c r="BN33" s="1439">
        <v>15955</v>
      </c>
      <c r="BO33" s="1439">
        <v>15413</v>
      </c>
      <c r="BP33" s="1439">
        <v>16171</v>
      </c>
      <c r="BQ33" s="1439">
        <v>16113</v>
      </c>
      <c r="BR33" s="1439">
        <v>15862</v>
      </c>
      <c r="BS33" s="1439">
        <v>16374</v>
      </c>
      <c r="BT33" s="1439">
        <v>18142</v>
      </c>
      <c r="BU33" s="1439">
        <v>17253</v>
      </c>
      <c r="BV33" s="1439"/>
    </row>
    <row r="34" spans="1:74" s="351" customFormat="1">
      <c r="A34" s="1440"/>
      <c r="B34" s="1435" t="s">
        <v>1553</v>
      </c>
      <c r="C34" s="1435"/>
      <c r="D34" s="1435"/>
      <c r="E34" s="1436">
        <v>9942</v>
      </c>
      <c r="F34" s="1436">
        <v>10937</v>
      </c>
      <c r="G34" s="1436">
        <v>10513</v>
      </c>
      <c r="H34" s="1436">
        <v>8983</v>
      </c>
      <c r="I34" s="1436">
        <v>7573</v>
      </c>
      <c r="J34" s="1436">
        <v>7621</v>
      </c>
      <c r="K34" s="1436">
        <v>7757</v>
      </c>
      <c r="L34" s="1436">
        <v>7927</v>
      </c>
      <c r="M34" s="1436">
        <v>8235</v>
      </c>
      <c r="N34" s="1436">
        <v>8171</v>
      </c>
      <c r="O34" s="1436">
        <v>7807</v>
      </c>
      <c r="P34" s="1436">
        <v>8248</v>
      </c>
      <c r="Q34" s="1436">
        <v>9349</v>
      </c>
      <c r="R34" s="1436">
        <v>9696</v>
      </c>
      <c r="S34" s="1436">
        <v>9090</v>
      </c>
      <c r="T34" s="1436">
        <v>9093</v>
      </c>
      <c r="U34" s="1436">
        <v>10815</v>
      </c>
      <c r="V34" s="1436">
        <v>13334</v>
      </c>
      <c r="W34" s="1436">
        <v>14608</v>
      </c>
      <c r="X34" s="1436">
        <v>15800</v>
      </c>
      <c r="Y34" s="1436">
        <v>24498</v>
      </c>
      <c r="Z34" s="1436">
        <v>22763</v>
      </c>
      <c r="AA34" s="1436">
        <v>22555</v>
      </c>
      <c r="AB34" s="1436">
        <v>23961</v>
      </c>
      <c r="AC34" s="1436">
        <v>28220</v>
      </c>
      <c r="AD34" s="1436">
        <v>34054</v>
      </c>
      <c r="AE34" s="1436">
        <v>37261</v>
      </c>
      <c r="AF34" s="1436">
        <v>34916</v>
      </c>
      <c r="AG34" s="1436">
        <v>31613</v>
      </c>
      <c r="AH34" s="1437">
        <v>24461</v>
      </c>
      <c r="AI34" s="1438">
        <v>20365</v>
      </c>
      <c r="AJ34" s="1435">
        <v>20794</v>
      </c>
      <c r="AK34" s="1435">
        <v>22404</v>
      </c>
      <c r="AL34" s="1435">
        <v>22446</v>
      </c>
      <c r="AM34" s="1435">
        <v>20457</v>
      </c>
      <c r="AN34" s="1435">
        <v>21489</v>
      </c>
      <c r="AO34" s="358">
        <v>26492</v>
      </c>
      <c r="AP34" s="1435">
        <v>26372</v>
      </c>
      <c r="AQ34" s="1435">
        <v>24215</v>
      </c>
      <c r="AR34" s="1435">
        <v>20203</v>
      </c>
      <c r="AS34" s="1435">
        <v>18706</v>
      </c>
      <c r="AT34" s="1435">
        <v>18371</v>
      </c>
      <c r="AU34" s="1435">
        <v>19134</v>
      </c>
      <c r="AV34" s="1435">
        <v>20491</v>
      </c>
      <c r="AW34" s="1435">
        <v>24494</v>
      </c>
      <c r="AX34" s="1435">
        <v>24662</v>
      </c>
      <c r="AY34" s="1439">
        <v>24347</v>
      </c>
      <c r="AZ34" s="1439">
        <v>24093</v>
      </c>
      <c r="BA34" s="1439">
        <v>24428</v>
      </c>
      <c r="BB34" s="1439">
        <v>23224</v>
      </c>
      <c r="BC34" s="1439">
        <v>20494</v>
      </c>
      <c r="BD34" s="1439">
        <v>19327</v>
      </c>
      <c r="BE34" s="1439">
        <v>19434</v>
      </c>
      <c r="BF34" s="1439">
        <v>19381</v>
      </c>
      <c r="BG34" s="1439">
        <v>17971</v>
      </c>
      <c r="BH34" s="1439">
        <v>16472</v>
      </c>
      <c r="BI34" s="1439">
        <v>15778</v>
      </c>
      <c r="BJ34" s="1439">
        <v>16489</v>
      </c>
      <c r="BK34" s="1439">
        <v>16484</v>
      </c>
      <c r="BL34" s="1439">
        <v>15688</v>
      </c>
      <c r="BM34" s="1439">
        <v>15352</v>
      </c>
      <c r="BN34" s="1439">
        <v>14456</v>
      </c>
      <c r="BO34" s="1439">
        <v>13994</v>
      </c>
      <c r="BP34" s="1439">
        <v>14682</v>
      </c>
      <c r="BQ34" s="1439">
        <v>14630</v>
      </c>
      <c r="BR34" s="1439">
        <v>14402</v>
      </c>
      <c r="BS34" s="1439">
        <v>14866</v>
      </c>
      <c r="BT34" s="1439">
        <v>16472</v>
      </c>
      <c r="BU34" s="1439">
        <v>15665</v>
      </c>
      <c r="BV34" s="1439"/>
    </row>
    <row r="35" spans="1:74" s="351" customFormat="1">
      <c r="A35" s="1440"/>
      <c r="B35" s="1435" t="s">
        <v>1554</v>
      </c>
      <c r="C35" s="1435"/>
      <c r="D35" s="1435"/>
      <c r="E35" s="1436">
        <v>5790</v>
      </c>
      <c r="F35" s="1436">
        <v>5790</v>
      </c>
      <c r="G35" s="1436">
        <v>5790</v>
      </c>
      <c r="H35" s="1436">
        <v>5790</v>
      </c>
      <c r="I35" s="1436">
        <v>5790</v>
      </c>
      <c r="J35" s="1436">
        <v>5790</v>
      </c>
      <c r="K35" s="1436">
        <v>5790</v>
      </c>
      <c r="L35" s="1436">
        <v>5790</v>
      </c>
      <c r="M35" s="1436">
        <v>5790</v>
      </c>
      <c r="N35" s="1436">
        <v>5790</v>
      </c>
      <c r="O35" s="1436">
        <v>5790</v>
      </c>
      <c r="P35" s="1436">
        <v>5790</v>
      </c>
      <c r="Q35" s="1436">
        <v>5790</v>
      </c>
      <c r="R35" s="1436">
        <v>5790</v>
      </c>
      <c r="S35" s="1436">
        <v>5790</v>
      </c>
      <c r="T35" s="1436">
        <v>5790</v>
      </c>
      <c r="U35" s="1436">
        <v>5790</v>
      </c>
      <c r="V35" s="1436">
        <v>6312</v>
      </c>
      <c r="W35" s="1436">
        <v>6312</v>
      </c>
      <c r="X35" s="1436">
        <v>6312</v>
      </c>
      <c r="Y35" s="1436">
        <v>6312</v>
      </c>
      <c r="Z35" s="1436">
        <v>6312</v>
      </c>
      <c r="AA35" s="1436">
        <v>6312</v>
      </c>
      <c r="AB35" s="1436">
        <v>6312</v>
      </c>
      <c r="AC35" s="1436">
        <v>6312</v>
      </c>
      <c r="AD35" s="1436">
        <v>6312</v>
      </c>
      <c r="AE35" s="1436">
        <v>6312</v>
      </c>
      <c r="AF35" s="1436">
        <v>6312</v>
      </c>
      <c r="AG35" s="1436">
        <v>6312</v>
      </c>
      <c r="AH35" s="1437">
        <v>6312</v>
      </c>
      <c r="AI35" s="1438">
        <v>6312</v>
      </c>
      <c r="AJ35" s="1435">
        <v>6312</v>
      </c>
      <c r="AK35" s="1435">
        <v>6312</v>
      </c>
      <c r="AL35" s="1435">
        <v>6312</v>
      </c>
      <c r="AM35" s="1435">
        <v>6312</v>
      </c>
      <c r="AN35" s="1435">
        <v>6312</v>
      </c>
      <c r="AO35" s="358">
        <v>6312</v>
      </c>
      <c r="AP35" s="1435">
        <v>6312</v>
      </c>
      <c r="AQ35" s="1435">
        <v>6312</v>
      </c>
      <c r="AR35" s="1435">
        <v>6312</v>
      </c>
      <c r="AS35" s="1435">
        <v>6312</v>
      </c>
      <c r="AT35" s="1435">
        <v>6312</v>
      </c>
      <c r="AU35" s="1435">
        <v>5736</v>
      </c>
      <c r="AV35" s="1435">
        <v>5737</v>
      </c>
      <c r="AW35" s="1435">
        <v>5737</v>
      </c>
      <c r="AX35" s="1435">
        <v>5737</v>
      </c>
      <c r="AY35" s="1439">
        <v>5737</v>
      </c>
      <c r="AZ35" s="1439">
        <v>5737</v>
      </c>
      <c r="BA35" s="1439">
        <v>5737</v>
      </c>
      <c r="BB35" s="1439">
        <v>5737</v>
      </c>
      <c r="BC35" s="1439">
        <v>5348</v>
      </c>
      <c r="BD35" s="1439">
        <v>5348</v>
      </c>
      <c r="BE35" s="1439">
        <v>5158</v>
      </c>
      <c r="BF35" s="1439">
        <v>5158</v>
      </c>
      <c r="BG35" s="1439">
        <v>5158</v>
      </c>
      <c r="BH35" s="1439">
        <v>5158</v>
      </c>
      <c r="BI35" s="1439">
        <v>5158</v>
      </c>
      <c r="BJ35" s="1439">
        <v>5158</v>
      </c>
      <c r="BK35" s="1439">
        <v>5158</v>
      </c>
      <c r="BL35" s="1439">
        <v>5158</v>
      </c>
      <c r="BM35" s="1439">
        <v>5158</v>
      </c>
      <c r="BN35" s="1439">
        <v>5161</v>
      </c>
      <c r="BO35" s="1439">
        <v>5165</v>
      </c>
      <c r="BP35" s="1439">
        <v>5165</v>
      </c>
      <c r="BQ35" s="1439">
        <v>5060</v>
      </c>
      <c r="BR35" s="1439">
        <v>5060</v>
      </c>
      <c r="BS35" s="1439">
        <v>5060</v>
      </c>
      <c r="BT35" s="1439">
        <v>4717</v>
      </c>
      <c r="BU35" s="1439">
        <v>4816</v>
      </c>
      <c r="BV35" s="1439"/>
    </row>
    <row r="36" spans="1:74" s="351" customFormat="1">
      <c r="A36" s="1440"/>
      <c r="B36" s="1435" t="s">
        <v>1555</v>
      </c>
      <c r="C36" s="1435"/>
      <c r="D36" s="1435"/>
      <c r="E36" s="1436">
        <v>5156</v>
      </c>
      <c r="F36" s="1436">
        <v>5156</v>
      </c>
      <c r="G36" s="1436">
        <v>4839</v>
      </c>
      <c r="H36" s="1436">
        <v>4930</v>
      </c>
      <c r="I36" s="1436">
        <v>4427</v>
      </c>
      <c r="J36" s="1436">
        <v>4427</v>
      </c>
      <c r="K36" s="1436">
        <v>4427</v>
      </c>
      <c r="L36" s="1436">
        <v>4427</v>
      </c>
      <c r="M36" s="1436">
        <v>4763</v>
      </c>
      <c r="N36" s="1436">
        <v>4555</v>
      </c>
      <c r="O36" s="1436">
        <v>4555</v>
      </c>
      <c r="P36" s="1436">
        <v>4555</v>
      </c>
      <c r="Q36" s="1436">
        <v>4555</v>
      </c>
      <c r="R36" s="1436">
        <v>4574</v>
      </c>
      <c r="S36" s="1436">
        <v>4574</v>
      </c>
      <c r="T36" s="1436">
        <v>4574</v>
      </c>
      <c r="U36" s="1436">
        <v>4574</v>
      </c>
      <c r="V36" s="1436">
        <v>4574</v>
      </c>
      <c r="W36" s="1436">
        <v>4899</v>
      </c>
      <c r="X36" s="1436">
        <v>4899</v>
      </c>
      <c r="Y36" s="1436">
        <v>4899</v>
      </c>
      <c r="Z36" s="1436">
        <v>5198</v>
      </c>
      <c r="AA36" s="1436">
        <v>5306</v>
      </c>
      <c r="AB36" s="1436">
        <v>6053</v>
      </c>
      <c r="AC36" s="1436">
        <v>5911</v>
      </c>
      <c r="AD36" s="1436">
        <v>6413</v>
      </c>
      <c r="AE36" s="1436">
        <v>6552</v>
      </c>
      <c r="AF36" s="1436">
        <v>5819</v>
      </c>
      <c r="AG36" s="1436">
        <v>5738</v>
      </c>
      <c r="AH36" s="1437">
        <v>5907</v>
      </c>
      <c r="AI36" s="1438">
        <v>5726</v>
      </c>
      <c r="AJ36" s="1435">
        <v>5944</v>
      </c>
      <c r="AK36" s="1435">
        <v>5653</v>
      </c>
      <c r="AL36" s="1435">
        <v>5467</v>
      </c>
      <c r="AM36" s="1435">
        <v>5425</v>
      </c>
      <c r="AN36" s="1435">
        <v>5492</v>
      </c>
      <c r="AO36" s="358">
        <v>5735</v>
      </c>
      <c r="AP36" s="1435">
        <v>5192</v>
      </c>
      <c r="AQ36" s="1435">
        <v>5285</v>
      </c>
      <c r="AR36" s="1435">
        <v>4869</v>
      </c>
      <c r="AS36" s="1435">
        <v>5400</v>
      </c>
      <c r="AT36" s="1435">
        <v>4999</v>
      </c>
      <c r="AU36" s="1435">
        <v>5050</v>
      </c>
      <c r="AV36" s="1435">
        <v>5055</v>
      </c>
      <c r="AW36" s="1435">
        <v>4907</v>
      </c>
      <c r="AX36" s="1435">
        <v>4796</v>
      </c>
      <c r="AY36" s="1439">
        <v>4789</v>
      </c>
      <c r="AZ36" s="1439">
        <v>4831</v>
      </c>
      <c r="BA36" s="1439">
        <v>4747</v>
      </c>
      <c r="BB36" s="1439">
        <v>4747</v>
      </c>
      <c r="BC36" s="1439">
        <v>4879</v>
      </c>
      <c r="BD36" s="1439">
        <v>5052</v>
      </c>
      <c r="BE36" s="1439">
        <v>4913</v>
      </c>
      <c r="BF36" s="1439">
        <v>5062</v>
      </c>
      <c r="BG36" s="1439">
        <v>4540</v>
      </c>
      <c r="BH36" s="1439">
        <v>4796</v>
      </c>
      <c r="BI36" s="1439">
        <v>4701</v>
      </c>
      <c r="BJ36" s="1439">
        <v>4578</v>
      </c>
      <c r="BK36" s="1439">
        <v>4692</v>
      </c>
      <c r="BL36" s="1439">
        <v>4692</v>
      </c>
      <c r="BM36" s="1439">
        <v>4604</v>
      </c>
      <c r="BN36" s="1439">
        <v>4607</v>
      </c>
      <c r="BO36" s="1439">
        <v>4557</v>
      </c>
      <c r="BP36" s="1439">
        <v>4474</v>
      </c>
      <c r="BQ36" s="1439">
        <v>4474</v>
      </c>
      <c r="BR36" s="1439">
        <v>4376</v>
      </c>
      <c r="BS36" s="1439">
        <v>4549</v>
      </c>
      <c r="BT36" s="1439">
        <v>4151</v>
      </c>
      <c r="BU36" s="1439">
        <v>4246</v>
      </c>
      <c r="BV36" s="1439"/>
    </row>
    <row r="37" spans="1:74" s="351" customFormat="1">
      <c r="A37" s="1440"/>
      <c r="B37" s="1435" t="s">
        <v>1556</v>
      </c>
      <c r="C37" s="1435"/>
      <c r="D37" s="1435"/>
      <c r="E37" s="1436">
        <v>4413</v>
      </c>
      <c r="F37" s="1436">
        <v>3873</v>
      </c>
      <c r="G37" s="1436">
        <v>3708</v>
      </c>
      <c r="H37" s="1436">
        <v>3604</v>
      </c>
      <c r="I37" s="1436">
        <v>4110</v>
      </c>
      <c r="J37" s="1436">
        <v>4247</v>
      </c>
      <c r="K37" s="1436">
        <v>4154</v>
      </c>
      <c r="L37" s="1436">
        <v>4012</v>
      </c>
      <c r="M37" s="1436">
        <v>4143</v>
      </c>
      <c r="N37" s="1436">
        <v>4155</v>
      </c>
      <c r="O37" s="1436">
        <v>4404</v>
      </c>
      <c r="P37" s="1436">
        <v>4186</v>
      </c>
      <c r="Q37" s="1436">
        <v>3816</v>
      </c>
      <c r="R37" s="1436">
        <v>3758</v>
      </c>
      <c r="S37" s="1436">
        <v>3761</v>
      </c>
      <c r="T37" s="1436">
        <v>3854</v>
      </c>
      <c r="U37" s="1436">
        <v>4059</v>
      </c>
      <c r="V37" s="1436">
        <v>4314</v>
      </c>
      <c r="W37" s="1436">
        <v>5447</v>
      </c>
      <c r="X37" s="1436">
        <v>5920</v>
      </c>
      <c r="Y37" s="1436">
        <v>5135</v>
      </c>
      <c r="Z37" s="1436">
        <v>4893</v>
      </c>
      <c r="AA37" s="1436">
        <v>5176</v>
      </c>
      <c r="AB37" s="1436">
        <v>6048</v>
      </c>
      <c r="AC37" s="1436">
        <v>5858</v>
      </c>
      <c r="AD37" s="1436">
        <v>6540</v>
      </c>
      <c r="AE37" s="1436">
        <v>6490</v>
      </c>
      <c r="AF37" s="1436">
        <v>6200</v>
      </c>
      <c r="AG37" s="1436">
        <v>6081</v>
      </c>
      <c r="AH37" s="1437">
        <v>6039</v>
      </c>
      <c r="AI37" s="1438">
        <v>5742</v>
      </c>
      <c r="AJ37" s="1435">
        <v>5923</v>
      </c>
      <c r="AK37" s="1435">
        <v>5746</v>
      </c>
      <c r="AL37" s="1435">
        <v>5504</v>
      </c>
      <c r="AM37" s="1435">
        <v>5260</v>
      </c>
      <c r="AN37" s="1435">
        <v>4842</v>
      </c>
      <c r="AO37" s="358">
        <v>5508</v>
      </c>
      <c r="AP37" s="1435">
        <v>4771</v>
      </c>
      <c r="AQ37" s="1435">
        <v>4662</v>
      </c>
      <c r="AR37" s="1435">
        <v>4433</v>
      </c>
      <c r="AS37" s="1435">
        <v>3673</v>
      </c>
      <c r="AT37" s="1435">
        <v>4061</v>
      </c>
      <c r="AU37" s="1435">
        <v>4671</v>
      </c>
      <c r="AV37" s="1435">
        <v>4819</v>
      </c>
      <c r="AW37" s="1435">
        <v>4488</v>
      </c>
      <c r="AX37" s="1435">
        <v>3912</v>
      </c>
      <c r="AY37" s="1439">
        <v>4481</v>
      </c>
      <c r="AZ37" s="1439">
        <v>4079</v>
      </c>
      <c r="BA37" s="1439">
        <v>4123</v>
      </c>
      <c r="BB37" s="1439">
        <v>3888</v>
      </c>
      <c r="BC37" s="1439">
        <v>4008</v>
      </c>
      <c r="BD37" s="1439">
        <v>3867</v>
      </c>
      <c r="BE37" s="1439">
        <v>3742</v>
      </c>
      <c r="BF37" s="1439">
        <v>3748</v>
      </c>
      <c r="BG37" s="1439">
        <v>3602</v>
      </c>
      <c r="BH37" s="1439">
        <v>4005</v>
      </c>
      <c r="BI37" s="1439">
        <v>4007</v>
      </c>
      <c r="BJ37" s="1439">
        <v>3673</v>
      </c>
      <c r="BK37" s="1439">
        <v>4014</v>
      </c>
      <c r="BL37" s="1439">
        <v>4323</v>
      </c>
      <c r="BM37" s="1439">
        <v>3993</v>
      </c>
      <c r="BN37" s="1439">
        <v>3851</v>
      </c>
      <c r="BO37" s="1439">
        <v>3634</v>
      </c>
      <c r="BP37" s="1439">
        <v>3871</v>
      </c>
      <c r="BQ37" s="1439">
        <v>4023</v>
      </c>
      <c r="BR37" s="1439">
        <v>3645</v>
      </c>
      <c r="BS37" s="1439">
        <v>3556</v>
      </c>
      <c r="BT37" s="1439">
        <v>4141</v>
      </c>
      <c r="BU37" s="1439">
        <v>3721</v>
      </c>
      <c r="BV37" s="1439"/>
    </row>
    <row r="38" spans="1:74" s="351" customFormat="1" ht="14" thickBot="1">
      <c r="A38" s="1440"/>
      <c r="B38" s="1435" t="s">
        <v>1557</v>
      </c>
      <c r="C38" s="1435"/>
      <c r="D38" s="1435"/>
      <c r="E38" s="1436">
        <v>3180</v>
      </c>
      <c r="F38" s="1436">
        <v>3066</v>
      </c>
      <c r="G38" s="1436">
        <v>3074</v>
      </c>
      <c r="H38" s="1436">
        <v>2999</v>
      </c>
      <c r="I38" s="1436">
        <v>3023</v>
      </c>
      <c r="J38" s="1436">
        <v>3004</v>
      </c>
      <c r="K38" s="1436">
        <v>2973</v>
      </c>
      <c r="L38" s="1436">
        <v>3072</v>
      </c>
      <c r="M38" s="1436">
        <v>3134</v>
      </c>
      <c r="N38" s="1436">
        <v>3067</v>
      </c>
      <c r="O38" s="1436">
        <v>3073</v>
      </c>
      <c r="P38" s="1436">
        <v>3089</v>
      </c>
      <c r="Q38" s="1436">
        <v>3070</v>
      </c>
      <c r="R38" s="1436">
        <v>3078</v>
      </c>
      <c r="S38" s="1436">
        <v>3090</v>
      </c>
      <c r="T38" s="1436">
        <v>3049</v>
      </c>
      <c r="U38" s="1436">
        <v>3219</v>
      </c>
      <c r="V38" s="1436">
        <v>3114</v>
      </c>
      <c r="W38" s="1436">
        <v>3527</v>
      </c>
      <c r="X38" s="1436">
        <v>3944</v>
      </c>
      <c r="Y38" s="1436">
        <v>3509</v>
      </c>
      <c r="Z38" s="1436">
        <v>3356</v>
      </c>
      <c r="AA38" s="1436">
        <v>3632</v>
      </c>
      <c r="AB38" s="1436">
        <v>3458</v>
      </c>
      <c r="AC38" s="1436">
        <v>3745</v>
      </c>
      <c r="AD38" s="1436">
        <v>3767</v>
      </c>
      <c r="AE38" s="1436">
        <v>3784</v>
      </c>
      <c r="AF38" s="1436">
        <v>3909</v>
      </c>
      <c r="AG38" s="1436">
        <v>3766</v>
      </c>
      <c r="AH38" s="1437">
        <v>3731</v>
      </c>
      <c r="AI38" s="1438">
        <v>3771</v>
      </c>
      <c r="AJ38" s="359">
        <v>3623</v>
      </c>
      <c r="AK38" s="359">
        <v>3702</v>
      </c>
      <c r="AL38" s="359">
        <v>3490</v>
      </c>
      <c r="AM38" s="359">
        <v>3571</v>
      </c>
      <c r="AN38" s="359">
        <v>3226</v>
      </c>
      <c r="AO38" s="360">
        <v>3467</v>
      </c>
      <c r="AP38" s="359">
        <v>3212</v>
      </c>
      <c r="AQ38" s="359">
        <v>3283</v>
      </c>
      <c r="AR38" s="359">
        <v>3204</v>
      </c>
      <c r="AS38" s="359">
        <v>3065</v>
      </c>
      <c r="AT38" s="359">
        <v>3245</v>
      </c>
      <c r="AU38" s="359">
        <v>3243</v>
      </c>
      <c r="AV38" s="359">
        <v>3348</v>
      </c>
      <c r="AW38" s="359">
        <v>3224</v>
      </c>
      <c r="AX38" s="359">
        <v>3246</v>
      </c>
      <c r="AY38" s="1439">
        <v>3222</v>
      </c>
      <c r="AZ38" s="1439">
        <v>3260</v>
      </c>
      <c r="BA38" s="1439">
        <v>3086</v>
      </c>
      <c r="BB38" s="1439">
        <v>3172</v>
      </c>
      <c r="BC38" s="1439">
        <v>3172</v>
      </c>
      <c r="BD38" s="1439">
        <v>3053</v>
      </c>
      <c r="BE38" s="1439">
        <v>3115</v>
      </c>
      <c r="BF38" s="1439">
        <v>3132</v>
      </c>
      <c r="BG38" s="1439">
        <v>3145</v>
      </c>
      <c r="BH38" s="1439">
        <v>3139</v>
      </c>
      <c r="BI38" s="1439">
        <v>3122</v>
      </c>
      <c r="BJ38" s="1439">
        <v>3144</v>
      </c>
      <c r="BK38" s="1439">
        <v>3085</v>
      </c>
      <c r="BL38" s="1439">
        <v>3241</v>
      </c>
      <c r="BM38" s="1439">
        <v>3083</v>
      </c>
      <c r="BN38" s="1439">
        <v>3195</v>
      </c>
      <c r="BO38" s="1439">
        <v>3084</v>
      </c>
      <c r="BP38" s="1439">
        <v>3017</v>
      </c>
      <c r="BQ38" s="1439">
        <v>3132</v>
      </c>
      <c r="BR38" s="1439">
        <v>3073</v>
      </c>
      <c r="BS38" s="1439">
        <v>3046</v>
      </c>
      <c r="BT38" s="1439">
        <v>3102</v>
      </c>
      <c r="BU38" s="1439">
        <v>3090</v>
      </c>
      <c r="BV38" s="1439"/>
    </row>
    <row r="39" spans="1:74" ht="14">
      <c r="A39" s="350"/>
      <c r="B39" s="350"/>
      <c r="C39" s="350"/>
      <c r="D39" s="350"/>
      <c r="E39" s="350"/>
      <c r="F39" s="350"/>
      <c r="G39" s="350"/>
      <c r="H39" s="350"/>
      <c r="I39" s="350"/>
      <c r="J39" s="350"/>
      <c r="K39" s="350"/>
      <c r="L39" s="350"/>
      <c r="M39" s="350"/>
      <c r="N39" s="350"/>
      <c r="O39" s="350"/>
      <c r="P39" s="350"/>
      <c r="Q39" s="350"/>
      <c r="R39" s="350"/>
      <c r="S39" s="350"/>
      <c r="T39" s="350"/>
      <c r="U39" s="350"/>
      <c r="V39" s="350"/>
      <c r="W39" s="350"/>
      <c r="X39" s="350"/>
      <c r="Y39" s="350"/>
      <c r="Z39" s="350"/>
      <c r="AA39" s="350"/>
      <c r="AB39" s="350"/>
      <c r="AC39" s="350"/>
      <c r="AD39" s="350"/>
      <c r="AE39" s="350"/>
      <c r="AF39" s="350"/>
      <c r="AG39" s="350"/>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350"/>
      <c r="BU39" s="350"/>
      <c r="BV39" s="350"/>
    </row>
    <row r="40" spans="1:74">
      <c r="A40" s="94">
        <v>1.1000000000000001</v>
      </c>
    </row>
    <row r="41" spans="1:74">
      <c r="A41" s="94">
        <f>A40+0.1</f>
        <v>1.2000000000000002</v>
      </c>
    </row>
    <row r="42" spans="1:74">
      <c r="A42" s="94">
        <f t="shared" ref="A42:A49" si="29">A41+0.1</f>
        <v>1.3000000000000003</v>
      </c>
    </row>
    <row r="43" spans="1:74">
      <c r="A43" s="94">
        <f t="shared" si="29"/>
        <v>1.4000000000000004</v>
      </c>
    </row>
    <row r="44" spans="1:74">
      <c r="A44" s="94">
        <f t="shared" si="29"/>
        <v>1.5000000000000004</v>
      </c>
    </row>
    <row r="45" spans="1:74" ht="135.75" customHeight="1" thickBot="1">
      <c r="A45" s="94">
        <f t="shared" si="29"/>
        <v>1.6000000000000005</v>
      </c>
      <c r="C45" s="1441" t="s">
        <v>1558</v>
      </c>
      <c r="D45" s="1441" t="s">
        <v>439</v>
      </c>
      <c r="E45" s="1442" t="s">
        <v>1559</v>
      </c>
      <c r="F45" s="1442" t="s">
        <v>1560</v>
      </c>
      <c r="G45" s="1442" t="s">
        <v>1561</v>
      </c>
      <c r="H45" s="1442" t="s">
        <v>1562</v>
      </c>
      <c r="I45" s="1442" t="s">
        <v>1563</v>
      </c>
      <c r="J45" s="1760" t="s">
        <v>1655</v>
      </c>
      <c r="K45" s="1761"/>
      <c r="L45" s="1442" t="s">
        <v>1659</v>
      </c>
      <c r="M45" s="1640" t="s">
        <v>1658</v>
      </c>
      <c r="N45" s="1641"/>
      <c r="O45" s="1641"/>
      <c r="P45" s="1641"/>
      <c r="Q45" s="1641"/>
      <c r="R45" s="1641"/>
    </row>
    <row r="46" spans="1:74" ht="15" thickBot="1">
      <c r="A46" s="94">
        <f>A45+0.1</f>
        <v>1.7000000000000006</v>
      </c>
      <c r="C46" s="1443" t="s">
        <v>1564</v>
      </c>
      <c r="D46" s="1444">
        <f>'Production Schedule'!K42</f>
        <v>1.9999997549999999</v>
      </c>
      <c r="E46" s="1665">
        <f>'Production Schedule'!L42</f>
        <v>3210</v>
      </c>
      <c r="F46" s="629">
        <v>4.8099999999999996</v>
      </c>
      <c r="G46" s="1436">
        <v>6</v>
      </c>
      <c r="H46" s="1446">
        <f>1-(1-G46%-F46%)/(1-F46%)</f>
        <v>6.303183107469279E-2</v>
      </c>
      <c r="I46" s="1445">
        <f>E46*(1-H46)</f>
        <v>3007.667822250236</v>
      </c>
      <c r="J46" s="1444">
        <v>0</v>
      </c>
      <c r="K46" s="1665">
        <f>ROUND((D46*I46+J46*$R$59)/(D46+J46),-1)</f>
        <v>3010</v>
      </c>
      <c r="L46" s="1189" t="str">
        <f>R46</f>
        <v>G-13</v>
      </c>
      <c r="M46" s="1667"/>
      <c r="N46" s="1642" t="s">
        <v>26</v>
      </c>
      <c r="O46" s="1643" t="s">
        <v>1634</v>
      </c>
      <c r="P46" s="1644" t="s">
        <v>1635</v>
      </c>
      <c r="Q46" s="1644" t="s">
        <v>1636</v>
      </c>
      <c r="R46" s="1642" t="s">
        <v>1637</v>
      </c>
      <c r="S46" s="827">
        <v>1</v>
      </c>
    </row>
    <row r="47" spans="1:74" ht="14">
      <c r="A47" s="94">
        <f t="shared" si="29"/>
        <v>1.8000000000000007</v>
      </c>
      <c r="C47" s="1443" t="s">
        <v>1565</v>
      </c>
      <c r="D47" s="1444">
        <f>'Production Schedule'!K43</f>
        <v>3.9999986549999997</v>
      </c>
      <c r="E47" s="1665">
        <f>'Production Schedule'!L43</f>
        <v>3150</v>
      </c>
      <c r="F47" s="629">
        <v>4.7300000000000004</v>
      </c>
      <c r="G47" s="1447">
        <f>G46</f>
        <v>6</v>
      </c>
      <c r="H47" s="1446">
        <f t="shared" ref="H47:H64" si="30">1-(1-G47%-F47%)/(1-F47%)</f>
        <v>6.2978902067807319E-2</v>
      </c>
      <c r="I47" s="1445">
        <f t="shared" ref="I47:I64" si="31">E47*(1-H47)</f>
        <v>2951.6164584864068</v>
      </c>
      <c r="J47" s="1449">
        <v>0.13500000000000001</v>
      </c>
      <c r="K47" s="1665">
        <f>ROUND((D47*I47+J47*$O$59)/(D47+J47),-1)</f>
        <v>3000</v>
      </c>
      <c r="L47" s="1189" t="str">
        <f>O46</f>
        <v>G-10</v>
      </c>
      <c r="M47" s="1668" t="s">
        <v>1638</v>
      </c>
      <c r="N47" s="1645"/>
      <c r="O47" s="1646">
        <v>1356</v>
      </c>
      <c r="P47" s="1646">
        <v>1170</v>
      </c>
      <c r="Q47" s="1646">
        <v>1098</v>
      </c>
      <c r="R47" s="1647">
        <v>1013</v>
      </c>
      <c r="S47" s="1675">
        <v>2</v>
      </c>
    </row>
    <row r="48" spans="1:74" ht="14">
      <c r="A48" s="94">
        <f t="shared" si="29"/>
        <v>1.9000000000000008</v>
      </c>
      <c r="C48" s="1443" t="s">
        <v>1566</v>
      </c>
      <c r="D48" s="1444">
        <f>'Production Schedule'!K44</f>
        <v>8.00000073</v>
      </c>
      <c r="E48" s="1665">
        <f>'Production Schedule'!L44</f>
        <v>3160</v>
      </c>
      <c r="F48" s="629">
        <v>4.84</v>
      </c>
      <c r="G48" s="1447">
        <f t="shared" ref="G48:G64" si="32">G47</f>
        <v>6</v>
      </c>
      <c r="H48" s="1446">
        <f t="shared" si="30"/>
        <v>6.3051702395964693E-2</v>
      </c>
      <c r="I48" s="1445">
        <f t="shared" si="31"/>
        <v>2960.7566204287514</v>
      </c>
      <c r="J48" s="1449">
        <v>0.2</v>
      </c>
      <c r="K48" s="1665">
        <f>ROUND((D48*I48+J48*$O$59)/(D48+J48),-1)</f>
        <v>3000</v>
      </c>
      <c r="L48" s="1189" t="str">
        <f t="shared" ref="L48:L54" si="33">L47</f>
        <v>G-10</v>
      </c>
      <c r="M48" s="1669" t="s">
        <v>319</v>
      </c>
      <c r="N48" s="1649" t="s">
        <v>1639</v>
      </c>
      <c r="O48" s="1650">
        <f>O47*14%</f>
        <v>189.84000000000003</v>
      </c>
      <c r="P48" s="1651">
        <f>P47*14%</f>
        <v>163.80000000000001</v>
      </c>
      <c r="Q48" s="1651">
        <f>Q47*14%</f>
        <v>153.72000000000003</v>
      </c>
      <c r="R48" s="1652">
        <f>R47*14%</f>
        <v>141.82000000000002</v>
      </c>
      <c r="S48" s="827">
        <v>3</v>
      </c>
    </row>
    <row r="49" spans="1:21" ht="14">
      <c r="A49" s="94">
        <f t="shared" si="29"/>
        <v>2.0000000000000009</v>
      </c>
      <c r="C49" s="1443" t="s">
        <v>1567</v>
      </c>
      <c r="D49" s="1444">
        <f>'Production Schedule'!K45</f>
        <v>11.999998529999999</v>
      </c>
      <c r="E49" s="1665">
        <f>'Production Schedule'!L45</f>
        <v>3150</v>
      </c>
      <c r="F49" s="629">
        <v>5.09</v>
      </c>
      <c r="G49" s="1447">
        <f t="shared" si="32"/>
        <v>6</v>
      </c>
      <c r="H49" s="1446">
        <f t="shared" si="30"/>
        <v>6.3217785270256122E-2</v>
      </c>
      <c r="I49" s="1445">
        <f t="shared" si="31"/>
        <v>2950.863976398693</v>
      </c>
      <c r="J49" s="1449">
        <v>0.4</v>
      </c>
      <c r="K49" s="1665">
        <f t="shared" ref="K49:K51" si="34">ROUND((D49*I49+J49*$O$59)/(D49+J49),-1)</f>
        <v>3000</v>
      </c>
      <c r="L49" s="1189" t="str">
        <f t="shared" si="33"/>
        <v>G-10</v>
      </c>
      <c r="M49" s="1670" t="s">
        <v>1640</v>
      </c>
      <c r="N49" s="1649" t="s">
        <v>1641</v>
      </c>
      <c r="O49" s="1650">
        <f>O48*10%</f>
        <v>18.984000000000005</v>
      </c>
      <c r="P49" s="1651">
        <f>P48*10%</f>
        <v>16.380000000000003</v>
      </c>
      <c r="Q49" s="1651">
        <f>Q48*10%</f>
        <v>15.372000000000003</v>
      </c>
      <c r="R49" s="1652">
        <f>R48*10%</f>
        <v>14.182000000000002</v>
      </c>
      <c r="S49" s="1675">
        <v>4</v>
      </c>
    </row>
    <row r="50" spans="1:21" ht="14">
      <c r="C50" s="1443" t="s">
        <v>1568</v>
      </c>
      <c r="D50" s="1444">
        <f>'Production Schedule'!K46</f>
        <v>14.99999517</v>
      </c>
      <c r="E50" s="1665">
        <f>'Production Schedule'!L46</f>
        <v>3120</v>
      </c>
      <c r="F50" s="629">
        <v>5.21</v>
      </c>
      <c r="G50" s="1447">
        <f t="shared" si="32"/>
        <v>6</v>
      </c>
      <c r="H50" s="1446">
        <f t="shared" si="30"/>
        <v>6.3297816225340253E-2</v>
      </c>
      <c r="I50" s="1445">
        <f t="shared" si="31"/>
        <v>2922.5108133769386</v>
      </c>
      <c r="J50" s="1449">
        <v>0.8</v>
      </c>
      <c r="K50" s="1665">
        <f t="shared" si="34"/>
        <v>3000</v>
      </c>
      <c r="L50" s="1189" t="str">
        <f t="shared" si="33"/>
        <v>G-10</v>
      </c>
      <c r="M50" s="1670" t="s">
        <v>1642</v>
      </c>
      <c r="N50" s="1649" t="s">
        <v>1643</v>
      </c>
      <c r="O50" s="1650">
        <f>O48*3%</f>
        <v>5.6952000000000007</v>
      </c>
      <c r="P50" s="1651">
        <f>P48*3%</f>
        <v>4.9140000000000006</v>
      </c>
      <c r="Q50" s="1651">
        <f>Q48*3%</f>
        <v>4.611600000000001</v>
      </c>
      <c r="R50" s="1652">
        <f>R48*3%</f>
        <v>4.2546000000000008</v>
      </c>
      <c r="S50" s="827">
        <v>5</v>
      </c>
    </row>
    <row r="51" spans="1:21" ht="14">
      <c r="C51" s="1443" t="s">
        <v>1569</v>
      </c>
      <c r="D51" s="1444">
        <f>'Production Schedule'!K47</f>
        <v>15.000007140000001</v>
      </c>
      <c r="E51" s="1665">
        <f>'Production Schedule'!L47</f>
        <v>3190</v>
      </c>
      <c r="F51" s="629">
        <v>5.47</v>
      </c>
      <c r="G51" s="1447">
        <f t="shared" si="32"/>
        <v>6</v>
      </c>
      <c r="H51" s="1446">
        <f t="shared" si="30"/>
        <v>6.3471913678197489E-2</v>
      </c>
      <c r="I51" s="1445">
        <f t="shared" si="31"/>
        <v>2987.5245953665499</v>
      </c>
      <c r="J51" s="1449">
        <v>0.1</v>
      </c>
      <c r="K51" s="1665">
        <f t="shared" si="34"/>
        <v>3000</v>
      </c>
      <c r="L51" s="1189" t="str">
        <f t="shared" si="33"/>
        <v>G-10</v>
      </c>
      <c r="M51" s="1670" t="s">
        <v>1644</v>
      </c>
      <c r="N51" s="1649" t="s">
        <v>1645</v>
      </c>
      <c r="O51" s="1650">
        <f>O47*18%</f>
        <v>244.07999999999998</v>
      </c>
      <c r="P51" s="1651">
        <f>P47*18%</f>
        <v>210.6</v>
      </c>
      <c r="Q51" s="1651">
        <f>Q47*18%</f>
        <v>197.64</v>
      </c>
      <c r="R51" s="1652">
        <f>R47*18%</f>
        <v>182.34</v>
      </c>
      <c r="S51" s="1675">
        <v>6</v>
      </c>
    </row>
    <row r="52" spans="1:21" ht="30">
      <c r="C52" s="1443" t="s">
        <v>1570</v>
      </c>
      <c r="D52" s="1444">
        <f>'Production Schedule'!K48</f>
        <v>14.999998590000001</v>
      </c>
      <c r="E52" s="1665">
        <f>'Production Schedule'!L48</f>
        <v>3090</v>
      </c>
      <c r="F52" s="629">
        <v>5.21</v>
      </c>
      <c r="G52" s="1447">
        <f t="shared" si="32"/>
        <v>6</v>
      </c>
      <c r="H52" s="1446">
        <f t="shared" si="30"/>
        <v>6.3297816225340253E-2</v>
      </c>
      <c r="I52" s="1445">
        <f t="shared" si="31"/>
        <v>2894.4097478636986</v>
      </c>
      <c r="J52" s="1449">
        <v>1.1200000000000001</v>
      </c>
      <c r="K52" s="1665">
        <f t="shared" ref="K52:K57" si="35">ROUND((D52*I52+J52*$O$59)/(D52+J52),-1)</f>
        <v>3000</v>
      </c>
      <c r="L52" s="1189" t="str">
        <f t="shared" si="33"/>
        <v>G-10</v>
      </c>
      <c r="M52" s="1671" t="s">
        <v>1646</v>
      </c>
      <c r="N52" s="1649" t="s">
        <v>1647</v>
      </c>
      <c r="O52" s="1650">
        <f>(O48+O49+O50)*18%</f>
        <v>38.613456000000006</v>
      </c>
      <c r="P52" s="1651">
        <f>(P48+P49+P50)*18%</f>
        <v>33.316919999999996</v>
      </c>
      <c r="Q52" s="1651">
        <f>(Q48+Q49+Q50)*18%</f>
        <v>31.266648000000007</v>
      </c>
      <c r="R52" s="1652">
        <f>(R48+R49+R50)*18%</f>
        <v>28.846188000000001</v>
      </c>
      <c r="S52" s="827">
        <v>7</v>
      </c>
    </row>
    <row r="53" spans="1:21" ht="14">
      <c r="C53" s="1443" t="s">
        <v>1571</v>
      </c>
      <c r="D53" s="1444">
        <f>'Production Schedule'!K49</f>
        <v>14.999996879999999</v>
      </c>
      <c r="E53" s="1665">
        <f>'Production Schedule'!L49</f>
        <v>3160</v>
      </c>
      <c r="F53" s="629">
        <v>4.84</v>
      </c>
      <c r="G53" s="1447">
        <f t="shared" si="32"/>
        <v>6</v>
      </c>
      <c r="H53" s="1446">
        <f t="shared" si="30"/>
        <v>6.3051702395964693E-2</v>
      </c>
      <c r="I53" s="1445">
        <f t="shared" si="31"/>
        <v>2960.7566204287514</v>
      </c>
      <c r="J53" s="1449">
        <v>0.4</v>
      </c>
      <c r="K53" s="1665">
        <f t="shared" si="35"/>
        <v>3000</v>
      </c>
      <c r="L53" s="1189" t="str">
        <f t="shared" si="33"/>
        <v>G-10</v>
      </c>
      <c r="M53" s="1669" t="s">
        <v>1648</v>
      </c>
      <c r="N53" s="1648"/>
      <c r="O53" s="1650">
        <f>SUM(O47:O52)</f>
        <v>1853.2126560000002</v>
      </c>
      <c r="P53" s="1651">
        <f>SUM(P47:P52)</f>
        <v>1599.0109199999999</v>
      </c>
      <c r="Q53" s="1651">
        <f>SUM(Q47:Q52)</f>
        <v>1500.6102480000002</v>
      </c>
      <c r="R53" s="1652">
        <f>SUM(R47:R52)</f>
        <v>1384.4427879999998</v>
      </c>
      <c r="S53" s="1675">
        <v>8</v>
      </c>
    </row>
    <row r="54" spans="1:21" ht="14">
      <c r="C54" s="1443" t="s">
        <v>1572</v>
      </c>
      <c r="D54" s="1444">
        <f>'Production Schedule'!K50</f>
        <v>15.000003719999999</v>
      </c>
      <c r="E54" s="1665">
        <f>'Production Schedule'!L50</f>
        <v>3190</v>
      </c>
      <c r="F54" s="629">
        <v>5.0999999999999996</v>
      </c>
      <c r="G54" s="1447">
        <f t="shared" si="32"/>
        <v>6</v>
      </c>
      <c r="H54" s="1446">
        <f t="shared" si="30"/>
        <v>6.3224446786090627E-2</v>
      </c>
      <c r="I54" s="1445">
        <f t="shared" si="31"/>
        <v>2988.3140147523709</v>
      </c>
      <c r="J54" s="1449">
        <v>0.12</v>
      </c>
      <c r="K54" s="1665">
        <f t="shared" si="35"/>
        <v>3000</v>
      </c>
      <c r="L54" s="1189" t="str">
        <f t="shared" si="33"/>
        <v>G-10</v>
      </c>
      <c r="M54" s="1670" t="s">
        <v>255</v>
      </c>
      <c r="N54" s="1649" t="s">
        <v>1649</v>
      </c>
      <c r="O54" s="1650">
        <f>O53*5%</f>
        <v>92.660632800000016</v>
      </c>
      <c r="P54" s="1651">
        <f>P53*5%</f>
        <v>79.950546000000003</v>
      </c>
      <c r="Q54" s="1651">
        <f>Q53*5%</f>
        <v>75.030512400000006</v>
      </c>
      <c r="R54" s="1652">
        <f>R53*5%</f>
        <v>69.222139399999989</v>
      </c>
      <c r="S54" s="827">
        <v>9</v>
      </c>
    </row>
    <row r="55" spans="1:21" ht="14">
      <c r="C55" s="1443" t="s">
        <v>1573</v>
      </c>
      <c r="D55" s="1444">
        <f>'Production Schedule'!K51</f>
        <v>14.99999517</v>
      </c>
      <c r="E55" s="1665">
        <f>'Production Schedule'!L51</f>
        <v>3280</v>
      </c>
      <c r="F55" s="629">
        <v>5.17</v>
      </c>
      <c r="G55" s="1447">
        <f t="shared" si="32"/>
        <v>6</v>
      </c>
      <c r="H55" s="1446">
        <f t="shared" si="30"/>
        <v>6.3271116735210464E-2</v>
      </c>
      <c r="I55" s="1445">
        <f t="shared" si="31"/>
        <v>3072.4707371085096</v>
      </c>
      <c r="J55" s="1449">
        <v>0</v>
      </c>
      <c r="K55" s="1665">
        <f t="shared" si="35"/>
        <v>3070</v>
      </c>
      <c r="L55" s="1189" t="str">
        <f t="shared" ref="L55" si="36">L54</f>
        <v>G-10</v>
      </c>
      <c r="M55" s="1670" t="s">
        <v>146</v>
      </c>
      <c r="N55" s="1649"/>
      <c r="O55" s="1653">
        <f>O53+O54</f>
        <v>1945.8732888000002</v>
      </c>
      <c r="P55" s="1654">
        <f>P53+P54</f>
        <v>1678.961466</v>
      </c>
      <c r="Q55" s="1654">
        <f>Q53+Q54</f>
        <v>1575.6407604000001</v>
      </c>
      <c r="R55" s="1655">
        <f>R53+R54</f>
        <v>1453.6649273999999</v>
      </c>
      <c r="S55" s="1675">
        <v>10</v>
      </c>
    </row>
    <row r="56" spans="1:21" ht="14">
      <c r="C56" s="1443" t="s">
        <v>1574</v>
      </c>
      <c r="D56" s="1444">
        <f>'Production Schedule'!K52</f>
        <v>14.999996879999999</v>
      </c>
      <c r="E56" s="1665">
        <f>'Production Schedule'!L52</f>
        <v>3280</v>
      </c>
      <c r="F56" s="629">
        <v>5.17</v>
      </c>
      <c r="G56" s="1447">
        <f t="shared" si="32"/>
        <v>6</v>
      </c>
      <c r="H56" s="1446">
        <f t="shared" si="30"/>
        <v>6.3271116735210464E-2</v>
      </c>
      <c r="I56" s="1445">
        <f t="shared" si="31"/>
        <v>3072.4707371085096</v>
      </c>
      <c r="J56" s="1449">
        <v>0</v>
      </c>
      <c r="K56" s="1665">
        <f t="shared" si="35"/>
        <v>3070</v>
      </c>
      <c r="L56" s="1189" t="str">
        <f t="shared" ref="L56" si="37">L55</f>
        <v>G-10</v>
      </c>
      <c r="M56" s="1670" t="s">
        <v>1650</v>
      </c>
      <c r="N56" s="1649"/>
      <c r="O56" s="1656">
        <v>250</v>
      </c>
      <c r="P56" s="1656">
        <f>O56</f>
        <v>250</v>
      </c>
      <c r="Q56" s="1656">
        <f t="shared" ref="Q56:R56" si="38">P56</f>
        <v>250</v>
      </c>
      <c r="R56" s="1657">
        <f t="shared" si="38"/>
        <v>250</v>
      </c>
      <c r="S56" s="827">
        <v>11</v>
      </c>
      <c r="T56" s="94" t="s">
        <v>1652</v>
      </c>
      <c r="U56" s="94" t="s">
        <v>1653</v>
      </c>
    </row>
    <row r="57" spans="1:21" ht="14">
      <c r="C57" s="1443" t="s">
        <v>1575</v>
      </c>
      <c r="D57" s="1444">
        <f>'Production Schedule'!K53</f>
        <v>15.000002009999999</v>
      </c>
      <c r="E57" s="1665">
        <f>'Production Schedule'!L53</f>
        <v>3020</v>
      </c>
      <c r="F57" s="629">
        <v>5.45</v>
      </c>
      <c r="G57" s="1447">
        <f t="shared" si="32"/>
        <v>6</v>
      </c>
      <c r="H57" s="1446">
        <f t="shared" si="30"/>
        <v>6.3458487572712885E-2</v>
      </c>
      <c r="I57" s="1445">
        <f t="shared" si="31"/>
        <v>2828.355367530407</v>
      </c>
      <c r="J57" s="1449">
        <v>1.8</v>
      </c>
      <c r="K57" s="1665">
        <f t="shared" si="35"/>
        <v>3000</v>
      </c>
      <c r="L57" s="1189" t="str">
        <f>O46</f>
        <v>G-10</v>
      </c>
      <c r="M57" s="1669" t="s">
        <v>267</v>
      </c>
      <c r="N57" s="1649"/>
      <c r="O57" s="1653">
        <f>(O55+O56)</f>
        <v>2195.8732888000004</v>
      </c>
      <c r="P57" s="1653">
        <f t="shared" ref="P57:R57" si="39">(P55+P56)</f>
        <v>1928.961466</v>
      </c>
      <c r="Q57" s="1653">
        <f t="shared" si="39"/>
        <v>1825.6407604000001</v>
      </c>
      <c r="R57" s="1658">
        <f t="shared" si="39"/>
        <v>1703.6649273999999</v>
      </c>
      <c r="S57" s="1675">
        <v>12</v>
      </c>
    </row>
    <row r="58" spans="1:21" ht="15" thickBot="1">
      <c r="C58" s="1443" t="s">
        <v>1576</v>
      </c>
      <c r="D58" s="1444">
        <f>'Production Schedule'!K54</f>
        <v>15.00001569</v>
      </c>
      <c r="E58" s="1665">
        <f>'Production Schedule'!L54</f>
        <v>3120</v>
      </c>
      <c r="F58" s="629">
        <v>5.49</v>
      </c>
      <c r="G58" s="1447">
        <f t="shared" si="32"/>
        <v>6</v>
      </c>
      <c r="H58" s="1446">
        <f t="shared" si="30"/>
        <v>6.3485345466088305E-2</v>
      </c>
      <c r="I58" s="1445">
        <f t="shared" si="31"/>
        <v>2921.9257221458047</v>
      </c>
      <c r="J58" s="1449">
        <v>1.3</v>
      </c>
      <c r="K58" s="1665">
        <f>ROUND((D58*I58+J58*$Q$59)/(D58+J58),-1)</f>
        <v>3000</v>
      </c>
      <c r="L58" s="1189" t="str">
        <f>Q46</f>
        <v>G-12</v>
      </c>
      <c r="M58" s="1672" t="s">
        <v>1651</v>
      </c>
      <c r="N58" s="1659"/>
      <c r="O58" s="1660">
        <f>ROUND(O57,-2)</f>
        <v>2200</v>
      </c>
      <c r="P58" s="1660">
        <f t="shared" ref="P58:R58" si="40">ROUND(P57,-2)</f>
        <v>1900</v>
      </c>
      <c r="Q58" s="1660">
        <f t="shared" si="40"/>
        <v>1800</v>
      </c>
      <c r="R58" s="1661">
        <f t="shared" si="40"/>
        <v>1700</v>
      </c>
      <c r="S58" s="827">
        <v>13</v>
      </c>
    </row>
    <row r="59" spans="1:21" ht="15" thickBot="1">
      <c r="C59" s="1443" t="s">
        <v>1577</v>
      </c>
      <c r="D59" s="1444">
        <f>'Production Schedule'!K55</f>
        <v>15.000002009999999</v>
      </c>
      <c r="E59" s="1665">
        <f>'Production Schedule'!L55</f>
        <v>3100</v>
      </c>
      <c r="F59" s="629">
        <v>5.69</v>
      </c>
      <c r="G59" s="1447">
        <f t="shared" si="32"/>
        <v>6</v>
      </c>
      <c r="H59" s="1446">
        <f t="shared" si="30"/>
        <v>6.3619976672675271E-2</v>
      </c>
      <c r="I59" s="1445">
        <f t="shared" si="31"/>
        <v>2902.7780723147066</v>
      </c>
      <c r="J59" s="1449">
        <v>1.2</v>
      </c>
      <c r="K59" s="1665">
        <f>ROUND((D59*I59+J59*$P$59)/(D59+J59),-1)</f>
        <v>3000</v>
      </c>
      <c r="L59" s="1189" t="str">
        <f>P46</f>
        <v>G-11</v>
      </c>
      <c r="M59" s="1673" t="s">
        <v>1654</v>
      </c>
      <c r="N59" s="1664"/>
      <c r="O59" s="1662">
        <v>4450.5</v>
      </c>
      <c r="P59" s="1662">
        <v>4150.5</v>
      </c>
      <c r="Q59" s="1662">
        <v>3850.5</v>
      </c>
      <c r="R59" s="1663">
        <v>3551</v>
      </c>
      <c r="S59" s="1675">
        <v>14</v>
      </c>
    </row>
    <row r="60" spans="1:21" ht="14">
      <c r="C60" s="1443" t="s">
        <v>1578</v>
      </c>
      <c r="D60" s="1444">
        <f>'Production Schedule'!K56</f>
        <v>15.000002009999999</v>
      </c>
      <c r="E60" s="1665">
        <f>'Production Schedule'!L56</f>
        <v>2850</v>
      </c>
      <c r="F60" s="629">
        <v>5.88</v>
      </c>
      <c r="G60" s="1447">
        <f t="shared" si="32"/>
        <v>6</v>
      </c>
      <c r="H60" s="1446">
        <f t="shared" si="30"/>
        <v>6.3748406289842796E-2</v>
      </c>
      <c r="I60" s="1445">
        <f t="shared" si="31"/>
        <v>2668.317042073948</v>
      </c>
      <c r="J60" s="1449">
        <v>3.4</v>
      </c>
      <c r="K60" s="1665">
        <f>ROUND((D60*I60+J60*$O$59)/(D60+J60),-1)</f>
        <v>3000</v>
      </c>
      <c r="L60" s="1189" t="str">
        <f>O46</f>
        <v>G-10</v>
      </c>
    </row>
    <row r="61" spans="1:21" ht="14">
      <c r="C61" s="1443" t="s">
        <v>1579</v>
      </c>
      <c r="D61" s="1444">
        <f>'Production Schedule'!K57</f>
        <v>15.000000299999998</v>
      </c>
      <c r="E61" s="1665">
        <f>'Production Schedule'!L57</f>
        <v>2970</v>
      </c>
      <c r="F61" s="629">
        <v>5.61</v>
      </c>
      <c r="G61" s="1447">
        <f t="shared" si="32"/>
        <v>6</v>
      </c>
      <c r="H61" s="1446">
        <f t="shared" si="30"/>
        <v>6.3566055726242299E-2</v>
      </c>
      <c r="I61" s="1445">
        <f t="shared" si="31"/>
        <v>2781.2088144930603</v>
      </c>
      <c r="J61" s="1449">
        <v>2.2999999999999998</v>
      </c>
      <c r="K61" s="1665">
        <f>ROUND((D61*I61+J61*$O$59)/(D61+J61),-1)</f>
        <v>3000</v>
      </c>
      <c r="L61" s="1189" t="str">
        <f>O46</f>
        <v>G-10</v>
      </c>
    </row>
    <row r="62" spans="1:21" ht="14">
      <c r="C62" s="1443" t="s">
        <v>1580</v>
      </c>
      <c r="D62" s="1444">
        <f>'Production Schedule'!K58</f>
        <v>9.9999996299999996</v>
      </c>
      <c r="E62" s="1665">
        <f>'Production Schedule'!L58</f>
        <v>3020</v>
      </c>
      <c r="F62" s="629">
        <v>5.45</v>
      </c>
      <c r="G62" s="1447">
        <f t="shared" si="32"/>
        <v>6</v>
      </c>
      <c r="H62" s="1446">
        <f t="shared" si="30"/>
        <v>6.3458487572712885E-2</v>
      </c>
      <c r="I62" s="1445">
        <f t="shared" si="31"/>
        <v>2828.355367530407</v>
      </c>
      <c r="J62" s="1449">
        <v>1.2</v>
      </c>
      <c r="K62" s="1665">
        <f>ROUND((D62*I62+J62*$O$59)/(D62+J62),-1)</f>
        <v>3000</v>
      </c>
      <c r="L62" s="1189" t="str">
        <f>O46</f>
        <v>G-10</v>
      </c>
      <c r="O62" s="754"/>
    </row>
    <row r="63" spans="1:21" ht="14">
      <c r="C63" s="1443" t="s">
        <v>1581</v>
      </c>
      <c r="D63" s="1444">
        <f>'Production Schedule'!K59</f>
        <v>7.5000027149999999</v>
      </c>
      <c r="E63" s="1665">
        <f>'Production Schedule'!L59</f>
        <v>3040</v>
      </c>
      <c r="F63" s="629">
        <v>5.48</v>
      </c>
      <c r="G63" s="1447">
        <f t="shared" si="32"/>
        <v>6</v>
      </c>
      <c r="H63" s="1446">
        <f t="shared" si="30"/>
        <v>6.3478628861616593E-2</v>
      </c>
      <c r="I63" s="1445">
        <f t="shared" si="31"/>
        <v>2847.0249682606855</v>
      </c>
      <c r="J63" s="1449">
        <v>1.3</v>
      </c>
      <c r="K63" s="1665">
        <f>ROUND((D63*I63+J63*$Q$59)/(D63+J63),-1)</f>
        <v>3000</v>
      </c>
      <c r="L63" s="1189" t="str">
        <f>R46</f>
        <v>G-13</v>
      </c>
    </row>
    <row r="64" spans="1:21" ht="14">
      <c r="C64" s="1443" t="s">
        <v>1582</v>
      </c>
      <c r="D64" s="1444">
        <f>'Production Schedule'!K60</f>
        <v>2.2043909249999998</v>
      </c>
      <c r="E64" s="1665">
        <f>'Production Schedule'!L60</f>
        <v>3200</v>
      </c>
      <c r="F64" s="629">
        <v>5.58</v>
      </c>
      <c r="G64" s="1447">
        <f t="shared" si="32"/>
        <v>6</v>
      </c>
      <c r="H64" s="1446">
        <f t="shared" si="30"/>
        <v>6.35458589281932E-2</v>
      </c>
      <c r="I64" s="1445">
        <f t="shared" si="31"/>
        <v>2996.6532514297819</v>
      </c>
      <c r="J64" s="1449">
        <v>0</v>
      </c>
      <c r="K64" s="1665">
        <f t="shared" ref="K64" si="41">ROUND((D64*I64+J64*$Q$59)/(D64+J64),-1)</f>
        <v>3000</v>
      </c>
      <c r="L64" s="1189" t="str">
        <f>L63</f>
        <v>G-13</v>
      </c>
    </row>
    <row r="65" spans="2:26" ht="15">
      <c r="C65" s="1448" t="s">
        <v>267</v>
      </c>
      <c r="D65" s="1449">
        <f>SUM(D46:D64)</f>
        <v>225.70440651000001</v>
      </c>
      <c r="E65" s="1450">
        <f>SUMPRODUCT($D$46:$D$64,E46:E64)/$D$65</f>
        <v>3113.3822718404308</v>
      </c>
      <c r="F65" s="1451">
        <f>SUMPRODUCT($D$46:$D$64,F46:F64)/$D$65</f>
        <v>5.3193050709313763</v>
      </c>
      <c r="G65" s="1451">
        <f>SUMPRODUCT($D$46:$D$64,G46:G64)/$D$65</f>
        <v>6</v>
      </c>
      <c r="H65" s="629"/>
      <c r="I65" s="1450">
        <f>SUMPRODUCT($D$46:$D$64,I46:I64)/$D$65</f>
        <v>2916.0969726887915</v>
      </c>
      <c r="J65" s="1449">
        <f>SUM(J46:J64)</f>
        <v>15.774999999999999</v>
      </c>
      <c r="K65" s="1676">
        <f>(SUMPRODUCT(J46:J64,K46:K64)/J65)</f>
        <v>3000.0000000000005</v>
      </c>
      <c r="L65" s="1189"/>
    </row>
    <row r="68" spans="2:26">
      <c r="B68" s="1189"/>
      <c r="C68" s="1189" t="s">
        <v>125</v>
      </c>
      <c r="D68" s="1189">
        <v>-4</v>
      </c>
      <c r="E68" s="1189">
        <v>-3</v>
      </c>
      <c r="F68" s="1189">
        <v>-2</v>
      </c>
      <c r="G68" s="1189">
        <v>-1</v>
      </c>
      <c r="H68" s="1189">
        <v>1</v>
      </c>
      <c r="I68" s="1189">
        <v>2</v>
      </c>
      <c r="J68" s="1189">
        <v>3</v>
      </c>
      <c r="K68" s="1189">
        <v>4</v>
      </c>
      <c r="L68" s="1189">
        <v>5</v>
      </c>
      <c r="M68" s="1189">
        <v>6</v>
      </c>
      <c r="N68" s="1189">
        <v>7</v>
      </c>
      <c r="O68" s="1189">
        <v>8</v>
      </c>
      <c r="P68" s="1189">
        <v>9</v>
      </c>
      <c r="Q68" s="1189">
        <v>10</v>
      </c>
      <c r="R68" s="1189">
        <v>11</v>
      </c>
      <c r="S68" s="1189">
        <v>12</v>
      </c>
      <c r="T68" s="1189">
        <v>13</v>
      </c>
      <c r="U68" s="1189">
        <v>14</v>
      </c>
      <c r="V68" s="1189">
        <v>15</v>
      </c>
      <c r="W68" s="1189">
        <v>16</v>
      </c>
      <c r="X68" s="1189">
        <v>17</v>
      </c>
      <c r="Y68" s="1189">
        <v>18</v>
      </c>
      <c r="Z68" s="1189">
        <v>19</v>
      </c>
    </row>
    <row r="69" spans="2:26">
      <c r="B69" s="1189" t="s">
        <v>1657</v>
      </c>
      <c r="C69" s="1189" t="s">
        <v>113</v>
      </c>
      <c r="D69" s="1189"/>
      <c r="E69" s="1189"/>
      <c r="F69" s="1189"/>
      <c r="G69" s="1189"/>
      <c r="H69" s="1674">
        <f t="array" ref="H69:Z69">TRANSPOSE(J46:J64)</f>
        <v>0</v>
      </c>
      <c r="I69" s="1674">
        <v>0.13500000000000001</v>
      </c>
      <c r="J69" s="1674">
        <v>0.2</v>
      </c>
      <c r="K69" s="1674">
        <v>0.4</v>
      </c>
      <c r="L69" s="1674">
        <v>0.8</v>
      </c>
      <c r="M69" s="1674">
        <v>0.1</v>
      </c>
      <c r="N69" s="1674">
        <v>1.1200000000000001</v>
      </c>
      <c r="O69" s="1674">
        <v>0.4</v>
      </c>
      <c r="P69" s="1674">
        <v>0.12</v>
      </c>
      <c r="Q69" s="1674">
        <v>0</v>
      </c>
      <c r="R69" s="1674">
        <v>0</v>
      </c>
      <c r="S69" s="1674">
        <v>1.8</v>
      </c>
      <c r="T69" s="1674">
        <v>1.3</v>
      </c>
      <c r="U69" s="1674">
        <v>1.2</v>
      </c>
      <c r="V69" s="1674">
        <v>3.4</v>
      </c>
      <c r="W69" s="1674">
        <v>2.2999999999999998</v>
      </c>
      <c r="X69" s="1674">
        <v>1.2</v>
      </c>
      <c r="Y69" s="1674">
        <v>1.3</v>
      </c>
      <c r="Z69" s="1674">
        <v>0</v>
      </c>
    </row>
    <row r="70" spans="2:26">
      <c r="B70" s="1189" t="s">
        <v>1660</v>
      </c>
      <c r="C70" s="1189"/>
      <c r="D70" s="1189"/>
      <c r="E70" s="1189"/>
      <c r="F70" s="1189"/>
      <c r="G70" s="1189"/>
      <c r="H70" s="1674" t="str">
        <f t="array" ref="H70:Z70">TRANSPOSE(L46:L64)</f>
        <v>G-13</v>
      </c>
      <c r="I70" s="1674" t="str">
        <v>G-10</v>
      </c>
      <c r="J70" s="1674" t="str">
        <v>G-10</v>
      </c>
      <c r="K70" s="1674" t="str">
        <v>G-10</v>
      </c>
      <c r="L70" s="1674" t="str">
        <v>G-10</v>
      </c>
      <c r="M70" s="1674" t="str">
        <v>G-10</v>
      </c>
      <c r="N70" s="1674" t="str">
        <v>G-10</v>
      </c>
      <c r="O70" s="1674" t="str">
        <v>G-10</v>
      </c>
      <c r="P70" s="1674" t="str">
        <v>G-10</v>
      </c>
      <c r="Q70" s="1674" t="str">
        <v>G-10</v>
      </c>
      <c r="R70" s="1674" t="str">
        <v>G-10</v>
      </c>
      <c r="S70" s="1674" t="str">
        <v>G-10</v>
      </c>
      <c r="T70" s="1674" t="str">
        <v>G-12</v>
      </c>
      <c r="U70" s="1674" t="str">
        <v>G-11</v>
      </c>
      <c r="V70" s="1674" t="str">
        <v>G-10</v>
      </c>
      <c r="W70" s="1674" t="str">
        <v>G-10</v>
      </c>
      <c r="X70" s="1674" t="str">
        <v>G-10</v>
      </c>
      <c r="Y70" s="1674" t="str">
        <v>G-13</v>
      </c>
      <c r="Z70" s="1674" t="str">
        <v>G-13</v>
      </c>
    </row>
    <row r="71" spans="2:26">
      <c r="B71" s="1189" t="s">
        <v>1661</v>
      </c>
      <c r="C71" s="1189" t="s">
        <v>275</v>
      </c>
      <c r="D71" s="1189"/>
      <c r="E71" s="1189"/>
      <c r="F71" s="1189"/>
      <c r="G71" s="1189"/>
      <c r="H71" s="1674">
        <f>IFERROR(HLOOKUP(H70,$O$46:$S$59,13,FALSE),0)</f>
        <v>1700</v>
      </c>
      <c r="I71" s="1674">
        <f t="shared" ref="I71:Z71" si="42">IFERROR(HLOOKUP(I70,$O$46:$S$59,13,FALSE),0)</f>
        <v>2200</v>
      </c>
      <c r="J71" s="1674">
        <f t="shared" si="42"/>
        <v>2200</v>
      </c>
      <c r="K71" s="1674">
        <f t="shared" si="42"/>
        <v>2200</v>
      </c>
      <c r="L71" s="1674">
        <f t="shared" si="42"/>
        <v>2200</v>
      </c>
      <c r="M71" s="1674">
        <f t="shared" si="42"/>
        <v>2200</v>
      </c>
      <c r="N71" s="1674">
        <f t="shared" si="42"/>
        <v>2200</v>
      </c>
      <c r="O71" s="1674">
        <f t="shared" si="42"/>
        <v>2200</v>
      </c>
      <c r="P71" s="1674">
        <f t="shared" si="42"/>
        <v>2200</v>
      </c>
      <c r="Q71" s="1674">
        <f t="shared" si="42"/>
        <v>2200</v>
      </c>
      <c r="R71" s="1674">
        <f t="shared" si="42"/>
        <v>2200</v>
      </c>
      <c r="S71" s="1674">
        <f t="shared" si="42"/>
        <v>2200</v>
      </c>
      <c r="T71" s="1674">
        <f t="shared" si="42"/>
        <v>1800</v>
      </c>
      <c r="U71" s="1674">
        <f t="shared" si="42"/>
        <v>1900</v>
      </c>
      <c r="V71" s="1674">
        <f t="shared" si="42"/>
        <v>2200</v>
      </c>
      <c r="W71" s="1674">
        <f t="shared" si="42"/>
        <v>2200</v>
      </c>
      <c r="X71" s="1674">
        <f t="shared" si="42"/>
        <v>2200</v>
      </c>
      <c r="Y71" s="1674">
        <f t="shared" si="42"/>
        <v>1700</v>
      </c>
      <c r="Z71" s="1674">
        <f t="shared" si="42"/>
        <v>1700</v>
      </c>
    </row>
  </sheetData>
  <mergeCells count="3">
    <mergeCell ref="B14:B15"/>
    <mergeCell ref="C14:D14"/>
    <mergeCell ref="J45:K45"/>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F4CA-BCF4-4B73-8010-D071DFCBD39C}">
  <sheetPr codeName="Sheet51">
    <tabColor rgb="FFFF0000"/>
  </sheetPr>
  <dimension ref="A2:AM217"/>
  <sheetViews>
    <sheetView showGridLines="0" topLeftCell="A70" zoomScale="87" zoomScaleNormal="60" workbookViewId="0">
      <selection activeCell="D18" sqref="D18"/>
    </sheetView>
  </sheetViews>
  <sheetFormatPr baseColWidth="10" defaultColWidth="9.5" defaultRowHeight="13"/>
  <cols>
    <col min="1" max="2" width="9.5" style="1"/>
    <col min="3" max="3" width="52.5" style="1" bestFit="1" customWidth="1"/>
    <col min="4" max="4" width="20.5" style="1" bestFit="1" customWidth="1"/>
    <col min="5" max="5" width="13.5" style="1" bestFit="1" customWidth="1"/>
    <col min="6" max="7" width="11.5" style="299" bestFit="1" customWidth="1"/>
    <col min="8" max="21" width="11.5" style="1" bestFit="1" customWidth="1"/>
    <col min="22" max="23" width="9.5" style="1"/>
    <col min="24" max="24" width="12.83203125" style="1" customWidth="1"/>
    <col min="25" max="16384" width="9.5" style="1"/>
  </cols>
  <sheetData>
    <row r="2" spans="1:7">
      <c r="A2" s="60" t="s">
        <v>1583</v>
      </c>
    </row>
    <row r="4" spans="1:7" ht="28">
      <c r="B4" s="1452" t="s">
        <v>1584</v>
      </c>
      <c r="C4" s="1452" t="s">
        <v>34</v>
      </c>
      <c r="D4" s="1453" t="s">
        <v>1585</v>
      </c>
      <c r="E4" s="1454"/>
    </row>
    <row r="5" spans="1:7" ht="14">
      <c r="B5" s="973">
        <v>1</v>
      </c>
      <c r="C5" s="1455" t="str">
        <f>'Project OPEX'!B13</f>
        <v>MDO/ Contractor Cost</v>
      </c>
      <c r="D5" s="1456">
        <f>'Project OPEX'!D13</f>
        <v>0</v>
      </c>
      <c r="E5" s="1457"/>
      <c r="F5" s="556">
        <f t="shared" ref="F5:F20" si="0">F4+G4</f>
        <v>0</v>
      </c>
      <c r="G5" s="557">
        <f>F5</f>
        <v>0</v>
      </c>
    </row>
    <row r="6" spans="1:7">
      <c r="B6" s="839">
        <f>B5+1</f>
        <v>2</v>
      </c>
      <c r="C6" s="1458">
        <f>'Project OPEX'!B14</f>
        <v>0</v>
      </c>
      <c r="D6" s="1459">
        <f>'Project OPEX'!D14</f>
        <v>0</v>
      </c>
      <c r="E6" s="1457"/>
      <c r="F6" s="556">
        <f>F23+G23</f>
        <v>3.2669140981709233</v>
      </c>
      <c r="G6" s="557">
        <f t="shared" ref="G6:G23" si="1">D6</f>
        <v>0</v>
      </c>
    </row>
    <row r="7" spans="1:7" ht="14">
      <c r="B7" s="839">
        <f t="shared" ref="B7:B23" si="2">B6+1</f>
        <v>3</v>
      </c>
      <c r="C7" s="1458" t="str">
        <f>'Project OPEX'!B15</f>
        <v xml:space="preserve">Diesel </v>
      </c>
      <c r="D7" s="1459">
        <f>'Project OPEX'!D15</f>
        <v>128.69363752327683</v>
      </c>
      <c r="E7" s="1457"/>
      <c r="F7" s="556"/>
      <c r="G7" s="557"/>
    </row>
    <row r="8" spans="1:7" ht="14">
      <c r="B8" s="839">
        <f t="shared" si="2"/>
        <v>4</v>
      </c>
      <c r="C8" s="1458" t="str">
        <f>'Project OPEX'!B17</f>
        <v>HEMM Spares (including drill consumables)</v>
      </c>
      <c r="D8" s="1459">
        <f>'Project OPEX'!D17</f>
        <v>47.514654954956939</v>
      </c>
      <c r="E8" s="1460"/>
      <c r="F8" s="556"/>
      <c r="G8" s="557"/>
    </row>
    <row r="9" spans="1:7" ht="14">
      <c r="B9" s="839">
        <f t="shared" si="2"/>
        <v>5</v>
      </c>
      <c r="C9" s="1458" t="str">
        <f>'Project OPEX'!B18</f>
        <v>Tyres</v>
      </c>
      <c r="D9" s="1459">
        <f>'Project OPEX'!D18</f>
        <v>12.606884503065155</v>
      </c>
      <c r="E9" s="1457"/>
      <c r="F9" s="556"/>
      <c r="G9" s="557"/>
    </row>
    <row r="10" spans="1:7" ht="14">
      <c r="B10" s="839">
        <f t="shared" si="2"/>
        <v>6</v>
      </c>
      <c r="C10" s="1458" t="str">
        <f>'Project OPEX'!B19</f>
        <v>CHP</v>
      </c>
      <c r="D10" s="1459">
        <f>'Project OPEX'!D19</f>
        <v>9.7551601186946595</v>
      </c>
      <c r="E10" s="1457"/>
      <c r="F10" s="556"/>
      <c r="G10" s="557"/>
    </row>
    <row r="11" spans="1:7" ht="14">
      <c r="B11" s="839">
        <f t="shared" si="2"/>
        <v>7</v>
      </c>
      <c r="C11" s="1458" t="str">
        <f>'Project OPEX'!B20</f>
        <v>Power</v>
      </c>
      <c r="D11" s="1459">
        <f>'Project OPEX'!D20</f>
        <v>10.001118940936532</v>
      </c>
      <c r="E11" s="1457"/>
      <c r="F11" s="556"/>
      <c r="G11" s="557"/>
    </row>
    <row r="12" spans="1:7" ht="14">
      <c r="B12" s="839">
        <f t="shared" si="2"/>
        <v>8</v>
      </c>
      <c r="C12" s="1458" t="str">
        <f>'Project OPEX'!B21</f>
        <v xml:space="preserve">Sub Total </v>
      </c>
      <c r="D12" s="1459">
        <f>'Project OPEX'!D21</f>
        <v>216.00637414102826</v>
      </c>
      <c r="E12" s="1457"/>
      <c r="F12" s="556"/>
      <c r="G12" s="557"/>
    </row>
    <row r="13" spans="1:7">
      <c r="B13" s="839">
        <f t="shared" si="2"/>
        <v>9</v>
      </c>
      <c r="C13" s="1458">
        <f>'Project OPEX'!B22</f>
        <v>0</v>
      </c>
      <c r="D13" s="1459">
        <f>'Project OPEX'!D22</f>
        <v>0</v>
      </c>
      <c r="E13" s="1457"/>
      <c r="F13" s="556"/>
      <c r="G13" s="557"/>
    </row>
    <row r="14" spans="1:7" ht="14">
      <c r="B14" s="839">
        <f t="shared" si="2"/>
        <v>10</v>
      </c>
      <c r="C14" s="1458" t="str">
        <f>'Project OPEX'!B23</f>
        <v>Owner Wage</v>
      </c>
      <c r="D14" s="1459">
        <f ca="1">'Project OPEX'!D23</f>
        <v>41.628473919864355</v>
      </c>
      <c r="E14" s="1457"/>
      <c r="F14" s="556"/>
      <c r="G14" s="557"/>
    </row>
    <row r="15" spans="1:7" ht="14">
      <c r="B15" s="839">
        <f t="shared" si="2"/>
        <v>11</v>
      </c>
      <c r="C15" s="1458" t="str">
        <f>'Project OPEX'!B24</f>
        <v>Explosives</v>
      </c>
      <c r="D15" s="1459">
        <f>'Project OPEX'!D24</f>
        <v>56.41307818787574</v>
      </c>
      <c r="E15" s="1457"/>
      <c r="F15" s="556"/>
      <c r="G15" s="557"/>
    </row>
    <row r="16" spans="1:7" ht="14">
      <c r="B16" s="839">
        <f>B15+1</f>
        <v>12</v>
      </c>
      <c r="C16" s="1458" t="str">
        <f>'Project OPEX'!B25</f>
        <v>Civil Infrastructure Maintenance</v>
      </c>
      <c r="D16" s="1459">
        <f>'Project OPEX'!D25</f>
        <v>4.0196379593492946</v>
      </c>
      <c r="E16" s="1457"/>
      <c r="F16" s="556"/>
      <c r="G16" s="557"/>
    </row>
    <row r="17" spans="2:7" ht="14">
      <c r="B17" s="839">
        <f t="shared" si="2"/>
        <v>13</v>
      </c>
      <c r="C17" s="1458" t="str">
        <f>'Project OPEX'!B26</f>
        <v>Railway Track &amp; Siding Repair &amp; Maintenance</v>
      </c>
      <c r="D17" s="1459">
        <f>'Project OPEX'!D26</f>
        <v>15.910190038052706</v>
      </c>
      <c r="E17" s="1457"/>
      <c r="F17" s="556"/>
      <c r="G17" s="557"/>
    </row>
    <row r="18" spans="2:7" ht="14">
      <c r="B18" s="839">
        <f t="shared" si="2"/>
        <v>14</v>
      </c>
      <c r="C18" s="1458" t="str">
        <f>'Project OPEX'!B28</f>
        <v>Rehandling</v>
      </c>
      <c r="D18" s="1459">
        <f>'Project OPEX'!D28</f>
        <v>23.459001451818843</v>
      </c>
      <c r="E18" s="1457"/>
      <c r="F18" s="556">
        <f>F6+G6</f>
        <v>3.2669140981709233</v>
      </c>
      <c r="G18" s="557">
        <f t="shared" si="1"/>
        <v>23.459001451818843</v>
      </c>
    </row>
    <row r="19" spans="2:7" ht="14">
      <c r="B19" s="839">
        <f t="shared" si="2"/>
        <v>15</v>
      </c>
      <c r="C19" s="1458" t="str">
        <f>'Project OPEX'!B29</f>
        <v>Digitalization (AMC)</v>
      </c>
      <c r="D19" s="1459">
        <f>'Project OPEX'!D29</f>
        <v>0.29463314885282793</v>
      </c>
      <c r="E19" s="1457"/>
      <c r="F19" s="556">
        <f t="shared" si="0"/>
        <v>26.725915549989764</v>
      </c>
      <c r="G19" s="557">
        <f t="shared" si="1"/>
        <v>0.29463314885282793</v>
      </c>
    </row>
    <row r="20" spans="2:7">
      <c r="B20" s="839">
        <f t="shared" si="2"/>
        <v>16</v>
      </c>
      <c r="C20" s="1458" t="e">
        <f>'Project OPEX'!#REF!</f>
        <v>#REF!</v>
      </c>
      <c r="D20" s="1459" t="e">
        <f>'Project OPEX'!#REF!</f>
        <v>#REF!</v>
      </c>
      <c r="E20" s="1457"/>
      <c r="F20" s="556">
        <f t="shared" si="0"/>
        <v>27.020548698842592</v>
      </c>
      <c r="G20" s="557" t="e">
        <f t="shared" si="1"/>
        <v>#REF!</v>
      </c>
    </row>
    <row r="21" spans="2:7" ht="14">
      <c r="B21" s="839">
        <f t="shared" si="2"/>
        <v>17</v>
      </c>
      <c r="C21" s="1458" t="str">
        <f>'Project OPEX'!B31</f>
        <v>Canteen, Accommodation, Laundry, Vehicle etc. Cost</v>
      </c>
      <c r="D21" s="1459">
        <f ca="1">'Project OPEX'!D31</f>
        <v>0.1234468587956679</v>
      </c>
      <c r="E21" s="1457"/>
      <c r="F21" s="556" t="e">
        <f>#REF!+#REF!</f>
        <v>#REF!</v>
      </c>
      <c r="G21" s="557">
        <f t="shared" ca="1" si="1"/>
        <v>0.1234468587956679</v>
      </c>
    </row>
    <row r="22" spans="2:7" ht="14">
      <c r="B22" s="839">
        <f t="shared" si="2"/>
        <v>18</v>
      </c>
      <c r="C22" s="1458" t="str">
        <f>'Project OPEX'!B32</f>
        <v xml:space="preserve">Admin and Overhead </v>
      </c>
      <c r="D22" s="1459">
        <f>'Project OPEX'!D32</f>
        <v>14.999999999999998</v>
      </c>
      <c r="E22" s="1457"/>
      <c r="F22" s="556" t="e">
        <f>#REF!+#REF!</f>
        <v>#REF!</v>
      </c>
      <c r="G22" s="557">
        <f t="shared" si="1"/>
        <v>14.999999999999998</v>
      </c>
    </row>
    <row r="23" spans="2:7" ht="14">
      <c r="B23" s="839">
        <f t="shared" si="2"/>
        <v>19</v>
      </c>
      <c r="C23" s="1458" t="str">
        <f>'Project OPEX'!B33</f>
        <v>R&amp;R (Resettlement &amp; Rehabilitation)</v>
      </c>
      <c r="D23" s="1459">
        <f>'Project OPEX'!D33</f>
        <v>3.2669140981709233</v>
      </c>
      <c r="E23" s="1457"/>
      <c r="F23" s="556">
        <f>F5+G5</f>
        <v>0</v>
      </c>
      <c r="G23" s="557">
        <f t="shared" si="1"/>
        <v>3.2669140981709233</v>
      </c>
    </row>
    <row r="24" spans="2:7" ht="14">
      <c r="B24" s="1461"/>
      <c r="C24" s="558" t="s">
        <v>1586</v>
      </c>
      <c r="D24" s="559" t="e">
        <f ca="1">SUM(D5:D23)</f>
        <v>#REF!</v>
      </c>
      <c r="E24" s="1462" t="e">
        <f ca="1">D24='Project OPEX'!D34</f>
        <v>#REF!</v>
      </c>
      <c r="F24" s="560"/>
      <c r="G24" s="560"/>
    </row>
    <row r="25" spans="2:7">
      <c r="B25" s="561"/>
      <c r="C25" s="562"/>
      <c r="D25" s="563"/>
      <c r="E25" s="564"/>
    </row>
    <row r="26" spans="2:7" ht="14">
      <c r="B26" s="1452" t="s">
        <v>1584</v>
      </c>
      <c r="C26" s="1452" t="s">
        <v>34</v>
      </c>
      <c r="D26" s="1463" t="s">
        <v>1587</v>
      </c>
      <c r="E26" s="1464"/>
    </row>
    <row r="27" spans="2:7">
      <c r="B27" s="973">
        <f t="shared" ref="B27:B42" si="3">B5</f>
        <v>1</v>
      </c>
      <c r="C27" s="1465" t="str">
        <f>'Owner OPEX'!B13</f>
        <v xml:space="preserve">Diesel </v>
      </c>
      <c r="D27" s="1466">
        <f ca="1">IFERROR(D5/$D$24,0)</f>
        <v>0</v>
      </c>
      <c r="E27" s="1467"/>
      <c r="F27" s="565"/>
    </row>
    <row r="28" spans="2:7">
      <c r="B28" s="839">
        <f t="shared" si="3"/>
        <v>2</v>
      </c>
      <c r="C28" s="1468" t="str">
        <f>'Owner OPEX'!B14</f>
        <v>Lubrication</v>
      </c>
      <c r="D28" s="1469">
        <f t="shared" ref="D28:D45" ca="1" si="4">IFERROR(D6/$D$24,0)</f>
        <v>0</v>
      </c>
      <c r="E28" s="1467"/>
      <c r="F28" s="565"/>
    </row>
    <row r="29" spans="2:7">
      <c r="B29" s="839">
        <f t="shared" si="3"/>
        <v>3</v>
      </c>
      <c r="C29" s="1468" t="str">
        <f>'Owner OPEX'!B15</f>
        <v>HEMM Spares (including drill consumables)</v>
      </c>
      <c r="D29" s="1469">
        <f t="shared" ca="1" si="4"/>
        <v>0</v>
      </c>
      <c r="E29" s="1467"/>
      <c r="F29" s="565"/>
    </row>
    <row r="30" spans="2:7">
      <c r="B30" s="839">
        <f t="shared" si="3"/>
        <v>4</v>
      </c>
      <c r="C30" s="1468" t="str">
        <f>'Owner OPEX'!B16</f>
        <v>Tyres</v>
      </c>
      <c r="D30" s="1469">
        <f ca="1">IFERROR(D8/$D$24,0)</f>
        <v>0</v>
      </c>
      <c r="E30" s="1467"/>
      <c r="F30" s="565"/>
    </row>
    <row r="31" spans="2:7">
      <c r="B31" s="839">
        <f t="shared" si="3"/>
        <v>5</v>
      </c>
      <c r="C31" s="1468" t="str">
        <f>'Owner OPEX'!B17</f>
        <v>CHP</v>
      </c>
      <c r="D31" s="1469">
        <f t="shared" ca="1" si="4"/>
        <v>0</v>
      </c>
      <c r="E31" s="1467"/>
      <c r="F31" s="565"/>
    </row>
    <row r="32" spans="2:7">
      <c r="B32" s="839">
        <f t="shared" si="3"/>
        <v>6</v>
      </c>
      <c r="C32" s="1468" t="str">
        <f>'Owner OPEX'!B18</f>
        <v>Power</v>
      </c>
      <c r="D32" s="1469">
        <f t="shared" ca="1" si="4"/>
        <v>0</v>
      </c>
      <c r="E32" s="1467"/>
      <c r="F32" s="565"/>
    </row>
    <row r="33" spans="2:32">
      <c r="B33" s="839">
        <f t="shared" si="3"/>
        <v>7</v>
      </c>
      <c r="C33" s="1468" t="str">
        <f>'Owner OPEX'!B19</f>
        <v>Owner Wage</v>
      </c>
      <c r="D33" s="1469">
        <f t="shared" ca="1" si="4"/>
        <v>0</v>
      </c>
      <c r="E33" s="1467"/>
      <c r="F33" s="566"/>
    </row>
    <row r="34" spans="2:32">
      <c r="B34" s="839">
        <f t="shared" si="3"/>
        <v>8</v>
      </c>
      <c r="C34" s="1468" t="str">
        <f>'Owner OPEX'!B20</f>
        <v>Explosives</v>
      </c>
      <c r="D34" s="1469">
        <f t="shared" ca="1" si="4"/>
        <v>0</v>
      </c>
      <c r="E34" s="1467"/>
      <c r="F34" s="565"/>
    </row>
    <row r="35" spans="2:32">
      <c r="B35" s="839">
        <f t="shared" si="3"/>
        <v>9</v>
      </c>
      <c r="C35" s="1468" t="str">
        <f>'Owner OPEX'!B21</f>
        <v>Civil Infrastructure</v>
      </c>
      <c r="D35" s="1469">
        <f t="shared" ca="1" si="4"/>
        <v>0</v>
      </c>
      <c r="E35" s="1467"/>
      <c r="F35" s="565"/>
    </row>
    <row r="36" spans="2:32">
      <c r="B36" s="839">
        <f t="shared" si="3"/>
        <v>10</v>
      </c>
      <c r="C36" s="1468" t="str">
        <f>'Owner OPEX'!B22</f>
        <v>Railway Track &amp; Siding</v>
      </c>
      <c r="D36" s="1469">
        <f t="shared" ca="1" si="4"/>
        <v>0</v>
      </c>
      <c r="E36" s="1467"/>
      <c r="F36" s="565"/>
      <c r="G36" s="1">
        <f>0.9*3780</f>
        <v>3402</v>
      </c>
    </row>
    <row r="37" spans="2:32">
      <c r="B37" s="839">
        <f t="shared" si="3"/>
        <v>11</v>
      </c>
      <c r="C37" s="1468" t="str">
        <f>'Owner OPEX'!B23</f>
        <v xml:space="preserve">Fire Fighting &amp; Dust Suppression </v>
      </c>
      <c r="D37" s="1469">
        <f t="shared" ca="1" si="4"/>
        <v>0</v>
      </c>
      <c r="E37" s="1467"/>
      <c r="F37" s="565"/>
      <c r="G37" s="1"/>
    </row>
    <row r="38" spans="2:32">
      <c r="B38" s="839">
        <f t="shared" si="3"/>
        <v>12</v>
      </c>
      <c r="C38" s="1468" t="str">
        <f>'Owner OPEX'!B24</f>
        <v>Rehandling</v>
      </c>
      <c r="D38" s="1469">
        <f t="shared" ca="1" si="4"/>
        <v>0</v>
      </c>
      <c r="E38" s="1467"/>
      <c r="F38" s="565"/>
    </row>
    <row r="39" spans="2:32">
      <c r="B39" s="839">
        <f t="shared" si="3"/>
        <v>13</v>
      </c>
      <c r="C39" s="1468" t="str">
        <f>'Owner OPEX'!B25</f>
        <v>Digitalisation (AMC)</v>
      </c>
      <c r="D39" s="1469">
        <f t="shared" ca="1" si="4"/>
        <v>0</v>
      </c>
      <c r="E39" s="1467"/>
      <c r="F39" s="565"/>
    </row>
    <row r="40" spans="2:32">
      <c r="B40" s="839">
        <f t="shared" si="3"/>
        <v>14</v>
      </c>
      <c r="C40" s="1468" t="str">
        <f>'Owner OPEX'!B26</f>
        <v>Environment Management &amp; OHS  costs</v>
      </c>
      <c r="D40" s="1469">
        <f t="shared" ca="1" si="4"/>
        <v>0</v>
      </c>
      <c r="E40" s="1467"/>
      <c r="F40" s="565"/>
    </row>
    <row r="41" spans="2:32">
      <c r="B41" s="839">
        <f t="shared" si="3"/>
        <v>15</v>
      </c>
      <c r="C41" s="1468" t="str">
        <f>'Owner OPEX'!B27</f>
        <v>Other Misc.</v>
      </c>
      <c r="D41" s="1469">
        <f t="shared" ca="1" si="4"/>
        <v>0</v>
      </c>
      <c r="E41" s="1467"/>
      <c r="F41" s="565"/>
    </row>
    <row r="42" spans="2:32">
      <c r="B42" s="839">
        <f t="shared" si="3"/>
        <v>16</v>
      </c>
      <c r="C42" s="1468" t="str">
        <f>'Owner OPEX'!B28</f>
        <v xml:space="preserve">Admin and Overhead </v>
      </c>
      <c r="D42" s="1469">
        <f t="shared" ca="1" si="4"/>
        <v>0</v>
      </c>
      <c r="E42" s="1467"/>
      <c r="F42" s="565"/>
      <c r="AF42" s="1" t="s">
        <v>21</v>
      </c>
    </row>
    <row r="43" spans="2:32">
      <c r="B43" s="839">
        <f t="shared" ref="B43:B45" si="5">B21</f>
        <v>17</v>
      </c>
      <c r="C43" s="1468" t="str">
        <f>'Owner OPEX'!B29</f>
        <v>R&amp;R</v>
      </c>
      <c r="D43" s="1469">
        <f t="shared" ca="1" si="4"/>
        <v>0</v>
      </c>
      <c r="E43" s="1467"/>
      <c r="F43" s="565"/>
    </row>
    <row r="44" spans="2:32">
      <c r="B44" s="839">
        <f t="shared" si="5"/>
        <v>18</v>
      </c>
      <c r="C44" s="1468" t="str">
        <f>'Owner OPEX'!B30</f>
        <v>Contingency</v>
      </c>
      <c r="D44" s="1469">
        <f t="shared" ca="1" si="4"/>
        <v>0</v>
      </c>
      <c r="E44" s="1467"/>
      <c r="F44" s="565"/>
    </row>
    <row r="45" spans="2:32">
      <c r="B45" s="839">
        <f t="shared" si="5"/>
        <v>19</v>
      </c>
      <c r="C45" s="1468" t="str">
        <f>'Owner OPEX'!B31</f>
        <v xml:space="preserve">Sub Total </v>
      </c>
      <c r="D45" s="1469">
        <f t="shared" ca="1" si="4"/>
        <v>0</v>
      </c>
      <c r="E45" s="1467"/>
      <c r="F45" s="565"/>
    </row>
    <row r="46" spans="2:32" ht="14">
      <c r="B46" s="1470"/>
      <c r="C46" s="567" t="s">
        <v>267</v>
      </c>
      <c r="D46" s="1471">
        <f ca="1">SUM(D27:D45)</f>
        <v>0</v>
      </c>
      <c r="E46" s="1467"/>
    </row>
    <row r="49" spans="1:5" ht="28">
      <c r="B49" s="1472" t="s">
        <v>1584</v>
      </c>
      <c r="C49" s="1472" t="s">
        <v>34</v>
      </c>
      <c r="D49" s="1453" t="s">
        <v>1588</v>
      </c>
    </row>
    <row r="50" spans="1:5">
      <c r="B50" s="972">
        <v>1</v>
      </c>
      <c r="C50" s="1" t="s">
        <v>1589</v>
      </c>
      <c r="D50" s="1473">
        <f>SUM(D5:D13)</f>
        <v>424.57783018195835</v>
      </c>
    </row>
    <row r="51" spans="1:5">
      <c r="B51" s="966">
        <f>B50+1</f>
        <v>2</v>
      </c>
      <c r="C51" s="1" t="s">
        <v>1590</v>
      </c>
      <c r="D51" s="1474">
        <f ca="1">D14+D16</f>
        <v>45.648111879213651</v>
      </c>
    </row>
    <row r="52" spans="1:5">
      <c r="B52" s="966">
        <f t="shared" ref="B52:B56" si="6">B51+1</f>
        <v>3</v>
      </c>
      <c r="C52" s="1" t="s">
        <v>1591</v>
      </c>
      <c r="D52" s="1474">
        <f>D17+D19</f>
        <v>16.204823186905532</v>
      </c>
    </row>
    <row r="53" spans="1:5">
      <c r="B53" s="966">
        <f t="shared" si="6"/>
        <v>4</v>
      </c>
      <c r="C53" s="1" t="s">
        <v>1592</v>
      </c>
      <c r="D53" s="1474">
        <f ca="1">D22+D18+D21</f>
        <v>38.58244831061451</v>
      </c>
    </row>
    <row r="54" spans="1:5">
      <c r="B54" s="966">
        <f t="shared" si="6"/>
        <v>5</v>
      </c>
      <c r="C54" s="1" t="s">
        <v>255</v>
      </c>
      <c r="D54" s="1474">
        <f>D23</f>
        <v>3.2669140981709233</v>
      </c>
    </row>
    <row r="55" spans="1:5">
      <c r="B55" s="966">
        <f t="shared" si="6"/>
        <v>6</v>
      </c>
      <c r="C55" s="1" t="s">
        <v>1593</v>
      </c>
      <c r="D55" s="1475"/>
    </row>
    <row r="56" spans="1:5">
      <c r="B56" s="966">
        <f t="shared" si="6"/>
        <v>7</v>
      </c>
      <c r="C56" s="1" t="s">
        <v>1594</v>
      </c>
      <c r="D56" s="1474" t="e">
        <f>D20-D55</f>
        <v>#REF!</v>
      </c>
    </row>
    <row r="57" spans="1:5">
      <c r="B57" s="1101"/>
      <c r="C57" s="1476" t="s">
        <v>1586</v>
      </c>
      <c r="D57" s="1477" t="e">
        <f ca="1">SUM(D50:D56)</f>
        <v>#REF!</v>
      </c>
      <c r="E57" s="1462" t="e">
        <f ca="1">D57=D24</f>
        <v>#REF!</v>
      </c>
    </row>
    <row r="59" spans="1:5">
      <c r="A59" s="60" t="s">
        <v>1595</v>
      </c>
    </row>
    <row r="61" spans="1:5" ht="34.5" customHeight="1">
      <c r="B61" s="1478" t="s">
        <v>1584</v>
      </c>
      <c r="C61" s="1478" t="s">
        <v>34</v>
      </c>
      <c r="D61" s="1479" t="s">
        <v>1596</v>
      </c>
      <c r="E61" s="1479" t="s">
        <v>1597</v>
      </c>
    </row>
    <row r="62" spans="1:5">
      <c r="B62" s="1480">
        <v>1</v>
      </c>
      <c r="C62" s="1481" t="str">
        <f>'Project CAPEX'!B11</f>
        <v xml:space="preserve">Pre-operative costs </v>
      </c>
      <c r="D62" s="1482">
        <f ca="1">'Project CAPEX'!D11</f>
        <v>214.12703999999999</v>
      </c>
      <c r="E62" s="1456">
        <f ca="1">D62*10/'Project CAPEX'!$D$5</f>
        <v>9.4870562480805134</v>
      </c>
    </row>
    <row r="63" spans="1:5">
      <c r="B63" s="1483">
        <f>B62+1</f>
        <v>2</v>
      </c>
      <c r="C63" s="1484" t="str">
        <f>'Project CAPEX'!B12</f>
        <v>Upfront Amount</v>
      </c>
      <c r="D63" s="1485">
        <f>'Project CAPEX'!D12</f>
        <v>99.07</v>
      </c>
      <c r="E63" s="1459">
        <f>D63*10/'Project CAPEX'!$D$5</f>
        <v>4.3893693318570906</v>
      </c>
    </row>
    <row r="64" spans="1:5">
      <c r="B64" s="1483">
        <f>B63+1</f>
        <v>3</v>
      </c>
      <c r="C64" s="1484" t="str">
        <f>'Project CAPEX'!B13</f>
        <v>Land Cost</v>
      </c>
      <c r="D64" s="1485">
        <f>'Project CAPEX'!D13</f>
        <v>985.07801770063588</v>
      </c>
      <c r="E64" s="1459">
        <f>D64*10/'Project CAPEX'!$D$5</f>
        <v>43.644607251254143</v>
      </c>
    </row>
    <row r="65" spans="2:5">
      <c r="B65" s="1483">
        <f t="shared" ref="B65:B73" si="7">B64+1</f>
        <v>4</v>
      </c>
      <c r="C65" s="1484" t="str">
        <f>'Project CAPEX'!B14</f>
        <v>R&amp;R Cost</v>
      </c>
      <c r="D65" s="1485">
        <f>'Project CAPEX'!D14</f>
        <v>1048.5700310581428</v>
      </c>
      <c r="E65" s="1459">
        <f>D65*10/'Project CAPEX'!$D$5</f>
        <v>46.457667675694459</v>
      </c>
    </row>
    <row r="66" spans="2:5">
      <c r="B66" s="1483">
        <f t="shared" si="7"/>
        <v>5</v>
      </c>
      <c r="C66" s="1484" t="str">
        <f>'Project CAPEX'!B15</f>
        <v xml:space="preserve">HEMM Equipment </v>
      </c>
      <c r="D66" s="1485">
        <f>'Project CAPEX'!D15</f>
        <v>701.5158371549536</v>
      </c>
      <c r="E66" s="1459">
        <f>D66*10/'Project CAPEX'!$D$5</f>
        <v>31.081175950540089</v>
      </c>
    </row>
    <row r="67" spans="2:5">
      <c r="B67" s="1483">
        <f t="shared" si="7"/>
        <v>6</v>
      </c>
      <c r="C67" s="1484" t="str">
        <f>'Project CAPEX'!B16</f>
        <v>CHP</v>
      </c>
      <c r="D67" s="1485">
        <f>'Project CAPEX'!D16</f>
        <v>335.19</v>
      </c>
      <c r="E67" s="1459">
        <f>D67*10/'Project CAPEX'!$D$5</f>
        <v>14.850839874282611</v>
      </c>
    </row>
    <row r="68" spans="2:5">
      <c r="B68" s="1483">
        <f t="shared" si="7"/>
        <v>7</v>
      </c>
      <c r="C68" s="1484" t="str">
        <f>'Project CAPEX'!B17</f>
        <v>Railway Siding</v>
      </c>
      <c r="D68" s="1485">
        <f>'Project CAPEX'!D17</f>
        <v>540</v>
      </c>
      <c r="E68" s="1459">
        <f>D68*10/'Project CAPEX'!$D$5</f>
        <v>23.925097801583014</v>
      </c>
    </row>
    <row r="69" spans="2:5">
      <c r="B69" s="1483">
        <f t="shared" si="7"/>
        <v>8</v>
      </c>
      <c r="C69" s="1484" t="str">
        <f>'Project CAPEX'!B18</f>
        <v>Civil Infrastructure</v>
      </c>
      <c r="D69" s="1485">
        <f>'Project CAPEX'!D18</f>
        <v>191</v>
      </c>
      <c r="E69" s="1459">
        <f>D69*10/'Project CAPEX'!$D$5</f>
        <v>8.4623957038932502</v>
      </c>
    </row>
    <row r="70" spans="2:5">
      <c r="B70" s="1483">
        <f t="shared" si="7"/>
        <v>9</v>
      </c>
      <c r="C70" s="1484" t="str">
        <f>'Project CAPEX'!B19</f>
        <v>Fire Fighting &amp; Dust Suppression</v>
      </c>
      <c r="D70" s="1485">
        <f>'Project CAPEX'!D19</f>
        <v>14.45</v>
      </c>
      <c r="E70" s="1459">
        <f>D70*10/'Project CAPEX'!$D$5</f>
        <v>0.64021789487569358</v>
      </c>
    </row>
    <row r="71" spans="2:5">
      <c r="B71" s="1483">
        <f t="shared" si="7"/>
        <v>10</v>
      </c>
      <c r="C71" s="1484" t="str">
        <f>'Project CAPEX'!B20</f>
        <v>Workshop and Store</v>
      </c>
      <c r="D71" s="1485">
        <f>'Project CAPEX'!D20</f>
        <v>27.27</v>
      </c>
      <c r="E71" s="1459">
        <f>D71*10/'Project CAPEX'!$D$5</f>
        <v>1.208217438979942</v>
      </c>
    </row>
    <row r="72" spans="2:5">
      <c r="B72" s="1483">
        <f t="shared" si="7"/>
        <v>11</v>
      </c>
      <c r="C72" s="1484" t="str">
        <f>'Project CAPEX'!B21</f>
        <v xml:space="preserve">Electrical </v>
      </c>
      <c r="D72" s="1485">
        <f>'Project CAPEX'!D21</f>
        <v>34.35</v>
      </c>
      <c r="E72" s="1459">
        <f>D72*10/'Project CAPEX'!$D$5</f>
        <v>1.5219020546006972</v>
      </c>
    </row>
    <row r="73" spans="2:5">
      <c r="B73" s="1483">
        <f t="shared" si="7"/>
        <v>12</v>
      </c>
      <c r="C73" s="1484" t="str">
        <f>'Project CAPEX'!B22</f>
        <v>Mine Dewatering System</v>
      </c>
      <c r="D73" s="1486">
        <f>'Project CAPEX'!D22</f>
        <v>15</v>
      </c>
      <c r="E73" s="1487">
        <f>D73*10/'Project CAPEX'!$D$5</f>
        <v>0.66458605004397253</v>
      </c>
    </row>
    <row r="74" spans="2:5">
      <c r="B74" s="1488"/>
      <c r="C74" s="1488" t="s">
        <v>267</v>
      </c>
      <c r="D74" s="1489">
        <f ca="1">SUM(D62:D73)</f>
        <v>4205.6209259137331</v>
      </c>
      <c r="E74" s="1489">
        <f ca="1">SUM(E62:E73)</f>
        <v>186.33313327568544</v>
      </c>
    </row>
    <row r="75" spans="2:5">
      <c r="D75" s="1462"/>
      <c r="E75" s="1462"/>
    </row>
    <row r="77" spans="2:5" ht="14">
      <c r="B77" s="1478" t="s">
        <v>1584</v>
      </c>
      <c r="C77" s="1478" t="s">
        <v>34</v>
      </c>
      <c r="D77" s="1490" t="s">
        <v>88</v>
      </c>
      <c r="E77" s="1479" t="s">
        <v>1598</v>
      </c>
    </row>
    <row r="78" spans="2:5">
      <c r="B78" s="1480">
        <v>1</v>
      </c>
      <c r="C78" s="1481" t="str">
        <f t="shared" ref="C78:C83" si="8">C62</f>
        <v xml:space="preserve">Pre-operative costs </v>
      </c>
      <c r="D78" s="1491" t="s">
        <v>131</v>
      </c>
      <c r="E78" s="1492">
        <f t="shared" ref="E78:E83" ca="1" si="9">IFERROR(D62/$D$74,0)</f>
        <v>5.0914488911878747E-2</v>
      </c>
    </row>
    <row r="79" spans="2:5">
      <c r="B79" s="1480">
        <v>2</v>
      </c>
      <c r="C79" s="1484" t="str">
        <f t="shared" si="8"/>
        <v>Upfront Amount</v>
      </c>
      <c r="D79" s="1493" t="s">
        <v>131</v>
      </c>
      <c r="E79" s="1494">
        <f t="shared" ca="1" si="9"/>
        <v>2.3556569111961887E-2</v>
      </c>
    </row>
    <row r="80" spans="2:5">
      <c r="B80" s="1480">
        <v>3</v>
      </c>
      <c r="C80" s="1484" t="str">
        <f t="shared" si="8"/>
        <v>Land Cost</v>
      </c>
      <c r="D80" s="1493" t="s">
        <v>131</v>
      </c>
      <c r="E80" s="1494">
        <f t="shared" ca="1" si="9"/>
        <v>0.23422891293670581</v>
      </c>
    </row>
    <row r="81" spans="1:7">
      <c r="B81" s="1480">
        <v>4</v>
      </c>
      <c r="C81" s="1484" t="str">
        <f t="shared" si="8"/>
        <v>R&amp;R Cost</v>
      </c>
      <c r="D81" s="1493" t="s">
        <v>131</v>
      </c>
      <c r="E81" s="1494">
        <f t="shared" ca="1" si="9"/>
        <v>0.24932585450038522</v>
      </c>
    </row>
    <row r="82" spans="1:7">
      <c r="B82" s="1480">
        <v>5</v>
      </c>
      <c r="C82" s="1484" t="str">
        <f t="shared" si="8"/>
        <v xml:space="preserve">HEMM Equipment </v>
      </c>
      <c r="D82" s="1493" t="s">
        <v>131</v>
      </c>
      <c r="E82" s="1494">
        <f t="shared" ca="1" si="9"/>
        <v>0.16680434340442582</v>
      </c>
    </row>
    <row r="83" spans="1:7">
      <c r="B83" s="1480">
        <v>6</v>
      </c>
      <c r="C83" s="1484" t="str">
        <f t="shared" si="8"/>
        <v>CHP</v>
      </c>
      <c r="D83" s="1493" t="s">
        <v>131</v>
      </c>
      <c r="E83" s="1494">
        <f t="shared" ca="1" si="9"/>
        <v>7.9700478456026097E-2</v>
      </c>
    </row>
    <row r="84" spans="1:7">
      <c r="B84" s="1480">
        <v>7</v>
      </c>
      <c r="C84" s="1484" t="str">
        <f>C69</f>
        <v>Civil Infrastructure</v>
      </c>
      <c r="D84" s="1493" t="s">
        <v>131</v>
      </c>
      <c r="E84" s="1494">
        <f ca="1">IFERROR(D69/$D$74,0)</f>
        <v>4.5415410319821548E-2</v>
      </c>
    </row>
    <row r="85" spans="1:7">
      <c r="B85" s="1480">
        <v>8</v>
      </c>
      <c r="C85" s="1484" t="str">
        <f>C70</f>
        <v>Fire Fighting &amp; Dust Suppression</v>
      </c>
      <c r="D85" s="1493" t="s">
        <v>131</v>
      </c>
      <c r="E85" s="1494">
        <f ca="1">IFERROR(D70/$D$74,0)</f>
        <v>3.4358779011592739E-3</v>
      </c>
    </row>
    <row r="86" spans="1:7">
      <c r="B86" s="1480">
        <v>9</v>
      </c>
      <c r="C86" s="1484" t="str">
        <f>C71</f>
        <v>Workshop and Store</v>
      </c>
      <c r="D86" s="1493" t="s">
        <v>131</v>
      </c>
      <c r="E86" s="1494">
        <f ca="1">IFERROR(D71/$D$74,0)</f>
        <v>6.4841792639870862E-3</v>
      </c>
    </row>
    <row r="87" spans="1:7">
      <c r="B87" s="1480">
        <v>10</v>
      </c>
      <c r="C87" s="1484" t="str">
        <f>C72</f>
        <v xml:space="preserve">Electrical </v>
      </c>
      <c r="D87" s="1493" t="s">
        <v>131</v>
      </c>
      <c r="E87" s="1494">
        <f ca="1">IFERROR(D72/$D$74,0)</f>
        <v>8.1676405470464414E-3</v>
      </c>
    </row>
    <row r="88" spans="1:7">
      <c r="B88" s="1480">
        <v>11</v>
      </c>
      <c r="C88" s="1495" t="str">
        <f t="shared" ref="C88" si="10">C73</f>
        <v>Mine Dewatering System</v>
      </c>
      <c r="D88" s="1496" t="s">
        <v>131</v>
      </c>
      <c r="E88" s="1497">
        <f ca="1">IFERROR(D73/$D$74,0)</f>
        <v>3.5666552607189696E-3</v>
      </c>
      <c r="G88" s="568"/>
    </row>
    <row r="89" spans="1:7">
      <c r="B89" s="1488"/>
      <c r="C89" s="1488" t="s">
        <v>267</v>
      </c>
      <c r="D89" s="1498" t="s">
        <v>131</v>
      </c>
      <c r="E89" s="1499">
        <f ca="1">SUM(E78:E88)</f>
        <v>0.87160041061411697</v>
      </c>
      <c r="G89" s="568"/>
    </row>
    <row r="90" spans="1:7">
      <c r="B90" s="569"/>
      <c r="C90" s="570"/>
      <c r="D90" s="570"/>
      <c r="E90" s="571"/>
      <c r="F90" s="568"/>
      <c r="G90" s="568"/>
    </row>
    <row r="91" spans="1:7">
      <c r="A91" s="60" t="s">
        <v>1599</v>
      </c>
      <c r="B91" s="74"/>
      <c r="C91" s="572"/>
      <c r="D91" s="572"/>
      <c r="E91" s="573"/>
      <c r="F91" s="568"/>
      <c r="G91" s="568"/>
    </row>
    <row r="92" spans="1:7">
      <c r="B92" s="74"/>
      <c r="C92" s="572"/>
      <c r="D92" s="574"/>
      <c r="E92" s="573"/>
      <c r="F92" s="568"/>
      <c r="G92" s="568"/>
    </row>
    <row r="93" spans="1:7" ht="14">
      <c r="B93" s="1478" t="s">
        <v>1584</v>
      </c>
      <c r="C93" s="1478" t="s">
        <v>34</v>
      </c>
      <c r="D93" s="1490" t="s">
        <v>1600</v>
      </c>
      <c r="E93" s="1479" t="s">
        <v>426</v>
      </c>
      <c r="F93" s="1479" t="s">
        <v>267</v>
      </c>
      <c r="G93" s="1479" t="s">
        <v>1601</v>
      </c>
    </row>
    <row r="94" spans="1:7">
      <c r="B94" s="1480">
        <v>1</v>
      </c>
      <c r="C94" s="1481" t="str">
        <f>Fleet!B195</f>
        <v>Thin  Parting + Rehandling</v>
      </c>
      <c r="D94" s="1500">
        <f>Fleet!H195</f>
        <v>0</v>
      </c>
      <c r="E94" s="1501">
        <f>Fleet!H196</f>
        <v>0</v>
      </c>
      <c r="F94" s="1502">
        <f>SUM(D94:E94)</f>
        <v>0</v>
      </c>
      <c r="G94" s="1503">
        <v>4</v>
      </c>
    </row>
    <row r="95" spans="1:7">
      <c r="B95" s="1483">
        <v>2</v>
      </c>
      <c r="C95" s="1484" t="str">
        <f>Fleet!B198</f>
        <v/>
      </c>
      <c r="D95" s="1504"/>
      <c r="E95" s="1505">
        <f>Fleet!H198+Fleet!H200</f>
        <v>0</v>
      </c>
      <c r="F95" s="1506">
        <f>SUM(D95:E95)</f>
        <v>0</v>
      </c>
      <c r="G95" s="1507">
        <v>5</v>
      </c>
    </row>
    <row r="96" spans="1:7">
      <c r="B96" s="1483">
        <v>3</v>
      </c>
      <c r="C96" s="1484" t="str">
        <f>Fleet!B202</f>
        <v/>
      </c>
      <c r="D96" s="1504">
        <f>Fleet!H202</f>
        <v>0</v>
      </c>
      <c r="E96" s="1505">
        <v>0</v>
      </c>
      <c r="F96" s="1506">
        <f>SUM(D96:E96)</f>
        <v>0</v>
      </c>
      <c r="G96" s="1507">
        <v>4</v>
      </c>
    </row>
    <row r="97" spans="2:39">
      <c r="B97" s="1483">
        <v>4</v>
      </c>
      <c r="C97" s="1484" t="str">
        <f>Fleet!B203</f>
        <v/>
      </c>
      <c r="D97" s="1504">
        <f>Fleet!H206</f>
        <v>0</v>
      </c>
      <c r="E97" s="1505">
        <f>Fleet!H203+Fleet!H205</f>
        <v>0</v>
      </c>
      <c r="F97" s="1506">
        <f>SUM(D97:E97)</f>
        <v>0</v>
      </c>
      <c r="G97" s="1507">
        <v>18</v>
      </c>
    </row>
    <row r="98" spans="2:39" ht="14">
      <c r="B98" s="1508">
        <v>5</v>
      </c>
      <c r="C98" s="1509" t="str">
        <f>Fleet!B208</f>
        <v/>
      </c>
      <c r="D98" s="1510">
        <f>Fleet!H209</f>
        <v>0</v>
      </c>
      <c r="E98" s="1511">
        <f>Fleet!H208</f>
        <v>0</v>
      </c>
      <c r="F98" s="1512">
        <f>SUM(D98:E98)</f>
        <v>0</v>
      </c>
      <c r="G98" s="1513">
        <v>3</v>
      </c>
    </row>
    <row r="99" spans="2:39">
      <c r="F99" s="568"/>
      <c r="G99" s="568"/>
    </row>
    <row r="100" spans="2:39" ht="14" thickBot="1">
      <c r="B100" s="575"/>
      <c r="C100" s="576"/>
      <c r="D100" s="577"/>
      <c r="E100" s="578"/>
      <c r="F100" s="568"/>
      <c r="G100" s="568"/>
    </row>
    <row r="101" spans="2:39">
      <c r="B101" s="575"/>
      <c r="C101" s="579" t="s">
        <v>125</v>
      </c>
      <c r="D101" s="580" t="e">
        <f>'Production Schedule'!#REF!</f>
        <v>#REF!</v>
      </c>
      <c r="E101" s="580" t="str">
        <f>'Production Schedule'!J41</f>
        <v>Year</v>
      </c>
      <c r="F101" s="580" t="str">
        <f>'Production Schedule'!K41</f>
        <v>Coal (Mt)</v>
      </c>
      <c r="G101" s="580" t="str">
        <f>'Production Schedule'!L41</f>
        <v>GCV Dil (Kcal/Kg)</v>
      </c>
      <c r="H101" s="580" t="str">
        <f>'Production Schedule'!M41</f>
        <v>GCV Dil (Kcal/Kg)</v>
      </c>
      <c r="I101" s="580" t="str">
        <f>'Production Schedule'!N41</f>
        <v>Coal (Mt)</v>
      </c>
      <c r="J101" s="580" t="str">
        <f>'Production Schedule'!O41</f>
        <v>Waste (Mcum)</v>
      </c>
      <c r="K101" s="580" t="e">
        <f>'Production Schedule'!#REF!</f>
        <v>#REF!</v>
      </c>
      <c r="L101" s="580">
        <f>'Production Schedule'!P50</f>
        <v>0</v>
      </c>
      <c r="M101" s="580">
        <f>'Production Schedule'!Q50</f>
        <v>0</v>
      </c>
      <c r="N101" s="580">
        <f>'Production Schedule'!R50</f>
        <v>0</v>
      </c>
      <c r="O101" s="580">
        <f>'Production Schedule'!S50</f>
        <v>0</v>
      </c>
      <c r="P101" s="580">
        <f>'Production Schedule'!T50</f>
        <v>0</v>
      </c>
      <c r="Q101" s="580">
        <f>'Production Schedule'!U50</f>
        <v>0</v>
      </c>
      <c r="R101" s="580">
        <f>'Production Schedule'!V50</f>
        <v>0</v>
      </c>
      <c r="S101" s="580">
        <f>'Production Schedule'!W50</f>
        <v>0</v>
      </c>
      <c r="T101" s="580">
        <f>'Production Schedule'!X50</f>
        <v>0</v>
      </c>
      <c r="U101" s="580">
        <f>'Production Schedule'!Y50</f>
        <v>0</v>
      </c>
      <c r="V101" s="580">
        <f>'Production Schedule'!Z50</f>
        <v>0</v>
      </c>
      <c r="W101" s="580">
        <f>'Production Schedule'!AA50</f>
        <v>0</v>
      </c>
      <c r="X101" s="581">
        <f>'Production Schedule'!AB50</f>
        <v>0</v>
      </c>
    </row>
    <row r="102" spans="2:39">
      <c r="C102" s="582" t="s">
        <v>1602</v>
      </c>
      <c r="D102" s="583" t="e">
        <f>'Production Schedule'!#REF!</f>
        <v>#REF!</v>
      </c>
      <c r="E102" s="583" t="e">
        <f>'Production Schedule'!#REF!</f>
        <v>#REF!</v>
      </c>
      <c r="F102" s="583" t="e">
        <f>'Production Schedule'!#REF!</f>
        <v>#REF!</v>
      </c>
      <c r="G102" s="583" t="e">
        <f>'Production Schedule'!#REF!</f>
        <v>#REF!</v>
      </c>
      <c r="H102" s="583" t="e">
        <f>'Production Schedule'!#REF!</f>
        <v>#REF!</v>
      </c>
      <c r="I102" s="583" t="e">
        <f>'Production Schedule'!#REF!</f>
        <v>#REF!</v>
      </c>
      <c r="J102" s="583" t="e">
        <f>'Production Schedule'!#REF!</f>
        <v>#REF!</v>
      </c>
      <c r="K102" s="583" t="e">
        <f>'Production Schedule'!#REF!</f>
        <v>#REF!</v>
      </c>
      <c r="L102" s="583" t="e">
        <f>'Production Schedule'!#REF!</f>
        <v>#REF!</v>
      </c>
      <c r="M102" s="583" t="e">
        <f>'Production Schedule'!#REF!</f>
        <v>#REF!</v>
      </c>
      <c r="N102" s="583" t="e">
        <f>'Production Schedule'!#REF!</f>
        <v>#REF!</v>
      </c>
      <c r="O102" s="583" t="e">
        <f>'Production Schedule'!#REF!</f>
        <v>#REF!</v>
      </c>
      <c r="P102" s="583" t="e">
        <f>'Production Schedule'!#REF!</f>
        <v>#REF!</v>
      </c>
      <c r="Q102" s="583" t="e">
        <f>'Production Schedule'!#REF!</f>
        <v>#REF!</v>
      </c>
      <c r="R102" s="583" t="e">
        <f>'Production Schedule'!#REF!</f>
        <v>#REF!</v>
      </c>
      <c r="S102" s="583" t="e">
        <f>'Production Schedule'!#REF!</f>
        <v>#REF!</v>
      </c>
      <c r="T102" s="583" t="e">
        <f>'Production Schedule'!#REF!</f>
        <v>#REF!</v>
      </c>
      <c r="U102" s="583" t="e">
        <f>'Production Schedule'!#REF!</f>
        <v>#REF!</v>
      </c>
      <c r="V102" s="583" t="e">
        <f>'Production Schedule'!#REF!</f>
        <v>#REF!</v>
      </c>
      <c r="W102" s="583" t="e">
        <f>'Production Schedule'!#REF!</f>
        <v>#REF!</v>
      </c>
      <c r="X102" s="584" t="e">
        <f>'Production Schedule'!#REF!</f>
        <v>#REF!</v>
      </c>
      <c r="AK102" s="299"/>
      <c r="AL102" s="299"/>
      <c r="AM102" s="299"/>
    </row>
    <row r="103" spans="2:39">
      <c r="B103" s="74"/>
      <c r="C103" s="582" t="s">
        <v>1603</v>
      </c>
      <c r="D103" s="585" t="e">
        <f>'Production Schedule'!#REF!</f>
        <v>#REF!</v>
      </c>
      <c r="E103" s="585">
        <f>'Production Schedule'!J47</f>
        <v>6</v>
      </c>
      <c r="F103" s="585">
        <f>'Production Schedule'!K47</f>
        <v>15.000007140000001</v>
      </c>
      <c r="G103" s="585">
        <f>'Production Schedule'!L47</f>
        <v>3190</v>
      </c>
      <c r="H103" s="585">
        <f>'Production Schedule'!M47</f>
        <v>3190</v>
      </c>
      <c r="I103" s="585">
        <f>'Production Schedule'!N47</f>
        <v>55.999999979999998</v>
      </c>
      <c r="J103" s="585">
        <f>'Production Schedule'!O47</f>
        <v>47.463611318435753</v>
      </c>
      <c r="K103" s="585" t="e">
        <f>'Production Schedule'!#REF!</f>
        <v>#REF!</v>
      </c>
      <c r="L103" s="585">
        <f>'Production Schedule'!P56</f>
        <v>0</v>
      </c>
      <c r="M103" s="585">
        <f>'Production Schedule'!Q56</f>
        <v>0</v>
      </c>
      <c r="N103" s="585">
        <f>'Production Schedule'!R56</f>
        <v>0</v>
      </c>
      <c r="O103" s="585">
        <f>'Production Schedule'!S56</f>
        <v>0</v>
      </c>
      <c r="P103" s="585">
        <f>'Production Schedule'!T56</f>
        <v>0</v>
      </c>
      <c r="Q103" s="585">
        <f>'Production Schedule'!U56</f>
        <v>0</v>
      </c>
      <c r="R103" s="585">
        <f>'Production Schedule'!V56</f>
        <v>0</v>
      </c>
      <c r="S103" s="585">
        <f>'Production Schedule'!W56</f>
        <v>0</v>
      </c>
      <c r="T103" s="585">
        <f>'Production Schedule'!X56</f>
        <v>0</v>
      </c>
      <c r="U103" s="585">
        <f>'Production Schedule'!Y56</f>
        <v>0</v>
      </c>
      <c r="V103" s="585">
        <f>'Production Schedule'!Z56</f>
        <v>0</v>
      </c>
      <c r="W103" s="585">
        <f>'Production Schedule'!AA56</f>
        <v>0</v>
      </c>
      <c r="X103" s="586">
        <f>'Production Schedule'!AB56</f>
        <v>0</v>
      </c>
      <c r="AK103" s="299"/>
      <c r="AL103" s="299"/>
      <c r="AM103" s="299"/>
    </row>
    <row r="104" spans="2:39" ht="14">
      <c r="B104" s="74"/>
      <c r="C104" s="587" t="s">
        <v>1604</v>
      </c>
      <c r="D104" s="588">
        <f>Productivity!G82</f>
        <v>0</v>
      </c>
      <c r="E104" s="588">
        <f>Productivity!H82</f>
        <v>0</v>
      </c>
      <c r="F104" s="588">
        <f>Productivity!I82</f>
        <v>0</v>
      </c>
      <c r="G104" s="588">
        <f>Productivity!J82</f>
        <v>0</v>
      </c>
      <c r="H104" s="588">
        <f>Productivity!K82</f>
        <v>654885.00000000012</v>
      </c>
      <c r="I104" s="588">
        <f>Productivity!L82</f>
        <v>592515.00000000012</v>
      </c>
      <c r="J104" s="588">
        <f>Productivity!M82</f>
        <v>486486.00000000012</v>
      </c>
      <c r="K104" s="588">
        <f>Productivity!N82</f>
        <v>461538.00000000006</v>
      </c>
      <c r="L104" s="588">
        <f>Productivity!O82</f>
        <v>436590.00000000006</v>
      </c>
      <c r="M104" s="588">
        <f>Productivity!P82</f>
        <v>417879.00000000006</v>
      </c>
      <c r="N104" s="588">
        <f>Productivity!Q82</f>
        <v>399168.00000000006</v>
      </c>
      <c r="O104" s="588">
        <f>Productivity!R82</f>
        <v>405405.00000000006</v>
      </c>
      <c r="P104" s="588">
        <f>Productivity!S82</f>
        <v>405405.00000000006</v>
      </c>
      <c r="Q104" s="588">
        <f>Productivity!T82</f>
        <v>411642.00000000006</v>
      </c>
      <c r="R104" s="588">
        <f>Productivity!U82</f>
        <v>417879.00000000006</v>
      </c>
      <c r="S104" s="588">
        <f>Productivity!V82</f>
        <v>424116</v>
      </c>
      <c r="T104" s="588">
        <f>Productivity!W82</f>
        <v>436590.00000000006</v>
      </c>
      <c r="U104" s="588">
        <f>Productivity!X82</f>
        <v>442827.00000000006</v>
      </c>
      <c r="V104" s="588">
        <f>Productivity!Y82</f>
        <v>455301</v>
      </c>
      <c r="W104" s="588">
        <f>Productivity!Z82</f>
        <v>474012.00000000006</v>
      </c>
      <c r="X104" s="586">
        <f>Productivity!AA82</f>
        <v>0</v>
      </c>
      <c r="AK104" s="299"/>
      <c r="AL104" s="299"/>
      <c r="AM104" s="299"/>
    </row>
    <row r="105" spans="2:39" ht="15" thickBot="1">
      <c r="B105" s="74"/>
      <c r="C105" s="589" t="s">
        <v>1605</v>
      </c>
      <c r="D105" s="590">
        <f>Productivity!G64</f>
        <v>-1</v>
      </c>
      <c r="E105" s="590">
        <f>Productivity!H64</f>
        <v>1</v>
      </c>
      <c r="F105" s="590">
        <f>Productivity!I64</f>
        <v>2</v>
      </c>
      <c r="G105" s="590">
        <f>Productivity!J64</f>
        <v>3</v>
      </c>
      <c r="H105" s="590">
        <f>Productivity!K64</f>
        <v>4</v>
      </c>
      <c r="I105" s="590">
        <f>Productivity!L64</f>
        <v>5</v>
      </c>
      <c r="J105" s="590">
        <f>Productivity!M64</f>
        <v>6</v>
      </c>
      <c r="K105" s="590">
        <f>Productivity!N64</f>
        <v>7</v>
      </c>
      <c r="L105" s="590">
        <f>Productivity!O64</f>
        <v>8</v>
      </c>
      <c r="M105" s="590">
        <f>Productivity!P64</f>
        <v>9</v>
      </c>
      <c r="N105" s="590">
        <f>Productivity!Q64</f>
        <v>10</v>
      </c>
      <c r="O105" s="590">
        <f>Productivity!R64</f>
        <v>11</v>
      </c>
      <c r="P105" s="590">
        <f>Productivity!S64</f>
        <v>12</v>
      </c>
      <c r="Q105" s="590">
        <f>Productivity!T64</f>
        <v>13</v>
      </c>
      <c r="R105" s="590">
        <f>Productivity!U64</f>
        <v>14</v>
      </c>
      <c r="S105" s="590">
        <f>Productivity!V64</f>
        <v>15</v>
      </c>
      <c r="T105" s="590">
        <f>Productivity!W64</f>
        <v>16</v>
      </c>
      <c r="U105" s="590">
        <f>Productivity!X64</f>
        <v>17</v>
      </c>
      <c r="V105" s="590">
        <f>Productivity!Y64</f>
        <v>18</v>
      </c>
      <c r="W105" s="590">
        <f>Productivity!Z64</f>
        <v>19</v>
      </c>
      <c r="X105" s="591">
        <f>Productivity!AA58</f>
        <v>0</v>
      </c>
      <c r="AK105" s="299"/>
      <c r="AL105" s="299"/>
      <c r="AM105" s="299"/>
    </row>
    <row r="106" spans="2:39">
      <c r="B106" s="60"/>
      <c r="C106" s="592"/>
      <c r="D106" s="593"/>
      <c r="E106" s="594"/>
      <c r="AK106" s="299"/>
      <c r="AL106" s="299"/>
      <c r="AM106" s="299"/>
    </row>
    <row r="107" spans="2:39">
      <c r="AK107" s="299"/>
      <c r="AL107" s="299"/>
      <c r="AM107" s="595">
        <f>(AM110/1576)*100</f>
        <v>9.8984771573604071</v>
      </c>
    </row>
    <row r="108" spans="2:39">
      <c r="AK108" s="299"/>
      <c r="AL108" s="299"/>
      <c r="AM108" s="299"/>
    </row>
    <row r="109" spans="2:39">
      <c r="AK109" s="299"/>
      <c r="AL109" s="299"/>
      <c r="AM109" s="299"/>
    </row>
    <row r="110" spans="2:39">
      <c r="B110" s="596"/>
      <c r="C110" s="596"/>
      <c r="D110" s="596"/>
      <c r="E110" s="596"/>
      <c r="AK110" s="299"/>
      <c r="AL110" s="299"/>
      <c r="AM110" s="299">
        <f>1732-1576</f>
        <v>156</v>
      </c>
    </row>
    <row r="124" spans="3:24">
      <c r="C124" s="1514"/>
      <c r="D124" s="1515" t="e">
        <f>D101</f>
        <v>#REF!</v>
      </c>
      <c r="E124" s="1515" t="str">
        <f t="shared" ref="E124:X124" si="11">E101</f>
        <v>Year</v>
      </c>
      <c r="F124" s="1515" t="str">
        <f t="shared" si="11"/>
        <v>Coal (Mt)</v>
      </c>
      <c r="G124" s="1515" t="str">
        <f t="shared" si="11"/>
        <v>GCV Dil (Kcal/Kg)</v>
      </c>
      <c r="H124" s="1515" t="str">
        <f t="shared" si="11"/>
        <v>GCV Dil (Kcal/Kg)</v>
      </c>
      <c r="I124" s="1515" t="str">
        <f t="shared" si="11"/>
        <v>Coal (Mt)</v>
      </c>
      <c r="J124" s="1515" t="str">
        <f t="shared" si="11"/>
        <v>Waste (Mcum)</v>
      </c>
      <c r="K124" s="1515" t="e">
        <f t="shared" si="11"/>
        <v>#REF!</v>
      </c>
      <c r="L124" s="1515">
        <f t="shared" si="11"/>
        <v>0</v>
      </c>
      <c r="M124" s="1515">
        <f t="shared" si="11"/>
        <v>0</v>
      </c>
      <c r="N124" s="1515">
        <f t="shared" si="11"/>
        <v>0</v>
      </c>
      <c r="O124" s="1515">
        <f t="shared" si="11"/>
        <v>0</v>
      </c>
      <c r="P124" s="1515">
        <f t="shared" si="11"/>
        <v>0</v>
      </c>
      <c r="Q124" s="1515">
        <f t="shared" si="11"/>
        <v>0</v>
      </c>
      <c r="R124" s="1515">
        <f t="shared" si="11"/>
        <v>0</v>
      </c>
      <c r="S124" s="1515">
        <f t="shared" si="11"/>
        <v>0</v>
      </c>
      <c r="T124" s="1515">
        <f t="shared" si="11"/>
        <v>0</v>
      </c>
      <c r="U124" s="1515">
        <f t="shared" si="11"/>
        <v>0</v>
      </c>
      <c r="V124" s="1515">
        <f t="shared" si="11"/>
        <v>0</v>
      </c>
      <c r="W124" s="1515">
        <f t="shared" si="11"/>
        <v>0</v>
      </c>
      <c r="X124" s="1515">
        <f t="shared" si="11"/>
        <v>0</v>
      </c>
    </row>
    <row r="125" spans="3:24">
      <c r="C125" s="597" t="s">
        <v>1606</v>
      </c>
      <c r="D125" s="598">
        <f>Fleet!L111</f>
        <v>0</v>
      </c>
      <c r="E125" s="598">
        <f>Fleet!M111</f>
        <v>0</v>
      </c>
      <c r="F125" s="598">
        <f>Fleet!N111</f>
        <v>0</v>
      </c>
      <c r="G125" s="598">
        <f>Fleet!O111</f>
        <v>0</v>
      </c>
      <c r="H125" s="598">
        <f>Fleet!P111</f>
        <v>0</v>
      </c>
      <c r="I125" s="598">
        <f>Fleet!Q111</f>
        <v>0</v>
      </c>
      <c r="J125" s="598">
        <f>Fleet!R111</f>
        <v>0</v>
      </c>
      <c r="K125" s="598">
        <f>Fleet!S111</f>
        <v>0</v>
      </c>
      <c r="L125" s="598">
        <f>Fleet!T111</f>
        <v>0</v>
      </c>
      <c r="M125" s="598">
        <f>Fleet!U111</f>
        <v>0</v>
      </c>
      <c r="N125" s="598">
        <f>Fleet!V111</f>
        <v>0</v>
      </c>
      <c r="O125" s="598">
        <f>Fleet!W111</f>
        <v>0</v>
      </c>
      <c r="P125" s="598">
        <f>Fleet!X111</f>
        <v>0</v>
      </c>
      <c r="Q125" s="598">
        <f>Fleet!Y111</f>
        <v>0</v>
      </c>
      <c r="R125" s="598">
        <f>Fleet!Z111</f>
        <v>0</v>
      </c>
      <c r="S125" s="598">
        <f>Fleet!AA111</f>
        <v>0</v>
      </c>
      <c r="T125" s="598">
        <f>Fleet!AB111</f>
        <v>0</v>
      </c>
      <c r="U125" s="598">
        <f>Fleet!AC111</f>
        <v>0</v>
      </c>
      <c r="V125" s="598">
        <f>Fleet!AD111</f>
        <v>0</v>
      </c>
      <c r="W125" s="598">
        <f>Fleet!AE111</f>
        <v>0</v>
      </c>
      <c r="X125" s="598">
        <f>Fleet!AF111</f>
        <v>0</v>
      </c>
    </row>
    <row r="126" spans="3:24">
      <c r="C126" s="597" t="s">
        <v>1607</v>
      </c>
      <c r="D126" s="598">
        <f>Fleet!L112</f>
        <v>1</v>
      </c>
      <c r="E126" s="598">
        <f>Fleet!M112</f>
        <v>2</v>
      </c>
      <c r="F126" s="598">
        <f>Fleet!N112</f>
        <v>2</v>
      </c>
      <c r="G126" s="598">
        <f>Fleet!O112</f>
        <v>2</v>
      </c>
      <c r="H126" s="598">
        <f>Fleet!P112</f>
        <v>2</v>
      </c>
      <c r="I126" s="598">
        <f>Fleet!Q112</f>
        <v>2</v>
      </c>
      <c r="J126" s="598">
        <f>Fleet!R112</f>
        <v>2</v>
      </c>
      <c r="K126" s="598">
        <f>Fleet!S112</f>
        <v>2</v>
      </c>
      <c r="L126" s="598">
        <f>Fleet!T112</f>
        <v>2</v>
      </c>
      <c r="M126" s="598">
        <f>Fleet!U112</f>
        <v>2</v>
      </c>
      <c r="N126" s="598">
        <f>Fleet!V112</f>
        <v>2</v>
      </c>
      <c r="O126" s="598">
        <f>Fleet!W112</f>
        <v>2</v>
      </c>
      <c r="P126" s="598">
        <f>Fleet!X112</f>
        <v>2</v>
      </c>
      <c r="Q126" s="598">
        <f>Fleet!Y112</f>
        <v>2</v>
      </c>
      <c r="R126" s="598">
        <f>Fleet!Z112</f>
        <v>2</v>
      </c>
      <c r="S126" s="598">
        <f>Fleet!AA112</f>
        <v>2</v>
      </c>
      <c r="T126" s="598">
        <f>Fleet!AB112</f>
        <v>1</v>
      </c>
      <c r="U126" s="598">
        <f>Fleet!AC112</f>
        <v>1</v>
      </c>
      <c r="V126" s="598">
        <f>Fleet!AD112</f>
        <v>0</v>
      </c>
      <c r="W126" s="598">
        <f>Fleet!AE112</f>
        <v>0</v>
      </c>
      <c r="X126" s="598">
        <f>Fleet!AF112</f>
        <v>0</v>
      </c>
    </row>
    <row r="127" spans="3:24">
      <c r="C127" s="597" t="s">
        <v>1608</v>
      </c>
      <c r="D127" s="598">
        <f>Fleet!L113</f>
        <v>1</v>
      </c>
      <c r="E127" s="598">
        <f>Fleet!M113</f>
        <v>2</v>
      </c>
      <c r="F127" s="598">
        <f>Fleet!N113</f>
        <v>2</v>
      </c>
      <c r="G127" s="598">
        <f>Fleet!O113</f>
        <v>2</v>
      </c>
      <c r="H127" s="598">
        <f>Fleet!P113</f>
        <v>2</v>
      </c>
      <c r="I127" s="598">
        <f>Fleet!Q113</f>
        <v>2</v>
      </c>
      <c r="J127" s="598">
        <f>Fleet!R113</f>
        <v>2</v>
      </c>
      <c r="K127" s="598">
        <f>Fleet!S113</f>
        <v>2</v>
      </c>
      <c r="L127" s="598">
        <f>Fleet!T113</f>
        <v>2</v>
      </c>
      <c r="M127" s="598">
        <f>Fleet!U113</f>
        <v>2</v>
      </c>
      <c r="N127" s="598">
        <f>Fleet!V113</f>
        <v>2</v>
      </c>
      <c r="O127" s="598">
        <f>Fleet!W113</f>
        <v>2</v>
      </c>
      <c r="P127" s="598">
        <f>Fleet!X113</f>
        <v>2</v>
      </c>
      <c r="Q127" s="598">
        <f>Fleet!Y113</f>
        <v>2</v>
      </c>
      <c r="R127" s="598">
        <f>Fleet!Z113</f>
        <v>2</v>
      </c>
      <c r="S127" s="598">
        <f>Fleet!AA113</f>
        <v>2</v>
      </c>
      <c r="T127" s="598">
        <f>Fleet!AB113</f>
        <v>1</v>
      </c>
      <c r="U127" s="598">
        <f>Fleet!AC113</f>
        <v>1</v>
      </c>
      <c r="V127" s="598">
        <f>Fleet!AD113</f>
        <v>0</v>
      </c>
      <c r="W127" s="598">
        <f>Fleet!AE113</f>
        <v>0</v>
      </c>
      <c r="X127" s="598">
        <f>Fleet!AF113</f>
        <v>0</v>
      </c>
    </row>
    <row r="128" spans="3:24">
      <c r="C128" s="597" t="s">
        <v>1609</v>
      </c>
      <c r="D128" s="598">
        <f>Fleet!L114</f>
        <v>1</v>
      </c>
      <c r="E128" s="598">
        <f>Fleet!M114</f>
        <v>2</v>
      </c>
      <c r="F128" s="598">
        <f>Fleet!N114</f>
        <v>2</v>
      </c>
      <c r="G128" s="598">
        <f>Fleet!O114</f>
        <v>2</v>
      </c>
      <c r="H128" s="598">
        <f>Fleet!P114</f>
        <v>2</v>
      </c>
      <c r="I128" s="598">
        <f>Fleet!Q114</f>
        <v>2</v>
      </c>
      <c r="J128" s="598">
        <f>Fleet!R114</f>
        <v>2</v>
      </c>
      <c r="K128" s="598">
        <f>Fleet!S114</f>
        <v>2</v>
      </c>
      <c r="L128" s="598">
        <f>Fleet!T114</f>
        <v>2</v>
      </c>
      <c r="M128" s="598">
        <f>Fleet!U114</f>
        <v>2</v>
      </c>
      <c r="N128" s="598">
        <f>Fleet!V114</f>
        <v>2</v>
      </c>
      <c r="O128" s="598">
        <f>Fleet!W114</f>
        <v>2</v>
      </c>
      <c r="P128" s="598">
        <f>Fleet!X114</f>
        <v>2</v>
      </c>
      <c r="Q128" s="598">
        <f>Fleet!Y114</f>
        <v>2</v>
      </c>
      <c r="R128" s="598">
        <f>Fleet!Z114</f>
        <v>2</v>
      </c>
      <c r="S128" s="598">
        <f>Fleet!AA114</f>
        <v>2</v>
      </c>
      <c r="T128" s="598">
        <f>Fleet!AB114</f>
        <v>1</v>
      </c>
      <c r="U128" s="598">
        <f>Fleet!AC114</f>
        <v>1</v>
      </c>
      <c r="V128" s="598">
        <f>Fleet!AD114</f>
        <v>0</v>
      </c>
      <c r="W128" s="598">
        <f>Fleet!AE114</f>
        <v>0</v>
      </c>
      <c r="X128" s="598">
        <f>Fleet!AF114</f>
        <v>0</v>
      </c>
    </row>
    <row r="129" spans="3:24">
      <c r="C129" s="597" t="s">
        <v>1610</v>
      </c>
      <c r="D129" s="598">
        <f>Fleet!L116</f>
        <v>1</v>
      </c>
      <c r="E129" s="598">
        <f>Fleet!M116</f>
        <v>2</v>
      </c>
      <c r="F129" s="598">
        <f>Fleet!N116</f>
        <v>2</v>
      </c>
      <c r="G129" s="598">
        <f>Fleet!O116</f>
        <v>2</v>
      </c>
      <c r="H129" s="598">
        <f>Fleet!P116</f>
        <v>2</v>
      </c>
      <c r="I129" s="598">
        <f>Fleet!Q116</f>
        <v>2</v>
      </c>
      <c r="J129" s="598">
        <f>Fleet!R116</f>
        <v>2</v>
      </c>
      <c r="K129" s="598">
        <f>Fleet!S116</f>
        <v>2</v>
      </c>
      <c r="L129" s="598">
        <f>Fleet!T116</f>
        <v>2</v>
      </c>
      <c r="M129" s="598">
        <f>Fleet!U116</f>
        <v>2</v>
      </c>
      <c r="N129" s="598">
        <f>Fleet!V116</f>
        <v>2</v>
      </c>
      <c r="O129" s="598">
        <f>Fleet!W116</f>
        <v>2</v>
      </c>
      <c r="P129" s="598">
        <f>Fleet!X116</f>
        <v>2</v>
      </c>
      <c r="Q129" s="598">
        <f>Fleet!Y116</f>
        <v>2</v>
      </c>
      <c r="R129" s="598">
        <f>Fleet!Z116</f>
        <v>2</v>
      </c>
      <c r="S129" s="598">
        <f>Fleet!AA116</f>
        <v>2</v>
      </c>
      <c r="T129" s="598">
        <f>Fleet!AB116</f>
        <v>1</v>
      </c>
      <c r="U129" s="598">
        <f>Fleet!AC116</f>
        <v>1</v>
      </c>
      <c r="V129" s="598">
        <f>Fleet!AD116</f>
        <v>0</v>
      </c>
      <c r="W129" s="598">
        <f>Fleet!AE116</f>
        <v>0</v>
      </c>
      <c r="X129" s="598">
        <f>Fleet!AF116</f>
        <v>0</v>
      </c>
    </row>
    <row r="130" spans="3:24" ht="14">
      <c r="C130" s="599" t="s">
        <v>1611</v>
      </c>
      <c r="D130" s="598">
        <f>Fleet!L123</f>
        <v>1</v>
      </c>
      <c r="E130" s="598">
        <f>Fleet!M123</f>
        <v>2</v>
      </c>
      <c r="F130" s="598">
        <f>Fleet!N123</f>
        <v>2</v>
      </c>
      <c r="G130" s="598">
        <f>Fleet!O123</f>
        <v>2</v>
      </c>
      <c r="H130" s="598">
        <f>Fleet!P123</f>
        <v>2</v>
      </c>
      <c r="I130" s="598">
        <f>Fleet!Q123</f>
        <v>2</v>
      </c>
      <c r="J130" s="598">
        <f>Fleet!R123</f>
        <v>2</v>
      </c>
      <c r="K130" s="598">
        <f>Fleet!S123</f>
        <v>2</v>
      </c>
      <c r="L130" s="598">
        <f>Fleet!T123</f>
        <v>2</v>
      </c>
      <c r="M130" s="598">
        <f>Fleet!U123</f>
        <v>2</v>
      </c>
      <c r="N130" s="598">
        <f>Fleet!V123</f>
        <v>2</v>
      </c>
      <c r="O130" s="598">
        <f>Fleet!W123</f>
        <v>2</v>
      </c>
      <c r="P130" s="598">
        <f>Fleet!X123</f>
        <v>2</v>
      </c>
      <c r="Q130" s="598">
        <f>Fleet!Y123</f>
        <v>2</v>
      </c>
      <c r="R130" s="598">
        <f>Fleet!Z123</f>
        <v>2</v>
      </c>
      <c r="S130" s="598">
        <f>Fleet!AA123</f>
        <v>2</v>
      </c>
      <c r="T130" s="598">
        <f>Fleet!AB123</f>
        <v>1</v>
      </c>
      <c r="U130" s="598">
        <f>Fleet!AC123</f>
        <v>1</v>
      </c>
      <c r="V130" s="598">
        <f>Fleet!AD123</f>
        <v>0</v>
      </c>
      <c r="W130" s="598">
        <f>Fleet!AE123</f>
        <v>0</v>
      </c>
      <c r="X130" s="598">
        <f>Fleet!AF123</f>
        <v>0</v>
      </c>
    </row>
    <row r="131" spans="3:24" ht="14">
      <c r="C131" s="599" t="s">
        <v>1612</v>
      </c>
      <c r="D131" s="598">
        <f>Fleet!L119</f>
        <v>1</v>
      </c>
      <c r="E131" s="598">
        <f>Fleet!M119</f>
        <v>2</v>
      </c>
      <c r="F131" s="598">
        <f>Fleet!N119</f>
        <v>2</v>
      </c>
      <c r="G131" s="598">
        <f>Fleet!O119</f>
        <v>2</v>
      </c>
      <c r="H131" s="598">
        <f>Fleet!P119</f>
        <v>2</v>
      </c>
      <c r="I131" s="598">
        <f>Fleet!Q119</f>
        <v>2</v>
      </c>
      <c r="J131" s="598">
        <f>Fleet!R119</f>
        <v>2</v>
      </c>
      <c r="K131" s="598">
        <f>Fleet!S119</f>
        <v>2</v>
      </c>
      <c r="L131" s="598">
        <f>Fleet!T119</f>
        <v>2</v>
      </c>
      <c r="M131" s="598">
        <f>Fleet!U119</f>
        <v>2</v>
      </c>
      <c r="N131" s="598">
        <f>Fleet!V119</f>
        <v>2</v>
      </c>
      <c r="O131" s="598">
        <f>Fleet!W119</f>
        <v>2</v>
      </c>
      <c r="P131" s="598">
        <f>Fleet!X119</f>
        <v>2</v>
      </c>
      <c r="Q131" s="598">
        <f>Fleet!Y119</f>
        <v>2</v>
      </c>
      <c r="R131" s="598">
        <f>Fleet!Z119</f>
        <v>2</v>
      </c>
      <c r="S131" s="598">
        <f>Fleet!AA119</f>
        <v>2</v>
      </c>
      <c r="T131" s="598">
        <f>Fleet!AB119</f>
        <v>1</v>
      </c>
      <c r="U131" s="598">
        <f>Fleet!AC119</f>
        <v>1</v>
      </c>
      <c r="V131" s="598">
        <f>Fleet!AD119</f>
        <v>0</v>
      </c>
      <c r="W131" s="598">
        <f>Fleet!AE119</f>
        <v>0</v>
      </c>
      <c r="X131" s="598">
        <f>Fleet!AF119</f>
        <v>0</v>
      </c>
    </row>
    <row r="132" spans="3:24" ht="14">
      <c r="C132" s="600" t="s">
        <v>1613</v>
      </c>
      <c r="D132" s="601">
        <f>Fleet!L121</f>
        <v>1</v>
      </c>
      <c r="E132" s="601">
        <f>Fleet!M121</f>
        <v>2</v>
      </c>
      <c r="F132" s="601">
        <f>Fleet!N121</f>
        <v>2</v>
      </c>
      <c r="G132" s="601">
        <f>Fleet!O121</f>
        <v>2</v>
      </c>
      <c r="H132" s="601">
        <f>Fleet!P121</f>
        <v>2</v>
      </c>
      <c r="I132" s="601">
        <f>Fleet!Q121</f>
        <v>2</v>
      </c>
      <c r="J132" s="601">
        <f>Fleet!R121</f>
        <v>2</v>
      </c>
      <c r="K132" s="601">
        <f>Fleet!S121</f>
        <v>2</v>
      </c>
      <c r="L132" s="601">
        <f>Fleet!T121</f>
        <v>2</v>
      </c>
      <c r="M132" s="601">
        <f>Fleet!U121</f>
        <v>2</v>
      </c>
      <c r="N132" s="601">
        <f>Fleet!V121</f>
        <v>2</v>
      </c>
      <c r="O132" s="601">
        <f>Fleet!W121</f>
        <v>2</v>
      </c>
      <c r="P132" s="601">
        <f>Fleet!X121</f>
        <v>2</v>
      </c>
      <c r="Q132" s="601">
        <f>Fleet!Y121</f>
        <v>2</v>
      </c>
      <c r="R132" s="601">
        <f>Fleet!Z121</f>
        <v>2</v>
      </c>
      <c r="S132" s="601">
        <f>Fleet!AA121</f>
        <v>2</v>
      </c>
      <c r="T132" s="601">
        <f>Fleet!AB121</f>
        <v>1</v>
      </c>
      <c r="U132" s="601">
        <f>Fleet!AC121</f>
        <v>1</v>
      </c>
      <c r="V132" s="601">
        <f>Fleet!AD121</f>
        <v>0</v>
      </c>
      <c r="W132" s="601">
        <f>Fleet!AE121</f>
        <v>0</v>
      </c>
      <c r="X132" s="601">
        <f>Fleet!AF121</f>
        <v>0</v>
      </c>
    </row>
    <row r="191" spans="3:8" ht="15" thickBot="1">
      <c r="C191" s="602" t="s">
        <v>602</v>
      </c>
      <c r="D191" s="603" t="s">
        <v>1614</v>
      </c>
      <c r="E191" s="603" t="s">
        <v>1615</v>
      </c>
      <c r="F191" s="603" t="s">
        <v>1616</v>
      </c>
      <c r="G191" s="603" t="s">
        <v>1617</v>
      </c>
      <c r="H191" s="603" t="s">
        <v>1618</v>
      </c>
    </row>
    <row r="192" spans="3:8" ht="15" thickBot="1">
      <c r="C192" s="604" t="str">
        <f>Fleet!B277</f>
        <v>Coal/Ore</v>
      </c>
      <c r="D192" s="605">
        <f>Fleet!I277+Fleet!J277</f>
        <v>0</v>
      </c>
      <c r="E192" s="605">
        <f>Fleet!K277</f>
        <v>0</v>
      </c>
      <c r="F192" s="605">
        <f>Fleet!L277</f>
        <v>0</v>
      </c>
      <c r="G192" s="605">
        <f>Fleet!M277</f>
        <v>0</v>
      </c>
      <c r="H192" s="605">
        <f>Fleet!N277</f>
        <v>0</v>
      </c>
    </row>
    <row r="193" spans="3:8" ht="15" thickBot="1">
      <c r="C193" s="604" t="str">
        <f>Fleet!B278</f>
        <v xml:space="preserve">Waste (IB Thin Parting) </v>
      </c>
      <c r="D193" s="605">
        <f>Fleet!I278+Fleet!J278</f>
        <v>0</v>
      </c>
      <c r="E193" s="605">
        <f>Fleet!K278</f>
        <v>0</v>
      </c>
      <c r="F193" s="605">
        <f>Fleet!L278</f>
        <v>0</v>
      </c>
      <c r="G193" s="605">
        <f>Fleet!M278</f>
        <v>0</v>
      </c>
      <c r="H193" s="605">
        <f>Fleet!N278</f>
        <v>0</v>
      </c>
    </row>
    <row r="194" spans="3:8" ht="15" thickBot="1">
      <c r="C194" s="604" t="str">
        <f>Fleet!B280</f>
        <v>Top Soil</v>
      </c>
      <c r="D194" s="605">
        <f>Fleet!I280+Fleet!J280</f>
        <v>0</v>
      </c>
      <c r="E194" s="605">
        <f>Fleet!K280</f>
        <v>0</v>
      </c>
      <c r="F194" s="605">
        <f>Fleet!L280</f>
        <v>0</v>
      </c>
      <c r="G194" s="605">
        <f>Fleet!M280</f>
        <v>0</v>
      </c>
      <c r="H194" s="605">
        <f>Fleet!N280</f>
        <v>0</v>
      </c>
    </row>
    <row r="195" spans="3:8" ht="15" thickBot="1">
      <c r="C195" s="604" t="str">
        <f>Fleet!B282</f>
        <v>Waste - OB &amp; Thick Parting</v>
      </c>
      <c r="D195" s="605">
        <f>Fleet!I282+Fleet!J282</f>
        <v>0</v>
      </c>
      <c r="E195" s="605">
        <f>Fleet!J282+Fleet!K282</f>
        <v>0</v>
      </c>
      <c r="F195" s="605">
        <f>Fleet!K282+Fleet!L282</f>
        <v>0</v>
      </c>
      <c r="G195" s="605">
        <f>Fleet!L282+Fleet!M282</f>
        <v>0</v>
      </c>
      <c r="H195" s="605">
        <f>Fleet!M282+Fleet!N282</f>
        <v>0</v>
      </c>
    </row>
    <row r="196" spans="3:8" ht="15" thickBot="1">
      <c r="C196" s="604" t="str">
        <f>Fleet!B285</f>
        <v>Coal/Ore</v>
      </c>
      <c r="D196" s="605">
        <f>Fleet!I285+Fleet!J285</f>
        <v>0</v>
      </c>
      <c r="E196" s="605">
        <f>Fleet!K285</f>
        <v>0</v>
      </c>
      <c r="F196" s="605">
        <f>Fleet!L285</f>
        <v>0</v>
      </c>
      <c r="G196" s="605">
        <f>Fleet!M285</f>
        <v>0</v>
      </c>
      <c r="H196" s="605">
        <f>Fleet!N285</f>
        <v>0</v>
      </c>
    </row>
    <row r="197" spans="3:8" ht="15" thickBot="1">
      <c r="C197" s="604" t="str">
        <f>Fleet!B287</f>
        <v>Miscelleneous</v>
      </c>
      <c r="D197" s="605">
        <f>Fleet!I287+Fleet!J287+Fleet!I288+Fleet!J288</f>
        <v>0</v>
      </c>
      <c r="E197" s="605">
        <f>Fleet!K287+Fleet!K288</f>
        <v>0</v>
      </c>
      <c r="F197" s="605">
        <f>Fleet!L287+Fleet!L288</f>
        <v>0</v>
      </c>
      <c r="G197" s="605">
        <f>Fleet!M287+Fleet!M288</f>
        <v>0</v>
      </c>
      <c r="H197" s="605">
        <f>Fleet!N287+Fleet!N288</f>
        <v>0</v>
      </c>
    </row>
    <row r="198" spans="3:8" ht="15" thickBot="1">
      <c r="C198" s="604" t="str">
        <f>Fleet!B283</f>
        <v>Rehandling by Own Trucks and Excavators</v>
      </c>
      <c r="D198" s="605">
        <f>Fleet!I283+Fleet!J283</f>
        <v>0</v>
      </c>
      <c r="E198" s="605">
        <f>Fleet!K283</f>
        <v>0</v>
      </c>
      <c r="F198" s="605">
        <f>Fleet!L283</f>
        <v>0</v>
      </c>
      <c r="G198" s="605">
        <f>Fleet!M283</f>
        <v>0</v>
      </c>
      <c r="H198" s="605">
        <f>Fleet!N283</f>
        <v>0</v>
      </c>
    </row>
    <row r="199" spans="3:8" ht="15" thickBot="1">
      <c r="C199" s="604" t="str">
        <f>Fleet!B284</f>
        <v>Miscelleneous</v>
      </c>
      <c r="D199" s="605">
        <f>Fleet!I284+Fleet!J284</f>
        <v>0</v>
      </c>
      <c r="E199" s="605">
        <f>Fleet!K284</f>
        <v>0</v>
      </c>
      <c r="F199" s="605">
        <f>Fleet!L284</f>
        <v>0</v>
      </c>
      <c r="G199" s="605">
        <f>Fleet!M284</f>
        <v>0</v>
      </c>
      <c r="H199" s="605">
        <f>Fleet!N284</f>
        <v>0</v>
      </c>
    </row>
    <row r="200" spans="3:8" ht="15" thickBot="1">
      <c r="C200" s="604" t="str">
        <f>Fleet!B290</f>
        <v>Waste - OB &amp; Thick Parting</v>
      </c>
      <c r="D200" s="605">
        <f>Fleet!I290+Fleet!J290+Fleet!I291+Fleet!J291</f>
        <v>0</v>
      </c>
      <c r="E200" s="605">
        <f>Fleet!K290+Fleet!K291</f>
        <v>0</v>
      </c>
      <c r="F200" s="605">
        <f>Fleet!L290+Fleet!L291</f>
        <v>0</v>
      </c>
      <c r="G200" s="605">
        <f>Fleet!M290+Fleet!M291</f>
        <v>0</v>
      </c>
      <c r="H200" s="605">
        <f>Fleet!N290+Fleet!N291</f>
        <v>0</v>
      </c>
    </row>
    <row r="201" spans="3:8" ht="15" thickBot="1">
      <c r="C201" s="604" t="s">
        <v>1619</v>
      </c>
      <c r="D201" s="605">
        <f>SUM(Fleet!I293:J314)</f>
        <v>0</v>
      </c>
      <c r="E201" s="605">
        <f>SUM(Fleet!K293:K314)</f>
        <v>0</v>
      </c>
      <c r="F201" s="605">
        <f>SUM(Fleet!L293:L314)</f>
        <v>0</v>
      </c>
      <c r="G201" s="605">
        <f>SUM(Fleet!M293:M314)</f>
        <v>0</v>
      </c>
      <c r="H201" s="605">
        <f>SUM(Fleet!N293:N314)</f>
        <v>0</v>
      </c>
    </row>
    <row r="202" spans="3:8" ht="15" thickBot="1">
      <c r="C202" s="604" t="str">
        <f>Fleet!B315</f>
        <v/>
      </c>
      <c r="D202" s="605">
        <f>SUM(D192:D201)</f>
        <v>0</v>
      </c>
      <c r="E202" s="605">
        <f>SUM(E192:E201)</f>
        <v>0</v>
      </c>
      <c r="F202" s="605">
        <f>SUM(F192:F201)</f>
        <v>0</v>
      </c>
      <c r="G202" s="605">
        <f>SUM(G192:G201)</f>
        <v>0</v>
      </c>
      <c r="H202" s="605">
        <f>SUM(H192:H201)</f>
        <v>0</v>
      </c>
    </row>
    <row r="203" spans="3:8">
      <c r="D203" s="1" t="b">
        <f>D202=Fleet!J315</f>
        <v>1</v>
      </c>
      <c r="E203" s="1" t="b">
        <f>E202=Fleet!K315</f>
        <v>1</v>
      </c>
      <c r="F203" s="1" t="b">
        <f>F202=Fleet!L315</f>
        <v>1</v>
      </c>
      <c r="G203" s="1" t="b">
        <f>G202=Fleet!M315</f>
        <v>1</v>
      </c>
      <c r="H203" s="1" t="b">
        <f>H202=Fleet!N315</f>
        <v>1</v>
      </c>
    </row>
    <row r="204" spans="3:8" ht="14" thickBot="1"/>
    <row r="205" spans="3:8" ht="15" thickBot="1">
      <c r="C205" s="602" t="s">
        <v>602</v>
      </c>
      <c r="D205" s="603" t="s">
        <v>1614</v>
      </c>
      <c r="E205" s="603" t="s">
        <v>1615</v>
      </c>
      <c r="F205" s="603" t="s">
        <v>1616</v>
      </c>
      <c r="G205" s="603" t="s">
        <v>1617</v>
      </c>
      <c r="H205" s="603" t="s">
        <v>1618</v>
      </c>
    </row>
    <row r="206" spans="3:8" ht="15" thickBot="1">
      <c r="C206" s="604" t="str">
        <f>Fleet!B277</f>
        <v>Coal/Ore</v>
      </c>
      <c r="D206" s="605">
        <f>Fleet!I277+Fleet!J277</f>
        <v>0</v>
      </c>
      <c r="E206" s="605">
        <f>Fleet!K277</f>
        <v>0</v>
      </c>
      <c r="F206" s="605">
        <f>Fleet!L277</f>
        <v>0</v>
      </c>
      <c r="G206" s="605">
        <f>Fleet!M277</f>
        <v>0</v>
      </c>
      <c r="H206" s="605">
        <f>Fleet!N277</f>
        <v>0</v>
      </c>
    </row>
    <row r="207" spans="3:8" ht="15" thickBot="1">
      <c r="C207" s="604" t="str">
        <f>Fleet!B278</f>
        <v xml:space="preserve">Waste (IB Thin Parting) </v>
      </c>
      <c r="D207" s="605">
        <f>Fleet!I278+Fleet!J278</f>
        <v>0</v>
      </c>
      <c r="E207" s="605">
        <f>Fleet!K278</f>
        <v>0</v>
      </c>
      <c r="F207" s="605">
        <f>Fleet!L278</f>
        <v>0</v>
      </c>
      <c r="G207" s="605">
        <f>Fleet!M278</f>
        <v>0</v>
      </c>
      <c r="H207" s="605">
        <f>Fleet!N278</f>
        <v>0</v>
      </c>
    </row>
    <row r="208" spans="3:8" ht="15" thickBot="1">
      <c r="C208" s="604" t="str">
        <f>Fleet!B279</f>
        <v>Waste Thick Parting (Ob/IB)</v>
      </c>
      <c r="D208" s="605">
        <f>Fleet!I279+Fleet!J279</f>
        <v>0</v>
      </c>
      <c r="E208" s="605">
        <f>Fleet!K279</f>
        <v>0</v>
      </c>
      <c r="F208" s="605">
        <f>Fleet!L279</f>
        <v>0</v>
      </c>
      <c r="G208" s="605">
        <f>Fleet!M279</f>
        <v>0</v>
      </c>
      <c r="H208" s="605">
        <f>Fleet!N279</f>
        <v>0</v>
      </c>
    </row>
    <row r="209" spans="3:8" ht="15" thickBot="1">
      <c r="C209" s="604" t="str">
        <f>Fleet!B280</f>
        <v>Top Soil</v>
      </c>
      <c r="D209" s="605">
        <f>Fleet!I280+Fleet!J280</f>
        <v>0</v>
      </c>
      <c r="E209" s="605">
        <f>Fleet!K280</f>
        <v>0</v>
      </c>
      <c r="F209" s="605">
        <f>Fleet!L280</f>
        <v>0</v>
      </c>
      <c r="G209" s="605">
        <f>Fleet!M280</f>
        <v>0</v>
      </c>
      <c r="H209" s="605">
        <f>Fleet!N280</f>
        <v>0</v>
      </c>
    </row>
    <row r="210" spans="3:8" ht="15" thickBot="1">
      <c r="C210" s="604" t="str">
        <f>Fleet!B282</f>
        <v>Waste - OB &amp; Thick Parting</v>
      </c>
      <c r="D210" s="605">
        <f>Fleet!I282+Fleet!J282</f>
        <v>0</v>
      </c>
      <c r="E210" s="605">
        <f>Fleet!K282</f>
        <v>0</v>
      </c>
      <c r="F210" s="605">
        <f>Fleet!L282</f>
        <v>0</v>
      </c>
      <c r="G210" s="605">
        <f>Fleet!M282</f>
        <v>0</v>
      </c>
      <c r="H210" s="605">
        <f>Fleet!N282</f>
        <v>0</v>
      </c>
    </row>
    <row r="211" spans="3:8" ht="15" thickBot="1">
      <c r="C211" s="604" t="str">
        <f>Fleet!B283</f>
        <v>Rehandling by Own Trucks and Excavators</v>
      </c>
      <c r="D211" s="605">
        <f>Fleet!I283+Fleet!J283</f>
        <v>0</v>
      </c>
      <c r="E211" s="605">
        <f>Fleet!K283</f>
        <v>0</v>
      </c>
      <c r="F211" s="605">
        <f>Fleet!L283</f>
        <v>0</v>
      </c>
      <c r="G211" s="605">
        <f>Fleet!M283</f>
        <v>0</v>
      </c>
      <c r="H211" s="605">
        <f>Fleet!N283</f>
        <v>0</v>
      </c>
    </row>
    <row r="212" spans="3:8" ht="15" thickBot="1">
      <c r="C212" s="604" t="str">
        <f>Fleet!B285</f>
        <v>Coal/Ore</v>
      </c>
      <c r="D212" s="605">
        <f>Fleet!I285+Fleet!J285</f>
        <v>0</v>
      </c>
      <c r="E212" s="605">
        <f>Fleet!K285</f>
        <v>0</v>
      </c>
      <c r="F212" s="605">
        <f>Fleet!L285</f>
        <v>0</v>
      </c>
      <c r="G212" s="605">
        <f>Fleet!M285</f>
        <v>0</v>
      </c>
      <c r="H212" s="605">
        <f>Fleet!N285</f>
        <v>0</v>
      </c>
    </row>
    <row r="213" spans="3:8" ht="15" thickBot="1">
      <c r="C213" s="604" t="str">
        <f>Fleet!B287</f>
        <v>Miscelleneous</v>
      </c>
      <c r="D213" s="605">
        <f>Fleet!I287+Fleet!J287+Fleet!I289+Fleet!J289</f>
        <v>0</v>
      </c>
      <c r="E213" s="605">
        <f>Fleet!K287+Fleet!K289</f>
        <v>0</v>
      </c>
      <c r="F213" s="605">
        <f>Fleet!L287+Fleet!L289</f>
        <v>0</v>
      </c>
      <c r="G213" s="605">
        <f>Fleet!M287+Fleet!M289</f>
        <v>0</v>
      </c>
      <c r="H213" s="605">
        <f>Fleet!N287+Fleet!N289</f>
        <v>0</v>
      </c>
    </row>
    <row r="214" spans="3:8" ht="15" thickBot="1">
      <c r="C214" s="604" t="str">
        <f>Fleet!B290</f>
        <v>Waste - OB &amp; Thick Parting</v>
      </c>
      <c r="D214" s="605">
        <f>Fleet!I290+Fleet!J290</f>
        <v>0</v>
      </c>
      <c r="E214" s="605">
        <f>Fleet!K290</f>
        <v>0</v>
      </c>
      <c r="F214" s="605">
        <f>Fleet!L290</f>
        <v>0</v>
      </c>
      <c r="G214" s="605">
        <f>Fleet!M290</f>
        <v>0</v>
      </c>
      <c r="H214" s="605">
        <f>Fleet!N290</f>
        <v>0</v>
      </c>
    </row>
    <row r="215" spans="3:8" ht="15" thickBot="1">
      <c r="C215" s="604" t="s">
        <v>1619</v>
      </c>
      <c r="D215" s="607">
        <f>SUM(Fleet!I293:J314)</f>
        <v>0</v>
      </c>
      <c r="E215" s="607">
        <f>SUM(Fleet!K293:K314)</f>
        <v>0</v>
      </c>
      <c r="F215" s="607">
        <f>SUM(Fleet!L293:L314)</f>
        <v>0</v>
      </c>
      <c r="G215" s="607">
        <f>SUM(Fleet!M293:M314)</f>
        <v>0</v>
      </c>
      <c r="H215" s="607">
        <f>SUM(Fleet!N293:N314)</f>
        <v>0</v>
      </c>
    </row>
    <row r="216" spans="3:8" ht="15" thickBot="1">
      <c r="C216" s="606" t="str">
        <f>Fleet!B315</f>
        <v/>
      </c>
      <c r="D216" s="1516">
        <f>SUM(D206:D215)</f>
        <v>0</v>
      </c>
      <c r="E216" s="1516">
        <f>SUM(E206:E215)</f>
        <v>0</v>
      </c>
      <c r="F216" s="1516">
        <f>SUM(F206:F215)</f>
        <v>0</v>
      </c>
      <c r="G216" s="1516">
        <f>SUM(G206:G215)</f>
        <v>0</v>
      </c>
      <c r="H216" s="1516">
        <f>SUM(H206:H215)</f>
        <v>0</v>
      </c>
    </row>
    <row r="217" spans="3:8" ht="14" thickBot="1">
      <c r="C217" s="61"/>
      <c r="D217" s="605" t="b">
        <f>Fleet!J315=D216</f>
        <v>1</v>
      </c>
      <c r="E217" s="605" t="b">
        <f>Fleet!K315=E216</f>
        <v>1</v>
      </c>
      <c r="F217" s="605" t="b">
        <f>Fleet!L315=F216</f>
        <v>1</v>
      </c>
      <c r="G217" s="605" t="b">
        <f>Fleet!M315=G216</f>
        <v>1</v>
      </c>
      <c r="H217" s="605" t="b">
        <f>Fleet!N315=H216</f>
        <v>1</v>
      </c>
    </row>
  </sheetData>
  <conditionalFormatting sqref="D75:E75">
    <cfRule type="cellIs" dxfId="2" priority="1" operator="equal">
      <formula>TRUE</formula>
    </cfRule>
  </conditionalFormatting>
  <conditionalFormatting sqref="E24">
    <cfRule type="cellIs" dxfId="1" priority="3" operator="equal">
      <formula>TRUE</formula>
    </cfRule>
  </conditionalFormatting>
  <conditionalFormatting sqref="E57">
    <cfRule type="cellIs" dxfId="0" priority="2" operator="equal">
      <formula>TRUE</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e6769d-145a-49dd-8f9f-3974fbb225d3">
      <Terms xmlns="http://schemas.microsoft.com/office/infopath/2007/PartnerControls"/>
    </lcf76f155ced4ddcb4097134ff3c332f>
    <TaxCatchAll xmlns="990419c1-8565-4b51-9478-24e4294a35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6660A3BAD826479D66BD3B5DCC0F43" ma:contentTypeVersion="11" ma:contentTypeDescription="Create a new document." ma:contentTypeScope="" ma:versionID="3f40943892108712e425ab4e771a205b">
  <xsd:schema xmlns:xsd="http://www.w3.org/2001/XMLSchema" xmlns:xs="http://www.w3.org/2001/XMLSchema" xmlns:p="http://schemas.microsoft.com/office/2006/metadata/properties" xmlns:ns2="33e6769d-145a-49dd-8f9f-3974fbb225d3" xmlns:ns3="990419c1-8565-4b51-9478-24e4294a3505" targetNamespace="http://schemas.microsoft.com/office/2006/metadata/properties" ma:root="true" ma:fieldsID="0e93d5e266aad79572ad27f58f6a6826" ns2:_="" ns3:_="">
    <xsd:import namespace="33e6769d-145a-49dd-8f9f-3974fbb225d3"/>
    <xsd:import namespace="990419c1-8565-4b51-9478-24e4294a35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6769d-145a-49dd-8f9f-3974fbb225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a168025-d2f2-4a7e-b3c9-bf6c9ad483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90419c1-8565-4b51-9478-24e4294a35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02e938-fde1-47f3-a182-a1ac6f930aa6}" ma:internalName="TaxCatchAll" ma:showField="CatchAllData" ma:web="990419c1-8565-4b51-9478-24e4294a35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1DFDA83-22CB-434D-A3CF-59F2B8237D9C}">
  <ds:schemaRefs>
    <ds:schemaRef ds:uri="http://schemas.microsoft.com/office/2006/metadata/properties"/>
    <ds:schemaRef ds:uri="http://schemas.microsoft.com/office/infopath/2007/PartnerControls"/>
    <ds:schemaRef ds:uri="33e6769d-145a-49dd-8f9f-3974fbb225d3"/>
    <ds:schemaRef ds:uri="990419c1-8565-4b51-9478-24e4294a3505"/>
  </ds:schemaRefs>
</ds:datastoreItem>
</file>

<file path=customXml/itemProps2.xml><?xml version="1.0" encoding="utf-8"?>
<ds:datastoreItem xmlns:ds="http://schemas.openxmlformats.org/officeDocument/2006/customXml" ds:itemID="{08F3082D-1A28-4E4B-94AE-FED77E5AF755}">
  <ds:schemaRefs>
    <ds:schemaRef ds:uri="http://schemas.microsoft.com/sharepoint/v3/contenttype/forms"/>
  </ds:schemaRefs>
</ds:datastoreItem>
</file>

<file path=customXml/itemProps3.xml><?xml version="1.0" encoding="utf-8"?>
<ds:datastoreItem xmlns:ds="http://schemas.openxmlformats.org/officeDocument/2006/customXml" ds:itemID="{8CD4F89A-AD94-445E-B1CD-C04B064858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e6769d-145a-49dd-8f9f-3974fbb225d3"/>
    <ds:schemaRef ds:uri="990419c1-8565-4b51-9478-24e4294a35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5A6F039-1EBB-49A0-9BC4-F2F9BE142C17}">
  <ds:schemaRefs>
    <ds:schemaRef ds:uri="http://schemas.microsoft.com/DataMashup"/>
  </ds:schemaRefs>
</ds:datastoreItem>
</file>

<file path=docMetadata/LabelInfo.xml><?xml version="1.0" encoding="utf-8"?>
<clbl:labelList xmlns:clbl="http://schemas.microsoft.com/office/2020/mipLabelMetadata">
  <clbl:label id="{c86799ae-4360-4de5-8ed6-fb4d739001eb}" enabled="0" method="" siteId="{c86799ae-4360-4de5-8ed6-fb4d739001e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3</vt:i4>
      </vt:variant>
    </vt:vector>
  </HeadingPairs>
  <TitlesOfParts>
    <vt:vector size="40" baseType="lpstr">
      <vt:lpstr>Title</vt:lpstr>
      <vt:lpstr>Revision</vt:lpstr>
      <vt:lpstr>Scenario Matrix</vt:lpstr>
      <vt:lpstr>Disclaimer</vt:lpstr>
      <vt:lpstr>Guide</vt:lpstr>
      <vt:lpstr>Assumptions_Dashboard</vt:lpstr>
      <vt:lpstr>Production Schedule</vt:lpstr>
      <vt:lpstr>Sensitivity</vt:lpstr>
      <vt:lpstr>P&amp;L</vt:lpstr>
      <vt:lpstr>CF</vt:lpstr>
      <vt:lpstr>Tax</vt:lpstr>
      <vt:lpstr>Borrowings-Owner</vt:lpstr>
      <vt:lpstr>Borrowings-MDO</vt:lpstr>
      <vt:lpstr>Depreciation-Owner</vt:lpstr>
      <vt:lpstr>Depreciation-MDO</vt:lpstr>
      <vt:lpstr>Project CAPEX</vt:lpstr>
      <vt:lpstr>Owner CAPEX</vt:lpstr>
      <vt:lpstr>MDO CAPEX</vt:lpstr>
      <vt:lpstr>Capex Breakups</vt:lpstr>
      <vt:lpstr>Project OPEX</vt:lpstr>
      <vt:lpstr>Owner OPEX</vt:lpstr>
      <vt:lpstr>Contractor OPEX</vt:lpstr>
      <vt:lpstr>Pre-Operative</vt:lpstr>
      <vt:lpstr>Land</vt:lpstr>
      <vt:lpstr>R&amp;R</vt:lpstr>
      <vt:lpstr>Fleet</vt:lpstr>
      <vt:lpstr>Equipment</vt:lpstr>
      <vt:lpstr>Equipment Op Cost</vt:lpstr>
      <vt:lpstr>Productivity</vt:lpstr>
      <vt:lpstr>Productivity - SM</vt:lpstr>
      <vt:lpstr>Equipment Master Data</vt:lpstr>
      <vt:lpstr>Explosive</vt:lpstr>
      <vt:lpstr>Wage-Owner</vt:lpstr>
      <vt:lpstr>Wage-MDO</vt:lpstr>
      <vt:lpstr>Government</vt:lpstr>
      <vt:lpstr>Coal Price</vt:lpstr>
      <vt:lpstr>Dashboard</vt:lpstr>
      <vt:lpstr>Disclaimer!Print_Area</vt:lpstr>
      <vt:lpstr>Revision!Print_Area</vt:lpstr>
      <vt:lpstr>Title!Print_Area</vt:lpstr>
    </vt:vector>
  </TitlesOfParts>
  <Manager/>
  <Company>CREATIVE ENGINEERS AND CONSULTANTS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SRK</dc:creator>
  <cp:keywords/>
  <dc:description/>
  <cp:lastModifiedBy>722MN1055 (RISHIDAS )</cp:lastModifiedBy>
  <cp:revision/>
  <dcterms:created xsi:type="dcterms:W3CDTF">2004-11-25T16:18:54Z</dcterms:created>
  <dcterms:modified xsi:type="dcterms:W3CDTF">2026-06-09T12:05:35Z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{FF9946D4-6C70-4A2B-B86F-F9B036EB0F29}</vt:lpwstr>
  </property>
  <property fmtid="{D5CDD505-2E9C-101B-9397-08002B2CF9AE}" pid="3" name="ContentTypeId">
    <vt:lpwstr>0x010100D66660A3BAD826479D66BD3B5DCC0F43</vt:lpwstr>
  </property>
  <property fmtid="{D5CDD505-2E9C-101B-9397-08002B2CF9AE}" pid="4" name="MediaServiceImageTags">
    <vt:lpwstr/>
  </property>
</Properties>
</file>